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1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2.xml" ContentType="application/vnd.openxmlformats-officedocument.drawing+xml"/>
  <Override PartName="/xl/comments10.xml" ContentType="application/vnd.openxmlformats-officedocument.spreadsheetml.comments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9.xml" ContentType="application/vnd.openxmlformats-officedocument.drawingml.chartshapes+xml"/>
  <Override PartName="/xl/comments11.xml" ContentType="application/vnd.openxmlformats-officedocument.spreadsheetml.comments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omments12.xml" ContentType="application/vnd.openxmlformats-officedocument.spreadsheetml.comments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drawings/drawing12.xml" ContentType="application/vnd.openxmlformats-officedocument.drawingml.chartshapes+xml"/>
  <Override PartName="/xl/charts/chart17.xml" ContentType="application/vnd.openxmlformats-officedocument.drawingml.chart+xml"/>
  <Override PartName="/xl/drawings/drawing1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hris.chiu\Documents\Work Documents\4. Finance\12 Yr\2223\"/>
    </mc:Choice>
  </mc:AlternateContent>
  <bookViews>
    <workbookView xWindow="0" yWindow="0" windowWidth="20490" windowHeight="7350" tabRatio="874" firstSheet="7" activeTab="11"/>
  </bookViews>
  <sheets>
    <sheet name="Tax Allowance 2021-08" sheetId="57" r:id="rId1"/>
    <sheet name="Core P&amp;L" sheetId="45" r:id="rId2"/>
    <sheet name="Non-Core P&amp;L" sheetId="46" r:id="rId3"/>
    <sheet name="Core Opex Proj." sheetId="24" r:id="rId4"/>
    <sheet name="Non-Core Opex Proj." sheetId="50" r:id="rId5"/>
    <sheet name="Inorganic" sheetId="55" r:id="rId6"/>
    <sheet name="12 years sales &amp; PL forecast" sheetId="5" r:id="rId7"/>
    <sheet name="Sales &amp; AnP Forecast" sheetId="54" r:id="rId8"/>
    <sheet name="Manufacturing cost analysis" sheetId="6" r:id="rId9"/>
    <sheet name="Production Plan" sheetId="29" r:id="rId10"/>
    <sheet name="YL Capex (31 Mar 2021)" sheetId="48" r:id="rId11"/>
    <sheet name="Cashflow forecast" sheetId="9" r:id="rId12"/>
    <sheet name="Cashflow trend" sheetId="8" r:id="rId13"/>
    <sheet name="Green Loan" sheetId="49" r:id="rId14"/>
    <sheet name="12 yrs forecast comparsion" sheetId="53" r:id="rId15"/>
    <sheet name="Project cost summary" sheetId="52" r:id="rId16"/>
    <sheet name="Loans summary" sheetId="51" r:id="rId17"/>
    <sheet name="Final Terms of Loan Financing" sheetId="16" r:id="rId18"/>
    <sheet name="Modify Terms of Loan Repayment" sheetId="35" r:id="rId19"/>
    <sheet name="Summary of loan modification" sheetId="36" r:id="rId20"/>
    <sheet name="Sales Analysis" sheetId="4" r:id="rId21"/>
    <sheet name="2021 vs 1920" sheetId="58" r:id="rId22"/>
    <sheet name="vs LY comparison" sheetId="43" r:id="rId23"/>
    <sheet name="Bank-P&amp;L Summary" sheetId="38" r:id="rId24"/>
    <sheet name="Bank-Cashflow Summary" sheetId="39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</externalReferences>
  <definedNames>
    <definedName name="\zsfdg" localSheetId="9" hidden="1">{#N/A,#N/A,FALSE,"Aging Summary";#N/A,#N/A,FALSE,"Ratio Analysis";#N/A,#N/A,FALSE,"Test 120 Day Accts";#N/A,#N/A,FALSE,"Tickmarks"}</definedName>
    <definedName name="\zsfdg" hidden="1">{#N/A,#N/A,FALSE,"Aging Summary";#N/A,#N/A,FALSE,"Ratio Analysis";#N/A,#N/A,FALSE,"Test 120 Day Accts";#N/A,#N/A,FALSE,"Tickmarks"}</definedName>
    <definedName name="_____hc7" localSheetId="9" hidden="1">{#N/A,#N/A,FALSE,"Aging Summary";#N/A,#N/A,FALSE,"Ratio Analysis";#N/A,#N/A,FALSE,"Test 120 Day Accts";#N/A,#N/A,FALSE,"Tickmarks"}</definedName>
    <definedName name="_____hc7" hidden="1">{#N/A,#N/A,FALSE,"Aging Summary";#N/A,#N/A,FALSE,"Ratio Analysis";#N/A,#N/A,FALSE,"Test 120 Day Accts";#N/A,#N/A,FALSE,"Tickmarks"}</definedName>
    <definedName name="_____hc71" localSheetId="9" hidden="1">{#N/A,#N/A,FALSE,"Aging Summary";#N/A,#N/A,FALSE,"Ratio Analysis";#N/A,#N/A,FALSE,"Test 120 Day Accts";#N/A,#N/A,FALSE,"Tickmarks"}</definedName>
    <definedName name="_____hc71" hidden="1">{#N/A,#N/A,FALSE,"Aging Summary";#N/A,#N/A,FALSE,"Ratio Analysis";#N/A,#N/A,FALSE,"Test 120 Day Accts";#N/A,#N/A,FALSE,"Tickmarks"}</definedName>
    <definedName name="____hc7" localSheetId="9" hidden="1">{#N/A,#N/A,FALSE,"Aging Summary";#N/A,#N/A,FALSE,"Ratio Analysis";#N/A,#N/A,FALSE,"Test 120 Day Accts";#N/A,#N/A,FALSE,"Tickmarks"}</definedName>
    <definedName name="____hc7" hidden="1">{#N/A,#N/A,FALSE,"Aging Summary";#N/A,#N/A,FALSE,"Ratio Analysis";#N/A,#N/A,FALSE,"Test 120 Day Accts";#N/A,#N/A,FALSE,"Tickmarks"}</definedName>
    <definedName name="____hc71" localSheetId="9" hidden="1">{#N/A,#N/A,FALSE,"Aging Summary";#N/A,#N/A,FALSE,"Ratio Analysis";#N/A,#N/A,FALSE,"Test 120 Day Accts";#N/A,#N/A,FALSE,"Tickmarks"}</definedName>
    <definedName name="____hc71" hidden="1">{#N/A,#N/A,FALSE,"Aging Summary";#N/A,#N/A,FALSE,"Ratio Analysis";#N/A,#N/A,FALSE,"Test 120 Day Accts";#N/A,#N/A,FALSE,"Tickmarks"}</definedName>
    <definedName name="____U232" localSheetId="9" hidden="1">{#N/A,#N/A,FALSE,"3410599";#N/A,#N/A,FALSE,"34106";#N/A,#N/A,FALSE,"34903";#N/A,#N/A,FALSE,"4450999";#N/A,#N/A,FALSE,"44901"}</definedName>
    <definedName name="____U232" hidden="1">{#N/A,#N/A,FALSE,"3410599";#N/A,#N/A,FALSE,"34106";#N/A,#N/A,FALSE,"34903";#N/A,#N/A,FALSE,"4450999";#N/A,#N/A,FALSE,"44901"}</definedName>
    <definedName name="____U3" localSheetId="9" hidden="1">{#N/A,#N/A,FALSE,"COVER";#N/A,#N/A,FALSE,"0";#N/A,#N/A,FALSE,"1";#N/A,#N/A,FALSE,"2";#N/A,#N/A,FALSE,"3";#N/A,#N/A,FALSE,"4";#N/A,#N/A,FALSE,"5";#N/A,#N/A,FALSE,"6";#N/A,#N/A,FALSE,"7";#N/A,#N/A,FALSE,"8";#N/A,#N/A,FALSE,"9";#N/A,#N/A,FALSE,"10";#N/A,#N/A,FALSE,"11"}</definedName>
    <definedName name="____U3" hidden="1">{#N/A,#N/A,FALSE,"COVER";#N/A,#N/A,FALSE,"0";#N/A,#N/A,FALSE,"1";#N/A,#N/A,FALSE,"2";#N/A,#N/A,FALSE,"3";#N/A,#N/A,FALSE,"4";#N/A,#N/A,FALSE,"5";#N/A,#N/A,FALSE,"6";#N/A,#N/A,FALSE,"7";#N/A,#N/A,FALSE,"8";#N/A,#N/A,FALSE,"9";#N/A,#N/A,FALSE,"10";#N/A,#N/A,FALSE,"11"}</definedName>
    <definedName name="___123Graph__AA" hidden="1">'[1]AOP Summary-2'!$A$2:$A$14</definedName>
    <definedName name="___hc7" localSheetId="9" hidden="1">{#N/A,#N/A,FALSE,"Aging Summary";#N/A,#N/A,FALSE,"Ratio Analysis";#N/A,#N/A,FALSE,"Test 120 Day Accts";#N/A,#N/A,FALSE,"Tickmarks"}</definedName>
    <definedName name="___hc7" hidden="1">{#N/A,#N/A,FALSE,"Aging Summary";#N/A,#N/A,FALSE,"Ratio Analysis";#N/A,#N/A,FALSE,"Test 120 Day Accts";#N/A,#N/A,FALSE,"Tickmarks"}</definedName>
    <definedName name="___hc71" localSheetId="9" hidden="1">{#N/A,#N/A,FALSE,"Aging Summary";#N/A,#N/A,FALSE,"Ratio Analysis";#N/A,#N/A,FALSE,"Test 120 Day Accts";#N/A,#N/A,FALSE,"Tickmarks"}</definedName>
    <definedName name="___hc71" hidden="1">{#N/A,#N/A,FALSE,"Aging Summary";#N/A,#N/A,FALSE,"Ratio Analysis";#N/A,#N/A,FALSE,"Test 120 Day Accts";#N/A,#N/A,FALSE,"Tickmarks"}</definedName>
    <definedName name="___U232" localSheetId="9" hidden="1">{#N/A,#N/A,FALSE,"3410599";#N/A,#N/A,FALSE,"34106";#N/A,#N/A,FALSE,"34903";#N/A,#N/A,FALSE,"4450999";#N/A,#N/A,FALSE,"44901"}</definedName>
    <definedName name="___U232" hidden="1">{#N/A,#N/A,FALSE,"3410599";#N/A,#N/A,FALSE,"34106";#N/A,#N/A,FALSE,"34903";#N/A,#N/A,FALSE,"4450999";#N/A,#N/A,FALSE,"44901"}</definedName>
    <definedName name="___U3" localSheetId="9" hidden="1">{#N/A,#N/A,FALSE,"COVER";#N/A,#N/A,FALSE,"0";#N/A,#N/A,FALSE,"1";#N/A,#N/A,FALSE,"2";#N/A,#N/A,FALSE,"3";#N/A,#N/A,FALSE,"4";#N/A,#N/A,FALSE,"5";#N/A,#N/A,FALSE,"6";#N/A,#N/A,FALSE,"7";#N/A,#N/A,FALSE,"8";#N/A,#N/A,FALSE,"9";#N/A,#N/A,FALSE,"10";#N/A,#N/A,FALSE,"11"}</definedName>
    <definedName name="___U3" hidden="1">{#N/A,#N/A,FALSE,"COVER";#N/A,#N/A,FALSE,"0";#N/A,#N/A,FALSE,"1";#N/A,#N/A,FALSE,"2";#N/A,#N/A,FALSE,"3";#N/A,#N/A,FALSE,"4";#N/A,#N/A,FALSE,"5";#N/A,#N/A,FALSE,"6";#N/A,#N/A,FALSE,"7";#N/A,#N/A,FALSE,"8";#N/A,#N/A,FALSE,"9";#N/A,#N/A,FALSE,"10";#N/A,#N/A,FALSE,"11"}</definedName>
    <definedName name="___X3" localSheetId="21" hidden="1">#REF!</definedName>
    <definedName name="___X3" localSheetId="24" hidden="1">#REF!</definedName>
    <definedName name="___X3" localSheetId="23" hidden="1">#REF!</definedName>
    <definedName name="___X3" localSheetId="1" hidden="1">#REF!</definedName>
    <definedName name="___X3" localSheetId="18" hidden="1">#REF!</definedName>
    <definedName name="___X3" localSheetId="4" hidden="1">#REF!</definedName>
    <definedName name="___X3" localSheetId="2" hidden="1">#REF!</definedName>
    <definedName name="___X3" localSheetId="9" hidden="1">#REF!</definedName>
    <definedName name="___X3" localSheetId="22" hidden="1">#REF!</definedName>
    <definedName name="___X3" hidden="1">#REF!</definedName>
    <definedName name="___xx3" localSheetId="21" hidden="1">#REF!</definedName>
    <definedName name="___xx3" localSheetId="24" hidden="1">#REF!</definedName>
    <definedName name="___xx3" localSheetId="23" hidden="1">#REF!</definedName>
    <definedName name="___xx3" localSheetId="1" hidden="1">#REF!</definedName>
    <definedName name="___xx3" localSheetId="18" hidden="1">#REF!</definedName>
    <definedName name="___xx3" localSheetId="4" hidden="1">#REF!</definedName>
    <definedName name="___xx3" localSheetId="2" hidden="1">#REF!</definedName>
    <definedName name="___xx3" localSheetId="9" hidden="1">#REF!</definedName>
    <definedName name="___xx3" localSheetId="22" hidden="1">#REF!</definedName>
    <definedName name="___xx3" hidden="1">#REF!</definedName>
    <definedName name="__123Grapgh__s" hidden="1">'[1]AOP Summary-2'!$C$2:$C$14</definedName>
    <definedName name="__123Graph_A" localSheetId="21" hidden="1">[2]cov!#REF!</definedName>
    <definedName name="__123Graph_A" localSheetId="24" hidden="1">[2]cov!#REF!</definedName>
    <definedName name="__123Graph_A" localSheetId="23" hidden="1">[2]cov!#REF!</definedName>
    <definedName name="__123Graph_A" localSheetId="1" hidden="1">[2]cov!#REF!</definedName>
    <definedName name="__123Graph_A" localSheetId="18" hidden="1">[2]cov!#REF!</definedName>
    <definedName name="__123Graph_A" localSheetId="4" hidden="1">[2]cov!#REF!</definedName>
    <definedName name="__123Graph_A" localSheetId="2" hidden="1">[2]cov!#REF!</definedName>
    <definedName name="__123Graph_A" localSheetId="9" hidden="1">[2]cov!#REF!</definedName>
    <definedName name="__123Graph_A" localSheetId="22" hidden="1">[2]cov!#REF!</definedName>
    <definedName name="__123Graph_A" hidden="1">[2]cov!#REF!</definedName>
    <definedName name="__123Graph_AGRAPH2" localSheetId="21" hidden="1">[3]Cashbook!#REF!</definedName>
    <definedName name="__123Graph_AGRAPH2" localSheetId="24" hidden="1">[3]Cashbook!#REF!</definedName>
    <definedName name="__123Graph_AGRAPH2" localSheetId="23" hidden="1">[3]Cashbook!#REF!</definedName>
    <definedName name="__123Graph_AGRAPH2" localSheetId="1" hidden="1">[3]Cashbook!#REF!</definedName>
    <definedName name="__123Graph_AGRAPH2" localSheetId="18" hidden="1">[3]Cashbook!#REF!</definedName>
    <definedName name="__123Graph_AGRAPH2" localSheetId="4" hidden="1">[3]Cashbook!#REF!</definedName>
    <definedName name="__123Graph_AGRAPH2" localSheetId="9" hidden="1">[3]Cashbook!#REF!</definedName>
    <definedName name="__123Graph_AGRAPH2" localSheetId="22" hidden="1">[3]Cashbook!#REF!</definedName>
    <definedName name="__123Graph_AGRAPH2" hidden="1">[3]Cashbook!#REF!</definedName>
    <definedName name="__123Graph_B" localSheetId="21" hidden="1">'[4]Ex Diff'!#REF!</definedName>
    <definedName name="__123Graph_B" localSheetId="24" hidden="1">'[4]Ex Diff'!#REF!</definedName>
    <definedName name="__123Graph_B" localSheetId="23" hidden="1">'[4]Ex Diff'!#REF!</definedName>
    <definedName name="__123Graph_B" localSheetId="1" hidden="1">'[4]Ex Diff'!#REF!</definedName>
    <definedName name="__123Graph_B" localSheetId="18" hidden="1">'[4]Ex Diff'!#REF!</definedName>
    <definedName name="__123Graph_B" localSheetId="4" hidden="1">'[4]Ex Diff'!#REF!</definedName>
    <definedName name="__123Graph_B" localSheetId="2" hidden="1">'[4]Ex Diff'!#REF!</definedName>
    <definedName name="__123Graph_B" localSheetId="9" hidden="1">'[4]Ex Diff'!#REF!</definedName>
    <definedName name="__123Graph_B" localSheetId="22" hidden="1">'[4]Ex Diff'!#REF!</definedName>
    <definedName name="__123Graph_B" hidden="1">'[4]Ex Diff'!#REF!</definedName>
    <definedName name="__123Graph_C" hidden="1">#N/A</definedName>
    <definedName name="__123Graph_CGRAPH1" localSheetId="21" hidden="1">[3]Cashbook!#REF!</definedName>
    <definedName name="__123Graph_CGRAPH1" localSheetId="24" hidden="1">[3]Cashbook!#REF!</definedName>
    <definedName name="__123Graph_CGRAPH1" localSheetId="23" hidden="1">[3]Cashbook!#REF!</definedName>
    <definedName name="__123Graph_CGRAPH1" localSheetId="1" hidden="1">[3]Cashbook!#REF!</definedName>
    <definedName name="__123Graph_CGRAPH1" localSheetId="18" hidden="1">[3]Cashbook!#REF!</definedName>
    <definedName name="__123Graph_CGRAPH1" localSheetId="4" hidden="1">[3]Cashbook!#REF!</definedName>
    <definedName name="__123Graph_CGRAPH1" localSheetId="9" hidden="1">[3]Cashbook!#REF!</definedName>
    <definedName name="__123Graph_CGRAPH1" localSheetId="22" hidden="1">[3]Cashbook!#REF!</definedName>
    <definedName name="__123Graph_CGRAPH1" hidden="1">[3]Cashbook!#REF!</definedName>
    <definedName name="__123Graph_CGRAPH3" localSheetId="21" hidden="1">[3]Cashbook!#REF!</definedName>
    <definedName name="__123Graph_CGRAPH3" localSheetId="24" hidden="1">[3]Cashbook!#REF!</definedName>
    <definedName name="__123Graph_CGRAPH3" localSheetId="23" hidden="1">[3]Cashbook!#REF!</definedName>
    <definedName name="__123Graph_CGRAPH3" localSheetId="1" hidden="1">[3]Cashbook!#REF!</definedName>
    <definedName name="__123Graph_CGRAPH3" localSheetId="18" hidden="1">[3]Cashbook!#REF!</definedName>
    <definedName name="__123Graph_CGRAPH3" localSheetId="4" hidden="1">[3]Cashbook!#REF!</definedName>
    <definedName name="__123Graph_CGRAPH3" localSheetId="9" hidden="1">[3]Cashbook!#REF!</definedName>
    <definedName name="__123Graph_CGRAPH3" localSheetId="22" hidden="1">[3]Cashbook!#REF!</definedName>
    <definedName name="__123Graph_CGRAPH3" hidden="1">[3]Cashbook!#REF!</definedName>
    <definedName name="__123Graph_CGRAPH4" localSheetId="21" hidden="1">[3]Cashbook!#REF!</definedName>
    <definedName name="__123Graph_CGRAPH4" localSheetId="24" hidden="1">[3]Cashbook!#REF!</definedName>
    <definedName name="__123Graph_CGRAPH4" localSheetId="23" hidden="1">[3]Cashbook!#REF!</definedName>
    <definedName name="__123Graph_CGRAPH4" localSheetId="1" hidden="1">[3]Cashbook!#REF!</definedName>
    <definedName name="__123Graph_CGRAPH4" localSheetId="18" hidden="1">[3]Cashbook!#REF!</definedName>
    <definedName name="__123Graph_CGRAPH4" localSheetId="4" hidden="1">[3]Cashbook!#REF!</definedName>
    <definedName name="__123Graph_CGRAPH4" localSheetId="9" hidden="1">[3]Cashbook!#REF!</definedName>
    <definedName name="__123Graph_CGRAPH4" localSheetId="22" hidden="1">[3]Cashbook!#REF!</definedName>
    <definedName name="__123Graph_CGRAPH4" hidden="1">[3]Cashbook!#REF!</definedName>
    <definedName name="__123Graph_CGRAPH5" localSheetId="21" hidden="1">[3]Cashbook!#REF!</definedName>
    <definedName name="__123Graph_CGRAPH5" localSheetId="24" hidden="1">[3]Cashbook!#REF!</definedName>
    <definedName name="__123Graph_CGRAPH5" localSheetId="23" hidden="1">[3]Cashbook!#REF!</definedName>
    <definedName name="__123Graph_CGRAPH5" localSheetId="1" hidden="1">[3]Cashbook!#REF!</definedName>
    <definedName name="__123Graph_CGRAPH5" localSheetId="18" hidden="1">[3]Cashbook!#REF!</definedName>
    <definedName name="__123Graph_CGRAPH5" localSheetId="4" hidden="1">[3]Cashbook!#REF!</definedName>
    <definedName name="__123Graph_CGRAPH5" localSheetId="9" hidden="1">[3]Cashbook!#REF!</definedName>
    <definedName name="__123Graph_CGRAPH5" localSheetId="22" hidden="1">[3]Cashbook!#REF!</definedName>
    <definedName name="__123Graph_CGRAPH5" hidden="1">[3]Cashbook!#REF!</definedName>
    <definedName name="__123Graph_CGRAPH6" localSheetId="21" hidden="1">[3]Cashbook!#REF!</definedName>
    <definedName name="__123Graph_CGRAPH6" localSheetId="24" hidden="1">[3]Cashbook!#REF!</definedName>
    <definedName name="__123Graph_CGRAPH6" localSheetId="23" hidden="1">[3]Cashbook!#REF!</definedName>
    <definedName name="__123Graph_CGRAPH6" localSheetId="1" hidden="1">[3]Cashbook!#REF!</definedName>
    <definedName name="__123Graph_CGRAPH6" localSheetId="18" hidden="1">[3]Cashbook!#REF!</definedName>
    <definedName name="__123Graph_CGRAPH6" localSheetId="4" hidden="1">[3]Cashbook!#REF!</definedName>
    <definedName name="__123Graph_CGRAPH6" localSheetId="9" hidden="1">[3]Cashbook!#REF!</definedName>
    <definedName name="__123Graph_CGRAPH6" localSheetId="22" hidden="1">[3]Cashbook!#REF!</definedName>
    <definedName name="__123Graph_CGRAPH6" hidden="1">[3]Cashbook!#REF!</definedName>
    <definedName name="__123Graph_CGRAPH7" localSheetId="21" hidden="1">[3]Cashbook!#REF!</definedName>
    <definedName name="__123Graph_CGRAPH7" localSheetId="24" hidden="1">[3]Cashbook!#REF!</definedName>
    <definedName name="__123Graph_CGRAPH7" localSheetId="23" hidden="1">[3]Cashbook!#REF!</definedName>
    <definedName name="__123Graph_CGRAPH7" localSheetId="1" hidden="1">[3]Cashbook!#REF!</definedName>
    <definedName name="__123Graph_CGRAPH7" localSheetId="18" hidden="1">[3]Cashbook!#REF!</definedName>
    <definedName name="__123Graph_CGRAPH7" localSheetId="4" hidden="1">[3]Cashbook!#REF!</definedName>
    <definedName name="__123Graph_CGRAPH7" localSheetId="9" hidden="1">[3]Cashbook!#REF!</definedName>
    <definedName name="__123Graph_CGRAPH7" localSheetId="22" hidden="1">[3]Cashbook!#REF!</definedName>
    <definedName name="__123Graph_CGRAPH7" hidden="1">[3]Cashbook!#REF!</definedName>
    <definedName name="__123Graph_D" hidden="1">#N/A</definedName>
    <definedName name="__123Graph_DGRAPH1" localSheetId="21" hidden="1">[3]Cashbook!#REF!</definedName>
    <definedName name="__123Graph_DGRAPH1" localSheetId="24" hidden="1">[3]Cashbook!#REF!</definedName>
    <definedName name="__123Graph_DGRAPH1" localSheetId="23" hidden="1">[3]Cashbook!#REF!</definedName>
    <definedName name="__123Graph_DGRAPH1" localSheetId="1" hidden="1">[3]Cashbook!#REF!</definedName>
    <definedName name="__123Graph_DGRAPH1" localSheetId="18" hidden="1">[3]Cashbook!#REF!</definedName>
    <definedName name="__123Graph_DGRAPH1" localSheetId="4" hidden="1">[3]Cashbook!#REF!</definedName>
    <definedName name="__123Graph_DGRAPH1" localSheetId="9" hidden="1">[3]Cashbook!#REF!</definedName>
    <definedName name="__123Graph_DGRAPH1" localSheetId="22" hidden="1">[3]Cashbook!#REF!</definedName>
    <definedName name="__123Graph_DGRAPH1" hidden="1">[3]Cashbook!#REF!</definedName>
    <definedName name="__123Graph_DGRAPH3" localSheetId="21" hidden="1">[3]Cashbook!#REF!</definedName>
    <definedName name="__123Graph_DGRAPH3" localSheetId="24" hidden="1">[3]Cashbook!#REF!</definedName>
    <definedName name="__123Graph_DGRAPH3" localSheetId="23" hidden="1">[3]Cashbook!#REF!</definedName>
    <definedName name="__123Graph_DGRAPH3" localSheetId="1" hidden="1">[3]Cashbook!#REF!</definedName>
    <definedName name="__123Graph_DGRAPH3" localSheetId="18" hidden="1">[3]Cashbook!#REF!</definedName>
    <definedName name="__123Graph_DGRAPH3" localSheetId="4" hidden="1">[3]Cashbook!#REF!</definedName>
    <definedName name="__123Graph_DGRAPH3" localSheetId="9" hidden="1">[3]Cashbook!#REF!</definedName>
    <definedName name="__123Graph_DGRAPH3" localSheetId="22" hidden="1">[3]Cashbook!#REF!</definedName>
    <definedName name="__123Graph_DGRAPH3" hidden="1">[3]Cashbook!#REF!</definedName>
    <definedName name="__123Graph_DGRAPH4" localSheetId="21" hidden="1">[3]Cashbook!#REF!</definedName>
    <definedName name="__123Graph_DGRAPH4" localSheetId="24" hidden="1">[3]Cashbook!#REF!</definedName>
    <definedName name="__123Graph_DGRAPH4" localSheetId="23" hidden="1">[3]Cashbook!#REF!</definedName>
    <definedName name="__123Graph_DGRAPH4" localSheetId="1" hidden="1">[3]Cashbook!#REF!</definedName>
    <definedName name="__123Graph_DGRAPH4" localSheetId="18" hidden="1">[3]Cashbook!#REF!</definedName>
    <definedName name="__123Graph_DGRAPH4" localSheetId="4" hidden="1">[3]Cashbook!#REF!</definedName>
    <definedName name="__123Graph_DGRAPH4" localSheetId="9" hidden="1">[3]Cashbook!#REF!</definedName>
    <definedName name="__123Graph_DGRAPH4" localSheetId="22" hidden="1">[3]Cashbook!#REF!</definedName>
    <definedName name="__123Graph_DGRAPH4" hidden="1">[3]Cashbook!#REF!</definedName>
    <definedName name="__123Graph_DGRAPH5" localSheetId="21" hidden="1">[3]Cashbook!#REF!</definedName>
    <definedName name="__123Graph_DGRAPH5" localSheetId="24" hidden="1">[3]Cashbook!#REF!</definedName>
    <definedName name="__123Graph_DGRAPH5" localSheetId="23" hidden="1">[3]Cashbook!#REF!</definedName>
    <definedName name="__123Graph_DGRAPH5" localSheetId="1" hidden="1">[3]Cashbook!#REF!</definedName>
    <definedName name="__123Graph_DGRAPH5" localSheetId="18" hidden="1">[3]Cashbook!#REF!</definedName>
    <definedName name="__123Graph_DGRAPH5" localSheetId="4" hidden="1">[3]Cashbook!#REF!</definedName>
    <definedName name="__123Graph_DGRAPH5" localSheetId="9" hidden="1">[3]Cashbook!#REF!</definedName>
    <definedName name="__123Graph_DGRAPH5" localSheetId="22" hidden="1">[3]Cashbook!#REF!</definedName>
    <definedName name="__123Graph_DGRAPH5" hidden="1">[3]Cashbook!#REF!</definedName>
    <definedName name="__123Graph_DGRAPH6" localSheetId="21" hidden="1">[3]Cashbook!#REF!</definedName>
    <definedName name="__123Graph_DGRAPH6" localSheetId="24" hidden="1">[3]Cashbook!#REF!</definedName>
    <definedName name="__123Graph_DGRAPH6" localSheetId="23" hidden="1">[3]Cashbook!#REF!</definedName>
    <definedName name="__123Graph_DGRAPH6" localSheetId="1" hidden="1">[3]Cashbook!#REF!</definedName>
    <definedName name="__123Graph_DGRAPH6" localSheetId="18" hidden="1">[3]Cashbook!#REF!</definedName>
    <definedName name="__123Graph_DGRAPH6" localSheetId="4" hidden="1">[3]Cashbook!#REF!</definedName>
    <definedName name="__123Graph_DGRAPH6" localSheetId="9" hidden="1">[3]Cashbook!#REF!</definedName>
    <definedName name="__123Graph_DGRAPH6" localSheetId="22" hidden="1">[3]Cashbook!#REF!</definedName>
    <definedName name="__123Graph_DGRAPH6" hidden="1">[3]Cashbook!#REF!</definedName>
    <definedName name="__123Graph_DGRAPH7" localSheetId="21" hidden="1">[3]Cashbook!#REF!</definedName>
    <definedName name="__123Graph_DGRAPH7" localSheetId="24" hidden="1">[3]Cashbook!#REF!</definedName>
    <definedName name="__123Graph_DGRAPH7" localSheetId="23" hidden="1">[3]Cashbook!#REF!</definedName>
    <definedName name="__123Graph_DGRAPH7" localSheetId="1" hidden="1">[3]Cashbook!#REF!</definedName>
    <definedName name="__123Graph_DGRAPH7" localSheetId="18" hidden="1">[3]Cashbook!#REF!</definedName>
    <definedName name="__123Graph_DGRAPH7" localSheetId="4" hidden="1">[3]Cashbook!#REF!</definedName>
    <definedName name="__123Graph_DGRAPH7" localSheetId="9" hidden="1">[3]Cashbook!#REF!</definedName>
    <definedName name="__123Graph_DGRAPH7" localSheetId="22" hidden="1">[3]Cashbook!#REF!</definedName>
    <definedName name="__123Graph_DGRAPH7" hidden="1">[3]Cashbook!#REF!</definedName>
    <definedName name="__123Graph_DGRAPH8" localSheetId="21" hidden="1">[3]Cashbook!#REF!</definedName>
    <definedName name="__123Graph_DGRAPH8" localSheetId="24" hidden="1">[3]Cashbook!#REF!</definedName>
    <definedName name="__123Graph_DGRAPH8" localSheetId="23" hidden="1">[3]Cashbook!#REF!</definedName>
    <definedName name="__123Graph_DGRAPH8" localSheetId="1" hidden="1">[3]Cashbook!#REF!</definedName>
    <definedName name="__123Graph_DGRAPH8" localSheetId="18" hidden="1">[3]Cashbook!#REF!</definedName>
    <definedName name="__123Graph_DGRAPH8" localSheetId="4" hidden="1">[3]Cashbook!#REF!</definedName>
    <definedName name="__123Graph_DGRAPH8" localSheetId="9" hidden="1">[3]Cashbook!#REF!</definedName>
    <definedName name="__123Graph_DGRAPH8" localSheetId="22" hidden="1">[3]Cashbook!#REF!</definedName>
    <definedName name="__123Graph_DGRAPH8" hidden="1">[3]Cashbook!#REF!</definedName>
    <definedName name="__123Graph_E" hidden="1">#N/A</definedName>
    <definedName name="__123Graph_EGRAPH1" localSheetId="21" hidden="1">[3]Cashbook!#REF!</definedName>
    <definedName name="__123Graph_EGRAPH1" localSheetId="24" hidden="1">[3]Cashbook!#REF!</definedName>
    <definedName name="__123Graph_EGRAPH1" localSheetId="23" hidden="1">[3]Cashbook!#REF!</definedName>
    <definedName name="__123Graph_EGRAPH1" localSheetId="1" hidden="1">[3]Cashbook!#REF!</definedName>
    <definedName name="__123Graph_EGRAPH1" localSheetId="18" hidden="1">[3]Cashbook!#REF!</definedName>
    <definedName name="__123Graph_EGRAPH1" localSheetId="4" hidden="1">[3]Cashbook!#REF!</definedName>
    <definedName name="__123Graph_EGRAPH1" localSheetId="9" hidden="1">[3]Cashbook!#REF!</definedName>
    <definedName name="__123Graph_EGRAPH1" localSheetId="22" hidden="1">[3]Cashbook!#REF!</definedName>
    <definedName name="__123Graph_EGRAPH1" hidden="1">[3]Cashbook!#REF!</definedName>
    <definedName name="__123Graph_EGRAPH3" localSheetId="21" hidden="1">[3]Cashbook!#REF!</definedName>
    <definedName name="__123Graph_EGRAPH3" localSheetId="24" hidden="1">[3]Cashbook!#REF!</definedName>
    <definedName name="__123Graph_EGRAPH3" localSheetId="23" hidden="1">[3]Cashbook!#REF!</definedName>
    <definedName name="__123Graph_EGRAPH3" localSheetId="1" hidden="1">[3]Cashbook!#REF!</definedName>
    <definedName name="__123Graph_EGRAPH3" localSheetId="18" hidden="1">[3]Cashbook!#REF!</definedName>
    <definedName name="__123Graph_EGRAPH3" localSheetId="4" hidden="1">[3]Cashbook!#REF!</definedName>
    <definedName name="__123Graph_EGRAPH3" localSheetId="9" hidden="1">[3]Cashbook!#REF!</definedName>
    <definedName name="__123Graph_EGRAPH3" localSheetId="22" hidden="1">[3]Cashbook!#REF!</definedName>
    <definedName name="__123Graph_EGRAPH3" hidden="1">[3]Cashbook!#REF!</definedName>
    <definedName name="__123Graph_EGRAPH4" localSheetId="21" hidden="1">[3]Cashbook!#REF!</definedName>
    <definedName name="__123Graph_EGRAPH4" localSheetId="24" hidden="1">[3]Cashbook!#REF!</definedName>
    <definedName name="__123Graph_EGRAPH4" localSheetId="23" hidden="1">[3]Cashbook!#REF!</definedName>
    <definedName name="__123Graph_EGRAPH4" localSheetId="1" hidden="1">[3]Cashbook!#REF!</definedName>
    <definedName name="__123Graph_EGRAPH4" localSheetId="18" hidden="1">[3]Cashbook!#REF!</definedName>
    <definedName name="__123Graph_EGRAPH4" localSheetId="4" hidden="1">[3]Cashbook!#REF!</definedName>
    <definedName name="__123Graph_EGRAPH4" localSheetId="9" hidden="1">[3]Cashbook!#REF!</definedName>
    <definedName name="__123Graph_EGRAPH4" localSheetId="22" hidden="1">[3]Cashbook!#REF!</definedName>
    <definedName name="__123Graph_EGRAPH4" hidden="1">[3]Cashbook!#REF!</definedName>
    <definedName name="__123Graph_EGRAPH5" localSheetId="21" hidden="1">[3]Cashbook!#REF!</definedName>
    <definedName name="__123Graph_EGRAPH5" localSheetId="24" hidden="1">[3]Cashbook!#REF!</definedName>
    <definedName name="__123Graph_EGRAPH5" localSheetId="23" hidden="1">[3]Cashbook!#REF!</definedName>
    <definedName name="__123Graph_EGRAPH5" localSheetId="1" hidden="1">[3]Cashbook!#REF!</definedName>
    <definedName name="__123Graph_EGRAPH5" localSheetId="18" hidden="1">[3]Cashbook!#REF!</definedName>
    <definedName name="__123Graph_EGRAPH5" localSheetId="4" hidden="1">[3]Cashbook!#REF!</definedName>
    <definedName name="__123Graph_EGRAPH5" localSheetId="9" hidden="1">[3]Cashbook!#REF!</definedName>
    <definedName name="__123Graph_EGRAPH5" localSheetId="22" hidden="1">[3]Cashbook!#REF!</definedName>
    <definedName name="__123Graph_EGRAPH5" hidden="1">[3]Cashbook!#REF!</definedName>
    <definedName name="__123Graph_EGRAPH6" localSheetId="21" hidden="1">[3]Cashbook!#REF!</definedName>
    <definedName name="__123Graph_EGRAPH6" localSheetId="24" hidden="1">[3]Cashbook!#REF!</definedName>
    <definedName name="__123Graph_EGRAPH6" localSheetId="23" hidden="1">[3]Cashbook!#REF!</definedName>
    <definedName name="__123Graph_EGRAPH6" localSheetId="1" hidden="1">[3]Cashbook!#REF!</definedName>
    <definedName name="__123Graph_EGRAPH6" localSheetId="18" hidden="1">[3]Cashbook!#REF!</definedName>
    <definedName name="__123Graph_EGRAPH6" localSheetId="4" hidden="1">[3]Cashbook!#REF!</definedName>
    <definedName name="__123Graph_EGRAPH6" localSheetId="9" hidden="1">[3]Cashbook!#REF!</definedName>
    <definedName name="__123Graph_EGRAPH6" localSheetId="22" hidden="1">[3]Cashbook!#REF!</definedName>
    <definedName name="__123Graph_EGRAPH6" hidden="1">[3]Cashbook!#REF!</definedName>
    <definedName name="__123Graph_EGRAPH7" localSheetId="21" hidden="1">[3]Cashbook!#REF!</definedName>
    <definedName name="__123Graph_EGRAPH7" localSheetId="24" hidden="1">[3]Cashbook!#REF!</definedName>
    <definedName name="__123Graph_EGRAPH7" localSheetId="23" hidden="1">[3]Cashbook!#REF!</definedName>
    <definedName name="__123Graph_EGRAPH7" localSheetId="1" hidden="1">[3]Cashbook!#REF!</definedName>
    <definedName name="__123Graph_EGRAPH7" localSheetId="18" hidden="1">[3]Cashbook!#REF!</definedName>
    <definedName name="__123Graph_EGRAPH7" localSheetId="4" hidden="1">[3]Cashbook!#REF!</definedName>
    <definedName name="__123Graph_EGRAPH7" localSheetId="9" hidden="1">[3]Cashbook!#REF!</definedName>
    <definedName name="__123Graph_EGRAPH7" localSheetId="22" hidden="1">[3]Cashbook!#REF!</definedName>
    <definedName name="__123Graph_EGRAPH7" hidden="1">[3]Cashbook!#REF!</definedName>
    <definedName name="__123Graph_EGRAPH8" localSheetId="21" hidden="1">[3]Cashbook!#REF!</definedName>
    <definedName name="__123Graph_EGRAPH8" localSheetId="24" hidden="1">[3]Cashbook!#REF!</definedName>
    <definedName name="__123Graph_EGRAPH8" localSheetId="23" hidden="1">[3]Cashbook!#REF!</definedName>
    <definedName name="__123Graph_EGRAPH8" localSheetId="1" hidden="1">[3]Cashbook!#REF!</definedName>
    <definedName name="__123Graph_EGRAPH8" localSheetId="18" hidden="1">[3]Cashbook!#REF!</definedName>
    <definedName name="__123Graph_EGRAPH8" localSheetId="4" hidden="1">[3]Cashbook!#REF!</definedName>
    <definedName name="__123Graph_EGRAPH8" localSheetId="9" hidden="1">[3]Cashbook!#REF!</definedName>
    <definedName name="__123Graph_EGRAPH8" localSheetId="22" hidden="1">[3]Cashbook!#REF!</definedName>
    <definedName name="__123Graph_EGRAPH8" hidden="1">[3]Cashbook!#REF!</definedName>
    <definedName name="__123Graph_F" localSheetId="21" hidden="1">'[4]Ex Diff'!#REF!</definedName>
    <definedName name="__123Graph_F" localSheetId="24" hidden="1">'[4]Ex Diff'!#REF!</definedName>
    <definedName name="__123Graph_F" localSheetId="23" hidden="1">'[4]Ex Diff'!#REF!</definedName>
    <definedName name="__123Graph_F" localSheetId="1" hidden="1">'[4]Ex Diff'!#REF!</definedName>
    <definedName name="__123Graph_F" localSheetId="18" hidden="1">'[4]Ex Diff'!#REF!</definedName>
    <definedName name="__123Graph_F" localSheetId="4" hidden="1">'[4]Ex Diff'!#REF!</definedName>
    <definedName name="__123Graph_F" localSheetId="2" hidden="1">'[4]Ex Diff'!#REF!</definedName>
    <definedName name="__123Graph_F" localSheetId="9" hidden="1">'[4]Ex Diff'!#REF!</definedName>
    <definedName name="__123Graph_F" localSheetId="22" hidden="1">'[4]Ex Diff'!#REF!</definedName>
    <definedName name="__123Graph_F" hidden="1">'[4]Ex Diff'!#REF!</definedName>
    <definedName name="__123Graph_FGRAPH1" localSheetId="21" hidden="1">[3]Cashbook!#REF!</definedName>
    <definedName name="__123Graph_FGRAPH1" localSheetId="24" hidden="1">[3]Cashbook!#REF!</definedName>
    <definedName name="__123Graph_FGRAPH1" localSheetId="23" hidden="1">[3]Cashbook!#REF!</definedName>
    <definedName name="__123Graph_FGRAPH1" localSheetId="1" hidden="1">[3]Cashbook!#REF!</definedName>
    <definedName name="__123Graph_FGRAPH1" localSheetId="18" hidden="1">[3]Cashbook!#REF!</definedName>
    <definedName name="__123Graph_FGRAPH1" localSheetId="4" hidden="1">[3]Cashbook!#REF!</definedName>
    <definedName name="__123Graph_FGRAPH1" localSheetId="9" hidden="1">[3]Cashbook!#REF!</definedName>
    <definedName name="__123Graph_FGRAPH1" localSheetId="22" hidden="1">[3]Cashbook!#REF!</definedName>
    <definedName name="__123Graph_FGRAPH1" hidden="1">[3]Cashbook!#REF!</definedName>
    <definedName name="__123Graph_FGRAPH3" localSheetId="21" hidden="1">[3]Cashbook!#REF!</definedName>
    <definedName name="__123Graph_FGRAPH3" localSheetId="24" hidden="1">[3]Cashbook!#REF!</definedName>
    <definedName name="__123Graph_FGRAPH3" localSheetId="23" hidden="1">[3]Cashbook!#REF!</definedName>
    <definedName name="__123Graph_FGRAPH3" localSheetId="1" hidden="1">[3]Cashbook!#REF!</definedName>
    <definedName name="__123Graph_FGRAPH3" localSheetId="18" hidden="1">[3]Cashbook!#REF!</definedName>
    <definedName name="__123Graph_FGRAPH3" localSheetId="4" hidden="1">[3]Cashbook!#REF!</definedName>
    <definedName name="__123Graph_FGRAPH3" localSheetId="9" hidden="1">[3]Cashbook!#REF!</definedName>
    <definedName name="__123Graph_FGRAPH3" localSheetId="22" hidden="1">[3]Cashbook!#REF!</definedName>
    <definedName name="__123Graph_FGRAPH3" hidden="1">[3]Cashbook!#REF!</definedName>
    <definedName name="__123Graph_FGRAPH4" localSheetId="21" hidden="1">[3]Cashbook!#REF!</definedName>
    <definedName name="__123Graph_FGRAPH4" localSheetId="24" hidden="1">[3]Cashbook!#REF!</definedName>
    <definedName name="__123Graph_FGRAPH4" localSheetId="23" hidden="1">[3]Cashbook!#REF!</definedName>
    <definedName name="__123Graph_FGRAPH4" localSheetId="1" hidden="1">[3]Cashbook!#REF!</definedName>
    <definedName name="__123Graph_FGRAPH4" localSheetId="18" hidden="1">[3]Cashbook!#REF!</definedName>
    <definedName name="__123Graph_FGRAPH4" localSheetId="4" hidden="1">[3]Cashbook!#REF!</definedName>
    <definedName name="__123Graph_FGRAPH4" localSheetId="9" hidden="1">[3]Cashbook!#REF!</definedName>
    <definedName name="__123Graph_FGRAPH4" localSheetId="22" hidden="1">[3]Cashbook!#REF!</definedName>
    <definedName name="__123Graph_FGRAPH4" hidden="1">[3]Cashbook!#REF!</definedName>
    <definedName name="__123Graph_FGRAPH5" localSheetId="21" hidden="1">[3]Cashbook!#REF!</definedName>
    <definedName name="__123Graph_FGRAPH5" localSheetId="24" hidden="1">[3]Cashbook!#REF!</definedName>
    <definedName name="__123Graph_FGRAPH5" localSheetId="23" hidden="1">[3]Cashbook!#REF!</definedName>
    <definedName name="__123Graph_FGRAPH5" localSheetId="1" hidden="1">[3]Cashbook!#REF!</definedName>
    <definedName name="__123Graph_FGRAPH5" localSheetId="18" hidden="1">[3]Cashbook!#REF!</definedName>
    <definedName name="__123Graph_FGRAPH5" localSheetId="4" hidden="1">[3]Cashbook!#REF!</definedName>
    <definedName name="__123Graph_FGRAPH5" localSheetId="9" hidden="1">[3]Cashbook!#REF!</definedName>
    <definedName name="__123Graph_FGRAPH5" localSheetId="22" hidden="1">[3]Cashbook!#REF!</definedName>
    <definedName name="__123Graph_FGRAPH5" hidden="1">[3]Cashbook!#REF!</definedName>
    <definedName name="__123Graph_FGRAPH6" localSheetId="21" hidden="1">[3]Cashbook!#REF!</definedName>
    <definedName name="__123Graph_FGRAPH6" localSheetId="24" hidden="1">[3]Cashbook!#REF!</definedName>
    <definedName name="__123Graph_FGRAPH6" localSheetId="23" hidden="1">[3]Cashbook!#REF!</definedName>
    <definedName name="__123Graph_FGRAPH6" localSheetId="1" hidden="1">[3]Cashbook!#REF!</definedName>
    <definedName name="__123Graph_FGRAPH6" localSheetId="18" hidden="1">[3]Cashbook!#REF!</definedName>
    <definedName name="__123Graph_FGRAPH6" localSheetId="4" hidden="1">[3]Cashbook!#REF!</definedName>
    <definedName name="__123Graph_FGRAPH6" localSheetId="9" hidden="1">[3]Cashbook!#REF!</definedName>
    <definedName name="__123Graph_FGRAPH6" localSheetId="22" hidden="1">[3]Cashbook!#REF!</definedName>
    <definedName name="__123Graph_FGRAPH6" hidden="1">[3]Cashbook!#REF!</definedName>
    <definedName name="__123Graph_FGRAPH7" localSheetId="21" hidden="1">[3]Cashbook!#REF!</definedName>
    <definedName name="__123Graph_FGRAPH7" localSheetId="24" hidden="1">[3]Cashbook!#REF!</definedName>
    <definedName name="__123Graph_FGRAPH7" localSheetId="23" hidden="1">[3]Cashbook!#REF!</definedName>
    <definedName name="__123Graph_FGRAPH7" localSheetId="1" hidden="1">[3]Cashbook!#REF!</definedName>
    <definedName name="__123Graph_FGRAPH7" localSheetId="18" hidden="1">[3]Cashbook!#REF!</definedName>
    <definedName name="__123Graph_FGRAPH7" localSheetId="4" hidden="1">[3]Cashbook!#REF!</definedName>
    <definedName name="__123Graph_FGRAPH7" localSheetId="9" hidden="1">[3]Cashbook!#REF!</definedName>
    <definedName name="__123Graph_FGRAPH7" localSheetId="22" hidden="1">[3]Cashbook!#REF!</definedName>
    <definedName name="__123Graph_FGRAPH7" hidden="1">[3]Cashbook!#REF!</definedName>
    <definedName name="__123Graph_FGRAPH8" localSheetId="21" hidden="1">[3]Cashbook!#REF!</definedName>
    <definedName name="__123Graph_FGRAPH8" localSheetId="24" hidden="1">[3]Cashbook!#REF!</definedName>
    <definedName name="__123Graph_FGRAPH8" localSheetId="23" hidden="1">[3]Cashbook!#REF!</definedName>
    <definedName name="__123Graph_FGRAPH8" localSheetId="1" hidden="1">[3]Cashbook!#REF!</definedName>
    <definedName name="__123Graph_FGRAPH8" localSheetId="18" hidden="1">[3]Cashbook!#REF!</definedName>
    <definedName name="__123Graph_FGRAPH8" localSheetId="4" hidden="1">[3]Cashbook!#REF!</definedName>
    <definedName name="__123Graph_FGRAPH8" localSheetId="9" hidden="1">[3]Cashbook!#REF!</definedName>
    <definedName name="__123Graph_FGRAPH8" localSheetId="22" hidden="1">[3]Cashbook!#REF!</definedName>
    <definedName name="__123Graph_FGRAPH8" hidden="1">[3]Cashbook!#REF!</definedName>
    <definedName name="__123Graph_X" localSheetId="21" hidden="1">[2]cov!#REF!</definedName>
    <definedName name="__123Graph_X" localSheetId="24" hidden="1">[2]cov!#REF!</definedName>
    <definedName name="__123Graph_X" localSheetId="23" hidden="1">[2]cov!#REF!</definedName>
    <definedName name="__123Graph_X" localSheetId="1" hidden="1">[2]cov!#REF!</definedName>
    <definedName name="__123Graph_X" localSheetId="18" hidden="1">[2]cov!#REF!</definedName>
    <definedName name="__123Graph_X" localSheetId="4" hidden="1">[2]cov!#REF!</definedName>
    <definedName name="__123Graph_X" localSheetId="2" hidden="1">[2]cov!#REF!</definedName>
    <definedName name="__123Graph_X" localSheetId="9" hidden="1">[2]cov!#REF!</definedName>
    <definedName name="__123Graph_X" localSheetId="22" hidden="1">[2]cov!#REF!</definedName>
    <definedName name="__123Graph_X" hidden="1">[2]cov!#REF!</definedName>
    <definedName name="__FDS_HYPERLINK_TOGGLE_STATE__" hidden="1">"ON"</definedName>
    <definedName name="__hc7" localSheetId="9" hidden="1">{#N/A,#N/A,FALSE,"Aging Summary";#N/A,#N/A,FALSE,"Ratio Analysis";#N/A,#N/A,FALSE,"Test 120 Day Accts";#N/A,#N/A,FALSE,"Tickmarks"}</definedName>
    <definedName name="__hc7" hidden="1">{#N/A,#N/A,FALSE,"Aging Summary";#N/A,#N/A,FALSE,"Ratio Analysis";#N/A,#N/A,FALSE,"Test 120 Day Accts";#N/A,#N/A,FALSE,"Tickmarks"}</definedName>
    <definedName name="__hc71" localSheetId="9" hidden="1">{#N/A,#N/A,FALSE,"Aging Summary";#N/A,#N/A,FALSE,"Ratio Analysis";#N/A,#N/A,FALSE,"Test 120 Day Accts";#N/A,#N/A,FALSE,"Tickmarks"}</definedName>
    <definedName name="__hc71" hidden="1">{#N/A,#N/A,FALSE,"Aging Summary";#N/A,#N/A,FALSE,"Ratio Analysis";#N/A,#N/A,FALSE,"Test 120 Day Accts";#N/A,#N/A,FALSE,"Tickmarks"}</definedName>
    <definedName name="__IntlFixup" hidden="1">TRUE</definedName>
    <definedName name="__X3" localSheetId="21" hidden="1">#REF!</definedName>
    <definedName name="__X3" localSheetId="24" hidden="1">#REF!</definedName>
    <definedName name="__X3" localSheetId="23" hidden="1">#REF!</definedName>
    <definedName name="__X3" localSheetId="1" hidden="1">#REF!</definedName>
    <definedName name="__X3" localSheetId="18" hidden="1">#REF!</definedName>
    <definedName name="__X3" localSheetId="4" hidden="1">#REF!</definedName>
    <definedName name="__X3" localSheetId="2" hidden="1">#REF!</definedName>
    <definedName name="__X3" localSheetId="9" hidden="1">#REF!</definedName>
    <definedName name="__X3" localSheetId="22" hidden="1">#REF!</definedName>
    <definedName name="__X3" hidden="1">#REF!</definedName>
    <definedName name="__xx3" localSheetId="21" hidden="1">#REF!</definedName>
    <definedName name="__xx3" localSheetId="24" hidden="1">#REF!</definedName>
    <definedName name="__xx3" localSheetId="23" hidden="1">#REF!</definedName>
    <definedName name="__xx3" localSheetId="1" hidden="1">#REF!</definedName>
    <definedName name="__xx3" localSheetId="18" hidden="1">#REF!</definedName>
    <definedName name="__xx3" localSheetId="4" hidden="1">#REF!</definedName>
    <definedName name="__xx3" localSheetId="2" hidden="1">#REF!</definedName>
    <definedName name="__xx3" localSheetId="9" hidden="1">#REF!</definedName>
    <definedName name="__xx3" localSheetId="22" hidden="1">#REF!</definedName>
    <definedName name="__xx3" hidden="1">#REF!</definedName>
    <definedName name="_123Graph_B" hidden="1">'[1]AOP Summary-2'!$B$2:$B$14</definedName>
    <definedName name="_14G3_" localSheetId="9" hidden="1">{"Income_Statement",#N/A,FALSE,"XNV"}</definedName>
    <definedName name="_14G3_" hidden="1">{"Income_Statement",#N/A,FALSE,"XNV"}</definedName>
    <definedName name="_16k1_" hidden="1">'[5]#REF'!$C$169:$C$199</definedName>
    <definedName name="_17o51_" hidden="1">'[6]#REF'!$B$810:$F$838</definedName>
    <definedName name="_18hc7_" localSheetId="9" hidden="1">{#N/A,#N/A,FALSE,"Aging Summary";#N/A,#N/A,FALSE,"Ratio Analysis";#N/A,#N/A,FALSE,"Test 120 Day Accts";#N/A,#N/A,FALSE,"Tickmarks"}</definedName>
    <definedName name="_18hc7_" hidden="1">{#N/A,#N/A,FALSE,"Aging Summary";#N/A,#N/A,FALSE,"Ratio Analysis";#N/A,#N/A,FALSE,"Test 120 Day Accts";#N/A,#N/A,FALSE,"Tickmarks"}</definedName>
    <definedName name="_19hc71_" localSheetId="9" hidden="1">{#N/A,#N/A,FALSE,"Aging Summary";#N/A,#N/A,FALSE,"Ratio Analysis";#N/A,#N/A,FALSE,"Test 120 Day Accts";#N/A,#N/A,FALSE,"Tickmarks"}</definedName>
    <definedName name="_19hc71_" hidden="1">{#N/A,#N/A,FALSE,"Aging Summary";#N/A,#N/A,FALSE,"Ratio Analysis";#N/A,#N/A,FALSE,"Test 120 Day Accts";#N/A,#N/A,FALSE,"Tickmarks"}</definedName>
    <definedName name="_234Grapgh_a" hidden="1">'[1]AOP Summary-2'!$C$2:$C$14</definedName>
    <definedName name="_234Graph_AB" hidden="1">'[1]AOP Summary-2'!$A$2:$A$14</definedName>
    <definedName name="_234Graph_B" localSheetId="21" hidden="1">[7]sal!#REF!</definedName>
    <definedName name="_234Graph_B" localSheetId="24" hidden="1">[7]sal!#REF!</definedName>
    <definedName name="_234Graph_B" localSheetId="23" hidden="1">[7]sal!#REF!</definedName>
    <definedName name="_234Graph_B" localSheetId="1" hidden="1">[7]sal!#REF!</definedName>
    <definedName name="_234Graph_B" localSheetId="18" hidden="1">[7]sal!#REF!</definedName>
    <definedName name="_234Graph_B" localSheetId="4" hidden="1">[7]sal!#REF!</definedName>
    <definedName name="_234Graph_B" localSheetId="9" hidden="1">[7]sal!#REF!</definedName>
    <definedName name="_234Graph_B" localSheetId="22" hidden="1">[7]sal!#REF!</definedName>
    <definedName name="_234Graph_B" hidden="1">[7]sal!#REF!</definedName>
    <definedName name="_234Graph_C" hidden="1">'[1]AOP Summary-2'!$B$2:$B$14</definedName>
    <definedName name="_234Graph_D" hidden="1">'[1]AOP Summary-2'!$B$2:$B$14</definedName>
    <definedName name="_234Graph_E" localSheetId="21" hidden="1">[7]sal!#REF!</definedName>
    <definedName name="_234Graph_E" localSheetId="24" hidden="1">[7]sal!#REF!</definedName>
    <definedName name="_234Graph_E" localSheetId="23" hidden="1">[7]sal!#REF!</definedName>
    <definedName name="_234Graph_E" localSheetId="1" hidden="1">[7]sal!#REF!</definedName>
    <definedName name="_234Graph_E" localSheetId="18" hidden="1">[7]sal!#REF!</definedName>
    <definedName name="_234Graph_E" localSheetId="4" hidden="1">[7]sal!#REF!</definedName>
    <definedName name="_234Graph_E" localSheetId="9" hidden="1">[7]sal!#REF!</definedName>
    <definedName name="_234Graph_E" localSheetId="22" hidden="1">[7]sal!#REF!</definedName>
    <definedName name="_234Graph_E" hidden="1">[7]sal!#REF!</definedName>
    <definedName name="_5hc7_" localSheetId="9" hidden="1">{#N/A,#N/A,FALSE,"Aging Summary";#N/A,#N/A,FALSE,"Ratio Analysis";#N/A,#N/A,FALSE,"Test 120 Day Accts";#N/A,#N/A,FALSE,"Tickmarks"}</definedName>
    <definedName name="_5hc7_" hidden="1">{#N/A,#N/A,FALSE,"Aging Summary";#N/A,#N/A,FALSE,"Ratio Analysis";#N/A,#N/A,FALSE,"Test 120 Day Accts";#N/A,#N/A,FALSE,"Tickmarks"}</definedName>
    <definedName name="_7A2_" localSheetId="21" hidden="1">#REF!</definedName>
    <definedName name="_7A2_" localSheetId="24" hidden="1">#REF!</definedName>
    <definedName name="_7A2_" localSheetId="23" hidden="1">#REF!</definedName>
    <definedName name="_7A2_" localSheetId="1" hidden="1">#REF!</definedName>
    <definedName name="_7A2_" localSheetId="18" hidden="1">#REF!</definedName>
    <definedName name="_7A2_" localSheetId="4" hidden="1">#REF!</definedName>
    <definedName name="_7A2_" localSheetId="9" hidden="1">#REF!</definedName>
    <definedName name="_7A2_" localSheetId="22" hidden="1">#REF!</definedName>
    <definedName name="_7A2_" hidden="1">#REF!</definedName>
    <definedName name="_7hc71_" localSheetId="9" hidden="1">{#N/A,#N/A,FALSE,"Aging Summary";#N/A,#N/A,FALSE,"Ratio Analysis";#N/A,#N/A,FALSE,"Test 120 Day Accts";#N/A,#N/A,FALSE,"Tickmarks"}</definedName>
    <definedName name="_7hc71_" hidden="1">{#N/A,#N/A,FALSE,"Aging Summary";#N/A,#N/A,FALSE,"Ratio Analysis";#N/A,#N/A,FALSE,"Test 120 Day Accts";#N/A,#N/A,FALSE,"Tickmarks"}</definedName>
    <definedName name="_9f5_" hidden="1">'[5]#REF'!$B$810</definedName>
    <definedName name="_A2" localSheetId="21" hidden="1">#REF!</definedName>
    <definedName name="_A2" localSheetId="24" hidden="1">#REF!</definedName>
    <definedName name="_A2" localSheetId="23" hidden="1">#REF!</definedName>
    <definedName name="_A2" localSheetId="1" hidden="1">#REF!</definedName>
    <definedName name="_A2" localSheetId="18" hidden="1">#REF!</definedName>
    <definedName name="_A2" localSheetId="4" hidden="1">#REF!</definedName>
    <definedName name="_A2" localSheetId="9" hidden="1">#REF!</definedName>
    <definedName name="_A2" localSheetId="22" hidden="1">#REF!</definedName>
    <definedName name="_A2" hidden="1">#REF!</definedName>
    <definedName name="_abc" localSheetId="21" hidden="1">[7]sal!#REF!</definedName>
    <definedName name="_abc" localSheetId="24" hidden="1">[7]sal!#REF!</definedName>
    <definedName name="_abc" localSheetId="23" hidden="1">[7]sal!#REF!</definedName>
    <definedName name="_abc" localSheetId="1" hidden="1">[7]sal!#REF!</definedName>
    <definedName name="_abc" localSheetId="18" hidden="1">[7]sal!#REF!</definedName>
    <definedName name="_abc" localSheetId="4" hidden="1">[7]sal!#REF!</definedName>
    <definedName name="_abc" localSheetId="9" hidden="1">[7]sal!#REF!</definedName>
    <definedName name="_abc" localSheetId="22" hidden="1">[7]sal!#REF!</definedName>
    <definedName name="_abc" hidden="1">[7]sal!#REF!</definedName>
    <definedName name="_AR1" localSheetId="9" hidden="1">{"PrSch",#N/A,FALSE,"Sheet1"}</definedName>
    <definedName name="_AR1" hidden="1">{"PrSch",#N/A,FALSE,"Sheet1"}</definedName>
    <definedName name="_D100" localSheetId="9" hidden="1">{#N/A,#N/A,FALSE,"TAXC.INDEX";#N/A,#N/A,FALSE,"Schedule I";#N/A,#N/A,FALSE,"Schedule  II";#N/A,#N/A,FALSE,"Schedule III"}</definedName>
    <definedName name="_D100" hidden="1">{#N/A,#N/A,FALSE,"TAXC.INDEX";#N/A,#N/A,FALSE,"Schedule I";#N/A,#N/A,FALSE,"Schedule  II";#N/A,#N/A,FALSE,"Schedule III"}</definedName>
    <definedName name="_Dist_Bin" localSheetId="21" hidden="1">#REF!</definedName>
    <definedName name="_Dist_Bin" localSheetId="24" hidden="1">#REF!</definedName>
    <definedName name="_Dist_Bin" localSheetId="23" hidden="1">#REF!</definedName>
    <definedName name="_Dist_Bin" localSheetId="1" hidden="1">#REF!</definedName>
    <definedName name="_Dist_Bin" localSheetId="18" hidden="1">#REF!</definedName>
    <definedName name="_Dist_Bin" localSheetId="4" hidden="1">#REF!</definedName>
    <definedName name="_Dist_Bin" localSheetId="9" hidden="1">#REF!</definedName>
    <definedName name="_Dist_Bin" localSheetId="22" hidden="1">#REF!</definedName>
    <definedName name="_Dist_Bin" hidden="1">#REF!</definedName>
    <definedName name="_E200" localSheetId="9" hidden="1">{#N/A,#N/A,FALSE,"TAXC.INDEX";#N/A,#N/A,FALSE,"Schedule I";#N/A,#N/A,FALSE,"Schedule  II";#N/A,#N/A,FALSE,"Schedule III"}</definedName>
    <definedName name="_E200" hidden="1">{#N/A,#N/A,FALSE,"TAXC.INDEX";#N/A,#N/A,FALSE,"Schedule I";#N/A,#N/A,FALSE,"Schedule  II";#N/A,#N/A,FALSE,"Schedule III"}</definedName>
    <definedName name="_f5" hidden="1">'[8]#REF'!$B$810</definedName>
    <definedName name="_Fill" localSheetId="21" hidden="1">#REF!</definedName>
    <definedName name="_Fill" localSheetId="24" hidden="1">#REF!</definedName>
    <definedName name="_Fill" localSheetId="23" hidden="1">#REF!</definedName>
    <definedName name="_Fill" localSheetId="1" hidden="1">#REF!</definedName>
    <definedName name="_Fill" localSheetId="18" hidden="1">#REF!</definedName>
    <definedName name="_Fill" localSheetId="4" hidden="1">#REF!</definedName>
    <definedName name="_Fill" localSheetId="2" hidden="1">#REF!</definedName>
    <definedName name="_Fill" localSheetId="9" hidden="1">#REF!</definedName>
    <definedName name="_Fill" localSheetId="22" hidden="1">#REF!</definedName>
    <definedName name="_Fill" hidden="1">#REF!</definedName>
    <definedName name="_xlnm._FilterDatabase" localSheetId="3" hidden="1">'Core Opex Proj.'!$A$3:$P$140</definedName>
    <definedName name="_xlnm._FilterDatabase" localSheetId="1" hidden="1">'Core P&amp;L'!$A$94:$EY$229</definedName>
    <definedName name="_xlnm._FilterDatabase" localSheetId="4" hidden="1">'Non-Core Opex Proj.'!$A$3:$P$135</definedName>
    <definedName name="_xlnm._FilterDatabase" localSheetId="2" hidden="1">'Non-Core P&amp;L'!$A$27:$FF$154</definedName>
    <definedName name="_hc7" localSheetId="9" hidden="1">{#N/A,#N/A,FALSE,"Aging Summary";#N/A,#N/A,FALSE,"Ratio Analysis";#N/A,#N/A,FALSE,"Test 120 Day Accts";#N/A,#N/A,FALSE,"Tickmarks"}</definedName>
    <definedName name="_hc7" hidden="1">{#N/A,#N/A,FALSE,"Aging Summary";#N/A,#N/A,FALSE,"Ratio Analysis";#N/A,#N/A,FALSE,"Test 120 Day Accts";#N/A,#N/A,FALSE,"Tickmarks"}</definedName>
    <definedName name="_hc71" localSheetId="9" hidden="1">{#N/A,#N/A,FALSE,"Aging Summary";#N/A,#N/A,FALSE,"Ratio Analysis";#N/A,#N/A,FALSE,"Test 120 Day Accts";#N/A,#N/A,FALSE,"Tickmarks"}</definedName>
    <definedName name="_hc71" hidden="1">{#N/A,#N/A,FALSE,"Aging Summary";#N/A,#N/A,FALSE,"Ratio Analysis";#N/A,#N/A,FALSE,"Test 120 Day Accts";#N/A,#N/A,FALSE,"Tickmarks"}</definedName>
    <definedName name="_k1" hidden="1">'[8]#REF'!$C$169:$C$199</definedName>
    <definedName name="_KEY" localSheetId="21" hidden="1">#REF!</definedName>
    <definedName name="_KEY" localSheetId="24" hidden="1">#REF!</definedName>
    <definedName name="_KEY" localSheetId="23" hidden="1">#REF!</definedName>
    <definedName name="_KEY" localSheetId="1" hidden="1">#REF!</definedName>
    <definedName name="_KEY" localSheetId="18" hidden="1">#REF!</definedName>
    <definedName name="_KEY" localSheetId="4" hidden="1">#REF!</definedName>
    <definedName name="_KEY" localSheetId="2" hidden="1">#REF!</definedName>
    <definedName name="_KEY" localSheetId="9" hidden="1">#REF!</definedName>
    <definedName name="_KEY" localSheetId="22" hidden="1">#REF!</definedName>
    <definedName name="_KEY" hidden="1">#REF!</definedName>
    <definedName name="_Key1" localSheetId="21" hidden="1">'[9]C4-'!#REF!</definedName>
    <definedName name="_Key1" localSheetId="24" hidden="1">'[9]C4-'!#REF!</definedName>
    <definedName name="_Key1" localSheetId="23" hidden="1">'[9]C4-'!#REF!</definedName>
    <definedName name="_Key1" localSheetId="1" hidden="1">'[9]C4-'!#REF!</definedName>
    <definedName name="_Key1" localSheetId="18" hidden="1">'[9]C4-'!#REF!</definedName>
    <definedName name="_Key1" localSheetId="4" hidden="1">'[9]C4-'!#REF!</definedName>
    <definedName name="_Key1" localSheetId="2" hidden="1">'[9]C4-'!#REF!</definedName>
    <definedName name="_Key1" localSheetId="9" hidden="1">'[9]C4-'!#REF!</definedName>
    <definedName name="_Key1" localSheetId="22" hidden="1">'[9]C4-'!#REF!</definedName>
    <definedName name="_Key1" hidden="1">'[9]C4-'!#REF!</definedName>
    <definedName name="_Key2" localSheetId="21" hidden="1">#REF!</definedName>
    <definedName name="_Key2" localSheetId="24" hidden="1">#REF!</definedName>
    <definedName name="_Key2" localSheetId="23" hidden="1">#REF!</definedName>
    <definedName name="_Key2" localSheetId="1" hidden="1">#REF!</definedName>
    <definedName name="_Key2" localSheetId="18" hidden="1">#REF!</definedName>
    <definedName name="_Key2" localSheetId="4" hidden="1">#REF!</definedName>
    <definedName name="_Key2" localSheetId="2" hidden="1">#REF!</definedName>
    <definedName name="_Key2" localSheetId="9" hidden="1">#REF!</definedName>
    <definedName name="_Key2" localSheetId="22" hidden="1">#REF!</definedName>
    <definedName name="_Key2" hidden="1">#REF!</definedName>
    <definedName name="_Order1" hidden="1">255</definedName>
    <definedName name="_Order2" hidden="1">255</definedName>
    <definedName name="_Parse_Out" localSheetId="21" hidden="1">#REF!</definedName>
    <definedName name="_Parse_Out" localSheetId="24" hidden="1">#REF!</definedName>
    <definedName name="_Parse_Out" localSheetId="23" hidden="1">#REF!</definedName>
    <definedName name="_Parse_Out" localSheetId="1" hidden="1">#REF!</definedName>
    <definedName name="_Parse_Out" localSheetId="18" hidden="1">#REF!</definedName>
    <definedName name="_Parse_Out" localSheetId="4" hidden="1">#REF!</definedName>
    <definedName name="_Parse_Out" localSheetId="2" hidden="1">#REF!</definedName>
    <definedName name="_Parse_Out" localSheetId="9" hidden="1">#REF!</definedName>
    <definedName name="_Parse_Out" localSheetId="22" hidden="1">#REF!</definedName>
    <definedName name="_Parse_Out" hidden="1">#REF!</definedName>
    <definedName name="_Sort" localSheetId="21" hidden="1">#REF!</definedName>
    <definedName name="_Sort" localSheetId="24" hidden="1">#REF!</definedName>
    <definedName name="_Sort" localSheetId="23" hidden="1">#REF!</definedName>
    <definedName name="_Sort" localSheetId="1" hidden="1">#REF!</definedName>
    <definedName name="_Sort" localSheetId="18" hidden="1">#REF!</definedName>
    <definedName name="_Sort" localSheetId="4" hidden="1">#REF!</definedName>
    <definedName name="_Sort" localSheetId="2" hidden="1">#REF!</definedName>
    <definedName name="_Sort" localSheetId="9" hidden="1">#REF!</definedName>
    <definedName name="_Sort" localSheetId="22" hidden="1">#REF!</definedName>
    <definedName name="_Sort" hidden="1">#REF!</definedName>
    <definedName name="_Sort1" localSheetId="21" hidden="1">#REF!</definedName>
    <definedName name="_Sort1" localSheetId="24" hidden="1">#REF!</definedName>
    <definedName name="_Sort1" localSheetId="23" hidden="1">#REF!</definedName>
    <definedName name="_Sort1" localSheetId="1" hidden="1">#REF!</definedName>
    <definedName name="_Sort1" localSheetId="18" hidden="1">#REF!</definedName>
    <definedName name="_Sort1" localSheetId="4" hidden="1">#REF!</definedName>
    <definedName name="_Sort1" localSheetId="2" hidden="1">#REF!</definedName>
    <definedName name="_Sort1" localSheetId="9" hidden="1">#REF!</definedName>
    <definedName name="_Sort1" localSheetId="22" hidden="1">#REF!</definedName>
    <definedName name="_Sort1" hidden="1">#REF!</definedName>
    <definedName name="_sort2" localSheetId="21" hidden="1">#REF!</definedName>
    <definedName name="_sort2" localSheetId="24" hidden="1">#REF!</definedName>
    <definedName name="_sort2" localSheetId="23" hidden="1">#REF!</definedName>
    <definedName name="_sort2" localSheetId="1" hidden="1">#REF!</definedName>
    <definedName name="_sort2" localSheetId="18" hidden="1">#REF!</definedName>
    <definedName name="_sort2" localSheetId="4" hidden="1">#REF!</definedName>
    <definedName name="_sort2" localSheetId="9" hidden="1">#REF!</definedName>
    <definedName name="_sort2" localSheetId="22" hidden="1">#REF!</definedName>
    <definedName name="_sort2" hidden="1">#REF!</definedName>
    <definedName name="_Table1_In1" localSheetId="21" hidden="1">#REF!</definedName>
    <definedName name="_Table1_In1" localSheetId="24" hidden="1">#REF!</definedName>
    <definedName name="_Table1_In1" localSheetId="23" hidden="1">#REF!</definedName>
    <definedName name="_Table1_In1" localSheetId="1" hidden="1">#REF!</definedName>
    <definedName name="_Table1_In1" localSheetId="18" hidden="1">#REF!</definedName>
    <definedName name="_Table1_In1" localSheetId="4" hidden="1">#REF!</definedName>
    <definedName name="_Table1_In1" localSheetId="2" hidden="1">#REF!</definedName>
    <definedName name="_Table1_In1" localSheetId="9" hidden="1">#REF!</definedName>
    <definedName name="_Table1_In1" localSheetId="22" hidden="1">#REF!</definedName>
    <definedName name="_Table1_In1" hidden="1">#REF!</definedName>
    <definedName name="_Table1_Out" localSheetId="21" hidden="1">#REF!</definedName>
    <definedName name="_Table1_Out" localSheetId="24" hidden="1">#REF!</definedName>
    <definedName name="_Table1_Out" localSheetId="23" hidden="1">#REF!</definedName>
    <definedName name="_Table1_Out" localSheetId="1" hidden="1">#REF!</definedName>
    <definedName name="_Table1_Out" localSheetId="18" hidden="1">#REF!</definedName>
    <definedName name="_Table1_Out" localSheetId="4" hidden="1">#REF!</definedName>
    <definedName name="_Table1_Out" localSheetId="2" hidden="1">#REF!</definedName>
    <definedName name="_Table1_Out" localSheetId="9" hidden="1">#REF!</definedName>
    <definedName name="_Table1_Out" localSheetId="22" hidden="1">#REF!</definedName>
    <definedName name="_Table1_Out" hidden="1">#REF!</definedName>
    <definedName name="_Table2_In1" localSheetId="21" hidden="1">'[4]Ex Diff'!#REF!</definedName>
    <definedName name="_Table2_In1" localSheetId="24" hidden="1">'[4]Ex Diff'!#REF!</definedName>
    <definedName name="_Table2_In1" localSheetId="23" hidden="1">'[4]Ex Diff'!#REF!</definedName>
    <definedName name="_Table2_In1" localSheetId="1" hidden="1">'[4]Ex Diff'!#REF!</definedName>
    <definedName name="_Table2_In1" localSheetId="18" hidden="1">'[4]Ex Diff'!#REF!</definedName>
    <definedName name="_Table2_In1" localSheetId="4" hidden="1">'[4]Ex Diff'!#REF!</definedName>
    <definedName name="_Table2_In1" localSheetId="2" hidden="1">'[4]Ex Diff'!#REF!</definedName>
    <definedName name="_Table2_In1" localSheetId="9" hidden="1">'[4]Ex Diff'!#REF!</definedName>
    <definedName name="_Table2_In1" localSheetId="22" hidden="1">'[4]Ex Diff'!#REF!</definedName>
    <definedName name="_Table2_In1" hidden="1">'[4]Ex Diff'!#REF!</definedName>
    <definedName name="_Table2_In2" localSheetId="21" hidden="1">'[4]Ex Diff'!#REF!</definedName>
    <definedName name="_Table2_In2" localSheetId="24" hidden="1">'[4]Ex Diff'!#REF!</definedName>
    <definedName name="_Table2_In2" localSheetId="23" hidden="1">'[4]Ex Diff'!#REF!</definedName>
    <definedName name="_Table2_In2" localSheetId="1" hidden="1">'[4]Ex Diff'!#REF!</definedName>
    <definedName name="_Table2_In2" localSheetId="18" hidden="1">'[4]Ex Diff'!#REF!</definedName>
    <definedName name="_Table2_In2" localSheetId="4" hidden="1">'[4]Ex Diff'!#REF!</definedName>
    <definedName name="_Table2_In2" localSheetId="2" hidden="1">'[4]Ex Diff'!#REF!</definedName>
    <definedName name="_Table2_In2" localSheetId="9" hidden="1">'[4]Ex Diff'!#REF!</definedName>
    <definedName name="_Table2_In2" localSheetId="22" hidden="1">'[4]Ex Diff'!#REF!</definedName>
    <definedName name="_Table2_In2" hidden="1">'[4]Ex Diff'!#REF!</definedName>
    <definedName name="_Table2_Out" localSheetId="21" hidden="1">'[4]Ex Diff'!#REF!</definedName>
    <definedName name="_Table2_Out" localSheetId="24" hidden="1">'[4]Ex Diff'!#REF!</definedName>
    <definedName name="_Table2_Out" localSheetId="23" hidden="1">'[4]Ex Diff'!#REF!</definedName>
    <definedName name="_Table2_Out" localSheetId="1" hidden="1">'[4]Ex Diff'!#REF!</definedName>
    <definedName name="_Table2_Out" localSheetId="18" hidden="1">'[4]Ex Diff'!#REF!</definedName>
    <definedName name="_Table2_Out" localSheetId="4" hidden="1">'[4]Ex Diff'!#REF!</definedName>
    <definedName name="_Table2_Out" localSheetId="2" hidden="1">'[4]Ex Diff'!#REF!</definedName>
    <definedName name="_Table2_Out" localSheetId="9" hidden="1">'[4]Ex Diff'!#REF!</definedName>
    <definedName name="_Table2_Out" localSheetId="22" hidden="1">'[4]Ex Diff'!#REF!</definedName>
    <definedName name="_Table2_Out" hidden="1">'[4]Ex Diff'!#REF!</definedName>
    <definedName name="_U1" localSheetId="9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_U1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_U232" localSheetId="9" hidden="1">{#N/A,#N/A,FALSE,"3410599";#N/A,#N/A,FALSE,"34106";#N/A,#N/A,FALSE,"34903";#N/A,#N/A,FALSE,"4450999";#N/A,#N/A,FALSE,"44901"}</definedName>
    <definedName name="_U232" hidden="1">{#N/A,#N/A,FALSE,"3410599";#N/A,#N/A,FALSE,"34106";#N/A,#N/A,FALSE,"34903";#N/A,#N/A,FALSE,"4450999";#N/A,#N/A,FALSE,"44901"}</definedName>
    <definedName name="_U3" localSheetId="9" hidden="1">{#N/A,#N/A,FALSE,"COVER";#N/A,#N/A,FALSE,"0";#N/A,#N/A,FALSE,"1";#N/A,#N/A,FALSE,"2";#N/A,#N/A,FALSE,"3";#N/A,#N/A,FALSE,"4";#N/A,#N/A,FALSE,"5";#N/A,#N/A,FALSE,"6";#N/A,#N/A,FALSE,"7";#N/A,#N/A,FALSE,"8";#N/A,#N/A,FALSE,"9";#N/A,#N/A,FALSE,"10";#N/A,#N/A,FALSE,"11"}</definedName>
    <definedName name="_U3" hidden="1">{#N/A,#N/A,FALSE,"COVER";#N/A,#N/A,FALSE,"0";#N/A,#N/A,FALSE,"1";#N/A,#N/A,FALSE,"2";#N/A,#N/A,FALSE,"3";#N/A,#N/A,FALSE,"4";#N/A,#N/A,FALSE,"5";#N/A,#N/A,FALSE,"6";#N/A,#N/A,FALSE,"7";#N/A,#N/A,FALSE,"8";#N/A,#N/A,FALSE,"9";#N/A,#N/A,FALSE,"10";#N/A,#N/A,FALSE,"11"}</definedName>
    <definedName name="_U400" localSheetId="9" hidden="1">{#N/A,#N/A,FALSE,"DIR-REP";#N/A,#N/A,FALSE,"AUD-REPORT";#N/A,#N/A,FALSE,"P7L&amp;BS";#N/A,#N/A,FALSE,"NOTES";#N/A,#N/A,FALSE,"FA";#N/A,#N/A,FALSE,"NOTES (2)";#N/A,#N/A,FALSE,"Schedule  IV";#N/A,#N/A,FALSE,"Schedule V"}</definedName>
    <definedName name="_U400" hidden="1">{#N/A,#N/A,FALSE,"DIR-REP";#N/A,#N/A,FALSE,"AUD-REPORT";#N/A,#N/A,FALSE,"P7L&amp;BS";#N/A,#N/A,FALSE,"NOTES";#N/A,#N/A,FALSE,"FA";#N/A,#N/A,FALSE,"NOTES (2)";#N/A,#N/A,FALSE,"Schedule  IV";#N/A,#N/A,FALSE,"Schedule V"}</definedName>
    <definedName name="_U500" localSheetId="9" hidden="1">{#N/A,#N/A,FALSE,"TB";#N/A,#N/A,FALSE,"CONTENTS";#N/A,#N/A,FALSE,"DR";#N/A,#N/A,FALSE,"AR";#N/A,#N/A,FALSE,"BS";#N/A,#N/A,FALSE,"PL";#N/A,#N/A,FALSE,"NOTES";#N/A,#N/A,FALSE,"NOTES (2)";#N/A,#N/A,FALSE,"NOTES (3)";#N/A,#N/A,FALSE,"DPL";#N/A,#N/A,FALSE,"DPL"}</definedName>
    <definedName name="_U500" hidden="1">{#N/A,#N/A,FALSE,"TB";#N/A,#N/A,FALSE,"CONTENTS";#N/A,#N/A,FALSE,"DR";#N/A,#N/A,FALSE,"AR";#N/A,#N/A,FALSE,"BS";#N/A,#N/A,FALSE,"PL";#N/A,#N/A,FALSE,"NOTES";#N/A,#N/A,FALSE,"NOTES (2)";#N/A,#N/A,FALSE,"NOTES (3)";#N/A,#N/A,FALSE,"DPL";#N/A,#N/A,FALSE,"DPL"}</definedName>
    <definedName name="_X3" localSheetId="21" hidden="1">#REF!</definedName>
    <definedName name="_X3" localSheetId="24" hidden="1">#REF!</definedName>
    <definedName name="_X3" localSheetId="23" hidden="1">#REF!</definedName>
    <definedName name="_X3" localSheetId="1" hidden="1">#REF!</definedName>
    <definedName name="_X3" localSheetId="18" hidden="1">#REF!</definedName>
    <definedName name="_X3" localSheetId="4" hidden="1">#REF!</definedName>
    <definedName name="_X3" localSheetId="2" hidden="1">#REF!</definedName>
    <definedName name="_X3" localSheetId="9" hidden="1">#REF!</definedName>
    <definedName name="_X3" localSheetId="22" hidden="1">#REF!</definedName>
    <definedName name="_X3" hidden="1">#REF!</definedName>
    <definedName name="_xx3" localSheetId="21" hidden="1">#REF!</definedName>
    <definedName name="_xx3" localSheetId="24" hidden="1">#REF!</definedName>
    <definedName name="_xx3" localSheetId="23" hidden="1">#REF!</definedName>
    <definedName name="_xx3" localSheetId="1" hidden="1">#REF!</definedName>
    <definedName name="_xx3" localSheetId="18" hidden="1">#REF!</definedName>
    <definedName name="_xx3" localSheetId="4" hidden="1">#REF!</definedName>
    <definedName name="_xx3" localSheetId="2" hidden="1">#REF!</definedName>
    <definedName name="_xx3" localSheetId="9" hidden="1">#REF!</definedName>
    <definedName name="_xx3" localSheetId="22" hidden="1">#REF!</definedName>
    <definedName name="_xx3" hidden="1">#REF!</definedName>
    <definedName name="aaa" localSheetId="21" hidden="1">#REF!</definedName>
    <definedName name="aaa" localSheetId="24" hidden="1">#REF!</definedName>
    <definedName name="aaa" localSheetId="23" hidden="1">#REF!</definedName>
    <definedName name="aaa" localSheetId="1" hidden="1">#REF!</definedName>
    <definedName name="aaa" localSheetId="18" hidden="1">#REF!</definedName>
    <definedName name="aaa" localSheetId="4" hidden="1">#REF!</definedName>
    <definedName name="aaa" localSheetId="2" hidden="1">#REF!</definedName>
    <definedName name="aaa" localSheetId="9" hidden="1">#REF!</definedName>
    <definedName name="aaa" localSheetId="22" hidden="1">#REF!</definedName>
    <definedName name="aaa" hidden="1">#REF!</definedName>
    <definedName name="AAAAA" localSheetId="21" hidden="1">#REF!</definedName>
    <definedName name="AAAAA" localSheetId="24" hidden="1">#REF!</definedName>
    <definedName name="AAAAA" localSheetId="23" hidden="1">#REF!</definedName>
    <definedName name="AAAAA" localSheetId="1" hidden="1">#REF!</definedName>
    <definedName name="AAAAA" localSheetId="18" hidden="1">#REF!</definedName>
    <definedName name="AAAAA" localSheetId="4" hidden="1">#REF!</definedName>
    <definedName name="AAAAA" localSheetId="9" hidden="1">#REF!</definedName>
    <definedName name="AAAAA" localSheetId="22" hidden="1">#REF!</definedName>
    <definedName name="AAAAA" hidden="1">#REF!</definedName>
    <definedName name="ab" localSheetId="21" hidden="1">#REF!</definedName>
    <definedName name="ab" localSheetId="24" hidden="1">#REF!</definedName>
    <definedName name="ab" localSheetId="23" hidden="1">#REF!</definedName>
    <definedName name="ab" localSheetId="1" hidden="1">#REF!</definedName>
    <definedName name="ab" localSheetId="18" hidden="1">#REF!</definedName>
    <definedName name="ab" localSheetId="4" hidden="1">#REF!</definedName>
    <definedName name="ab" localSheetId="9" hidden="1">#REF!</definedName>
    <definedName name="ab" localSheetId="22" hidden="1">#REF!</definedName>
    <definedName name="ab" hidden="1">#REF!</definedName>
    <definedName name="ABCDE" localSheetId="9" hidden="1">{#N/A,#N/A,FALSE,"Aging Summary";#N/A,#N/A,FALSE,"Ratio Analysis";#N/A,#N/A,FALSE,"Test 120 Day Accts";#N/A,#N/A,FALSE,"Tickmarks"}</definedName>
    <definedName name="ABCDE" hidden="1">{#N/A,#N/A,FALSE,"Aging Summary";#N/A,#N/A,FALSE,"Ratio Analysis";#N/A,#N/A,FALSE,"Test 120 Day Accts";#N/A,#N/A,FALSE,"Tickmarks"}</definedName>
    <definedName name="acccc" localSheetId="9" hidden="1">{"PrSch",#N/A,FALSE,"Sheet1"}</definedName>
    <definedName name="acccc" hidden="1">{"PrSch",#N/A,FALSE,"Sheet1"}</definedName>
    <definedName name="accruedmpf" localSheetId="9" hidden="1">{#N/A,#N/A,FALSE,"Def SF Recd"}</definedName>
    <definedName name="accruedmpf" hidden="1">{#N/A,#N/A,FALSE,"Def SF Recd"}</definedName>
    <definedName name="accruedorso" localSheetId="9" hidden="1">{"PrSch",#N/A,FALSE,"Sheet1"}</definedName>
    <definedName name="accruedorso" hidden="1">{"PrSch",#N/A,FALSE,"Sheet1"}</definedName>
    <definedName name="ad" localSheetId="9" hidden="1">{#N/A,#N/A,FALSE,"TAXC.INDEX";#N/A,#N/A,FALSE,"Schedule I";#N/A,#N/A,FALSE,"Schedule  II";#N/A,#N/A,FALSE,"Schedule III"}</definedName>
    <definedName name="ad" hidden="1">{#N/A,#N/A,FALSE,"TAXC.INDEX";#N/A,#N/A,FALSE,"Schedule I";#N/A,#N/A,FALSE,"Schedule  II";#N/A,#N/A,FALSE,"Schedule III"}</definedName>
    <definedName name="adea" localSheetId="9" hidden="1">{"Income_Statement",#N/A,FALSE,"XNV";"Balance_Sheet",#N/A,FALSE,"XNV"}</definedName>
    <definedName name="adea" hidden="1">{"Income_Statement",#N/A,FALSE,"XNV";"Balance_Sheet",#N/A,FALSE,"XNV"}</definedName>
    <definedName name="ads" localSheetId="9" hidden="1">{"Balance_Sheet",#N/A,FALSE,"XNV"}</definedName>
    <definedName name="ads" hidden="1">{"Balance_Sheet",#N/A,FALSE,"XNV"}</definedName>
    <definedName name="adsfad" localSheetId="9" hidden="1">{#N/A,#N/A,FALSE,"Aging Summary";#N/A,#N/A,FALSE,"Ratio Analysis";#N/A,#N/A,FALSE,"Test 120 Day Accts";#N/A,#N/A,FALSE,"Tickmarks"}</definedName>
    <definedName name="adsfad" hidden="1">{#N/A,#N/A,FALSE,"Aging Summary";#N/A,#N/A,FALSE,"Ratio Analysis";#N/A,#N/A,FALSE,"Test 120 Day Accts";#N/A,#N/A,FALSE,"Tickmarks"}</definedName>
    <definedName name="al" localSheetId="21" hidden="1">#REF!</definedName>
    <definedName name="al" localSheetId="24" hidden="1">#REF!</definedName>
    <definedName name="al" localSheetId="23" hidden="1">#REF!</definedName>
    <definedName name="al" localSheetId="1" hidden="1">#REF!</definedName>
    <definedName name="al" localSheetId="18" hidden="1">#REF!</definedName>
    <definedName name="al" localSheetId="4" hidden="1">#REF!</definedName>
    <definedName name="al" localSheetId="9" hidden="1">#REF!</definedName>
    <definedName name="al" localSheetId="22" hidden="1">#REF!</definedName>
    <definedName name="al" hidden="1">#REF!</definedName>
    <definedName name="AR" localSheetId="9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AR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AR0302R" localSheetId="9" hidden="1">{"PrSch",#N/A,FALSE,"Sheet1"}</definedName>
    <definedName name="AR0302R" hidden="1">{"PrSch",#N/A,FALSE,"Sheet1"}</definedName>
    <definedName name="arian1" localSheetId="21" hidden="1">#REF!</definedName>
    <definedName name="arian1" localSheetId="24" hidden="1">#REF!</definedName>
    <definedName name="arian1" localSheetId="23" hidden="1">#REF!</definedName>
    <definedName name="arian1" localSheetId="1" hidden="1">#REF!</definedName>
    <definedName name="arian1" localSheetId="18" hidden="1">#REF!</definedName>
    <definedName name="arian1" localSheetId="4" hidden="1">#REF!</definedName>
    <definedName name="arian1" localSheetId="2" hidden="1">#REF!</definedName>
    <definedName name="arian1" localSheetId="9" hidden="1">#REF!</definedName>
    <definedName name="arian1" localSheetId="22" hidden="1">#REF!</definedName>
    <definedName name="arian1" hidden="1">#REF!</definedName>
    <definedName name="AS2DocOpenMode" hidden="1">"AS2DocumentEdit"</definedName>
    <definedName name="AS2HasNoAutoHeaderFooter" hidden="1">" "</definedName>
    <definedName name="AS2NamedRange" hidden="1">47</definedName>
    <definedName name="asfasdf" localSheetId="21" hidden="1">#REF!</definedName>
    <definedName name="asfasdf" localSheetId="24" hidden="1">#REF!</definedName>
    <definedName name="asfasdf" localSheetId="23" hidden="1">#REF!</definedName>
    <definedName name="asfasdf" localSheetId="1" hidden="1">#REF!</definedName>
    <definedName name="asfasdf" localSheetId="18" hidden="1">#REF!</definedName>
    <definedName name="asfasdf" localSheetId="4" hidden="1">#REF!</definedName>
    <definedName name="asfasdf" localSheetId="2" hidden="1">#REF!</definedName>
    <definedName name="asfasdf" localSheetId="9" hidden="1">#REF!</definedName>
    <definedName name="asfasdf" localSheetId="22" hidden="1">#REF!</definedName>
    <definedName name="asfasdf" hidden="1">#REF!</definedName>
    <definedName name="Axxx" localSheetId="21" hidden="1">#REF!</definedName>
    <definedName name="Axxx" localSheetId="24" hidden="1">#REF!</definedName>
    <definedName name="Axxx" localSheetId="23" hidden="1">#REF!</definedName>
    <definedName name="Axxx" localSheetId="1" hidden="1">#REF!</definedName>
    <definedName name="Axxx" localSheetId="18" hidden="1">#REF!</definedName>
    <definedName name="Axxx" localSheetId="4" hidden="1">#REF!</definedName>
    <definedName name="Axxx" localSheetId="9" hidden="1">#REF!</definedName>
    <definedName name="Axxx" localSheetId="22" hidden="1">#REF!</definedName>
    <definedName name="Axxx" hidden="1">#REF!</definedName>
    <definedName name="BALL" localSheetId="9" hidden="1">{#N/A,#N/A,FALSE,"TAXC.INDEX";#N/A,#N/A,FALSE,"Schedule I";#N/A,#N/A,FALSE,"Schedule  II";#N/A,#N/A,FALSE,"Schedule III"}</definedName>
    <definedName name="BALL" hidden="1">{#N/A,#N/A,FALSE,"TAXC.INDEX";#N/A,#N/A,FALSE,"Schedule I";#N/A,#N/A,FALSE,"Schedule  II";#N/A,#N/A,FALSE,"Schedule III"}</definedName>
    <definedName name="BBBBBB" hidden="1">'[10]#REF'!$C$169:$C$199</definedName>
    <definedName name="Beijing" localSheetId="9" hidden="1">{#N/A,#N/A,FALSE,"DIR-REP";#N/A,#N/A,FALSE,"AUD-REPORT";#N/A,#N/A,FALSE,"P7L&amp;BS";#N/A,#N/A,FALSE,"NOTES";#N/A,#N/A,FALSE,"FA";#N/A,#N/A,FALSE,"NOTES (2)";#N/A,#N/A,FALSE,"Schedule  IV";#N/A,#N/A,FALSE,"Schedule V"}</definedName>
    <definedName name="Beijing" hidden="1">{#N/A,#N/A,FALSE,"DIR-REP";#N/A,#N/A,FALSE,"AUD-REPORT";#N/A,#N/A,FALSE,"P7L&amp;BS";#N/A,#N/A,FALSE,"NOTES";#N/A,#N/A,FALSE,"FA";#N/A,#N/A,FALSE,"NOTES (2)";#N/A,#N/A,FALSE,"Schedule  IV";#N/A,#N/A,FALSE,"Schedule V"}</definedName>
    <definedName name="bejing" localSheetId="9" hidden="1">{#N/A,#N/A,FALSE,"DIR-REP";#N/A,#N/A,FALSE,"AUD-REPORT";#N/A,#N/A,FALSE,"P7L&amp;BS";#N/A,#N/A,FALSE,"NOTES";#N/A,#N/A,FALSE,"FA";#N/A,#N/A,FALSE,"NOTES (2)";#N/A,#N/A,FALSE,"Schedule  IV";#N/A,#N/A,FALSE,"Schedule V"}</definedName>
    <definedName name="bejing" hidden="1">{#N/A,#N/A,FALSE,"DIR-REP";#N/A,#N/A,FALSE,"AUD-REPORT";#N/A,#N/A,FALSE,"P7L&amp;BS";#N/A,#N/A,FALSE,"NOTES";#N/A,#N/A,FALSE,"FA";#N/A,#N/A,FALSE,"NOTES (2)";#N/A,#N/A,FALSE,"Schedule  IV";#N/A,#N/A,FALSE,"Schedule V"}</definedName>
    <definedName name="cc" localSheetId="21" hidden="1">#REF!</definedName>
    <definedName name="cc" localSheetId="24" hidden="1">#REF!</definedName>
    <definedName name="cc" localSheetId="23" hidden="1">#REF!</definedName>
    <definedName name="cc" localSheetId="1" hidden="1">#REF!</definedName>
    <definedName name="cc" localSheetId="18" hidden="1">#REF!</definedName>
    <definedName name="cc" localSheetId="4" hidden="1">#REF!</definedName>
    <definedName name="cc" localSheetId="2" hidden="1">#REF!</definedName>
    <definedName name="cc" localSheetId="9" hidden="1">#REF!</definedName>
    <definedName name="cc" localSheetId="22" hidden="1">#REF!</definedName>
    <definedName name="cc" hidden="1">#REF!</definedName>
    <definedName name="ccsc" localSheetId="9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ccsc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charity" localSheetId="21" hidden="1">#REF!</definedName>
    <definedName name="charity" localSheetId="24" hidden="1">#REF!</definedName>
    <definedName name="charity" localSheetId="23" hidden="1">#REF!</definedName>
    <definedName name="charity" localSheetId="1" hidden="1">#REF!</definedName>
    <definedName name="charity" localSheetId="18" hidden="1">#REF!</definedName>
    <definedName name="charity" localSheetId="4" hidden="1">#REF!</definedName>
    <definedName name="charity" localSheetId="2" hidden="1">#REF!</definedName>
    <definedName name="charity" localSheetId="9" hidden="1">#REF!</definedName>
    <definedName name="charity" localSheetId="22" hidden="1">#REF!</definedName>
    <definedName name="charity" hidden="1">#REF!</definedName>
    <definedName name="chds" localSheetId="9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chds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d100V" localSheetId="9" hidden="1">{#N/A,#N/A,FALSE,"TAXC.INDEX";#N/A,#N/A,FALSE,"Schedule I";#N/A,#N/A,FALSE,"Schedule  II";#N/A,#N/A,FALSE,"Schedule III"}</definedName>
    <definedName name="d100V" hidden="1">{#N/A,#N/A,FALSE,"TAXC.INDEX";#N/A,#N/A,FALSE,"Schedule I";#N/A,#N/A,FALSE,"Schedule  II";#N/A,#N/A,FALSE,"Schedule III"}</definedName>
    <definedName name="D8.1" localSheetId="9" hidden="1">{"Income_Statement",#N/A,FALSE,"XNV"}</definedName>
    <definedName name="D8.1" hidden="1">{"Income_Statement",#N/A,FALSE,"XNV"}</definedName>
    <definedName name="DATA_01" localSheetId="21" hidden="1">#REF!</definedName>
    <definedName name="DATA_01" localSheetId="24" hidden="1">#REF!</definedName>
    <definedName name="DATA_01" localSheetId="23" hidden="1">#REF!</definedName>
    <definedName name="DATA_01" localSheetId="1" hidden="1">#REF!</definedName>
    <definedName name="DATA_01" localSheetId="18" hidden="1">#REF!</definedName>
    <definedName name="DATA_01" localSheetId="4" hidden="1">#REF!</definedName>
    <definedName name="DATA_01" localSheetId="9" hidden="1">#REF!</definedName>
    <definedName name="DATA_01" localSheetId="22" hidden="1">#REF!</definedName>
    <definedName name="DATA_01" hidden="1">#REF!</definedName>
    <definedName name="DATA_02" localSheetId="21" hidden="1">#REF!</definedName>
    <definedName name="DATA_02" localSheetId="24" hidden="1">#REF!</definedName>
    <definedName name="DATA_02" localSheetId="23" hidden="1">#REF!</definedName>
    <definedName name="DATA_02" localSheetId="1" hidden="1">#REF!</definedName>
    <definedName name="DATA_02" localSheetId="18" hidden="1">#REF!</definedName>
    <definedName name="DATA_02" localSheetId="4" hidden="1">#REF!</definedName>
    <definedName name="DATA_02" localSheetId="9" hidden="1">#REF!</definedName>
    <definedName name="DATA_02" localSheetId="22" hidden="1">#REF!</definedName>
    <definedName name="DATA_02" hidden="1">#REF!</definedName>
    <definedName name="DATA_03" localSheetId="21" hidden="1">#REF!</definedName>
    <definedName name="DATA_03" localSheetId="24" hidden="1">#REF!</definedName>
    <definedName name="DATA_03" localSheetId="23" hidden="1">#REF!</definedName>
    <definedName name="DATA_03" localSheetId="1" hidden="1">#REF!</definedName>
    <definedName name="DATA_03" localSheetId="18" hidden="1">#REF!</definedName>
    <definedName name="DATA_03" localSheetId="4" hidden="1">#REF!</definedName>
    <definedName name="DATA_03" localSheetId="9" hidden="1">#REF!</definedName>
    <definedName name="DATA_03" localSheetId="22" hidden="1">#REF!</definedName>
    <definedName name="DATA_03" hidden="1">#REF!</definedName>
    <definedName name="DATA_04" localSheetId="21" hidden="1">#REF!</definedName>
    <definedName name="DATA_04" localSheetId="24" hidden="1">#REF!</definedName>
    <definedName name="DATA_04" localSheetId="23" hidden="1">#REF!</definedName>
    <definedName name="DATA_04" localSheetId="1" hidden="1">#REF!</definedName>
    <definedName name="DATA_04" localSheetId="18" hidden="1">#REF!</definedName>
    <definedName name="DATA_04" localSheetId="4" hidden="1">#REF!</definedName>
    <definedName name="DATA_04" localSheetId="9" hidden="1">#REF!</definedName>
    <definedName name="DATA_04" localSheetId="22" hidden="1">#REF!</definedName>
    <definedName name="DATA_04" hidden="1">#REF!</definedName>
    <definedName name="DATA_05" localSheetId="21" hidden="1">#REF!</definedName>
    <definedName name="DATA_05" localSheetId="24" hidden="1">#REF!</definedName>
    <definedName name="DATA_05" localSheetId="23" hidden="1">#REF!</definedName>
    <definedName name="DATA_05" localSheetId="1" hidden="1">#REF!</definedName>
    <definedName name="DATA_05" localSheetId="18" hidden="1">#REF!</definedName>
    <definedName name="DATA_05" localSheetId="4" hidden="1">#REF!</definedName>
    <definedName name="DATA_05" localSheetId="9" hidden="1">#REF!</definedName>
    <definedName name="DATA_05" localSheetId="22" hidden="1">#REF!</definedName>
    <definedName name="DATA_05" hidden="1">#REF!</definedName>
    <definedName name="DATA_06" localSheetId="21" hidden="1">#REF!</definedName>
    <definedName name="DATA_06" localSheetId="24" hidden="1">#REF!</definedName>
    <definedName name="DATA_06" localSheetId="23" hidden="1">#REF!</definedName>
    <definedName name="DATA_06" localSheetId="1" hidden="1">#REF!</definedName>
    <definedName name="DATA_06" localSheetId="18" hidden="1">#REF!</definedName>
    <definedName name="DATA_06" localSheetId="4" hidden="1">#REF!</definedName>
    <definedName name="DATA_06" localSheetId="9" hidden="1">#REF!</definedName>
    <definedName name="DATA_06" localSheetId="22" hidden="1">#REF!</definedName>
    <definedName name="DATA_06" hidden="1">#REF!</definedName>
    <definedName name="DATA_07" localSheetId="21" hidden="1">#REF!</definedName>
    <definedName name="DATA_07" localSheetId="24" hidden="1">#REF!</definedName>
    <definedName name="DATA_07" localSheetId="23" hidden="1">#REF!</definedName>
    <definedName name="DATA_07" localSheetId="1" hidden="1">#REF!</definedName>
    <definedName name="DATA_07" localSheetId="18" hidden="1">#REF!</definedName>
    <definedName name="DATA_07" localSheetId="4" hidden="1">#REF!</definedName>
    <definedName name="DATA_07" localSheetId="9" hidden="1">#REF!</definedName>
    <definedName name="DATA_07" localSheetId="22" hidden="1">#REF!</definedName>
    <definedName name="DATA_07" hidden="1">#REF!</definedName>
    <definedName name="DATA_08" localSheetId="21" hidden="1">#REF!</definedName>
    <definedName name="DATA_08" localSheetId="24" hidden="1">#REF!</definedName>
    <definedName name="DATA_08" localSheetId="23" hidden="1">#REF!</definedName>
    <definedName name="DATA_08" localSheetId="1" hidden="1">#REF!</definedName>
    <definedName name="DATA_08" localSheetId="18" hidden="1">#REF!</definedName>
    <definedName name="DATA_08" localSheetId="4" hidden="1">#REF!</definedName>
    <definedName name="DATA_08" localSheetId="9" hidden="1">#REF!</definedName>
    <definedName name="DATA_08" localSheetId="22" hidden="1">#REF!</definedName>
    <definedName name="DATA_08" hidden="1">#REF!</definedName>
    <definedName name="ddd" localSheetId="9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ddd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dfh" localSheetId="9" hidden="1">{#N/A,#N/A,FALSE,"TAXC.INDEX";#N/A,#N/A,FALSE,"Schedule I";#N/A,#N/A,FALSE,"Schedule  II";#N/A,#N/A,FALSE,"Schedule III";#N/A,#N/A,FALSE,"Schedule IV";#N/A,#N/A,FALSE,"Schedule IV (Cont'd)";#N/A,#N/A,FALSE,"Schedule V";#N/A,#N/A,FALSE,"Schedule VI";#N/A,#N/A,FALSE,"Schedule VII"}</definedName>
    <definedName name="dfh" hidden="1">{#N/A,#N/A,FALSE,"TAXC.INDEX";#N/A,#N/A,FALSE,"Schedule I";#N/A,#N/A,FALSE,"Schedule  II";#N/A,#N/A,FALSE,"Schedule III";#N/A,#N/A,FALSE,"Schedule IV";#N/A,#N/A,FALSE,"Schedule IV (Cont'd)";#N/A,#N/A,FALSE,"Schedule V";#N/A,#N/A,FALSE,"Schedule VI";#N/A,#N/A,FALSE,"Schedule VII"}</definedName>
    <definedName name="djhfkjd" localSheetId="9" hidden="1">{#N/A,#N/A,FALSE,"Aging Summary";#N/A,#N/A,FALSE,"Ratio Analysis";#N/A,#N/A,FALSE,"Test 120 Day Accts";#N/A,#N/A,FALSE,"Tickmarks"}</definedName>
    <definedName name="djhfkjd" hidden="1">{#N/A,#N/A,FALSE,"Aging Summary";#N/A,#N/A,FALSE,"Ratio Analysis";#N/A,#N/A,FALSE,"Test 120 Day Accts";#N/A,#N/A,FALSE,"Tickmarks"}</definedName>
    <definedName name="djkvcirejfr4" localSheetId="9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djkvcirejfr4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dkvnkefv" localSheetId="9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dkvnkefv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dsad" localSheetId="9" hidden="1">{"Income_Statement",#N/A,FALSE,"XNV"}</definedName>
    <definedName name="dsad" hidden="1">{"Income_Statement",#N/A,FALSE,"XNV"}</definedName>
    <definedName name="efnedvcne" localSheetId="9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efnedvcne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efrpoekf" localSheetId="9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efrpoekf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ep" localSheetId="9" hidden="1">{"PrSch",#N/A,FALSE,"Sheet1"}</definedName>
    <definedName name="ep" hidden="1">{"PrSch",#N/A,FALSE,"Sheet1"}</definedName>
    <definedName name="epro" localSheetId="9" hidden="1">{"PrintReport",#N/A,FALSE,"Breakdown"}</definedName>
    <definedName name="epro" hidden="1">{"PrintReport",#N/A,FALSE,"Breakdown"}</definedName>
    <definedName name="erer" localSheetId="9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erer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err" localSheetId="9" hidden="1">{"PrSch",#N/A,FALSE,"Sheet1"}</definedName>
    <definedName name="err" hidden="1">{"PrSch",#N/A,FALSE,"Sheet1"}</definedName>
    <definedName name="errr" localSheetId="9" hidden="1">{"PrSch",#N/A,FALSE,"Sheet1"}</definedName>
    <definedName name="errr" hidden="1">{"PrSch",#N/A,FALSE,"Sheet1"}</definedName>
    <definedName name="errrr" localSheetId="9" hidden="1">{#N/A,#N/A,FALSE,"Def SF Recd"}</definedName>
    <definedName name="errrr" hidden="1">{#N/A,#N/A,FALSE,"Def SF Recd"}</definedName>
    <definedName name="erttr" localSheetId="9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erttr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EWE" localSheetId="9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EWE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FA" localSheetId="9" hidden="1">{#N/A,#N/A,FALSE,"TAXC.INDEX";#N/A,#N/A,FALSE,"Schedule I";#N/A,#N/A,FALSE,"Schedule  II";#N/A,#N/A,FALSE,"Schedule III"}</definedName>
    <definedName name="FA" hidden="1">{#N/A,#N/A,FALSE,"TAXC.INDEX";#N/A,#N/A,FALSE,"Schedule I";#N/A,#N/A,FALSE,"Schedule  II";#N/A,#N/A,FALSE,"Schedule III"}</definedName>
    <definedName name="fdgg" localSheetId="9" hidden="1">{#N/A,#N/A,FALSE,"Aging Summary";#N/A,#N/A,FALSE,"Ratio Analysis";#N/A,#N/A,FALSE,"Test 120 Day Accts";#N/A,#N/A,FALSE,"Tickmarks"}</definedName>
    <definedName name="fdgg" hidden="1">{#N/A,#N/A,FALSE,"Aging Summary";#N/A,#N/A,FALSE,"Ratio Analysis";#N/A,#N/A,FALSE,"Test 120 Day Accts";#N/A,#N/A,FALSE,"Tickmarks"}</definedName>
    <definedName name="fdvfdv" localSheetId="9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fdvfdv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fefwef" localSheetId="9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fefwef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fgf" localSheetId="9" hidden="1">{#N/A,#N/A,FALSE,"TAXC.INDEX";#N/A,#N/A,FALSE,"Schedule I";#N/A,#N/A,FALSE,"Schedule  II";#N/A,#N/A,FALSE,"Schedule III"}</definedName>
    <definedName name="fgf" hidden="1">{#N/A,#N/A,FALSE,"TAXC.INDEX";#N/A,#N/A,FALSE,"Schedule I";#N/A,#N/A,FALSE,"Schedule  II";#N/A,#N/A,FALSE,"Schedule III"}</definedName>
    <definedName name="fi" localSheetId="21" hidden="1">[11]FIN!#REF!</definedName>
    <definedName name="fi" localSheetId="24" hidden="1">[11]FIN!#REF!</definedName>
    <definedName name="fi" localSheetId="23" hidden="1">[11]FIN!#REF!</definedName>
    <definedName name="fi" localSheetId="1" hidden="1">[11]FIN!#REF!</definedName>
    <definedName name="fi" localSheetId="18" hidden="1">[11]FIN!#REF!</definedName>
    <definedName name="fi" localSheetId="4" hidden="1">[11]FIN!#REF!</definedName>
    <definedName name="fi" localSheetId="2" hidden="1">[11]FIN!#REF!</definedName>
    <definedName name="fi" localSheetId="9" hidden="1">[11]FIN!#REF!</definedName>
    <definedName name="fi" localSheetId="22" hidden="1">[11]FIN!#REF!</definedName>
    <definedName name="fi" hidden="1">[11]FIN!#REF!</definedName>
    <definedName name="fil" localSheetId="21" hidden="1">[11]FIN!#REF!</definedName>
    <definedName name="fil" localSheetId="24" hidden="1">[11]FIN!#REF!</definedName>
    <definedName name="fil" localSheetId="23" hidden="1">[11]FIN!#REF!</definedName>
    <definedName name="fil" localSheetId="1" hidden="1">[11]FIN!#REF!</definedName>
    <definedName name="fil" localSheetId="18" hidden="1">[11]FIN!#REF!</definedName>
    <definedName name="fil" localSheetId="4" hidden="1">[11]FIN!#REF!</definedName>
    <definedName name="fil" localSheetId="2" hidden="1">[11]FIN!#REF!</definedName>
    <definedName name="fil" localSheetId="9" hidden="1">[11]FIN!#REF!</definedName>
    <definedName name="fil" localSheetId="22" hidden="1">[11]FIN!#REF!</definedName>
    <definedName name="fil" hidden="1">[11]FIN!#REF!</definedName>
    <definedName name="FILE2" localSheetId="9" hidden="1">{#N/A,#N/A,FALSE,"Aging Summary";#N/A,#N/A,FALSE,"Ratio Analysis";#N/A,#N/A,FALSE,"Test 120 Day Accts";#N/A,#N/A,FALSE,"Tickmarks"}</definedName>
    <definedName name="FILE2" hidden="1">{#N/A,#N/A,FALSE,"Aging Summary";#N/A,#N/A,FALSE,"Ratio Analysis";#N/A,#N/A,FALSE,"Test 120 Day Accts";#N/A,#N/A,FALSE,"Tickmarks"}</definedName>
    <definedName name="fill" localSheetId="21" hidden="1">[11]FIN!#REF!</definedName>
    <definedName name="fill" localSheetId="24" hidden="1">[11]FIN!#REF!</definedName>
    <definedName name="fill" localSheetId="23" hidden="1">[11]FIN!#REF!</definedName>
    <definedName name="fill" localSheetId="1" hidden="1">[11]FIN!#REF!</definedName>
    <definedName name="fill" localSheetId="18" hidden="1">[11]FIN!#REF!</definedName>
    <definedName name="fill" localSheetId="4" hidden="1">[11]FIN!#REF!</definedName>
    <definedName name="fill" localSheetId="2" hidden="1">[11]FIN!#REF!</definedName>
    <definedName name="fill" localSheetId="9" hidden="1">[11]FIN!#REF!</definedName>
    <definedName name="fill" localSheetId="22" hidden="1">[11]FIN!#REF!</definedName>
    <definedName name="fill" hidden="1">[11]FIN!#REF!</definedName>
    <definedName name="fuck" localSheetId="9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fuck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fvb" localSheetId="9" hidden="1">{#N/A,#N/A,FALSE,"Aging Summary";#N/A,#N/A,FALSE,"Ratio Analysis";#N/A,#N/A,FALSE,"Test 120 Day Accts";#N/A,#N/A,FALSE,"Tickmarks"}</definedName>
    <definedName name="fvb" hidden="1">{#N/A,#N/A,FALSE,"Aging Summary";#N/A,#N/A,FALSE,"Ratio Analysis";#N/A,#N/A,FALSE,"Test 120 Day Accts";#N/A,#N/A,FALSE,"Tickmarks"}</definedName>
    <definedName name="FYA" localSheetId="9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FYA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g" localSheetId="9" hidden="1">{#N/A,#N/A,FALSE,"TAXC.INDEX";#N/A,#N/A,FALSE,"Schedule I";#N/A,#N/A,FALSE,"Schedule  II";#N/A,#N/A,FALSE,"Schedule III"}</definedName>
    <definedName name="g" hidden="1">{#N/A,#N/A,FALSE,"TAXC.INDEX";#N/A,#N/A,FALSE,"Schedule I";#N/A,#N/A,FALSE,"Schedule  II";#N/A,#N/A,FALSE,"Schedule III"}</definedName>
    <definedName name="gbn" localSheetId="9" hidden="1">{#N/A,#N/A,FALSE,"Aging Summary";#N/A,#N/A,FALSE,"Ratio Analysis";#N/A,#N/A,FALSE,"Test 120 Day Accts";#N/A,#N/A,FALSE,"Tickmarks"}</definedName>
    <definedName name="gbn" hidden="1">{#N/A,#N/A,FALSE,"Aging Summary";#N/A,#N/A,FALSE,"Ratio Analysis";#N/A,#N/A,FALSE,"Test 120 Day Accts";#N/A,#N/A,FALSE,"Tickmarks"}</definedName>
    <definedName name="gddx" localSheetId="9" hidden="1">{#N/A,#N/A,FALSE,"Aging Summary";#N/A,#N/A,FALSE,"Ratio Analysis";#N/A,#N/A,FALSE,"Test 120 Day Accts";#N/A,#N/A,FALSE,"Tickmarks"}</definedName>
    <definedName name="gddx" hidden="1">{#N/A,#N/A,FALSE,"Aging Summary";#N/A,#N/A,FALSE,"Ratio Analysis";#N/A,#N/A,FALSE,"Test 120 Day Accts";#N/A,#N/A,FALSE,"Tickmarks"}</definedName>
    <definedName name="gfd" localSheetId="9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gfd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gfdh" localSheetId="9" hidden="1">{#N/A,#N/A,FALSE,"TB";#N/A,#N/A,FALSE,"CONTENTS";#N/A,#N/A,FALSE,"DR";#N/A,#N/A,FALSE,"AR";#N/A,#N/A,FALSE,"BS";#N/A,#N/A,FALSE,"PL";#N/A,#N/A,FALSE,"NOTES";#N/A,#N/A,FALSE,"NOTES (2)";#N/A,#N/A,FALSE,"NOTES (3)";#N/A,#N/A,FALSE,"DPL";#N/A,#N/A,FALSE,"DPL"}</definedName>
    <definedName name="gfdh" hidden="1">{#N/A,#N/A,FALSE,"TB";#N/A,#N/A,FALSE,"CONTENTS";#N/A,#N/A,FALSE,"DR";#N/A,#N/A,FALSE,"AR";#N/A,#N/A,FALSE,"BS";#N/A,#N/A,FALSE,"PL";#N/A,#N/A,FALSE,"NOTES";#N/A,#N/A,FALSE,"NOTES (2)";#N/A,#N/A,FALSE,"NOTES (3)";#N/A,#N/A,FALSE,"DPL";#N/A,#N/A,FALSE,"DPL"}</definedName>
    <definedName name="ghnb" localSheetId="9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ghnb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gkt" localSheetId="9" hidden="1">{#N/A,#N/A,FALSE,"Aging Summary";#N/A,#N/A,FALSE,"Ratio Analysis";#N/A,#N/A,FALSE,"Test 120 Day Accts";#N/A,#N/A,FALSE,"Tickmarks"}</definedName>
    <definedName name="gkt" hidden="1">{#N/A,#N/A,FALSE,"Aging Summary";#N/A,#N/A,FALSE,"Ratio Analysis";#N/A,#N/A,FALSE,"Test 120 Day Accts";#N/A,#N/A,FALSE,"Tickmarks"}</definedName>
    <definedName name="gt" localSheetId="9" hidden="1">{#N/A,#N/A,FALSE,"Aging Summary";#N/A,#N/A,FALSE,"Ratio Analysis";#N/A,#N/A,FALSE,"Test 120 Day Accts";#N/A,#N/A,FALSE,"Tickmarks"}</definedName>
    <definedName name="gt" hidden="1">{#N/A,#N/A,FALSE,"Aging Summary";#N/A,#N/A,FALSE,"Ratio Analysis";#N/A,#N/A,FALSE,"Test 120 Day Accts";#N/A,#N/A,FALSE,"Tickmarks"}</definedName>
    <definedName name="gtf" localSheetId="9" hidden="1">{#N/A,#N/A,FALSE,"Aging Summary";#N/A,#N/A,FALSE,"Ratio Analysis";#N/A,#N/A,FALSE,"Test 120 Day Accts";#N/A,#N/A,FALSE,"Tickmarks"}</definedName>
    <definedName name="gtf" hidden="1">{#N/A,#N/A,FALSE,"Aging Summary";#N/A,#N/A,FALSE,"Ratio Analysis";#N/A,#N/A,FALSE,"Test 120 Day Accts";#N/A,#N/A,FALSE,"Tickmarks"}</definedName>
    <definedName name="gvbn" localSheetId="9" hidden="1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gvbn" hidden="1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gvfv" localSheetId="9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gvfv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hc" localSheetId="9" hidden="1">{#N/A,#N/A,FALSE,"Aging Summary";#N/A,#N/A,FALSE,"Ratio Analysis";#N/A,#N/A,FALSE,"Test 120 Day Accts";#N/A,#N/A,FALSE,"Tickmarks"}</definedName>
    <definedName name="hc" hidden="1">{#N/A,#N/A,FALSE,"Aging Summary";#N/A,#N/A,FALSE,"Ratio Analysis";#N/A,#N/A,FALSE,"Test 120 Day Accts";#N/A,#N/A,FALSE,"Tickmarks"}</definedName>
    <definedName name="hcf" localSheetId="9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hcf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hgyt" localSheetId="21" hidden="1">#REF!</definedName>
    <definedName name="hgyt" localSheetId="24" hidden="1">#REF!</definedName>
    <definedName name="hgyt" localSheetId="23" hidden="1">#REF!</definedName>
    <definedName name="hgyt" localSheetId="1" hidden="1">#REF!</definedName>
    <definedName name="hgyt" localSheetId="18" hidden="1">#REF!</definedName>
    <definedName name="hgyt" localSheetId="4" hidden="1">#REF!</definedName>
    <definedName name="hgyt" localSheetId="2" hidden="1">#REF!</definedName>
    <definedName name="hgyt" localSheetId="9" hidden="1">#REF!</definedName>
    <definedName name="hgyt" localSheetId="22" hidden="1">#REF!</definedName>
    <definedName name="hgyt" hidden="1">#REF!</definedName>
    <definedName name="hhsfh" localSheetId="9" hidden="1">{#N/A,#N/A,FALSE,"TAXC.INDEX";#N/A,#N/A,FALSE,"Schedule I";#N/A,#N/A,FALSE,"Schedule  II";#N/A,#N/A,FALSE,"Schedule III"}</definedName>
    <definedName name="hhsfh" hidden="1">{#N/A,#N/A,FALSE,"TAXC.INDEX";#N/A,#N/A,FALSE,"Schedule I";#N/A,#N/A,FALSE,"Schedule  II";#N/A,#N/A,FALSE,"Schedule III"}</definedName>
    <definedName name="I060k" localSheetId="21" hidden="1">#REF!</definedName>
    <definedName name="I060k" localSheetId="24" hidden="1">#REF!</definedName>
    <definedName name="I060k" localSheetId="23" hidden="1">#REF!</definedName>
    <definedName name="I060k" localSheetId="1" hidden="1">#REF!</definedName>
    <definedName name="I060k" localSheetId="18" hidden="1">#REF!</definedName>
    <definedName name="I060k" localSheetId="4" hidden="1">#REF!</definedName>
    <definedName name="I060k" localSheetId="2" hidden="1">#REF!</definedName>
    <definedName name="I060k" localSheetId="9" hidden="1">#REF!</definedName>
    <definedName name="I060k" localSheetId="22" hidden="1">#REF!</definedName>
    <definedName name="I060k" hidden="1">#REF!</definedName>
    <definedName name="IntroPrintArea" localSheetId="21" hidden="1">#REF!</definedName>
    <definedName name="IntroPrintArea" localSheetId="24" hidden="1">#REF!</definedName>
    <definedName name="IntroPrintArea" localSheetId="23" hidden="1">#REF!</definedName>
    <definedName name="IntroPrintArea" localSheetId="1" hidden="1">#REF!</definedName>
    <definedName name="IntroPrintArea" localSheetId="18" hidden="1">#REF!</definedName>
    <definedName name="IntroPrintArea" localSheetId="4" hidden="1">#REF!</definedName>
    <definedName name="IntroPrintArea" localSheetId="9" hidden="1">#REF!</definedName>
    <definedName name="IntroPrintArea" localSheetId="22" hidden="1">#REF!</definedName>
    <definedName name="IntroPrintArea" hidden="1">#REF!</definedName>
    <definedName name="inv" localSheetId="9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inv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INT" hidden="1">"c360"</definedName>
    <definedName name="IQ_EBIT_MARGIN" hidden="1">"c359"</definedName>
    <definedName name="IQ_EBIT_OVER_IE" hidden="1">"c1369"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INT" hidden="1">"c373"</definedName>
    <definedName name="IQ_EBITDA_MARGIN" hidden="1">"c372"</definedName>
    <definedName name="IQ_EBITDA_OVER_TOTAL_IE" hidden="1">"c1371"</definedName>
    <definedName name="IQ_EBITDAR" hidden="1">"c2989"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NORM" hidden="1">"c1902"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M_ACCOUNT" hidden="1">"c743"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MARGIN" hidden="1">"c794"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SFAS" hidden="1">"c795"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"c1448"</definedName>
    <definedName name="IQ_OPER_INC_REIT" hidden="1">"c853"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NORMALIZED" hidden="1">"c2207"</definedName>
    <definedName name="IQ_PE_RATIO" hidden="1">"c1610"</definedName>
    <definedName name="IQ_PENSION" hidden="1">"c1031"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ICE_OVER_BVPS" hidden="1">"c1412"</definedName>
    <definedName name="IQ_PRICE_OVER_LTM_EPS" hidden="1">"c1413"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UTI" hidden="1">"c1125"</definedName>
    <definedName name="IQ_REVENUE" hidden="1">"c1422"</definedName>
    <definedName name="IQ_REVISION_DATE_" hidden="1">39128.6892708333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MPLOYEE_AVG" hidden="1">"c1225"</definedName>
    <definedName name="IQ_TEV_TOTAL_REV" hidden="1">"c1226"</definedName>
    <definedName name="IQ_TEV_TOTAL_REV_AVG" hidden="1">"c1227"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DA" hidden="1">"c2381"</definedName>
    <definedName name="IQ_TR_ACQ_FILING_CURRENCY" hidden="1">"c3033"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DA" hidden="1">"c2334"</definedName>
    <definedName name="IQ_TR_TARGET_FILING_CURRENCY" hidden="1">"c3034"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sy" localSheetId="21" hidden="1">'[12]Ex Diff'!#REF!</definedName>
    <definedName name="isy" localSheetId="24" hidden="1">'[12]Ex Diff'!#REF!</definedName>
    <definedName name="isy" localSheetId="23" hidden="1">'[12]Ex Diff'!#REF!</definedName>
    <definedName name="isy" localSheetId="1" hidden="1">'[12]Ex Diff'!#REF!</definedName>
    <definedName name="isy" localSheetId="18" hidden="1">'[12]Ex Diff'!#REF!</definedName>
    <definedName name="isy" localSheetId="4" hidden="1">'[12]Ex Diff'!#REF!</definedName>
    <definedName name="isy" localSheetId="2" hidden="1">'[12]Ex Diff'!#REF!</definedName>
    <definedName name="isy" localSheetId="9" hidden="1">'[12]Ex Diff'!#REF!</definedName>
    <definedName name="isy" localSheetId="22" hidden="1">'[12]Ex Diff'!#REF!</definedName>
    <definedName name="isy" hidden="1">'[12]Ex Diff'!#REF!</definedName>
    <definedName name="jbvff" localSheetId="9" hidden="1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jbvff" hidden="1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jh" localSheetId="9" hidden="1">{#N/A,#N/A,FALSE,"TB";#N/A,#N/A,FALSE,"DR";#N/A,#N/A,FALSE,"AR";#N/A,#N/A,FALSE,"PL";#N/A,#N/A,FALSE,"BS";#N/A,#N/A,FALSE,"NOTES";#N/A,#N/A,FALSE,"NOTES (2)";#N/A,#N/A,FALSE,"NOTES (3)";#N/A,#N/A,FALSE,"DPL";#N/A,#N/A,FALSE,"TAXC.INDEX";#N/A,#N/A,FALSE,"Schedule I";#N/A,#N/A,FALSE,"Adjustments"}</definedName>
    <definedName name="jh" hidden="1">{#N/A,#N/A,FALSE,"TB";#N/A,#N/A,FALSE,"DR";#N/A,#N/A,FALSE,"AR";#N/A,#N/A,FALSE,"PL";#N/A,#N/A,FALSE,"BS";#N/A,#N/A,FALSE,"NOTES";#N/A,#N/A,FALSE,"NOTES (2)";#N/A,#N/A,FALSE,"NOTES (3)";#N/A,#N/A,FALSE,"DPL";#N/A,#N/A,FALSE,"TAXC.INDEX";#N/A,#N/A,FALSE,"Schedule I";#N/A,#N/A,FALSE,"Adjustments"}</definedName>
    <definedName name="ka" localSheetId="9" hidden="1">{"Income_Statement",#N/A,FALSE,"XNV";"Balance_Sheet",#N/A,FALSE,"XNV"}</definedName>
    <definedName name="ka" hidden="1">{"Income_Statement",#N/A,FALSE,"XNV";"Balance_Sheet",#N/A,FALSE,"XNV"}</definedName>
    <definedName name="kbgfo" localSheetId="9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kbgfo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ke" localSheetId="21" hidden="1">#REF!</definedName>
    <definedName name="ke" localSheetId="24" hidden="1">#REF!</definedName>
    <definedName name="ke" localSheetId="23" hidden="1">#REF!</definedName>
    <definedName name="ke" localSheetId="1" hidden="1">#REF!</definedName>
    <definedName name="ke" localSheetId="18" hidden="1">#REF!</definedName>
    <definedName name="ke" localSheetId="4" hidden="1">#REF!</definedName>
    <definedName name="ke" localSheetId="2" hidden="1">#REF!</definedName>
    <definedName name="ke" localSheetId="9" hidden="1">#REF!</definedName>
    <definedName name="ke" localSheetId="22" hidden="1">#REF!</definedName>
    <definedName name="ke" hidden="1">#REF!</definedName>
    <definedName name="kg" localSheetId="9" hidden="1">{#N/A,#N/A,FALSE,"TAXC.INDEX";#N/A,#N/A,FALSE,"Schedule I";#N/A,#N/A,FALSE,"Schedule  II";#N/A,#N/A,FALSE,"Schedule III"}</definedName>
    <definedName name="kg" hidden="1">{#N/A,#N/A,FALSE,"TAXC.INDEX";#N/A,#N/A,FALSE,"Schedule I";#N/A,#N/A,FALSE,"Schedule  II";#N/A,#N/A,FALSE,"Schedule III"}</definedName>
    <definedName name="kjfkdjf" localSheetId="9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kjfkdjf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kjol" localSheetId="9" hidden="1">{"PrSch",#N/A,FALSE,"Sheet1"}</definedName>
    <definedName name="kjol" hidden="1">{"PrSch",#N/A,FALSE,"Sheet1"}</definedName>
    <definedName name="KK" localSheetId="21" hidden="1">#REF!</definedName>
    <definedName name="KK" localSheetId="24" hidden="1">#REF!</definedName>
    <definedName name="KK" localSheetId="23" hidden="1">#REF!</definedName>
    <definedName name="KK" localSheetId="1" hidden="1">#REF!</definedName>
    <definedName name="KK" localSheetId="18" hidden="1">#REF!</definedName>
    <definedName name="KK" localSheetId="4" hidden="1">#REF!</definedName>
    <definedName name="KK" localSheetId="2" hidden="1">#REF!</definedName>
    <definedName name="KK" localSheetId="9" hidden="1">#REF!</definedName>
    <definedName name="KK" localSheetId="22" hidden="1">#REF!</definedName>
    <definedName name="KK" hidden="1">#REF!</definedName>
    <definedName name="kkbh" localSheetId="9" hidden="1">{#N/A,#N/A,FALSE,"Aging Summary";#N/A,#N/A,FALSE,"Ratio Analysis";#N/A,#N/A,FALSE,"Test 120 Day Accts";#N/A,#N/A,FALSE,"Tickmarks"}</definedName>
    <definedName name="kkbh" hidden="1">{#N/A,#N/A,FALSE,"Aging Summary";#N/A,#N/A,FALSE,"Ratio Analysis";#N/A,#N/A,FALSE,"Test 120 Day Accts";#N/A,#N/A,FALSE,"Tickmarks"}</definedName>
    <definedName name="knbg" localSheetId="9" hidden="1">{#N/A,#N/A,FALSE,"Aging Summary";#N/A,#N/A,FALSE,"Ratio Analysis";#N/A,#N/A,FALSE,"Test 120 Day Accts";#N/A,#N/A,FALSE,"Tickmarks"}</definedName>
    <definedName name="knbg" hidden="1">{#N/A,#N/A,FALSE,"Aging Summary";#N/A,#N/A,FALSE,"Ratio Analysis";#N/A,#N/A,FALSE,"Test 120 Day Accts";#N/A,#N/A,FALSE,"Tickmarks"}</definedName>
    <definedName name="knbgh" localSheetId="9" hidden="1">{#N/A,#N/A,FALSE,"Aging Summary";#N/A,#N/A,FALSE,"Ratio Analysis";#N/A,#N/A,FALSE,"Test 120 Day Accts";#N/A,#N/A,FALSE,"Tickmarks"}</definedName>
    <definedName name="knbgh" hidden="1">{#N/A,#N/A,FALSE,"Aging Summary";#N/A,#N/A,FALSE,"Ratio Analysis";#N/A,#N/A,FALSE,"Test 120 Day Accts";#N/A,#N/A,FALSE,"Tickmarks"}</definedName>
    <definedName name="kyd.Dim.01." hidden="1">"currency"</definedName>
    <definedName name="kyd.Dim.02." hidden="1">"currency"</definedName>
    <definedName name="kyd.ElementType.01." hidden="1">3</definedName>
    <definedName name="kyd.ElementType.02." hidden="1">3</definedName>
    <definedName name="kyd.MemoSortHide." hidden="1">FALSE</definedName>
    <definedName name="kyd.NumLevels.01." hidden="1">999</definedName>
    <definedName name="kyd.NumLevels.02." hidden="1">999</definedName>
    <definedName name="kyd.ParentName.01." hidden="1">"AUD"</definedName>
    <definedName name="kyd.ParentName.02." hidden="1">"AUD"</definedName>
    <definedName name="kyd.PreScreenData." hidden="1">FALSE</definedName>
    <definedName name="kyd.PrintMemo." hidden="1">FALSE</definedName>
    <definedName name="kyd.PrintParent.01." hidden="1">TRUE</definedName>
    <definedName name="kyd.PrintParent.02." hidden="1">TRUE</definedName>
    <definedName name="kyd.PrintStdWhen." hidden="1">3</definedName>
    <definedName name="kyd.SaveAsFile." hidden="1">FALSE</definedName>
    <definedName name="kyd.SaveMemo." hidden="1">FALSE</definedName>
    <definedName name="kyd.SelectString.01." hidden="1">"*"</definedName>
    <definedName name="kyd.SelectString.02." hidden="1">"*"</definedName>
    <definedName name="kyd.StdSortHide." hidden="1">FALSE</definedName>
    <definedName name="kyd.StopRow." hidden="1">16384</definedName>
    <definedName name="kyd.WriteMemWhenOptn." hidden="1">3</definedName>
    <definedName name="lljhv" localSheetId="9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lljhv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luhg" localSheetId="9" hidden="1">{#N/A,#N/A,FALSE,"Aging Summary";#N/A,#N/A,FALSE,"Ratio Analysis";#N/A,#N/A,FALSE,"Test 120 Day Accts";#N/A,#N/A,FALSE,"Tickmarks"}</definedName>
    <definedName name="luhg" hidden="1">{#N/A,#N/A,FALSE,"Aging Summary";#N/A,#N/A,FALSE,"Ratio Analysis";#N/A,#N/A,FALSE,"Test 120 Day Accts";#N/A,#N/A,FALSE,"Tickmarks"}</definedName>
    <definedName name="Moda" localSheetId="9" hidden="1">{#N/A,#N/A,FALSE,"DIR-REP";#N/A,#N/A,FALSE,"AUD-REPORT";#N/A,#N/A,FALSE,"P7L&amp;BS";#N/A,#N/A,FALSE,"NOTES";#N/A,#N/A,FALSE,"FA";#N/A,#N/A,FALSE,"NOTES (2)";#N/A,#N/A,FALSE,"Schedule  IV";#N/A,#N/A,FALSE,"Schedule V"}</definedName>
    <definedName name="Moda" hidden="1">{#N/A,#N/A,FALSE,"DIR-REP";#N/A,#N/A,FALSE,"AUD-REPORT";#N/A,#N/A,FALSE,"P7L&amp;BS";#N/A,#N/A,FALSE,"NOTES";#N/A,#N/A,FALSE,"FA";#N/A,#N/A,FALSE,"NOTES (2)";#N/A,#N/A,FALSE,"Schedule  IV";#N/A,#N/A,FALSE,"Schedule V"}</definedName>
    <definedName name="n" localSheetId="21" hidden="1">#REF!</definedName>
    <definedName name="n" localSheetId="24" hidden="1">#REF!</definedName>
    <definedName name="n" localSheetId="23" hidden="1">#REF!</definedName>
    <definedName name="n" localSheetId="1" hidden="1">#REF!</definedName>
    <definedName name="n" localSheetId="18" hidden="1">#REF!</definedName>
    <definedName name="n" localSheetId="4" hidden="1">#REF!</definedName>
    <definedName name="n" localSheetId="2" hidden="1">#REF!</definedName>
    <definedName name="n" localSheetId="9" hidden="1">#REF!</definedName>
    <definedName name="n" localSheetId="22" hidden="1">#REF!</definedName>
    <definedName name="n" hidden="1">#REF!</definedName>
    <definedName name="NOTE" localSheetId="9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NOTE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noteV" localSheetId="9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noteV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nvkjnfvf" localSheetId="9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nvkjnfvf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planning" localSheetId="21" hidden="1">#REF!</definedName>
    <definedName name="planning" localSheetId="24" hidden="1">#REF!</definedName>
    <definedName name="planning" localSheetId="23" hidden="1">#REF!</definedName>
    <definedName name="planning" localSheetId="1" hidden="1">#REF!</definedName>
    <definedName name="planning" localSheetId="18" hidden="1">#REF!</definedName>
    <definedName name="planning" localSheetId="4" hidden="1">#REF!</definedName>
    <definedName name="planning" localSheetId="2" hidden="1">#REF!</definedName>
    <definedName name="planning" localSheetId="9" hidden="1">#REF!</definedName>
    <definedName name="planning" localSheetId="22" hidden="1">#REF!</definedName>
    <definedName name="planning" hidden="1">#REF!</definedName>
    <definedName name="q" localSheetId="21" hidden="1">[13]Cashbook!#REF!</definedName>
    <definedName name="q" localSheetId="24" hidden="1">[13]Cashbook!#REF!</definedName>
    <definedName name="q" localSheetId="23" hidden="1">[13]Cashbook!#REF!</definedName>
    <definedName name="q" localSheetId="1" hidden="1">[13]Cashbook!#REF!</definedName>
    <definedName name="q" localSheetId="18" hidden="1">[13]Cashbook!#REF!</definedName>
    <definedName name="q" localSheetId="4" hidden="1">[13]Cashbook!#REF!</definedName>
    <definedName name="q" localSheetId="9" hidden="1">[13]Cashbook!#REF!</definedName>
    <definedName name="q" localSheetId="22" hidden="1">[13]Cashbook!#REF!</definedName>
    <definedName name="q" hidden="1">[13]Cashbook!#REF!</definedName>
    <definedName name="qq" localSheetId="21" hidden="1">#REF!</definedName>
    <definedName name="qq" localSheetId="24" hidden="1">#REF!</definedName>
    <definedName name="qq" localSheetId="23" hidden="1">#REF!</definedName>
    <definedName name="qq" localSheetId="1" hidden="1">#REF!</definedName>
    <definedName name="qq" localSheetId="18" hidden="1">#REF!</definedName>
    <definedName name="qq" localSheetId="4" hidden="1">#REF!</definedName>
    <definedName name="qq" localSheetId="9" hidden="1">#REF!</definedName>
    <definedName name="qq" localSheetId="22" hidden="1">#REF!</definedName>
    <definedName name="qq" hidden="1">#REF!</definedName>
    <definedName name="qqqqqq" localSheetId="9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qqqqqq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qqqqqqqq1" localSheetId="9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qqqqqqqq1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rtu" localSheetId="9" hidden="1">{#N/A,#N/A,FALSE,"TB";#N/A,#N/A,FALSE,"CONTENTS";#N/A,#N/A,FALSE,"DR";#N/A,#N/A,FALSE,"AR";#N/A,#N/A,FALSE,"BS";#N/A,#N/A,FALSE,"PL";#N/A,#N/A,FALSE,"NOTES";#N/A,#N/A,FALSE,"NOTES (2)";#N/A,#N/A,FALSE,"NOTES (3)";#N/A,#N/A,FALSE,"DPL";#N/A,#N/A,FALSE,"DPL"}</definedName>
    <definedName name="rtu" hidden="1">{#N/A,#N/A,FALSE,"TB";#N/A,#N/A,FALSE,"CONTENTS";#N/A,#N/A,FALSE,"DR";#N/A,#N/A,FALSE,"AR";#N/A,#N/A,FALSE,"BS";#N/A,#N/A,FALSE,"PL";#N/A,#N/A,FALSE,"NOTES";#N/A,#N/A,FALSE,"NOTES (2)";#N/A,#N/A,FALSE,"NOTES (3)";#N/A,#N/A,FALSE,"DPL";#N/A,#N/A,FALSE,"DPL"}</definedName>
    <definedName name="rve" localSheetId="21" hidden="1">#REF!</definedName>
    <definedName name="rve" localSheetId="24" hidden="1">#REF!</definedName>
    <definedName name="rve" localSheetId="23" hidden="1">#REF!</definedName>
    <definedName name="rve" localSheetId="1" hidden="1">#REF!</definedName>
    <definedName name="rve" localSheetId="18" hidden="1">#REF!</definedName>
    <definedName name="rve" localSheetId="4" hidden="1">#REF!</definedName>
    <definedName name="rve" localSheetId="2" hidden="1">#REF!</definedName>
    <definedName name="rve" localSheetId="9" hidden="1">#REF!</definedName>
    <definedName name="rve" localSheetId="22" hidden="1">#REF!</definedName>
    <definedName name="rve" hidden="1">#REF!</definedName>
    <definedName name="sads" localSheetId="9" hidden="1">{"Balance_Sheet",#N/A,FALSE,"XNV"}</definedName>
    <definedName name="sads" hidden="1">{"Balance_Sheet",#N/A,FALSE,"XNV"}</definedName>
    <definedName name="SAPBEXrevision" hidden="1">1</definedName>
    <definedName name="SAPBEXsysID" hidden="1">"APB"</definedName>
    <definedName name="SAPBEXwbID" hidden="1">"5H6SA7U11KL042NXK9XBJ4NXF"</definedName>
    <definedName name="sc" localSheetId="9" hidden="1">{#N/A,#N/A,FALSE,"TAXC.INDEX";#N/A,#N/A,FALSE,"Schedule I";#N/A,#N/A,FALSE,"Schedule  II";#N/A,#N/A,FALSE,"Schedule III";#N/A,#N/A,FALSE,"Schedule IV";#N/A,#N/A,FALSE,"Schedule IV (Cont'd)";#N/A,#N/A,FALSE,"Schedule V";#N/A,#N/A,FALSE,"Schedule VI";#N/A,#N/A,FALSE,"Schedule VII"}</definedName>
    <definedName name="sc" hidden="1">{#N/A,#N/A,FALSE,"TAXC.INDEX";#N/A,#N/A,FALSE,"Schedule I";#N/A,#N/A,FALSE,"Schedule  II";#N/A,#N/A,FALSE,"Schedule III";#N/A,#N/A,FALSE,"Schedule IV";#N/A,#N/A,FALSE,"Schedule IV (Cont'd)";#N/A,#N/A,FALSE,"Schedule V";#N/A,#N/A,FALSE,"Schedule VI";#N/A,#N/A,FALSE,"Schedule VII"}</definedName>
    <definedName name="sddf" localSheetId="9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sddf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SK" localSheetId="9" hidden="1">{#N/A,#N/A,FALSE,"Aging Summary";#N/A,#N/A,FALSE,"Ratio Analysis";#N/A,#N/A,FALSE,"Test 120 Day Accts";#N/A,#N/A,FALSE,"Tickmarks"}</definedName>
    <definedName name="SK" hidden="1">{#N/A,#N/A,FALSE,"Aging Summary";#N/A,#N/A,FALSE,"Ratio Analysis";#N/A,#N/A,FALSE,"Test 120 Day Accts";#N/A,#N/A,FALSE,"Tickmarks"}</definedName>
    <definedName name="sort" localSheetId="21" hidden="1">#REF!</definedName>
    <definedName name="sort" localSheetId="24" hidden="1">#REF!</definedName>
    <definedName name="sort" localSheetId="23" hidden="1">#REF!</definedName>
    <definedName name="sort" localSheetId="1" hidden="1">#REF!</definedName>
    <definedName name="sort" localSheetId="18" hidden="1">#REF!</definedName>
    <definedName name="sort" localSheetId="4" hidden="1">#REF!</definedName>
    <definedName name="sort" localSheetId="9" hidden="1">#REF!</definedName>
    <definedName name="sort" localSheetId="22" hidden="1">#REF!</definedName>
    <definedName name="sort" hidden="1">#REF!</definedName>
    <definedName name="susan" localSheetId="21" hidden="1">[14]sal!#REF!</definedName>
    <definedName name="susan" localSheetId="24" hidden="1">[14]sal!#REF!</definedName>
    <definedName name="susan" localSheetId="23" hidden="1">[14]sal!#REF!</definedName>
    <definedName name="susan" localSheetId="1" hidden="1">[14]sal!#REF!</definedName>
    <definedName name="susan" localSheetId="18" hidden="1">[14]sal!#REF!</definedName>
    <definedName name="susan" localSheetId="4" hidden="1">[14]sal!#REF!</definedName>
    <definedName name="susan" localSheetId="9" hidden="1">[14]sal!#REF!</definedName>
    <definedName name="susan" localSheetId="22" hidden="1">[14]sal!#REF!</definedName>
    <definedName name="susan" hidden="1">[14]sal!#REF!</definedName>
    <definedName name="TEMP.XLS" localSheetId="9" hidden="1">{#N/A,#N/A,FALSE,"DIR-REP";#N/A,#N/A,FALSE,"AUD-REPORT";#N/A,#N/A,FALSE,"P7L&amp;BS";#N/A,#N/A,FALSE,"NOTES";#N/A,#N/A,FALSE,"FA";#N/A,#N/A,FALSE,"NOTES (2)";#N/A,#N/A,FALSE,"Schedule  IV";#N/A,#N/A,FALSE,"Schedule V"}</definedName>
    <definedName name="TEMP.XLS" hidden="1">{#N/A,#N/A,FALSE,"DIR-REP";#N/A,#N/A,FALSE,"AUD-REPORT";#N/A,#N/A,FALSE,"P7L&amp;BS";#N/A,#N/A,FALSE,"NOTES";#N/A,#N/A,FALSE,"FA";#N/A,#N/A,FALSE,"NOTES (2)";#N/A,#N/A,FALSE,"Schedule  IV";#N/A,#N/A,FALSE,"Schedule V"}</definedName>
    <definedName name="TextRefCopyRangeCount" hidden="1">89</definedName>
    <definedName name="try" localSheetId="21" hidden="1">#REF!</definedName>
    <definedName name="try" localSheetId="24" hidden="1">#REF!</definedName>
    <definedName name="try" localSheetId="23" hidden="1">#REF!</definedName>
    <definedName name="try" localSheetId="1" hidden="1">#REF!</definedName>
    <definedName name="try" localSheetId="18" hidden="1">#REF!</definedName>
    <definedName name="try" localSheetId="4" hidden="1">#REF!</definedName>
    <definedName name="try" localSheetId="9" hidden="1">#REF!</definedName>
    <definedName name="try" localSheetId="22" hidden="1">#REF!</definedName>
    <definedName name="try" hidden="1">#REF!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unknown70" localSheetId="9" hidden="1">{#VALUE!,#N/A,FALSE,0;#N/A,#N/A,FALSE,0;#N/A,#N/A,FALSE,0;#N/A,#N/A,FALSE,0}</definedName>
    <definedName name="unknown70" hidden="1">{#VALUE!,#N/A,FALSE,0;#N/A,#N/A,FALSE,0;#N/A,#N/A,FALSE,0;#N/A,#N/A,FALSE,0}</definedName>
    <definedName name="unknownhc71_2" localSheetId="9" hidden="1">{#VALUE!,#N/A,FALSE,0;#N/A,#N/A,FALSE,0;#N/A,#N/A,FALSE,0;#N/A,#N/A,FALSE,0}</definedName>
    <definedName name="unknownhc71_2" hidden="1">{#VALUE!,#N/A,FALSE,0;#N/A,#N/A,FALSE,0;#N/A,#N/A,FALSE,0;#N/A,#N/A,FALSE,0}</definedName>
    <definedName name="utr" localSheetId="9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utr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vcf" localSheetId="9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vcf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whp" localSheetId="21" hidden="1">'[12]Ex Diff'!#REF!</definedName>
    <definedName name="whp" localSheetId="24" hidden="1">'[12]Ex Diff'!#REF!</definedName>
    <definedName name="whp" localSheetId="23" hidden="1">'[12]Ex Diff'!#REF!</definedName>
    <definedName name="whp" localSheetId="1" hidden="1">'[12]Ex Diff'!#REF!</definedName>
    <definedName name="whp" localSheetId="18" hidden="1">'[12]Ex Diff'!#REF!</definedName>
    <definedName name="whp" localSheetId="4" hidden="1">'[12]Ex Diff'!#REF!</definedName>
    <definedName name="whp" localSheetId="2" hidden="1">'[12]Ex Diff'!#REF!</definedName>
    <definedName name="whp" localSheetId="9" hidden="1">'[12]Ex Diff'!#REF!</definedName>
    <definedName name="whp" localSheetId="22" hidden="1">'[12]Ex Diff'!#REF!</definedName>
    <definedName name="whp" hidden="1">'[12]Ex Diff'!#REF!</definedName>
    <definedName name="WIEI" localSheetId="9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WIEI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wqwe2q111" localSheetId="9" hidden="1">{#N/A,#N/A,FALSE,"TAXC.INDEX";#N/A,#N/A,FALSE,"Schedule I";#N/A,#N/A,FALSE,"Schedule  II";#N/A,#N/A,FALSE,"Schedule III"}</definedName>
    <definedName name="wqwe2q111" hidden="1">{#N/A,#N/A,FALSE,"TAXC.INDEX";#N/A,#N/A,FALSE,"Schedule I";#N/A,#N/A,FALSE,"Schedule  II";#N/A,#N/A,FALSE,"Schedule III"}</definedName>
    <definedName name="wrn.Aging._.and._.Trend._.Analysis." localSheetId="9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ll." localSheetId="9" hidden="1">{#N/A,#N/A,FALSE,"COVER";#N/A,#N/A,FALSE,"0";#N/A,#N/A,FALSE,"1";#N/A,#N/A,FALSE,"2";#N/A,#N/A,FALSE,"3";#N/A,#N/A,FALSE,"4";#N/A,#N/A,FALSE,"5";#N/A,#N/A,FALSE,"6";#N/A,#N/A,FALSE,"7";#N/A,#N/A,FALSE,"8";#N/A,#N/A,FALSE,"9";#N/A,#N/A,FALSE,"10";#N/A,#N/A,FALSE,"11"}</definedName>
    <definedName name="wrn.all." hidden="1">{#N/A,#N/A,FALSE,"COVER";#N/A,#N/A,FALSE,"0";#N/A,#N/A,FALSE,"1";#N/A,#N/A,FALSE,"2";#N/A,#N/A,FALSE,"3";#N/A,#N/A,FALSE,"4";#N/A,#N/A,FALSE,"5";#N/A,#N/A,FALSE,"6";#N/A,#N/A,FALSE,"7";#N/A,#N/A,FALSE,"8";#N/A,#N/A,FALSE,"9";#N/A,#N/A,FALSE,"10";#N/A,#N/A,FALSE,"11"}</definedName>
    <definedName name="wrn.Bal_Sht_Inc_Stmt." localSheetId="9" hidden="1">{"Income_Statement",#N/A,FALSE,"XNV";"Balance_Sheet",#N/A,FALSE,"XNV"}</definedName>
    <definedName name="wrn.Bal_Sht_Inc_Stmt." hidden="1">{"Income_Statement",#N/A,FALSE,"XNV";"Balance_Sheet",#N/A,FALSE,"XNV"}</definedName>
    <definedName name="wrn.Balance._.sheet._.reports." localSheetId="9" hidden="1">{#N/A,#N/A,FALSE,"Def SF Recd"}</definedName>
    <definedName name="wrn.Balance._.sheet._.reports." hidden="1">{#N/A,#N/A,FALSE,"Def SF Recd"}</definedName>
    <definedName name="wrn.Balance_Sheet." localSheetId="9" hidden="1">{"Balance_Sheet",#N/A,FALSE,"XNV"}</definedName>
    <definedName name="wrn.Balance_Sheet." hidden="1">{"Balance_Sheet",#N/A,FALSE,"XNV"}</definedName>
    <definedName name="wrn.BS_SCHEDULE." localSheetId="9" hidden="1">{#N/A,#N/A,FALSE,"a-f&amp;e";#N/A,#N/A,FALSE,"a-land";#N/A,#N/A,FALSE,"b-invest-ac";#N/A,#N/A,FALSE,"b-share";#N/A,#N/A,FALSE,"c-intercom-table";#N/A,#N/A,FALSE,"d-intercom";#N/A,#N/A,FALSE,"d-invest";#N/A,#N/A,FALSE,"f-srec";#N/A,#N/A,FALSE,"g-tdebt";#N/A,#N/A,FALSE,"h-orec";#N/A,#N/A,FALSE,"i-directors";#N/A,#N/A,FALSE,"j-list";#N/A,#N/A,FALSE,"j-recon";#N/A,#N/A,FALSE,"i-tcret";#N/A,#N/A,FALSE,"m-opay";#N/A,#N/A,FALSE,"o-loans";#N/A,#N/A,FALSE,"y-cap-commit";#N/A,#N/A,FALSE,"z-post-bs"}</definedName>
    <definedName name="wrn.BS_SCHEDULE." hidden="1">{#N/A,#N/A,FALSE,"a-f&amp;e";#N/A,#N/A,FALSE,"a-land";#N/A,#N/A,FALSE,"b-invest-ac";#N/A,#N/A,FALSE,"b-share";#N/A,#N/A,FALSE,"c-intercom-table";#N/A,#N/A,FALSE,"d-intercom";#N/A,#N/A,FALSE,"d-invest";#N/A,#N/A,FALSE,"f-srec";#N/A,#N/A,FALSE,"g-tdebt";#N/A,#N/A,FALSE,"h-orec";#N/A,#N/A,FALSE,"i-directors";#N/A,#N/A,FALSE,"j-list";#N/A,#N/A,FALSE,"j-recon";#N/A,#N/A,FALSE,"i-tcret";#N/A,#N/A,FALSE,"m-opay";#N/A,#N/A,FALSE,"o-loans";#N/A,#N/A,FALSE,"y-cap-commit";#N/A,#N/A,FALSE,"z-post-bs"}</definedName>
    <definedName name="wrn.F.S.." localSheetId="9" hidden="1">{#N/A,#N/A,TRUE,"COVER";#N/A,#N/A,TRUE,"DIR";#N/A,#N/A,TRUE,"AUDIT"}</definedName>
    <definedName name="wrn.F.S.." hidden="1">{#N/A,#N/A,TRUE,"COVER";#N/A,#N/A,TRUE,"DIR";#N/A,#N/A,TRUE,"AUDIT"}</definedName>
    <definedName name="wrn.FA." localSheetId="9" hidden="1">{#N/A,#N/A,FALSE,"a-f&amp;e";#N/A,#N/A,FALSE,"a-land";#N/A,#N/A,FALSE,"pl-deprec";#N/A,#N/A,FALSE,"pl-fa-disposals"}</definedName>
    <definedName name="wrn.FA." hidden="1">{#N/A,#N/A,FALSE,"a-f&amp;e";#N/A,#N/A,FALSE,"a-land";#N/A,#N/A,FALSE,"pl-deprec";#N/A,#N/A,FALSE,"pl-fa-disposals"}</definedName>
    <definedName name="wrn.FIXED._.ASSETS." localSheetId="9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wrn.FIXED._.ASSETS.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wrn.Income_Statement." localSheetId="9" hidden="1">{"Income_Statement",#N/A,FALSE,"XNV"}</definedName>
    <definedName name="wrn.Income_Statement." hidden="1">{"Income_Statement",#N/A,FALSE,"XNV"}</definedName>
    <definedName name="wrn.new96FS." localSheetId="9" hidden="1">{#N/A,#N/A,FALSE,"CONTENTS";#N/A,#N/A,FALSE,"DR";#N/A,#N/A,FALSE,"PL";#N/A,#N/A,FALSE,"BS";#N/A,#N/A,FALSE,"Cash Flow";#N/A,#N/A,FALSE,"NOTES";#N/A,#N/A,FALSE,"NOTES (FA)";#N/A,#N/A,FALSE,"Notes(3)";#N/A,#N/A,FALSE,"NOTES (4)";#N/A,#N/A,FALSE,"DP&amp;L";#N/A,#N/A,FALSE,"EXPENSES";#N/A,#N/A,FALSE,"EXPENSES-1"}</definedName>
    <definedName name="wrn.new96FS." hidden="1">{#N/A,#N/A,FALSE,"CONTENTS";#N/A,#N/A,FALSE,"DR";#N/A,#N/A,FALSE,"PL";#N/A,#N/A,FALSE,"BS";#N/A,#N/A,FALSE,"Cash Flow";#N/A,#N/A,FALSE,"NOTES";#N/A,#N/A,FALSE,"NOTES (FA)";#N/A,#N/A,FALSE,"Notes(3)";#N/A,#N/A,FALSE,"NOTES (4)";#N/A,#N/A,FALSE,"DP&amp;L";#N/A,#N/A,FALSE,"EXPENSES";#N/A,#N/A,FALSE,"EXPENSES-1"}</definedName>
    <definedName name="wrn.new96PTC." localSheetId="9" hidden="1">{#N/A,#N/A,FALSE,"TAXC.INDEX";#N/A,#N/A,FALSE,"Schedule I";#N/A,#N/A,FALSE,"Schedule  II";#N/A,#N/A,FALSE,"Schedule III";#N/A,#N/A,FALSE,"Schedule IV";#N/A,#N/A,FALSE,"Schedule IV (Cont'd)";#N/A,#N/A,FALSE,"Schedule V";#N/A,#N/A,FALSE,"Schedule VI";#N/A,#N/A,FALSE,"Schedule VII"}</definedName>
    <definedName name="wrn.new96PTC." hidden="1">{#N/A,#N/A,FALSE,"TAXC.INDEX";#N/A,#N/A,FALSE,"Schedule I";#N/A,#N/A,FALSE,"Schedule  II";#N/A,#N/A,FALSE,"Schedule III";#N/A,#N/A,FALSE,"Schedule IV";#N/A,#N/A,FALSE,"Schedule IV (Cont'd)";#N/A,#N/A,FALSE,"Schedule V";#N/A,#N/A,FALSE,"Schedule VI";#N/A,#N/A,FALSE,"Schedule VII"}</definedName>
    <definedName name="wrn.Pending._.AC." localSheetId="9" hidden="1">{#N/A,#N/A,FALSE,"3410599";#N/A,#N/A,FALSE,"34106";#N/A,#N/A,FALSE,"34903";#N/A,#N/A,FALSE,"4450999";#N/A,#N/A,FALSE,"44901"}</definedName>
    <definedName name="wrn.Pending._.AC." hidden="1">{#N/A,#N/A,FALSE,"3410599";#N/A,#N/A,FALSE,"34106";#N/A,#N/A,FALSE,"34903";#N/A,#N/A,FALSE,"4450999";#N/A,#N/A,FALSE,"44901"}</definedName>
    <definedName name="wrn.PL_SCHEDULE." localSheetId="9" hidden="1">{#N/A,#N/A,FALSE,"pl-baddebts";#N/A,#N/A,FALSE,"pl-comm";#N/A,#N/A,FALSE,"pl-deprec";#N/A,#N/A,FALSE,"pl-donations";#N/A,#N/A,FALSE,"pl-exchange";#N/A,#N/A,FALSE,"pl-entertain";#N/A,#N/A,FALSE,"pl-fa-disposals";#N/A,#N/A,FALSE,"pl-interest";#N/A,#N/A,FALSE,"pl-int-analysis";#N/A,#N/A,FALSE,"pl-interest-dir";#N/A,#N/A,FALSE,"pl-intercom";#N/A,#N/A,FALSE,"pl-legal";#N/A,#N/A,FALSE,"pl-man+comm";#N/A,#N/A,FALSE,"pl-motor";#N/A,#N/A,FALSE,"pl-pfund";#N/A,#N/A,FALSE,"pl-quota";#N/A,#N/A,FALSE,"pl-rates";#N/A,#N/A,FALSE,"pl-rent-income";#N/A,#N/A,FALSE,"pl-rent";#N/A,#N/A,FALSE,"pl-r&amp;m";#N/A,#N/A,FALSE,"pl-salary";#N/A,#N/A,FALSE,"pl-subcon";#N/A,#N/A,FALSE,"pl-trips"}</definedName>
    <definedName name="wrn.PL_SCHEDULE." hidden="1">{#N/A,#N/A,FALSE,"pl-baddebts";#N/A,#N/A,FALSE,"pl-comm";#N/A,#N/A,FALSE,"pl-deprec";#N/A,#N/A,FALSE,"pl-donations";#N/A,#N/A,FALSE,"pl-exchange";#N/A,#N/A,FALSE,"pl-entertain";#N/A,#N/A,FALSE,"pl-fa-disposals";#N/A,#N/A,FALSE,"pl-interest";#N/A,#N/A,FALSE,"pl-int-analysis";#N/A,#N/A,FALSE,"pl-interest-dir";#N/A,#N/A,FALSE,"pl-intercom";#N/A,#N/A,FALSE,"pl-legal";#N/A,#N/A,FALSE,"pl-man+comm";#N/A,#N/A,FALSE,"pl-motor";#N/A,#N/A,FALSE,"pl-pfund";#N/A,#N/A,FALSE,"pl-quota";#N/A,#N/A,FALSE,"pl-rates";#N/A,#N/A,FALSE,"pl-rent-income";#N/A,#N/A,FALSE,"pl-rent";#N/A,#N/A,FALSE,"pl-r&amp;m";#N/A,#N/A,FALSE,"pl-salary";#N/A,#N/A,FALSE,"pl-subcon";#N/A,#N/A,FALSE,"pl-trips"}</definedName>
    <definedName name="wrn.PrintReport." localSheetId="9" hidden="1">{"PrintReport",#N/A,FALSE,"Breakdown"}</definedName>
    <definedName name="wrn.PrintReport." hidden="1">{"PrintReport",#N/A,FALSE,"Breakdown"}</definedName>
    <definedName name="wrn.PrSch." localSheetId="9" hidden="1">{"PrSch",#N/A,FALSE,"Sheet1"}</definedName>
    <definedName name="wrn.PrSch." hidden="1">{"PrSch",#N/A,FALSE,"Sheet1"}</definedName>
    <definedName name="wrn.Site._.Report." localSheetId="9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wrn.Site._.Report.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wrn.Summary._.Report." localSheetId="9" hidden="1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wrn.Summary._.Report." hidden="1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wrn.summit." localSheetId="9" hidden="1">{#N/A,#N/A,FALSE,"TB";#N/A,#N/A,FALSE,"DR";#N/A,#N/A,FALSE,"AR";#N/A,#N/A,FALSE,"PL";#N/A,#N/A,FALSE,"BS";#N/A,#N/A,FALSE,"NOTES";#N/A,#N/A,FALSE,"NOTES (2)";#N/A,#N/A,FALSE,"NOTES (3)";#N/A,#N/A,FALSE,"DPL";#N/A,#N/A,FALSE,"TAXC.INDEX";#N/A,#N/A,FALSE,"Schedule I";#N/A,#N/A,FALSE,"Adjustments"}</definedName>
    <definedName name="wrn.summit." hidden="1">{#N/A,#N/A,FALSE,"TB";#N/A,#N/A,FALSE,"DR";#N/A,#N/A,FALSE,"AR";#N/A,#N/A,FALSE,"PL";#N/A,#N/A,FALSE,"BS";#N/A,#N/A,FALSE,"NOTES";#N/A,#N/A,FALSE,"NOTES (2)";#N/A,#N/A,FALSE,"NOTES (3)";#N/A,#N/A,FALSE,"DPL";#N/A,#N/A,FALSE,"TAXC.INDEX";#N/A,#N/A,FALSE,"Schedule I";#N/A,#N/A,FALSE,"Adjustments"}</definedName>
    <definedName name="wrn.taihing." localSheetId="9" hidden="1">{#N/A,#N/A,FALSE,"DIR-REP";#N/A,#N/A,FALSE,"AUD-REPORT";#N/A,#N/A,FALSE,"P7L&amp;BS";#N/A,#N/A,FALSE,"NOTES";#N/A,#N/A,FALSE,"FA";#N/A,#N/A,FALSE,"NOTES (2)";#N/A,#N/A,FALSE,"Schedule  IV";#N/A,#N/A,FALSE,"Schedule V"}</definedName>
    <definedName name="wrn.taihing." hidden="1">{#N/A,#N/A,FALSE,"DIR-REP";#N/A,#N/A,FALSE,"AUD-REPORT";#N/A,#N/A,FALSE,"P7L&amp;BS";#N/A,#N/A,FALSE,"NOTES";#N/A,#N/A,FALSE,"FA";#N/A,#N/A,FALSE,"NOTES (2)";#N/A,#N/A,FALSE,"Schedule  IV";#N/A,#N/A,FALSE,"Schedule V"}</definedName>
    <definedName name="wrn.TEMP." localSheetId="9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wrn.TEMP.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wrn.tiger." localSheetId="9" hidden="1">{#N/A,#N/A,FALSE,"TB";#N/A,#N/A,FALSE,"CONTENTS";#N/A,#N/A,FALSE,"DR";#N/A,#N/A,FALSE,"AR";#N/A,#N/A,FALSE,"BS";#N/A,#N/A,FALSE,"PL";#N/A,#N/A,FALSE,"NOTES";#N/A,#N/A,FALSE,"NOTES (2)";#N/A,#N/A,FALSE,"NOTES (3)";#N/A,#N/A,FALSE,"DPL";#N/A,#N/A,FALSE,"DPL"}</definedName>
    <definedName name="wrn.tiger." hidden="1">{#N/A,#N/A,FALSE,"TB";#N/A,#N/A,FALSE,"CONTENTS";#N/A,#N/A,FALSE,"DR";#N/A,#N/A,FALSE,"AR";#N/A,#N/A,FALSE,"BS";#N/A,#N/A,FALSE,"PL";#N/A,#N/A,FALSE,"NOTES";#N/A,#N/A,FALSE,"NOTES (2)";#N/A,#N/A,FALSE,"NOTES (3)";#N/A,#N/A,FALSE,"DPL";#N/A,#N/A,FALSE,"DPL"}</definedName>
    <definedName name="wrn.tigertax." localSheetId="9" hidden="1">{#N/A,#N/A,FALSE,"TAXC.INDEX";#N/A,#N/A,FALSE,"Schedule I";#N/A,#N/A,FALSE,"Schedule  II";#N/A,#N/A,FALSE,"Schedule III"}</definedName>
    <definedName name="wrn.tigertax." hidden="1">{#N/A,#N/A,FALSE,"TAXC.INDEX";#N/A,#N/A,FALSE,"Schedule I";#N/A,#N/A,FALSE,"Schedule  II";#N/A,#N/A,FALSE,"Schedule III"}</definedName>
    <definedName name="wrn.企业." localSheetId="9" hidden="1">{#N/A,#N/A,FALSE,"其他应收变动表"}</definedName>
    <definedName name="wrn.企业." hidden="1">{#N/A,#N/A,FALSE,"其他应收变动表"}</definedName>
    <definedName name="wV" localSheetId="9" hidden="1">{#N/A,#N/A,FALSE,"DIR-REP";#N/A,#N/A,FALSE,"AUD-REPORT";#N/A,#N/A,FALSE,"P7L&amp;BS";#N/A,#N/A,FALSE,"NOTES";#N/A,#N/A,FALSE,"FA";#N/A,#N/A,FALSE,"NOTES (2)";#N/A,#N/A,FALSE,"Schedule  IV";#N/A,#N/A,FALSE,"Schedule V"}</definedName>
    <definedName name="wV" hidden="1">{#N/A,#N/A,FALSE,"DIR-REP";#N/A,#N/A,FALSE,"AUD-REPORT";#N/A,#N/A,FALSE,"P7L&amp;BS";#N/A,#N/A,FALSE,"NOTES";#N/A,#N/A,FALSE,"FA";#N/A,#N/A,FALSE,"NOTES (2)";#N/A,#N/A,FALSE,"Schedule  IV";#N/A,#N/A,FALSE,"Schedule V"}</definedName>
    <definedName name="ww" localSheetId="9" hidden="1">{#N/A,#N/A,FALSE,"TAXC.INDEX";#N/A,#N/A,FALSE,"Schedule I";#N/A,#N/A,FALSE,"Schedule  II";#N/A,#N/A,FALSE,"Schedule III"}</definedName>
    <definedName name="ww" hidden="1">{#N/A,#N/A,FALSE,"TAXC.INDEX";#N/A,#N/A,FALSE,"Schedule I";#N/A,#N/A,FALSE,"Schedule  II";#N/A,#N/A,FALSE,"Schedule III"}</definedName>
    <definedName name="wwd" localSheetId="9" hidden="1">{"PrSch",#N/A,FALSE,"Sheet1"}</definedName>
    <definedName name="wwd" hidden="1">{"PrSch",#N/A,FALSE,"Sheet1"}</definedName>
    <definedName name="www" localSheetId="9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www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XREF_COLUMN_1" localSheetId="21" hidden="1">#REF!</definedName>
    <definedName name="XREF_COLUMN_1" localSheetId="24" hidden="1">#REF!</definedName>
    <definedName name="XREF_COLUMN_1" localSheetId="23" hidden="1">#REF!</definedName>
    <definedName name="XREF_COLUMN_1" localSheetId="1" hidden="1">#REF!</definedName>
    <definedName name="XREF_COLUMN_1" localSheetId="18" hidden="1">#REF!</definedName>
    <definedName name="XREF_COLUMN_1" localSheetId="4" hidden="1">#REF!</definedName>
    <definedName name="XREF_COLUMN_1" localSheetId="2" hidden="1">#REF!</definedName>
    <definedName name="XREF_COLUMN_1" localSheetId="9" hidden="1">#REF!</definedName>
    <definedName name="XREF_COLUMN_1" localSheetId="22" hidden="1">#REF!</definedName>
    <definedName name="XREF_COLUMN_1" hidden="1">#REF!</definedName>
    <definedName name="XREF_COLUMN_2" localSheetId="21" hidden="1">#REF!</definedName>
    <definedName name="XREF_COLUMN_2" localSheetId="24" hidden="1">#REF!</definedName>
    <definedName name="XREF_COLUMN_2" localSheetId="23" hidden="1">#REF!</definedName>
    <definedName name="XREF_COLUMN_2" localSheetId="1" hidden="1">#REF!</definedName>
    <definedName name="XREF_COLUMN_2" localSheetId="18" hidden="1">#REF!</definedName>
    <definedName name="XREF_COLUMN_2" localSheetId="4" hidden="1">#REF!</definedName>
    <definedName name="XREF_COLUMN_2" localSheetId="2" hidden="1">#REF!</definedName>
    <definedName name="XREF_COLUMN_2" localSheetId="9" hidden="1">#REF!</definedName>
    <definedName name="XREF_COLUMN_2" localSheetId="22" hidden="1">#REF!</definedName>
    <definedName name="XREF_COLUMN_2" hidden="1">#REF!</definedName>
    <definedName name="XREF_COLUMN_3" localSheetId="21" hidden="1">#REF!</definedName>
    <definedName name="XREF_COLUMN_3" localSheetId="24" hidden="1">#REF!</definedName>
    <definedName name="XREF_COLUMN_3" localSheetId="23" hidden="1">#REF!</definedName>
    <definedName name="XREF_COLUMN_3" localSheetId="1" hidden="1">#REF!</definedName>
    <definedName name="XREF_COLUMN_3" localSheetId="18" hidden="1">#REF!</definedName>
    <definedName name="XREF_COLUMN_3" localSheetId="4" hidden="1">#REF!</definedName>
    <definedName name="XREF_COLUMN_3" localSheetId="2" hidden="1">#REF!</definedName>
    <definedName name="XREF_COLUMN_3" localSheetId="9" hidden="1">#REF!</definedName>
    <definedName name="XREF_COLUMN_3" localSheetId="22" hidden="1">#REF!</definedName>
    <definedName name="XREF_COLUMN_3" hidden="1">#REF!</definedName>
    <definedName name="XREF_COLUMN_4" localSheetId="21" hidden="1">#REF!</definedName>
    <definedName name="XREF_COLUMN_4" localSheetId="24" hidden="1">#REF!</definedName>
    <definedName name="XREF_COLUMN_4" localSheetId="23" hidden="1">#REF!</definedName>
    <definedName name="XREF_COLUMN_4" localSheetId="1" hidden="1">#REF!</definedName>
    <definedName name="XREF_COLUMN_4" localSheetId="18" hidden="1">#REF!</definedName>
    <definedName name="XREF_COLUMN_4" localSheetId="4" hidden="1">#REF!</definedName>
    <definedName name="XREF_COLUMN_4" localSheetId="2" hidden="1">#REF!</definedName>
    <definedName name="XREF_COLUMN_4" localSheetId="9" hidden="1">#REF!</definedName>
    <definedName name="XREF_COLUMN_4" localSheetId="22" hidden="1">#REF!</definedName>
    <definedName name="XREF_COLUMN_4" hidden="1">#REF!</definedName>
    <definedName name="XREF_COLUMN_5" localSheetId="21" hidden="1">#REF!</definedName>
    <definedName name="XREF_COLUMN_5" localSheetId="24" hidden="1">#REF!</definedName>
    <definedName name="XREF_COLUMN_5" localSheetId="23" hidden="1">#REF!</definedName>
    <definedName name="XREF_COLUMN_5" localSheetId="1" hidden="1">#REF!</definedName>
    <definedName name="XREF_COLUMN_5" localSheetId="18" hidden="1">#REF!</definedName>
    <definedName name="XREF_COLUMN_5" localSheetId="4" hidden="1">#REF!</definedName>
    <definedName name="XREF_COLUMN_5" localSheetId="2" hidden="1">#REF!</definedName>
    <definedName name="XREF_COLUMN_5" localSheetId="9" hidden="1">#REF!</definedName>
    <definedName name="XREF_COLUMN_5" localSheetId="22" hidden="1">#REF!</definedName>
    <definedName name="XREF_COLUMN_5" hidden="1">#REF!</definedName>
    <definedName name="XREF_COLUMN_6" localSheetId="21" hidden="1">#REF!</definedName>
    <definedName name="XREF_COLUMN_6" localSheetId="24" hidden="1">#REF!</definedName>
    <definedName name="XREF_COLUMN_6" localSheetId="23" hidden="1">#REF!</definedName>
    <definedName name="XREF_COLUMN_6" localSheetId="1" hidden="1">#REF!</definedName>
    <definedName name="XREF_COLUMN_6" localSheetId="18" hidden="1">#REF!</definedName>
    <definedName name="XREF_COLUMN_6" localSheetId="4" hidden="1">#REF!</definedName>
    <definedName name="XREF_COLUMN_6" localSheetId="2" hidden="1">#REF!</definedName>
    <definedName name="XREF_COLUMN_6" localSheetId="9" hidden="1">#REF!</definedName>
    <definedName name="XREF_COLUMN_6" localSheetId="22" hidden="1">#REF!</definedName>
    <definedName name="XREF_COLUMN_6" hidden="1">#REF!</definedName>
    <definedName name="XRefActiveRow" localSheetId="21" hidden="1">#REF!</definedName>
    <definedName name="XRefActiveRow" localSheetId="24" hidden="1">#REF!</definedName>
    <definedName name="XRefActiveRow" localSheetId="23" hidden="1">#REF!</definedName>
    <definedName name="XRefActiveRow" localSheetId="1" hidden="1">#REF!</definedName>
    <definedName name="XRefActiveRow" localSheetId="18" hidden="1">#REF!</definedName>
    <definedName name="XRefActiveRow" localSheetId="4" hidden="1">#REF!</definedName>
    <definedName name="XRefActiveRow" localSheetId="2" hidden="1">#REF!</definedName>
    <definedName name="XRefActiveRow" localSheetId="9" hidden="1">#REF!</definedName>
    <definedName name="XRefActiveRow" localSheetId="22" hidden="1">#REF!</definedName>
    <definedName name="XRefActiveRow" hidden="1">#REF!</definedName>
    <definedName name="XRefColumnsCount" hidden="1">2</definedName>
    <definedName name="XRefCopy1" localSheetId="21" hidden="1">#REF!</definedName>
    <definedName name="XRefCopy1" localSheetId="24" hidden="1">#REF!</definedName>
    <definedName name="XRefCopy1" localSheetId="23" hidden="1">#REF!</definedName>
    <definedName name="XRefCopy1" localSheetId="1" hidden="1">#REF!</definedName>
    <definedName name="XRefCopy1" localSheetId="18" hidden="1">#REF!</definedName>
    <definedName name="XRefCopy1" localSheetId="4" hidden="1">#REF!</definedName>
    <definedName name="XRefCopy1" localSheetId="2" hidden="1">#REF!</definedName>
    <definedName name="XRefCopy1" localSheetId="9" hidden="1">#REF!</definedName>
    <definedName name="XRefCopy1" localSheetId="22" hidden="1">#REF!</definedName>
    <definedName name="XRefCopy1" hidden="1">#REF!</definedName>
    <definedName name="XRefCopy10" localSheetId="21" hidden="1">#REF!</definedName>
    <definedName name="XRefCopy10" localSheetId="24" hidden="1">#REF!</definedName>
    <definedName name="XRefCopy10" localSheetId="23" hidden="1">#REF!</definedName>
    <definedName name="XRefCopy10" localSheetId="1" hidden="1">#REF!</definedName>
    <definedName name="XRefCopy10" localSheetId="18" hidden="1">#REF!</definedName>
    <definedName name="XRefCopy10" localSheetId="4" hidden="1">#REF!</definedName>
    <definedName name="XRefCopy10" localSheetId="9" hidden="1">#REF!</definedName>
    <definedName name="XRefCopy10" localSheetId="22" hidden="1">#REF!</definedName>
    <definedName name="XRefCopy10" hidden="1">#REF!</definedName>
    <definedName name="XRefCopy10Row" localSheetId="21" hidden="1">#REF!</definedName>
    <definedName name="XRefCopy10Row" localSheetId="24" hidden="1">#REF!</definedName>
    <definedName name="XRefCopy10Row" localSheetId="23" hidden="1">#REF!</definedName>
    <definedName name="XRefCopy10Row" localSheetId="1" hidden="1">#REF!</definedName>
    <definedName name="XRefCopy10Row" localSheetId="18" hidden="1">#REF!</definedName>
    <definedName name="XRefCopy10Row" localSheetId="4" hidden="1">#REF!</definedName>
    <definedName name="XRefCopy10Row" localSheetId="9" hidden="1">#REF!</definedName>
    <definedName name="XRefCopy10Row" localSheetId="22" hidden="1">#REF!</definedName>
    <definedName name="XRefCopy10Row" hidden="1">#REF!</definedName>
    <definedName name="XRefCopy11" localSheetId="21" hidden="1">#REF!</definedName>
    <definedName name="XRefCopy11" localSheetId="24" hidden="1">#REF!</definedName>
    <definedName name="XRefCopy11" localSheetId="23" hidden="1">#REF!</definedName>
    <definedName name="XRefCopy11" localSheetId="1" hidden="1">#REF!</definedName>
    <definedName name="XRefCopy11" localSheetId="18" hidden="1">#REF!</definedName>
    <definedName name="XRefCopy11" localSheetId="4" hidden="1">#REF!</definedName>
    <definedName name="XRefCopy11" localSheetId="9" hidden="1">#REF!</definedName>
    <definedName name="XRefCopy11" localSheetId="22" hidden="1">#REF!</definedName>
    <definedName name="XRefCopy11" hidden="1">#REF!</definedName>
    <definedName name="XRefCopy11Row" localSheetId="21" hidden="1">#REF!</definedName>
    <definedName name="XRefCopy11Row" localSheetId="24" hidden="1">#REF!</definedName>
    <definedName name="XRefCopy11Row" localSheetId="23" hidden="1">#REF!</definedName>
    <definedName name="XRefCopy11Row" localSheetId="1" hidden="1">#REF!</definedName>
    <definedName name="XRefCopy11Row" localSheetId="18" hidden="1">#REF!</definedName>
    <definedName name="XRefCopy11Row" localSheetId="4" hidden="1">#REF!</definedName>
    <definedName name="XRefCopy11Row" localSheetId="9" hidden="1">#REF!</definedName>
    <definedName name="XRefCopy11Row" localSheetId="22" hidden="1">#REF!</definedName>
    <definedName name="XRefCopy11Row" hidden="1">#REF!</definedName>
    <definedName name="XRefCopy12" localSheetId="21" hidden="1">#REF!</definedName>
    <definedName name="XRefCopy12" localSheetId="24" hidden="1">#REF!</definedName>
    <definedName name="XRefCopy12" localSheetId="23" hidden="1">#REF!</definedName>
    <definedName name="XRefCopy12" localSheetId="1" hidden="1">#REF!</definedName>
    <definedName name="XRefCopy12" localSheetId="18" hidden="1">#REF!</definedName>
    <definedName name="XRefCopy12" localSheetId="4" hidden="1">#REF!</definedName>
    <definedName name="XRefCopy12" localSheetId="9" hidden="1">#REF!</definedName>
    <definedName name="XRefCopy12" localSheetId="22" hidden="1">#REF!</definedName>
    <definedName name="XRefCopy12" hidden="1">#REF!</definedName>
    <definedName name="XRefCopy12Row" localSheetId="21" hidden="1">#REF!</definedName>
    <definedName name="XRefCopy12Row" localSheetId="24" hidden="1">#REF!</definedName>
    <definedName name="XRefCopy12Row" localSheetId="23" hidden="1">#REF!</definedName>
    <definedName name="XRefCopy12Row" localSheetId="1" hidden="1">#REF!</definedName>
    <definedName name="XRefCopy12Row" localSheetId="18" hidden="1">#REF!</definedName>
    <definedName name="XRefCopy12Row" localSheetId="4" hidden="1">#REF!</definedName>
    <definedName name="XRefCopy12Row" localSheetId="9" hidden="1">#REF!</definedName>
    <definedName name="XRefCopy12Row" localSheetId="22" hidden="1">#REF!</definedName>
    <definedName name="XRefCopy12Row" hidden="1">#REF!</definedName>
    <definedName name="XRefCopy13" localSheetId="21" hidden="1">#REF!</definedName>
    <definedName name="XRefCopy13" localSheetId="24" hidden="1">#REF!</definedName>
    <definedName name="XRefCopy13" localSheetId="23" hidden="1">#REF!</definedName>
    <definedName name="XRefCopy13" localSheetId="1" hidden="1">#REF!</definedName>
    <definedName name="XRefCopy13" localSheetId="18" hidden="1">#REF!</definedName>
    <definedName name="XRefCopy13" localSheetId="4" hidden="1">#REF!</definedName>
    <definedName name="XRefCopy13" localSheetId="9" hidden="1">#REF!</definedName>
    <definedName name="XRefCopy13" localSheetId="22" hidden="1">#REF!</definedName>
    <definedName name="XRefCopy13" hidden="1">#REF!</definedName>
    <definedName name="XRefCopy13Row" localSheetId="21" hidden="1">#REF!</definedName>
    <definedName name="XRefCopy13Row" localSheetId="24" hidden="1">#REF!</definedName>
    <definedName name="XRefCopy13Row" localSheetId="23" hidden="1">#REF!</definedName>
    <definedName name="XRefCopy13Row" localSheetId="1" hidden="1">#REF!</definedName>
    <definedName name="XRefCopy13Row" localSheetId="18" hidden="1">#REF!</definedName>
    <definedName name="XRefCopy13Row" localSheetId="4" hidden="1">#REF!</definedName>
    <definedName name="XRefCopy13Row" localSheetId="9" hidden="1">#REF!</definedName>
    <definedName name="XRefCopy13Row" localSheetId="22" hidden="1">#REF!</definedName>
    <definedName name="XRefCopy13Row" hidden="1">#REF!</definedName>
    <definedName name="XRefCopy14" localSheetId="21" hidden="1">#REF!</definedName>
    <definedName name="XRefCopy14" localSheetId="24" hidden="1">#REF!</definedName>
    <definedName name="XRefCopy14" localSheetId="23" hidden="1">#REF!</definedName>
    <definedName name="XRefCopy14" localSheetId="1" hidden="1">#REF!</definedName>
    <definedName name="XRefCopy14" localSheetId="18" hidden="1">#REF!</definedName>
    <definedName name="XRefCopy14" localSheetId="4" hidden="1">#REF!</definedName>
    <definedName name="XRefCopy14" localSheetId="9" hidden="1">#REF!</definedName>
    <definedName name="XRefCopy14" localSheetId="22" hidden="1">#REF!</definedName>
    <definedName name="XRefCopy14" hidden="1">#REF!</definedName>
    <definedName name="XRefCopy14Row" localSheetId="21" hidden="1">#REF!</definedName>
    <definedName name="XRefCopy14Row" localSheetId="24" hidden="1">#REF!</definedName>
    <definedName name="XRefCopy14Row" localSheetId="23" hidden="1">#REF!</definedName>
    <definedName name="XRefCopy14Row" localSheetId="1" hidden="1">#REF!</definedName>
    <definedName name="XRefCopy14Row" localSheetId="18" hidden="1">#REF!</definedName>
    <definedName name="XRefCopy14Row" localSheetId="4" hidden="1">#REF!</definedName>
    <definedName name="XRefCopy14Row" localSheetId="9" hidden="1">#REF!</definedName>
    <definedName name="XRefCopy14Row" localSheetId="22" hidden="1">#REF!</definedName>
    <definedName name="XRefCopy14Row" hidden="1">#REF!</definedName>
    <definedName name="XRefCopy15" localSheetId="21" hidden="1">#REF!</definedName>
    <definedName name="XRefCopy15" localSheetId="24" hidden="1">#REF!</definedName>
    <definedName name="XRefCopy15" localSheetId="23" hidden="1">#REF!</definedName>
    <definedName name="XRefCopy15" localSheetId="1" hidden="1">#REF!</definedName>
    <definedName name="XRefCopy15" localSheetId="18" hidden="1">#REF!</definedName>
    <definedName name="XRefCopy15" localSheetId="4" hidden="1">#REF!</definedName>
    <definedName name="XRefCopy15" localSheetId="9" hidden="1">#REF!</definedName>
    <definedName name="XRefCopy15" localSheetId="22" hidden="1">#REF!</definedName>
    <definedName name="XRefCopy15" hidden="1">#REF!</definedName>
    <definedName name="XRefCopy15Row" localSheetId="21" hidden="1">#REF!</definedName>
    <definedName name="XRefCopy15Row" localSheetId="24" hidden="1">#REF!</definedName>
    <definedName name="XRefCopy15Row" localSheetId="23" hidden="1">#REF!</definedName>
    <definedName name="XRefCopy15Row" localSheetId="1" hidden="1">#REF!</definedName>
    <definedName name="XRefCopy15Row" localSheetId="18" hidden="1">#REF!</definedName>
    <definedName name="XRefCopy15Row" localSheetId="4" hidden="1">#REF!</definedName>
    <definedName name="XRefCopy15Row" localSheetId="9" hidden="1">#REF!</definedName>
    <definedName name="XRefCopy15Row" localSheetId="22" hidden="1">#REF!</definedName>
    <definedName name="XRefCopy15Row" hidden="1">#REF!</definedName>
    <definedName name="XRefCopy16" localSheetId="21" hidden="1">#REF!</definedName>
    <definedName name="XRefCopy16" localSheetId="24" hidden="1">#REF!</definedName>
    <definedName name="XRefCopy16" localSheetId="23" hidden="1">#REF!</definedName>
    <definedName name="XRefCopy16" localSheetId="1" hidden="1">#REF!</definedName>
    <definedName name="XRefCopy16" localSheetId="18" hidden="1">#REF!</definedName>
    <definedName name="XRefCopy16" localSheetId="4" hidden="1">#REF!</definedName>
    <definedName name="XRefCopy16" localSheetId="9" hidden="1">#REF!</definedName>
    <definedName name="XRefCopy16" localSheetId="22" hidden="1">#REF!</definedName>
    <definedName name="XRefCopy16" hidden="1">#REF!</definedName>
    <definedName name="XRefCopy16Row" localSheetId="21" hidden="1">#REF!</definedName>
    <definedName name="XRefCopy16Row" localSheetId="24" hidden="1">#REF!</definedName>
    <definedName name="XRefCopy16Row" localSheetId="23" hidden="1">#REF!</definedName>
    <definedName name="XRefCopy16Row" localSheetId="1" hidden="1">#REF!</definedName>
    <definedName name="XRefCopy16Row" localSheetId="18" hidden="1">#REF!</definedName>
    <definedName name="XRefCopy16Row" localSheetId="4" hidden="1">#REF!</definedName>
    <definedName name="XRefCopy16Row" localSheetId="9" hidden="1">#REF!</definedName>
    <definedName name="XRefCopy16Row" localSheetId="22" hidden="1">#REF!</definedName>
    <definedName name="XRefCopy16Row" hidden="1">#REF!</definedName>
    <definedName name="XRefCopy17" localSheetId="21" hidden="1">#REF!</definedName>
    <definedName name="XRefCopy17" localSheetId="24" hidden="1">#REF!</definedName>
    <definedName name="XRefCopy17" localSheetId="23" hidden="1">#REF!</definedName>
    <definedName name="XRefCopy17" localSheetId="1" hidden="1">#REF!</definedName>
    <definedName name="XRefCopy17" localSheetId="18" hidden="1">#REF!</definedName>
    <definedName name="XRefCopy17" localSheetId="4" hidden="1">#REF!</definedName>
    <definedName name="XRefCopy17" localSheetId="9" hidden="1">#REF!</definedName>
    <definedName name="XRefCopy17" localSheetId="22" hidden="1">#REF!</definedName>
    <definedName name="XRefCopy17" hidden="1">#REF!</definedName>
    <definedName name="XRefCopy17Row" localSheetId="21" hidden="1">#REF!</definedName>
    <definedName name="XRefCopy17Row" localSheetId="24" hidden="1">#REF!</definedName>
    <definedName name="XRefCopy17Row" localSheetId="23" hidden="1">#REF!</definedName>
    <definedName name="XRefCopy17Row" localSheetId="1" hidden="1">#REF!</definedName>
    <definedName name="XRefCopy17Row" localSheetId="18" hidden="1">#REF!</definedName>
    <definedName name="XRefCopy17Row" localSheetId="4" hidden="1">#REF!</definedName>
    <definedName name="XRefCopy17Row" localSheetId="9" hidden="1">#REF!</definedName>
    <definedName name="XRefCopy17Row" localSheetId="22" hidden="1">#REF!</definedName>
    <definedName name="XRefCopy17Row" hidden="1">#REF!</definedName>
    <definedName name="XRefCopy18" localSheetId="21" hidden="1">#REF!</definedName>
    <definedName name="XRefCopy18" localSheetId="24" hidden="1">#REF!</definedName>
    <definedName name="XRefCopy18" localSheetId="23" hidden="1">#REF!</definedName>
    <definedName name="XRefCopy18" localSheetId="1" hidden="1">#REF!</definedName>
    <definedName name="XRefCopy18" localSheetId="18" hidden="1">#REF!</definedName>
    <definedName name="XRefCopy18" localSheetId="4" hidden="1">#REF!</definedName>
    <definedName name="XRefCopy18" localSheetId="9" hidden="1">#REF!</definedName>
    <definedName name="XRefCopy18" localSheetId="22" hidden="1">#REF!</definedName>
    <definedName name="XRefCopy18" hidden="1">#REF!</definedName>
    <definedName name="XRefCopy18Row" localSheetId="21" hidden="1">#REF!</definedName>
    <definedName name="XRefCopy18Row" localSheetId="24" hidden="1">#REF!</definedName>
    <definedName name="XRefCopy18Row" localSheetId="23" hidden="1">#REF!</definedName>
    <definedName name="XRefCopy18Row" localSheetId="1" hidden="1">#REF!</definedName>
    <definedName name="XRefCopy18Row" localSheetId="18" hidden="1">#REF!</definedName>
    <definedName name="XRefCopy18Row" localSheetId="4" hidden="1">#REF!</definedName>
    <definedName name="XRefCopy18Row" localSheetId="9" hidden="1">#REF!</definedName>
    <definedName name="XRefCopy18Row" localSheetId="22" hidden="1">#REF!</definedName>
    <definedName name="XRefCopy18Row" hidden="1">#REF!</definedName>
    <definedName name="XRefCopy19" localSheetId="21" hidden="1">'[15]BS-9.06'!#REF!</definedName>
    <definedName name="XRefCopy19" localSheetId="24" hidden="1">'[15]BS-9.06'!#REF!</definedName>
    <definedName name="XRefCopy19" localSheetId="23" hidden="1">'[15]BS-9.06'!#REF!</definedName>
    <definedName name="XRefCopy19" localSheetId="1" hidden="1">'[15]BS-9.06'!#REF!</definedName>
    <definedName name="XRefCopy19" localSheetId="18" hidden="1">'[15]BS-9.06'!#REF!</definedName>
    <definedName name="XRefCopy19" localSheetId="4" hidden="1">'[15]BS-9.06'!#REF!</definedName>
    <definedName name="XRefCopy19" localSheetId="9" hidden="1">'[15]BS-9.06'!#REF!</definedName>
    <definedName name="XRefCopy19" localSheetId="22" hidden="1">'[15]BS-9.06'!#REF!</definedName>
    <definedName name="XRefCopy19" hidden="1">'[15]BS-9.06'!#REF!</definedName>
    <definedName name="XRefCopy19Row" localSheetId="21" hidden="1">#REF!</definedName>
    <definedName name="XRefCopy19Row" localSheetId="24" hidden="1">#REF!</definedName>
    <definedName name="XRefCopy19Row" localSheetId="23" hidden="1">#REF!</definedName>
    <definedName name="XRefCopy19Row" localSheetId="1" hidden="1">#REF!</definedName>
    <definedName name="XRefCopy19Row" localSheetId="18" hidden="1">#REF!</definedName>
    <definedName name="XRefCopy19Row" localSheetId="4" hidden="1">#REF!</definedName>
    <definedName name="XRefCopy19Row" localSheetId="9" hidden="1">#REF!</definedName>
    <definedName name="XRefCopy19Row" localSheetId="22" hidden="1">#REF!</definedName>
    <definedName name="XRefCopy19Row" hidden="1">#REF!</definedName>
    <definedName name="XRefCopy1Row" localSheetId="21" hidden="1">#REF!</definedName>
    <definedName name="XRefCopy1Row" localSheetId="24" hidden="1">#REF!</definedName>
    <definedName name="XRefCopy1Row" localSheetId="23" hidden="1">#REF!</definedName>
    <definedName name="XRefCopy1Row" localSheetId="1" hidden="1">#REF!</definedName>
    <definedName name="XRefCopy1Row" localSheetId="18" hidden="1">#REF!</definedName>
    <definedName name="XRefCopy1Row" localSheetId="4" hidden="1">#REF!</definedName>
    <definedName name="XRefCopy1Row" localSheetId="2" hidden="1">#REF!</definedName>
    <definedName name="XRefCopy1Row" localSheetId="9" hidden="1">#REF!</definedName>
    <definedName name="XRefCopy1Row" localSheetId="22" hidden="1">#REF!</definedName>
    <definedName name="XRefCopy1Row" hidden="1">#REF!</definedName>
    <definedName name="XRefCopy2" localSheetId="21" hidden="1">#REF!</definedName>
    <definedName name="XRefCopy2" localSheetId="24" hidden="1">#REF!</definedName>
    <definedName name="XRefCopy2" localSheetId="23" hidden="1">#REF!</definedName>
    <definedName name="XRefCopy2" localSheetId="1" hidden="1">#REF!</definedName>
    <definedName name="XRefCopy2" localSheetId="18" hidden="1">#REF!</definedName>
    <definedName name="XRefCopy2" localSheetId="4" hidden="1">#REF!</definedName>
    <definedName name="XRefCopy2" localSheetId="2" hidden="1">#REF!</definedName>
    <definedName name="XRefCopy2" localSheetId="9" hidden="1">#REF!</definedName>
    <definedName name="XRefCopy2" localSheetId="22" hidden="1">#REF!</definedName>
    <definedName name="XRefCopy2" hidden="1">#REF!</definedName>
    <definedName name="XRefCopy20" localSheetId="21" hidden="1">#REF!</definedName>
    <definedName name="XRefCopy20" localSheetId="24" hidden="1">#REF!</definedName>
    <definedName name="XRefCopy20" localSheetId="23" hidden="1">#REF!</definedName>
    <definedName name="XRefCopy20" localSheetId="1" hidden="1">#REF!</definedName>
    <definedName name="XRefCopy20" localSheetId="18" hidden="1">#REF!</definedName>
    <definedName name="XRefCopy20" localSheetId="4" hidden="1">#REF!</definedName>
    <definedName name="XRefCopy20" localSheetId="9" hidden="1">#REF!</definedName>
    <definedName name="XRefCopy20" localSheetId="22" hidden="1">#REF!</definedName>
    <definedName name="XRefCopy20" hidden="1">#REF!</definedName>
    <definedName name="XRefCopy20Row" localSheetId="21" hidden="1">#REF!</definedName>
    <definedName name="XRefCopy20Row" localSheetId="24" hidden="1">#REF!</definedName>
    <definedName name="XRefCopy20Row" localSheetId="23" hidden="1">#REF!</definedName>
    <definedName name="XRefCopy20Row" localSheetId="1" hidden="1">#REF!</definedName>
    <definedName name="XRefCopy20Row" localSheetId="18" hidden="1">#REF!</definedName>
    <definedName name="XRefCopy20Row" localSheetId="4" hidden="1">#REF!</definedName>
    <definedName name="XRefCopy20Row" localSheetId="9" hidden="1">#REF!</definedName>
    <definedName name="XRefCopy20Row" localSheetId="22" hidden="1">#REF!</definedName>
    <definedName name="XRefCopy20Row" hidden="1">#REF!</definedName>
    <definedName name="XRefCopy21" localSheetId="21" hidden="1">#REF!</definedName>
    <definedName name="XRefCopy21" localSheetId="24" hidden="1">#REF!</definedName>
    <definedName name="XRefCopy21" localSheetId="23" hidden="1">#REF!</definedName>
    <definedName name="XRefCopy21" localSheetId="1" hidden="1">#REF!</definedName>
    <definedName name="XRefCopy21" localSheetId="18" hidden="1">#REF!</definedName>
    <definedName name="XRefCopy21" localSheetId="4" hidden="1">#REF!</definedName>
    <definedName name="XRefCopy21" localSheetId="9" hidden="1">#REF!</definedName>
    <definedName name="XRefCopy21" localSheetId="22" hidden="1">#REF!</definedName>
    <definedName name="XRefCopy21" hidden="1">#REF!</definedName>
    <definedName name="XRefCopy21Row" localSheetId="21" hidden="1">#REF!</definedName>
    <definedName name="XRefCopy21Row" localSheetId="24" hidden="1">#REF!</definedName>
    <definedName name="XRefCopy21Row" localSheetId="23" hidden="1">#REF!</definedName>
    <definedName name="XRefCopy21Row" localSheetId="1" hidden="1">#REF!</definedName>
    <definedName name="XRefCopy21Row" localSheetId="18" hidden="1">#REF!</definedName>
    <definedName name="XRefCopy21Row" localSheetId="4" hidden="1">#REF!</definedName>
    <definedName name="XRefCopy21Row" localSheetId="9" hidden="1">#REF!</definedName>
    <definedName name="XRefCopy21Row" localSheetId="22" hidden="1">#REF!</definedName>
    <definedName name="XRefCopy21Row" hidden="1">#REF!</definedName>
    <definedName name="XRefCopy22" localSheetId="21" hidden="1">#REF!</definedName>
    <definedName name="XRefCopy22" localSheetId="24" hidden="1">#REF!</definedName>
    <definedName name="XRefCopy22" localSheetId="23" hidden="1">#REF!</definedName>
    <definedName name="XRefCopy22" localSheetId="1" hidden="1">#REF!</definedName>
    <definedName name="XRefCopy22" localSheetId="18" hidden="1">#REF!</definedName>
    <definedName name="XRefCopy22" localSheetId="4" hidden="1">#REF!</definedName>
    <definedName name="XRefCopy22" localSheetId="9" hidden="1">#REF!</definedName>
    <definedName name="XRefCopy22" localSheetId="22" hidden="1">#REF!</definedName>
    <definedName name="XRefCopy22" hidden="1">#REF!</definedName>
    <definedName name="XRefCopy22Row" localSheetId="21" hidden="1">#REF!</definedName>
    <definedName name="XRefCopy22Row" localSheetId="24" hidden="1">#REF!</definedName>
    <definedName name="XRefCopy22Row" localSheetId="23" hidden="1">#REF!</definedName>
    <definedName name="XRefCopy22Row" localSheetId="1" hidden="1">#REF!</definedName>
    <definedName name="XRefCopy22Row" localSheetId="18" hidden="1">#REF!</definedName>
    <definedName name="XRefCopy22Row" localSheetId="4" hidden="1">#REF!</definedName>
    <definedName name="XRefCopy22Row" localSheetId="9" hidden="1">#REF!</definedName>
    <definedName name="XRefCopy22Row" localSheetId="22" hidden="1">#REF!</definedName>
    <definedName name="XRefCopy22Row" hidden="1">#REF!</definedName>
    <definedName name="XRefCopy23" localSheetId="21" hidden="1">#REF!</definedName>
    <definedName name="XRefCopy23" localSheetId="24" hidden="1">#REF!</definedName>
    <definedName name="XRefCopy23" localSheetId="23" hidden="1">#REF!</definedName>
    <definedName name="XRefCopy23" localSheetId="1" hidden="1">#REF!</definedName>
    <definedName name="XRefCopy23" localSheetId="18" hidden="1">#REF!</definedName>
    <definedName name="XRefCopy23" localSheetId="4" hidden="1">#REF!</definedName>
    <definedName name="XRefCopy23" localSheetId="9" hidden="1">#REF!</definedName>
    <definedName name="XRefCopy23" localSheetId="22" hidden="1">#REF!</definedName>
    <definedName name="XRefCopy23" hidden="1">#REF!</definedName>
    <definedName name="XRefCopy23Row" localSheetId="21" hidden="1">#REF!</definedName>
    <definedName name="XRefCopy23Row" localSheetId="24" hidden="1">#REF!</definedName>
    <definedName name="XRefCopy23Row" localSheetId="23" hidden="1">#REF!</definedName>
    <definedName name="XRefCopy23Row" localSheetId="1" hidden="1">#REF!</definedName>
    <definedName name="XRefCopy23Row" localSheetId="18" hidden="1">#REF!</definedName>
    <definedName name="XRefCopy23Row" localSheetId="4" hidden="1">#REF!</definedName>
    <definedName name="XRefCopy23Row" localSheetId="9" hidden="1">#REF!</definedName>
    <definedName name="XRefCopy23Row" localSheetId="22" hidden="1">#REF!</definedName>
    <definedName name="XRefCopy23Row" hidden="1">#REF!</definedName>
    <definedName name="XRefCopy24" localSheetId="21" hidden="1">#REF!</definedName>
    <definedName name="XRefCopy24" localSheetId="24" hidden="1">#REF!</definedName>
    <definedName name="XRefCopy24" localSheetId="23" hidden="1">#REF!</definedName>
    <definedName name="XRefCopy24" localSheetId="1" hidden="1">#REF!</definedName>
    <definedName name="XRefCopy24" localSheetId="18" hidden="1">#REF!</definedName>
    <definedName name="XRefCopy24" localSheetId="4" hidden="1">#REF!</definedName>
    <definedName name="XRefCopy24" localSheetId="9" hidden="1">#REF!</definedName>
    <definedName name="XRefCopy24" localSheetId="22" hidden="1">#REF!</definedName>
    <definedName name="XRefCopy24" hidden="1">#REF!</definedName>
    <definedName name="XRefCopy24Row" localSheetId="21" hidden="1">#REF!</definedName>
    <definedName name="XRefCopy24Row" localSheetId="24" hidden="1">#REF!</definedName>
    <definedName name="XRefCopy24Row" localSheetId="23" hidden="1">#REF!</definedName>
    <definedName name="XRefCopy24Row" localSheetId="1" hidden="1">#REF!</definedName>
    <definedName name="XRefCopy24Row" localSheetId="18" hidden="1">#REF!</definedName>
    <definedName name="XRefCopy24Row" localSheetId="4" hidden="1">#REF!</definedName>
    <definedName name="XRefCopy24Row" localSheetId="9" hidden="1">#REF!</definedName>
    <definedName name="XRefCopy24Row" localSheetId="22" hidden="1">#REF!</definedName>
    <definedName name="XRefCopy24Row" hidden="1">#REF!</definedName>
    <definedName name="XRefCopy25" localSheetId="21" hidden="1">#REF!</definedName>
    <definedName name="XRefCopy25" localSheetId="24" hidden="1">#REF!</definedName>
    <definedName name="XRefCopy25" localSheetId="23" hidden="1">#REF!</definedName>
    <definedName name="XRefCopy25" localSheetId="1" hidden="1">#REF!</definedName>
    <definedName name="XRefCopy25" localSheetId="18" hidden="1">#REF!</definedName>
    <definedName name="XRefCopy25" localSheetId="4" hidden="1">#REF!</definedName>
    <definedName name="XRefCopy25" localSheetId="9" hidden="1">#REF!</definedName>
    <definedName name="XRefCopy25" localSheetId="22" hidden="1">#REF!</definedName>
    <definedName name="XRefCopy25" hidden="1">#REF!</definedName>
    <definedName name="XRefCopy25Row" localSheetId="21" hidden="1">#REF!</definedName>
    <definedName name="XRefCopy25Row" localSheetId="24" hidden="1">#REF!</definedName>
    <definedName name="XRefCopy25Row" localSheetId="23" hidden="1">#REF!</definedName>
    <definedName name="XRefCopy25Row" localSheetId="1" hidden="1">#REF!</definedName>
    <definedName name="XRefCopy25Row" localSheetId="18" hidden="1">#REF!</definedName>
    <definedName name="XRefCopy25Row" localSheetId="4" hidden="1">#REF!</definedName>
    <definedName name="XRefCopy25Row" localSheetId="9" hidden="1">#REF!</definedName>
    <definedName name="XRefCopy25Row" localSheetId="22" hidden="1">#REF!</definedName>
    <definedName name="XRefCopy25Row" hidden="1">#REF!</definedName>
    <definedName name="XRefCopy26" localSheetId="21" hidden="1">#REF!</definedName>
    <definedName name="XRefCopy26" localSheetId="24" hidden="1">#REF!</definedName>
    <definedName name="XRefCopy26" localSheetId="23" hidden="1">#REF!</definedName>
    <definedName name="XRefCopy26" localSheetId="1" hidden="1">#REF!</definedName>
    <definedName name="XRefCopy26" localSheetId="18" hidden="1">#REF!</definedName>
    <definedName name="XRefCopy26" localSheetId="4" hidden="1">#REF!</definedName>
    <definedName name="XRefCopy26" localSheetId="9" hidden="1">#REF!</definedName>
    <definedName name="XRefCopy26" localSheetId="22" hidden="1">#REF!</definedName>
    <definedName name="XRefCopy26" hidden="1">#REF!</definedName>
    <definedName name="XRefCopy26Row" localSheetId="21" hidden="1">#REF!</definedName>
    <definedName name="XRefCopy26Row" localSheetId="24" hidden="1">#REF!</definedName>
    <definedName name="XRefCopy26Row" localSheetId="23" hidden="1">#REF!</definedName>
    <definedName name="XRefCopy26Row" localSheetId="1" hidden="1">#REF!</definedName>
    <definedName name="XRefCopy26Row" localSheetId="18" hidden="1">#REF!</definedName>
    <definedName name="XRefCopy26Row" localSheetId="4" hidden="1">#REF!</definedName>
    <definedName name="XRefCopy26Row" localSheetId="9" hidden="1">#REF!</definedName>
    <definedName name="XRefCopy26Row" localSheetId="22" hidden="1">#REF!</definedName>
    <definedName name="XRefCopy26Row" hidden="1">#REF!</definedName>
    <definedName name="XRefCopy27" localSheetId="21" hidden="1">#REF!</definedName>
    <definedName name="XRefCopy27" localSheetId="24" hidden="1">#REF!</definedName>
    <definedName name="XRefCopy27" localSheetId="23" hidden="1">#REF!</definedName>
    <definedName name="XRefCopy27" localSheetId="1" hidden="1">#REF!</definedName>
    <definedName name="XRefCopy27" localSheetId="18" hidden="1">#REF!</definedName>
    <definedName name="XRefCopy27" localSheetId="4" hidden="1">#REF!</definedName>
    <definedName name="XRefCopy27" localSheetId="9" hidden="1">#REF!</definedName>
    <definedName name="XRefCopy27" localSheetId="22" hidden="1">#REF!</definedName>
    <definedName name="XRefCopy27" hidden="1">#REF!</definedName>
    <definedName name="XRefCopy27Row" localSheetId="21" hidden="1">#REF!</definedName>
    <definedName name="XRefCopy27Row" localSheetId="24" hidden="1">#REF!</definedName>
    <definedName name="XRefCopy27Row" localSheetId="23" hidden="1">#REF!</definedName>
    <definedName name="XRefCopy27Row" localSheetId="1" hidden="1">#REF!</definedName>
    <definedName name="XRefCopy27Row" localSheetId="18" hidden="1">#REF!</definedName>
    <definedName name="XRefCopy27Row" localSheetId="4" hidden="1">#REF!</definedName>
    <definedName name="XRefCopy27Row" localSheetId="9" hidden="1">#REF!</definedName>
    <definedName name="XRefCopy27Row" localSheetId="22" hidden="1">#REF!</definedName>
    <definedName name="XRefCopy27Row" hidden="1">#REF!</definedName>
    <definedName name="XRefCopy28" localSheetId="21" hidden="1">#REF!</definedName>
    <definedName name="XRefCopy28" localSheetId="24" hidden="1">#REF!</definedName>
    <definedName name="XRefCopy28" localSheetId="23" hidden="1">#REF!</definedName>
    <definedName name="XRefCopy28" localSheetId="1" hidden="1">#REF!</definedName>
    <definedName name="XRefCopy28" localSheetId="18" hidden="1">#REF!</definedName>
    <definedName name="XRefCopy28" localSheetId="4" hidden="1">#REF!</definedName>
    <definedName name="XRefCopy28" localSheetId="9" hidden="1">#REF!</definedName>
    <definedName name="XRefCopy28" localSheetId="22" hidden="1">#REF!</definedName>
    <definedName name="XRefCopy28" hidden="1">#REF!</definedName>
    <definedName name="XRefCopy28Row" localSheetId="21" hidden="1">#REF!</definedName>
    <definedName name="XRefCopy28Row" localSheetId="24" hidden="1">#REF!</definedName>
    <definedName name="XRefCopy28Row" localSheetId="23" hidden="1">#REF!</definedName>
    <definedName name="XRefCopy28Row" localSheetId="1" hidden="1">#REF!</definedName>
    <definedName name="XRefCopy28Row" localSheetId="18" hidden="1">#REF!</definedName>
    <definedName name="XRefCopy28Row" localSheetId="4" hidden="1">#REF!</definedName>
    <definedName name="XRefCopy28Row" localSheetId="9" hidden="1">#REF!</definedName>
    <definedName name="XRefCopy28Row" localSheetId="22" hidden="1">#REF!</definedName>
    <definedName name="XRefCopy28Row" hidden="1">#REF!</definedName>
    <definedName name="XRefCopy29" localSheetId="21" hidden="1">#REF!</definedName>
    <definedName name="XRefCopy29" localSheetId="24" hidden="1">#REF!</definedName>
    <definedName name="XRefCopy29" localSheetId="23" hidden="1">#REF!</definedName>
    <definedName name="XRefCopy29" localSheetId="1" hidden="1">#REF!</definedName>
    <definedName name="XRefCopy29" localSheetId="18" hidden="1">#REF!</definedName>
    <definedName name="XRefCopy29" localSheetId="4" hidden="1">#REF!</definedName>
    <definedName name="XRefCopy29" localSheetId="9" hidden="1">#REF!</definedName>
    <definedName name="XRefCopy29" localSheetId="22" hidden="1">#REF!</definedName>
    <definedName name="XRefCopy29" hidden="1">#REF!</definedName>
    <definedName name="XRefCopy29Row" localSheetId="21" hidden="1">#REF!</definedName>
    <definedName name="XRefCopy29Row" localSheetId="24" hidden="1">#REF!</definedName>
    <definedName name="XRefCopy29Row" localSheetId="23" hidden="1">#REF!</definedName>
    <definedName name="XRefCopy29Row" localSheetId="1" hidden="1">#REF!</definedName>
    <definedName name="XRefCopy29Row" localSheetId="18" hidden="1">#REF!</definedName>
    <definedName name="XRefCopy29Row" localSheetId="4" hidden="1">#REF!</definedName>
    <definedName name="XRefCopy29Row" localSheetId="9" hidden="1">#REF!</definedName>
    <definedName name="XRefCopy29Row" localSheetId="22" hidden="1">#REF!</definedName>
    <definedName name="XRefCopy29Row" hidden="1">#REF!</definedName>
    <definedName name="XRefCopy2Row" localSheetId="21" hidden="1">#REF!</definedName>
    <definedName name="XRefCopy2Row" localSheetId="24" hidden="1">#REF!</definedName>
    <definedName name="XRefCopy2Row" localSheetId="23" hidden="1">#REF!</definedName>
    <definedName name="XRefCopy2Row" localSheetId="1" hidden="1">#REF!</definedName>
    <definedName name="XRefCopy2Row" localSheetId="18" hidden="1">#REF!</definedName>
    <definedName name="XRefCopy2Row" localSheetId="4" hidden="1">#REF!</definedName>
    <definedName name="XRefCopy2Row" localSheetId="2" hidden="1">#REF!</definedName>
    <definedName name="XRefCopy2Row" localSheetId="9" hidden="1">#REF!</definedName>
    <definedName name="XRefCopy2Row" localSheetId="22" hidden="1">#REF!</definedName>
    <definedName name="XRefCopy2Row" hidden="1">#REF!</definedName>
    <definedName name="XRefCopy3" localSheetId="21" hidden="1">#REF!</definedName>
    <definedName name="XRefCopy3" localSheetId="24" hidden="1">#REF!</definedName>
    <definedName name="XRefCopy3" localSheetId="23" hidden="1">#REF!</definedName>
    <definedName name="XRefCopy3" localSheetId="1" hidden="1">#REF!</definedName>
    <definedName name="XRefCopy3" localSheetId="18" hidden="1">#REF!</definedName>
    <definedName name="XRefCopy3" localSheetId="4" hidden="1">#REF!</definedName>
    <definedName name="XRefCopy3" localSheetId="2" hidden="1">#REF!</definedName>
    <definedName name="XRefCopy3" localSheetId="9" hidden="1">#REF!</definedName>
    <definedName name="XRefCopy3" localSheetId="22" hidden="1">#REF!</definedName>
    <definedName name="XRefCopy3" hidden="1">#REF!</definedName>
    <definedName name="XRefCopy30" localSheetId="21" hidden="1">#REF!</definedName>
    <definedName name="XRefCopy30" localSheetId="24" hidden="1">#REF!</definedName>
    <definedName name="XRefCopy30" localSheetId="23" hidden="1">#REF!</definedName>
    <definedName name="XRefCopy30" localSheetId="1" hidden="1">#REF!</definedName>
    <definedName name="XRefCopy30" localSheetId="18" hidden="1">#REF!</definedName>
    <definedName name="XRefCopy30" localSheetId="4" hidden="1">#REF!</definedName>
    <definedName name="XRefCopy30" localSheetId="9" hidden="1">#REF!</definedName>
    <definedName name="XRefCopy30" localSheetId="22" hidden="1">#REF!</definedName>
    <definedName name="XRefCopy30" hidden="1">#REF!</definedName>
    <definedName name="XRefCopy30Row" localSheetId="21" hidden="1">#REF!</definedName>
    <definedName name="XRefCopy30Row" localSheetId="24" hidden="1">#REF!</definedName>
    <definedName name="XRefCopy30Row" localSheetId="23" hidden="1">#REF!</definedName>
    <definedName name="XRefCopy30Row" localSheetId="1" hidden="1">#REF!</definedName>
    <definedName name="XRefCopy30Row" localSheetId="18" hidden="1">#REF!</definedName>
    <definedName name="XRefCopy30Row" localSheetId="4" hidden="1">#REF!</definedName>
    <definedName name="XRefCopy30Row" localSheetId="9" hidden="1">#REF!</definedName>
    <definedName name="XRefCopy30Row" localSheetId="22" hidden="1">#REF!</definedName>
    <definedName name="XRefCopy30Row" hidden="1">#REF!</definedName>
    <definedName name="XRefCopy31" localSheetId="21" hidden="1">#REF!</definedName>
    <definedName name="XRefCopy31" localSheetId="24" hidden="1">#REF!</definedName>
    <definedName name="XRefCopy31" localSheetId="23" hidden="1">#REF!</definedName>
    <definedName name="XRefCopy31" localSheetId="1" hidden="1">#REF!</definedName>
    <definedName name="XRefCopy31" localSheetId="18" hidden="1">#REF!</definedName>
    <definedName name="XRefCopy31" localSheetId="4" hidden="1">#REF!</definedName>
    <definedName name="XRefCopy31" localSheetId="9" hidden="1">#REF!</definedName>
    <definedName name="XRefCopy31" localSheetId="22" hidden="1">#REF!</definedName>
    <definedName name="XRefCopy31" hidden="1">#REF!</definedName>
    <definedName name="XRefCopy31Row" localSheetId="21" hidden="1">#REF!</definedName>
    <definedName name="XRefCopy31Row" localSheetId="24" hidden="1">#REF!</definedName>
    <definedName name="XRefCopy31Row" localSheetId="23" hidden="1">#REF!</definedName>
    <definedName name="XRefCopy31Row" localSheetId="1" hidden="1">#REF!</definedName>
    <definedName name="XRefCopy31Row" localSheetId="18" hidden="1">#REF!</definedName>
    <definedName name="XRefCopy31Row" localSheetId="4" hidden="1">#REF!</definedName>
    <definedName name="XRefCopy31Row" localSheetId="9" hidden="1">#REF!</definedName>
    <definedName name="XRefCopy31Row" localSheetId="22" hidden="1">#REF!</definedName>
    <definedName name="XRefCopy31Row" hidden="1">#REF!</definedName>
    <definedName name="XRefCopy32" localSheetId="21" hidden="1">#REF!</definedName>
    <definedName name="XRefCopy32" localSheetId="24" hidden="1">#REF!</definedName>
    <definedName name="XRefCopy32" localSheetId="23" hidden="1">#REF!</definedName>
    <definedName name="XRefCopy32" localSheetId="1" hidden="1">#REF!</definedName>
    <definedName name="XRefCopy32" localSheetId="18" hidden="1">#REF!</definedName>
    <definedName name="XRefCopy32" localSheetId="4" hidden="1">#REF!</definedName>
    <definedName name="XRefCopy32" localSheetId="9" hidden="1">#REF!</definedName>
    <definedName name="XRefCopy32" localSheetId="22" hidden="1">#REF!</definedName>
    <definedName name="XRefCopy32" hidden="1">#REF!</definedName>
    <definedName name="XRefCopy32Row" localSheetId="21" hidden="1">#REF!</definedName>
    <definedName name="XRefCopy32Row" localSheetId="24" hidden="1">#REF!</definedName>
    <definedName name="XRefCopy32Row" localSheetId="23" hidden="1">#REF!</definedName>
    <definedName name="XRefCopy32Row" localSheetId="1" hidden="1">#REF!</definedName>
    <definedName name="XRefCopy32Row" localSheetId="18" hidden="1">#REF!</definedName>
    <definedName name="XRefCopy32Row" localSheetId="4" hidden="1">#REF!</definedName>
    <definedName name="XRefCopy32Row" localSheetId="9" hidden="1">#REF!</definedName>
    <definedName name="XRefCopy32Row" localSheetId="22" hidden="1">#REF!</definedName>
    <definedName name="XRefCopy32Row" hidden="1">#REF!</definedName>
    <definedName name="XRefCopy33" localSheetId="21" hidden="1">#REF!</definedName>
    <definedName name="XRefCopy33" localSheetId="24" hidden="1">#REF!</definedName>
    <definedName name="XRefCopy33" localSheetId="23" hidden="1">#REF!</definedName>
    <definedName name="XRefCopy33" localSheetId="1" hidden="1">#REF!</definedName>
    <definedName name="XRefCopy33" localSheetId="18" hidden="1">#REF!</definedName>
    <definedName name="XRefCopy33" localSheetId="4" hidden="1">#REF!</definedName>
    <definedName name="XRefCopy33" localSheetId="9" hidden="1">#REF!</definedName>
    <definedName name="XRefCopy33" localSheetId="22" hidden="1">#REF!</definedName>
    <definedName name="XRefCopy33" hidden="1">#REF!</definedName>
    <definedName name="XRefCopy33Row" localSheetId="21" hidden="1">#REF!</definedName>
    <definedName name="XRefCopy33Row" localSheetId="24" hidden="1">#REF!</definedName>
    <definedName name="XRefCopy33Row" localSheetId="23" hidden="1">#REF!</definedName>
    <definedName name="XRefCopy33Row" localSheetId="1" hidden="1">#REF!</definedName>
    <definedName name="XRefCopy33Row" localSheetId="18" hidden="1">#REF!</definedName>
    <definedName name="XRefCopy33Row" localSheetId="4" hidden="1">#REF!</definedName>
    <definedName name="XRefCopy33Row" localSheetId="9" hidden="1">#REF!</definedName>
    <definedName name="XRefCopy33Row" localSheetId="22" hidden="1">#REF!</definedName>
    <definedName name="XRefCopy33Row" hidden="1">#REF!</definedName>
    <definedName name="XRefCopy34" localSheetId="21" hidden="1">#REF!</definedName>
    <definedName name="XRefCopy34" localSheetId="24" hidden="1">#REF!</definedName>
    <definedName name="XRefCopy34" localSheetId="23" hidden="1">#REF!</definedName>
    <definedName name="XRefCopy34" localSheetId="1" hidden="1">#REF!</definedName>
    <definedName name="XRefCopy34" localSheetId="18" hidden="1">#REF!</definedName>
    <definedName name="XRefCopy34" localSheetId="4" hidden="1">#REF!</definedName>
    <definedName name="XRefCopy34" localSheetId="9" hidden="1">#REF!</definedName>
    <definedName name="XRefCopy34" localSheetId="22" hidden="1">#REF!</definedName>
    <definedName name="XRefCopy34" hidden="1">#REF!</definedName>
    <definedName name="XRefCopy34Row" localSheetId="21" hidden="1">#REF!</definedName>
    <definedName name="XRefCopy34Row" localSheetId="24" hidden="1">#REF!</definedName>
    <definedName name="XRefCopy34Row" localSheetId="23" hidden="1">#REF!</definedName>
    <definedName name="XRefCopy34Row" localSheetId="1" hidden="1">#REF!</definedName>
    <definedName name="XRefCopy34Row" localSheetId="18" hidden="1">#REF!</definedName>
    <definedName name="XRefCopy34Row" localSheetId="4" hidden="1">#REF!</definedName>
    <definedName name="XRefCopy34Row" localSheetId="9" hidden="1">#REF!</definedName>
    <definedName name="XRefCopy34Row" localSheetId="22" hidden="1">#REF!</definedName>
    <definedName name="XRefCopy34Row" hidden="1">#REF!</definedName>
    <definedName name="XRefCopy35" localSheetId="21" hidden="1">#REF!</definedName>
    <definedName name="XRefCopy35" localSheetId="24" hidden="1">#REF!</definedName>
    <definedName name="XRefCopy35" localSheetId="23" hidden="1">#REF!</definedName>
    <definedName name="XRefCopy35" localSheetId="1" hidden="1">#REF!</definedName>
    <definedName name="XRefCopy35" localSheetId="18" hidden="1">#REF!</definedName>
    <definedName name="XRefCopy35" localSheetId="4" hidden="1">#REF!</definedName>
    <definedName name="XRefCopy35" localSheetId="9" hidden="1">#REF!</definedName>
    <definedName name="XRefCopy35" localSheetId="22" hidden="1">#REF!</definedName>
    <definedName name="XRefCopy35" hidden="1">#REF!</definedName>
    <definedName name="XRefCopy35Row" localSheetId="21" hidden="1">#REF!</definedName>
    <definedName name="XRefCopy35Row" localSheetId="24" hidden="1">#REF!</definedName>
    <definedName name="XRefCopy35Row" localSheetId="23" hidden="1">#REF!</definedName>
    <definedName name="XRefCopy35Row" localSheetId="1" hidden="1">#REF!</definedName>
    <definedName name="XRefCopy35Row" localSheetId="18" hidden="1">#REF!</definedName>
    <definedName name="XRefCopy35Row" localSheetId="4" hidden="1">#REF!</definedName>
    <definedName name="XRefCopy35Row" localSheetId="9" hidden="1">#REF!</definedName>
    <definedName name="XRefCopy35Row" localSheetId="22" hidden="1">#REF!</definedName>
    <definedName name="XRefCopy35Row" hidden="1">#REF!</definedName>
    <definedName name="XRefCopy36" localSheetId="21" hidden="1">#REF!</definedName>
    <definedName name="XRefCopy36" localSheetId="24" hidden="1">#REF!</definedName>
    <definedName name="XRefCopy36" localSheetId="23" hidden="1">#REF!</definedName>
    <definedName name="XRefCopy36" localSheetId="1" hidden="1">#REF!</definedName>
    <definedName name="XRefCopy36" localSheetId="18" hidden="1">#REF!</definedName>
    <definedName name="XRefCopy36" localSheetId="4" hidden="1">#REF!</definedName>
    <definedName name="XRefCopy36" localSheetId="9" hidden="1">#REF!</definedName>
    <definedName name="XRefCopy36" localSheetId="22" hidden="1">#REF!</definedName>
    <definedName name="XRefCopy36" hidden="1">#REF!</definedName>
    <definedName name="XRefCopy36Row" localSheetId="21" hidden="1">#REF!</definedName>
    <definedName name="XRefCopy36Row" localSheetId="24" hidden="1">#REF!</definedName>
    <definedName name="XRefCopy36Row" localSheetId="23" hidden="1">#REF!</definedName>
    <definedName name="XRefCopy36Row" localSheetId="1" hidden="1">#REF!</definedName>
    <definedName name="XRefCopy36Row" localSheetId="18" hidden="1">#REF!</definedName>
    <definedName name="XRefCopy36Row" localSheetId="4" hidden="1">#REF!</definedName>
    <definedName name="XRefCopy36Row" localSheetId="9" hidden="1">#REF!</definedName>
    <definedName name="XRefCopy36Row" localSheetId="22" hidden="1">#REF!</definedName>
    <definedName name="XRefCopy36Row" hidden="1">#REF!</definedName>
    <definedName name="XRefCopy37" localSheetId="21" hidden="1">#REF!</definedName>
    <definedName name="XRefCopy37" localSheetId="24" hidden="1">#REF!</definedName>
    <definedName name="XRefCopy37" localSheetId="23" hidden="1">#REF!</definedName>
    <definedName name="XRefCopy37" localSheetId="1" hidden="1">#REF!</definedName>
    <definedName name="XRefCopy37" localSheetId="18" hidden="1">#REF!</definedName>
    <definedName name="XRefCopy37" localSheetId="4" hidden="1">#REF!</definedName>
    <definedName name="XRefCopy37" localSheetId="9" hidden="1">#REF!</definedName>
    <definedName name="XRefCopy37" localSheetId="22" hidden="1">#REF!</definedName>
    <definedName name="XRefCopy37" hidden="1">#REF!</definedName>
    <definedName name="XRefCopy37Row" localSheetId="21" hidden="1">#REF!</definedName>
    <definedName name="XRefCopy37Row" localSheetId="24" hidden="1">#REF!</definedName>
    <definedName name="XRefCopy37Row" localSheetId="23" hidden="1">#REF!</definedName>
    <definedName name="XRefCopy37Row" localSheetId="1" hidden="1">#REF!</definedName>
    <definedName name="XRefCopy37Row" localSheetId="18" hidden="1">#REF!</definedName>
    <definedName name="XRefCopy37Row" localSheetId="4" hidden="1">#REF!</definedName>
    <definedName name="XRefCopy37Row" localSheetId="9" hidden="1">#REF!</definedName>
    <definedName name="XRefCopy37Row" localSheetId="22" hidden="1">#REF!</definedName>
    <definedName name="XRefCopy37Row" hidden="1">#REF!</definedName>
    <definedName name="XRefCopy38" localSheetId="21" hidden="1">#REF!</definedName>
    <definedName name="XRefCopy38" localSheetId="24" hidden="1">#REF!</definedName>
    <definedName name="XRefCopy38" localSheetId="23" hidden="1">#REF!</definedName>
    <definedName name="XRefCopy38" localSheetId="1" hidden="1">#REF!</definedName>
    <definedName name="XRefCopy38" localSheetId="18" hidden="1">#REF!</definedName>
    <definedName name="XRefCopy38" localSheetId="4" hidden="1">#REF!</definedName>
    <definedName name="XRefCopy38" localSheetId="9" hidden="1">#REF!</definedName>
    <definedName name="XRefCopy38" localSheetId="22" hidden="1">#REF!</definedName>
    <definedName name="XRefCopy38" hidden="1">#REF!</definedName>
    <definedName name="XRefCopy38Row" localSheetId="21" hidden="1">#REF!</definedName>
    <definedName name="XRefCopy38Row" localSheetId="24" hidden="1">#REF!</definedName>
    <definedName name="XRefCopy38Row" localSheetId="23" hidden="1">#REF!</definedName>
    <definedName name="XRefCopy38Row" localSheetId="1" hidden="1">#REF!</definedName>
    <definedName name="XRefCopy38Row" localSheetId="18" hidden="1">#REF!</definedName>
    <definedName name="XRefCopy38Row" localSheetId="4" hidden="1">#REF!</definedName>
    <definedName name="XRefCopy38Row" localSheetId="9" hidden="1">#REF!</definedName>
    <definedName name="XRefCopy38Row" localSheetId="22" hidden="1">#REF!</definedName>
    <definedName name="XRefCopy38Row" hidden="1">#REF!</definedName>
    <definedName name="XRefCopy39" localSheetId="21" hidden="1">#REF!</definedName>
    <definedName name="XRefCopy39" localSheetId="24" hidden="1">#REF!</definedName>
    <definedName name="XRefCopy39" localSheetId="23" hidden="1">#REF!</definedName>
    <definedName name="XRefCopy39" localSheetId="1" hidden="1">#REF!</definedName>
    <definedName name="XRefCopy39" localSheetId="18" hidden="1">#REF!</definedName>
    <definedName name="XRefCopy39" localSheetId="4" hidden="1">#REF!</definedName>
    <definedName name="XRefCopy39" localSheetId="9" hidden="1">#REF!</definedName>
    <definedName name="XRefCopy39" localSheetId="22" hidden="1">#REF!</definedName>
    <definedName name="XRefCopy39" hidden="1">#REF!</definedName>
    <definedName name="XRefCopy39Row" localSheetId="21" hidden="1">#REF!</definedName>
    <definedName name="XRefCopy39Row" localSheetId="24" hidden="1">#REF!</definedName>
    <definedName name="XRefCopy39Row" localSheetId="23" hidden="1">#REF!</definedName>
    <definedName name="XRefCopy39Row" localSheetId="1" hidden="1">#REF!</definedName>
    <definedName name="XRefCopy39Row" localSheetId="18" hidden="1">#REF!</definedName>
    <definedName name="XRefCopy39Row" localSheetId="4" hidden="1">#REF!</definedName>
    <definedName name="XRefCopy39Row" localSheetId="9" hidden="1">#REF!</definedName>
    <definedName name="XRefCopy39Row" localSheetId="22" hidden="1">#REF!</definedName>
    <definedName name="XRefCopy39Row" hidden="1">#REF!</definedName>
    <definedName name="XRefCopy3Row" localSheetId="21" hidden="1">#REF!</definedName>
    <definedName name="XRefCopy3Row" localSheetId="24" hidden="1">#REF!</definedName>
    <definedName name="XRefCopy3Row" localSheetId="23" hidden="1">#REF!</definedName>
    <definedName name="XRefCopy3Row" localSheetId="1" hidden="1">#REF!</definedName>
    <definedName name="XRefCopy3Row" localSheetId="18" hidden="1">#REF!</definedName>
    <definedName name="XRefCopy3Row" localSheetId="4" hidden="1">#REF!</definedName>
    <definedName name="XRefCopy3Row" localSheetId="2" hidden="1">#REF!</definedName>
    <definedName name="XRefCopy3Row" localSheetId="9" hidden="1">#REF!</definedName>
    <definedName name="XRefCopy3Row" localSheetId="22" hidden="1">#REF!</definedName>
    <definedName name="XRefCopy3Row" hidden="1">#REF!</definedName>
    <definedName name="XRefCopy4" localSheetId="21" hidden="1">#REF!</definedName>
    <definedName name="XRefCopy4" localSheetId="24" hidden="1">#REF!</definedName>
    <definedName name="XRefCopy4" localSheetId="23" hidden="1">#REF!</definedName>
    <definedName name="XRefCopy4" localSheetId="1" hidden="1">#REF!</definedName>
    <definedName name="XRefCopy4" localSheetId="18" hidden="1">#REF!</definedName>
    <definedName name="XRefCopy4" localSheetId="4" hidden="1">#REF!</definedName>
    <definedName name="XRefCopy4" localSheetId="2" hidden="1">#REF!</definedName>
    <definedName name="XRefCopy4" localSheetId="9" hidden="1">#REF!</definedName>
    <definedName name="XRefCopy4" localSheetId="22" hidden="1">#REF!</definedName>
    <definedName name="XRefCopy4" hidden="1">#REF!</definedName>
    <definedName name="XRefCopy40" localSheetId="21" hidden="1">#REF!</definedName>
    <definedName name="XRefCopy40" localSheetId="24" hidden="1">#REF!</definedName>
    <definedName name="XRefCopy40" localSheetId="23" hidden="1">#REF!</definedName>
    <definedName name="XRefCopy40" localSheetId="1" hidden="1">#REF!</definedName>
    <definedName name="XRefCopy40" localSheetId="18" hidden="1">#REF!</definedName>
    <definedName name="XRefCopy40" localSheetId="4" hidden="1">#REF!</definedName>
    <definedName name="XRefCopy40" localSheetId="9" hidden="1">#REF!</definedName>
    <definedName name="XRefCopy40" localSheetId="22" hidden="1">#REF!</definedName>
    <definedName name="XRefCopy40" hidden="1">#REF!</definedName>
    <definedName name="XRefCopy40Row" localSheetId="21" hidden="1">#REF!</definedName>
    <definedName name="XRefCopy40Row" localSheetId="24" hidden="1">#REF!</definedName>
    <definedName name="XRefCopy40Row" localSheetId="23" hidden="1">#REF!</definedName>
    <definedName name="XRefCopy40Row" localSheetId="1" hidden="1">#REF!</definedName>
    <definedName name="XRefCopy40Row" localSheetId="18" hidden="1">#REF!</definedName>
    <definedName name="XRefCopy40Row" localSheetId="4" hidden="1">#REF!</definedName>
    <definedName name="XRefCopy40Row" localSheetId="9" hidden="1">#REF!</definedName>
    <definedName name="XRefCopy40Row" localSheetId="22" hidden="1">#REF!</definedName>
    <definedName name="XRefCopy40Row" hidden="1">#REF!</definedName>
    <definedName name="XRefCopy41" localSheetId="21" hidden="1">#REF!</definedName>
    <definedName name="XRefCopy41" localSheetId="24" hidden="1">#REF!</definedName>
    <definedName name="XRefCopy41" localSheetId="23" hidden="1">#REF!</definedName>
    <definedName name="XRefCopy41" localSheetId="1" hidden="1">#REF!</definedName>
    <definedName name="XRefCopy41" localSheetId="18" hidden="1">#REF!</definedName>
    <definedName name="XRefCopy41" localSheetId="4" hidden="1">#REF!</definedName>
    <definedName name="XRefCopy41" localSheetId="9" hidden="1">#REF!</definedName>
    <definedName name="XRefCopy41" localSheetId="22" hidden="1">#REF!</definedName>
    <definedName name="XRefCopy41" hidden="1">#REF!</definedName>
    <definedName name="XRefCopy41Row" localSheetId="21" hidden="1">#REF!</definedName>
    <definedName name="XRefCopy41Row" localSheetId="24" hidden="1">#REF!</definedName>
    <definedName name="XRefCopy41Row" localSheetId="23" hidden="1">#REF!</definedName>
    <definedName name="XRefCopy41Row" localSheetId="1" hidden="1">#REF!</definedName>
    <definedName name="XRefCopy41Row" localSheetId="18" hidden="1">#REF!</definedName>
    <definedName name="XRefCopy41Row" localSheetId="4" hidden="1">#REF!</definedName>
    <definedName name="XRefCopy41Row" localSheetId="9" hidden="1">#REF!</definedName>
    <definedName name="XRefCopy41Row" localSheetId="22" hidden="1">#REF!</definedName>
    <definedName name="XRefCopy41Row" hidden="1">#REF!</definedName>
    <definedName name="XRefCopy42" localSheetId="21" hidden="1">#REF!</definedName>
    <definedName name="XRefCopy42" localSheetId="24" hidden="1">#REF!</definedName>
    <definedName name="XRefCopy42" localSheetId="23" hidden="1">#REF!</definedName>
    <definedName name="XRefCopy42" localSheetId="1" hidden="1">#REF!</definedName>
    <definedName name="XRefCopy42" localSheetId="18" hidden="1">#REF!</definedName>
    <definedName name="XRefCopy42" localSheetId="4" hidden="1">#REF!</definedName>
    <definedName name="XRefCopy42" localSheetId="9" hidden="1">#REF!</definedName>
    <definedName name="XRefCopy42" localSheetId="22" hidden="1">#REF!</definedName>
    <definedName name="XRefCopy42" hidden="1">#REF!</definedName>
    <definedName name="XRefCopy42Row" localSheetId="21" hidden="1">#REF!</definedName>
    <definedName name="XRefCopy42Row" localSheetId="24" hidden="1">#REF!</definedName>
    <definedName name="XRefCopy42Row" localSheetId="23" hidden="1">#REF!</definedName>
    <definedName name="XRefCopy42Row" localSheetId="1" hidden="1">#REF!</definedName>
    <definedName name="XRefCopy42Row" localSheetId="18" hidden="1">#REF!</definedName>
    <definedName name="XRefCopy42Row" localSheetId="4" hidden="1">#REF!</definedName>
    <definedName name="XRefCopy42Row" localSheetId="9" hidden="1">#REF!</definedName>
    <definedName name="XRefCopy42Row" localSheetId="22" hidden="1">#REF!</definedName>
    <definedName name="XRefCopy42Row" hidden="1">#REF!</definedName>
    <definedName name="XRefCopy43" localSheetId="21" hidden="1">#REF!</definedName>
    <definedName name="XRefCopy43" localSheetId="24" hidden="1">#REF!</definedName>
    <definedName name="XRefCopy43" localSheetId="23" hidden="1">#REF!</definedName>
    <definedName name="XRefCopy43" localSheetId="1" hidden="1">#REF!</definedName>
    <definedName name="XRefCopy43" localSheetId="18" hidden="1">#REF!</definedName>
    <definedName name="XRefCopy43" localSheetId="4" hidden="1">#REF!</definedName>
    <definedName name="XRefCopy43" localSheetId="9" hidden="1">#REF!</definedName>
    <definedName name="XRefCopy43" localSheetId="22" hidden="1">#REF!</definedName>
    <definedName name="XRefCopy43" hidden="1">#REF!</definedName>
    <definedName name="XRefCopy43Row" localSheetId="21" hidden="1">#REF!</definedName>
    <definedName name="XRefCopy43Row" localSheetId="24" hidden="1">#REF!</definedName>
    <definedName name="XRefCopy43Row" localSheetId="23" hidden="1">#REF!</definedName>
    <definedName name="XRefCopy43Row" localSheetId="1" hidden="1">#REF!</definedName>
    <definedName name="XRefCopy43Row" localSheetId="18" hidden="1">#REF!</definedName>
    <definedName name="XRefCopy43Row" localSheetId="4" hidden="1">#REF!</definedName>
    <definedName name="XRefCopy43Row" localSheetId="9" hidden="1">#REF!</definedName>
    <definedName name="XRefCopy43Row" localSheetId="22" hidden="1">#REF!</definedName>
    <definedName name="XRefCopy43Row" hidden="1">#REF!</definedName>
    <definedName name="XRefCopy44" localSheetId="21" hidden="1">#REF!</definedName>
    <definedName name="XRefCopy44" localSheetId="24" hidden="1">#REF!</definedName>
    <definedName name="XRefCopy44" localSheetId="23" hidden="1">#REF!</definedName>
    <definedName name="XRefCopy44" localSheetId="1" hidden="1">#REF!</definedName>
    <definedName name="XRefCopy44" localSheetId="18" hidden="1">#REF!</definedName>
    <definedName name="XRefCopy44" localSheetId="4" hidden="1">#REF!</definedName>
    <definedName name="XRefCopy44" localSheetId="9" hidden="1">#REF!</definedName>
    <definedName name="XRefCopy44" localSheetId="22" hidden="1">#REF!</definedName>
    <definedName name="XRefCopy44" hidden="1">#REF!</definedName>
    <definedName name="XRefCopy44Row" localSheetId="21" hidden="1">#REF!</definedName>
    <definedName name="XRefCopy44Row" localSheetId="24" hidden="1">#REF!</definedName>
    <definedName name="XRefCopy44Row" localSheetId="23" hidden="1">#REF!</definedName>
    <definedName name="XRefCopy44Row" localSheetId="1" hidden="1">#REF!</definedName>
    <definedName name="XRefCopy44Row" localSheetId="18" hidden="1">#REF!</definedName>
    <definedName name="XRefCopy44Row" localSheetId="4" hidden="1">#REF!</definedName>
    <definedName name="XRefCopy44Row" localSheetId="9" hidden="1">#REF!</definedName>
    <definedName name="XRefCopy44Row" localSheetId="22" hidden="1">#REF!</definedName>
    <definedName name="XRefCopy44Row" hidden="1">#REF!</definedName>
    <definedName name="XRefCopy45" localSheetId="21" hidden="1">#REF!</definedName>
    <definedName name="XRefCopy45" localSheetId="24" hidden="1">#REF!</definedName>
    <definedName name="XRefCopy45" localSheetId="23" hidden="1">#REF!</definedName>
    <definedName name="XRefCopy45" localSheetId="1" hidden="1">#REF!</definedName>
    <definedName name="XRefCopy45" localSheetId="18" hidden="1">#REF!</definedName>
    <definedName name="XRefCopy45" localSheetId="4" hidden="1">#REF!</definedName>
    <definedName name="XRefCopy45" localSheetId="9" hidden="1">#REF!</definedName>
    <definedName name="XRefCopy45" localSheetId="22" hidden="1">#REF!</definedName>
    <definedName name="XRefCopy45" hidden="1">#REF!</definedName>
    <definedName name="XRefCopy45Row" localSheetId="21" hidden="1">#REF!</definedName>
    <definedName name="XRefCopy45Row" localSheetId="24" hidden="1">#REF!</definedName>
    <definedName name="XRefCopy45Row" localSheetId="23" hidden="1">#REF!</definedName>
    <definedName name="XRefCopy45Row" localSheetId="1" hidden="1">#REF!</definedName>
    <definedName name="XRefCopy45Row" localSheetId="18" hidden="1">#REF!</definedName>
    <definedName name="XRefCopy45Row" localSheetId="4" hidden="1">#REF!</definedName>
    <definedName name="XRefCopy45Row" localSheetId="9" hidden="1">#REF!</definedName>
    <definedName name="XRefCopy45Row" localSheetId="22" hidden="1">#REF!</definedName>
    <definedName name="XRefCopy45Row" hidden="1">#REF!</definedName>
    <definedName name="XRefCopy46" localSheetId="21" hidden="1">#REF!</definedName>
    <definedName name="XRefCopy46" localSheetId="24" hidden="1">#REF!</definedName>
    <definedName name="XRefCopy46" localSheetId="23" hidden="1">#REF!</definedName>
    <definedName name="XRefCopy46" localSheetId="1" hidden="1">#REF!</definedName>
    <definedName name="XRefCopy46" localSheetId="18" hidden="1">#REF!</definedName>
    <definedName name="XRefCopy46" localSheetId="4" hidden="1">#REF!</definedName>
    <definedName name="XRefCopy46" localSheetId="9" hidden="1">#REF!</definedName>
    <definedName name="XRefCopy46" localSheetId="22" hidden="1">#REF!</definedName>
    <definedName name="XRefCopy46" hidden="1">#REF!</definedName>
    <definedName name="XRefCopy46Row" localSheetId="21" hidden="1">#REF!</definedName>
    <definedName name="XRefCopy46Row" localSheetId="24" hidden="1">#REF!</definedName>
    <definedName name="XRefCopy46Row" localSheetId="23" hidden="1">#REF!</definedName>
    <definedName name="XRefCopy46Row" localSheetId="1" hidden="1">#REF!</definedName>
    <definedName name="XRefCopy46Row" localSheetId="18" hidden="1">#REF!</definedName>
    <definedName name="XRefCopy46Row" localSheetId="4" hidden="1">#REF!</definedName>
    <definedName name="XRefCopy46Row" localSheetId="9" hidden="1">#REF!</definedName>
    <definedName name="XRefCopy46Row" localSheetId="22" hidden="1">#REF!</definedName>
    <definedName name="XRefCopy46Row" hidden="1">#REF!</definedName>
    <definedName name="XRefCopy47" localSheetId="21" hidden="1">#REF!</definedName>
    <definedName name="XRefCopy47" localSheetId="24" hidden="1">#REF!</definedName>
    <definedName name="XRefCopy47" localSheetId="23" hidden="1">#REF!</definedName>
    <definedName name="XRefCopy47" localSheetId="1" hidden="1">#REF!</definedName>
    <definedName name="XRefCopy47" localSheetId="18" hidden="1">#REF!</definedName>
    <definedName name="XRefCopy47" localSheetId="4" hidden="1">#REF!</definedName>
    <definedName name="XRefCopy47" localSheetId="9" hidden="1">#REF!</definedName>
    <definedName name="XRefCopy47" localSheetId="22" hidden="1">#REF!</definedName>
    <definedName name="XRefCopy47" hidden="1">#REF!</definedName>
    <definedName name="XRefCopy47Row" localSheetId="21" hidden="1">#REF!</definedName>
    <definedName name="XRefCopy47Row" localSheetId="24" hidden="1">#REF!</definedName>
    <definedName name="XRefCopy47Row" localSheetId="23" hidden="1">#REF!</definedName>
    <definedName name="XRefCopy47Row" localSheetId="1" hidden="1">#REF!</definedName>
    <definedName name="XRefCopy47Row" localSheetId="18" hidden="1">#REF!</definedName>
    <definedName name="XRefCopy47Row" localSheetId="4" hidden="1">#REF!</definedName>
    <definedName name="XRefCopy47Row" localSheetId="9" hidden="1">#REF!</definedName>
    <definedName name="XRefCopy47Row" localSheetId="22" hidden="1">#REF!</definedName>
    <definedName name="XRefCopy47Row" hidden="1">#REF!</definedName>
    <definedName name="XRefCopy48" localSheetId="21" hidden="1">#REF!</definedName>
    <definedName name="XRefCopy48" localSheetId="24" hidden="1">#REF!</definedName>
    <definedName name="XRefCopy48" localSheetId="23" hidden="1">#REF!</definedName>
    <definedName name="XRefCopy48" localSheetId="1" hidden="1">#REF!</definedName>
    <definedName name="XRefCopy48" localSheetId="18" hidden="1">#REF!</definedName>
    <definedName name="XRefCopy48" localSheetId="4" hidden="1">#REF!</definedName>
    <definedName name="XRefCopy48" localSheetId="9" hidden="1">#REF!</definedName>
    <definedName name="XRefCopy48" localSheetId="22" hidden="1">#REF!</definedName>
    <definedName name="XRefCopy48" hidden="1">#REF!</definedName>
    <definedName name="XRefCopy48Row" localSheetId="21" hidden="1">#REF!</definedName>
    <definedName name="XRefCopy48Row" localSheetId="24" hidden="1">#REF!</definedName>
    <definedName name="XRefCopy48Row" localSheetId="23" hidden="1">#REF!</definedName>
    <definedName name="XRefCopy48Row" localSheetId="1" hidden="1">#REF!</definedName>
    <definedName name="XRefCopy48Row" localSheetId="18" hidden="1">#REF!</definedName>
    <definedName name="XRefCopy48Row" localSheetId="4" hidden="1">#REF!</definedName>
    <definedName name="XRefCopy48Row" localSheetId="9" hidden="1">#REF!</definedName>
    <definedName name="XRefCopy48Row" localSheetId="22" hidden="1">#REF!</definedName>
    <definedName name="XRefCopy48Row" hidden="1">#REF!</definedName>
    <definedName name="XRefCopy49" localSheetId="21" hidden="1">#REF!</definedName>
    <definedName name="XRefCopy49" localSheetId="24" hidden="1">#REF!</definedName>
    <definedName name="XRefCopy49" localSheetId="23" hidden="1">#REF!</definedName>
    <definedName name="XRefCopy49" localSheetId="1" hidden="1">#REF!</definedName>
    <definedName name="XRefCopy49" localSheetId="18" hidden="1">#REF!</definedName>
    <definedName name="XRefCopy49" localSheetId="4" hidden="1">#REF!</definedName>
    <definedName name="XRefCopy49" localSheetId="9" hidden="1">#REF!</definedName>
    <definedName name="XRefCopy49" localSheetId="22" hidden="1">#REF!</definedName>
    <definedName name="XRefCopy49" hidden="1">#REF!</definedName>
    <definedName name="XRefCopy49Row" localSheetId="21" hidden="1">#REF!</definedName>
    <definedName name="XRefCopy49Row" localSheetId="24" hidden="1">#REF!</definedName>
    <definedName name="XRefCopy49Row" localSheetId="23" hidden="1">#REF!</definedName>
    <definedName name="XRefCopy49Row" localSheetId="1" hidden="1">#REF!</definedName>
    <definedName name="XRefCopy49Row" localSheetId="18" hidden="1">#REF!</definedName>
    <definedName name="XRefCopy49Row" localSheetId="4" hidden="1">#REF!</definedName>
    <definedName name="XRefCopy49Row" localSheetId="9" hidden="1">#REF!</definedName>
    <definedName name="XRefCopy49Row" localSheetId="22" hidden="1">#REF!</definedName>
    <definedName name="XRefCopy49Row" hidden="1">#REF!</definedName>
    <definedName name="XRefCopy4Row" localSheetId="21" hidden="1">#REF!</definedName>
    <definedName name="XRefCopy4Row" localSheetId="24" hidden="1">#REF!</definedName>
    <definedName name="XRefCopy4Row" localSheetId="23" hidden="1">#REF!</definedName>
    <definedName name="XRefCopy4Row" localSheetId="1" hidden="1">#REF!</definedName>
    <definedName name="XRefCopy4Row" localSheetId="18" hidden="1">#REF!</definedName>
    <definedName name="XRefCopy4Row" localSheetId="4" hidden="1">#REF!</definedName>
    <definedName name="XRefCopy4Row" localSheetId="2" hidden="1">#REF!</definedName>
    <definedName name="XRefCopy4Row" localSheetId="9" hidden="1">#REF!</definedName>
    <definedName name="XRefCopy4Row" localSheetId="22" hidden="1">#REF!</definedName>
    <definedName name="XRefCopy4Row" hidden="1">#REF!</definedName>
    <definedName name="XRefCopy5" localSheetId="21" hidden="1">#REF!</definedName>
    <definedName name="XRefCopy5" localSheetId="24" hidden="1">#REF!</definedName>
    <definedName name="XRefCopy5" localSheetId="23" hidden="1">#REF!</definedName>
    <definedName name="XRefCopy5" localSheetId="1" hidden="1">#REF!</definedName>
    <definedName name="XRefCopy5" localSheetId="18" hidden="1">#REF!</definedName>
    <definedName name="XRefCopy5" localSheetId="4" hidden="1">#REF!</definedName>
    <definedName name="XRefCopy5" localSheetId="2" hidden="1">#REF!</definedName>
    <definedName name="XRefCopy5" localSheetId="9" hidden="1">#REF!</definedName>
    <definedName name="XRefCopy5" localSheetId="22" hidden="1">#REF!</definedName>
    <definedName name="XRefCopy5" hidden="1">#REF!</definedName>
    <definedName name="XRefCopy5Row" localSheetId="21" hidden="1">#REF!</definedName>
    <definedName name="XRefCopy5Row" localSheetId="24" hidden="1">#REF!</definedName>
    <definedName name="XRefCopy5Row" localSheetId="23" hidden="1">#REF!</definedName>
    <definedName name="XRefCopy5Row" localSheetId="1" hidden="1">#REF!</definedName>
    <definedName name="XRefCopy5Row" localSheetId="18" hidden="1">#REF!</definedName>
    <definedName name="XRefCopy5Row" localSheetId="4" hidden="1">#REF!</definedName>
    <definedName name="XRefCopy5Row" localSheetId="2" hidden="1">#REF!</definedName>
    <definedName name="XRefCopy5Row" localSheetId="9" hidden="1">#REF!</definedName>
    <definedName name="XRefCopy5Row" localSheetId="22" hidden="1">#REF!</definedName>
    <definedName name="XRefCopy5Row" hidden="1">#REF!</definedName>
    <definedName name="XRefCopy6" localSheetId="21" hidden="1">#REF!</definedName>
    <definedName name="XRefCopy6" localSheetId="24" hidden="1">#REF!</definedName>
    <definedName name="XRefCopy6" localSheetId="23" hidden="1">#REF!</definedName>
    <definedName name="XRefCopy6" localSheetId="1" hidden="1">#REF!</definedName>
    <definedName name="XRefCopy6" localSheetId="18" hidden="1">#REF!</definedName>
    <definedName name="XRefCopy6" localSheetId="4" hidden="1">#REF!</definedName>
    <definedName name="XRefCopy6" localSheetId="2" hidden="1">#REF!</definedName>
    <definedName name="XRefCopy6" localSheetId="9" hidden="1">#REF!</definedName>
    <definedName name="XRefCopy6" localSheetId="22" hidden="1">#REF!</definedName>
    <definedName name="XRefCopy6" hidden="1">#REF!</definedName>
    <definedName name="XRefCopy6Row" localSheetId="21" hidden="1">#REF!</definedName>
    <definedName name="XRefCopy6Row" localSheetId="24" hidden="1">#REF!</definedName>
    <definedName name="XRefCopy6Row" localSheetId="23" hidden="1">#REF!</definedName>
    <definedName name="XRefCopy6Row" localSheetId="1" hidden="1">#REF!</definedName>
    <definedName name="XRefCopy6Row" localSheetId="18" hidden="1">#REF!</definedName>
    <definedName name="XRefCopy6Row" localSheetId="4" hidden="1">#REF!</definedName>
    <definedName name="XRefCopy6Row" localSheetId="2" hidden="1">#REF!</definedName>
    <definedName name="XRefCopy6Row" localSheetId="9" hidden="1">#REF!</definedName>
    <definedName name="XRefCopy6Row" localSheetId="22" hidden="1">#REF!</definedName>
    <definedName name="XRefCopy6Row" hidden="1">#REF!</definedName>
    <definedName name="XRefCopy7" localSheetId="21" hidden="1">#REF!</definedName>
    <definedName name="XRefCopy7" localSheetId="24" hidden="1">#REF!</definedName>
    <definedName name="XRefCopy7" localSheetId="23" hidden="1">#REF!</definedName>
    <definedName name="XRefCopy7" localSheetId="1" hidden="1">#REF!</definedName>
    <definedName name="XRefCopy7" localSheetId="18" hidden="1">#REF!</definedName>
    <definedName name="XRefCopy7" localSheetId="4" hidden="1">#REF!</definedName>
    <definedName name="XRefCopy7" localSheetId="2" hidden="1">#REF!</definedName>
    <definedName name="XRefCopy7" localSheetId="9" hidden="1">#REF!</definedName>
    <definedName name="XRefCopy7" localSheetId="22" hidden="1">#REF!</definedName>
    <definedName name="XRefCopy7" hidden="1">#REF!</definedName>
    <definedName name="XRefCopy7Row" localSheetId="21" hidden="1">#REF!</definedName>
    <definedName name="XRefCopy7Row" localSheetId="24" hidden="1">#REF!</definedName>
    <definedName name="XRefCopy7Row" localSheetId="23" hidden="1">#REF!</definedName>
    <definedName name="XRefCopy7Row" localSheetId="1" hidden="1">#REF!</definedName>
    <definedName name="XRefCopy7Row" localSheetId="18" hidden="1">#REF!</definedName>
    <definedName name="XRefCopy7Row" localSheetId="4" hidden="1">#REF!</definedName>
    <definedName name="XRefCopy7Row" localSheetId="2" hidden="1">#REF!</definedName>
    <definedName name="XRefCopy7Row" localSheetId="9" hidden="1">#REF!</definedName>
    <definedName name="XRefCopy7Row" localSheetId="22" hidden="1">#REF!</definedName>
    <definedName name="XRefCopy7Row" hidden="1">#REF!</definedName>
    <definedName name="XRefCopy8" localSheetId="21" hidden="1">#REF!</definedName>
    <definedName name="XRefCopy8" localSheetId="24" hidden="1">#REF!</definedName>
    <definedName name="XRefCopy8" localSheetId="23" hidden="1">#REF!</definedName>
    <definedName name="XRefCopy8" localSheetId="1" hidden="1">#REF!</definedName>
    <definedName name="XRefCopy8" localSheetId="18" hidden="1">#REF!</definedName>
    <definedName name="XRefCopy8" localSheetId="4" hidden="1">#REF!</definedName>
    <definedName name="XRefCopy8" localSheetId="9" hidden="1">#REF!</definedName>
    <definedName name="XRefCopy8" localSheetId="22" hidden="1">#REF!</definedName>
    <definedName name="XRefCopy8" hidden="1">#REF!</definedName>
    <definedName name="XRefCopy8Row" localSheetId="21" hidden="1">#REF!</definedName>
    <definedName name="XRefCopy8Row" localSheetId="24" hidden="1">#REF!</definedName>
    <definedName name="XRefCopy8Row" localSheetId="23" hidden="1">#REF!</definedName>
    <definedName name="XRefCopy8Row" localSheetId="1" hidden="1">#REF!</definedName>
    <definedName name="XRefCopy8Row" localSheetId="18" hidden="1">#REF!</definedName>
    <definedName name="XRefCopy8Row" localSheetId="4" hidden="1">#REF!</definedName>
    <definedName name="XRefCopy8Row" localSheetId="9" hidden="1">#REF!</definedName>
    <definedName name="XRefCopy8Row" localSheetId="22" hidden="1">#REF!</definedName>
    <definedName name="XRefCopy8Row" hidden="1">#REF!</definedName>
    <definedName name="XRefCopy9" localSheetId="21" hidden="1">#REF!</definedName>
    <definedName name="XRefCopy9" localSheetId="24" hidden="1">#REF!</definedName>
    <definedName name="XRefCopy9" localSheetId="23" hidden="1">#REF!</definedName>
    <definedName name="XRefCopy9" localSheetId="1" hidden="1">#REF!</definedName>
    <definedName name="XRefCopy9" localSheetId="18" hidden="1">#REF!</definedName>
    <definedName name="XRefCopy9" localSheetId="4" hidden="1">#REF!</definedName>
    <definedName name="XRefCopy9" localSheetId="9" hidden="1">#REF!</definedName>
    <definedName name="XRefCopy9" localSheetId="22" hidden="1">#REF!</definedName>
    <definedName name="XRefCopy9" hidden="1">#REF!</definedName>
    <definedName name="XRefCopy9Row" localSheetId="21" hidden="1">#REF!</definedName>
    <definedName name="XRefCopy9Row" localSheetId="24" hidden="1">#REF!</definedName>
    <definedName name="XRefCopy9Row" localSheetId="23" hidden="1">#REF!</definedName>
    <definedName name="XRefCopy9Row" localSheetId="1" hidden="1">#REF!</definedName>
    <definedName name="XRefCopy9Row" localSheetId="18" hidden="1">#REF!</definedName>
    <definedName name="XRefCopy9Row" localSheetId="4" hidden="1">#REF!</definedName>
    <definedName name="XRefCopy9Row" localSheetId="9" hidden="1">#REF!</definedName>
    <definedName name="XRefCopy9Row" localSheetId="22" hidden="1">#REF!</definedName>
    <definedName name="XRefCopy9Row" hidden="1">#REF!</definedName>
    <definedName name="XRefCopyRangeCount" hidden="1">7</definedName>
    <definedName name="XRefPaste1" localSheetId="21" hidden="1">#REF!</definedName>
    <definedName name="XRefPaste1" localSheetId="24" hidden="1">#REF!</definedName>
    <definedName name="XRefPaste1" localSheetId="23" hidden="1">#REF!</definedName>
    <definedName name="XRefPaste1" localSheetId="1" hidden="1">#REF!</definedName>
    <definedName name="XRefPaste1" localSheetId="18" hidden="1">#REF!</definedName>
    <definedName name="XRefPaste1" localSheetId="4" hidden="1">#REF!</definedName>
    <definedName name="XRefPaste1" localSheetId="2" hidden="1">#REF!</definedName>
    <definedName name="XRefPaste1" localSheetId="9" hidden="1">#REF!</definedName>
    <definedName name="XRefPaste1" localSheetId="22" hidden="1">#REF!</definedName>
    <definedName name="XRefPaste1" hidden="1">#REF!</definedName>
    <definedName name="XRefPaste1Row" localSheetId="21" hidden="1">#REF!</definedName>
    <definedName name="XRefPaste1Row" localSheetId="24" hidden="1">#REF!</definedName>
    <definedName name="XRefPaste1Row" localSheetId="23" hidden="1">#REF!</definedName>
    <definedName name="XRefPaste1Row" localSheetId="1" hidden="1">#REF!</definedName>
    <definedName name="XRefPaste1Row" localSheetId="18" hidden="1">#REF!</definedName>
    <definedName name="XRefPaste1Row" localSheetId="4" hidden="1">#REF!</definedName>
    <definedName name="XRefPaste1Row" localSheetId="2" hidden="1">#REF!</definedName>
    <definedName name="XRefPaste1Row" localSheetId="9" hidden="1">#REF!</definedName>
    <definedName name="XRefPaste1Row" localSheetId="22" hidden="1">#REF!</definedName>
    <definedName name="XRefPaste1Row" hidden="1">#REF!</definedName>
    <definedName name="XRefPaste2" localSheetId="21" hidden="1">#REF!</definedName>
    <definedName name="XRefPaste2" localSheetId="24" hidden="1">#REF!</definedName>
    <definedName name="XRefPaste2" localSheetId="23" hidden="1">#REF!</definedName>
    <definedName name="XRefPaste2" localSheetId="1" hidden="1">#REF!</definedName>
    <definedName name="XRefPaste2" localSheetId="18" hidden="1">#REF!</definedName>
    <definedName name="XRefPaste2" localSheetId="4" hidden="1">#REF!</definedName>
    <definedName name="XRefPaste2" localSheetId="2" hidden="1">#REF!</definedName>
    <definedName name="XRefPaste2" localSheetId="9" hidden="1">#REF!</definedName>
    <definedName name="XRefPaste2" localSheetId="22" hidden="1">#REF!</definedName>
    <definedName name="XRefPaste2" hidden="1">#REF!</definedName>
    <definedName name="XRefPaste2Row" localSheetId="21" hidden="1">#REF!</definedName>
    <definedName name="XRefPaste2Row" localSheetId="24" hidden="1">#REF!</definedName>
    <definedName name="XRefPaste2Row" localSheetId="23" hidden="1">#REF!</definedName>
    <definedName name="XRefPaste2Row" localSheetId="1" hidden="1">#REF!</definedName>
    <definedName name="XRefPaste2Row" localSheetId="18" hidden="1">#REF!</definedName>
    <definedName name="XRefPaste2Row" localSheetId="4" hidden="1">#REF!</definedName>
    <definedName name="XRefPaste2Row" localSheetId="2" hidden="1">#REF!</definedName>
    <definedName name="XRefPaste2Row" localSheetId="9" hidden="1">#REF!</definedName>
    <definedName name="XRefPaste2Row" localSheetId="22" hidden="1">#REF!</definedName>
    <definedName name="XRefPaste2Row" hidden="1">#REF!</definedName>
    <definedName name="XRefPaste3" localSheetId="21" hidden="1">#REF!</definedName>
    <definedName name="XRefPaste3" localSheetId="24" hidden="1">#REF!</definedName>
    <definedName name="XRefPaste3" localSheetId="23" hidden="1">#REF!</definedName>
    <definedName name="XRefPaste3" localSheetId="1" hidden="1">#REF!</definedName>
    <definedName name="XRefPaste3" localSheetId="18" hidden="1">#REF!</definedName>
    <definedName name="XRefPaste3" localSheetId="4" hidden="1">#REF!</definedName>
    <definedName name="XRefPaste3" localSheetId="2" hidden="1">#REF!</definedName>
    <definedName name="XRefPaste3" localSheetId="9" hidden="1">#REF!</definedName>
    <definedName name="XRefPaste3" localSheetId="22" hidden="1">#REF!</definedName>
    <definedName name="XRefPaste3" hidden="1">#REF!</definedName>
    <definedName name="XRefPaste3Row" localSheetId="21" hidden="1">#REF!</definedName>
    <definedName name="XRefPaste3Row" localSheetId="24" hidden="1">#REF!</definedName>
    <definedName name="XRefPaste3Row" localSheetId="23" hidden="1">#REF!</definedName>
    <definedName name="XRefPaste3Row" localSheetId="1" hidden="1">#REF!</definedName>
    <definedName name="XRefPaste3Row" localSheetId="18" hidden="1">#REF!</definedName>
    <definedName name="XRefPaste3Row" localSheetId="4" hidden="1">#REF!</definedName>
    <definedName name="XRefPaste3Row" localSheetId="2" hidden="1">#REF!</definedName>
    <definedName name="XRefPaste3Row" localSheetId="9" hidden="1">#REF!</definedName>
    <definedName name="XRefPaste3Row" localSheetId="22" hidden="1">#REF!</definedName>
    <definedName name="XRefPaste3Row" hidden="1">#REF!</definedName>
    <definedName name="XRefPaste4" localSheetId="21" hidden="1">#REF!</definedName>
    <definedName name="XRefPaste4" localSheetId="24" hidden="1">#REF!</definedName>
    <definedName name="XRefPaste4" localSheetId="23" hidden="1">#REF!</definedName>
    <definedName name="XRefPaste4" localSheetId="1" hidden="1">#REF!</definedName>
    <definedName name="XRefPaste4" localSheetId="18" hidden="1">#REF!</definedName>
    <definedName name="XRefPaste4" localSheetId="4" hidden="1">#REF!</definedName>
    <definedName name="XRefPaste4" localSheetId="2" hidden="1">#REF!</definedName>
    <definedName name="XRefPaste4" localSheetId="9" hidden="1">#REF!</definedName>
    <definedName name="XRefPaste4" localSheetId="22" hidden="1">#REF!</definedName>
    <definedName name="XRefPaste4" hidden="1">#REF!</definedName>
    <definedName name="XRefPaste4Row" localSheetId="21" hidden="1">#REF!</definedName>
    <definedName name="XRefPaste4Row" localSheetId="24" hidden="1">#REF!</definedName>
    <definedName name="XRefPaste4Row" localSheetId="23" hidden="1">#REF!</definedName>
    <definedName name="XRefPaste4Row" localSheetId="1" hidden="1">#REF!</definedName>
    <definedName name="XRefPaste4Row" localSheetId="18" hidden="1">#REF!</definedName>
    <definedName name="XRefPaste4Row" localSheetId="4" hidden="1">#REF!</definedName>
    <definedName name="XRefPaste4Row" localSheetId="2" hidden="1">#REF!</definedName>
    <definedName name="XRefPaste4Row" localSheetId="9" hidden="1">#REF!</definedName>
    <definedName name="XRefPaste4Row" localSheetId="22" hidden="1">#REF!</definedName>
    <definedName name="XRefPaste4Row" hidden="1">#REF!</definedName>
    <definedName name="XRefPasteRangeCount" hidden="1">1</definedName>
    <definedName name="xx" localSheetId="21" hidden="1">#REF!</definedName>
    <definedName name="xx" localSheetId="24" hidden="1">#REF!</definedName>
    <definedName name="xx" localSheetId="23" hidden="1">#REF!</definedName>
    <definedName name="xx" localSheetId="1" hidden="1">#REF!</definedName>
    <definedName name="xx" localSheetId="18" hidden="1">#REF!</definedName>
    <definedName name="xx" localSheetId="4" hidden="1">#REF!</definedName>
    <definedName name="xx" localSheetId="2" hidden="1">#REF!</definedName>
    <definedName name="xx" localSheetId="9" hidden="1">#REF!</definedName>
    <definedName name="xx" localSheetId="22" hidden="1">#REF!</definedName>
    <definedName name="xx" hidden="1">#REF!</definedName>
    <definedName name="XXXX" localSheetId="9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XXXX" hidden="1">{#N/A,#N/A,FALSE,"TB";#N/A,#N/A,FALSE,"AR";#N/A,#N/A,FALSE,"BS";#N/A,#N/A,FALSE,"PL";#N/A,#N/A,FALSE,"NOTES";#N/A,#N/A,FALSE,"NOTES (2)";#N/A,#N/A,FALSE,"NOTES (3)";#N/A,#N/A,FALSE,"TAXC.INDEX";#N/A,#N/A,FALSE,"Schedule I";#N/A,#N/A,FALSE,"DPL";#N/A,#N/A,FALSE,"Schedule IV";#N/A,#N/A,FALSE,"Adjustments"}</definedName>
    <definedName name="xyz" localSheetId="9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xyz" hidden="1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yuy" localSheetId="9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yuy" hidden="1">{"FIX ASSETS PAGE 1",#N/A,TRUE,"FIXED ASSETS";"FIX ASSETS PAGE 2",#N/A,TRUE,"FIXED ASSETS";"FIX ASSETS PAGE 3",#N/A,TRUE,"FIXED ASSETS";"FIX ASSETS PAGE 4",#N/A,TRUE,"FIXED ASSETS";"FIX ASSETS PAGE 5",#N/A,TRUE,"FIXED ASSETS";"FIX ASSETS PAGE 6",#N/A,TRUE,"FIXED ASSETS";"FIX ASSETS PAGE 7",#N/A,TRUE,"FIXED ASSETS"}</definedName>
    <definedName name="Z_D5A91EB3_CBEA_451F_800C_BD40E1969C1E_.wvu.FilterData" localSheetId="21" hidden="1">#REF!</definedName>
    <definedName name="Z_D5A91EB3_CBEA_451F_800C_BD40E1969C1E_.wvu.FilterData" localSheetId="24" hidden="1">#REF!</definedName>
    <definedName name="Z_D5A91EB3_CBEA_451F_800C_BD40E1969C1E_.wvu.FilterData" localSheetId="23" hidden="1">#REF!</definedName>
    <definedName name="Z_D5A91EB3_CBEA_451F_800C_BD40E1969C1E_.wvu.FilterData" localSheetId="1" hidden="1">#REF!</definedName>
    <definedName name="Z_D5A91EB3_CBEA_451F_800C_BD40E1969C1E_.wvu.FilterData" localSheetId="18" hidden="1">#REF!</definedName>
    <definedName name="Z_D5A91EB3_CBEA_451F_800C_BD40E1969C1E_.wvu.FilterData" localSheetId="4" hidden="1">#REF!</definedName>
    <definedName name="Z_D5A91EB3_CBEA_451F_800C_BD40E1969C1E_.wvu.FilterData" localSheetId="2" hidden="1">#REF!</definedName>
    <definedName name="Z_D5A91EB3_CBEA_451F_800C_BD40E1969C1E_.wvu.FilterData" localSheetId="9" hidden="1">#REF!</definedName>
    <definedName name="Z_D5A91EB3_CBEA_451F_800C_BD40E1969C1E_.wvu.FilterData" localSheetId="22" hidden="1">#REF!</definedName>
    <definedName name="Z_D5A91EB3_CBEA_451F_800C_BD40E1969C1E_.wvu.FilterData" hidden="1">#REF!</definedName>
    <definedName name="好" localSheetId="21" hidden="1">#REF!</definedName>
    <definedName name="好" localSheetId="24" hidden="1">#REF!</definedName>
    <definedName name="好" localSheetId="23" hidden="1">#REF!</definedName>
    <definedName name="好" localSheetId="1" hidden="1">#REF!</definedName>
    <definedName name="好" localSheetId="18" hidden="1">#REF!</definedName>
    <definedName name="好" localSheetId="4" hidden="1">#REF!</definedName>
    <definedName name="好" localSheetId="2" hidden="1">#REF!</definedName>
    <definedName name="好" localSheetId="9" hidden="1">#REF!</definedName>
    <definedName name="好" localSheetId="22" hidden="1">#REF!</definedName>
    <definedName name="好" hidden="1">#REF!</definedName>
  </definedNames>
  <calcPr calcId="162913"/>
</workbook>
</file>

<file path=xl/calcChain.xml><?xml version="1.0" encoding="utf-8"?>
<calcChain xmlns="http://schemas.openxmlformats.org/spreadsheetml/2006/main">
  <c r="V250" i="5" l="1"/>
  <c r="U250" i="5"/>
  <c r="T250" i="5"/>
  <c r="S250" i="5"/>
  <c r="R250" i="5"/>
  <c r="Q250" i="5"/>
  <c r="P250" i="5"/>
  <c r="O250" i="5"/>
  <c r="M250" i="5"/>
  <c r="L250" i="5"/>
  <c r="K250" i="5"/>
  <c r="J250" i="5"/>
  <c r="I250" i="5"/>
  <c r="H250" i="5"/>
  <c r="G250" i="5"/>
  <c r="N250" i="5"/>
  <c r="N256" i="5" s="1"/>
  <c r="W20" i="9"/>
  <c r="V20" i="9"/>
  <c r="U20" i="9"/>
  <c r="T20" i="9"/>
  <c r="S20" i="9"/>
  <c r="R20" i="9"/>
  <c r="Q20" i="9"/>
  <c r="P20" i="9"/>
  <c r="BW86" i="6"/>
  <c r="BS86" i="6"/>
  <c r="BO86" i="6"/>
  <c r="BO87" i="6" s="1"/>
  <c r="BK86" i="6"/>
  <c r="BG86" i="6"/>
  <c r="BC86" i="6"/>
  <c r="AY86" i="6"/>
  <c r="AY87" i="6" s="1"/>
  <c r="AU86" i="6"/>
  <c r="BY87" i="6"/>
  <c r="BX87" i="6"/>
  <c r="BW87" i="6"/>
  <c r="BU87" i="6"/>
  <c r="BT87" i="6"/>
  <c r="BS87" i="6"/>
  <c r="BQ87" i="6"/>
  <c r="BP87" i="6"/>
  <c r="BM87" i="6"/>
  <c r="BL87" i="6"/>
  <c r="BK87" i="6"/>
  <c r="BI87" i="6"/>
  <c r="BH87" i="6"/>
  <c r="BG87" i="6"/>
  <c r="BE87" i="6"/>
  <c r="BD87" i="6"/>
  <c r="BC87" i="6"/>
  <c r="BA87" i="6"/>
  <c r="AZ87" i="6"/>
  <c r="AW87" i="6"/>
  <c r="AV87" i="6"/>
  <c r="AU87" i="6"/>
  <c r="AW86" i="6"/>
  <c r="BA86" i="6"/>
  <c r="BE86" i="6"/>
  <c r="BI86" i="6"/>
  <c r="BM86" i="6"/>
  <c r="BQ86" i="6"/>
  <c r="BU86" i="6"/>
  <c r="BY86" i="6"/>
  <c r="BM82" i="6"/>
  <c r="O20" i="9"/>
  <c r="Q18" i="9"/>
  <c r="R18" i="9"/>
  <c r="S18" i="9"/>
  <c r="T18" i="9"/>
  <c r="U18" i="9"/>
  <c r="V18" i="9"/>
  <c r="W18" i="9"/>
  <c r="P18" i="9"/>
  <c r="G256" i="5"/>
  <c r="H256" i="5"/>
  <c r="I256" i="5"/>
  <c r="J256" i="5"/>
  <c r="K256" i="5"/>
  <c r="L256" i="5"/>
  <c r="M256" i="5"/>
  <c r="O256" i="5"/>
  <c r="O254" i="5"/>
  <c r="N254" i="5"/>
  <c r="N162" i="5"/>
  <c r="G156" i="24"/>
  <c r="H156" i="24"/>
  <c r="BX84" i="6"/>
  <c r="BW84" i="6"/>
  <c r="BW83" i="6"/>
  <c r="BW82" i="6"/>
  <c r="BT84" i="6"/>
  <c r="BS84" i="6"/>
  <c r="BS83" i="6"/>
  <c r="BS82" i="6"/>
  <c r="BP84" i="6"/>
  <c r="BO83" i="6"/>
  <c r="BO82" i="6"/>
  <c r="BO84" i="6" s="1"/>
  <c r="BL84" i="6"/>
  <c r="BK84" i="6"/>
  <c r="BK83" i="6"/>
  <c r="BK82" i="6"/>
  <c r="BH84" i="6"/>
  <c r="BG84" i="6"/>
  <c r="BG83" i="6"/>
  <c r="BG82" i="6"/>
  <c r="BD84" i="6"/>
  <c r="BC83" i="6"/>
  <c r="BC82" i="6"/>
  <c r="BC84" i="6" s="1"/>
  <c r="AZ84" i="6"/>
  <c r="AY83" i="6"/>
  <c r="AY82" i="6"/>
  <c r="AY84" i="6" s="1"/>
  <c r="AV84" i="6"/>
  <c r="AU84" i="6"/>
  <c r="AU83" i="6"/>
  <c r="AU82" i="6"/>
  <c r="U97" i="54" l="1"/>
  <c r="V97" i="54"/>
  <c r="W97" i="54"/>
  <c r="X97" i="54"/>
  <c r="U78" i="54"/>
  <c r="V78" i="54" s="1"/>
  <c r="W78" i="54" s="1"/>
  <c r="X78" i="54" s="1"/>
  <c r="U79" i="54"/>
  <c r="V79" i="54"/>
  <c r="W79" i="54"/>
  <c r="W99" i="54" s="1"/>
  <c r="X79" i="54"/>
  <c r="X99" i="54" s="1"/>
  <c r="U108" i="54"/>
  <c r="V108" i="54" s="1"/>
  <c r="W108" i="54" s="1"/>
  <c r="X108" i="54" s="1"/>
  <c r="U39" i="54"/>
  <c r="V39" i="54" s="1"/>
  <c r="W39" i="54" s="1"/>
  <c r="X39" i="54" s="1"/>
  <c r="U40" i="54"/>
  <c r="V40" i="54" s="1"/>
  <c r="W40" i="54" s="1"/>
  <c r="X40" i="54" s="1"/>
  <c r="U42" i="54"/>
  <c r="V42" i="54" s="1"/>
  <c r="W42" i="54" s="1"/>
  <c r="X42" i="54" s="1"/>
  <c r="U43" i="54"/>
  <c r="V43" i="54" s="1"/>
  <c r="W43" i="54" s="1"/>
  <c r="X43" i="54" s="1"/>
  <c r="U44" i="54"/>
  <c r="V44" i="54" s="1"/>
  <c r="W44" i="54" s="1"/>
  <c r="X44" i="54" s="1"/>
  <c r="U49" i="54"/>
  <c r="V49" i="54" s="1"/>
  <c r="W49" i="54" s="1"/>
  <c r="X49" i="54" s="1"/>
  <c r="U50" i="54"/>
  <c r="V50" i="54" s="1"/>
  <c r="W50" i="54" s="1"/>
  <c r="X50" i="54" s="1"/>
  <c r="BQ43" i="54"/>
  <c r="BP43" i="54"/>
  <c r="BO43" i="54"/>
  <c r="BN43" i="54"/>
  <c r="BM43" i="54"/>
  <c r="BL43" i="54"/>
  <c r="BK43" i="54"/>
  <c r="BJ43" i="54"/>
  <c r="BI43" i="54"/>
  <c r="BH43" i="54"/>
  <c r="BQ30" i="54"/>
  <c r="BP30" i="54"/>
  <c r="BO30" i="54"/>
  <c r="BN30" i="54"/>
  <c r="BM30" i="54"/>
  <c r="BL30" i="54"/>
  <c r="BK30" i="54"/>
  <c r="BJ30" i="54"/>
  <c r="BI30" i="54"/>
  <c r="BH30" i="54"/>
  <c r="BP25" i="54"/>
  <c r="BQ23" i="54"/>
  <c r="BQ29" i="54" s="1"/>
  <c r="BP23" i="54"/>
  <c r="BP29" i="54" s="1"/>
  <c r="BO23" i="54"/>
  <c r="BO29" i="54" s="1"/>
  <c r="BN23" i="54"/>
  <c r="BN29" i="54" s="1"/>
  <c r="BM23" i="54"/>
  <c r="BM29" i="54" s="1"/>
  <c r="BL23" i="54"/>
  <c r="BL28" i="54" s="1"/>
  <c r="BK23" i="54"/>
  <c r="BK29" i="54" s="1"/>
  <c r="BJ23" i="54"/>
  <c r="BJ29" i="54" s="1"/>
  <c r="BI23" i="54"/>
  <c r="BI29" i="54" s="1"/>
  <c r="BH23" i="54"/>
  <c r="BH29" i="54" s="1"/>
  <c r="BE14" i="54"/>
  <c r="BE13" i="54"/>
  <c r="BE11" i="54"/>
  <c r="BE10" i="54"/>
  <c r="BB43" i="54"/>
  <c r="BA43" i="54"/>
  <c r="AZ43" i="54"/>
  <c r="AY43" i="54"/>
  <c r="AX43" i="54"/>
  <c r="AW43" i="54"/>
  <c r="AV43" i="54"/>
  <c r="AU43" i="54"/>
  <c r="AT43" i="54"/>
  <c r="AS43" i="54"/>
  <c r="BB30" i="54"/>
  <c r="BA30" i="54"/>
  <c r="AZ30" i="54"/>
  <c r="AY30" i="54"/>
  <c r="AX30" i="54"/>
  <c r="AW30" i="54"/>
  <c r="AV30" i="54"/>
  <c r="AU30" i="54"/>
  <c r="AT30" i="54"/>
  <c r="AS30" i="54"/>
  <c r="BB23" i="54"/>
  <c r="BB29" i="54" s="1"/>
  <c r="BA23" i="54"/>
  <c r="BA29" i="54" s="1"/>
  <c r="AZ23" i="54"/>
  <c r="AZ29" i="54" s="1"/>
  <c r="AY23" i="54"/>
  <c r="AY29" i="54" s="1"/>
  <c r="AX23" i="54"/>
  <c r="AX29" i="54" s="1"/>
  <c r="AW23" i="54"/>
  <c r="AW29" i="54" s="1"/>
  <c r="AV23" i="54"/>
  <c r="AV29" i="54" s="1"/>
  <c r="AU23" i="54"/>
  <c r="AU29" i="54" s="1"/>
  <c r="AT23" i="54"/>
  <c r="AT29" i="54" s="1"/>
  <c r="AS23" i="54"/>
  <c r="AS29" i="54" s="1"/>
  <c r="AP14" i="54"/>
  <c r="AP13" i="54"/>
  <c r="AP11" i="54"/>
  <c r="AP10" i="54"/>
  <c r="AM43" i="54"/>
  <c r="AL43" i="54"/>
  <c r="AK43" i="54"/>
  <c r="AJ43" i="54"/>
  <c r="AI43" i="54"/>
  <c r="AH43" i="54"/>
  <c r="AG43" i="54"/>
  <c r="AF43" i="54"/>
  <c r="AE43" i="54"/>
  <c r="AD43" i="54"/>
  <c r="AM30" i="54"/>
  <c r="AL30" i="54"/>
  <c r="AK30" i="54"/>
  <c r="AJ30" i="54"/>
  <c r="AI30" i="54"/>
  <c r="AH30" i="54"/>
  <c r="AG30" i="54"/>
  <c r="AF30" i="54"/>
  <c r="AE30" i="54"/>
  <c r="AD30" i="54"/>
  <c r="AM23" i="54"/>
  <c r="AM28" i="54" s="1"/>
  <c r="AL23" i="54"/>
  <c r="AL26" i="54" s="1"/>
  <c r="AK23" i="54"/>
  <c r="AK29" i="54" s="1"/>
  <c r="AJ23" i="54"/>
  <c r="AJ28" i="54" s="1"/>
  <c r="AI23" i="54"/>
  <c r="AI28" i="54" s="1"/>
  <c r="AH23" i="54"/>
  <c r="AH26" i="54" s="1"/>
  <c r="AG23" i="54"/>
  <c r="AG29" i="54" s="1"/>
  <c r="AF23" i="54"/>
  <c r="AF28" i="54" s="1"/>
  <c r="AE23" i="54"/>
  <c r="AE28" i="54" s="1"/>
  <c r="AD23" i="54"/>
  <c r="AD26" i="54" s="1"/>
  <c r="AA10" i="54"/>
  <c r="AA11" i="54"/>
  <c r="AA13" i="54"/>
  <c r="AA14" i="54"/>
  <c r="V99" i="54" l="1"/>
  <c r="AK28" i="54"/>
  <c r="AM26" i="54"/>
  <c r="BH25" i="54"/>
  <c r="BH26" i="54"/>
  <c r="BP26" i="54"/>
  <c r="BH28" i="54"/>
  <c r="BP28" i="54"/>
  <c r="BL29" i="54"/>
  <c r="BL25" i="54"/>
  <c r="BL26" i="54"/>
  <c r="BI25" i="54"/>
  <c r="BM25" i="54"/>
  <c r="BQ25" i="54"/>
  <c r="BI26" i="54"/>
  <c r="BM26" i="54"/>
  <c r="BQ26" i="54"/>
  <c r="BI28" i="54"/>
  <c r="BM28" i="54"/>
  <c r="BQ28" i="54"/>
  <c r="BJ25" i="54"/>
  <c r="BN25" i="54"/>
  <c r="BJ26" i="54"/>
  <c r="BN26" i="54"/>
  <c r="BJ28" i="54"/>
  <c r="BN28" i="54"/>
  <c r="BK25" i="54"/>
  <c r="BO25" i="54"/>
  <c r="BK26" i="54"/>
  <c r="BO26" i="54"/>
  <c r="BK28" i="54"/>
  <c r="BO28" i="54"/>
  <c r="AS25" i="54"/>
  <c r="AW25" i="54"/>
  <c r="BA25" i="54"/>
  <c r="AS26" i="54"/>
  <c r="AW26" i="54"/>
  <c r="BA26" i="54"/>
  <c r="AS28" i="54"/>
  <c r="AW28" i="54"/>
  <c r="BA28" i="54"/>
  <c r="AT25" i="54"/>
  <c r="AX25" i="54"/>
  <c r="BB25" i="54"/>
  <c r="AT26" i="54"/>
  <c r="AX26" i="54"/>
  <c r="BB26" i="54"/>
  <c r="AT28" i="54"/>
  <c r="AX28" i="54"/>
  <c r="BB28" i="54"/>
  <c r="AU25" i="54"/>
  <c r="AY25" i="54"/>
  <c r="AU26" i="54"/>
  <c r="AY26" i="54"/>
  <c r="AU28" i="54"/>
  <c r="AY28" i="54"/>
  <c r="AV25" i="54"/>
  <c r="AZ25" i="54"/>
  <c r="AV26" i="54"/>
  <c r="AZ26" i="54"/>
  <c r="AV28" i="54"/>
  <c r="AZ28" i="54"/>
  <c r="AH25" i="54"/>
  <c r="AL25" i="54"/>
  <c r="AD29" i="54"/>
  <c r="AE26" i="54"/>
  <c r="AH29" i="54"/>
  <c r="AD25" i="54"/>
  <c r="AI26" i="54"/>
  <c r="AG28" i="54"/>
  <c r="AL29" i="54"/>
  <c r="AE25" i="54"/>
  <c r="AI25" i="54"/>
  <c r="AM25" i="54"/>
  <c r="AF26" i="54"/>
  <c r="AJ26" i="54"/>
  <c r="AD28" i="54"/>
  <c r="AH28" i="54"/>
  <c r="AL28" i="54"/>
  <c r="AE29" i="54"/>
  <c r="AI29" i="54"/>
  <c r="AM29" i="54"/>
  <c r="AF25" i="54"/>
  <c r="AJ25" i="54"/>
  <c r="AG26" i="54"/>
  <c r="AK26" i="54"/>
  <c r="AF29" i="54"/>
  <c r="AJ29" i="54"/>
  <c r="AG25" i="54"/>
  <c r="AK25" i="54"/>
  <c r="E119" i="29" l="1"/>
  <c r="F119" i="29"/>
  <c r="E104" i="29"/>
  <c r="F104" i="29"/>
  <c r="N78" i="5"/>
  <c r="N77" i="5"/>
  <c r="N76" i="5"/>
  <c r="O177" i="5"/>
  <c r="AY29" i="6" l="1"/>
  <c r="AY28" i="6" s="1"/>
  <c r="BC30" i="6"/>
  <c r="AU30" i="6"/>
  <c r="BC29" i="6" l="1"/>
  <c r="BG29" i="6" l="1"/>
  <c r="BC28" i="6"/>
  <c r="BK29" i="6" l="1"/>
  <c r="BG28" i="6"/>
  <c r="BK28" i="6" l="1"/>
  <c r="BO29" i="6"/>
  <c r="BS29" i="6" l="1"/>
  <c r="BO28" i="6"/>
  <c r="BS28" i="6" l="1"/>
  <c r="BW29" i="6"/>
  <c r="BW28" i="6" s="1"/>
  <c r="U69" i="9" l="1"/>
  <c r="U68" i="9"/>
  <c r="O69" i="9"/>
  <c r="O68" i="9"/>
  <c r="T69" i="9"/>
  <c r="S69" i="9"/>
  <c r="R69" i="9"/>
  <c r="Q69" i="9"/>
  <c r="P69" i="9"/>
  <c r="T68" i="9"/>
  <c r="S68" i="9"/>
  <c r="R68" i="9"/>
  <c r="Q68" i="9"/>
  <c r="P68" i="9"/>
  <c r="P67" i="9"/>
  <c r="F124" i="29" l="1"/>
  <c r="F110" i="29"/>
  <c r="I211" i="29" l="1"/>
  <c r="H211" i="29"/>
  <c r="G211" i="29"/>
  <c r="AY74" i="6"/>
  <c r="AY75" i="6"/>
  <c r="BC74" i="6"/>
  <c r="BC75" i="6"/>
  <c r="BG74" i="6"/>
  <c r="BG75" i="6"/>
  <c r="BK74" i="6"/>
  <c r="BK75" i="6"/>
  <c r="G304" i="29"/>
  <c r="H304" i="29"/>
  <c r="I304" i="29"/>
  <c r="J304" i="29"/>
  <c r="K304" i="29"/>
  <c r="L304" i="29"/>
  <c r="M304" i="29"/>
  <c r="N304" i="29"/>
  <c r="G305" i="29"/>
  <c r="H305" i="29"/>
  <c r="I305" i="29"/>
  <c r="J305" i="29"/>
  <c r="K305" i="29"/>
  <c r="L305" i="29"/>
  <c r="M305" i="29"/>
  <c r="N305" i="29"/>
  <c r="G307" i="29"/>
  <c r="H307" i="29"/>
  <c r="I307" i="29"/>
  <c r="J307" i="29"/>
  <c r="K307" i="29"/>
  <c r="L307" i="29"/>
  <c r="M307" i="29"/>
  <c r="N307" i="29"/>
  <c r="G308" i="29"/>
  <c r="H308" i="29"/>
  <c r="I308" i="29"/>
  <c r="J308" i="29"/>
  <c r="K308" i="29"/>
  <c r="L308" i="29"/>
  <c r="M308" i="29"/>
  <c r="N308" i="29"/>
  <c r="G309" i="29"/>
  <c r="H309" i="29"/>
  <c r="I309" i="29"/>
  <c r="G238" i="29"/>
  <c r="I196" i="29"/>
  <c r="G182" i="29"/>
  <c r="AH29" i="6"/>
  <c r="G173" i="29" s="1"/>
  <c r="I173" i="29"/>
  <c r="H173" i="29"/>
  <c r="BW20" i="6"/>
  <c r="BS20" i="6"/>
  <c r="BO20" i="6"/>
  <c r="BK20" i="6"/>
  <c r="BG20" i="6"/>
  <c r="BC20" i="6"/>
  <c r="AY20" i="6"/>
  <c r="AN20" i="6"/>
  <c r="AK20" i="6"/>
  <c r="BW75" i="6"/>
  <c r="BW74" i="6"/>
  <c r="BS75" i="6"/>
  <c r="BS74" i="6"/>
  <c r="BO75" i="6"/>
  <c r="BO74" i="6"/>
  <c r="AU75" i="6"/>
  <c r="AU74" i="6"/>
  <c r="E59" i="38"/>
  <c r="F59" i="38"/>
  <c r="G59" i="38"/>
  <c r="N19" i="9"/>
  <c r="M19" i="9"/>
  <c r="P71" i="24"/>
  <c r="P157" i="24" s="1"/>
  <c r="V163" i="5" s="1"/>
  <c r="F157" i="24"/>
  <c r="L19" i="9"/>
  <c r="AJ247" i="45"/>
  <c r="T247" i="45"/>
  <c r="AN36" i="6"/>
  <c r="AK36" i="6"/>
  <c r="AH36" i="6"/>
  <c r="W19" i="9" l="1"/>
  <c r="V254" i="5"/>
  <c r="BG76" i="6"/>
  <c r="AY76" i="6"/>
  <c r="BK76" i="6"/>
  <c r="BC76" i="6"/>
  <c r="F342" i="29"/>
  <c r="F348" i="29"/>
  <c r="F349" i="29"/>
  <c r="AU76" i="6"/>
  <c r="BO76" i="6"/>
  <c r="BW76" i="6"/>
  <c r="BS76" i="6"/>
  <c r="H40" i="29"/>
  <c r="M87" i="49" l="1"/>
  <c r="M88" i="49" s="1"/>
  <c r="P27" i="49"/>
  <c r="P28" i="49" s="1"/>
  <c r="P29" i="49" s="1"/>
  <c r="P30" i="49" s="1"/>
  <c r="P31" i="49" s="1"/>
  <c r="P32" i="49" s="1"/>
  <c r="P33" i="49" s="1"/>
  <c r="P34" i="49" s="1"/>
  <c r="P35" i="49" s="1"/>
  <c r="P36" i="49" s="1"/>
  <c r="P37" i="49" s="1"/>
  <c r="P38" i="49" s="1"/>
  <c r="P39" i="49" s="1"/>
  <c r="P40" i="49" s="1"/>
  <c r="P41" i="49" s="1"/>
  <c r="P42" i="49" s="1"/>
  <c r="P43" i="49" s="1"/>
  <c r="P44" i="49" s="1"/>
  <c r="P45" i="49" s="1"/>
  <c r="P46" i="49" s="1"/>
  <c r="P47" i="49" s="1"/>
  <c r="P48" i="49" s="1"/>
  <c r="P49" i="49" s="1"/>
  <c r="P50" i="49" s="1"/>
  <c r="P51" i="49" s="1"/>
  <c r="P52" i="49" s="1"/>
  <c r="P53" i="49" s="1"/>
  <c r="P54" i="49" s="1"/>
  <c r="P55" i="49" s="1"/>
  <c r="P56" i="49" s="1"/>
  <c r="P57" i="49" s="1"/>
  <c r="P58" i="49" s="1"/>
  <c r="P59" i="49" s="1"/>
  <c r="P60" i="49" s="1"/>
  <c r="P61" i="49" s="1"/>
  <c r="P62" i="49" s="1"/>
  <c r="P63" i="49" s="1"/>
  <c r="P64" i="49" s="1"/>
  <c r="P65" i="49" s="1"/>
  <c r="P66" i="49" s="1"/>
  <c r="P67" i="49" s="1"/>
  <c r="P68" i="49" s="1"/>
  <c r="P69" i="49" s="1"/>
  <c r="P70" i="49" s="1"/>
  <c r="P71" i="49" s="1"/>
  <c r="P72" i="49" s="1"/>
  <c r="P73" i="49" s="1"/>
  <c r="P74" i="49" s="1"/>
  <c r="P75" i="49" s="1"/>
  <c r="P76" i="49" s="1"/>
  <c r="P77" i="49" s="1"/>
  <c r="P78" i="49" s="1"/>
  <c r="P79" i="49" s="1"/>
  <c r="P80" i="49" s="1"/>
  <c r="P81" i="49" s="1"/>
  <c r="P82" i="49" s="1"/>
  <c r="P83" i="49" s="1"/>
  <c r="P84" i="49" s="1"/>
  <c r="P85" i="49" s="1"/>
  <c r="P86" i="49" s="1"/>
  <c r="P87" i="49" s="1"/>
  <c r="O25" i="49"/>
  <c r="N26" i="49" s="1"/>
  <c r="P23" i="49"/>
  <c r="P24" i="49" s="1"/>
  <c r="P25" i="49" s="1"/>
  <c r="P26" i="49" s="1"/>
  <c r="K16" i="49"/>
  <c r="K17" i="49" s="1"/>
  <c r="K18" i="49" s="1"/>
  <c r="K19" i="49" s="1"/>
  <c r="K20" i="49" s="1"/>
  <c r="K21" i="49" s="1"/>
  <c r="K22" i="49" s="1"/>
  <c r="K23" i="49" s="1"/>
  <c r="K24" i="49" s="1"/>
  <c r="K25" i="49" s="1"/>
  <c r="K26" i="49" s="1"/>
  <c r="K27" i="49" s="1"/>
  <c r="K28" i="49" s="1"/>
  <c r="K29" i="49" s="1"/>
  <c r="K30" i="49" s="1"/>
  <c r="K31" i="49" s="1"/>
  <c r="K32" i="49" s="1"/>
  <c r="K33" i="49" s="1"/>
  <c r="K34" i="49" s="1"/>
  <c r="K35" i="49" s="1"/>
  <c r="K36" i="49" s="1"/>
  <c r="K37" i="49" s="1"/>
  <c r="K38" i="49" s="1"/>
  <c r="K39" i="49" s="1"/>
  <c r="K40" i="49" s="1"/>
  <c r="K41" i="49" s="1"/>
  <c r="K42" i="49" s="1"/>
  <c r="K43" i="49" s="1"/>
  <c r="K44" i="49" s="1"/>
  <c r="K45" i="49" s="1"/>
  <c r="K46" i="49" s="1"/>
  <c r="K47" i="49" s="1"/>
  <c r="K48" i="49" s="1"/>
  <c r="K49" i="49" s="1"/>
  <c r="K50" i="49" s="1"/>
  <c r="K51" i="49" s="1"/>
  <c r="K52" i="49" s="1"/>
  <c r="K53" i="49" s="1"/>
  <c r="K54" i="49" s="1"/>
  <c r="K55" i="49" s="1"/>
  <c r="K56" i="49" s="1"/>
  <c r="K57" i="49" s="1"/>
  <c r="K58" i="49" s="1"/>
  <c r="K59" i="49" s="1"/>
  <c r="K60" i="49" s="1"/>
  <c r="K61" i="49" s="1"/>
  <c r="K62" i="49" s="1"/>
  <c r="K63" i="49" s="1"/>
  <c r="K64" i="49" s="1"/>
  <c r="K65" i="49" s="1"/>
  <c r="K66" i="49" s="1"/>
  <c r="K67" i="49" s="1"/>
  <c r="K68" i="49" s="1"/>
  <c r="K69" i="49" s="1"/>
  <c r="K70" i="49" s="1"/>
  <c r="K71" i="49" s="1"/>
  <c r="K72" i="49" s="1"/>
  <c r="K73" i="49" s="1"/>
  <c r="K74" i="49" s="1"/>
  <c r="K75" i="49" s="1"/>
  <c r="K76" i="49" s="1"/>
  <c r="K77" i="49" s="1"/>
  <c r="K78" i="49" s="1"/>
  <c r="K79" i="49" s="1"/>
  <c r="K80" i="49" s="1"/>
  <c r="K81" i="49" s="1"/>
  <c r="K82" i="49" s="1"/>
  <c r="K83" i="49" s="1"/>
  <c r="K84" i="49" s="1"/>
  <c r="K85" i="49" s="1"/>
  <c r="K86" i="49" s="1"/>
  <c r="K87" i="49" s="1"/>
  <c r="K88" i="49" s="1"/>
  <c r="K89" i="49" s="1"/>
  <c r="K90" i="49" s="1"/>
  <c r="K91" i="49" s="1"/>
  <c r="K92" i="49" s="1"/>
  <c r="K93" i="49" s="1"/>
  <c r="K94" i="49" s="1"/>
  <c r="K95" i="49" s="1"/>
  <c r="K96" i="49" s="1"/>
  <c r="K97" i="49" s="1"/>
  <c r="K98" i="49" s="1"/>
  <c r="K99" i="49" s="1"/>
  <c r="K100" i="49" s="1"/>
  <c r="K101" i="49" s="1"/>
  <c r="K102" i="49" s="1"/>
  <c r="K103" i="49" s="1"/>
  <c r="K104" i="49" s="1"/>
  <c r="K105" i="49" s="1"/>
  <c r="K106" i="49" s="1"/>
  <c r="K107" i="49" s="1"/>
  <c r="K108" i="49" s="1"/>
  <c r="K109" i="49" s="1"/>
  <c r="K110" i="49" s="1"/>
  <c r="K111" i="49" s="1"/>
  <c r="K112" i="49" s="1"/>
  <c r="K113" i="49" s="1"/>
  <c r="K114" i="49" s="1"/>
  <c r="K115" i="49" s="1"/>
  <c r="K116" i="49" s="1"/>
  <c r="K117" i="49" s="1"/>
  <c r="K118" i="49" s="1"/>
  <c r="K119" i="49" s="1"/>
  <c r="K120" i="49" s="1"/>
  <c r="K121" i="49" s="1"/>
  <c r="K122" i="49" s="1"/>
  <c r="K123" i="49" s="1"/>
  <c r="K124" i="49" s="1"/>
  <c r="K125" i="49" s="1"/>
  <c r="K126" i="49" s="1"/>
  <c r="K127" i="49" s="1"/>
  <c r="K128" i="49" s="1"/>
  <c r="K129" i="49" s="1"/>
  <c r="K130" i="49" s="1"/>
  <c r="K131" i="49" s="1"/>
  <c r="K132" i="49" s="1"/>
  <c r="N14" i="49"/>
  <c r="M14" i="49"/>
  <c r="O13" i="49"/>
  <c r="N13" i="49"/>
  <c r="L13" i="49" s="1"/>
  <c r="K13" i="49"/>
  <c r="K14" i="49" s="1"/>
  <c r="K15" i="49" s="1"/>
  <c r="L7" i="49"/>
  <c r="M26" i="49" s="1"/>
  <c r="E13" i="49"/>
  <c r="C13" i="49"/>
  <c r="C7" i="49"/>
  <c r="G23" i="49"/>
  <c r="G24" i="49" s="1"/>
  <c r="G25" i="49" s="1"/>
  <c r="G26" i="49" s="1"/>
  <c r="G27" i="49" s="1"/>
  <c r="G28" i="49" s="1"/>
  <c r="G29" i="49" s="1"/>
  <c r="G30" i="49" s="1"/>
  <c r="G31" i="49" s="1"/>
  <c r="G32" i="49" s="1"/>
  <c r="G33" i="49" s="1"/>
  <c r="G34" i="49" s="1"/>
  <c r="G35" i="49" s="1"/>
  <c r="G36" i="49" s="1"/>
  <c r="G37" i="49" s="1"/>
  <c r="G38" i="49" s="1"/>
  <c r="G39" i="49" s="1"/>
  <c r="G40" i="49" s="1"/>
  <c r="G41" i="49" s="1"/>
  <c r="G42" i="49" s="1"/>
  <c r="G43" i="49" s="1"/>
  <c r="G44" i="49" s="1"/>
  <c r="G45" i="49" s="1"/>
  <c r="G46" i="49" s="1"/>
  <c r="G47" i="49" s="1"/>
  <c r="G48" i="49" s="1"/>
  <c r="G49" i="49" s="1"/>
  <c r="G50" i="49" s="1"/>
  <c r="G51" i="49" s="1"/>
  <c r="G52" i="49" s="1"/>
  <c r="G53" i="49" s="1"/>
  <c r="G54" i="49" s="1"/>
  <c r="G55" i="49" s="1"/>
  <c r="G56" i="49" s="1"/>
  <c r="G57" i="49" s="1"/>
  <c r="G58" i="49" s="1"/>
  <c r="G59" i="49" s="1"/>
  <c r="G60" i="49" s="1"/>
  <c r="G61" i="49" s="1"/>
  <c r="G62" i="49" s="1"/>
  <c r="G63" i="49" s="1"/>
  <c r="G64" i="49" s="1"/>
  <c r="G65" i="49" s="1"/>
  <c r="G66" i="49" s="1"/>
  <c r="G67" i="49" s="1"/>
  <c r="G68" i="49" s="1"/>
  <c r="G69" i="49" s="1"/>
  <c r="G70" i="49" s="1"/>
  <c r="G71" i="49" s="1"/>
  <c r="G72" i="49" s="1"/>
  <c r="L26" i="49" l="1"/>
  <c r="M27" i="49"/>
  <c r="O26" i="49"/>
  <c r="N27" i="49" s="1"/>
  <c r="L14" i="49"/>
  <c r="O14" i="49"/>
  <c r="N15" i="49" s="1"/>
  <c r="M15" i="49"/>
  <c r="M89" i="49"/>
  <c r="O15" i="49" l="1"/>
  <c r="N16" i="49" s="1"/>
  <c r="M16" i="49"/>
  <c r="L15" i="49"/>
  <c r="O27" i="49"/>
  <c r="N28" i="49" s="1"/>
  <c r="M28" i="49"/>
  <c r="L27" i="49"/>
  <c r="M90" i="49"/>
  <c r="M17" i="49" l="1"/>
  <c r="O16" i="49"/>
  <c r="N17" i="49" s="1"/>
  <c r="L16" i="49"/>
  <c r="L28" i="49"/>
  <c r="M29" i="49"/>
  <c r="O28" i="49"/>
  <c r="N29" i="49" s="1"/>
  <c r="M30" i="49" l="1"/>
  <c r="L29" i="49"/>
  <c r="O29" i="49"/>
  <c r="N30" i="49" s="1"/>
  <c r="L17" i="49"/>
  <c r="M18" i="49"/>
  <c r="O17" i="49"/>
  <c r="N18" i="49" s="1"/>
  <c r="L18" i="49" l="1"/>
  <c r="S12" i="49" s="1"/>
  <c r="O18" i="49"/>
  <c r="N19" i="49" s="1"/>
  <c r="M19" i="49"/>
  <c r="L30" i="49"/>
  <c r="M31" i="49"/>
  <c r="O30" i="49"/>
  <c r="N31" i="49" s="1"/>
  <c r="M32" i="49" l="1"/>
  <c r="L31" i="49"/>
  <c r="O31" i="49"/>
  <c r="N32" i="49" s="1"/>
  <c r="M20" i="49"/>
  <c r="O19" i="49"/>
  <c r="N20" i="49" s="1"/>
  <c r="L19" i="49"/>
  <c r="L20" i="49" l="1"/>
  <c r="M21" i="49"/>
  <c r="O20" i="49"/>
  <c r="N21" i="49" s="1"/>
  <c r="M33" i="49"/>
  <c r="O32" i="49"/>
  <c r="N33" i="49" s="1"/>
  <c r="L32" i="49"/>
  <c r="L33" i="49" l="1"/>
  <c r="O33" i="49"/>
  <c r="N34" i="49" s="1"/>
  <c r="M34" i="49"/>
  <c r="L21" i="49"/>
  <c r="O21" i="49"/>
  <c r="N22" i="49" s="1"/>
  <c r="M22" i="49"/>
  <c r="M35" i="49" l="1"/>
  <c r="O34" i="49"/>
  <c r="N35" i="49" s="1"/>
  <c r="L34" i="49"/>
  <c r="O22" i="49"/>
  <c r="N23" i="49" s="1"/>
  <c r="M23" i="49"/>
  <c r="L22" i="49"/>
  <c r="L23" i="49" l="1"/>
  <c r="M24" i="49"/>
  <c r="O23" i="49"/>
  <c r="N24" i="49" s="1"/>
  <c r="L35" i="49"/>
  <c r="M36" i="49"/>
  <c r="O35" i="49"/>
  <c r="N36" i="49" s="1"/>
  <c r="L24" i="49" l="1"/>
  <c r="M25" i="49"/>
  <c r="L25" i="49" s="1"/>
  <c r="S19" i="49" s="1"/>
  <c r="O24" i="49"/>
  <c r="N25" i="49" s="1"/>
  <c r="M37" i="49"/>
  <c r="O36" i="49"/>
  <c r="N37" i="49" s="1"/>
  <c r="L36" i="49"/>
  <c r="L37" i="49" l="1"/>
  <c r="O37" i="49"/>
  <c r="N38" i="49" s="1"/>
  <c r="M38" i="49"/>
  <c r="M39" i="49" l="1"/>
  <c r="O38" i="49"/>
  <c r="N39" i="49" s="1"/>
  <c r="L38" i="49"/>
  <c r="L39" i="49" l="1"/>
  <c r="M40" i="49"/>
  <c r="O39" i="49"/>
  <c r="N40" i="49" s="1"/>
  <c r="M41" i="49" l="1"/>
  <c r="O40" i="49"/>
  <c r="N41" i="49" s="1"/>
  <c r="L40" i="49"/>
  <c r="L41" i="49" l="1"/>
  <c r="O41" i="49"/>
  <c r="N42" i="49" s="1"/>
  <c r="M42" i="49"/>
  <c r="M43" i="49" l="1"/>
  <c r="O42" i="49"/>
  <c r="N43" i="49" s="1"/>
  <c r="L42" i="49"/>
  <c r="S31" i="49" s="1"/>
  <c r="M44" i="49" l="1"/>
  <c r="L43" i="49"/>
  <c r="O43" i="49"/>
  <c r="N44" i="49" s="1"/>
  <c r="L44" i="49" l="1"/>
  <c r="M45" i="49"/>
  <c r="O44" i="49"/>
  <c r="N45" i="49" s="1"/>
  <c r="L45" i="49" l="1"/>
  <c r="M46" i="49"/>
  <c r="O45" i="49"/>
  <c r="N46" i="49" s="1"/>
  <c r="O46" i="49" l="1"/>
  <c r="N47" i="49" s="1"/>
  <c r="L46" i="49"/>
  <c r="M47" i="49"/>
  <c r="L47" i="49" l="1"/>
  <c r="M48" i="49"/>
  <c r="O47" i="49"/>
  <c r="N48" i="49" s="1"/>
  <c r="L48" i="49" l="1"/>
  <c r="M49" i="49"/>
  <c r="O48" i="49"/>
  <c r="N49" i="49" s="1"/>
  <c r="L49" i="49" l="1"/>
  <c r="M50" i="49"/>
  <c r="O49" i="49"/>
  <c r="N50" i="49" s="1"/>
  <c r="L50" i="49" l="1"/>
  <c r="O50" i="49"/>
  <c r="N51" i="49" s="1"/>
  <c r="M51" i="49"/>
  <c r="L51" i="49" l="1"/>
  <c r="M52" i="49"/>
  <c r="O51" i="49"/>
  <c r="N52" i="49" s="1"/>
  <c r="L52" i="49" l="1"/>
  <c r="M53" i="49"/>
  <c r="O52" i="49"/>
  <c r="N53" i="49" s="1"/>
  <c r="L53" i="49" l="1"/>
  <c r="M54" i="49"/>
  <c r="O53" i="49"/>
  <c r="N54" i="49" s="1"/>
  <c r="L54" i="49" l="1"/>
  <c r="S43" i="49" s="1"/>
  <c r="O54" i="49"/>
  <c r="N55" i="49" s="1"/>
  <c r="M55" i="49"/>
  <c r="M56" i="49" l="1"/>
  <c r="L55" i="49"/>
  <c r="O55" i="49"/>
  <c r="N56" i="49" s="1"/>
  <c r="L56" i="49" l="1"/>
  <c r="M57" i="49"/>
  <c r="O56" i="49"/>
  <c r="N57" i="49" s="1"/>
  <c r="M58" i="49" l="1"/>
  <c r="O57" i="49"/>
  <c r="N58" i="49" s="1"/>
  <c r="L57" i="49"/>
  <c r="L58" i="49" l="1"/>
  <c r="O58" i="49"/>
  <c r="N59" i="49" s="1"/>
  <c r="M59" i="49"/>
  <c r="M60" i="49" l="1"/>
  <c r="O59" i="49"/>
  <c r="N60" i="49" s="1"/>
  <c r="L59" i="49"/>
  <c r="L60" i="49" l="1"/>
  <c r="M61" i="49"/>
  <c r="O60" i="49"/>
  <c r="N61" i="49" s="1"/>
  <c r="M62" i="49" l="1"/>
  <c r="O61" i="49"/>
  <c r="N62" i="49" s="1"/>
  <c r="L61" i="49"/>
  <c r="L62" i="49" l="1"/>
  <c r="O62" i="49"/>
  <c r="N63" i="49" s="1"/>
  <c r="M63" i="49"/>
  <c r="M64" i="49" l="1"/>
  <c r="O63" i="49"/>
  <c r="N64" i="49" s="1"/>
  <c r="L63" i="49"/>
  <c r="L64" i="49" l="1"/>
  <c r="M65" i="49"/>
  <c r="O64" i="49"/>
  <c r="N65" i="49" s="1"/>
  <c r="M66" i="49" l="1"/>
  <c r="O65" i="49"/>
  <c r="N66" i="49" s="1"/>
  <c r="L65" i="49"/>
  <c r="L66" i="49" l="1"/>
  <c r="S55" i="49" s="1"/>
  <c r="O66" i="49"/>
  <c r="N67" i="49" s="1"/>
  <c r="M67" i="49"/>
  <c r="O67" i="49" l="1"/>
  <c r="N68" i="49" s="1"/>
  <c r="L67" i="49"/>
  <c r="M68" i="49"/>
  <c r="M69" i="49" l="1"/>
  <c r="O68" i="49"/>
  <c r="N69" i="49" s="1"/>
  <c r="L68" i="49"/>
  <c r="L69" i="49" l="1"/>
  <c r="M70" i="49"/>
  <c r="O69" i="49"/>
  <c r="N70" i="49" s="1"/>
  <c r="M71" i="49" l="1"/>
  <c r="O70" i="49"/>
  <c r="N71" i="49" s="1"/>
  <c r="L70" i="49"/>
  <c r="L71" i="49" l="1"/>
  <c r="M72" i="49"/>
  <c r="O71" i="49"/>
  <c r="N72" i="49" s="1"/>
  <c r="M73" i="49" l="1"/>
  <c r="O72" i="49"/>
  <c r="N73" i="49" s="1"/>
  <c r="L72" i="49"/>
  <c r="L73" i="49" l="1"/>
  <c r="M74" i="49"/>
  <c r="O73" i="49"/>
  <c r="N74" i="49" s="1"/>
  <c r="M75" i="49" l="1"/>
  <c r="O74" i="49"/>
  <c r="N75" i="49" s="1"/>
  <c r="L74" i="49"/>
  <c r="L75" i="49" l="1"/>
  <c r="M76" i="49"/>
  <c r="O75" i="49"/>
  <c r="N76" i="49" s="1"/>
  <c r="M77" i="49" l="1"/>
  <c r="O76" i="49"/>
  <c r="N77" i="49" s="1"/>
  <c r="L76" i="49"/>
  <c r="L77" i="49" l="1"/>
  <c r="M78" i="49"/>
  <c r="O77" i="49"/>
  <c r="N78" i="49" s="1"/>
  <c r="M79" i="49" l="1"/>
  <c r="O78" i="49"/>
  <c r="N79" i="49" s="1"/>
  <c r="L78" i="49"/>
  <c r="S67" i="49" s="1"/>
  <c r="M80" i="49" l="1"/>
  <c r="L79" i="49"/>
  <c r="O79" i="49"/>
  <c r="N80" i="49" s="1"/>
  <c r="L80" i="49" l="1"/>
  <c r="M81" i="49"/>
  <c r="O80" i="49"/>
  <c r="N81" i="49" s="1"/>
  <c r="L81" i="49" l="1"/>
  <c r="M82" i="49"/>
  <c r="O81" i="49"/>
  <c r="N82" i="49" s="1"/>
  <c r="L82" i="49" l="1"/>
  <c r="O82" i="49"/>
  <c r="N83" i="49" s="1"/>
  <c r="M83" i="49"/>
  <c r="L83" i="49" l="1"/>
  <c r="M84" i="49"/>
  <c r="O83" i="49"/>
  <c r="N84" i="49" s="1"/>
  <c r="L84" i="49" l="1"/>
  <c r="M85" i="49"/>
  <c r="O84" i="49"/>
  <c r="N85" i="49" s="1"/>
  <c r="L85" i="49" l="1"/>
  <c r="O85" i="49"/>
  <c r="O86" i="49" l="1"/>
  <c r="N86" i="49"/>
  <c r="L86" i="49"/>
  <c r="L87" i="49" l="1"/>
  <c r="N87" i="49"/>
  <c r="O87" i="49"/>
  <c r="N88" i="49" l="1"/>
  <c r="L88" i="49"/>
  <c r="O88" i="49"/>
  <c r="N89" i="49" l="1"/>
  <c r="L89" i="49"/>
  <c r="O89" i="49"/>
  <c r="L90" i="49" l="1"/>
  <c r="S79" i="49" s="1"/>
  <c r="N90" i="49"/>
  <c r="O90" i="49"/>
  <c r="L91" i="49" l="1"/>
  <c r="M91" i="49" s="1"/>
  <c r="O91" i="49" s="1"/>
  <c r="N91" i="49"/>
  <c r="N92" i="49" l="1"/>
  <c r="L92" i="49"/>
  <c r="M92" i="49" s="1"/>
  <c r="O92" i="49" s="1"/>
  <c r="N93" i="49" l="1"/>
  <c r="L93" i="49"/>
  <c r="M93" i="49" l="1"/>
  <c r="O93" i="49" s="1"/>
  <c r="L94" i="49" l="1"/>
  <c r="M94" i="49" s="1"/>
  <c r="O94" i="49" s="1"/>
  <c r="N94" i="49"/>
  <c r="L95" i="49" l="1"/>
  <c r="M95" i="49" s="1"/>
  <c r="O95" i="49" s="1"/>
  <c r="N95" i="49"/>
  <c r="N96" i="49" l="1"/>
  <c r="L96" i="49"/>
  <c r="M96" i="49" s="1"/>
  <c r="O96" i="49" s="1"/>
  <c r="N97" i="49" l="1"/>
  <c r="L97" i="49"/>
  <c r="M97" i="49" s="1"/>
  <c r="O97" i="49" s="1"/>
  <c r="L98" i="49" l="1"/>
  <c r="N98" i="49"/>
  <c r="M98" i="49" l="1"/>
  <c r="O98" i="49" s="1"/>
  <c r="L99" i="49" l="1"/>
  <c r="N99" i="49"/>
  <c r="M99" i="49" l="1"/>
  <c r="O99" i="49" s="1"/>
  <c r="N100" i="49" l="1"/>
  <c r="L100" i="49"/>
  <c r="M100" i="49" s="1"/>
  <c r="O100" i="49" s="1"/>
  <c r="N101" i="49" l="1"/>
  <c r="L101" i="49"/>
  <c r="M101" i="49" s="1"/>
  <c r="O101" i="49" s="1"/>
  <c r="L102" i="49" l="1"/>
  <c r="N102" i="49"/>
  <c r="M102" i="49" l="1"/>
  <c r="O102" i="49" s="1"/>
  <c r="L103" i="49" l="1"/>
  <c r="N103" i="49"/>
  <c r="M103" i="49" l="1"/>
  <c r="O103" i="49" s="1"/>
  <c r="N104" i="49" l="1"/>
  <c r="L104" i="49"/>
  <c r="M104" i="49" s="1"/>
  <c r="O104" i="49" s="1"/>
  <c r="N105" i="49" l="1"/>
  <c r="L105" i="49"/>
  <c r="M105" i="49" l="1"/>
  <c r="O105" i="49" s="1"/>
  <c r="L106" i="49" l="1"/>
  <c r="M106" i="49" s="1"/>
  <c r="O106" i="49" s="1"/>
  <c r="N106" i="49"/>
  <c r="L107" i="49" l="1"/>
  <c r="M107" i="49" s="1"/>
  <c r="O107" i="49" s="1"/>
  <c r="N107" i="49"/>
  <c r="N108" i="49" l="1"/>
  <c r="L108" i="49"/>
  <c r="M108" i="49" l="1"/>
  <c r="O108" i="49" s="1"/>
  <c r="N109" i="49" l="1"/>
  <c r="L109" i="49"/>
  <c r="M109" i="49" s="1"/>
  <c r="O109" i="49" s="1"/>
  <c r="L110" i="49" l="1"/>
  <c r="N110" i="49"/>
  <c r="M110" i="49" l="1"/>
  <c r="O110" i="49" s="1"/>
  <c r="L111" i="49" l="1"/>
  <c r="N111" i="49"/>
  <c r="M111" i="49" l="1"/>
  <c r="O111" i="49" s="1"/>
  <c r="N112" i="49" l="1"/>
  <c r="L112" i="49"/>
  <c r="M112" i="49" l="1"/>
  <c r="O112" i="49" s="1"/>
  <c r="N113" i="49" l="1"/>
  <c r="L113" i="49"/>
  <c r="M113" i="49" s="1"/>
  <c r="O113" i="49" s="1"/>
  <c r="L114" i="49" l="1"/>
  <c r="M114" i="49" s="1"/>
  <c r="O114" i="49" s="1"/>
  <c r="N114" i="49"/>
  <c r="L115" i="49" l="1"/>
  <c r="N115" i="49"/>
  <c r="M115" i="49" l="1"/>
  <c r="O115" i="49" s="1"/>
  <c r="N116" i="49" l="1"/>
  <c r="L116" i="49"/>
  <c r="M116" i="49" s="1"/>
  <c r="O116" i="49" s="1"/>
  <c r="N117" i="49" l="1"/>
  <c r="L117" i="49"/>
  <c r="M117" i="49" s="1"/>
  <c r="O117" i="49" s="1"/>
  <c r="L118" i="49" l="1"/>
  <c r="N118" i="49"/>
  <c r="M118" i="49" l="1"/>
  <c r="O118" i="49" s="1"/>
  <c r="L119" i="49" l="1"/>
  <c r="N119" i="49"/>
  <c r="M119" i="49" l="1"/>
  <c r="O119" i="49" s="1"/>
  <c r="N120" i="49" l="1"/>
  <c r="L120" i="49"/>
  <c r="M120" i="49" s="1"/>
  <c r="O120" i="49" s="1"/>
  <c r="N121" i="49" l="1"/>
  <c r="L121" i="49"/>
  <c r="M121" i="49" s="1"/>
  <c r="O121" i="49" s="1"/>
  <c r="L122" i="49" l="1"/>
  <c r="N122" i="49"/>
  <c r="M122" i="49" l="1"/>
  <c r="O122" i="49" s="1"/>
  <c r="L123" i="49" l="1"/>
  <c r="N123" i="49"/>
  <c r="M123" i="49" l="1"/>
  <c r="O123" i="49" s="1"/>
  <c r="N124" i="49" l="1"/>
  <c r="L124" i="49"/>
  <c r="M124" i="49" s="1"/>
  <c r="O124" i="49" s="1"/>
  <c r="N125" i="49" l="1"/>
  <c r="L125" i="49"/>
  <c r="M125" i="49" s="1"/>
  <c r="O125" i="49" s="1"/>
  <c r="L126" i="49" l="1"/>
  <c r="N126" i="49"/>
  <c r="M126" i="49" l="1"/>
  <c r="O126" i="49" s="1"/>
  <c r="L127" i="49" l="1"/>
  <c r="N127" i="49"/>
  <c r="M127" i="49" l="1"/>
  <c r="O127" i="49" s="1"/>
  <c r="N128" i="49" l="1"/>
  <c r="L128" i="49"/>
  <c r="M128" i="49" s="1"/>
  <c r="O128" i="49" s="1"/>
  <c r="N129" i="49" l="1"/>
  <c r="L129" i="49"/>
  <c r="M129" i="49" s="1"/>
  <c r="O129" i="49" s="1"/>
  <c r="L130" i="49" l="1"/>
  <c r="N130" i="49"/>
  <c r="M130" i="49" l="1"/>
  <c r="O130" i="49" s="1"/>
  <c r="L131" i="49" l="1"/>
  <c r="N131" i="49"/>
  <c r="M131" i="49" l="1"/>
  <c r="O131" i="49" s="1"/>
  <c r="N132" i="49" l="1"/>
  <c r="L132" i="49"/>
  <c r="M132" i="49" s="1"/>
  <c r="O132" i="49" s="1"/>
  <c r="L69" i="24" l="1"/>
  <c r="M69" i="24" s="1"/>
  <c r="N69" i="24" s="1"/>
  <c r="O69" i="24" s="1"/>
  <c r="P69" i="24" s="1"/>
  <c r="M68" i="24"/>
  <c r="N68" i="24" s="1"/>
  <c r="O68" i="24" s="1"/>
  <c r="P68" i="24" s="1"/>
  <c r="K58" i="24"/>
  <c r="L58" i="24" s="1"/>
  <c r="M58" i="24" s="1"/>
  <c r="N58" i="24" s="1"/>
  <c r="O58" i="24" s="1"/>
  <c r="P58" i="24" s="1"/>
  <c r="I44" i="29"/>
  <c r="H44" i="29"/>
  <c r="G17" i="29" l="1"/>
  <c r="F189" i="29" l="1"/>
  <c r="F188" i="29"/>
  <c r="F173" i="29"/>
  <c r="F176" i="29" s="1"/>
  <c r="BE8" i="6"/>
  <c r="BE13" i="6"/>
  <c r="BI8" i="6"/>
  <c r="BI13" i="6"/>
  <c r="BM13" i="6"/>
  <c r="BQ13" i="6"/>
  <c r="BU13" i="6"/>
  <c r="BY13" i="6"/>
  <c r="BW37" i="6"/>
  <c r="BW36" i="6"/>
  <c r="BS37" i="6"/>
  <c r="BS36" i="6"/>
  <c r="BO37" i="6"/>
  <c r="BO36" i="6"/>
  <c r="BK37" i="6"/>
  <c r="BK36" i="6"/>
  <c r="BG37" i="6"/>
  <c r="BG36" i="6"/>
  <c r="F190" i="29" l="1"/>
  <c r="F175" i="29"/>
  <c r="E42" i="29" l="1"/>
  <c r="G16" i="29"/>
  <c r="BC36" i="6" l="1"/>
  <c r="AY36" i="6"/>
  <c r="AY41" i="6"/>
  <c r="BC41" i="6" s="1"/>
  <c r="BG41" i="6" s="1"/>
  <c r="BK41" i="6" s="1"/>
  <c r="BO41" i="6" s="1"/>
  <c r="BS41" i="6" s="1"/>
  <c r="BW41" i="6" s="1"/>
  <c r="AY43" i="6"/>
  <c r="BC43" i="6" s="1"/>
  <c r="BG43" i="6" s="1"/>
  <c r="BK43" i="6" s="1"/>
  <c r="BO43" i="6" s="1"/>
  <c r="BS43" i="6" s="1"/>
  <c r="BW43" i="6" s="1"/>
  <c r="AY44" i="6"/>
  <c r="BC44" i="6" s="1"/>
  <c r="BG44" i="6" s="1"/>
  <c r="BK44" i="6" s="1"/>
  <c r="BO44" i="6" s="1"/>
  <c r="BS44" i="6" s="1"/>
  <c r="BW44" i="6" s="1"/>
  <c r="BC37" i="6"/>
  <c r="F153" i="24"/>
  <c r="G153" i="24"/>
  <c r="F155" i="24"/>
  <c r="G155" i="24"/>
  <c r="AU40" i="6"/>
  <c r="AY40" i="6" s="1"/>
  <c r="BC40" i="6" s="1"/>
  <c r="BG40" i="6" s="1"/>
  <c r="BK40" i="6" s="1"/>
  <c r="BO40" i="6" s="1"/>
  <c r="BS40" i="6" s="1"/>
  <c r="BW40" i="6" s="1"/>
  <c r="AU50" i="6"/>
  <c r="AU47" i="6"/>
  <c r="AU45" i="6"/>
  <c r="AY45" i="6" s="1"/>
  <c r="BC45" i="6" s="1"/>
  <c r="BG45" i="6" s="1"/>
  <c r="BK45" i="6" s="1"/>
  <c r="BO45" i="6" s="1"/>
  <c r="BS45" i="6" s="1"/>
  <c r="BW45" i="6" s="1"/>
  <c r="AU42" i="6"/>
  <c r="AY42" i="6" s="1"/>
  <c r="BC42" i="6" s="1"/>
  <c r="BG42" i="6" s="1"/>
  <c r="BK42" i="6" s="1"/>
  <c r="BO42" i="6" s="1"/>
  <c r="BS42" i="6" s="1"/>
  <c r="BW42" i="6" s="1"/>
  <c r="AU36" i="6"/>
  <c r="AU29" i="6"/>
  <c r="AU28" i="6"/>
  <c r="AQ15" i="6"/>
  <c r="AS13" i="6"/>
  <c r="BA13" i="6"/>
  <c r="BA8" i="6"/>
  <c r="AW8" i="6"/>
  <c r="AS8" i="6"/>
  <c r="AW13" i="6"/>
  <c r="E196" i="29"/>
  <c r="F197" i="29"/>
  <c r="G147" i="29"/>
  <c r="AH28" i="6"/>
  <c r="AH45" i="6"/>
  <c r="AH50" i="6"/>
  <c r="AH47" i="6"/>
  <c r="AH42" i="6"/>
  <c r="AH40" i="6"/>
  <c r="F182" i="29"/>
  <c r="F154" i="29"/>
  <c r="E204" i="29" l="1"/>
  <c r="AH20" i="6"/>
  <c r="AU20" i="6"/>
  <c r="F153" i="29"/>
  <c r="G153" i="29" s="1"/>
  <c r="F205" i="29"/>
  <c r="H153" i="29" l="1"/>
  <c r="I153" i="29" s="1"/>
  <c r="J153" i="29" s="1"/>
  <c r="K153" i="29" s="1"/>
  <c r="L153" i="29" s="1"/>
  <c r="M153" i="29" s="1"/>
  <c r="N153" i="29" s="1"/>
  <c r="G244" i="29"/>
  <c r="H65" i="29"/>
  <c r="I65" i="29"/>
  <c r="G65" i="29"/>
  <c r="H64" i="29"/>
  <c r="I64" i="29"/>
  <c r="G64" i="29"/>
  <c r="G56" i="29"/>
  <c r="G260" i="29" l="1"/>
  <c r="G259" i="29"/>
  <c r="G258" i="29"/>
  <c r="H244" i="29"/>
  <c r="M144" i="54"/>
  <c r="M63" i="54"/>
  <c r="M62" i="54"/>
  <c r="M71" i="54"/>
  <c r="M70" i="54"/>
  <c r="K71" i="54"/>
  <c r="L71" i="54"/>
  <c r="G245" i="29" l="1"/>
  <c r="H258" i="29"/>
  <c r="H260" i="29"/>
  <c r="H259" i="29"/>
  <c r="I244" i="29"/>
  <c r="H245" i="29" l="1"/>
  <c r="I258" i="29"/>
  <c r="I260" i="29"/>
  <c r="I259" i="29"/>
  <c r="J244" i="29"/>
  <c r="N177" i="5"/>
  <c r="N80" i="5"/>
  <c r="N79" i="5"/>
  <c r="J258" i="29" l="1"/>
  <c r="J259" i="29"/>
  <c r="K244" i="29"/>
  <c r="I245" i="29"/>
  <c r="M129" i="54"/>
  <c r="M128" i="54"/>
  <c r="L39" i="54"/>
  <c r="K259" i="29" l="1"/>
  <c r="K258" i="29"/>
  <c r="L244" i="29"/>
  <c r="M78" i="54"/>
  <c r="M146" i="54" s="1"/>
  <c r="M77" i="54"/>
  <c r="M145" i="54" s="1"/>
  <c r="M81" i="54"/>
  <c r="M80" i="54"/>
  <c r="M150" i="54" l="1"/>
  <c r="L258" i="29"/>
  <c r="L259" i="29"/>
  <c r="M244" i="29"/>
  <c r="M15" i="54"/>
  <c r="M16" i="54"/>
  <c r="M8" i="54"/>
  <c r="L129" i="54"/>
  <c r="L128" i="54"/>
  <c r="L78" i="54"/>
  <c r="L77" i="54"/>
  <c r="L81" i="54"/>
  <c r="L80" i="54"/>
  <c r="L70" i="54"/>
  <c r="BF15" i="54" l="1"/>
  <c r="AQ15" i="54"/>
  <c r="AB15" i="54"/>
  <c r="BF8" i="54"/>
  <c r="AQ8" i="54"/>
  <c r="AB8" i="54"/>
  <c r="BF41" i="54"/>
  <c r="AB41" i="54"/>
  <c r="AQ41" i="54"/>
  <c r="L149" i="54"/>
  <c r="M44" i="54"/>
  <c r="M258" i="29"/>
  <c r="M259" i="29"/>
  <c r="N244" i="29"/>
  <c r="L150" i="54"/>
  <c r="M45" i="54"/>
  <c r="L16" i="54"/>
  <c r="L15" i="54"/>
  <c r="L8" i="54"/>
  <c r="I70" i="50"/>
  <c r="H70" i="50"/>
  <c r="H28" i="50"/>
  <c r="I28" i="50"/>
  <c r="I133" i="50"/>
  <c r="I132" i="50"/>
  <c r="I131" i="50"/>
  <c r="I130" i="50"/>
  <c r="I129" i="50"/>
  <c r="I128" i="50"/>
  <c r="I127" i="50"/>
  <c r="I126" i="50"/>
  <c r="I125" i="50"/>
  <c r="I124" i="50"/>
  <c r="I123" i="50"/>
  <c r="I122" i="50"/>
  <c r="I121" i="50"/>
  <c r="I120" i="50"/>
  <c r="I119" i="50"/>
  <c r="I118" i="50"/>
  <c r="I117" i="50"/>
  <c r="I116" i="50"/>
  <c r="I115" i="50"/>
  <c r="I114" i="50"/>
  <c r="I113" i="50"/>
  <c r="I112" i="50"/>
  <c r="I111" i="50"/>
  <c r="I110" i="50"/>
  <c r="I109" i="50"/>
  <c r="I108" i="50"/>
  <c r="I107" i="50"/>
  <c r="I106" i="50"/>
  <c r="I105" i="50"/>
  <c r="I104" i="50"/>
  <c r="I103" i="50"/>
  <c r="I102" i="50"/>
  <c r="I101" i="50"/>
  <c r="I100" i="50"/>
  <c r="I99" i="50"/>
  <c r="I98" i="50"/>
  <c r="I97" i="50"/>
  <c r="I96" i="50"/>
  <c r="I95" i="50"/>
  <c r="I94" i="50"/>
  <c r="I93" i="50"/>
  <c r="I92" i="50"/>
  <c r="I91" i="50"/>
  <c r="I90" i="50"/>
  <c r="I89" i="50"/>
  <c r="I88" i="50"/>
  <c r="I87" i="50"/>
  <c r="I86" i="50"/>
  <c r="I85" i="50"/>
  <c r="I84" i="50"/>
  <c r="I83" i="50"/>
  <c r="I82" i="50"/>
  <c r="I81" i="50"/>
  <c r="I80" i="50"/>
  <c r="I79" i="50"/>
  <c r="I78" i="50"/>
  <c r="I77" i="50"/>
  <c r="I76" i="50"/>
  <c r="I75" i="50"/>
  <c r="I74" i="50"/>
  <c r="I73" i="50"/>
  <c r="I72" i="50"/>
  <c r="I71" i="50"/>
  <c r="I69" i="50"/>
  <c r="I68" i="50"/>
  <c r="I67" i="50"/>
  <c r="I66" i="50"/>
  <c r="I65" i="50"/>
  <c r="I64" i="50"/>
  <c r="I63" i="50"/>
  <c r="I62" i="50"/>
  <c r="I61" i="50"/>
  <c r="I60" i="50"/>
  <c r="I59" i="50"/>
  <c r="I58" i="50"/>
  <c r="I57" i="50"/>
  <c r="I56" i="50"/>
  <c r="I55" i="50"/>
  <c r="I54" i="50"/>
  <c r="I53" i="50"/>
  <c r="I52" i="50"/>
  <c r="I51" i="50"/>
  <c r="I50" i="50"/>
  <c r="I49" i="50"/>
  <c r="I48" i="50"/>
  <c r="I47" i="50"/>
  <c r="I46" i="50"/>
  <c r="I45" i="50"/>
  <c r="I44" i="50"/>
  <c r="I43" i="50"/>
  <c r="I42" i="50"/>
  <c r="I41" i="50"/>
  <c r="I40" i="50"/>
  <c r="I39" i="50"/>
  <c r="I38" i="50"/>
  <c r="I37" i="50"/>
  <c r="I36" i="50"/>
  <c r="I35" i="50"/>
  <c r="I34" i="50"/>
  <c r="I33" i="50"/>
  <c r="I32" i="50"/>
  <c r="I31" i="50"/>
  <c r="I30" i="50"/>
  <c r="I29" i="50"/>
  <c r="I27" i="50"/>
  <c r="I26" i="50"/>
  <c r="I25" i="50"/>
  <c r="I24" i="50"/>
  <c r="I23" i="50"/>
  <c r="I22" i="50"/>
  <c r="I21" i="50"/>
  <c r="I20" i="50"/>
  <c r="I19" i="50"/>
  <c r="I18" i="50"/>
  <c r="I17" i="50"/>
  <c r="I16" i="50"/>
  <c r="I15" i="50"/>
  <c r="I14" i="50"/>
  <c r="I13" i="50"/>
  <c r="I12" i="50"/>
  <c r="I11" i="50"/>
  <c r="I10" i="50"/>
  <c r="I9" i="50"/>
  <c r="I8" i="50"/>
  <c r="I7" i="50"/>
  <c r="I6" i="50"/>
  <c r="I5" i="50"/>
  <c r="I4" i="50"/>
  <c r="H133" i="50"/>
  <c r="H132" i="50"/>
  <c r="H131" i="50"/>
  <c r="H130" i="50"/>
  <c r="H129" i="50"/>
  <c r="H128" i="50"/>
  <c r="H127" i="50"/>
  <c r="H126" i="50"/>
  <c r="H125" i="50"/>
  <c r="H124" i="50"/>
  <c r="H123" i="50"/>
  <c r="H122" i="50"/>
  <c r="H121" i="50"/>
  <c r="H120" i="50"/>
  <c r="H119" i="50"/>
  <c r="H118" i="50"/>
  <c r="H117" i="50"/>
  <c r="H116" i="50"/>
  <c r="H115" i="50"/>
  <c r="H114" i="50"/>
  <c r="H113" i="50"/>
  <c r="H112" i="50"/>
  <c r="H111" i="50"/>
  <c r="H110" i="50"/>
  <c r="H109" i="50"/>
  <c r="H108" i="50"/>
  <c r="H107" i="50"/>
  <c r="H106" i="50"/>
  <c r="H105" i="50"/>
  <c r="H104" i="50"/>
  <c r="H103" i="50"/>
  <c r="H102" i="50"/>
  <c r="H101" i="50"/>
  <c r="H100" i="50"/>
  <c r="H99" i="50"/>
  <c r="H98" i="50"/>
  <c r="H97" i="50"/>
  <c r="H96" i="50"/>
  <c r="H95" i="50"/>
  <c r="H94" i="50"/>
  <c r="H93" i="50"/>
  <c r="H92" i="50"/>
  <c r="H91" i="50"/>
  <c r="H90" i="50"/>
  <c r="H89" i="50"/>
  <c r="H88" i="50"/>
  <c r="H87" i="50"/>
  <c r="H86" i="50"/>
  <c r="H85" i="50"/>
  <c r="H84" i="50"/>
  <c r="H83" i="50"/>
  <c r="H82" i="50"/>
  <c r="H81" i="50"/>
  <c r="H80" i="50"/>
  <c r="H79" i="50"/>
  <c r="H78" i="50"/>
  <c r="H77" i="50"/>
  <c r="H76" i="50"/>
  <c r="H75" i="50"/>
  <c r="H74" i="50"/>
  <c r="H73" i="50"/>
  <c r="H72" i="50"/>
  <c r="H71" i="50"/>
  <c r="H69" i="50"/>
  <c r="H68" i="50"/>
  <c r="H67" i="50"/>
  <c r="H66" i="50"/>
  <c r="H65" i="50"/>
  <c r="H64" i="50"/>
  <c r="H63" i="50"/>
  <c r="H62" i="50"/>
  <c r="H61" i="50"/>
  <c r="H60" i="50"/>
  <c r="H59" i="50"/>
  <c r="H58" i="50"/>
  <c r="H57" i="50"/>
  <c r="H56" i="50"/>
  <c r="H55" i="50"/>
  <c r="H54" i="50"/>
  <c r="H53" i="50"/>
  <c r="H52" i="50"/>
  <c r="H51" i="50"/>
  <c r="H50" i="50"/>
  <c r="H49" i="50"/>
  <c r="H48" i="50"/>
  <c r="H47" i="50"/>
  <c r="H46" i="50"/>
  <c r="H45" i="50"/>
  <c r="H44" i="50"/>
  <c r="H43" i="50"/>
  <c r="H42" i="50"/>
  <c r="H41" i="50"/>
  <c r="H40" i="50"/>
  <c r="H39" i="50"/>
  <c r="H38" i="50"/>
  <c r="H37" i="50"/>
  <c r="H36" i="50"/>
  <c r="H35" i="50"/>
  <c r="H34" i="50"/>
  <c r="H33" i="50"/>
  <c r="H32" i="50"/>
  <c r="H31" i="50"/>
  <c r="H30" i="50"/>
  <c r="H29" i="50"/>
  <c r="H27" i="50"/>
  <c r="H26" i="50"/>
  <c r="H25" i="50"/>
  <c r="H24" i="50"/>
  <c r="H23" i="50"/>
  <c r="H22" i="50"/>
  <c r="H21" i="50"/>
  <c r="H20" i="50"/>
  <c r="H19" i="50"/>
  <c r="H18" i="50"/>
  <c r="H17" i="50"/>
  <c r="H16" i="50"/>
  <c r="H15" i="50"/>
  <c r="H14" i="50"/>
  <c r="H13" i="50"/>
  <c r="H12" i="50"/>
  <c r="H11" i="50"/>
  <c r="H10" i="50"/>
  <c r="H9" i="50"/>
  <c r="H8" i="50"/>
  <c r="H7" i="50"/>
  <c r="H6" i="50"/>
  <c r="H5" i="50"/>
  <c r="H4" i="50"/>
  <c r="I138" i="24"/>
  <c r="I133" i="24"/>
  <c r="I132" i="24"/>
  <c r="I131" i="24"/>
  <c r="I130" i="24"/>
  <c r="I129" i="24"/>
  <c r="I128" i="24"/>
  <c r="I127" i="24"/>
  <c r="I126" i="24"/>
  <c r="I125" i="24"/>
  <c r="I124" i="24"/>
  <c r="I123" i="24"/>
  <c r="I122" i="24"/>
  <c r="I121" i="24"/>
  <c r="I120" i="24"/>
  <c r="I119" i="24"/>
  <c r="I118" i="24"/>
  <c r="I117" i="24"/>
  <c r="I116" i="24"/>
  <c r="I115" i="24"/>
  <c r="I114" i="24"/>
  <c r="I113" i="24"/>
  <c r="I112" i="24"/>
  <c r="I111" i="24"/>
  <c r="I110" i="24"/>
  <c r="I109" i="24"/>
  <c r="I108" i="24"/>
  <c r="I107" i="24"/>
  <c r="I106" i="24"/>
  <c r="I105" i="24"/>
  <c r="I104" i="24"/>
  <c r="I103" i="24"/>
  <c r="I102" i="24"/>
  <c r="I101" i="24"/>
  <c r="I100" i="24"/>
  <c r="I99" i="24"/>
  <c r="I98" i="24"/>
  <c r="I97" i="24"/>
  <c r="I96" i="24"/>
  <c r="I95" i="24"/>
  <c r="I94" i="24"/>
  <c r="I93" i="24"/>
  <c r="I92" i="24"/>
  <c r="I91" i="24"/>
  <c r="I90" i="24"/>
  <c r="I89" i="24"/>
  <c r="I88" i="24"/>
  <c r="I87" i="24"/>
  <c r="I86" i="24"/>
  <c r="I85" i="24"/>
  <c r="I84" i="24"/>
  <c r="I83" i="24"/>
  <c r="I82" i="24"/>
  <c r="I81" i="24"/>
  <c r="I80" i="24"/>
  <c r="I79" i="24"/>
  <c r="I78" i="24"/>
  <c r="I77" i="24"/>
  <c r="J77" i="24" s="1"/>
  <c r="K77" i="24" s="1"/>
  <c r="L77" i="24" s="1"/>
  <c r="M77" i="24" s="1"/>
  <c r="N77" i="24" s="1"/>
  <c r="O77" i="24" s="1"/>
  <c r="P77" i="24" s="1"/>
  <c r="I76" i="24"/>
  <c r="J76" i="24" s="1"/>
  <c r="K76" i="24" s="1"/>
  <c r="L76" i="24" s="1"/>
  <c r="M76" i="24" s="1"/>
  <c r="N76" i="24" s="1"/>
  <c r="O76" i="24" s="1"/>
  <c r="P76" i="24" s="1"/>
  <c r="I75" i="24"/>
  <c r="J75" i="24" s="1"/>
  <c r="K75" i="24" s="1"/>
  <c r="L75" i="24" s="1"/>
  <c r="M75" i="24" s="1"/>
  <c r="N75" i="24" s="1"/>
  <c r="O75" i="24" s="1"/>
  <c r="P75" i="24" s="1"/>
  <c r="I74" i="24"/>
  <c r="J74" i="24" s="1"/>
  <c r="K74" i="24" s="1"/>
  <c r="L74" i="24" s="1"/>
  <c r="M74" i="24" s="1"/>
  <c r="N74" i="24" s="1"/>
  <c r="O74" i="24" s="1"/>
  <c r="P74" i="24" s="1"/>
  <c r="I73" i="24"/>
  <c r="J73" i="24" s="1"/>
  <c r="K73" i="24" s="1"/>
  <c r="L73" i="24" s="1"/>
  <c r="M73" i="24" s="1"/>
  <c r="N73" i="24" s="1"/>
  <c r="O73" i="24" s="1"/>
  <c r="P73" i="24" s="1"/>
  <c r="I72" i="24"/>
  <c r="J72" i="24" s="1"/>
  <c r="K72" i="24" s="1"/>
  <c r="L72" i="24" s="1"/>
  <c r="M72" i="24" s="1"/>
  <c r="N72" i="24" s="1"/>
  <c r="O72" i="24" s="1"/>
  <c r="P72" i="24" s="1"/>
  <c r="I71" i="24"/>
  <c r="I157" i="24" s="1"/>
  <c r="O163" i="5" s="1"/>
  <c r="I70" i="24"/>
  <c r="J70" i="24" s="1"/>
  <c r="I69" i="24"/>
  <c r="I68" i="24"/>
  <c r="J68" i="24" s="1"/>
  <c r="I67" i="24"/>
  <c r="I66" i="24"/>
  <c r="J66" i="24" s="1"/>
  <c r="I65" i="24"/>
  <c r="J65" i="24" s="1"/>
  <c r="I64" i="24"/>
  <c r="I63" i="24"/>
  <c r="I62" i="24"/>
  <c r="J62" i="24" s="1"/>
  <c r="I61" i="24"/>
  <c r="I60" i="24"/>
  <c r="J60" i="24" s="1"/>
  <c r="K60" i="24" s="1"/>
  <c r="L60" i="24" s="1"/>
  <c r="M60" i="24" s="1"/>
  <c r="N60" i="24" s="1"/>
  <c r="O60" i="24" s="1"/>
  <c r="P60" i="24" s="1"/>
  <c r="I59" i="24"/>
  <c r="J59" i="24" s="1"/>
  <c r="I58" i="24"/>
  <c r="I57" i="24"/>
  <c r="I56" i="24"/>
  <c r="J56" i="24" s="1"/>
  <c r="I55" i="24"/>
  <c r="J55" i="24" s="1"/>
  <c r="I54" i="24"/>
  <c r="J54" i="24" s="1"/>
  <c r="I53" i="24"/>
  <c r="J53" i="24" s="1"/>
  <c r="I52" i="24"/>
  <c r="J52" i="24" s="1"/>
  <c r="I51" i="24"/>
  <c r="J51" i="24" s="1"/>
  <c r="I50" i="24"/>
  <c r="J50" i="24" s="1"/>
  <c r="I49" i="24"/>
  <c r="J49" i="24" s="1"/>
  <c r="I48" i="24"/>
  <c r="J48" i="24" s="1"/>
  <c r="I47" i="24"/>
  <c r="J47" i="24" s="1"/>
  <c r="I46" i="24"/>
  <c r="J46" i="24" s="1"/>
  <c r="I45" i="24"/>
  <c r="J45" i="24" s="1"/>
  <c r="I44" i="24"/>
  <c r="J44" i="24" s="1"/>
  <c r="I43" i="24"/>
  <c r="J43" i="24" s="1"/>
  <c r="I42" i="24"/>
  <c r="J42" i="24" s="1"/>
  <c r="I41" i="24"/>
  <c r="J41" i="24" s="1"/>
  <c r="I40" i="24"/>
  <c r="J40" i="24" s="1"/>
  <c r="I39" i="24"/>
  <c r="J39" i="24" s="1"/>
  <c r="I38" i="24"/>
  <c r="J38" i="24" s="1"/>
  <c r="I37" i="24"/>
  <c r="J37" i="24" s="1"/>
  <c r="I36" i="24"/>
  <c r="J36" i="24" s="1"/>
  <c r="I35" i="24"/>
  <c r="J35" i="24" s="1"/>
  <c r="I34" i="24"/>
  <c r="J34" i="24" s="1"/>
  <c r="I33" i="24"/>
  <c r="J33" i="24" s="1"/>
  <c r="I32" i="24"/>
  <c r="J32" i="24" s="1"/>
  <c r="I31" i="24"/>
  <c r="J31" i="24" s="1"/>
  <c r="I30" i="24"/>
  <c r="J30" i="24" s="1"/>
  <c r="I29" i="24"/>
  <c r="J29" i="24" s="1"/>
  <c r="K29" i="24" s="1"/>
  <c r="L29" i="24" s="1"/>
  <c r="M29" i="24" s="1"/>
  <c r="N29" i="24" s="1"/>
  <c r="O29" i="24" s="1"/>
  <c r="P29" i="24" s="1"/>
  <c r="I28" i="24"/>
  <c r="K28" i="24" s="1"/>
  <c r="L28" i="24" s="1"/>
  <c r="M28" i="24" s="1"/>
  <c r="N28" i="24" s="1"/>
  <c r="O28" i="24" s="1"/>
  <c r="P28" i="24" s="1"/>
  <c r="I27" i="24"/>
  <c r="J27" i="24" s="1"/>
  <c r="K27" i="24" s="1"/>
  <c r="L27" i="24" s="1"/>
  <c r="M27" i="24" s="1"/>
  <c r="N27" i="24" s="1"/>
  <c r="O27" i="24" s="1"/>
  <c r="P27" i="24" s="1"/>
  <c r="I26" i="24"/>
  <c r="J26" i="24" s="1"/>
  <c r="I25" i="24"/>
  <c r="J25" i="24" s="1"/>
  <c r="I24" i="24"/>
  <c r="I23" i="24"/>
  <c r="J23" i="24" s="1"/>
  <c r="I22" i="24"/>
  <c r="J22" i="24" s="1"/>
  <c r="I21" i="24"/>
  <c r="J21" i="24" s="1"/>
  <c r="I20" i="24"/>
  <c r="J20" i="24" s="1"/>
  <c r="I19" i="24"/>
  <c r="J19" i="24" s="1"/>
  <c r="I18" i="24"/>
  <c r="I17" i="24"/>
  <c r="J17" i="24" s="1"/>
  <c r="I16" i="24"/>
  <c r="J16" i="24" s="1"/>
  <c r="I15" i="24"/>
  <c r="J15" i="24" s="1"/>
  <c r="I14" i="24"/>
  <c r="J14" i="24" s="1"/>
  <c r="I13" i="24"/>
  <c r="I12" i="24"/>
  <c r="I11" i="24"/>
  <c r="I10" i="24"/>
  <c r="I9" i="24"/>
  <c r="I8" i="24"/>
  <c r="I7" i="24"/>
  <c r="I6" i="24"/>
  <c r="I5" i="24"/>
  <c r="I4" i="24"/>
  <c r="H138" i="24"/>
  <c r="H136" i="24"/>
  <c r="H155" i="24" s="1"/>
  <c r="N161" i="5" s="1"/>
  <c r="H134" i="24"/>
  <c r="H153" i="24" s="1"/>
  <c r="N159" i="5" s="1"/>
  <c r="H57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157" i="24" s="1"/>
  <c r="N163" i="5" s="1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T260" i="45"/>
  <c r="U260" i="45" s="1"/>
  <c r="V260" i="45" s="1"/>
  <c r="AJ260" i="45"/>
  <c r="U254" i="45"/>
  <c r="V254" i="45" s="1"/>
  <c r="U247" i="45"/>
  <c r="V247" i="45" s="1"/>
  <c r="U246" i="45"/>
  <c r="V246" i="45" s="1"/>
  <c r="U245" i="45"/>
  <c r="V245" i="45" s="1"/>
  <c r="U244" i="45"/>
  <c r="V244" i="45" s="1"/>
  <c r="U243" i="45"/>
  <c r="V243" i="45" s="1"/>
  <c r="AJ231" i="45"/>
  <c r="AJ232" i="45"/>
  <c r="AJ233" i="45"/>
  <c r="AJ248" i="45"/>
  <c r="T248" i="45"/>
  <c r="S247" i="45"/>
  <c r="T246" i="45"/>
  <c r="T245" i="45"/>
  <c r="S245" i="45"/>
  <c r="H243" i="45"/>
  <c r="I243" i="45"/>
  <c r="J243" i="45"/>
  <c r="K243" i="45"/>
  <c r="L243" i="45"/>
  <c r="M243" i="45"/>
  <c r="N243" i="45"/>
  <c r="O243" i="45"/>
  <c r="P243" i="45"/>
  <c r="Q243" i="45"/>
  <c r="R243" i="45"/>
  <c r="S243" i="45"/>
  <c r="S155" i="45"/>
  <c r="T230" i="45"/>
  <c r="U232" i="45"/>
  <c r="V232" i="45" s="1"/>
  <c r="T233" i="45"/>
  <c r="U233" i="45" s="1"/>
  <c r="V233" i="45" s="1"/>
  <c r="T234" i="45"/>
  <c r="T229" i="45"/>
  <c r="T228" i="45"/>
  <c r="T227" i="45"/>
  <c r="T226" i="45"/>
  <c r="T225" i="45"/>
  <c r="T224" i="45"/>
  <c r="T223" i="45"/>
  <c r="T222" i="45"/>
  <c r="T221" i="45"/>
  <c r="T220" i="45"/>
  <c r="T219" i="45"/>
  <c r="T218" i="45"/>
  <c r="T217" i="45"/>
  <c r="T216" i="45"/>
  <c r="T215" i="45"/>
  <c r="T214" i="45"/>
  <c r="T213" i="45"/>
  <c r="T212" i="45"/>
  <c r="T211" i="45"/>
  <c r="T210" i="45"/>
  <c r="T209" i="45"/>
  <c r="T208" i="45"/>
  <c r="T207" i="45"/>
  <c r="T206" i="45"/>
  <c r="T205" i="45"/>
  <c r="T204" i="45"/>
  <c r="T203" i="45"/>
  <c r="T202" i="45"/>
  <c r="T201" i="45"/>
  <c r="T200" i="45"/>
  <c r="T199" i="45"/>
  <c r="T198" i="45"/>
  <c r="T197" i="45"/>
  <c r="T196" i="45"/>
  <c r="T195" i="45"/>
  <c r="T194" i="45"/>
  <c r="T193" i="45"/>
  <c r="T192" i="45"/>
  <c r="T191" i="45"/>
  <c r="T190" i="45"/>
  <c r="T189" i="45"/>
  <c r="T188" i="45"/>
  <c r="T187" i="45"/>
  <c r="T186" i="45"/>
  <c r="T185" i="45"/>
  <c r="T184" i="45"/>
  <c r="T183" i="45"/>
  <c r="T182" i="45"/>
  <c r="T181" i="45"/>
  <c r="T180" i="45"/>
  <c r="T179" i="45"/>
  <c r="T178" i="45"/>
  <c r="T177" i="45"/>
  <c r="T176" i="45"/>
  <c r="T175" i="45"/>
  <c r="T174" i="45"/>
  <c r="T173" i="45"/>
  <c r="T172" i="45"/>
  <c r="T171" i="45"/>
  <c r="T170" i="45"/>
  <c r="T169" i="45"/>
  <c r="T168" i="45"/>
  <c r="T167" i="45"/>
  <c r="T166" i="45"/>
  <c r="T165" i="45"/>
  <c r="T164" i="45"/>
  <c r="T163" i="45"/>
  <c r="T162" i="45"/>
  <c r="T161" i="45"/>
  <c r="T160" i="45"/>
  <c r="T159" i="45"/>
  <c r="T158" i="45"/>
  <c r="T157" i="45"/>
  <c r="T156" i="45"/>
  <c r="T155" i="45"/>
  <c r="T154" i="45"/>
  <c r="T153" i="45"/>
  <c r="T152" i="45"/>
  <c r="T151" i="45"/>
  <c r="T150" i="45"/>
  <c r="T149" i="45"/>
  <c r="T148" i="45"/>
  <c r="T147" i="45"/>
  <c r="T146" i="45"/>
  <c r="T145" i="45"/>
  <c r="T144" i="45"/>
  <c r="T143" i="45"/>
  <c r="T142" i="45"/>
  <c r="T141" i="45"/>
  <c r="T140" i="45"/>
  <c r="T139" i="45"/>
  <c r="T138" i="45"/>
  <c r="T137" i="45"/>
  <c r="T136" i="45"/>
  <c r="T135" i="45"/>
  <c r="T134" i="45"/>
  <c r="T133" i="45"/>
  <c r="T132" i="45"/>
  <c r="T131" i="45"/>
  <c r="T130" i="45"/>
  <c r="T129" i="45"/>
  <c r="T128" i="45"/>
  <c r="T127" i="45"/>
  <c r="T126" i="45"/>
  <c r="T125" i="45"/>
  <c r="T124" i="45"/>
  <c r="T123" i="45"/>
  <c r="T122" i="45"/>
  <c r="T121" i="45"/>
  <c r="T120" i="45"/>
  <c r="T119" i="45"/>
  <c r="T118" i="45"/>
  <c r="T117" i="45"/>
  <c r="T116" i="45"/>
  <c r="T115" i="45"/>
  <c r="T114" i="45"/>
  <c r="T113" i="45"/>
  <c r="T112" i="45"/>
  <c r="T111" i="45"/>
  <c r="T110" i="45"/>
  <c r="T109" i="45"/>
  <c r="T108" i="45"/>
  <c r="T107" i="45"/>
  <c r="T106" i="45"/>
  <c r="T105" i="45"/>
  <c r="T104" i="45"/>
  <c r="T103" i="45"/>
  <c r="T102" i="45"/>
  <c r="T101" i="45"/>
  <c r="S226" i="45"/>
  <c r="S173" i="45"/>
  <c r="S169" i="45"/>
  <c r="S168" i="45"/>
  <c r="S167" i="45"/>
  <c r="BE8" i="54" l="1"/>
  <c r="AP8" i="54"/>
  <c r="AA8" i="54"/>
  <c r="AC43" i="54"/>
  <c r="BG23" i="54"/>
  <c r="BF23" i="54"/>
  <c r="L44" i="54"/>
  <c r="M60" i="54" s="1"/>
  <c r="BE15" i="54"/>
  <c r="AP15" i="54"/>
  <c r="AA15" i="54"/>
  <c r="BG43" i="54"/>
  <c r="AB30" i="54"/>
  <c r="AC30" i="54"/>
  <c r="BE41" i="54"/>
  <c r="BF43" i="54" s="1"/>
  <c r="AP41" i="54"/>
  <c r="AA41" i="54"/>
  <c r="AB43" i="54" s="1"/>
  <c r="AC23" i="54"/>
  <c r="AB23" i="54"/>
  <c r="AR30" i="54"/>
  <c r="AQ30" i="54"/>
  <c r="AR43" i="54"/>
  <c r="AQ43" i="54"/>
  <c r="AR23" i="54"/>
  <c r="AQ23" i="54"/>
  <c r="BG30" i="54"/>
  <c r="BF30" i="54"/>
  <c r="M30" i="54"/>
  <c r="N258" i="29"/>
  <c r="N259" i="29"/>
  <c r="H59" i="38"/>
  <c r="O19" i="9"/>
  <c r="P19" i="9"/>
  <c r="I59" i="38"/>
  <c r="U248" i="45"/>
  <c r="V248" i="45" s="1"/>
  <c r="L122" i="54"/>
  <c r="L121" i="54" s="1"/>
  <c r="M122" i="54"/>
  <c r="M143" i="54" s="1"/>
  <c r="S89" i="45"/>
  <c r="AB29" i="54" l="1"/>
  <c r="AB26" i="54"/>
  <c r="AB28" i="54"/>
  <c r="AB25" i="54"/>
  <c r="AC29" i="54"/>
  <c r="AC28" i="54"/>
  <c r="AC26" i="54"/>
  <c r="AC25" i="54"/>
  <c r="BF29" i="54"/>
  <c r="BF28" i="54"/>
  <c r="BF26" i="54"/>
  <c r="BF25" i="54"/>
  <c r="AQ29" i="54"/>
  <c r="AQ26" i="54"/>
  <c r="AQ25" i="54"/>
  <c r="AQ28" i="54"/>
  <c r="BG29" i="54"/>
  <c r="BG28" i="54"/>
  <c r="BG26" i="54"/>
  <c r="BG25" i="54"/>
  <c r="AR29" i="54"/>
  <c r="AR28" i="54"/>
  <c r="AR26" i="54"/>
  <c r="AR25" i="54"/>
  <c r="R255" i="45"/>
  <c r="Q255" i="45"/>
  <c r="P255" i="45"/>
  <c r="O255" i="45"/>
  <c r="N255" i="45"/>
  <c r="M255" i="45"/>
  <c r="L255" i="45"/>
  <c r="K255" i="45"/>
  <c r="J255" i="45"/>
  <c r="I255" i="45"/>
  <c r="H255" i="45"/>
  <c r="T254" i="45"/>
  <c r="R253" i="45"/>
  <c r="R256" i="45" s="1"/>
  <c r="Q253" i="45"/>
  <c r="Q256" i="45" s="1"/>
  <c r="P253" i="45"/>
  <c r="P256" i="45" s="1"/>
  <c r="O253" i="45"/>
  <c r="N253" i="45"/>
  <c r="N256" i="45" s="1"/>
  <c r="M253" i="45"/>
  <c r="M256" i="45" s="1"/>
  <c r="L253" i="45"/>
  <c r="L256" i="45" s="1"/>
  <c r="K253" i="45"/>
  <c r="J253" i="45"/>
  <c r="J256" i="45" s="1"/>
  <c r="I253" i="45"/>
  <c r="I256" i="45" s="1"/>
  <c r="H253" i="45"/>
  <c r="X255" i="45"/>
  <c r="Y255" i="45"/>
  <c r="Z255" i="45"/>
  <c r="AA255" i="45"/>
  <c r="AB255" i="45"/>
  <c r="AC255" i="45"/>
  <c r="AD255" i="45"/>
  <c r="AE255" i="45"/>
  <c r="AF255" i="45"/>
  <c r="AG255" i="45"/>
  <c r="AH255" i="45"/>
  <c r="AI255" i="45"/>
  <c r="X253" i="45"/>
  <c r="X256" i="45" s="1"/>
  <c r="Y253" i="45"/>
  <c r="Y256" i="45" s="1"/>
  <c r="Z253" i="45"/>
  <c r="Z256" i="45" s="1"/>
  <c r="AA253" i="45"/>
  <c r="AA256" i="45" s="1"/>
  <c r="AB253" i="45"/>
  <c r="AB256" i="45" s="1"/>
  <c r="AC253" i="45"/>
  <c r="AC256" i="45" s="1"/>
  <c r="AD253" i="45"/>
  <c r="AD256" i="45" s="1"/>
  <c r="AE253" i="45"/>
  <c r="AE256" i="45" s="1"/>
  <c r="AF253" i="45"/>
  <c r="AF256" i="45" s="1"/>
  <c r="AG253" i="45"/>
  <c r="AG256" i="45" s="1"/>
  <c r="AH253" i="45"/>
  <c r="AH256" i="45" s="1"/>
  <c r="AI253" i="45"/>
  <c r="AI256" i="45" s="1"/>
  <c r="AJ254" i="45"/>
  <c r="AI162" i="46"/>
  <c r="AH162" i="46"/>
  <c r="AG162" i="46"/>
  <c r="AF162" i="46"/>
  <c r="AE162" i="46"/>
  <c r="AD162" i="46"/>
  <c r="AC162" i="46"/>
  <c r="AB162" i="46"/>
  <c r="AA162" i="46"/>
  <c r="Z162" i="46"/>
  <c r="Y162" i="46"/>
  <c r="X162" i="46"/>
  <c r="AJ114" i="46"/>
  <c r="AJ113" i="46"/>
  <c r="AJ112" i="46"/>
  <c r="AJ111" i="46"/>
  <c r="AJ110" i="46"/>
  <c r="AJ109" i="46"/>
  <c r="AJ108" i="46"/>
  <c r="AJ107" i="46"/>
  <c r="U107" i="46" s="1"/>
  <c r="V107" i="46" s="1"/>
  <c r="AJ106" i="46"/>
  <c r="AJ105" i="46"/>
  <c r="AJ104" i="46"/>
  <c r="AJ103" i="46"/>
  <c r="AJ102" i="46"/>
  <c r="AJ101" i="46"/>
  <c r="AJ100" i="46"/>
  <c r="AJ99" i="46"/>
  <c r="AJ98" i="46"/>
  <c r="AJ97" i="46"/>
  <c r="AJ96" i="46"/>
  <c r="AJ95" i="46"/>
  <c r="AJ94" i="46"/>
  <c r="AJ93" i="46"/>
  <c r="AJ92" i="46"/>
  <c r="AJ91" i="46"/>
  <c r="AJ90" i="46"/>
  <c r="AJ89" i="46"/>
  <c r="AJ88" i="46"/>
  <c r="AJ87" i="46"/>
  <c r="U87" i="46" s="1"/>
  <c r="V87" i="46" s="1"/>
  <c r="AJ86" i="46"/>
  <c r="AJ85" i="46"/>
  <c r="AJ84" i="46"/>
  <c r="AJ83" i="46"/>
  <c r="U83" i="46" s="1"/>
  <c r="V83" i="46" s="1"/>
  <c r="AJ82" i="46"/>
  <c r="AJ81" i="46"/>
  <c r="AJ80" i="46"/>
  <c r="AJ79" i="46"/>
  <c r="U79" i="46" s="1"/>
  <c r="V79" i="46" s="1"/>
  <c r="AJ78" i="46"/>
  <c r="AJ77" i="46"/>
  <c r="AJ76" i="46"/>
  <c r="AJ75" i="46"/>
  <c r="U75" i="46" s="1"/>
  <c r="V75" i="46" s="1"/>
  <c r="AJ74" i="46"/>
  <c r="AJ73" i="46"/>
  <c r="AJ72" i="46"/>
  <c r="AJ71" i="46"/>
  <c r="U71" i="46" s="1"/>
  <c r="V71" i="46" s="1"/>
  <c r="AJ70" i="46"/>
  <c r="AJ69" i="46"/>
  <c r="AJ68" i="46"/>
  <c r="AJ67" i="46"/>
  <c r="U67" i="46" s="1"/>
  <c r="V67" i="46" s="1"/>
  <c r="AJ66" i="46"/>
  <c r="AJ65" i="46"/>
  <c r="AJ64" i="46"/>
  <c r="AJ63" i="46"/>
  <c r="U63" i="46" s="1"/>
  <c r="V63" i="46" s="1"/>
  <c r="AJ62" i="46"/>
  <c r="AJ61" i="46"/>
  <c r="AJ60" i="46"/>
  <c r="AJ59" i="46"/>
  <c r="U59" i="46" s="1"/>
  <c r="V59" i="46" s="1"/>
  <c r="AJ58" i="46"/>
  <c r="AJ57" i="46"/>
  <c r="AJ56" i="46"/>
  <c r="AJ55" i="46"/>
  <c r="AJ54" i="46"/>
  <c r="AJ53" i="46"/>
  <c r="AJ52" i="46"/>
  <c r="AJ51" i="46"/>
  <c r="U51" i="46" s="1"/>
  <c r="V51" i="46" s="1"/>
  <c r="AJ50" i="46"/>
  <c r="AJ49" i="46"/>
  <c r="AJ48" i="46"/>
  <c r="AJ47" i="46"/>
  <c r="AJ46" i="46"/>
  <c r="U46" i="46" s="1"/>
  <c r="V46" i="46" s="1"/>
  <c r="AJ45" i="46"/>
  <c r="AJ44" i="46"/>
  <c r="AJ43" i="46"/>
  <c r="AJ42" i="46"/>
  <c r="AJ41" i="46"/>
  <c r="AJ40" i="46"/>
  <c r="U40" i="46" s="1"/>
  <c r="V40" i="46" s="1"/>
  <c r="AJ39" i="46"/>
  <c r="AJ38" i="46"/>
  <c r="U38" i="46" s="1"/>
  <c r="V38" i="46" s="1"/>
  <c r="AJ37" i="46"/>
  <c r="AJ36" i="46"/>
  <c r="U36" i="46" s="1"/>
  <c r="V36" i="46" s="1"/>
  <c r="AJ35" i="46"/>
  <c r="AJ34" i="46"/>
  <c r="AJ33" i="46"/>
  <c r="AJ32" i="46"/>
  <c r="AJ31" i="46"/>
  <c r="AJ30" i="46"/>
  <c r="U30" i="46" s="1"/>
  <c r="V30" i="46" s="1"/>
  <c r="AJ29" i="46"/>
  <c r="AJ28" i="46"/>
  <c r="U28" i="46" s="1"/>
  <c r="V28" i="46" s="1"/>
  <c r="U90" i="46"/>
  <c r="V90" i="46" s="1"/>
  <c r="AI160" i="46"/>
  <c r="AH160" i="46"/>
  <c r="AG160" i="46"/>
  <c r="AF160" i="46"/>
  <c r="AE160" i="46"/>
  <c r="AD160" i="46"/>
  <c r="AC160" i="46"/>
  <c r="AB160" i="46"/>
  <c r="AA160" i="46"/>
  <c r="Z160" i="46"/>
  <c r="Y160" i="46"/>
  <c r="X160" i="46"/>
  <c r="S160" i="46"/>
  <c r="R160" i="46"/>
  <c r="Q160" i="46"/>
  <c r="P160" i="46"/>
  <c r="O160" i="46"/>
  <c r="N160" i="46"/>
  <c r="M160" i="46"/>
  <c r="L160" i="46"/>
  <c r="K160" i="46"/>
  <c r="J160" i="46"/>
  <c r="I160" i="46"/>
  <c r="H160" i="46"/>
  <c r="AJ157" i="46"/>
  <c r="AJ156" i="46"/>
  <c r="AJ155" i="46"/>
  <c r="AJ154" i="46"/>
  <c r="AJ153" i="46"/>
  <c r="AJ152" i="46"/>
  <c r="AJ151" i="46"/>
  <c r="AJ150" i="46"/>
  <c r="AJ149" i="46"/>
  <c r="AJ148" i="46"/>
  <c r="AJ147" i="46"/>
  <c r="AJ146" i="46"/>
  <c r="AJ145" i="46"/>
  <c r="AJ144" i="46"/>
  <c r="AJ143" i="46"/>
  <c r="AJ142" i="46"/>
  <c r="AJ141" i="46"/>
  <c r="AJ140" i="46"/>
  <c r="AJ139" i="46"/>
  <c r="AJ138" i="46"/>
  <c r="AJ137" i="46"/>
  <c r="AJ136" i="46"/>
  <c r="AJ135" i="46"/>
  <c r="AJ134" i="46"/>
  <c r="AJ133" i="46"/>
  <c r="AJ132" i="46"/>
  <c r="AJ131" i="46"/>
  <c r="AJ130" i="46"/>
  <c r="AJ129" i="46"/>
  <c r="AJ128" i="46"/>
  <c r="AJ127" i="46"/>
  <c r="AJ126" i="46"/>
  <c r="AJ125" i="46"/>
  <c r="AJ124" i="46"/>
  <c r="AJ123" i="46"/>
  <c r="AJ122" i="46"/>
  <c r="AJ121" i="46"/>
  <c r="AJ120" i="46"/>
  <c r="AJ119" i="46"/>
  <c r="AJ118" i="46"/>
  <c r="AJ117" i="46"/>
  <c r="AJ116" i="46"/>
  <c r="AJ115" i="46"/>
  <c r="U114" i="46"/>
  <c r="V114" i="46" s="1"/>
  <c r="U113" i="46"/>
  <c r="V113" i="46" s="1"/>
  <c r="U112" i="46"/>
  <c r="V112" i="46" s="1"/>
  <c r="U110" i="46"/>
  <c r="V110" i="46" s="1"/>
  <c r="U109" i="46"/>
  <c r="V109" i="46" s="1"/>
  <c r="U108" i="46"/>
  <c r="V108" i="46" s="1"/>
  <c r="U106" i="46"/>
  <c r="V106" i="46" s="1"/>
  <c r="U105" i="46"/>
  <c r="V105" i="46" s="1"/>
  <c r="U101" i="46"/>
  <c r="V101" i="46" s="1"/>
  <c r="U100" i="46"/>
  <c r="V100" i="46" s="1"/>
  <c r="U98" i="46"/>
  <c r="V98" i="46" s="1"/>
  <c r="U97" i="46"/>
  <c r="V97" i="46" s="1"/>
  <c r="U96" i="46"/>
  <c r="V96" i="46" s="1"/>
  <c r="U94" i="46"/>
  <c r="V94" i="46" s="1"/>
  <c r="U93" i="46"/>
  <c r="V93" i="46" s="1"/>
  <c r="U92" i="46"/>
  <c r="V92" i="46" s="1"/>
  <c r="U89" i="46"/>
  <c r="V89" i="46" s="1"/>
  <c r="U88" i="46"/>
  <c r="V88" i="46" s="1"/>
  <c r="U86" i="46"/>
  <c r="V86" i="46" s="1"/>
  <c r="U85" i="46"/>
  <c r="V85" i="46" s="1"/>
  <c r="U82" i="46"/>
  <c r="V82" i="46" s="1"/>
  <c r="U81" i="46"/>
  <c r="V81" i="46" s="1"/>
  <c r="U78" i="46"/>
  <c r="V78" i="46" s="1"/>
  <c r="U77" i="46"/>
  <c r="V77" i="46" s="1"/>
  <c r="U74" i="46"/>
  <c r="V74" i="46" s="1"/>
  <c r="U73" i="46"/>
  <c r="V73" i="46" s="1"/>
  <c r="U72" i="46"/>
  <c r="V72" i="46" s="1"/>
  <c r="U70" i="46"/>
  <c r="V70" i="46" s="1"/>
  <c r="U69" i="46"/>
  <c r="V69" i="46" s="1"/>
  <c r="U66" i="46"/>
  <c r="V66" i="46" s="1"/>
  <c r="U65" i="46"/>
  <c r="V65" i="46" s="1"/>
  <c r="U62" i="46"/>
  <c r="V62" i="46" s="1"/>
  <c r="U61" i="46"/>
  <c r="V61" i="46" s="1"/>
  <c r="U58" i="46"/>
  <c r="V58" i="46" s="1"/>
  <c r="U57" i="46"/>
  <c r="V57" i="46" s="1"/>
  <c r="U55" i="46"/>
  <c r="V55" i="46" s="1"/>
  <c r="U53" i="46"/>
  <c r="V53" i="46" s="1"/>
  <c r="U50" i="46"/>
  <c r="V50" i="46" s="1"/>
  <c r="U49" i="46"/>
  <c r="V49" i="46" s="1"/>
  <c r="U45" i="46"/>
  <c r="V45" i="46" s="1"/>
  <c r="U44" i="46"/>
  <c r="V44" i="46" s="1"/>
  <c r="U42" i="46"/>
  <c r="V42" i="46" s="1"/>
  <c r="U41" i="46"/>
  <c r="V41" i="46" s="1"/>
  <c r="U37" i="46"/>
  <c r="V37" i="46" s="1"/>
  <c r="U34" i="46"/>
  <c r="V34" i="46" s="1"/>
  <c r="U33" i="46"/>
  <c r="V33" i="46" s="1"/>
  <c r="U32" i="46"/>
  <c r="V32" i="46" s="1"/>
  <c r="AI25" i="46"/>
  <c r="AH25" i="46"/>
  <c r="AG25" i="46"/>
  <c r="AF25" i="46"/>
  <c r="AE25" i="46"/>
  <c r="AD25" i="46"/>
  <c r="AC25" i="46"/>
  <c r="AB25" i="46"/>
  <c r="AA25" i="46"/>
  <c r="Z25" i="46"/>
  <c r="Y25" i="46"/>
  <c r="X25" i="46"/>
  <c r="S25" i="46"/>
  <c r="R25" i="46"/>
  <c r="Q25" i="46"/>
  <c r="P25" i="46"/>
  <c r="O25" i="46"/>
  <c r="N25" i="46"/>
  <c r="M25" i="46"/>
  <c r="L25" i="46"/>
  <c r="K25" i="46"/>
  <c r="J25" i="46"/>
  <c r="I25" i="46"/>
  <c r="H25" i="46"/>
  <c r="AJ23" i="46"/>
  <c r="U23" i="46" s="1"/>
  <c r="V23" i="46" s="1"/>
  <c r="AJ22" i="46"/>
  <c r="U22" i="46" s="1"/>
  <c r="V22" i="46" s="1"/>
  <c r="AJ21" i="46"/>
  <c r="U21" i="46" s="1"/>
  <c r="V21" i="46" s="1"/>
  <c r="AJ20" i="46"/>
  <c r="U20" i="46" s="1"/>
  <c r="V20" i="46" s="1"/>
  <c r="AJ19" i="46"/>
  <c r="U19" i="46" s="1"/>
  <c r="V19" i="46" s="1"/>
  <c r="AJ18" i="46"/>
  <c r="U18" i="46" s="1"/>
  <c r="V18" i="46" s="1"/>
  <c r="AJ17" i="46"/>
  <c r="U17" i="46" s="1"/>
  <c r="V17" i="46" s="1"/>
  <c r="AJ16" i="46"/>
  <c r="U16" i="46" s="1"/>
  <c r="V16" i="46" s="1"/>
  <c r="AJ15" i="46"/>
  <c r="U15" i="46" s="1"/>
  <c r="V15" i="46" s="1"/>
  <c r="AJ14" i="46"/>
  <c r="U14" i="46" s="1"/>
  <c r="V14" i="46" s="1"/>
  <c r="T25" i="46"/>
  <c r="Y11" i="46"/>
  <c r="Z11" i="46" s="1"/>
  <c r="AA11" i="46" s="1"/>
  <c r="AB11" i="46" s="1"/>
  <c r="AC11" i="46" s="1"/>
  <c r="AD11" i="46" s="1"/>
  <c r="AE11" i="46" s="1"/>
  <c r="AF11" i="46" s="1"/>
  <c r="AG11" i="46" s="1"/>
  <c r="AH11" i="46" s="1"/>
  <c r="AI11" i="46" s="1"/>
  <c r="I11" i="46"/>
  <c r="J11" i="46" s="1"/>
  <c r="K11" i="46" s="1"/>
  <c r="L11" i="46" s="1"/>
  <c r="M11" i="46" s="1"/>
  <c r="N11" i="46" s="1"/>
  <c r="O11" i="46" s="1"/>
  <c r="P11" i="46" s="1"/>
  <c r="Q11" i="46" s="1"/>
  <c r="R11" i="46" s="1"/>
  <c r="S11" i="46" s="1"/>
  <c r="Z9" i="46"/>
  <c r="AA9" i="46" s="1"/>
  <c r="AB9" i="46" s="1"/>
  <c r="AC9" i="46" s="1"/>
  <c r="AD9" i="46" s="1"/>
  <c r="AE9" i="46" s="1"/>
  <c r="AF9" i="46" s="1"/>
  <c r="AG9" i="46" s="1"/>
  <c r="AH9" i="46" s="1"/>
  <c r="AI9" i="46" s="1"/>
  <c r="AJ9" i="46" s="1"/>
  <c r="Y9" i="46"/>
  <c r="J9" i="46"/>
  <c r="K9" i="46" s="1"/>
  <c r="L9" i="46" s="1"/>
  <c r="M9" i="46" s="1"/>
  <c r="N9" i="46" s="1"/>
  <c r="O9" i="46" s="1"/>
  <c r="P9" i="46" s="1"/>
  <c r="Q9" i="46" s="1"/>
  <c r="R9" i="46" s="1"/>
  <c r="S9" i="46" s="1"/>
  <c r="T9" i="46" s="1"/>
  <c r="I9" i="46"/>
  <c r="AY157" i="45"/>
  <c r="AZ157" i="45" s="1"/>
  <c r="AJ157" i="45"/>
  <c r="AJ230" i="45"/>
  <c r="AJ229" i="45"/>
  <c r="AJ228" i="45"/>
  <c r="AJ227" i="45"/>
  <c r="AJ226" i="45"/>
  <c r="AJ225" i="45"/>
  <c r="AJ224" i="45"/>
  <c r="AJ223" i="45"/>
  <c r="AJ222" i="45"/>
  <c r="AJ221" i="45"/>
  <c r="AJ220" i="45"/>
  <c r="AJ219" i="45"/>
  <c r="AJ218" i="45"/>
  <c r="AJ217" i="45"/>
  <c r="AJ216" i="45"/>
  <c r="AJ215" i="45"/>
  <c r="AJ214" i="45"/>
  <c r="AJ213" i="45"/>
  <c r="AJ212" i="45"/>
  <c r="AJ211" i="45"/>
  <c r="AJ210" i="45"/>
  <c r="AJ209" i="45"/>
  <c r="AJ208" i="45"/>
  <c r="AJ207" i="45"/>
  <c r="AJ206" i="45"/>
  <c r="AJ205" i="45"/>
  <c r="AJ204" i="45"/>
  <c r="AJ203" i="45"/>
  <c r="AJ202" i="45"/>
  <c r="AJ201" i="45"/>
  <c r="AJ200" i="45"/>
  <c r="AJ199" i="45"/>
  <c r="AJ198" i="45"/>
  <c r="AJ197" i="45"/>
  <c r="AJ196" i="45"/>
  <c r="AJ195" i="45"/>
  <c r="AJ194" i="45"/>
  <c r="AJ193" i="45"/>
  <c r="AJ192" i="45"/>
  <c r="AJ191" i="45"/>
  <c r="AJ190" i="45"/>
  <c r="AJ189" i="45"/>
  <c r="AJ188" i="45"/>
  <c r="AJ187" i="45"/>
  <c r="AJ186" i="45"/>
  <c r="AJ185" i="45"/>
  <c r="AJ184" i="45"/>
  <c r="AJ183" i="45"/>
  <c r="AJ182" i="45"/>
  <c r="AJ181" i="45"/>
  <c r="AJ180" i="45"/>
  <c r="AJ179" i="45"/>
  <c r="AJ178" i="45"/>
  <c r="AJ177" i="45"/>
  <c r="AJ176" i="45"/>
  <c r="AJ175" i="45"/>
  <c r="AJ174" i="45"/>
  <c r="AJ173" i="45"/>
  <c r="AJ172" i="45"/>
  <c r="AJ171" i="45"/>
  <c r="AJ170" i="45"/>
  <c r="AJ169" i="45"/>
  <c r="AJ168" i="45"/>
  <c r="AJ167" i="45"/>
  <c r="AJ166" i="45"/>
  <c r="AJ165" i="45"/>
  <c r="AJ164" i="45"/>
  <c r="AJ163" i="45"/>
  <c r="AJ162" i="45"/>
  <c r="AJ161" i="45"/>
  <c r="AJ160" i="45"/>
  <c r="AJ159" i="45"/>
  <c r="AJ158" i="45"/>
  <c r="AJ156" i="45"/>
  <c r="AJ155" i="45"/>
  <c r="AJ154" i="45"/>
  <c r="AJ153" i="45"/>
  <c r="AJ152" i="45"/>
  <c r="AJ151" i="45"/>
  <c r="AJ150" i="45"/>
  <c r="AJ149" i="45"/>
  <c r="AJ148" i="45"/>
  <c r="AJ147" i="45"/>
  <c r="AJ146" i="45"/>
  <c r="AJ145" i="45"/>
  <c r="AJ144" i="45"/>
  <c r="AJ143" i="45"/>
  <c r="AJ142" i="45"/>
  <c r="AJ141" i="45"/>
  <c r="AJ140" i="45"/>
  <c r="AJ139" i="45"/>
  <c r="AJ138" i="45"/>
  <c r="AJ137" i="45"/>
  <c r="AJ136" i="45"/>
  <c r="AJ135" i="45"/>
  <c r="AJ134" i="45"/>
  <c r="AJ133" i="45"/>
  <c r="AJ132" i="45"/>
  <c r="AJ131" i="45"/>
  <c r="AJ130" i="45"/>
  <c r="AJ129" i="45"/>
  <c r="AJ128" i="45"/>
  <c r="AJ127" i="45"/>
  <c r="AJ126" i="45"/>
  <c r="AJ125" i="45"/>
  <c r="AJ124" i="45"/>
  <c r="AJ123" i="45"/>
  <c r="AJ122" i="45"/>
  <c r="AJ121" i="45"/>
  <c r="AJ120" i="45"/>
  <c r="AJ119" i="45"/>
  <c r="AJ118" i="45"/>
  <c r="AJ117" i="45"/>
  <c r="AJ116" i="45"/>
  <c r="AJ115" i="45"/>
  <c r="AJ114" i="45"/>
  <c r="AJ113" i="45"/>
  <c r="AJ112" i="45"/>
  <c r="AJ111" i="45"/>
  <c r="AJ110" i="45"/>
  <c r="AJ109" i="45"/>
  <c r="AJ108" i="45"/>
  <c r="AJ107" i="45"/>
  <c r="AJ106" i="45"/>
  <c r="AJ105" i="45"/>
  <c r="AJ104" i="45"/>
  <c r="AJ103" i="45"/>
  <c r="AJ102" i="45"/>
  <c r="U102" i="45" s="1"/>
  <c r="V102" i="45" s="1"/>
  <c r="AJ101" i="45"/>
  <c r="U101" i="45" s="1"/>
  <c r="V101" i="45" s="1"/>
  <c r="AI248" i="45"/>
  <c r="AH248" i="45"/>
  <c r="AG248" i="45"/>
  <c r="AF248" i="45"/>
  <c r="AE248" i="45"/>
  <c r="AD248" i="45"/>
  <c r="AC248" i="45"/>
  <c r="AB248" i="45"/>
  <c r="AA248" i="45"/>
  <c r="Z248" i="45"/>
  <c r="Y248" i="45"/>
  <c r="X248" i="45"/>
  <c r="S248" i="45"/>
  <c r="R248" i="45"/>
  <c r="Q248" i="45"/>
  <c r="P248" i="45"/>
  <c r="O248" i="45"/>
  <c r="N248" i="45"/>
  <c r="M248" i="45"/>
  <c r="L248" i="45"/>
  <c r="K248" i="45"/>
  <c r="J248" i="45"/>
  <c r="I248" i="45"/>
  <c r="H248" i="45"/>
  <c r="AJ244" i="45"/>
  <c r="T244" i="45"/>
  <c r="AJ243" i="45"/>
  <c r="T243" i="45"/>
  <c r="AI236" i="45"/>
  <c r="AH236" i="45"/>
  <c r="AG236" i="45"/>
  <c r="AF236" i="45"/>
  <c r="AE236" i="45"/>
  <c r="AD236" i="45"/>
  <c r="AC236" i="45"/>
  <c r="AB236" i="45"/>
  <c r="AA236" i="45"/>
  <c r="Z236" i="45"/>
  <c r="Y236" i="45"/>
  <c r="X236" i="45"/>
  <c r="R236" i="45"/>
  <c r="Q236" i="45"/>
  <c r="P236" i="45"/>
  <c r="O236" i="45"/>
  <c r="N236" i="45"/>
  <c r="M236" i="45"/>
  <c r="L236" i="45"/>
  <c r="K236" i="45"/>
  <c r="J236" i="45"/>
  <c r="I236" i="45"/>
  <c r="H236" i="45"/>
  <c r="AJ89" i="45"/>
  <c r="T89" i="45"/>
  <c r="AJ88" i="45"/>
  <c r="T88" i="45"/>
  <c r="AJ87" i="45"/>
  <c r="T87" i="45"/>
  <c r="AI81" i="45"/>
  <c r="AH81" i="45"/>
  <c r="AG81" i="45"/>
  <c r="AF81" i="45"/>
  <c r="AE81" i="45"/>
  <c r="AD81" i="45"/>
  <c r="AC81" i="45"/>
  <c r="AB81" i="45"/>
  <c r="AA81" i="45"/>
  <c r="Z81" i="45"/>
  <c r="Y81" i="45"/>
  <c r="X81" i="45"/>
  <c r="S81" i="45"/>
  <c r="R81" i="45"/>
  <c r="Q81" i="45"/>
  <c r="P81" i="45"/>
  <c r="O81" i="45"/>
  <c r="N81" i="45"/>
  <c r="M81" i="45"/>
  <c r="L81" i="45"/>
  <c r="K81" i="45"/>
  <c r="J81" i="45"/>
  <c r="I81" i="45"/>
  <c r="H81" i="45"/>
  <c r="AJ80" i="45"/>
  <c r="T80" i="45"/>
  <c r="AJ79" i="45"/>
  <c r="T79" i="45"/>
  <c r="AJ78" i="45"/>
  <c r="U78" i="45" s="1"/>
  <c r="V78" i="45" s="1"/>
  <c r="T78" i="45"/>
  <c r="AJ77" i="45"/>
  <c r="T77" i="45"/>
  <c r="T81" i="45" s="1"/>
  <c r="AI74" i="45"/>
  <c r="AH74" i="45"/>
  <c r="AG74" i="45"/>
  <c r="AF74" i="45"/>
  <c r="AE74" i="45"/>
  <c r="AD74" i="45"/>
  <c r="AC74" i="45"/>
  <c r="AB74" i="45"/>
  <c r="AA74" i="45"/>
  <c r="Z74" i="45"/>
  <c r="Y74" i="45"/>
  <c r="X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AI73" i="45"/>
  <c r="AH73" i="45"/>
  <c r="AG73" i="45"/>
  <c r="AF73" i="45"/>
  <c r="AE73" i="45"/>
  <c r="AD73" i="45"/>
  <c r="AC73" i="45"/>
  <c r="AB73" i="45"/>
  <c r="AA73" i="45"/>
  <c r="Z73" i="45"/>
  <c r="Y73" i="45"/>
  <c r="X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AI71" i="45"/>
  <c r="AH71" i="45"/>
  <c r="AG71" i="45"/>
  <c r="AF71" i="45"/>
  <c r="AE71" i="45"/>
  <c r="AD71" i="45"/>
  <c r="AC71" i="45"/>
  <c r="AB71" i="45"/>
  <c r="AA71" i="45"/>
  <c r="Z71" i="45"/>
  <c r="Y71" i="45"/>
  <c r="X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AI70" i="45"/>
  <c r="AH70" i="45"/>
  <c r="AG70" i="45"/>
  <c r="AF70" i="45"/>
  <c r="AE70" i="45"/>
  <c r="AD70" i="45"/>
  <c r="AC70" i="45"/>
  <c r="AB70" i="45"/>
  <c r="AA70" i="45"/>
  <c r="Z70" i="45"/>
  <c r="Y70" i="45"/>
  <c r="X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AI69" i="45"/>
  <c r="AH69" i="45"/>
  <c r="AG69" i="45"/>
  <c r="AF69" i="45"/>
  <c r="AE69" i="45"/>
  <c r="AD69" i="45"/>
  <c r="AC69" i="45"/>
  <c r="AB69" i="45"/>
  <c r="AA69" i="45"/>
  <c r="Z69" i="45"/>
  <c r="Y69" i="45"/>
  <c r="X69" i="45"/>
  <c r="S69" i="45"/>
  <c r="R69" i="45"/>
  <c r="Q69" i="45"/>
  <c r="P69" i="45"/>
  <c r="O69" i="45"/>
  <c r="N69" i="45"/>
  <c r="M69" i="45"/>
  <c r="L69" i="45"/>
  <c r="K69" i="45"/>
  <c r="J69" i="45"/>
  <c r="I69" i="45"/>
  <c r="H69" i="45"/>
  <c r="AI63" i="45"/>
  <c r="AH63" i="45"/>
  <c r="AG63" i="45"/>
  <c r="AF63" i="45"/>
  <c r="AE63" i="45"/>
  <c r="AD63" i="45"/>
  <c r="AC63" i="45"/>
  <c r="AB63" i="45"/>
  <c r="AA63" i="45"/>
  <c r="Z63" i="45"/>
  <c r="Y63" i="45"/>
  <c r="X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AI62" i="45"/>
  <c r="AH62" i="45"/>
  <c r="AG62" i="45"/>
  <c r="AF62" i="45"/>
  <c r="AE62" i="45"/>
  <c r="AD62" i="45"/>
  <c r="AC62" i="45"/>
  <c r="AB62" i="45"/>
  <c r="AA62" i="45"/>
  <c r="Z62" i="45"/>
  <c r="Y62" i="45"/>
  <c r="X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AI60" i="45"/>
  <c r="AH60" i="45"/>
  <c r="AG60" i="45"/>
  <c r="AF60" i="45"/>
  <c r="AE60" i="45"/>
  <c r="AD60" i="45"/>
  <c r="AC60" i="45"/>
  <c r="AB60" i="45"/>
  <c r="AA60" i="45"/>
  <c r="Z60" i="45"/>
  <c r="Y60" i="45"/>
  <c r="X60" i="45"/>
  <c r="S60" i="45"/>
  <c r="R60" i="45"/>
  <c r="Q60" i="45"/>
  <c r="P60" i="45"/>
  <c r="O60" i="45"/>
  <c r="N60" i="45"/>
  <c r="M60" i="45"/>
  <c r="L60" i="45"/>
  <c r="K60" i="45"/>
  <c r="J60" i="45"/>
  <c r="I60" i="45"/>
  <c r="H60" i="45"/>
  <c r="AI59" i="45"/>
  <c r="AH59" i="45"/>
  <c r="AG59" i="45"/>
  <c r="AF59" i="45"/>
  <c r="AE59" i="45"/>
  <c r="AD59" i="45"/>
  <c r="AC59" i="45"/>
  <c r="AB59" i="45"/>
  <c r="AA59" i="45"/>
  <c r="Z59" i="45"/>
  <c r="Y59" i="45"/>
  <c r="X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AI58" i="45"/>
  <c r="AH58" i="45"/>
  <c r="AG58" i="45"/>
  <c r="AF58" i="45"/>
  <c r="AE58" i="45"/>
  <c r="AD58" i="45"/>
  <c r="AC58" i="45"/>
  <c r="AB58" i="45"/>
  <c r="AA58" i="45"/>
  <c r="Z58" i="45"/>
  <c r="Y58" i="45"/>
  <c r="X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AJ52" i="45"/>
  <c r="T52" i="45"/>
  <c r="AJ51" i="45"/>
  <c r="T51" i="45"/>
  <c r="AI50" i="45"/>
  <c r="AI54" i="45" s="1"/>
  <c r="AH50" i="45"/>
  <c r="AH54" i="45" s="1"/>
  <c r="AG50" i="45"/>
  <c r="AF50" i="45"/>
  <c r="AF54" i="45" s="1"/>
  <c r="AE50" i="45"/>
  <c r="AE54" i="45" s="1"/>
  <c r="AD50" i="45"/>
  <c r="AD54" i="45" s="1"/>
  <c r="AC50" i="45"/>
  <c r="AC54" i="45" s="1"/>
  <c r="AB50" i="45"/>
  <c r="AB54" i="45" s="1"/>
  <c r="AA50" i="45"/>
  <c r="AA54" i="45" s="1"/>
  <c r="Z50" i="45"/>
  <c r="Z54" i="45" s="1"/>
  <c r="Y50" i="45"/>
  <c r="Y54" i="45" s="1"/>
  <c r="X50" i="45"/>
  <c r="X54" i="45" s="1"/>
  <c r="S50" i="45"/>
  <c r="S54" i="45" s="1"/>
  <c r="R50" i="45"/>
  <c r="R54" i="45" s="1"/>
  <c r="Q50" i="45"/>
  <c r="Q54" i="45" s="1"/>
  <c r="P50" i="45"/>
  <c r="P54" i="45" s="1"/>
  <c r="O50" i="45"/>
  <c r="O54" i="45" s="1"/>
  <c r="N50" i="45"/>
  <c r="N54" i="45" s="1"/>
  <c r="M50" i="45"/>
  <c r="M54" i="45" s="1"/>
  <c r="L50" i="45"/>
  <c r="L54" i="45" s="1"/>
  <c r="K50" i="45"/>
  <c r="K54" i="45" s="1"/>
  <c r="J50" i="45"/>
  <c r="J54" i="45" s="1"/>
  <c r="I50" i="45"/>
  <c r="I54" i="45" s="1"/>
  <c r="H50" i="45"/>
  <c r="H54" i="45" s="1"/>
  <c r="AJ49" i="45"/>
  <c r="T49" i="45"/>
  <c r="AJ48" i="45"/>
  <c r="T48" i="45"/>
  <c r="AJ47" i="45"/>
  <c r="T47" i="45"/>
  <c r="AJ42" i="45"/>
  <c r="T42" i="45"/>
  <c r="AJ41" i="45"/>
  <c r="AJ62" i="45" s="1"/>
  <c r="T41" i="45"/>
  <c r="AI40" i="45"/>
  <c r="AI72" i="45" s="1"/>
  <c r="AH40" i="45"/>
  <c r="AG40" i="45"/>
  <c r="AG44" i="45" s="1"/>
  <c r="AF40" i="45"/>
  <c r="AE40" i="45"/>
  <c r="AE72" i="45" s="1"/>
  <c r="AD40" i="45"/>
  <c r="AC40" i="45"/>
  <c r="AC44" i="45" s="1"/>
  <c r="AB40" i="45"/>
  <c r="AA40" i="45"/>
  <c r="AA72" i="45" s="1"/>
  <c r="Z40" i="45"/>
  <c r="Y40" i="45"/>
  <c r="Y61" i="45" s="1"/>
  <c r="X40" i="45"/>
  <c r="S40" i="45"/>
  <c r="R40" i="45"/>
  <c r="R72" i="45" s="1"/>
  <c r="Q40" i="45"/>
  <c r="Q61" i="45" s="1"/>
  <c r="P40" i="45"/>
  <c r="O40" i="45"/>
  <c r="O72" i="45" s="1"/>
  <c r="N40" i="45"/>
  <c r="M40" i="45"/>
  <c r="L40" i="45"/>
  <c r="K40" i="45"/>
  <c r="K72" i="45" s="1"/>
  <c r="J40" i="45"/>
  <c r="I40" i="45"/>
  <c r="I72" i="45" s="1"/>
  <c r="H40" i="45"/>
  <c r="AJ39" i="45"/>
  <c r="T39" i="45"/>
  <c r="AJ38" i="45"/>
  <c r="T38" i="45"/>
  <c r="AJ37" i="45"/>
  <c r="T37" i="45"/>
  <c r="AI33" i="45"/>
  <c r="AH33" i="45"/>
  <c r="AG33" i="45"/>
  <c r="AF33" i="45"/>
  <c r="AE33" i="45"/>
  <c r="AD33" i="45"/>
  <c r="AC33" i="45"/>
  <c r="AB33" i="45"/>
  <c r="AA33" i="45"/>
  <c r="Z33" i="45"/>
  <c r="Y33" i="45"/>
  <c r="X33" i="45"/>
  <c r="S33" i="45"/>
  <c r="R33" i="45"/>
  <c r="Q33" i="45"/>
  <c r="P33" i="45"/>
  <c r="O33" i="45"/>
  <c r="N33" i="45"/>
  <c r="M33" i="45"/>
  <c r="L33" i="45"/>
  <c r="K33" i="45"/>
  <c r="J33" i="45"/>
  <c r="I33" i="45"/>
  <c r="H33" i="45"/>
  <c r="AI32" i="45"/>
  <c r="AH32" i="45"/>
  <c r="AG32" i="45"/>
  <c r="AF32" i="45"/>
  <c r="AE32" i="45"/>
  <c r="AD32" i="45"/>
  <c r="AC32" i="45"/>
  <c r="AB32" i="45"/>
  <c r="AA32" i="45"/>
  <c r="Z32" i="45"/>
  <c r="Y32" i="45"/>
  <c r="X32" i="45"/>
  <c r="S32" i="45"/>
  <c r="R32" i="45"/>
  <c r="Q32" i="45"/>
  <c r="P32" i="45"/>
  <c r="O32" i="45"/>
  <c r="N32" i="45"/>
  <c r="M32" i="45"/>
  <c r="L32" i="45"/>
  <c r="K32" i="45"/>
  <c r="J32" i="45"/>
  <c r="I32" i="45"/>
  <c r="H32" i="45"/>
  <c r="AI31" i="45"/>
  <c r="AH31" i="45"/>
  <c r="AG31" i="45"/>
  <c r="AF31" i="45"/>
  <c r="AE31" i="45"/>
  <c r="AD31" i="45"/>
  <c r="AC31" i="45"/>
  <c r="AB31" i="45"/>
  <c r="AA31" i="45"/>
  <c r="Z31" i="45"/>
  <c r="Y31" i="45"/>
  <c r="X31" i="45"/>
  <c r="S31" i="45"/>
  <c r="R31" i="45"/>
  <c r="Q31" i="45"/>
  <c r="P31" i="45"/>
  <c r="O31" i="45"/>
  <c r="N31" i="45"/>
  <c r="M31" i="45"/>
  <c r="L31" i="45"/>
  <c r="K31" i="45"/>
  <c r="J31" i="45"/>
  <c r="I31" i="45"/>
  <c r="H31" i="45"/>
  <c r="AI27" i="45"/>
  <c r="AH27" i="45"/>
  <c r="AG27" i="45"/>
  <c r="AF27" i="45"/>
  <c r="AE27" i="45"/>
  <c r="AD27" i="45"/>
  <c r="AC27" i="45"/>
  <c r="AB27" i="45"/>
  <c r="AA27" i="45"/>
  <c r="Z27" i="45"/>
  <c r="Y27" i="45"/>
  <c r="X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AI26" i="45"/>
  <c r="AH26" i="45"/>
  <c r="AG26" i="45"/>
  <c r="AF26" i="45"/>
  <c r="AE26" i="45"/>
  <c r="AD26" i="45"/>
  <c r="AC26" i="45"/>
  <c r="AB26" i="45"/>
  <c r="AA26" i="45"/>
  <c r="Z26" i="45"/>
  <c r="Y26" i="45"/>
  <c r="X26" i="45"/>
  <c r="S26" i="45"/>
  <c r="R26" i="45"/>
  <c r="Q26" i="45"/>
  <c r="P26" i="45"/>
  <c r="O26" i="45"/>
  <c r="N26" i="45"/>
  <c r="M26" i="45"/>
  <c r="L26" i="45"/>
  <c r="K26" i="45"/>
  <c r="J26" i="45"/>
  <c r="I26" i="45"/>
  <c r="H26" i="45"/>
  <c r="AI25" i="45"/>
  <c r="AH25" i="45"/>
  <c r="AG25" i="45"/>
  <c r="AF25" i="45"/>
  <c r="AE25" i="45"/>
  <c r="AD25" i="45"/>
  <c r="AC25" i="45"/>
  <c r="AB25" i="45"/>
  <c r="AA25" i="45"/>
  <c r="Z25" i="45"/>
  <c r="Y25" i="45"/>
  <c r="X25" i="45"/>
  <c r="S25" i="45"/>
  <c r="R25" i="45"/>
  <c r="Q25" i="45"/>
  <c r="P25" i="45"/>
  <c r="O25" i="45"/>
  <c r="N25" i="45"/>
  <c r="M25" i="45"/>
  <c r="L25" i="45"/>
  <c r="K25" i="45"/>
  <c r="J25" i="45"/>
  <c r="I25" i="45"/>
  <c r="H25" i="45"/>
  <c r="AI22" i="45"/>
  <c r="AH22" i="45"/>
  <c r="AG22" i="45"/>
  <c r="AF22" i="45"/>
  <c r="AE22" i="45"/>
  <c r="AD22" i="45"/>
  <c r="AC22" i="45"/>
  <c r="AB22" i="45"/>
  <c r="AA22" i="45"/>
  <c r="Z22" i="45"/>
  <c r="Y22" i="45"/>
  <c r="X22" i="45"/>
  <c r="X28" i="45" s="1"/>
  <c r="S22" i="45"/>
  <c r="S34" i="45" s="1"/>
  <c r="R22" i="45"/>
  <c r="Q22" i="45"/>
  <c r="Q34" i="45" s="1"/>
  <c r="P22" i="45"/>
  <c r="O22" i="45"/>
  <c r="O34" i="45" s="1"/>
  <c r="N22" i="45"/>
  <c r="M22" i="45"/>
  <c r="M34" i="45" s="1"/>
  <c r="L22" i="45"/>
  <c r="K22" i="45"/>
  <c r="K34" i="45" s="1"/>
  <c r="J22" i="45"/>
  <c r="J34" i="45" s="1"/>
  <c r="I22" i="45"/>
  <c r="I34" i="45" s="1"/>
  <c r="H22" i="45"/>
  <c r="AJ21" i="45"/>
  <c r="T21" i="45"/>
  <c r="AJ20" i="45"/>
  <c r="AJ32" i="45" s="1"/>
  <c r="T20" i="45"/>
  <c r="U20" i="45" s="1"/>
  <c r="V20" i="45" s="1"/>
  <c r="AJ19" i="45"/>
  <c r="T19" i="45"/>
  <c r="AJ15" i="45"/>
  <c r="T15" i="45"/>
  <c r="Y11" i="45"/>
  <c r="Z11" i="45" s="1"/>
  <c r="AA11" i="45" s="1"/>
  <c r="AB11" i="45" s="1"/>
  <c r="AC11" i="45" s="1"/>
  <c r="AD11" i="45" s="1"/>
  <c r="AE11" i="45" s="1"/>
  <c r="AF11" i="45" s="1"/>
  <c r="AG11" i="45" s="1"/>
  <c r="AH11" i="45" s="1"/>
  <c r="AI11" i="45" s="1"/>
  <c r="I11" i="45"/>
  <c r="J11" i="45" s="1"/>
  <c r="K11" i="45" s="1"/>
  <c r="L11" i="45" s="1"/>
  <c r="M11" i="45" s="1"/>
  <c r="N11" i="45" s="1"/>
  <c r="O11" i="45" s="1"/>
  <c r="P11" i="45" s="1"/>
  <c r="Q11" i="45" s="1"/>
  <c r="R11" i="45" s="1"/>
  <c r="S11" i="45" s="1"/>
  <c r="Y9" i="45"/>
  <c r="Z9" i="45" s="1"/>
  <c r="AA9" i="45" s="1"/>
  <c r="AB9" i="45" s="1"/>
  <c r="AC9" i="45" s="1"/>
  <c r="AD9" i="45" s="1"/>
  <c r="AE9" i="45" s="1"/>
  <c r="AF9" i="45" s="1"/>
  <c r="AG9" i="45" s="1"/>
  <c r="AH9" i="45" s="1"/>
  <c r="AI9" i="45" s="1"/>
  <c r="AJ9" i="45" s="1"/>
  <c r="I9" i="45"/>
  <c r="J9" i="45" s="1"/>
  <c r="K9" i="45" s="1"/>
  <c r="L9" i="45" s="1"/>
  <c r="M9" i="45" s="1"/>
  <c r="N9" i="45" s="1"/>
  <c r="O9" i="45" s="1"/>
  <c r="P9" i="45" s="1"/>
  <c r="Q9" i="45" s="1"/>
  <c r="R9" i="45" s="1"/>
  <c r="S9" i="45" s="1"/>
  <c r="T9" i="45" s="1"/>
  <c r="BN200" i="45"/>
  <c r="BN201" i="45"/>
  <c r="BN202" i="45"/>
  <c r="BN203" i="45"/>
  <c r="AX19" i="45"/>
  <c r="AX20" i="45"/>
  <c r="AX39" i="45"/>
  <c r="AX51" i="45"/>
  <c r="T253" i="45" l="1"/>
  <c r="K256" i="45"/>
  <c r="O256" i="45"/>
  <c r="S256" i="45"/>
  <c r="U51" i="45"/>
  <c r="V51" i="45" s="1"/>
  <c r="AJ74" i="45"/>
  <c r="AJ60" i="45"/>
  <c r="U47" i="45"/>
  <c r="V47" i="45" s="1"/>
  <c r="T255" i="45"/>
  <c r="T256" i="45" s="1"/>
  <c r="T98" i="45"/>
  <c r="S61" i="45"/>
  <c r="H256" i="45"/>
  <c r="U77" i="45"/>
  <c r="V77" i="45" s="1"/>
  <c r="U79" i="45"/>
  <c r="V79" i="45" s="1"/>
  <c r="T25" i="45"/>
  <c r="Z28" i="45"/>
  <c r="AD28" i="45"/>
  <c r="AH28" i="45"/>
  <c r="M28" i="45"/>
  <c r="AJ255" i="45"/>
  <c r="U255" i="45" s="1"/>
  <c r="V255" i="45" s="1"/>
  <c r="U21" i="45"/>
  <c r="V21" i="45" s="1"/>
  <c r="H72" i="45"/>
  <c r="L72" i="45"/>
  <c r="P72" i="45"/>
  <c r="X72" i="45"/>
  <c r="AB61" i="45"/>
  <c r="AF61" i="45"/>
  <c r="L44" i="45"/>
  <c r="L65" i="45" s="1"/>
  <c r="AJ98" i="45"/>
  <c r="H34" i="45"/>
  <c r="L34" i="45"/>
  <c r="P34" i="45"/>
  <c r="AB34" i="45"/>
  <c r="AF34" i="45"/>
  <c r="J28" i="45"/>
  <c r="T33" i="45"/>
  <c r="AJ253" i="45"/>
  <c r="U253" i="45" s="1"/>
  <c r="V253" i="45" s="1"/>
  <c r="U15" i="45"/>
  <c r="V15" i="45" s="1"/>
  <c r="Y28" i="45"/>
  <c r="AC28" i="45"/>
  <c r="AG28" i="45"/>
  <c r="T58" i="45"/>
  <c r="T71" i="45"/>
  <c r="J72" i="45"/>
  <c r="N72" i="45"/>
  <c r="R61" i="45"/>
  <c r="Z61" i="45"/>
  <c r="AD72" i="45"/>
  <c r="AH72" i="45"/>
  <c r="T74" i="45"/>
  <c r="U49" i="45"/>
  <c r="V49" i="45" s="1"/>
  <c r="U52" i="45"/>
  <c r="V52" i="45" s="1"/>
  <c r="L61" i="45"/>
  <c r="U99" i="46"/>
  <c r="V99" i="46" s="1"/>
  <c r="U111" i="46"/>
  <c r="V111" i="46" s="1"/>
  <c r="U104" i="46"/>
  <c r="V104" i="46" s="1"/>
  <c r="U103" i="46"/>
  <c r="V103" i="46" s="1"/>
  <c r="T160" i="46"/>
  <c r="T162" i="46" s="1"/>
  <c r="AJ160" i="46"/>
  <c r="U64" i="46"/>
  <c r="V64" i="46" s="1"/>
  <c r="U80" i="46"/>
  <c r="V80" i="46" s="1"/>
  <c r="U52" i="46"/>
  <c r="V52" i="46" s="1"/>
  <c r="U35" i="46"/>
  <c r="V35" i="46" s="1"/>
  <c r="U43" i="46"/>
  <c r="V43" i="46" s="1"/>
  <c r="U95" i="46"/>
  <c r="V95" i="46" s="1"/>
  <c r="U54" i="46"/>
  <c r="V54" i="46" s="1"/>
  <c r="U60" i="46"/>
  <c r="V60" i="46" s="1"/>
  <c r="U68" i="46"/>
  <c r="V68" i="46" s="1"/>
  <c r="U76" i="46"/>
  <c r="V76" i="46" s="1"/>
  <c r="U84" i="46"/>
  <c r="V84" i="46" s="1"/>
  <c r="U102" i="46"/>
  <c r="V102" i="46" s="1"/>
  <c r="U31" i="46"/>
  <c r="V31" i="46" s="1"/>
  <c r="U39" i="46"/>
  <c r="V39" i="46" s="1"/>
  <c r="U47" i="46"/>
  <c r="V47" i="46" s="1"/>
  <c r="U91" i="46"/>
  <c r="V91" i="46" s="1"/>
  <c r="U56" i="46"/>
  <c r="V56" i="46" s="1"/>
  <c r="AJ25" i="46"/>
  <c r="U25" i="46" s="1"/>
  <c r="V25" i="46" s="1"/>
  <c r="U29" i="46"/>
  <c r="V29" i="46" s="1"/>
  <c r="U48" i="46"/>
  <c r="V48" i="46" s="1"/>
  <c r="T32" i="45"/>
  <c r="U32" i="45" s="1"/>
  <c r="V32" i="45" s="1"/>
  <c r="AJ81" i="45"/>
  <c r="U81" i="45" s="1"/>
  <c r="V81" i="45" s="1"/>
  <c r="U80" i="45"/>
  <c r="V80" i="45" s="1"/>
  <c r="AJ31" i="45"/>
  <c r="U41" i="45"/>
  <c r="V41" i="45" s="1"/>
  <c r="AJ71" i="45"/>
  <c r="Z72" i="45"/>
  <c r="Y44" i="45"/>
  <c r="Y65" i="45" s="1"/>
  <c r="AH44" i="45"/>
  <c r="AH65" i="45" s="1"/>
  <c r="AH66" i="45" s="1"/>
  <c r="AF72" i="45"/>
  <c r="Z44" i="45"/>
  <c r="Z65" i="45" s="1"/>
  <c r="Z66" i="45" s="1"/>
  <c r="AC61" i="45"/>
  <c r="AD61" i="45"/>
  <c r="Y72" i="45"/>
  <c r="AD34" i="45"/>
  <c r="X34" i="45"/>
  <c r="AH34" i="45"/>
  <c r="U19" i="45"/>
  <c r="V19" i="45" s="1"/>
  <c r="Y34" i="45"/>
  <c r="AG34" i="45"/>
  <c r="AC34" i="45"/>
  <c r="AA34" i="45"/>
  <c r="AA28" i="45"/>
  <c r="AE34" i="45"/>
  <c r="AE28" i="45"/>
  <c r="AI34" i="45"/>
  <c r="AI28" i="45"/>
  <c r="R34" i="45"/>
  <c r="R28" i="45"/>
  <c r="N34" i="45"/>
  <c r="N28" i="45"/>
  <c r="AJ58" i="45"/>
  <c r="AJ69" i="45"/>
  <c r="I44" i="45"/>
  <c r="I65" i="45" s="1"/>
  <c r="Q44" i="45"/>
  <c r="Q65" i="45" s="1"/>
  <c r="T60" i="45"/>
  <c r="U60" i="45" s="1"/>
  <c r="V60" i="45" s="1"/>
  <c r="T62" i="45"/>
  <c r="U62" i="45" s="1"/>
  <c r="V62" i="45" s="1"/>
  <c r="AJ22" i="45"/>
  <c r="AJ25" i="45"/>
  <c r="AJ26" i="45"/>
  <c r="AJ27" i="45"/>
  <c r="K28" i="45"/>
  <c r="O28" i="45"/>
  <c r="S28" i="45"/>
  <c r="AB28" i="45"/>
  <c r="AF28" i="45"/>
  <c r="AJ33" i="45"/>
  <c r="T70" i="45"/>
  <c r="U39" i="45"/>
  <c r="V39" i="45" s="1"/>
  <c r="U42" i="45"/>
  <c r="V42" i="45" s="1"/>
  <c r="AC65" i="45"/>
  <c r="U48" i="45"/>
  <c r="V48" i="45" s="1"/>
  <c r="M61" i="45"/>
  <c r="T69" i="45"/>
  <c r="M72" i="45"/>
  <c r="T73" i="45"/>
  <c r="T22" i="45"/>
  <c r="U22" i="45" s="1"/>
  <c r="V22" i="45" s="1"/>
  <c r="T26" i="45"/>
  <c r="T27" i="45"/>
  <c r="H28" i="45"/>
  <c r="L28" i="45"/>
  <c r="P28" i="45"/>
  <c r="T31" i="45"/>
  <c r="U31" i="45" s="1"/>
  <c r="V31" i="45" s="1"/>
  <c r="Z34" i="45"/>
  <c r="U38" i="45"/>
  <c r="V38" i="45" s="1"/>
  <c r="K61" i="45"/>
  <c r="K44" i="45"/>
  <c r="K65" i="45" s="1"/>
  <c r="AC72" i="45"/>
  <c r="AG72" i="45"/>
  <c r="M44" i="45"/>
  <c r="M65" i="45" s="1"/>
  <c r="AD44" i="45"/>
  <c r="AD65" i="45" s="1"/>
  <c r="T50" i="45"/>
  <c r="AG54" i="45"/>
  <c r="AG65" i="45" s="1"/>
  <c r="T59" i="45"/>
  <c r="H61" i="45"/>
  <c r="P61" i="45"/>
  <c r="AG61" i="45"/>
  <c r="T63" i="45"/>
  <c r="Q72" i="45"/>
  <c r="I28" i="45"/>
  <c r="Q28" i="45"/>
  <c r="U37" i="45"/>
  <c r="V37" i="45" s="1"/>
  <c r="AJ70" i="45"/>
  <c r="AJ59" i="45"/>
  <c r="T40" i="45"/>
  <c r="H44" i="45"/>
  <c r="P44" i="45"/>
  <c r="P65" i="45" s="1"/>
  <c r="I61" i="45"/>
  <c r="AH61" i="45"/>
  <c r="J44" i="45"/>
  <c r="J65" i="45" s="1"/>
  <c r="N44" i="45"/>
  <c r="N65" i="45" s="1"/>
  <c r="R44" i="45"/>
  <c r="R65" i="45" s="1"/>
  <c r="AA44" i="45"/>
  <c r="AA65" i="45" s="1"/>
  <c r="AE44" i="45"/>
  <c r="AE65" i="45" s="1"/>
  <c r="AI44" i="45"/>
  <c r="AI65" i="45" s="1"/>
  <c r="J61" i="45"/>
  <c r="N61" i="45"/>
  <c r="AA61" i="45"/>
  <c r="AE61" i="45"/>
  <c r="AI61" i="45"/>
  <c r="S72" i="45"/>
  <c r="AB72" i="45"/>
  <c r="AJ73" i="45"/>
  <c r="AJ40" i="45"/>
  <c r="O44" i="45"/>
  <c r="O65" i="45" s="1"/>
  <c r="S44" i="45"/>
  <c r="S65" i="45" s="1"/>
  <c r="X44" i="45"/>
  <c r="AB44" i="45"/>
  <c r="AB65" i="45" s="1"/>
  <c r="AF44" i="45"/>
  <c r="AF65" i="45" s="1"/>
  <c r="AJ50" i="45"/>
  <c r="O61" i="45"/>
  <c r="X61" i="45"/>
  <c r="AJ63" i="45"/>
  <c r="U58" i="45" l="1"/>
  <c r="V58" i="45" s="1"/>
  <c r="U25" i="45"/>
  <c r="V25" i="45" s="1"/>
  <c r="AJ256" i="45"/>
  <c r="U256" i="45" s="1"/>
  <c r="V256" i="45" s="1"/>
  <c r="U33" i="45"/>
  <c r="V33" i="45" s="1"/>
  <c r="U160" i="46"/>
  <c r="V160" i="46" s="1"/>
  <c r="AJ162" i="46"/>
  <c r="U162" i="46" s="1"/>
  <c r="V162" i="46" s="1"/>
  <c r="U104" i="45"/>
  <c r="V104" i="45" s="1"/>
  <c r="U103" i="45"/>
  <c r="V103" i="45" s="1"/>
  <c r="U105" i="45"/>
  <c r="V105" i="45" s="1"/>
  <c r="AH83" i="45"/>
  <c r="AH238" i="45" s="1"/>
  <c r="AH250" i="45" s="1"/>
  <c r="AH262" i="45" s="1"/>
  <c r="Z83" i="45"/>
  <c r="Z238" i="45" s="1"/>
  <c r="Z250" i="45" s="1"/>
  <c r="Z262" i="45" s="1"/>
  <c r="U26" i="45"/>
  <c r="V26" i="45" s="1"/>
  <c r="AG66" i="45"/>
  <c r="AG83" i="45"/>
  <c r="AG238" i="45" s="1"/>
  <c r="AG250" i="45" s="1"/>
  <c r="AG262" i="45" s="1"/>
  <c r="AB66" i="45"/>
  <c r="AB83" i="45"/>
  <c r="AB238" i="45" s="1"/>
  <c r="AB250" i="45" s="1"/>
  <c r="AB262" i="45" s="1"/>
  <c r="AJ61" i="45"/>
  <c r="AJ28" i="45"/>
  <c r="AJ72" i="45"/>
  <c r="R83" i="45"/>
  <c r="R238" i="45" s="1"/>
  <c r="R250" i="45" s="1"/>
  <c r="R262" i="45" s="1"/>
  <c r="R66" i="45"/>
  <c r="T44" i="45"/>
  <c r="H65" i="45"/>
  <c r="AJ44" i="45"/>
  <c r="X65" i="45"/>
  <c r="AI83" i="45"/>
  <c r="AI238" i="45" s="1"/>
  <c r="AI250" i="45" s="1"/>
  <c r="AI262" i="45" s="1"/>
  <c r="AI66" i="45"/>
  <c r="N83" i="45"/>
  <c r="N238" i="45" s="1"/>
  <c r="N250" i="45" s="1"/>
  <c r="N262" i="45" s="1"/>
  <c r="N66" i="45"/>
  <c r="T72" i="45"/>
  <c r="T28" i="45"/>
  <c r="T61" i="45"/>
  <c r="U40" i="45"/>
  <c r="V40" i="45" s="1"/>
  <c r="AD83" i="45"/>
  <c r="AD238" i="45" s="1"/>
  <c r="AD250" i="45" s="1"/>
  <c r="AD262" i="45" s="1"/>
  <c r="AD66" i="45"/>
  <c r="K83" i="45"/>
  <c r="K238" i="45" s="1"/>
  <c r="K250" i="45" s="1"/>
  <c r="K262" i="45" s="1"/>
  <c r="K66" i="45"/>
  <c r="U27" i="45"/>
  <c r="V27" i="45" s="1"/>
  <c r="AC66" i="45"/>
  <c r="AC83" i="45"/>
  <c r="AC238" i="45" s="1"/>
  <c r="AC250" i="45" s="1"/>
  <c r="AC262" i="45" s="1"/>
  <c r="I66" i="45"/>
  <c r="I83" i="45"/>
  <c r="I238" i="45" s="1"/>
  <c r="I250" i="45" s="1"/>
  <c r="I262" i="45" s="1"/>
  <c r="AF66" i="45"/>
  <c r="AF83" i="45"/>
  <c r="AF238" i="45" s="1"/>
  <c r="AF250" i="45" s="1"/>
  <c r="AF262" i="45" s="1"/>
  <c r="O66" i="45"/>
  <c r="O83" i="45"/>
  <c r="O238" i="45" s="1"/>
  <c r="O250" i="45" s="1"/>
  <c r="O262" i="45" s="1"/>
  <c r="AA83" i="45"/>
  <c r="AA238" i="45" s="1"/>
  <c r="AA250" i="45" s="1"/>
  <c r="AA262" i="45" s="1"/>
  <c r="AA66" i="45"/>
  <c r="P66" i="45"/>
  <c r="P83" i="45"/>
  <c r="P238" i="45" s="1"/>
  <c r="P250" i="45" s="1"/>
  <c r="P262" i="45" s="1"/>
  <c r="T34" i="45"/>
  <c r="T54" i="45"/>
  <c r="Q83" i="45"/>
  <c r="Q238" i="45" s="1"/>
  <c r="Q250" i="45" s="1"/>
  <c r="Q262" i="45" s="1"/>
  <c r="Q66" i="45"/>
  <c r="AJ54" i="45"/>
  <c r="U50" i="45"/>
  <c r="V50" i="45" s="1"/>
  <c r="AJ34" i="45"/>
  <c r="S83" i="45"/>
  <c r="S66" i="45"/>
  <c r="AE83" i="45"/>
  <c r="AE238" i="45" s="1"/>
  <c r="AE250" i="45" s="1"/>
  <c r="AE262" i="45" s="1"/>
  <c r="AE66" i="45"/>
  <c r="J83" i="45"/>
  <c r="J238" i="45" s="1"/>
  <c r="J250" i="45" s="1"/>
  <c r="J262" i="45" s="1"/>
  <c r="J66" i="45"/>
  <c r="Y83" i="45"/>
  <c r="Y238" i="45" s="1"/>
  <c r="Y250" i="45" s="1"/>
  <c r="Y262" i="45" s="1"/>
  <c r="Y66" i="45"/>
  <c r="U63" i="45"/>
  <c r="V63" i="45" s="1"/>
  <c r="U59" i="45"/>
  <c r="V59" i="45" s="1"/>
  <c r="M83" i="45"/>
  <c r="M238" i="45" s="1"/>
  <c r="M250" i="45" s="1"/>
  <c r="M262" i="45" s="1"/>
  <c r="M66" i="45"/>
  <c r="L66" i="45"/>
  <c r="L83" i="45"/>
  <c r="L238" i="45" s="1"/>
  <c r="L250" i="45" s="1"/>
  <c r="L262" i="45" s="1"/>
  <c r="U28" i="45" l="1"/>
  <c r="V28" i="45" s="1"/>
  <c r="U106" i="45"/>
  <c r="V106" i="45" s="1"/>
  <c r="AJ65" i="45"/>
  <c r="AJ66" i="45" s="1"/>
  <c r="U61" i="45"/>
  <c r="V61" i="45" s="1"/>
  <c r="U54" i="45"/>
  <c r="V54" i="45" s="1"/>
  <c r="H66" i="45"/>
  <c r="H83" i="45"/>
  <c r="H238" i="45" s="1"/>
  <c r="H250" i="45" s="1"/>
  <c r="H262" i="45" s="1"/>
  <c r="T65" i="45"/>
  <c r="U44" i="45"/>
  <c r="V44" i="45" s="1"/>
  <c r="U34" i="45"/>
  <c r="V34" i="45" s="1"/>
  <c r="X66" i="45"/>
  <c r="X83" i="45"/>
  <c r="X238" i="45" s="1"/>
  <c r="X250" i="45" s="1"/>
  <c r="X262" i="45" s="1"/>
  <c r="AJ83" i="45" l="1"/>
  <c r="U107" i="45"/>
  <c r="V107" i="45" s="1"/>
  <c r="U108" i="45"/>
  <c r="V108" i="45" s="1"/>
  <c r="T66" i="45"/>
  <c r="U65" i="45"/>
  <c r="V65" i="45" s="1"/>
  <c r="T83" i="45"/>
  <c r="U109" i="45" l="1"/>
  <c r="V109" i="45" s="1"/>
  <c r="U110" i="45"/>
  <c r="V110" i="45" s="1"/>
  <c r="U83" i="45"/>
  <c r="V83" i="45" s="1"/>
  <c r="U111" i="45" l="1"/>
  <c r="V111" i="45" s="1"/>
  <c r="U112" i="45" l="1"/>
  <c r="V112" i="45" s="1"/>
  <c r="U113" i="45" l="1"/>
  <c r="V113" i="45" s="1"/>
  <c r="U114" i="45" l="1"/>
  <c r="V114" i="45" s="1"/>
  <c r="U115" i="45" l="1"/>
  <c r="V115" i="45" s="1"/>
  <c r="U117" i="45" l="1"/>
  <c r="V117" i="45" s="1"/>
  <c r="U116" i="45"/>
  <c r="V116" i="45" s="1"/>
  <c r="U120" i="45" l="1"/>
  <c r="V120" i="45" s="1"/>
  <c r="U119" i="45"/>
  <c r="V119" i="45" s="1"/>
  <c r="U118" i="45"/>
  <c r="V118" i="45" s="1"/>
  <c r="U121" i="45" l="1"/>
  <c r="V121" i="45" s="1"/>
  <c r="U123" i="45" l="1"/>
  <c r="V123" i="45" s="1"/>
  <c r="U122" i="45"/>
  <c r="V122" i="45" s="1"/>
  <c r="U126" i="45" l="1"/>
  <c r="V126" i="45" s="1"/>
  <c r="U125" i="45"/>
  <c r="V125" i="45" s="1"/>
  <c r="U124" i="45"/>
  <c r="V124" i="45" s="1"/>
  <c r="U127" i="45" l="1"/>
  <c r="V127" i="45" s="1"/>
  <c r="U128" i="45" l="1"/>
  <c r="V128" i="45" s="1"/>
  <c r="U129" i="45" l="1"/>
  <c r="V129" i="45" s="1"/>
  <c r="U130" i="45" l="1"/>
  <c r="V130" i="45" s="1"/>
  <c r="U131" i="45" l="1"/>
  <c r="V131" i="45" s="1"/>
  <c r="U132" i="45" l="1"/>
  <c r="V132" i="45" s="1"/>
  <c r="U133" i="45" l="1"/>
  <c r="V133" i="45" s="1"/>
  <c r="U134" i="45"/>
  <c r="V134" i="45" s="1"/>
  <c r="U135" i="45" l="1"/>
  <c r="V135" i="45" s="1"/>
  <c r="U136" i="45" l="1"/>
  <c r="V136" i="45" s="1"/>
  <c r="U137" i="45"/>
  <c r="V137" i="45" s="1"/>
  <c r="U138" i="45" l="1"/>
  <c r="V138" i="45" s="1"/>
  <c r="U139" i="45"/>
  <c r="V139" i="45" s="1"/>
  <c r="U140" i="45" l="1"/>
  <c r="V140" i="45" s="1"/>
  <c r="U141" i="45" l="1"/>
  <c r="V141" i="45" s="1"/>
  <c r="U143" i="45" l="1"/>
  <c r="V143" i="45" s="1"/>
  <c r="U142" i="45"/>
  <c r="V142" i="45" s="1"/>
  <c r="U144" i="45" l="1"/>
  <c r="V144" i="45" s="1"/>
  <c r="U145" i="45" l="1"/>
  <c r="V145" i="45" s="1"/>
  <c r="U146" i="45" l="1"/>
  <c r="V146" i="45" s="1"/>
  <c r="U147" i="45" l="1"/>
  <c r="V147" i="45" s="1"/>
  <c r="U148" i="45" l="1"/>
  <c r="V148" i="45" s="1"/>
  <c r="U150" i="45" l="1"/>
  <c r="V150" i="45" s="1"/>
  <c r="U149" i="45"/>
  <c r="V149" i="45" s="1"/>
  <c r="U153" i="45" l="1"/>
  <c r="V153" i="45" s="1"/>
  <c r="U152" i="45"/>
  <c r="V152" i="45" s="1"/>
  <c r="U151" i="45"/>
  <c r="V151" i="45" s="1"/>
  <c r="U156" i="45" l="1"/>
  <c r="V156" i="45" s="1"/>
  <c r="U155" i="45"/>
  <c r="V155" i="45" s="1"/>
  <c r="U154" i="45"/>
  <c r="V154" i="45" s="1"/>
  <c r="U158" i="45" l="1"/>
  <c r="V158" i="45" s="1"/>
  <c r="U159" i="45" l="1"/>
  <c r="V159" i="45" s="1"/>
  <c r="U160" i="45" l="1"/>
  <c r="V160" i="45" s="1"/>
  <c r="U161" i="45" l="1"/>
  <c r="V161" i="45" s="1"/>
  <c r="U162" i="45" l="1"/>
  <c r="V162" i="45" s="1"/>
  <c r="U163" i="45"/>
  <c r="V163" i="45" s="1"/>
  <c r="U165" i="45" l="1"/>
  <c r="V165" i="45" s="1"/>
  <c r="U164" i="45"/>
  <c r="V164" i="45" s="1"/>
  <c r="U166" i="45" l="1"/>
  <c r="V166" i="45" s="1"/>
  <c r="U168" i="45" l="1"/>
  <c r="V168" i="45" s="1"/>
  <c r="U167" i="45"/>
  <c r="V167" i="45" s="1"/>
  <c r="U169" i="45"/>
  <c r="V169" i="45" s="1"/>
  <c r="U170" i="45" l="1"/>
  <c r="V170" i="45" s="1"/>
  <c r="U171" i="45" l="1"/>
  <c r="V171" i="45" s="1"/>
  <c r="U173" i="45" l="1"/>
  <c r="V173" i="45" s="1"/>
  <c r="U172" i="45"/>
  <c r="V172" i="45" s="1"/>
  <c r="U175" i="45" l="1"/>
  <c r="V175" i="45" s="1"/>
  <c r="U174" i="45"/>
  <c r="V174" i="45" s="1"/>
  <c r="U176" i="45" l="1"/>
  <c r="V176" i="45" s="1"/>
  <c r="U177" i="45" l="1"/>
  <c r="V177" i="45" s="1"/>
  <c r="U178" i="45" l="1"/>
  <c r="V178" i="45" s="1"/>
  <c r="U179" i="45" l="1"/>
  <c r="V179" i="45" s="1"/>
  <c r="U180" i="45" l="1"/>
  <c r="V180" i="45" s="1"/>
  <c r="U181" i="45" l="1"/>
  <c r="V181" i="45" s="1"/>
  <c r="U182" i="45" l="1"/>
  <c r="V182" i="45" s="1"/>
  <c r="U183" i="45"/>
  <c r="V183" i="45" s="1"/>
  <c r="U184" i="45" l="1"/>
  <c r="V184" i="45" s="1"/>
  <c r="U187" i="45" l="1"/>
  <c r="V187" i="45" s="1"/>
  <c r="U185" i="45"/>
  <c r="V185" i="45" s="1"/>
  <c r="U186" i="45"/>
  <c r="V186" i="45" s="1"/>
  <c r="U188" i="45" l="1"/>
  <c r="V188" i="45" s="1"/>
  <c r="U190" i="45" l="1"/>
  <c r="V190" i="45" s="1"/>
  <c r="U189" i="45"/>
  <c r="V189" i="45" s="1"/>
  <c r="U191" i="45" l="1"/>
  <c r="V191" i="45" s="1"/>
  <c r="U192" i="45" l="1"/>
  <c r="V192" i="45" s="1"/>
  <c r="U193" i="45" l="1"/>
  <c r="V193" i="45" s="1"/>
  <c r="U194" i="45" l="1"/>
  <c r="V194" i="45" s="1"/>
  <c r="U195" i="45" l="1"/>
  <c r="V195" i="45" s="1"/>
  <c r="U196" i="45" l="1"/>
  <c r="V196" i="45" s="1"/>
  <c r="U197" i="45" l="1"/>
  <c r="V197" i="45" s="1"/>
  <c r="U198" i="45" l="1"/>
  <c r="V198" i="45" s="1"/>
  <c r="U199" i="45" l="1"/>
  <c r="V199" i="45" s="1"/>
  <c r="U200" i="45" l="1"/>
  <c r="V200" i="45" s="1"/>
  <c r="U202" i="45" l="1"/>
  <c r="V202" i="45" s="1"/>
  <c r="U201" i="45"/>
  <c r="V201" i="45" s="1"/>
  <c r="U205" i="45" l="1"/>
  <c r="V205" i="45" s="1"/>
  <c r="U204" i="45"/>
  <c r="V204" i="45" s="1"/>
  <c r="U203" i="45"/>
  <c r="V203" i="45" s="1"/>
  <c r="U206" i="45" l="1"/>
  <c r="V206" i="45" s="1"/>
  <c r="U207" i="45" l="1"/>
  <c r="V207" i="45" s="1"/>
  <c r="U208" i="45" l="1"/>
  <c r="V208" i="45" s="1"/>
  <c r="U209" i="45" l="1"/>
  <c r="V209" i="45" s="1"/>
  <c r="U210" i="45" l="1"/>
  <c r="V210" i="45" s="1"/>
  <c r="U211" i="45" l="1"/>
  <c r="V211" i="45" s="1"/>
  <c r="U212" i="45" l="1"/>
  <c r="V212" i="45" s="1"/>
  <c r="U214" i="45" l="1"/>
  <c r="V214" i="45" s="1"/>
  <c r="U213" i="45"/>
  <c r="V213" i="45" s="1"/>
  <c r="U215" i="45" l="1"/>
  <c r="V215" i="45" s="1"/>
  <c r="U216" i="45" l="1"/>
  <c r="V216" i="45" s="1"/>
  <c r="U217" i="45" l="1"/>
  <c r="V217" i="45" s="1"/>
  <c r="U218" i="45" l="1"/>
  <c r="V218" i="45" s="1"/>
  <c r="U220" i="45" l="1"/>
  <c r="V220" i="45" s="1"/>
  <c r="U219" i="45"/>
  <c r="V219" i="45" s="1"/>
  <c r="U221" i="45" l="1"/>
  <c r="V221" i="45" s="1"/>
  <c r="U222" i="45" l="1"/>
  <c r="V222" i="45" s="1"/>
  <c r="U223" i="45" l="1"/>
  <c r="V223" i="45" s="1"/>
  <c r="U225" i="45" l="1"/>
  <c r="V225" i="45" s="1"/>
  <c r="U224" i="45"/>
  <c r="V224" i="45" s="1"/>
  <c r="U227" i="45"/>
  <c r="V227" i="45" s="1"/>
  <c r="U228" i="45" l="1"/>
  <c r="V228" i="45" s="1"/>
  <c r="U226" i="45"/>
  <c r="V226" i="45" s="1"/>
  <c r="U229" i="45" l="1"/>
  <c r="V229" i="45" s="1"/>
  <c r="U230" i="45" l="1"/>
  <c r="V230" i="45" s="1"/>
  <c r="AJ236" i="45"/>
  <c r="AJ238" i="45" l="1"/>
  <c r="AJ250" i="45" l="1"/>
  <c r="AJ262" i="45" s="1"/>
  <c r="D85" i="38" l="1"/>
  <c r="E85" i="38"/>
  <c r="C85" i="38"/>
  <c r="D86" i="38"/>
  <c r="E86" i="38"/>
  <c r="C86" i="38"/>
  <c r="D84" i="38"/>
  <c r="E84" i="38"/>
  <c r="C84" i="38"/>
  <c r="C112" i="38" l="1"/>
  <c r="J51" i="39"/>
  <c r="K51" i="39"/>
  <c r="L51" i="39"/>
  <c r="D50" i="39"/>
  <c r="E50" i="39"/>
  <c r="F50" i="39"/>
  <c r="G50" i="39"/>
  <c r="H50" i="39"/>
  <c r="I50" i="39"/>
  <c r="J50" i="39"/>
  <c r="K50" i="39"/>
  <c r="L50" i="39"/>
  <c r="C53" i="39"/>
  <c r="L52" i="39"/>
  <c r="C52" i="39"/>
  <c r="D48" i="39"/>
  <c r="E48" i="39"/>
  <c r="F48" i="39"/>
  <c r="G48" i="39"/>
  <c r="H48" i="39"/>
  <c r="I48" i="39"/>
  <c r="J48" i="39"/>
  <c r="K48" i="39"/>
  <c r="L48" i="39"/>
  <c r="J49" i="39"/>
  <c r="K49" i="39"/>
  <c r="L49" i="39"/>
  <c r="C49" i="39"/>
  <c r="C48" i="39"/>
  <c r="L46" i="39"/>
  <c r="L47" i="39"/>
  <c r="D97" i="38"/>
  <c r="E97" i="38"/>
  <c r="F97" i="38"/>
  <c r="G97" i="38"/>
  <c r="H97" i="38"/>
  <c r="I97" i="38"/>
  <c r="J97" i="38"/>
  <c r="K97" i="38"/>
  <c r="L97" i="38"/>
  <c r="M97" i="38"/>
  <c r="N97" i="38"/>
  <c r="O97" i="38"/>
  <c r="P97" i="38"/>
  <c r="D98" i="38"/>
  <c r="E98" i="38"/>
  <c r="F98" i="38"/>
  <c r="G98" i="38"/>
  <c r="H98" i="38"/>
  <c r="I98" i="38"/>
  <c r="J98" i="38"/>
  <c r="K98" i="38"/>
  <c r="L98" i="38"/>
  <c r="M98" i="38"/>
  <c r="N98" i="38"/>
  <c r="O98" i="38"/>
  <c r="P98" i="38"/>
  <c r="C98" i="38"/>
  <c r="C97" i="38"/>
  <c r="D66" i="38"/>
  <c r="E66" i="38"/>
  <c r="F66" i="38"/>
  <c r="G66" i="38"/>
  <c r="H66" i="38"/>
  <c r="I66" i="38"/>
  <c r="J66" i="38"/>
  <c r="K66" i="38"/>
  <c r="L66" i="38"/>
  <c r="M66" i="38"/>
  <c r="N66" i="38"/>
  <c r="O66" i="38"/>
  <c r="P66" i="38"/>
  <c r="D67" i="38"/>
  <c r="E67" i="38"/>
  <c r="F67" i="38"/>
  <c r="G67" i="38"/>
  <c r="H67" i="38"/>
  <c r="I67" i="38"/>
  <c r="J67" i="38"/>
  <c r="K67" i="38"/>
  <c r="L67" i="38"/>
  <c r="M67" i="38"/>
  <c r="N67" i="38"/>
  <c r="O67" i="38"/>
  <c r="P67" i="38"/>
  <c r="C67" i="38"/>
  <c r="C66" i="38"/>
  <c r="D33" i="38"/>
  <c r="E33" i="38"/>
  <c r="F33" i="38"/>
  <c r="G33" i="38"/>
  <c r="H33" i="38"/>
  <c r="I33" i="38"/>
  <c r="J33" i="38"/>
  <c r="K33" i="38"/>
  <c r="L33" i="38"/>
  <c r="M33" i="38"/>
  <c r="N33" i="38"/>
  <c r="O33" i="38"/>
  <c r="P33" i="38"/>
  <c r="D34" i="38"/>
  <c r="E34" i="38"/>
  <c r="F34" i="38"/>
  <c r="G34" i="38"/>
  <c r="H34" i="38"/>
  <c r="I34" i="38"/>
  <c r="J34" i="38"/>
  <c r="K34" i="38"/>
  <c r="L34" i="38"/>
  <c r="M34" i="38"/>
  <c r="N34" i="38"/>
  <c r="O34" i="38"/>
  <c r="P34" i="38"/>
  <c r="C34" i="38"/>
  <c r="C33" i="38"/>
  <c r="D40" i="38"/>
  <c r="E40" i="38"/>
  <c r="D41" i="38"/>
  <c r="E41" i="38"/>
  <c r="F41" i="38"/>
  <c r="C41" i="38"/>
  <c r="S13" i="8" l="1"/>
  <c r="BY83" i="16"/>
  <c r="BY84" i="16"/>
  <c r="BY85" i="16"/>
  <c r="BY86" i="16"/>
  <c r="BY87" i="16"/>
  <c r="BY88" i="16"/>
  <c r="BY89" i="16"/>
  <c r="BY90" i="16"/>
  <c r="BY91" i="16"/>
  <c r="BY92" i="16"/>
  <c r="BY93" i="16"/>
  <c r="BU94" i="16" s="1"/>
  <c r="BX94" i="16" s="1"/>
  <c r="BY94" i="16"/>
  <c r="BY95" i="16"/>
  <c r="BY96" i="16"/>
  <c r="BY97" i="16"/>
  <c r="BY98" i="16"/>
  <c r="BY99" i="16"/>
  <c r="BY100" i="16"/>
  <c r="BY136" i="16"/>
  <c r="BY137" i="16"/>
  <c r="BY138" i="16"/>
  <c r="BY139" i="16"/>
  <c r="BY140" i="16"/>
  <c r="BY141" i="16"/>
  <c r="BY142" i="16"/>
  <c r="BY143" i="16"/>
  <c r="BY144" i="16"/>
  <c r="BY145" i="16"/>
  <c r="BY146" i="16"/>
  <c r="BY147" i="16"/>
  <c r="BY148" i="16"/>
  <c r="BY149" i="16"/>
  <c r="BY150" i="16"/>
  <c r="BY151" i="16"/>
  <c r="BY152" i="16"/>
  <c r="BY153" i="16"/>
  <c r="BY154" i="16"/>
  <c r="BY155" i="16"/>
  <c r="BY156" i="16"/>
  <c r="BY157" i="16"/>
  <c r="BY158" i="16"/>
  <c r="BY159" i="16"/>
  <c r="BY160" i="16"/>
  <c r="BY161" i="16"/>
  <c r="BY162" i="16"/>
  <c r="BY163" i="16"/>
  <c r="BY164" i="16"/>
  <c r="BY165" i="16"/>
  <c r="BY166" i="16"/>
  <c r="BY167" i="16"/>
  <c r="BY168" i="16"/>
  <c r="BY169" i="16"/>
  <c r="BY170" i="16"/>
  <c r="BY171" i="16"/>
  <c r="BY172" i="16"/>
  <c r="BY173" i="16"/>
  <c r="BY174" i="16"/>
  <c r="BY175" i="16"/>
  <c r="BY176" i="16"/>
  <c r="BY177" i="16"/>
  <c r="BY178" i="16"/>
  <c r="BY179" i="16"/>
  <c r="BY180" i="16"/>
  <c r="BY181" i="16"/>
  <c r="BY182" i="16"/>
  <c r="BY183" i="16"/>
  <c r="BY184" i="16"/>
  <c r="BY185" i="16"/>
  <c r="BY186" i="16"/>
  <c r="BY187" i="16"/>
  <c r="BY188" i="16"/>
  <c r="BY189" i="16"/>
  <c r="BY190" i="16"/>
  <c r="BY191" i="16"/>
  <c r="BY192" i="16"/>
  <c r="BY193" i="16"/>
  <c r="BY194" i="16"/>
  <c r="BY195" i="16"/>
  <c r="BY196" i="16"/>
  <c r="BY197" i="16"/>
  <c r="BY198" i="16"/>
  <c r="BY199" i="16"/>
  <c r="BY200" i="16"/>
  <c r="BY201" i="16"/>
  <c r="BY82" i="16"/>
  <c r="CA94" i="16"/>
  <c r="CA95" i="16"/>
  <c r="CA96" i="16"/>
  <c r="CA97" i="16"/>
  <c r="CA98" i="16"/>
  <c r="CA99" i="16"/>
  <c r="CA100" i="16"/>
  <c r="CA101" i="16"/>
  <c r="CA102" i="16"/>
  <c r="CA103" i="16"/>
  <c r="CA104" i="16"/>
  <c r="CA105" i="16"/>
  <c r="CA106" i="16"/>
  <c r="CA107" i="16"/>
  <c r="CA108" i="16"/>
  <c r="CA109" i="16"/>
  <c r="CA110" i="16"/>
  <c r="CA111" i="16"/>
  <c r="CA112" i="16"/>
  <c r="CA113" i="16"/>
  <c r="CA114" i="16"/>
  <c r="CA115" i="16"/>
  <c r="CA116" i="16"/>
  <c r="CA117" i="16"/>
  <c r="CA118" i="16"/>
  <c r="CA119" i="16"/>
  <c r="CA120" i="16"/>
  <c r="CA121" i="16"/>
  <c r="CA122" i="16"/>
  <c r="CA123" i="16"/>
  <c r="CA124" i="16"/>
  <c r="CA125" i="16"/>
  <c r="CA126" i="16"/>
  <c r="CA127" i="16"/>
  <c r="CA128" i="16"/>
  <c r="CA129" i="16"/>
  <c r="CA130" i="16"/>
  <c r="CA131" i="16"/>
  <c r="CA132" i="16"/>
  <c r="CA133" i="16"/>
  <c r="CA134" i="16"/>
  <c r="CA135" i="16"/>
  <c r="CA136" i="16"/>
  <c r="CA137" i="16"/>
  <c r="CA138" i="16"/>
  <c r="CA139" i="16"/>
  <c r="CA140" i="16"/>
  <c r="CA141" i="16"/>
  <c r="CA142" i="16"/>
  <c r="CA143" i="16"/>
  <c r="CA144" i="16"/>
  <c r="CA145" i="16"/>
  <c r="CA146" i="16"/>
  <c r="CA147" i="16"/>
  <c r="CA148" i="16"/>
  <c r="CA149" i="16"/>
  <c r="CA150" i="16"/>
  <c r="CA151" i="16"/>
  <c r="CA152" i="16"/>
  <c r="CA153" i="16"/>
  <c r="CA154" i="16"/>
  <c r="CA155" i="16"/>
  <c r="CA156" i="16"/>
  <c r="CA157" i="16"/>
  <c r="CA158" i="16"/>
  <c r="CA159" i="16"/>
  <c r="CA160" i="16"/>
  <c r="CA161" i="16"/>
  <c r="CA162" i="16"/>
  <c r="CA163" i="16"/>
  <c r="CA164" i="16"/>
  <c r="CA165" i="16"/>
  <c r="CA166" i="16"/>
  <c r="CA167" i="16"/>
  <c r="CA168" i="16"/>
  <c r="CA169" i="16"/>
  <c r="CA170" i="16"/>
  <c r="CA171" i="16"/>
  <c r="CA172" i="16"/>
  <c r="CA173" i="16"/>
  <c r="CA174" i="16"/>
  <c r="CA175" i="16"/>
  <c r="CA176" i="16"/>
  <c r="CA177" i="16"/>
  <c r="CA83" i="16"/>
  <c r="CA84" i="16"/>
  <c r="CA85" i="16"/>
  <c r="CA86" i="16"/>
  <c r="CA87" i="16"/>
  <c r="CA88" i="16"/>
  <c r="CA89" i="16"/>
  <c r="CA90" i="16"/>
  <c r="CA91" i="16"/>
  <c r="CA92" i="16"/>
  <c r="CA93" i="16"/>
  <c r="CA82" i="16"/>
  <c r="CA6" i="16"/>
  <c r="AV24" i="16"/>
  <c r="AV25" i="16"/>
  <c r="AV26" i="16"/>
  <c r="AV27" i="16"/>
  <c r="AV28" i="16"/>
  <c r="AV29" i="16"/>
  <c r="AV30" i="16"/>
  <c r="AV31" i="16"/>
  <c r="AV32" i="16"/>
  <c r="AV33" i="16"/>
  <c r="AV34" i="16"/>
  <c r="AV35" i="16"/>
  <c r="AV36" i="16"/>
  <c r="AV37" i="16"/>
  <c r="AV38" i="16"/>
  <c r="AV39" i="16"/>
  <c r="AV40" i="16"/>
  <c r="AV41" i="16"/>
  <c r="AV42" i="16"/>
  <c r="AV43" i="16"/>
  <c r="AV44" i="16"/>
  <c r="AV45" i="16"/>
  <c r="AV46" i="16"/>
  <c r="AV47" i="16"/>
  <c r="AV48" i="16"/>
  <c r="AV49" i="16"/>
  <c r="AV50" i="16"/>
  <c r="AV51" i="16"/>
  <c r="AV52" i="16"/>
  <c r="AV53" i="16"/>
  <c r="AV54" i="16"/>
  <c r="AV55" i="16"/>
  <c r="AV56" i="16"/>
  <c r="AV57" i="16"/>
  <c r="AV58" i="16"/>
  <c r="AV59" i="16"/>
  <c r="AV60" i="16"/>
  <c r="AV61" i="16"/>
  <c r="AV62" i="16"/>
  <c r="AV63" i="16"/>
  <c r="AV64" i="16"/>
  <c r="AV65" i="16"/>
  <c r="AV66" i="16"/>
  <c r="AV67" i="16"/>
  <c r="AV68" i="16"/>
  <c r="AV69" i="16"/>
  <c r="AV70" i="16"/>
  <c r="AV71" i="16"/>
  <c r="AV72" i="16"/>
  <c r="AV73" i="16"/>
  <c r="AV74" i="16"/>
  <c r="AV75" i="16"/>
  <c r="AV76" i="16"/>
  <c r="AV77" i="16"/>
  <c r="AV78" i="16"/>
  <c r="AV79" i="16"/>
  <c r="AV80" i="16"/>
  <c r="AV81" i="16"/>
  <c r="AV82" i="16"/>
  <c r="AV83" i="16"/>
  <c r="AV84" i="16"/>
  <c r="AV23" i="16"/>
  <c r="AY95" i="16"/>
  <c r="AY96" i="16"/>
  <c r="AY97" i="16"/>
  <c r="AY98" i="16"/>
  <c r="AY99" i="16"/>
  <c r="AY100" i="16"/>
  <c r="AY94" i="16"/>
  <c r="BU95" i="16" l="1"/>
  <c r="BU96" i="16" l="1"/>
  <c r="BX95" i="16"/>
  <c r="BU97" i="16" l="1"/>
  <c r="BX96" i="16"/>
  <c r="BU98" i="16" l="1"/>
  <c r="BX97" i="16"/>
  <c r="BU99" i="16" l="1"/>
  <c r="BX98" i="16"/>
  <c r="BU100" i="16" l="1"/>
  <c r="BX99" i="16"/>
  <c r="BU101" i="16" l="1"/>
  <c r="BX101" i="16" s="1"/>
  <c r="BX100" i="16"/>
  <c r="P2" i="54" l="1"/>
  <c r="S2" i="54" s="1"/>
  <c r="P1" i="54"/>
  <c r="S1" i="54" s="1"/>
  <c r="CB36" i="54"/>
  <c r="CA36" i="54"/>
  <c r="BZ36" i="54"/>
  <c r="BY36" i="54"/>
  <c r="BX36" i="54"/>
  <c r="BW36" i="54"/>
  <c r="BV36" i="54"/>
  <c r="BU36" i="54"/>
  <c r="BT36" i="54"/>
  <c r="BU43" i="54"/>
  <c r="BV43" i="54"/>
  <c r="BX43" i="54"/>
  <c r="BY43" i="54"/>
  <c r="BZ43" i="54"/>
  <c r="CA43" i="54"/>
  <c r="CB43" i="54"/>
  <c r="BW41" i="54"/>
  <c r="CN29" i="54"/>
  <c r="CM29" i="54"/>
  <c r="CL29" i="54"/>
  <c r="CN28" i="54"/>
  <c r="CM28" i="54"/>
  <c r="CL28" i="54"/>
  <c r="CN26" i="54"/>
  <c r="CM26" i="54"/>
  <c r="CL26" i="54"/>
  <c r="CL25" i="54"/>
  <c r="CM25" i="54"/>
  <c r="CQ28" i="54"/>
  <c r="CP28" i="54"/>
  <c r="CO28" i="54"/>
  <c r="CQ29" i="54"/>
  <c r="CP29" i="54"/>
  <c r="CO29" i="54"/>
  <c r="CQ26" i="54"/>
  <c r="CP26" i="54"/>
  <c r="CO26" i="54"/>
  <c r="CN25" i="54"/>
  <c r="CO25" i="54"/>
  <c r="CP25" i="54"/>
  <c r="CQ25" i="54"/>
  <c r="CB29" i="54"/>
  <c r="CA29" i="54"/>
  <c r="BZ29" i="54"/>
  <c r="BY29" i="54"/>
  <c r="BX29" i="54"/>
  <c r="BW29" i="54"/>
  <c r="BV29" i="54"/>
  <c r="CB28" i="54"/>
  <c r="CA28" i="54"/>
  <c r="BZ28" i="54"/>
  <c r="BY28" i="54"/>
  <c r="BX28" i="54"/>
  <c r="BW28" i="54"/>
  <c r="BV28" i="54"/>
  <c r="CB26" i="54"/>
  <c r="CA26" i="54"/>
  <c r="BZ26" i="54"/>
  <c r="BY26" i="54"/>
  <c r="BX26" i="54"/>
  <c r="BW26" i="54"/>
  <c r="BV26" i="54"/>
  <c r="BW25" i="54"/>
  <c r="BX25" i="54"/>
  <c r="BY25" i="54"/>
  <c r="BZ25" i="54"/>
  <c r="CA25" i="54"/>
  <c r="CB25" i="54"/>
  <c r="BV25" i="54"/>
  <c r="W15" i="54" l="1"/>
  <c r="W80" i="54" s="1"/>
  <c r="S15" i="54"/>
  <c r="O15" i="54"/>
  <c r="T15" i="54"/>
  <c r="T30" i="54" s="1"/>
  <c r="V15" i="54"/>
  <c r="V80" i="54" s="1"/>
  <c r="R15" i="54"/>
  <c r="N15" i="54"/>
  <c r="N30" i="54" s="1"/>
  <c r="Q15" i="54"/>
  <c r="X15" i="54"/>
  <c r="P15" i="54"/>
  <c r="U15" i="54"/>
  <c r="U80" i="54" s="1"/>
  <c r="N16" i="54"/>
  <c r="P16" i="54"/>
  <c r="T16" i="54"/>
  <c r="X16" i="54"/>
  <c r="O16" i="54"/>
  <c r="Q16" i="54"/>
  <c r="U16" i="54"/>
  <c r="W16" i="54"/>
  <c r="R16" i="54"/>
  <c r="V16" i="54"/>
  <c r="S16" i="54"/>
  <c r="X14" i="54"/>
  <c r="X76" i="54" s="1"/>
  <c r="T14" i="54"/>
  <c r="P14" i="54"/>
  <c r="W13" i="54"/>
  <c r="W75" i="54" s="1"/>
  <c r="S13" i="54"/>
  <c r="O13" i="54"/>
  <c r="P11" i="54"/>
  <c r="T11" i="54"/>
  <c r="X11" i="54"/>
  <c r="X73" i="54" s="1"/>
  <c r="R10" i="54"/>
  <c r="V10" i="54"/>
  <c r="V72" i="54" s="1"/>
  <c r="X13" i="54"/>
  <c r="X75" i="54" s="1"/>
  <c r="P13" i="54"/>
  <c r="W11" i="54"/>
  <c r="W73" i="54" s="1"/>
  <c r="W14" i="54"/>
  <c r="W76" i="54" s="1"/>
  <c r="S14" i="54"/>
  <c r="O14" i="54"/>
  <c r="V13" i="54"/>
  <c r="V75" i="54" s="1"/>
  <c r="R13" i="54"/>
  <c r="N13" i="54"/>
  <c r="Q11" i="54"/>
  <c r="U11" i="54"/>
  <c r="U73" i="54" s="1"/>
  <c r="O10" i="54"/>
  <c r="S10" i="54"/>
  <c r="W10" i="54"/>
  <c r="W72" i="54" s="1"/>
  <c r="Q14" i="54"/>
  <c r="O11" i="54"/>
  <c r="Q10" i="54"/>
  <c r="N10" i="54"/>
  <c r="V14" i="54"/>
  <c r="V76" i="54" s="1"/>
  <c r="R14" i="54"/>
  <c r="N14" i="54"/>
  <c r="U13" i="54"/>
  <c r="U75" i="54" s="1"/>
  <c r="Q13" i="54"/>
  <c r="N11" i="54"/>
  <c r="R11" i="54"/>
  <c r="V11" i="54"/>
  <c r="V73" i="54" s="1"/>
  <c r="P10" i="54"/>
  <c r="T10" i="54"/>
  <c r="X10" i="54"/>
  <c r="X72" i="54" s="1"/>
  <c r="U14" i="54"/>
  <c r="U76" i="54" s="1"/>
  <c r="T13" i="54"/>
  <c r="S11" i="54"/>
  <c r="U10" i="54"/>
  <c r="U72" i="54" s="1"/>
  <c r="BX41" i="54"/>
  <c r="BY41" i="54" s="1"/>
  <c r="BZ41" i="54" s="1"/>
  <c r="CA41" i="54" s="1"/>
  <c r="CB41" i="54" s="1"/>
  <c r="CI12" i="54"/>
  <c r="CI9" i="54"/>
  <c r="BU41" i="54"/>
  <c r="BV41" i="54" s="1"/>
  <c r="BW43" i="54" s="1"/>
  <c r="BT12" i="54"/>
  <c r="BT9" i="54"/>
  <c r="BT8" i="54" s="1"/>
  <c r="V96" i="54" l="1"/>
  <c r="W93" i="54"/>
  <c r="V100" i="54"/>
  <c r="U74" i="54"/>
  <c r="W71" i="54"/>
  <c r="W92" i="54"/>
  <c r="X93" i="54"/>
  <c r="X96" i="54"/>
  <c r="V93" i="54"/>
  <c r="U71" i="54"/>
  <c r="X71" i="54"/>
  <c r="X92" i="54"/>
  <c r="X74" i="54"/>
  <c r="X95" i="54"/>
  <c r="W74" i="54"/>
  <c r="W95" i="54"/>
  <c r="V74" i="54"/>
  <c r="V95" i="54"/>
  <c r="W96" i="54"/>
  <c r="V71" i="54"/>
  <c r="V92" i="54"/>
  <c r="X30" i="54"/>
  <c r="X80" i="54"/>
  <c r="X100" i="54" s="1"/>
  <c r="W100" i="54"/>
  <c r="Q30" i="54"/>
  <c r="U30" i="54"/>
  <c r="O30" i="54"/>
  <c r="P30" i="54"/>
  <c r="R30" i="54"/>
  <c r="S30" i="54"/>
  <c r="V30" i="54"/>
  <c r="W30" i="54"/>
  <c r="W31" i="54"/>
  <c r="X31" i="54"/>
  <c r="U31" i="54"/>
  <c r="V31" i="54"/>
  <c r="P31" i="54"/>
  <c r="R31" i="54"/>
  <c r="O31" i="54"/>
  <c r="N31" i="54"/>
  <c r="S31" i="54"/>
  <c r="Q31" i="54"/>
  <c r="T31" i="54"/>
  <c r="CI8" i="54"/>
  <c r="W91" i="54" l="1"/>
  <c r="W70" i="54"/>
  <c r="V94" i="54"/>
  <c r="X94" i="54"/>
  <c r="U70" i="54"/>
  <c r="V91" i="54"/>
  <c r="V70" i="54"/>
  <c r="W94" i="54"/>
  <c r="X91" i="54"/>
  <c r="X70" i="54"/>
  <c r="R13" i="39"/>
  <c r="R11" i="39"/>
  <c r="N21" i="9"/>
  <c r="N49" i="9"/>
  <c r="V176" i="48"/>
  <c r="X90" i="54" l="1"/>
  <c r="W90" i="54"/>
  <c r="V90" i="54"/>
  <c r="M21" i="9"/>
  <c r="C14" i="39"/>
  <c r="CB168" i="16" l="1"/>
  <c r="CB169" i="16" s="1"/>
  <c r="CB170" i="16" s="1"/>
  <c r="CB171" i="16" s="1"/>
  <c r="CB172" i="16" s="1"/>
  <c r="CB173" i="16" s="1"/>
  <c r="CB174" i="16" s="1"/>
  <c r="CB175" i="16" s="1"/>
  <c r="CB176" i="16" s="1"/>
  <c r="CB177" i="16" s="1"/>
  <c r="CB167" i="16"/>
  <c r="CB166" i="16"/>
  <c r="CE34" i="16"/>
  <c r="BV40" i="16"/>
  <c r="BV44" i="16"/>
  <c r="CE46" i="16"/>
  <c r="BV51" i="16"/>
  <c r="BV55" i="16"/>
  <c r="BH201" i="16"/>
  <c r="BS190" i="16"/>
  <c r="BH189" i="16"/>
  <c r="BS178" i="16"/>
  <c r="BV84" i="16"/>
  <c r="BV83" i="16"/>
  <c r="BV82" i="16"/>
  <c r="BV81" i="16"/>
  <c r="BV80" i="16"/>
  <c r="BV79" i="16"/>
  <c r="BV77" i="16"/>
  <c r="BV76" i="16"/>
  <c r="BV75" i="16"/>
  <c r="BV74" i="16"/>
  <c r="BV73" i="16"/>
  <c r="BV72" i="16"/>
  <c r="BV71" i="16"/>
  <c r="BV70" i="16"/>
  <c r="BV69" i="16"/>
  <c r="BV68" i="16"/>
  <c r="BV67" i="16"/>
  <c r="BV66" i="16"/>
  <c r="BV65" i="16"/>
  <c r="BV64" i="16"/>
  <c r="BV63" i="16"/>
  <c r="BV62" i="16"/>
  <c r="BV61" i="16"/>
  <c r="BV60" i="16"/>
  <c r="BV59" i="16"/>
  <c r="CF58" i="16"/>
  <c r="CE58" i="16"/>
  <c r="BV58" i="16"/>
  <c r="BV57" i="16"/>
  <c r="CB56" i="16"/>
  <c r="CB57" i="16" s="1"/>
  <c r="CB58" i="16" s="1"/>
  <c r="CB59" i="16" s="1"/>
  <c r="CB60" i="16" s="1"/>
  <c r="CB61" i="16" s="1"/>
  <c r="CB62" i="16" s="1"/>
  <c r="CB63" i="16" s="1"/>
  <c r="CB64" i="16" s="1"/>
  <c r="CB65" i="16" s="1"/>
  <c r="CB66" i="16" s="1"/>
  <c r="CB67" i="16" s="1"/>
  <c r="CB68" i="16" s="1"/>
  <c r="CB69" i="16" s="1"/>
  <c r="CB70" i="16" s="1"/>
  <c r="CB71" i="16" s="1"/>
  <c r="CB72" i="16" s="1"/>
  <c r="CB73" i="16" s="1"/>
  <c r="CB74" i="16" s="1"/>
  <c r="CB75" i="16" s="1"/>
  <c r="CB76" i="16" s="1"/>
  <c r="CB77" i="16" s="1"/>
  <c r="CB78" i="16" s="1"/>
  <c r="CB79" i="16" s="1"/>
  <c r="CB80" i="16" s="1"/>
  <c r="CB81" i="16" s="1"/>
  <c r="CB82" i="16" s="1"/>
  <c r="CB83" i="16" s="1"/>
  <c r="CB84" i="16" s="1"/>
  <c r="CB85" i="16" s="1"/>
  <c r="CB86" i="16" s="1"/>
  <c r="CB87" i="16" s="1"/>
  <c r="CB88" i="16" s="1"/>
  <c r="CB89" i="16" s="1"/>
  <c r="CB90" i="16" s="1"/>
  <c r="CB91" i="16" s="1"/>
  <c r="CB92" i="16" s="1"/>
  <c r="CB93" i="16" s="1"/>
  <c r="CB94" i="16" s="1"/>
  <c r="CB95" i="16" s="1"/>
  <c r="CB96" i="16" s="1"/>
  <c r="CB97" i="16" s="1"/>
  <c r="CB98" i="16" s="1"/>
  <c r="CB99" i="16" s="1"/>
  <c r="CB100" i="16" s="1"/>
  <c r="CB101" i="16" s="1"/>
  <c r="CB102" i="16" s="1"/>
  <c r="CB103" i="16" s="1"/>
  <c r="CB104" i="16" s="1"/>
  <c r="CB105" i="16" s="1"/>
  <c r="CB106" i="16" s="1"/>
  <c r="CB107" i="16" s="1"/>
  <c r="CB108" i="16" s="1"/>
  <c r="CB109" i="16" s="1"/>
  <c r="CB110" i="16" s="1"/>
  <c r="CB111" i="16" s="1"/>
  <c r="CB112" i="16" s="1"/>
  <c r="CB113" i="16" s="1"/>
  <c r="CB114" i="16" s="1"/>
  <c r="CB115" i="16" s="1"/>
  <c r="CB116" i="16" s="1"/>
  <c r="CB117" i="16" s="1"/>
  <c r="CB118" i="16" s="1"/>
  <c r="CB119" i="16" s="1"/>
  <c r="CB120" i="16" s="1"/>
  <c r="CB121" i="16" s="1"/>
  <c r="CB122" i="16" s="1"/>
  <c r="CB123" i="16" s="1"/>
  <c r="CB124" i="16" s="1"/>
  <c r="CB125" i="16" s="1"/>
  <c r="CB126" i="16" s="1"/>
  <c r="CB127" i="16" s="1"/>
  <c r="CB128" i="16" s="1"/>
  <c r="CB129" i="16" s="1"/>
  <c r="CB130" i="16" s="1"/>
  <c r="CB131" i="16" s="1"/>
  <c r="CB132" i="16" s="1"/>
  <c r="CB133" i="16" s="1"/>
  <c r="CB134" i="16" s="1"/>
  <c r="CB135" i="16" s="1"/>
  <c r="CB136" i="16" s="1"/>
  <c r="CB137" i="16" s="1"/>
  <c r="CB138" i="16" s="1"/>
  <c r="CB139" i="16" s="1"/>
  <c r="CB140" i="16" s="1"/>
  <c r="CB141" i="16" s="1"/>
  <c r="CB142" i="16" s="1"/>
  <c r="CB143" i="16" s="1"/>
  <c r="CB144" i="16" s="1"/>
  <c r="CB145" i="16" s="1"/>
  <c r="CB146" i="16" s="1"/>
  <c r="CB147" i="16" s="1"/>
  <c r="CB148" i="16" s="1"/>
  <c r="CB149" i="16" s="1"/>
  <c r="CB150" i="16" s="1"/>
  <c r="CB151" i="16" s="1"/>
  <c r="CB152" i="16" s="1"/>
  <c r="CB153" i="16" s="1"/>
  <c r="CB154" i="16" s="1"/>
  <c r="CB155" i="16" s="1"/>
  <c r="CB156" i="16" s="1"/>
  <c r="CB157" i="16" s="1"/>
  <c r="CB158" i="16" s="1"/>
  <c r="CB159" i="16" s="1"/>
  <c r="CB160" i="16" s="1"/>
  <c r="CB161" i="16" s="1"/>
  <c r="CB162" i="16" s="1"/>
  <c r="CB163" i="16" s="1"/>
  <c r="CB164" i="16" s="1"/>
  <c r="CB165" i="16" s="1"/>
  <c r="BV56" i="16"/>
  <c r="BV54" i="16"/>
  <c r="BV53" i="16"/>
  <c r="BV52" i="16"/>
  <c r="BV50" i="16"/>
  <c r="BV49" i="16"/>
  <c r="BV48" i="16"/>
  <c r="BV47" i="16"/>
  <c r="CF46" i="16"/>
  <c r="BV46" i="16"/>
  <c r="BV45" i="16"/>
  <c r="BV43" i="16"/>
  <c r="BV42" i="16"/>
  <c r="BV41" i="16"/>
  <c r="BV39" i="16"/>
  <c r="BV38" i="16"/>
  <c r="BV37" i="16"/>
  <c r="BV35" i="16"/>
  <c r="CF34" i="16"/>
  <c r="BV34" i="16"/>
  <c r="BV33" i="16"/>
  <c r="BV32" i="16"/>
  <c r="BV31" i="16"/>
  <c r="BV30" i="16"/>
  <c r="BV29" i="16"/>
  <c r="BV28" i="16"/>
  <c r="BV27" i="16"/>
  <c r="BV26" i="16"/>
  <c r="BV25" i="16"/>
  <c r="CF22" i="16"/>
  <c r="CA17" i="16"/>
  <c r="BV16" i="16"/>
  <c r="BV15" i="16"/>
  <c r="BV14" i="16"/>
  <c r="BV13" i="16"/>
  <c r="BV12" i="16"/>
  <c r="BV11" i="16"/>
  <c r="CF10" i="16"/>
  <c r="BZ10" i="16"/>
  <c r="BZ11" i="16" s="1"/>
  <c r="BZ12" i="16" s="1"/>
  <c r="BZ13" i="16" s="1"/>
  <c r="BZ14" i="16" s="1"/>
  <c r="BZ15" i="16" s="1"/>
  <c r="BZ16" i="16" s="1"/>
  <c r="BV10" i="16"/>
  <c r="BZ5" i="16"/>
  <c r="CA5" i="16" s="1"/>
  <c r="E76" i="9"/>
  <c r="E77" i="9" s="1"/>
  <c r="E78" i="9" s="1"/>
  <c r="T76" i="9" l="1"/>
  <c r="O78" i="9"/>
  <c r="U76" i="9"/>
  <c r="V76" i="9"/>
  <c r="O76" i="9"/>
  <c r="O77" i="9"/>
  <c r="D53" i="39" s="1"/>
  <c r="BV36" i="16"/>
  <c r="BZ17" i="16"/>
  <c r="BW17" i="16"/>
  <c r="CE70" i="16"/>
  <c r="J52" i="39" l="1"/>
  <c r="K52" i="39"/>
  <c r="D52" i="39"/>
  <c r="I52" i="39"/>
  <c r="O91" i="9"/>
  <c r="BV17" i="16"/>
  <c r="BW18" i="16"/>
  <c r="BV18" i="16" s="1"/>
  <c r="BZ18" i="16"/>
  <c r="H26" i="8" l="1"/>
  <c r="BZ19" i="16"/>
  <c r="BW19" i="16"/>
  <c r="BV19" i="16" s="1"/>
  <c r="G260" i="5"/>
  <c r="H260" i="5"/>
  <c r="I260" i="5"/>
  <c r="J260" i="5"/>
  <c r="K260" i="5"/>
  <c r="L260" i="5"/>
  <c r="N260" i="5"/>
  <c r="M260" i="5"/>
  <c r="C81" i="38"/>
  <c r="D81" i="38"/>
  <c r="C82" i="38"/>
  <c r="D82" i="38"/>
  <c r="C83" i="38"/>
  <c r="D83" i="38"/>
  <c r="E83" i="38"/>
  <c r="E82" i="38"/>
  <c r="E81" i="38"/>
  <c r="F73" i="38"/>
  <c r="G73" i="38"/>
  <c r="H73" i="38"/>
  <c r="F74" i="38"/>
  <c r="G74" i="38"/>
  <c r="H74" i="38"/>
  <c r="F75" i="38"/>
  <c r="G75" i="38"/>
  <c r="H75" i="38"/>
  <c r="F76" i="38"/>
  <c r="G76" i="38"/>
  <c r="H76" i="38"/>
  <c r="C73" i="38"/>
  <c r="D73" i="38"/>
  <c r="C74" i="38"/>
  <c r="D74" i="38"/>
  <c r="C75" i="38"/>
  <c r="D75" i="38"/>
  <c r="C76" i="38"/>
  <c r="D76" i="38"/>
  <c r="E76" i="38"/>
  <c r="E75" i="38"/>
  <c r="E74" i="38"/>
  <c r="E73" i="38"/>
  <c r="S13" i="39" l="1"/>
  <c r="BZ20" i="16"/>
  <c r="BW20" i="16"/>
  <c r="C77" i="38"/>
  <c r="H77" i="38"/>
  <c r="E77" i="38"/>
  <c r="D77" i="38"/>
  <c r="G77" i="38"/>
  <c r="F77" i="38"/>
  <c r="C59" i="38"/>
  <c r="C113" i="38" s="1"/>
  <c r="G113" i="38"/>
  <c r="F113" i="38"/>
  <c r="E113" i="38"/>
  <c r="D59" i="38"/>
  <c r="D113" i="38" s="1"/>
  <c r="F109" i="38" l="1"/>
  <c r="H109" i="38"/>
  <c r="G109" i="38"/>
  <c r="C109" i="38"/>
  <c r="D109" i="38"/>
  <c r="E109" i="38"/>
  <c r="BV20" i="16"/>
  <c r="BZ21" i="16"/>
  <c r="BW21" i="16"/>
  <c r="BV21" i="16" s="1"/>
  <c r="D16" i="58"/>
  <c r="D15" i="58"/>
  <c r="D14" i="58"/>
  <c r="D13" i="58"/>
  <c r="D12" i="58"/>
  <c r="D9" i="58"/>
  <c r="D8" i="58"/>
  <c r="D7" i="58"/>
  <c r="D17" i="58" l="1"/>
  <c r="BW22" i="16"/>
  <c r="BZ22" i="16"/>
  <c r="CE10" i="16"/>
  <c r="D10" i="58"/>
  <c r="Z7" i="48"/>
  <c r="Z8" i="48"/>
  <c r="Z9" i="48"/>
  <c r="Z10" i="48"/>
  <c r="Z11" i="48"/>
  <c r="Z12" i="48"/>
  <c r="Z13" i="48"/>
  <c r="Z14" i="48"/>
  <c r="Z15" i="48"/>
  <c r="Z16" i="48"/>
  <c r="Z17" i="48"/>
  <c r="Z18" i="48"/>
  <c r="Z19" i="48"/>
  <c r="Z20" i="48"/>
  <c r="Z21" i="48"/>
  <c r="Z22" i="48"/>
  <c r="Z23" i="48"/>
  <c r="Z24" i="48"/>
  <c r="Z25" i="48"/>
  <c r="Z26" i="48"/>
  <c r="Z27" i="48"/>
  <c r="Z28" i="48"/>
  <c r="Z29" i="48"/>
  <c r="Z31" i="48"/>
  <c r="Z32" i="48"/>
  <c r="Z34" i="48"/>
  <c r="AB34" i="48" s="1"/>
  <c r="Z35" i="48"/>
  <c r="AB35" i="48" s="1"/>
  <c r="Z36" i="48"/>
  <c r="AB36" i="48" s="1"/>
  <c r="Z37" i="48"/>
  <c r="Z38" i="48"/>
  <c r="AB38" i="48" s="1"/>
  <c r="Z39" i="48"/>
  <c r="Z40" i="48"/>
  <c r="AB40" i="48" s="1"/>
  <c r="Z41" i="48"/>
  <c r="AB41" i="48" s="1"/>
  <c r="Z42" i="48"/>
  <c r="AB42" i="48" s="1"/>
  <c r="Z43" i="48"/>
  <c r="AB43" i="48" s="1"/>
  <c r="Z44" i="48"/>
  <c r="AB44" i="48" s="1"/>
  <c r="Z45" i="48"/>
  <c r="Z46" i="48"/>
  <c r="AB46" i="48" s="1"/>
  <c r="Z47" i="48"/>
  <c r="Z48" i="48"/>
  <c r="AB48" i="48" s="1"/>
  <c r="Z49" i="48"/>
  <c r="Z51" i="48"/>
  <c r="Z52" i="48"/>
  <c r="Z54" i="48"/>
  <c r="AB54" i="48" s="1"/>
  <c r="Z55" i="48"/>
  <c r="Z56" i="48"/>
  <c r="Z58" i="48"/>
  <c r="AB58" i="48" s="1"/>
  <c r="Z59" i="48"/>
  <c r="AB59" i="48" s="1"/>
  <c r="Z60" i="48"/>
  <c r="Z62" i="48"/>
  <c r="Z63" i="48"/>
  <c r="Z64" i="48"/>
  <c r="Z65" i="48"/>
  <c r="Z66" i="48"/>
  <c r="Z67" i="48"/>
  <c r="Z68" i="48"/>
  <c r="Z69" i="48"/>
  <c r="Z70" i="48"/>
  <c r="Z71" i="48"/>
  <c r="Z73" i="48"/>
  <c r="Z74" i="48"/>
  <c r="Z76" i="48"/>
  <c r="Z77" i="48"/>
  <c r="Z78" i="48"/>
  <c r="AB78" i="48" s="1"/>
  <c r="Z79" i="48"/>
  <c r="Z80" i="48"/>
  <c r="Z81" i="48"/>
  <c r="Z82" i="48"/>
  <c r="Z83" i="48"/>
  <c r="Z84" i="48"/>
  <c r="Z85" i="48"/>
  <c r="AB85" i="48" s="1"/>
  <c r="Z87" i="48"/>
  <c r="Z88" i="48"/>
  <c r="Z89" i="48"/>
  <c r="Z90" i="48"/>
  <c r="Z91" i="48"/>
  <c r="Z92" i="48"/>
  <c r="Z94" i="48"/>
  <c r="Z95" i="48"/>
  <c r="Z97" i="48"/>
  <c r="AB97" i="48" s="1"/>
  <c r="Z98" i="48"/>
  <c r="AB98" i="48" s="1"/>
  <c r="Z99" i="48"/>
  <c r="Z100" i="48"/>
  <c r="Z102" i="48"/>
  <c r="AB102" i="48" s="1"/>
  <c r="Z103" i="48"/>
  <c r="Z104" i="48"/>
  <c r="Z105" i="48"/>
  <c r="AB105" i="48" s="1"/>
  <c r="Z106" i="48"/>
  <c r="AB106" i="48" s="1"/>
  <c r="Z107" i="48"/>
  <c r="Z109" i="48"/>
  <c r="Z110" i="48"/>
  <c r="Z111" i="48"/>
  <c r="Z112" i="48"/>
  <c r="Z113" i="48"/>
  <c r="Z114" i="48"/>
  <c r="Z115" i="48"/>
  <c r="Z116" i="48"/>
  <c r="Z117" i="48"/>
  <c r="Z118" i="48"/>
  <c r="Z119" i="48"/>
  <c r="Z121" i="48"/>
  <c r="Z122" i="48"/>
  <c r="Z124" i="48"/>
  <c r="Z125" i="48"/>
  <c r="AB125" i="48" s="1"/>
  <c r="Z126" i="48"/>
  <c r="Z127" i="48"/>
  <c r="Z128" i="48"/>
  <c r="Z129" i="48"/>
  <c r="Z130" i="48"/>
  <c r="AB130" i="48" s="1"/>
  <c r="Z131" i="48"/>
  <c r="Z132" i="48"/>
  <c r="Z134" i="48"/>
  <c r="AB134" i="48" s="1"/>
  <c r="Z135" i="48"/>
  <c r="Z136" i="48"/>
  <c r="Z137" i="48"/>
  <c r="AB137" i="48" s="1"/>
  <c r="Z138" i="48"/>
  <c r="AB138" i="48" s="1"/>
  <c r="Z139" i="48"/>
  <c r="Z140" i="48"/>
  <c r="Z141" i="48"/>
  <c r="Z142" i="48"/>
  <c r="Z144" i="48"/>
  <c r="Z145" i="48"/>
  <c r="Z146" i="48"/>
  <c r="Z148" i="48"/>
  <c r="Z149" i="48"/>
  <c r="Z151" i="48"/>
  <c r="Z152" i="48"/>
  <c r="Z154" i="48"/>
  <c r="Z155" i="48"/>
  <c r="Z158" i="48"/>
  <c r="Z159" i="48"/>
  <c r="Z160" i="48"/>
  <c r="Z161" i="48"/>
  <c r="Z162" i="48"/>
  <c r="AB162" i="48" s="1"/>
  <c r="Z163" i="48"/>
  <c r="Z165" i="48"/>
  <c r="Z166" i="48"/>
  <c r="Z167" i="48"/>
  <c r="Z168" i="48"/>
  <c r="Z169" i="48"/>
  <c r="Z170" i="48"/>
  <c r="AB37" i="48"/>
  <c r="AB161" i="48"/>
  <c r="AB136" i="48"/>
  <c r="AB135" i="48"/>
  <c r="AB132" i="48"/>
  <c r="AB131" i="48"/>
  <c r="AB124" i="48"/>
  <c r="AB107" i="48"/>
  <c r="AB104" i="48"/>
  <c r="AB103" i="48"/>
  <c r="AB100" i="48"/>
  <c r="AB99" i="48"/>
  <c r="AB80" i="48"/>
  <c r="AB79" i="48"/>
  <c r="AB77" i="48"/>
  <c r="AB76" i="48"/>
  <c r="AB60" i="48"/>
  <c r="AB55" i="48"/>
  <c r="AB52" i="48"/>
  <c r="AB51" i="48"/>
  <c r="AB47" i="48"/>
  <c r="AB45" i="48"/>
  <c r="AB39" i="48"/>
  <c r="BZ23" i="16" l="1"/>
  <c r="BW23" i="16"/>
  <c r="BV23" i="16" s="1"/>
  <c r="BV22" i="16"/>
  <c r="AH16" i="48"/>
  <c r="AH146" i="48"/>
  <c r="AH169" i="48"/>
  <c r="AH170" i="48"/>
  <c r="X42" i="48"/>
  <c r="AD42" i="48" s="1"/>
  <c r="X169" i="48"/>
  <c r="X170" i="48"/>
  <c r="V164" i="48"/>
  <c r="V153" i="48"/>
  <c r="V147" i="48"/>
  <c r="V143" i="48"/>
  <c r="V120" i="48"/>
  <c r="V93" i="48"/>
  <c r="V72" i="48"/>
  <c r="V30" i="48"/>
  <c r="V156" i="48" s="1"/>
  <c r="V157" i="48" s="1"/>
  <c r="T7" i="48"/>
  <c r="T8" i="48"/>
  <c r="X8" i="48" s="1"/>
  <c r="T9" i="48"/>
  <c r="X9" i="48" s="1"/>
  <c r="T10" i="48"/>
  <c r="T11" i="48"/>
  <c r="T12" i="48"/>
  <c r="X12" i="48" s="1"/>
  <c r="T13" i="48"/>
  <c r="X13" i="48" s="1"/>
  <c r="T14" i="48"/>
  <c r="T15" i="48"/>
  <c r="T16" i="48"/>
  <c r="X16" i="48" s="1"/>
  <c r="T17" i="48"/>
  <c r="X17" i="48" s="1"/>
  <c r="T18" i="48"/>
  <c r="T19" i="48"/>
  <c r="T20" i="48"/>
  <c r="X20" i="48" s="1"/>
  <c r="T21" i="48"/>
  <c r="X21" i="48" s="1"/>
  <c r="T22" i="48"/>
  <c r="T23" i="48"/>
  <c r="T24" i="48"/>
  <c r="X24" i="48" s="1"/>
  <c r="T25" i="48"/>
  <c r="X25" i="48" s="1"/>
  <c r="T26" i="48"/>
  <c r="T27" i="48"/>
  <c r="T28" i="48"/>
  <c r="X28" i="48" s="1"/>
  <c r="T29" i="48"/>
  <c r="X29" i="48" s="1"/>
  <c r="T31" i="48"/>
  <c r="AH31" i="48" s="1"/>
  <c r="T32" i="48"/>
  <c r="T34" i="48"/>
  <c r="AH34" i="48" s="1"/>
  <c r="T35" i="48"/>
  <c r="AH35" i="48" s="1"/>
  <c r="T36" i="48"/>
  <c r="T37" i="48"/>
  <c r="X37" i="48" s="1"/>
  <c r="AD37" i="48" s="1"/>
  <c r="T38" i="48"/>
  <c r="AH38" i="48" s="1"/>
  <c r="T39" i="48"/>
  <c r="AH39" i="48" s="1"/>
  <c r="T40" i="48"/>
  <c r="T41" i="48"/>
  <c r="X41" i="48" s="1"/>
  <c r="AD41" i="48" s="1"/>
  <c r="T42" i="48"/>
  <c r="AH42" i="48" s="1"/>
  <c r="T43" i="48"/>
  <c r="AH43" i="48" s="1"/>
  <c r="T44" i="48"/>
  <c r="T45" i="48"/>
  <c r="X45" i="48" s="1"/>
  <c r="AD45" i="48" s="1"/>
  <c r="T46" i="48"/>
  <c r="AH46" i="48" s="1"/>
  <c r="T47" i="48"/>
  <c r="AH47" i="48" s="1"/>
  <c r="T48" i="48"/>
  <c r="T49" i="48"/>
  <c r="X49" i="48" s="1"/>
  <c r="AA49" i="48" s="1"/>
  <c r="T51" i="48"/>
  <c r="AH51" i="48" s="1"/>
  <c r="T52" i="48"/>
  <c r="X52" i="48" s="1"/>
  <c r="AD52" i="48" s="1"/>
  <c r="T54" i="48"/>
  <c r="AH54" i="48" s="1"/>
  <c r="T55" i="48"/>
  <c r="AH55" i="48" s="1"/>
  <c r="T56" i="48"/>
  <c r="X56" i="48" s="1"/>
  <c r="AA56" i="48" s="1"/>
  <c r="AB56" i="48" s="1"/>
  <c r="AD56" i="48" s="1"/>
  <c r="T58" i="48"/>
  <c r="AH58" i="48" s="1"/>
  <c r="T59" i="48"/>
  <c r="AH59" i="48" s="1"/>
  <c r="T60" i="48"/>
  <c r="T62" i="48"/>
  <c r="AH62" i="48" s="1"/>
  <c r="T63" i="48"/>
  <c r="AH63" i="48" s="1"/>
  <c r="T64" i="48"/>
  <c r="T65" i="48"/>
  <c r="T66" i="48"/>
  <c r="X66" i="48" s="1"/>
  <c r="T67" i="48"/>
  <c r="AH67" i="48" s="1"/>
  <c r="T68" i="48"/>
  <c r="T69" i="48"/>
  <c r="T70" i="48"/>
  <c r="X70" i="48" s="1"/>
  <c r="T71" i="48"/>
  <c r="AH71" i="48" s="1"/>
  <c r="T73" i="48"/>
  <c r="T74" i="48"/>
  <c r="AH74" i="48" s="1"/>
  <c r="T76" i="48"/>
  <c r="AH76" i="48" s="1"/>
  <c r="T77" i="48"/>
  <c r="AH77" i="48" s="1"/>
  <c r="T78" i="48"/>
  <c r="AH78" i="48" s="1"/>
  <c r="T79" i="48"/>
  <c r="AH79" i="48" s="1"/>
  <c r="T80" i="48"/>
  <c r="AH80" i="48" s="1"/>
  <c r="T81" i="48"/>
  <c r="AH81" i="48" s="1"/>
  <c r="T82" i="48"/>
  <c r="AH82" i="48" s="1"/>
  <c r="T83" i="48"/>
  <c r="X83" i="48" s="1"/>
  <c r="AA83" i="48" s="1"/>
  <c r="AB83" i="48" s="1"/>
  <c r="AD83" i="48" s="1"/>
  <c r="T84" i="48"/>
  <c r="AH84" i="48" s="1"/>
  <c r="T85" i="48"/>
  <c r="AH85" i="48" s="1"/>
  <c r="T87" i="48"/>
  <c r="X87" i="48" s="1"/>
  <c r="T88" i="48"/>
  <c r="T89" i="48"/>
  <c r="AH89" i="48" s="1"/>
  <c r="T90" i="48"/>
  <c r="AH90" i="48" s="1"/>
  <c r="T91" i="48"/>
  <c r="AH91" i="48" s="1"/>
  <c r="T92" i="48"/>
  <c r="T94" i="48"/>
  <c r="AH94" i="48" s="1"/>
  <c r="T95" i="48"/>
  <c r="AH95" i="48" s="1"/>
  <c r="T97" i="48"/>
  <c r="T98" i="48"/>
  <c r="AH98" i="48" s="1"/>
  <c r="T99" i="48"/>
  <c r="X99" i="48" s="1"/>
  <c r="AD99" i="48" s="1"/>
  <c r="T100" i="48"/>
  <c r="AH100" i="48" s="1"/>
  <c r="T102" i="48"/>
  <c r="AH102" i="48" s="1"/>
  <c r="T103" i="48"/>
  <c r="AH103" i="48" s="1"/>
  <c r="T104" i="48"/>
  <c r="AH104" i="48" s="1"/>
  <c r="T105" i="48"/>
  <c r="AH105" i="48" s="1"/>
  <c r="T106" i="48"/>
  <c r="AH106" i="48" s="1"/>
  <c r="T107" i="48"/>
  <c r="AH107" i="48" s="1"/>
  <c r="T109" i="48"/>
  <c r="AH109" i="48" s="1"/>
  <c r="T110" i="48"/>
  <c r="AH110" i="48" s="1"/>
  <c r="T111" i="48"/>
  <c r="X111" i="48" s="1"/>
  <c r="T112" i="48"/>
  <c r="T113" i="48"/>
  <c r="AH113" i="48" s="1"/>
  <c r="T114" i="48"/>
  <c r="X114" i="48" s="1"/>
  <c r="T115" i="48"/>
  <c r="AH115" i="48" s="1"/>
  <c r="T116" i="48"/>
  <c r="T117" i="48"/>
  <c r="AH117" i="48" s="1"/>
  <c r="T118" i="48"/>
  <c r="X118" i="48" s="1"/>
  <c r="T119" i="48"/>
  <c r="X119" i="48" s="1"/>
  <c r="T121" i="48"/>
  <c r="T122" i="48"/>
  <c r="AH122" i="48" s="1"/>
  <c r="T124" i="48"/>
  <c r="AH124" i="48" s="1"/>
  <c r="T125" i="48"/>
  <c r="T126" i="48"/>
  <c r="AH126" i="48" s="1"/>
  <c r="T127" i="48"/>
  <c r="AH127" i="48" s="1"/>
  <c r="T128" i="48"/>
  <c r="AH128" i="48" s="1"/>
  <c r="T130" i="48"/>
  <c r="AH130" i="48" s="1"/>
  <c r="T131" i="48"/>
  <c r="AH131" i="48" s="1"/>
  <c r="T132" i="48"/>
  <c r="AH132" i="48" s="1"/>
  <c r="T134" i="48"/>
  <c r="AH134" i="48" s="1"/>
  <c r="T135" i="48"/>
  <c r="X135" i="48" s="1"/>
  <c r="AD135" i="48" s="1"/>
  <c r="T136" i="48"/>
  <c r="T137" i="48"/>
  <c r="AH137" i="48" s="1"/>
  <c r="T138" i="48"/>
  <c r="AH138" i="48" s="1"/>
  <c r="T139" i="48"/>
  <c r="X139" i="48" s="1"/>
  <c r="AA139" i="48" s="1"/>
  <c r="AB139" i="48" s="1"/>
  <c r="AD139" i="48" s="1"/>
  <c r="T140" i="48"/>
  <c r="T141" i="48"/>
  <c r="AH141" i="48" s="1"/>
  <c r="T142" i="48"/>
  <c r="X142" i="48" s="1"/>
  <c r="T144" i="48"/>
  <c r="T145" i="48"/>
  <c r="T146" i="48"/>
  <c r="X146" i="48" s="1"/>
  <c r="T148" i="48"/>
  <c r="AH148" i="48" s="1"/>
  <c r="T149" i="48"/>
  <c r="T151" i="48"/>
  <c r="X151" i="48" s="1"/>
  <c r="T152" i="48"/>
  <c r="AH152" i="48" s="1"/>
  <c r="T154" i="48"/>
  <c r="AH154" i="48" s="1"/>
  <c r="T155" i="48"/>
  <c r="X155" i="48" s="1"/>
  <c r="T158" i="48"/>
  <c r="AH158" i="48" s="1"/>
  <c r="T159" i="48"/>
  <c r="AH159" i="48" s="1"/>
  <c r="T160" i="48"/>
  <c r="X160" i="48" s="1"/>
  <c r="T161" i="48"/>
  <c r="X161" i="48" s="1"/>
  <c r="AD161" i="48" s="1"/>
  <c r="T162" i="48"/>
  <c r="AH162" i="48" s="1"/>
  <c r="T163" i="48"/>
  <c r="AH163" i="48" s="1"/>
  <c r="T165" i="48"/>
  <c r="X165" i="48" s="1"/>
  <c r="T166" i="48"/>
  <c r="AH166" i="48" s="1"/>
  <c r="T167" i="48"/>
  <c r="AH167" i="48" s="1"/>
  <c r="T168" i="48"/>
  <c r="X168" i="48" s="1"/>
  <c r="AA168" i="48" s="1"/>
  <c r="AB168" i="48" s="1"/>
  <c r="AD168" i="48" s="1"/>
  <c r="BZ24" i="16" l="1"/>
  <c r="BZ25" i="16" s="1"/>
  <c r="BZ26" i="16" s="1"/>
  <c r="BZ27" i="16" s="1"/>
  <c r="BZ28" i="16" s="1"/>
  <c r="BZ29" i="16" s="1"/>
  <c r="BZ30" i="16" s="1"/>
  <c r="BZ31" i="16" s="1"/>
  <c r="BZ32" i="16" s="1"/>
  <c r="BZ33" i="16" s="1"/>
  <c r="BZ34" i="16" s="1"/>
  <c r="BZ35" i="16" s="1"/>
  <c r="BZ36" i="16" s="1"/>
  <c r="BZ37" i="16" s="1"/>
  <c r="BZ38" i="16" s="1"/>
  <c r="BZ39" i="16" s="1"/>
  <c r="BZ40" i="16" s="1"/>
  <c r="BZ41" i="16" s="1"/>
  <c r="BZ42" i="16" s="1"/>
  <c r="BZ43" i="16" s="1"/>
  <c r="BZ44" i="16" s="1"/>
  <c r="BZ45" i="16" s="1"/>
  <c r="BZ46" i="16" s="1"/>
  <c r="BZ47" i="16" s="1"/>
  <c r="BZ48" i="16" s="1"/>
  <c r="BZ49" i="16" s="1"/>
  <c r="BZ50" i="16" s="1"/>
  <c r="BZ51" i="16" s="1"/>
  <c r="BZ52" i="16" s="1"/>
  <c r="BZ53" i="16" s="1"/>
  <c r="BZ54" i="16" s="1"/>
  <c r="BZ55" i="16" s="1"/>
  <c r="X34" i="48"/>
  <c r="AD34" i="48" s="1"/>
  <c r="AH99" i="48"/>
  <c r="AH8" i="48"/>
  <c r="AH70" i="48"/>
  <c r="X51" i="48"/>
  <c r="AD51" i="48" s="1"/>
  <c r="AH24" i="48"/>
  <c r="X134" i="48"/>
  <c r="AD134" i="48" s="1"/>
  <c r="X95" i="48"/>
  <c r="AH165" i="48"/>
  <c r="AH52" i="48"/>
  <c r="X166" i="48"/>
  <c r="X127" i="48"/>
  <c r="AA127" i="48" s="1"/>
  <c r="AB127" i="48" s="1"/>
  <c r="AD127" i="48" s="1"/>
  <c r="X110" i="48"/>
  <c r="X94" i="48"/>
  <c r="X62" i="48"/>
  <c r="X47" i="48"/>
  <c r="AD47" i="48" s="1"/>
  <c r="X39" i="48"/>
  <c r="AD39" i="48" s="1"/>
  <c r="AH160" i="48"/>
  <c r="AH142" i="48"/>
  <c r="AH114" i="48"/>
  <c r="AH66" i="48"/>
  <c r="AH29" i="48"/>
  <c r="AH21" i="48"/>
  <c r="AH13" i="48"/>
  <c r="X154" i="48"/>
  <c r="X71" i="48"/>
  <c r="X163" i="48"/>
  <c r="AA163" i="48" s="1"/>
  <c r="X122" i="48"/>
  <c r="X102" i="48"/>
  <c r="AD102" i="48" s="1"/>
  <c r="X90" i="48"/>
  <c r="X67" i="48"/>
  <c r="X58" i="48"/>
  <c r="AD58" i="48" s="1"/>
  <c r="X46" i="48"/>
  <c r="AD46" i="48" s="1"/>
  <c r="X38" i="48"/>
  <c r="AD38" i="48" s="1"/>
  <c r="AH155" i="48"/>
  <c r="AH139" i="48"/>
  <c r="AH111" i="48"/>
  <c r="AH28" i="48"/>
  <c r="AH20" i="48"/>
  <c r="AH12" i="48"/>
  <c r="X63" i="48"/>
  <c r="AH118" i="48"/>
  <c r="X159" i="48"/>
  <c r="X138" i="48"/>
  <c r="AD138" i="48" s="1"/>
  <c r="X78" i="48"/>
  <c r="AD78" i="48" s="1"/>
  <c r="X54" i="48"/>
  <c r="AD54" i="48" s="1"/>
  <c r="X43" i="48"/>
  <c r="AD43" i="48" s="1"/>
  <c r="X35" i="48"/>
  <c r="AD35" i="48" s="1"/>
  <c r="AH168" i="48"/>
  <c r="AH119" i="48"/>
  <c r="AH56" i="48"/>
  <c r="AH25" i="48"/>
  <c r="AH17" i="48"/>
  <c r="AH9" i="48"/>
  <c r="AH145" i="48"/>
  <c r="X145" i="48"/>
  <c r="AH136" i="48"/>
  <c r="X136" i="48"/>
  <c r="AD136" i="48" s="1"/>
  <c r="AH116" i="48"/>
  <c r="X116" i="48"/>
  <c r="AH92" i="48"/>
  <c r="X92" i="48"/>
  <c r="X65" i="48"/>
  <c r="AH65" i="48"/>
  <c r="X27" i="48"/>
  <c r="AH27" i="48"/>
  <c r="X19" i="48"/>
  <c r="AH19" i="48"/>
  <c r="X11" i="48"/>
  <c r="AH11" i="48"/>
  <c r="AH49" i="48"/>
  <c r="AH149" i="48"/>
  <c r="X149" i="48"/>
  <c r="AH125" i="48"/>
  <c r="X125" i="48"/>
  <c r="AD125" i="48" s="1"/>
  <c r="AH97" i="48"/>
  <c r="X97" i="48"/>
  <c r="AD97" i="48" s="1"/>
  <c r="X68" i="48"/>
  <c r="AH68" i="48"/>
  <c r="X48" i="48"/>
  <c r="AD48" i="48" s="1"/>
  <c r="AH48" i="48"/>
  <c r="X40" i="48"/>
  <c r="AD40" i="48" s="1"/>
  <c r="AH40" i="48"/>
  <c r="X22" i="48"/>
  <c r="AH22" i="48"/>
  <c r="X14" i="48"/>
  <c r="AH14" i="48"/>
  <c r="AB163" i="48"/>
  <c r="AA164" i="48"/>
  <c r="X131" i="48"/>
  <c r="AD131" i="48" s="1"/>
  <c r="X115" i="48"/>
  <c r="X107" i="48"/>
  <c r="AD107" i="48" s="1"/>
  <c r="X91" i="48"/>
  <c r="AH87" i="48"/>
  <c r="AH45" i="48"/>
  <c r="X162" i="48"/>
  <c r="AD162" i="48" s="1"/>
  <c r="AA146" i="48"/>
  <c r="X130" i="48"/>
  <c r="AD130" i="48" s="1"/>
  <c r="X106" i="48"/>
  <c r="AD106" i="48" s="1"/>
  <c r="X98" i="48"/>
  <c r="AD98" i="48" s="1"/>
  <c r="X82" i="48"/>
  <c r="AA82" i="48" s="1"/>
  <c r="AB82" i="48" s="1"/>
  <c r="AD82" i="48" s="1"/>
  <c r="X74" i="48"/>
  <c r="AH161" i="48"/>
  <c r="AH151" i="48"/>
  <c r="AH135" i="48"/>
  <c r="AH83" i="48"/>
  <c r="AH41" i="48"/>
  <c r="AH140" i="48"/>
  <c r="X140" i="48"/>
  <c r="AH121" i="48"/>
  <c r="X121" i="48"/>
  <c r="AH112" i="48"/>
  <c r="X112" i="48"/>
  <c r="AH88" i="48"/>
  <c r="X88" i="48"/>
  <c r="AH69" i="48"/>
  <c r="X69" i="48"/>
  <c r="X60" i="48"/>
  <c r="AD60" i="48" s="1"/>
  <c r="AH60" i="48"/>
  <c r="AB49" i="48"/>
  <c r="AD49" i="48" s="1"/>
  <c r="X32" i="48"/>
  <c r="AH32" i="48"/>
  <c r="X23" i="48"/>
  <c r="AH23" i="48"/>
  <c r="X15" i="48"/>
  <c r="AH15" i="48"/>
  <c r="X7" i="48"/>
  <c r="AH7" i="48"/>
  <c r="X158" i="48"/>
  <c r="X126" i="48"/>
  <c r="AH144" i="48"/>
  <c r="X144" i="48"/>
  <c r="AH73" i="48"/>
  <c r="X73" i="48"/>
  <c r="X64" i="48"/>
  <c r="AH64" i="48"/>
  <c r="X44" i="48"/>
  <c r="AD44" i="48" s="1"/>
  <c r="AH44" i="48"/>
  <c r="X36" i="48"/>
  <c r="AD36" i="48" s="1"/>
  <c r="AH36" i="48"/>
  <c r="X26" i="48"/>
  <c r="AH26" i="48"/>
  <c r="X18" i="48"/>
  <c r="AH18" i="48"/>
  <c r="X10" i="48"/>
  <c r="AH10" i="48"/>
  <c r="X59" i="48"/>
  <c r="AD59" i="48" s="1"/>
  <c r="X167" i="48"/>
  <c r="X103" i="48"/>
  <c r="AD103" i="48" s="1"/>
  <c r="X79" i="48"/>
  <c r="AD79" i="48" s="1"/>
  <c r="X55" i="48"/>
  <c r="AD55" i="48" s="1"/>
  <c r="X31" i="48"/>
  <c r="AH37" i="48"/>
  <c r="X141" i="48"/>
  <c r="X137" i="48"/>
  <c r="AD137" i="48" s="1"/>
  <c r="X117" i="48"/>
  <c r="X113" i="48"/>
  <c r="X109" i="48"/>
  <c r="X105" i="48"/>
  <c r="AD105" i="48" s="1"/>
  <c r="X89" i="48"/>
  <c r="X85" i="48"/>
  <c r="AD85" i="48" s="1"/>
  <c r="X81" i="48"/>
  <c r="X77" i="48"/>
  <c r="AD77" i="48" s="1"/>
  <c r="X152" i="48"/>
  <c r="X148" i="48"/>
  <c r="X132" i="48"/>
  <c r="AD132" i="48" s="1"/>
  <c r="X128" i="48"/>
  <c r="AA128" i="48" s="1"/>
  <c r="AB128" i="48" s="1"/>
  <c r="AD128" i="48" s="1"/>
  <c r="X124" i="48"/>
  <c r="AD124" i="48" s="1"/>
  <c r="X104" i="48"/>
  <c r="AD104" i="48" s="1"/>
  <c r="X100" i="48"/>
  <c r="AD100" i="48" s="1"/>
  <c r="X84" i="48"/>
  <c r="AA84" i="48" s="1"/>
  <c r="AB84" i="48" s="1"/>
  <c r="AD84" i="48" s="1"/>
  <c r="X80" i="48"/>
  <c r="AD80" i="48" s="1"/>
  <c r="X76" i="48"/>
  <c r="AD76" i="48" s="1"/>
  <c r="V172" i="48"/>
  <c r="BZ56" i="16" l="1"/>
  <c r="CD56" i="16"/>
  <c r="BV24" i="16"/>
  <c r="CE22" i="16"/>
  <c r="AA147" i="48"/>
  <c r="AB146" i="48"/>
  <c r="AA81" i="48"/>
  <c r="AB81" i="48" s="1"/>
  <c r="AD81" i="48" s="1"/>
  <c r="AA126" i="48"/>
  <c r="AB126" i="48" s="1"/>
  <c r="AD126" i="48" s="1"/>
  <c r="AD163" i="48"/>
  <c r="AD164" i="48" s="1"/>
  <c r="AB164" i="48"/>
  <c r="CD57" i="16" l="1"/>
  <c r="BZ57" i="16"/>
  <c r="AB147" i="48"/>
  <c r="AD146" i="48"/>
  <c r="AD147" i="48" s="1"/>
  <c r="L168" i="48"/>
  <c r="O168" i="48" s="1"/>
  <c r="J164" i="48"/>
  <c r="L163" i="48"/>
  <c r="O163" i="48" s="1"/>
  <c r="H163" i="48"/>
  <c r="H162" i="48"/>
  <c r="L162" i="48" s="1"/>
  <c r="O162" i="48" s="1"/>
  <c r="H161" i="48"/>
  <c r="L161" i="48" s="1"/>
  <c r="O161" i="48" s="1"/>
  <c r="K152" i="48"/>
  <c r="N152" i="48" s="1"/>
  <c r="K151" i="48"/>
  <c r="N151" i="48" s="1"/>
  <c r="J150" i="48"/>
  <c r="J153" i="48" s="1"/>
  <c r="H150" i="48"/>
  <c r="J147" i="48"/>
  <c r="H146" i="48"/>
  <c r="L146" i="48" s="1"/>
  <c r="K141" i="48"/>
  <c r="N141" i="48" s="1"/>
  <c r="K140" i="48"/>
  <c r="N140" i="48" s="1"/>
  <c r="L139" i="48"/>
  <c r="O139" i="48" s="1"/>
  <c r="K138" i="48"/>
  <c r="N138" i="48" s="1"/>
  <c r="K137" i="48"/>
  <c r="N137" i="48" s="1"/>
  <c r="K136" i="48"/>
  <c r="N136" i="48" s="1"/>
  <c r="K135" i="48"/>
  <c r="N135" i="48" s="1"/>
  <c r="K134" i="48"/>
  <c r="J133" i="48"/>
  <c r="H133" i="48"/>
  <c r="Z133" i="48" s="1"/>
  <c r="K132" i="48"/>
  <c r="K130" i="48"/>
  <c r="N130" i="48" s="1"/>
  <c r="J129" i="48"/>
  <c r="L128" i="48"/>
  <c r="O128" i="48" s="1"/>
  <c r="L127" i="48"/>
  <c r="O127" i="48" s="1"/>
  <c r="L126" i="48"/>
  <c r="O126" i="48" s="1"/>
  <c r="K125" i="48"/>
  <c r="N125" i="48" s="1"/>
  <c r="K124" i="48"/>
  <c r="N124" i="48" s="1"/>
  <c r="J123" i="48"/>
  <c r="H123" i="48"/>
  <c r="Z123" i="48" s="1"/>
  <c r="K118" i="48"/>
  <c r="N118" i="48" s="1"/>
  <c r="K117" i="48"/>
  <c r="N117" i="48" s="1"/>
  <c r="K116" i="48"/>
  <c r="N116" i="48" s="1"/>
  <c r="K115" i="48"/>
  <c r="N115" i="48" s="1"/>
  <c r="K114" i="48"/>
  <c r="N114" i="48" s="1"/>
  <c r="K113" i="48"/>
  <c r="N113" i="48" s="1"/>
  <c r="K112" i="48"/>
  <c r="N112" i="48" s="1"/>
  <c r="K111" i="48"/>
  <c r="N111" i="48" s="1"/>
  <c r="K110" i="48"/>
  <c r="N110" i="48" s="1"/>
  <c r="K109" i="48"/>
  <c r="N109" i="48" s="1"/>
  <c r="J108" i="48"/>
  <c r="H108" i="48"/>
  <c r="Z108" i="48" s="1"/>
  <c r="K107" i="48"/>
  <c r="N107" i="48" s="1"/>
  <c r="K106" i="48"/>
  <c r="N106" i="48" s="1"/>
  <c r="K105" i="48"/>
  <c r="N105" i="48" s="1"/>
  <c r="K104" i="48"/>
  <c r="N104" i="48" s="1"/>
  <c r="K103" i="48"/>
  <c r="N103" i="48" s="1"/>
  <c r="K102" i="48"/>
  <c r="N102" i="48" s="1"/>
  <c r="J101" i="48"/>
  <c r="H101" i="48"/>
  <c r="Z101" i="48" s="1"/>
  <c r="K100" i="48"/>
  <c r="N100" i="48" s="1"/>
  <c r="K99" i="48"/>
  <c r="N99" i="48" s="1"/>
  <c r="K98" i="48"/>
  <c r="N98" i="48" s="1"/>
  <c r="K97" i="48"/>
  <c r="N97" i="48" s="1"/>
  <c r="J96" i="48"/>
  <c r="H96" i="48"/>
  <c r="Z96" i="48" s="1"/>
  <c r="K91" i="48"/>
  <c r="N91" i="48" s="1"/>
  <c r="K90" i="48"/>
  <c r="N90" i="48" s="1"/>
  <c r="K89" i="48"/>
  <c r="N89" i="48" s="1"/>
  <c r="K88" i="48"/>
  <c r="N88" i="48" s="1"/>
  <c r="K87" i="48"/>
  <c r="N87" i="48" s="1"/>
  <c r="J86" i="48"/>
  <c r="H86" i="48"/>
  <c r="Z86" i="48" s="1"/>
  <c r="L85" i="48"/>
  <c r="O85" i="48" s="1"/>
  <c r="L84" i="48"/>
  <c r="O84" i="48" s="1"/>
  <c r="L83" i="48"/>
  <c r="M83" i="48" s="1"/>
  <c r="L82" i="48"/>
  <c r="O82" i="48" s="1"/>
  <c r="L81" i="48"/>
  <c r="O81" i="48" s="1"/>
  <c r="K80" i="48"/>
  <c r="N80" i="48" s="1"/>
  <c r="K79" i="48"/>
  <c r="N79" i="48" s="1"/>
  <c r="K78" i="48"/>
  <c r="N78" i="48" s="1"/>
  <c r="K77" i="48"/>
  <c r="N77" i="48" s="1"/>
  <c r="K76" i="48"/>
  <c r="N76" i="48" s="1"/>
  <c r="J75" i="48"/>
  <c r="J93" i="48" s="1"/>
  <c r="H75" i="48"/>
  <c r="K70" i="48"/>
  <c r="N70" i="48" s="1"/>
  <c r="K69" i="48"/>
  <c r="N69" i="48" s="1"/>
  <c r="K68" i="48"/>
  <c r="N68" i="48" s="1"/>
  <c r="K67" i="48"/>
  <c r="N67" i="48" s="1"/>
  <c r="K66" i="48"/>
  <c r="N66" i="48" s="1"/>
  <c r="K65" i="48"/>
  <c r="N65" i="48" s="1"/>
  <c r="K64" i="48"/>
  <c r="N64" i="48" s="1"/>
  <c r="K63" i="48"/>
  <c r="N63" i="48" s="1"/>
  <c r="K62" i="48"/>
  <c r="N62" i="48" s="1"/>
  <c r="J61" i="48"/>
  <c r="H61" i="48"/>
  <c r="Z61" i="48" s="1"/>
  <c r="K60" i="48"/>
  <c r="N60" i="48" s="1"/>
  <c r="K59" i="48"/>
  <c r="N59" i="48" s="1"/>
  <c r="K58" i="48"/>
  <c r="N58" i="48" s="1"/>
  <c r="J57" i="48"/>
  <c r="H57" i="48"/>
  <c r="Z57" i="48" s="1"/>
  <c r="J56" i="48"/>
  <c r="H56" i="48"/>
  <c r="K55" i="48"/>
  <c r="N55" i="48" s="1"/>
  <c r="G54" i="48"/>
  <c r="K54" i="48" s="1"/>
  <c r="J53" i="48"/>
  <c r="K52" i="48"/>
  <c r="N52" i="48" s="1"/>
  <c r="I51" i="48"/>
  <c r="J50" i="48" s="1"/>
  <c r="G51" i="48"/>
  <c r="L49" i="48"/>
  <c r="O49" i="48" s="1"/>
  <c r="K48" i="48"/>
  <c r="N48" i="48" s="1"/>
  <c r="K47" i="48"/>
  <c r="N47" i="48" s="1"/>
  <c r="K46" i="48"/>
  <c r="N46" i="48" s="1"/>
  <c r="K45" i="48"/>
  <c r="N45" i="48" s="1"/>
  <c r="K44" i="48"/>
  <c r="N44" i="48" s="1"/>
  <c r="K43" i="48"/>
  <c r="N43" i="48" s="1"/>
  <c r="K42" i="48"/>
  <c r="N42" i="48" s="1"/>
  <c r="K41" i="48"/>
  <c r="N41" i="48" s="1"/>
  <c r="K40" i="48"/>
  <c r="N40" i="48" s="1"/>
  <c r="K39" i="48"/>
  <c r="N39" i="48" s="1"/>
  <c r="K38" i="48"/>
  <c r="N38" i="48" s="1"/>
  <c r="K37" i="48"/>
  <c r="N37" i="48" s="1"/>
  <c r="K36" i="48"/>
  <c r="N36" i="48" s="1"/>
  <c r="K35" i="48"/>
  <c r="N35" i="48" s="1"/>
  <c r="K34" i="48"/>
  <c r="N34" i="48" s="1"/>
  <c r="J33" i="48"/>
  <c r="H33" i="48"/>
  <c r="Z33" i="48" s="1"/>
  <c r="AB33" i="48" s="1"/>
  <c r="K29" i="48"/>
  <c r="N29" i="48" s="1"/>
  <c r="K28" i="48"/>
  <c r="N28" i="48" s="1"/>
  <c r="K27" i="48"/>
  <c r="N27" i="48" s="1"/>
  <c r="K26" i="48"/>
  <c r="N26" i="48" s="1"/>
  <c r="K25" i="48"/>
  <c r="N25" i="48" s="1"/>
  <c r="K24" i="48"/>
  <c r="N24" i="48" s="1"/>
  <c r="K23" i="48"/>
  <c r="N23" i="48" s="1"/>
  <c r="K22" i="48"/>
  <c r="N22" i="48" s="1"/>
  <c r="K21" i="48"/>
  <c r="N21" i="48" s="1"/>
  <c r="K20" i="48"/>
  <c r="N20" i="48" s="1"/>
  <c r="K19" i="48"/>
  <c r="N19" i="48" s="1"/>
  <c r="K18" i="48"/>
  <c r="N18" i="48" s="1"/>
  <c r="K17" i="48"/>
  <c r="N17" i="48" s="1"/>
  <c r="K16" i="48"/>
  <c r="N16" i="48" s="1"/>
  <c r="K15" i="48"/>
  <c r="N15" i="48" s="1"/>
  <c r="K14" i="48"/>
  <c r="N14" i="48" s="1"/>
  <c r="K13" i="48"/>
  <c r="N13" i="48" s="1"/>
  <c r="K12" i="48"/>
  <c r="N12" i="48" s="1"/>
  <c r="K11" i="48"/>
  <c r="N11" i="48" s="1"/>
  <c r="K10" i="48"/>
  <c r="N10" i="48" s="1"/>
  <c r="K9" i="48"/>
  <c r="N9" i="48" s="1"/>
  <c r="K8" i="48"/>
  <c r="N8" i="48" s="1"/>
  <c r="K7" i="48"/>
  <c r="N7" i="48" s="1"/>
  <c r="J6" i="48"/>
  <c r="J30" i="48" s="1"/>
  <c r="H6" i="48"/>
  <c r="R30" i="48"/>
  <c r="CD58" i="16" l="1"/>
  <c r="BZ58" i="16"/>
  <c r="J143" i="48"/>
  <c r="H153" i="48"/>
  <c r="Z153" i="48" s="1"/>
  <c r="Z150" i="48"/>
  <c r="H30" i="48"/>
  <c r="Z30" i="48" s="1"/>
  <c r="Z6" i="48"/>
  <c r="H93" i="48"/>
  <c r="Z93" i="48" s="1"/>
  <c r="Z75" i="48"/>
  <c r="K51" i="48"/>
  <c r="L50" i="48" s="1"/>
  <c r="J120" i="48"/>
  <c r="H53" i="48"/>
  <c r="Z53" i="48" s="1"/>
  <c r="L56" i="48"/>
  <c r="O56" i="48" s="1"/>
  <c r="L57" i="48"/>
  <c r="H120" i="48"/>
  <c r="Z120" i="48" s="1"/>
  <c r="H143" i="48"/>
  <c r="Z143" i="48" s="1"/>
  <c r="J72" i="48"/>
  <c r="L108" i="48"/>
  <c r="L33" i="48"/>
  <c r="O108" i="48"/>
  <c r="L101" i="48"/>
  <c r="L6" i="48"/>
  <c r="L30" i="48" s="1"/>
  <c r="L61" i="48"/>
  <c r="L75" i="48"/>
  <c r="L129" i="48"/>
  <c r="O164" i="48"/>
  <c r="O123" i="48"/>
  <c r="L133" i="48"/>
  <c r="H50" i="48"/>
  <c r="M128" i="48"/>
  <c r="H164" i="48"/>
  <c r="Z164" i="48" s="1"/>
  <c r="O6" i="48"/>
  <c r="O30" i="48" s="1"/>
  <c r="O33" i="48"/>
  <c r="O61" i="48"/>
  <c r="O75" i="48"/>
  <c r="O86" i="48"/>
  <c r="N51" i="48"/>
  <c r="O50" i="48" s="1"/>
  <c r="O57" i="48"/>
  <c r="O146" i="48"/>
  <c r="O147" i="48" s="1"/>
  <c r="L147" i="48"/>
  <c r="M146" i="48"/>
  <c r="O150" i="48"/>
  <c r="O153" i="48" s="1"/>
  <c r="N54" i="48"/>
  <c r="O53" i="48" s="1"/>
  <c r="L53" i="48"/>
  <c r="O96" i="48"/>
  <c r="O101" i="48"/>
  <c r="M82" i="48"/>
  <c r="O83" i="48"/>
  <c r="M127" i="48"/>
  <c r="N132" i="48"/>
  <c r="O129" i="48" s="1"/>
  <c r="H147" i="48"/>
  <c r="Z147" i="48" s="1"/>
  <c r="M81" i="48"/>
  <c r="M85" i="48"/>
  <c r="L86" i="48"/>
  <c r="L96" i="48"/>
  <c r="L123" i="48"/>
  <c r="M126" i="48"/>
  <c r="M139" i="48"/>
  <c r="M49" i="48"/>
  <c r="M84" i="48"/>
  <c r="L150" i="48"/>
  <c r="M161" i="48"/>
  <c r="M162" i="48"/>
  <c r="M163" i="48"/>
  <c r="L164" i="48"/>
  <c r="M168" i="48"/>
  <c r="CD59" i="16" l="1"/>
  <c r="BZ59" i="16"/>
  <c r="H72" i="48"/>
  <c r="Z72" i="48" s="1"/>
  <c r="Z50" i="48"/>
  <c r="J156" i="48"/>
  <c r="J157" i="48" s="1"/>
  <c r="O120" i="48"/>
  <c r="M56" i="48"/>
  <c r="H156" i="48"/>
  <c r="L153" i="48"/>
  <c r="L93" i="48"/>
  <c r="L72" i="48"/>
  <c r="O93" i="48"/>
  <c r="L143" i="48"/>
  <c r="L120" i="48"/>
  <c r="O72" i="48"/>
  <c r="CD60" i="16" l="1"/>
  <c r="BZ60" i="16"/>
  <c r="H157" i="48"/>
  <c r="Z157" i="48" s="1"/>
  <c r="Z156" i="48"/>
  <c r="Z172" i="48" s="1"/>
  <c r="L156" i="48"/>
  <c r="BZ61" i="16" l="1"/>
  <c r="CD61" i="16"/>
  <c r="L157" i="48"/>
  <c r="BZ62" i="16" l="1"/>
  <c r="CD62" i="16"/>
  <c r="CD63" i="16" l="1"/>
  <c r="BZ63" i="16"/>
  <c r="CD64" i="16" l="1"/>
  <c r="BZ64" i="16"/>
  <c r="BZ65" i="16" l="1"/>
  <c r="CD65" i="16"/>
  <c r="BZ66" i="16" l="1"/>
  <c r="CD66" i="16"/>
  <c r="CD67" i="16" l="1"/>
  <c r="BZ67" i="16"/>
  <c r="CD68" i="16" l="1"/>
  <c r="BZ68" i="16"/>
  <c r="BZ69" i="16" l="1"/>
  <c r="CD69" i="16"/>
  <c r="BZ70" i="16" l="1"/>
  <c r="CD70" i="16"/>
  <c r="BZ71" i="16" l="1"/>
  <c r="CD71" i="16"/>
  <c r="BZ72" i="16" l="1"/>
  <c r="CD72" i="16"/>
  <c r="CD73" i="16" l="1"/>
  <c r="BZ73" i="16"/>
  <c r="E165" i="29"/>
  <c r="CD74" i="16" l="1"/>
  <c r="BZ74" i="16"/>
  <c r="E163" i="29"/>
  <c r="E167" i="29" l="1"/>
  <c r="E149" i="29"/>
  <c r="BZ75" i="16"/>
  <c r="CD75" i="16"/>
  <c r="E164" i="29"/>
  <c r="BZ76" i="16" l="1"/>
  <c r="CD76" i="16"/>
  <c r="E168" i="29"/>
  <c r="Q184" i="5"/>
  <c r="P184" i="5"/>
  <c r="O184" i="5"/>
  <c r="CD77" i="16" l="1"/>
  <c r="BZ77" i="16"/>
  <c r="AB41" i="6"/>
  <c r="CD78" i="16" l="1"/>
  <c r="CF70" i="16" l="1"/>
  <c r="BV78" i="16"/>
  <c r="BZ78" i="16"/>
  <c r="T139" i="54"/>
  <c r="S139" i="54"/>
  <c r="CD79" i="16" l="1"/>
  <c r="BZ79" i="16"/>
  <c r="BZ80" i="16" l="1"/>
  <c r="CD80" i="16"/>
  <c r="L273" i="5"/>
  <c r="BZ81" i="16" l="1"/>
  <c r="CD81" i="16"/>
  <c r="E197" i="29"/>
  <c r="E205" i="29" l="1"/>
  <c r="E229" i="29"/>
  <c r="E230" i="29"/>
  <c r="CD82" i="16"/>
  <c r="BZ82" i="16"/>
  <c r="E153" i="29"/>
  <c r="E130" i="29"/>
  <c r="BZ83" i="16" l="1"/>
  <c r="CD83" i="16"/>
  <c r="E219" i="29"/>
  <c r="E198" i="29"/>
  <c r="E101" i="29"/>
  <c r="E116" i="29"/>
  <c r="E201" i="29" l="1"/>
  <c r="E157" i="29"/>
  <c r="CD84" i="16"/>
  <c r="BZ84" i="16"/>
  <c r="E200" i="29"/>
  <c r="D121" i="29"/>
  <c r="C121" i="29"/>
  <c r="C107" i="29"/>
  <c r="D107" i="29"/>
  <c r="BZ85" i="16" l="1"/>
  <c r="CD85" i="16"/>
  <c r="E89" i="29"/>
  <c r="D86" i="29"/>
  <c r="CD86" i="16" l="1"/>
  <c r="BV86" i="16"/>
  <c r="BZ86" i="16"/>
  <c r="BV85" i="16"/>
  <c r="Q29" i="6"/>
  <c r="CD87" i="16" l="1"/>
  <c r="BZ87" i="16"/>
  <c r="L21" i="9"/>
  <c r="BZ88" i="16" l="1"/>
  <c r="CD88" i="16"/>
  <c r="BV88" i="16"/>
  <c r="BV87" i="16"/>
  <c r="J171" i="5"/>
  <c r="K171" i="5"/>
  <c r="BZ89" i="16" l="1"/>
  <c r="CD89" i="16"/>
  <c r="BV89" i="16"/>
  <c r="N143" i="54"/>
  <c r="O143" i="54" s="1"/>
  <c r="P143" i="54" s="1"/>
  <c r="Q143" i="54" s="1"/>
  <c r="R143" i="54" s="1"/>
  <c r="S143" i="54" s="1"/>
  <c r="CD90" i="16" l="1"/>
  <c r="I127" i="54"/>
  <c r="J127" i="54"/>
  <c r="K127" i="54"/>
  <c r="L127" i="54"/>
  <c r="I79" i="54"/>
  <c r="J79" i="54"/>
  <c r="K79" i="54"/>
  <c r="L79" i="54"/>
  <c r="I150" i="5" l="1"/>
  <c r="H150" i="5"/>
  <c r="G150" i="5"/>
  <c r="L61" i="5" l="1"/>
  <c r="P58" i="5" l="1"/>
  <c r="Q58" i="5"/>
  <c r="R58" i="5"/>
  <c r="S58" i="5"/>
  <c r="T58" i="5"/>
  <c r="U58" i="5"/>
  <c r="V58" i="5"/>
  <c r="L62" i="5" l="1"/>
  <c r="M62" i="5"/>
  <c r="N62" i="5"/>
  <c r="L63" i="5"/>
  <c r="M63" i="5"/>
  <c r="N63" i="5"/>
  <c r="P63" i="5"/>
  <c r="Q63" i="5"/>
  <c r="R63" i="5"/>
  <c r="S63" i="5"/>
  <c r="T63" i="5"/>
  <c r="U63" i="5"/>
  <c r="V63" i="5"/>
  <c r="P56" i="5" l="1"/>
  <c r="Q56" i="5"/>
  <c r="R56" i="5"/>
  <c r="S56" i="5"/>
  <c r="T56" i="5"/>
  <c r="U56" i="5"/>
  <c r="V56" i="5"/>
  <c r="P57" i="5"/>
  <c r="P62" i="5" s="1"/>
  <c r="Q57" i="5"/>
  <c r="Q62" i="5" s="1"/>
  <c r="R57" i="5"/>
  <c r="R62" i="5" s="1"/>
  <c r="S57" i="5"/>
  <c r="S62" i="5" s="1"/>
  <c r="T57" i="5"/>
  <c r="T62" i="5" s="1"/>
  <c r="U57" i="5"/>
  <c r="U62" i="5" s="1"/>
  <c r="V57" i="5"/>
  <c r="V62" i="5" s="1"/>
  <c r="O57" i="5"/>
  <c r="O62" i="5" s="1"/>
  <c r="O58" i="5"/>
  <c r="O63" i="5" s="1"/>
  <c r="O56" i="5"/>
  <c r="M42" i="9" l="1"/>
  <c r="N42" i="9"/>
  <c r="O42" i="9"/>
  <c r="L42" i="9"/>
  <c r="J28" i="9"/>
  <c r="K28" i="9"/>
  <c r="L28" i="9"/>
  <c r="M28" i="9"/>
  <c r="N28" i="9"/>
  <c r="O28" i="9"/>
  <c r="I28" i="9"/>
  <c r="G268" i="5"/>
  <c r="G299" i="5" s="1"/>
  <c r="H268" i="5"/>
  <c r="H299" i="5" s="1"/>
  <c r="I268" i="5"/>
  <c r="I299" i="5" s="1"/>
  <c r="J268" i="5"/>
  <c r="J299" i="5" s="1"/>
  <c r="K268" i="5"/>
  <c r="K299" i="5" s="1"/>
  <c r="L268" i="5"/>
  <c r="L299" i="5" s="1"/>
  <c r="M268" i="5"/>
  <c r="M299" i="5" s="1"/>
  <c r="N268" i="5"/>
  <c r="N299" i="5" s="1"/>
  <c r="P182" i="5" l="1"/>
  <c r="Q182" i="5"/>
  <c r="R182" i="5"/>
  <c r="S182" i="5"/>
  <c r="T182" i="5"/>
  <c r="U182" i="5"/>
  <c r="V182" i="5"/>
  <c r="P183" i="5"/>
  <c r="J74" i="38" s="1"/>
  <c r="Q183" i="5"/>
  <c r="K74" i="38" s="1"/>
  <c r="R183" i="5"/>
  <c r="L74" i="38" s="1"/>
  <c r="S183" i="5"/>
  <c r="M74" i="38" s="1"/>
  <c r="T183" i="5"/>
  <c r="N74" i="38" s="1"/>
  <c r="U183" i="5"/>
  <c r="O74" i="38" s="1"/>
  <c r="V183" i="5"/>
  <c r="P74" i="38" s="1"/>
  <c r="N127" i="54"/>
  <c r="O127" i="54"/>
  <c r="R184" i="5"/>
  <c r="S184" i="5"/>
  <c r="T184" i="5"/>
  <c r="U184" i="5"/>
  <c r="V184" i="5"/>
  <c r="P185" i="5"/>
  <c r="Q185" i="5"/>
  <c r="R185" i="5"/>
  <c r="S185" i="5"/>
  <c r="T185" i="5"/>
  <c r="U185" i="5"/>
  <c r="V185" i="5"/>
  <c r="P186" i="5"/>
  <c r="J75" i="38" s="1"/>
  <c r="Q186" i="5"/>
  <c r="K75" i="38" s="1"/>
  <c r="R186" i="5"/>
  <c r="L75" i="38" s="1"/>
  <c r="S186" i="5"/>
  <c r="M75" i="38" s="1"/>
  <c r="T186" i="5"/>
  <c r="N75" i="38" s="1"/>
  <c r="U186" i="5"/>
  <c r="O75" i="38" s="1"/>
  <c r="V186" i="5"/>
  <c r="P75" i="38" s="1"/>
  <c r="P187" i="5"/>
  <c r="Q187" i="5"/>
  <c r="R187" i="5"/>
  <c r="S187" i="5"/>
  <c r="T187" i="5"/>
  <c r="U187" i="5"/>
  <c r="V187" i="5"/>
  <c r="O186" i="5"/>
  <c r="I75" i="38" s="1"/>
  <c r="O187" i="5"/>
  <c r="O185" i="5"/>
  <c r="M127" i="54"/>
  <c r="O183" i="5"/>
  <c r="I74" i="38" s="1"/>
  <c r="O182" i="5"/>
  <c r="K76" i="38" l="1"/>
  <c r="M79" i="54"/>
  <c r="M87" i="54" s="1"/>
  <c r="I73" i="38"/>
  <c r="R127" i="54"/>
  <c r="N76" i="38"/>
  <c r="P79" i="54"/>
  <c r="L73" i="38"/>
  <c r="J76" i="38"/>
  <c r="Q127" i="54"/>
  <c r="M76" i="38"/>
  <c r="S79" i="54"/>
  <c r="O73" i="38"/>
  <c r="O79" i="54"/>
  <c r="O148" i="54" s="1"/>
  <c r="K73" i="38"/>
  <c r="S127" i="54"/>
  <c r="S148" i="54" s="1"/>
  <c r="O76" i="38"/>
  <c r="Q79" i="54"/>
  <c r="M73" i="38"/>
  <c r="T79" i="54"/>
  <c r="U99" i="54" s="1"/>
  <c r="P73" i="38"/>
  <c r="I76" i="38"/>
  <c r="T127" i="54"/>
  <c r="P76" i="38"/>
  <c r="P127" i="54"/>
  <c r="L76" i="38"/>
  <c r="R79" i="54"/>
  <c r="N73" i="38"/>
  <c r="N79" i="54"/>
  <c r="N148" i="54" s="1"/>
  <c r="J73" i="38"/>
  <c r="M148" i="54"/>
  <c r="O188" i="5"/>
  <c r="Q188" i="5"/>
  <c r="U188" i="5"/>
  <c r="R188" i="5"/>
  <c r="T188" i="5"/>
  <c r="P188" i="5"/>
  <c r="V188" i="5"/>
  <c r="S188" i="5"/>
  <c r="A2" i="8"/>
  <c r="M77" i="38" l="1"/>
  <c r="P148" i="54"/>
  <c r="Q148" i="54"/>
  <c r="N77" i="38"/>
  <c r="T148" i="54"/>
  <c r="K77" i="38"/>
  <c r="Q42" i="9"/>
  <c r="P260" i="5"/>
  <c r="R42" i="9"/>
  <c r="Q260" i="5"/>
  <c r="P42" i="9"/>
  <c r="O260" i="5"/>
  <c r="U42" i="9"/>
  <c r="T260" i="5"/>
  <c r="T42" i="9"/>
  <c r="S260" i="5"/>
  <c r="S42" i="9"/>
  <c r="R260" i="5"/>
  <c r="W42" i="9"/>
  <c r="V260" i="5"/>
  <c r="V42" i="9"/>
  <c r="U260" i="5"/>
  <c r="R148" i="54"/>
  <c r="L77" i="38"/>
  <c r="J77" i="38"/>
  <c r="I77" i="38"/>
  <c r="O77" i="38"/>
  <c r="P77" i="38"/>
  <c r="P28" i="9"/>
  <c r="R28" i="9"/>
  <c r="V28" i="9"/>
  <c r="O268" i="5"/>
  <c r="O299" i="5" s="1"/>
  <c r="P43" i="9" s="1"/>
  <c r="U268" i="5"/>
  <c r="U299" i="5" s="1"/>
  <c r="V43" i="9" s="1"/>
  <c r="Q268" i="5"/>
  <c r="Q299" i="5" s="1"/>
  <c r="R43" i="9" s="1"/>
  <c r="T28" i="9"/>
  <c r="S268" i="5"/>
  <c r="S299" i="5" s="1"/>
  <c r="T43" i="9" s="1"/>
  <c r="S28" i="9"/>
  <c r="R268" i="5"/>
  <c r="R299" i="5" s="1"/>
  <c r="S43" i="9" s="1"/>
  <c r="W28" i="9"/>
  <c r="V268" i="5"/>
  <c r="V299" i="5" s="1"/>
  <c r="W43" i="9" s="1"/>
  <c r="P268" i="5"/>
  <c r="P299" i="5" s="1"/>
  <c r="Q43" i="9" s="1"/>
  <c r="Q28" i="9"/>
  <c r="T268" i="5"/>
  <c r="T299" i="5" s="1"/>
  <c r="U43" i="9" s="1"/>
  <c r="U28" i="9"/>
  <c r="L109" i="38" l="1"/>
  <c r="N109" i="38"/>
  <c r="O109" i="38"/>
  <c r="I109" i="38"/>
  <c r="K109" i="38"/>
  <c r="P109" i="38"/>
  <c r="J109" i="38"/>
  <c r="M109" i="38"/>
  <c r="K196" i="5"/>
  <c r="E80" i="38" s="1"/>
  <c r="J196" i="5"/>
  <c r="D80" i="38" s="1"/>
  <c r="I196" i="5"/>
  <c r="C80" i="38" s="1"/>
  <c r="H196" i="5"/>
  <c r="G196" i="5"/>
  <c r="C196" i="5"/>
  <c r="J144" i="50"/>
  <c r="P206" i="5"/>
  <c r="O206" i="5"/>
  <c r="N206" i="5"/>
  <c r="I144" i="50"/>
  <c r="G5" i="29" l="1"/>
  <c r="G57" i="29"/>
  <c r="N97" i="54"/>
  <c r="O97" i="54"/>
  <c r="P97" i="54"/>
  <c r="Q97" i="54"/>
  <c r="R97" i="54"/>
  <c r="S97" i="54"/>
  <c r="T97" i="54"/>
  <c r="H5" i="29" l="1"/>
  <c r="I5" i="29" s="1"/>
  <c r="J5" i="29" s="1"/>
  <c r="K5" i="29" s="1"/>
  <c r="L5" i="29" s="1"/>
  <c r="M5" i="29" s="1"/>
  <c r="N5" i="29" s="1"/>
  <c r="J135" i="54"/>
  <c r="I135" i="54"/>
  <c r="J126" i="54"/>
  <c r="J147" i="54" s="1"/>
  <c r="I126" i="54"/>
  <c r="I147" i="54" s="1"/>
  <c r="A21" i="29" l="1"/>
  <c r="B21" i="29"/>
  <c r="C21" i="29"/>
  <c r="D21" i="29"/>
  <c r="A22" i="29"/>
  <c r="B22" i="29"/>
  <c r="C22" i="29"/>
  <c r="D22" i="29"/>
  <c r="B23" i="29" l="1"/>
  <c r="C23" i="29"/>
  <c r="D23" i="29"/>
  <c r="B24" i="29"/>
  <c r="C24" i="29"/>
  <c r="D24" i="29"/>
  <c r="A24" i="29"/>
  <c r="A23" i="29"/>
  <c r="M41" i="5" l="1"/>
  <c r="M40" i="5"/>
  <c r="N71" i="5"/>
  <c r="N72" i="5"/>
  <c r="N70" i="5" l="1"/>
  <c r="J31" i="54" l="1"/>
  <c r="I31" i="54"/>
  <c r="H31" i="54"/>
  <c r="G31" i="54"/>
  <c r="F31" i="54"/>
  <c r="E31" i="54"/>
  <c r="J27" i="54"/>
  <c r="I27" i="54"/>
  <c r="H27" i="54"/>
  <c r="G27" i="54"/>
  <c r="F27" i="54"/>
  <c r="E27" i="54"/>
  <c r="J24" i="54"/>
  <c r="I24" i="54"/>
  <c r="H24" i="54"/>
  <c r="G24" i="54"/>
  <c r="F24" i="54"/>
  <c r="E24" i="54"/>
  <c r="G23" i="54"/>
  <c r="H23" i="54"/>
  <c r="I23" i="54"/>
  <c r="J23" i="54"/>
  <c r="E23" i="54"/>
  <c r="F23" i="54"/>
  <c r="E149" i="54" l="1"/>
  <c r="F149" i="54"/>
  <c r="G149" i="54"/>
  <c r="H149" i="54"/>
  <c r="I149" i="54"/>
  <c r="J149" i="54"/>
  <c r="E148" i="54"/>
  <c r="F148" i="54"/>
  <c r="G148" i="54"/>
  <c r="H148" i="54"/>
  <c r="I148" i="54"/>
  <c r="J148" i="54"/>
  <c r="K148" i="54"/>
  <c r="L148" i="54"/>
  <c r="E118" i="54"/>
  <c r="F118" i="54"/>
  <c r="G118" i="54"/>
  <c r="H118" i="54"/>
  <c r="I118" i="54"/>
  <c r="J118" i="54"/>
  <c r="J138" i="54"/>
  <c r="I138" i="54"/>
  <c r="H138" i="54"/>
  <c r="G138" i="54"/>
  <c r="F138" i="54"/>
  <c r="E138" i="54"/>
  <c r="E142" i="54"/>
  <c r="F142" i="54"/>
  <c r="G142" i="54"/>
  <c r="H142" i="54"/>
  <c r="I142" i="54"/>
  <c r="J142" i="54"/>
  <c r="E143" i="54"/>
  <c r="F143" i="54"/>
  <c r="G143" i="54"/>
  <c r="H143" i="54"/>
  <c r="I143" i="54"/>
  <c r="J143" i="54"/>
  <c r="K143" i="54"/>
  <c r="E144" i="54"/>
  <c r="F144" i="54"/>
  <c r="G144" i="54"/>
  <c r="H144" i="54"/>
  <c r="I144" i="54"/>
  <c r="J144" i="54"/>
  <c r="K144" i="54"/>
  <c r="E145" i="54"/>
  <c r="F145" i="54"/>
  <c r="G145" i="54"/>
  <c r="H145" i="54"/>
  <c r="I145" i="54"/>
  <c r="J145" i="54"/>
  <c r="E146" i="54"/>
  <c r="F146" i="54"/>
  <c r="G146" i="54"/>
  <c r="H146" i="54"/>
  <c r="I146" i="54"/>
  <c r="J146" i="54"/>
  <c r="E135" i="54"/>
  <c r="F135" i="54"/>
  <c r="G135" i="54"/>
  <c r="H135" i="54"/>
  <c r="J150" i="54"/>
  <c r="I150" i="54"/>
  <c r="H150" i="54"/>
  <c r="G150" i="54"/>
  <c r="F150" i="54"/>
  <c r="E150" i="54"/>
  <c r="N49" i="54" l="1"/>
  <c r="O49" i="54" s="1"/>
  <c r="P49" i="54" s="1"/>
  <c r="Q49" i="54" s="1"/>
  <c r="R49" i="54" s="1"/>
  <c r="S49" i="54" s="1"/>
  <c r="T49" i="54" s="1"/>
  <c r="N50" i="54"/>
  <c r="O50" i="54" s="1"/>
  <c r="P50" i="54" s="1"/>
  <c r="Q50" i="54" s="1"/>
  <c r="R50" i="54" s="1"/>
  <c r="S50" i="54" s="1"/>
  <c r="T50" i="54" s="1"/>
  <c r="L66" i="54" l="1"/>
  <c r="K66" i="54"/>
  <c r="J66" i="54"/>
  <c r="I66" i="54"/>
  <c r="H66" i="54"/>
  <c r="G66" i="54"/>
  <c r="F66" i="54"/>
  <c r="E66" i="54"/>
  <c r="L65" i="54"/>
  <c r="K65" i="54"/>
  <c r="J65" i="54"/>
  <c r="I65" i="54"/>
  <c r="H65" i="54"/>
  <c r="G65" i="54"/>
  <c r="F65" i="54"/>
  <c r="E65" i="54"/>
  <c r="L63" i="54"/>
  <c r="K63" i="54"/>
  <c r="J63" i="54"/>
  <c r="I63" i="54"/>
  <c r="H63" i="54"/>
  <c r="G63" i="54"/>
  <c r="F63" i="54"/>
  <c r="E63" i="54"/>
  <c r="L62" i="54"/>
  <c r="K62" i="54"/>
  <c r="J62" i="54"/>
  <c r="I62" i="54"/>
  <c r="H62" i="54"/>
  <c r="G62" i="54"/>
  <c r="F62" i="54"/>
  <c r="E62" i="54"/>
  <c r="E45" i="54"/>
  <c r="E61" i="54" s="1"/>
  <c r="F45" i="54"/>
  <c r="F48" i="54" s="1"/>
  <c r="G45" i="54"/>
  <c r="H45" i="54"/>
  <c r="I45" i="54"/>
  <c r="J45" i="54"/>
  <c r="J48" i="54" s="1"/>
  <c r="G61" i="54" l="1"/>
  <c r="H61" i="54"/>
  <c r="I61" i="54"/>
  <c r="I48" i="54"/>
  <c r="J64" i="54" s="1"/>
  <c r="H48" i="54"/>
  <c r="E48" i="54"/>
  <c r="E64" i="54" s="1"/>
  <c r="G48" i="54"/>
  <c r="F61" i="54"/>
  <c r="J61" i="54"/>
  <c r="E37" i="54"/>
  <c r="E53" i="54" s="1"/>
  <c r="F37" i="54"/>
  <c r="G37" i="54"/>
  <c r="H37" i="54"/>
  <c r="I37" i="54"/>
  <c r="J37" i="54"/>
  <c r="E38" i="54"/>
  <c r="E54" i="54" s="1"/>
  <c r="F38" i="54"/>
  <c r="G38" i="54"/>
  <c r="H38" i="54"/>
  <c r="I38" i="54"/>
  <c r="J38" i="54"/>
  <c r="E39" i="54"/>
  <c r="E55" i="54" s="1"/>
  <c r="F39" i="54"/>
  <c r="G39" i="54"/>
  <c r="G55" i="54" s="1"/>
  <c r="H39" i="54"/>
  <c r="I39" i="54"/>
  <c r="J39" i="54"/>
  <c r="K39" i="54"/>
  <c r="E40" i="54"/>
  <c r="E56" i="54" s="1"/>
  <c r="F40" i="54"/>
  <c r="G40" i="54"/>
  <c r="H40" i="54"/>
  <c r="H56" i="54" s="1"/>
  <c r="I40" i="54"/>
  <c r="J40" i="54"/>
  <c r="K40" i="54"/>
  <c r="E41" i="54"/>
  <c r="E57" i="54" s="1"/>
  <c r="F41" i="54"/>
  <c r="G41" i="54"/>
  <c r="H41" i="54"/>
  <c r="I41" i="54"/>
  <c r="J41" i="54"/>
  <c r="E42" i="54"/>
  <c r="E58" i="54" s="1"/>
  <c r="F42" i="54"/>
  <c r="G42" i="54"/>
  <c r="H42" i="54"/>
  <c r="I42" i="54"/>
  <c r="J42" i="54"/>
  <c r="K42" i="54"/>
  <c r="E43" i="54"/>
  <c r="E59" i="54" s="1"/>
  <c r="F43" i="54"/>
  <c r="G43" i="54"/>
  <c r="H43" i="54"/>
  <c r="I43" i="54"/>
  <c r="J43" i="54"/>
  <c r="K43" i="54"/>
  <c r="E44" i="54"/>
  <c r="E60" i="54" s="1"/>
  <c r="F44" i="54"/>
  <c r="G44" i="54"/>
  <c r="H44" i="54"/>
  <c r="I44" i="54"/>
  <c r="J44" i="54"/>
  <c r="J90" i="54"/>
  <c r="I90" i="54"/>
  <c r="H90" i="54"/>
  <c r="G90" i="54"/>
  <c r="F90" i="54"/>
  <c r="E90" i="54"/>
  <c r="E91" i="54"/>
  <c r="F91" i="54"/>
  <c r="G91" i="54"/>
  <c r="H91" i="54"/>
  <c r="I91" i="54"/>
  <c r="J91" i="54"/>
  <c r="E92" i="54"/>
  <c r="F92" i="54"/>
  <c r="G92" i="54"/>
  <c r="H92" i="54"/>
  <c r="I92" i="54"/>
  <c r="J92" i="54"/>
  <c r="K92" i="54"/>
  <c r="E93" i="54"/>
  <c r="F93" i="54"/>
  <c r="G93" i="54"/>
  <c r="H93" i="54"/>
  <c r="I93" i="54"/>
  <c r="J93" i="54"/>
  <c r="K93" i="54"/>
  <c r="E94" i="54"/>
  <c r="F94" i="54"/>
  <c r="G94" i="54"/>
  <c r="H94" i="54"/>
  <c r="I94" i="54"/>
  <c r="J94" i="54"/>
  <c r="E95" i="54"/>
  <c r="F95" i="54"/>
  <c r="G95" i="54"/>
  <c r="H95" i="54"/>
  <c r="I95" i="54"/>
  <c r="J95" i="54"/>
  <c r="K95" i="54"/>
  <c r="E96" i="54"/>
  <c r="F96" i="54"/>
  <c r="G96" i="54"/>
  <c r="H96" i="54"/>
  <c r="I96" i="54"/>
  <c r="J96" i="54"/>
  <c r="K96" i="54"/>
  <c r="E97" i="54"/>
  <c r="F97" i="54"/>
  <c r="G97" i="54"/>
  <c r="H97" i="54"/>
  <c r="I97" i="54"/>
  <c r="J97" i="54"/>
  <c r="E98" i="54"/>
  <c r="F98" i="54"/>
  <c r="G98" i="54"/>
  <c r="H98" i="54"/>
  <c r="I98" i="54"/>
  <c r="J98" i="54"/>
  <c r="E99" i="54"/>
  <c r="F99" i="54"/>
  <c r="G99" i="54"/>
  <c r="H99" i="54"/>
  <c r="I99" i="54"/>
  <c r="J99" i="54"/>
  <c r="K99" i="54"/>
  <c r="E100" i="54"/>
  <c r="F100" i="54"/>
  <c r="G100" i="54"/>
  <c r="H100" i="54"/>
  <c r="I100" i="54"/>
  <c r="J100" i="54"/>
  <c r="E101" i="54"/>
  <c r="F101" i="54"/>
  <c r="G101" i="54"/>
  <c r="H101" i="54"/>
  <c r="I101" i="54"/>
  <c r="J101" i="54"/>
  <c r="E102" i="54"/>
  <c r="F102" i="54"/>
  <c r="G102" i="54"/>
  <c r="H102" i="54"/>
  <c r="I102" i="54"/>
  <c r="J102" i="54"/>
  <c r="K102" i="54"/>
  <c r="E103" i="54"/>
  <c r="F103" i="54"/>
  <c r="G103" i="54"/>
  <c r="H103" i="54"/>
  <c r="I103" i="54"/>
  <c r="J103" i="54"/>
  <c r="K103" i="54"/>
  <c r="L99" i="54"/>
  <c r="L102" i="54"/>
  <c r="L103" i="54"/>
  <c r="I54" i="54" l="1"/>
  <c r="I53" i="54"/>
  <c r="I59" i="54"/>
  <c r="I58" i="54"/>
  <c r="G57" i="54"/>
  <c r="G54" i="54"/>
  <c r="H55" i="54"/>
  <c r="J54" i="54"/>
  <c r="F54" i="54"/>
  <c r="H53" i="54"/>
  <c r="K55" i="54"/>
  <c r="J60" i="54"/>
  <c r="F60" i="54"/>
  <c r="J59" i="54"/>
  <c r="F59" i="54"/>
  <c r="J58" i="54"/>
  <c r="F58" i="54"/>
  <c r="H57" i="54"/>
  <c r="K56" i="54"/>
  <c r="G56" i="54"/>
  <c r="I60" i="54"/>
  <c r="G53" i="54"/>
  <c r="F64" i="54"/>
  <c r="H60" i="54"/>
  <c r="H59" i="54"/>
  <c r="H58" i="54"/>
  <c r="J57" i="54"/>
  <c r="F57" i="54"/>
  <c r="J56" i="54"/>
  <c r="F56" i="54"/>
  <c r="J55" i="54"/>
  <c r="F55" i="54"/>
  <c r="H54" i="54"/>
  <c r="J53" i="54"/>
  <c r="F53" i="54"/>
  <c r="G60" i="54"/>
  <c r="K59" i="54"/>
  <c r="G59" i="54"/>
  <c r="K58" i="54"/>
  <c r="G58" i="54"/>
  <c r="I57" i="54"/>
  <c r="I56" i="54"/>
  <c r="I55" i="54"/>
  <c r="I64" i="54"/>
  <c r="G64" i="54"/>
  <c r="H64" i="54"/>
  <c r="E87" i="54"/>
  <c r="F87" i="54"/>
  <c r="G87" i="54"/>
  <c r="H87" i="54"/>
  <c r="I87" i="54"/>
  <c r="L12" i="54" l="1"/>
  <c r="L9" i="54" l="1"/>
  <c r="BE12" i="54"/>
  <c r="AP12" i="54"/>
  <c r="AA12" i="54"/>
  <c r="K74" i="54"/>
  <c r="K12" i="54"/>
  <c r="BE9" i="54" l="1"/>
  <c r="AP9" i="54"/>
  <c r="AA9" i="54"/>
  <c r="N49" i="5"/>
  <c r="K27" i="54"/>
  <c r="L27" i="54"/>
  <c r="K41" i="54"/>
  <c r="K94" i="54"/>
  <c r="K57" i="54" l="1"/>
  <c r="M99" i="54" l="1"/>
  <c r="N99" i="54"/>
  <c r="O99" i="54"/>
  <c r="P99" i="54"/>
  <c r="Q99" i="54"/>
  <c r="R99" i="54"/>
  <c r="S99" i="54"/>
  <c r="T99" i="54"/>
  <c r="I19" i="54"/>
  <c r="I37" i="53" l="1"/>
  <c r="H37" i="53"/>
  <c r="I36" i="53"/>
  <c r="J36" i="53" s="1"/>
  <c r="H36" i="53"/>
  <c r="I35" i="53"/>
  <c r="J35" i="53" s="1"/>
  <c r="H35" i="53"/>
  <c r="I34" i="53"/>
  <c r="J34" i="53" s="1"/>
  <c r="H34" i="53"/>
  <c r="E37" i="53"/>
  <c r="F37" i="53"/>
  <c r="F36" i="53"/>
  <c r="G36" i="53" s="1"/>
  <c r="E36" i="53"/>
  <c r="E34" i="53"/>
  <c r="G34" i="53" s="1"/>
  <c r="F35" i="53"/>
  <c r="E35" i="53"/>
  <c r="F34" i="53"/>
  <c r="G35" i="53" l="1"/>
  <c r="K35" i="53" s="1"/>
  <c r="J37" i="53"/>
  <c r="J38" i="53" s="1"/>
  <c r="K36" i="53"/>
  <c r="K34" i="53"/>
  <c r="G37" i="53"/>
  <c r="K37" i="53" l="1"/>
  <c r="G38" i="53"/>
  <c r="K38" i="53" s="1"/>
  <c r="D8" i="51"/>
  <c r="D7" i="51"/>
  <c r="D6" i="51"/>
  <c r="C5" i="51"/>
  <c r="C6" i="51" s="1"/>
  <c r="C7" i="51" s="1"/>
  <c r="C8" i="51" s="1"/>
  <c r="D5" i="51"/>
  <c r="E5" i="51" s="1"/>
  <c r="G5" i="51"/>
  <c r="G6" i="51" s="1"/>
  <c r="G7" i="51" s="1"/>
  <c r="E6" i="51" l="1"/>
  <c r="E7" i="51" s="1"/>
  <c r="B10" i="51"/>
  <c r="C9" i="51"/>
  <c r="E8" i="51"/>
  <c r="F8" i="51"/>
  <c r="G8" i="51" s="1"/>
  <c r="C10" i="51" l="1"/>
  <c r="C11" i="51" s="1"/>
  <c r="F9" i="51"/>
  <c r="G9" i="51" s="1"/>
  <c r="G10" i="51" s="1"/>
  <c r="G11" i="51" s="1"/>
  <c r="E9" i="51"/>
  <c r="E10" i="51" s="1"/>
  <c r="D11" i="51"/>
  <c r="E11" i="51" l="1"/>
  <c r="C67" i="8" l="1"/>
  <c r="D67" i="8"/>
  <c r="E67" i="8"/>
  <c r="F67" i="8"/>
  <c r="G67" i="8"/>
  <c r="H67" i="8"/>
  <c r="E58" i="53" s="1"/>
  <c r="I67" i="8"/>
  <c r="F58" i="53" s="1"/>
  <c r="J67" i="8"/>
  <c r="G58" i="53" s="1"/>
  <c r="K67" i="8"/>
  <c r="H58" i="53" s="1"/>
  <c r="L67" i="8"/>
  <c r="I58" i="53" s="1"/>
  <c r="M67" i="8"/>
  <c r="J58" i="53" s="1"/>
  <c r="N67" i="8"/>
  <c r="K58" i="53" s="1"/>
  <c r="O67" i="8"/>
  <c r="L58" i="53" s="1"/>
  <c r="P67" i="8"/>
  <c r="M58" i="53" s="1"/>
  <c r="B67" i="8"/>
  <c r="F64" i="8"/>
  <c r="E64" i="8"/>
  <c r="D64" i="8"/>
  <c r="C64" i="8"/>
  <c r="B64" i="8"/>
  <c r="N58" i="53" l="1"/>
  <c r="D103" i="38"/>
  <c r="J251" i="5"/>
  <c r="D112" i="38" s="1"/>
  <c r="K251" i="5"/>
  <c r="E112" i="38" s="1"/>
  <c r="F154" i="24"/>
  <c r="L160" i="5" s="1"/>
  <c r="G154" i="24"/>
  <c r="M160" i="5" s="1"/>
  <c r="H154" i="24"/>
  <c r="N160" i="5" s="1"/>
  <c r="L16" i="9" l="1"/>
  <c r="E103" i="38"/>
  <c r="I29" i="9"/>
  <c r="C192" i="5"/>
  <c r="C193" i="5"/>
  <c r="C194" i="5"/>
  <c r="C195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191" i="5"/>
  <c r="L30" i="9" l="1"/>
  <c r="J33" i="9"/>
  <c r="K33" i="9"/>
  <c r="J29" i="9"/>
  <c r="L33" i="9"/>
  <c r="K31" i="9"/>
  <c r="J30" i="9"/>
  <c r="K29" i="9"/>
  <c r="L29" i="9"/>
  <c r="L31" i="9"/>
  <c r="K30" i="9"/>
  <c r="J31" i="9"/>
  <c r="E86" i="29" l="1"/>
  <c r="D89" i="29" l="1"/>
  <c r="H63" i="8" l="1"/>
  <c r="E51" i="53" s="1"/>
  <c r="I63" i="8"/>
  <c r="F51" i="53" s="1"/>
  <c r="J63" i="8"/>
  <c r="G51" i="53" s="1"/>
  <c r="K63" i="8"/>
  <c r="H51" i="53" s="1"/>
  <c r="L63" i="8"/>
  <c r="I51" i="53" s="1"/>
  <c r="M63" i="8"/>
  <c r="J51" i="53" s="1"/>
  <c r="N63" i="8"/>
  <c r="K51" i="53" s="1"/>
  <c r="O63" i="8"/>
  <c r="L51" i="53" s="1"/>
  <c r="P63" i="8"/>
  <c r="M51" i="53" s="1"/>
  <c r="C60" i="8"/>
  <c r="D60" i="8"/>
  <c r="E60" i="8"/>
  <c r="F60" i="8"/>
  <c r="B60" i="8"/>
  <c r="C77" i="8"/>
  <c r="D77" i="8"/>
  <c r="E77" i="8"/>
  <c r="F77" i="8"/>
  <c r="G77" i="8"/>
  <c r="C79" i="8"/>
  <c r="D79" i="8"/>
  <c r="E79" i="8"/>
  <c r="F79" i="8"/>
  <c r="G79" i="8"/>
  <c r="B77" i="8"/>
  <c r="B79" i="8"/>
  <c r="N51" i="53" l="1"/>
  <c r="B20" i="8" l="1"/>
  <c r="N20" i="8"/>
  <c r="O20" i="8"/>
  <c r="P20" i="8"/>
  <c r="E40" i="29" l="1"/>
  <c r="K144" i="50" l="1"/>
  <c r="L144" i="50"/>
  <c r="M144" i="50"/>
  <c r="N144" i="50"/>
  <c r="O144" i="50"/>
  <c r="P144" i="50"/>
  <c r="I169" i="24" l="1"/>
  <c r="J169" i="24"/>
  <c r="K169" i="24"/>
  <c r="L169" i="24"/>
  <c r="M169" i="24"/>
  <c r="N169" i="24"/>
  <c r="O169" i="24"/>
  <c r="P169" i="24"/>
  <c r="F170" i="24"/>
  <c r="K161" i="50"/>
  <c r="L161" i="50"/>
  <c r="M161" i="50"/>
  <c r="N161" i="50"/>
  <c r="O161" i="50"/>
  <c r="P161" i="50"/>
  <c r="K162" i="50"/>
  <c r="L162" i="50"/>
  <c r="M162" i="50"/>
  <c r="N162" i="50"/>
  <c r="O162" i="50"/>
  <c r="P162" i="50"/>
  <c r="R176" i="5" l="1"/>
  <c r="U176" i="5"/>
  <c r="T176" i="5"/>
  <c r="V176" i="5"/>
  <c r="Q176" i="5"/>
  <c r="S176" i="5"/>
  <c r="G198" i="5" l="1"/>
  <c r="G201" i="5"/>
  <c r="H201" i="5"/>
  <c r="I30" i="9" s="1"/>
  <c r="K210" i="5"/>
  <c r="I210" i="5"/>
  <c r="C87" i="38" s="1"/>
  <c r="J210" i="5"/>
  <c r="L206" i="5"/>
  <c r="M206" i="5"/>
  <c r="Q206" i="5"/>
  <c r="R206" i="5"/>
  <c r="S206" i="5"/>
  <c r="T206" i="5"/>
  <c r="U206" i="5"/>
  <c r="V206" i="5"/>
  <c r="F150" i="24"/>
  <c r="L156" i="5" s="1"/>
  <c r="F149" i="24"/>
  <c r="L155" i="5" s="1"/>
  <c r="K140" i="50"/>
  <c r="K196" i="50" s="1"/>
  <c r="L140" i="50"/>
  <c r="L196" i="50" s="1"/>
  <c r="M140" i="50"/>
  <c r="M196" i="50" s="1"/>
  <c r="N140" i="50"/>
  <c r="N196" i="50" s="1"/>
  <c r="O140" i="50"/>
  <c r="O196" i="50" s="1"/>
  <c r="P140" i="50"/>
  <c r="P196" i="50" s="1"/>
  <c r="I143" i="50"/>
  <c r="J143" i="50"/>
  <c r="K143" i="50"/>
  <c r="K199" i="50" s="1"/>
  <c r="L143" i="50"/>
  <c r="L199" i="50" s="1"/>
  <c r="M143" i="50"/>
  <c r="M199" i="50" s="1"/>
  <c r="N143" i="50"/>
  <c r="N199" i="50" s="1"/>
  <c r="O143" i="50"/>
  <c r="O199" i="50" s="1"/>
  <c r="P143" i="50"/>
  <c r="P199" i="50" s="1"/>
  <c r="P153" i="50"/>
  <c r="P209" i="50" s="1"/>
  <c r="O153" i="50"/>
  <c r="O209" i="50" s="1"/>
  <c r="N153" i="50"/>
  <c r="N209" i="50" s="1"/>
  <c r="M153" i="50"/>
  <c r="M209" i="50" s="1"/>
  <c r="L153" i="50"/>
  <c r="L209" i="50" s="1"/>
  <c r="K153" i="50"/>
  <c r="K209" i="50" s="1"/>
  <c r="J153" i="50"/>
  <c r="I153" i="50"/>
  <c r="H153" i="50"/>
  <c r="G153" i="50"/>
  <c r="F153" i="50"/>
  <c r="I151" i="50"/>
  <c r="J151" i="50"/>
  <c r="K151" i="50"/>
  <c r="K207" i="50" s="1"/>
  <c r="L151" i="50"/>
  <c r="L207" i="50" s="1"/>
  <c r="M151" i="50"/>
  <c r="M207" i="50" s="1"/>
  <c r="N151" i="50"/>
  <c r="N207" i="50" s="1"/>
  <c r="O151" i="50"/>
  <c r="O207" i="50" s="1"/>
  <c r="P151" i="50"/>
  <c r="P207" i="50" s="1"/>
  <c r="F154" i="50"/>
  <c r="G154" i="50"/>
  <c r="H154" i="50"/>
  <c r="F155" i="50"/>
  <c r="G155" i="50"/>
  <c r="F123" i="50"/>
  <c r="F124" i="50"/>
  <c r="F63" i="50"/>
  <c r="K261" i="5" l="1"/>
  <c r="E87" i="38"/>
  <c r="J261" i="5"/>
  <c r="D87" i="38"/>
  <c r="G210" i="5"/>
  <c r="G261" i="5" s="1"/>
  <c r="H210" i="5"/>
  <c r="H261" i="5" s="1"/>
  <c r="P184" i="50"/>
  <c r="N186" i="50"/>
  <c r="H187" i="50"/>
  <c r="H210" i="50"/>
  <c r="O184" i="50"/>
  <c r="K184" i="50"/>
  <c r="G186" i="50"/>
  <c r="G209" i="50"/>
  <c r="K186" i="50"/>
  <c r="O186" i="50"/>
  <c r="N176" i="50"/>
  <c r="N173" i="50"/>
  <c r="L184" i="50"/>
  <c r="G187" i="50"/>
  <c r="G210" i="50"/>
  <c r="N184" i="50"/>
  <c r="H209" i="50"/>
  <c r="H186" i="50"/>
  <c r="N205" i="5" s="1"/>
  <c r="L186" i="50"/>
  <c r="P186" i="50"/>
  <c r="M176" i="50"/>
  <c r="M173" i="50"/>
  <c r="F211" i="50"/>
  <c r="F188" i="50"/>
  <c r="F186" i="50"/>
  <c r="F209" i="50"/>
  <c r="O176" i="50"/>
  <c r="K176" i="50"/>
  <c r="O173" i="50"/>
  <c r="K173" i="50"/>
  <c r="G188" i="50"/>
  <c r="G211" i="50"/>
  <c r="F187" i="50"/>
  <c r="F210" i="50"/>
  <c r="M184" i="50"/>
  <c r="M186" i="50"/>
  <c r="P176" i="50"/>
  <c r="L176" i="50"/>
  <c r="P173" i="50"/>
  <c r="L173" i="50"/>
  <c r="I199" i="50"/>
  <c r="I176" i="50"/>
  <c r="O195" i="5" s="1"/>
  <c r="J176" i="50"/>
  <c r="P195" i="5" s="1"/>
  <c r="J199" i="50"/>
  <c r="I209" i="50"/>
  <c r="I186" i="50"/>
  <c r="O205" i="5" s="1"/>
  <c r="J209" i="50"/>
  <c r="J186" i="50"/>
  <c r="P205" i="5" s="1"/>
  <c r="V203" i="5"/>
  <c r="R203" i="5"/>
  <c r="L205" i="5"/>
  <c r="T205" i="5"/>
  <c r="U195" i="5"/>
  <c r="O81" i="38" s="1"/>
  <c r="Q195" i="5"/>
  <c r="K81" i="38" s="1"/>
  <c r="U192" i="5"/>
  <c r="Q192" i="5"/>
  <c r="U203" i="5"/>
  <c r="Q203" i="5"/>
  <c r="M205" i="5"/>
  <c r="Q205" i="5"/>
  <c r="U205" i="5"/>
  <c r="T195" i="5"/>
  <c r="N81" i="38" s="1"/>
  <c r="T192" i="5"/>
  <c r="L207" i="5"/>
  <c r="T203" i="5"/>
  <c r="R205" i="5"/>
  <c r="V205" i="5"/>
  <c r="S195" i="5"/>
  <c r="M81" i="38" s="1"/>
  <c r="S192" i="5"/>
  <c r="M207" i="5"/>
  <c r="S203" i="5"/>
  <c r="S205" i="5"/>
  <c r="V195" i="5"/>
  <c r="P81" i="38" s="1"/>
  <c r="R195" i="5"/>
  <c r="L81" i="38" s="1"/>
  <c r="V192" i="5"/>
  <c r="R192" i="5"/>
  <c r="I261" i="5"/>
  <c r="I81" i="38" l="1"/>
  <c r="J81" i="38"/>
  <c r="R29" i="9"/>
  <c r="K83" i="38"/>
  <c r="S29" i="9"/>
  <c r="L83" i="38"/>
  <c r="U29" i="9"/>
  <c r="N83" i="38"/>
  <c r="V29" i="9"/>
  <c r="O83" i="38"/>
  <c r="W29" i="9"/>
  <c r="P83" i="38"/>
  <c r="T29" i="9"/>
  <c r="M83" i="38"/>
  <c r="F75" i="29"/>
  <c r="E75" i="29"/>
  <c r="M61" i="5" s="1"/>
  <c r="D13" i="29"/>
  <c r="C13" i="29"/>
  <c r="L24" i="36"/>
  <c r="H24" i="36"/>
  <c r="F11" i="36"/>
  <c r="C11" i="36"/>
  <c r="F10" i="36"/>
  <c r="C10" i="36"/>
  <c r="F9" i="36"/>
  <c r="C9" i="36"/>
  <c r="F8" i="36"/>
  <c r="L7" i="36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F7" i="36"/>
  <c r="H7" i="36" s="1"/>
  <c r="D7" i="36"/>
  <c r="D8" i="36" s="1"/>
  <c r="D9" i="36" s="1"/>
  <c r="D10" i="36" s="1"/>
  <c r="BK178" i="35"/>
  <c r="BJ178" i="35"/>
  <c r="AS178" i="35"/>
  <c r="D178" i="35"/>
  <c r="BR166" i="35"/>
  <c r="BR154" i="35"/>
  <c r="BR142" i="35"/>
  <c r="BR130" i="35"/>
  <c r="BR118" i="35"/>
  <c r="BR106" i="35"/>
  <c r="AR106" i="35"/>
  <c r="BR94" i="35"/>
  <c r="AR94" i="35"/>
  <c r="BR82" i="35"/>
  <c r="AR82" i="35"/>
  <c r="AN84" i="35" s="1"/>
  <c r="AV73" i="35"/>
  <c r="AV72" i="35"/>
  <c r="AV71" i="35"/>
  <c r="BR70" i="35"/>
  <c r="BF70" i="35"/>
  <c r="AV70" i="35"/>
  <c r="AR70" i="35"/>
  <c r="AN80" i="35" s="1"/>
  <c r="AE70" i="35"/>
  <c r="AV69" i="35"/>
  <c r="AV68" i="35"/>
  <c r="AV67" i="35"/>
  <c r="AV66" i="35"/>
  <c r="AV65" i="35"/>
  <c r="AV64" i="35"/>
  <c r="AV63" i="35"/>
  <c r="AV62" i="35"/>
  <c r="AV61" i="35"/>
  <c r="AV60" i="35"/>
  <c r="AV59" i="35"/>
  <c r="BR58" i="35"/>
  <c r="BF58" i="35"/>
  <c r="BE58" i="35"/>
  <c r="AV58" i="35"/>
  <c r="AR58" i="35"/>
  <c r="AR178" i="35" s="1"/>
  <c r="AE58" i="35"/>
  <c r="V58" i="35"/>
  <c r="AV57" i="35"/>
  <c r="AN57" i="35"/>
  <c r="BH56" i="35"/>
  <c r="BB56" i="35"/>
  <c r="BN56" i="35" s="1"/>
  <c r="BN57" i="35" s="1"/>
  <c r="BN58" i="35" s="1"/>
  <c r="BN59" i="35" s="1"/>
  <c r="BN60" i="35" s="1"/>
  <c r="BN61" i="35" s="1"/>
  <c r="BN62" i="35" s="1"/>
  <c r="BN63" i="35" s="1"/>
  <c r="BN64" i="35" s="1"/>
  <c r="BN65" i="35" s="1"/>
  <c r="BN66" i="35" s="1"/>
  <c r="BN67" i="35" s="1"/>
  <c r="BN68" i="35" s="1"/>
  <c r="BN69" i="35" s="1"/>
  <c r="BN70" i="35" s="1"/>
  <c r="BN71" i="35" s="1"/>
  <c r="BN72" i="35" s="1"/>
  <c r="BN73" i="35" s="1"/>
  <c r="BN74" i="35" s="1"/>
  <c r="BN75" i="35" s="1"/>
  <c r="BN76" i="35" s="1"/>
  <c r="BN77" i="35" s="1"/>
  <c r="BN78" i="35" s="1"/>
  <c r="BN79" i="35" s="1"/>
  <c r="BN80" i="35" s="1"/>
  <c r="BN81" i="35" s="1"/>
  <c r="BN82" i="35" s="1"/>
  <c r="BN83" i="35" s="1"/>
  <c r="BN84" i="35" s="1"/>
  <c r="BN85" i="35" s="1"/>
  <c r="BN86" i="35" s="1"/>
  <c r="BN87" i="35" s="1"/>
  <c r="BN88" i="35" s="1"/>
  <c r="BN89" i="35" s="1"/>
  <c r="BN90" i="35" s="1"/>
  <c r="BN91" i="35" s="1"/>
  <c r="BN92" i="35" s="1"/>
  <c r="BN93" i="35" s="1"/>
  <c r="BN94" i="35" s="1"/>
  <c r="BN95" i="35" s="1"/>
  <c r="BN96" i="35" s="1"/>
  <c r="BN97" i="35" s="1"/>
  <c r="BN98" i="35" s="1"/>
  <c r="BN99" i="35" s="1"/>
  <c r="BN100" i="35" s="1"/>
  <c r="BN101" i="35" s="1"/>
  <c r="BN102" i="35" s="1"/>
  <c r="BN103" i="35" s="1"/>
  <c r="BN104" i="35" s="1"/>
  <c r="BN105" i="35" s="1"/>
  <c r="BN106" i="35" s="1"/>
  <c r="BN107" i="35" s="1"/>
  <c r="BN108" i="35" s="1"/>
  <c r="BN109" i="35" s="1"/>
  <c r="BN110" i="35" s="1"/>
  <c r="BN111" i="35" s="1"/>
  <c r="BN112" i="35" s="1"/>
  <c r="BN113" i="35" s="1"/>
  <c r="BN114" i="35" s="1"/>
  <c r="BN115" i="35" s="1"/>
  <c r="BN116" i="35" s="1"/>
  <c r="BN117" i="35" s="1"/>
  <c r="BN118" i="35" s="1"/>
  <c r="BN119" i="35" s="1"/>
  <c r="BN120" i="35" s="1"/>
  <c r="BN121" i="35" s="1"/>
  <c r="BN122" i="35" s="1"/>
  <c r="BN123" i="35" s="1"/>
  <c r="BN124" i="35" s="1"/>
  <c r="BN125" i="35" s="1"/>
  <c r="BN126" i="35" s="1"/>
  <c r="BN127" i="35" s="1"/>
  <c r="BN128" i="35" s="1"/>
  <c r="BN129" i="35" s="1"/>
  <c r="BN130" i="35" s="1"/>
  <c r="BN131" i="35" s="1"/>
  <c r="BN132" i="35" s="1"/>
  <c r="BN133" i="35" s="1"/>
  <c r="BN134" i="35" s="1"/>
  <c r="BN135" i="35" s="1"/>
  <c r="BN136" i="35" s="1"/>
  <c r="BN137" i="35" s="1"/>
  <c r="BN138" i="35" s="1"/>
  <c r="BN139" i="35" s="1"/>
  <c r="BN140" i="35" s="1"/>
  <c r="BN141" i="35" s="1"/>
  <c r="BN142" i="35" s="1"/>
  <c r="BN143" i="35" s="1"/>
  <c r="BN144" i="35" s="1"/>
  <c r="BN145" i="35" s="1"/>
  <c r="BN146" i="35" s="1"/>
  <c r="BN147" i="35" s="1"/>
  <c r="BN148" i="35" s="1"/>
  <c r="BN149" i="35" s="1"/>
  <c r="BN150" i="35" s="1"/>
  <c r="BN151" i="35" s="1"/>
  <c r="BN152" i="35" s="1"/>
  <c r="BN153" i="35" s="1"/>
  <c r="BN154" i="35" s="1"/>
  <c r="BN155" i="35" s="1"/>
  <c r="BN156" i="35" s="1"/>
  <c r="BN157" i="35" s="1"/>
  <c r="BN158" i="35" s="1"/>
  <c r="BN159" i="35" s="1"/>
  <c r="BN160" i="35" s="1"/>
  <c r="BN161" i="35" s="1"/>
  <c r="BN162" i="35" s="1"/>
  <c r="BN163" i="35" s="1"/>
  <c r="BN164" i="35" s="1"/>
  <c r="BN165" i="35" s="1"/>
  <c r="BN166" i="35" s="1"/>
  <c r="BN167" i="35" s="1"/>
  <c r="BN168" i="35" s="1"/>
  <c r="BN169" i="35" s="1"/>
  <c r="BN170" i="35" s="1"/>
  <c r="BN171" i="35" s="1"/>
  <c r="BN172" i="35" s="1"/>
  <c r="BN173" i="35" s="1"/>
  <c r="BN174" i="35" s="1"/>
  <c r="BN175" i="35" s="1"/>
  <c r="BN176" i="35" s="1"/>
  <c r="BN177" i="35" s="1"/>
  <c r="AW56" i="35"/>
  <c r="AV56" i="35" s="1"/>
  <c r="AN56" i="35"/>
  <c r="BH55" i="35"/>
  <c r="AW55" i="35"/>
  <c r="AV55" i="35" s="1"/>
  <c r="AN55" i="35"/>
  <c r="BH54" i="35"/>
  <c r="AW54" i="35"/>
  <c r="AV54" i="35" s="1"/>
  <c r="AN54" i="35"/>
  <c r="BH53" i="35"/>
  <c r="AW53" i="35"/>
  <c r="AV53" i="35" s="1"/>
  <c r="AN53" i="35"/>
  <c r="BH52" i="35"/>
  <c r="AW52" i="35"/>
  <c r="AV52" i="35" s="1"/>
  <c r="AN52" i="35"/>
  <c r="BH51" i="35"/>
  <c r="AW51" i="35"/>
  <c r="AV51" i="35" s="1"/>
  <c r="AN51" i="35"/>
  <c r="BH50" i="35"/>
  <c r="AW50" i="35"/>
  <c r="AV50" i="35" s="1"/>
  <c r="AN50" i="35"/>
  <c r="BH49" i="35"/>
  <c r="AW49" i="35"/>
  <c r="AV49" i="35" s="1"/>
  <c r="AN49" i="35"/>
  <c r="BH48" i="35"/>
  <c r="AV48" i="35"/>
  <c r="AN48" i="35"/>
  <c r="BH47" i="35"/>
  <c r="AV47" i="35"/>
  <c r="AN47" i="35"/>
  <c r="BR46" i="35"/>
  <c r="BH46" i="35"/>
  <c r="BF46" i="35"/>
  <c r="AW46" i="35"/>
  <c r="AV46" i="35" s="1"/>
  <c r="AN46" i="35"/>
  <c r="AE46" i="35"/>
  <c r="V46" i="35"/>
  <c r="M46" i="35"/>
  <c r="BH45" i="35"/>
  <c r="AV45" i="35"/>
  <c r="AN45" i="35"/>
  <c r="BH44" i="35"/>
  <c r="AW44" i="35"/>
  <c r="AV44" i="35" s="1"/>
  <c r="AN44" i="35"/>
  <c r="BH43" i="35"/>
  <c r="AW43" i="35"/>
  <c r="AV43" i="35" s="1"/>
  <c r="AN43" i="35"/>
  <c r="BH42" i="35"/>
  <c r="AV42" i="35"/>
  <c r="AN42" i="35"/>
  <c r="BH41" i="35"/>
  <c r="AW41" i="35"/>
  <c r="AV41" i="35" s="1"/>
  <c r="AN41" i="35"/>
  <c r="BH40" i="35"/>
  <c r="AW40" i="35"/>
  <c r="AV40" i="35" s="1"/>
  <c r="AN40" i="35"/>
  <c r="BH39" i="35"/>
  <c r="AW39" i="35"/>
  <c r="AV39" i="35" s="1"/>
  <c r="AN39" i="35"/>
  <c r="BH38" i="35"/>
  <c r="BA38" i="35"/>
  <c r="AW38" i="35"/>
  <c r="AV38" i="35"/>
  <c r="AN38" i="35"/>
  <c r="BH37" i="35"/>
  <c r="AW37" i="35"/>
  <c r="AV37" i="35"/>
  <c r="AN37" i="35"/>
  <c r="BH36" i="35"/>
  <c r="AW36" i="35"/>
  <c r="AN36" i="35"/>
  <c r="BH35" i="35"/>
  <c r="AV35" i="35"/>
  <c r="AN35" i="35"/>
  <c r="AB35" i="35"/>
  <c r="AB36" i="35" s="1"/>
  <c r="Z35" i="35"/>
  <c r="Y35" i="35" s="1"/>
  <c r="BR34" i="35"/>
  <c r="BQ34" i="35"/>
  <c r="BH34" i="35"/>
  <c r="BF34" i="35"/>
  <c r="AV34" i="35"/>
  <c r="AN34" i="35"/>
  <c r="AE34" i="35"/>
  <c r="V34" i="35"/>
  <c r="M34" i="35"/>
  <c r="AW33" i="35"/>
  <c r="AV33" i="35" s="1"/>
  <c r="AN33" i="35"/>
  <c r="AV32" i="35"/>
  <c r="AN32" i="35"/>
  <c r="AW31" i="35"/>
  <c r="AV31" i="35" s="1"/>
  <c r="AN31" i="35"/>
  <c r="AV30" i="35"/>
  <c r="AN30" i="35"/>
  <c r="AV29" i="35"/>
  <c r="AN29" i="35"/>
  <c r="AW28" i="35"/>
  <c r="AV28" i="35" s="1"/>
  <c r="AN28" i="35"/>
  <c r="AV27" i="35"/>
  <c r="AN27" i="35"/>
  <c r="AV26" i="35"/>
  <c r="AN26" i="35"/>
  <c r="BA25" i="35"/>
  <c r="AV25" i="35"/>
  <c r="AN25" i="35"/>
  <c r="AN24" i="35"/>
  <c r="AN23" i="35"/>
  <c r="S23" i="35"/>
  <c r="S24" i="35" s="1"/>
  <c r="Q23" i="35"/>
  <c r="P23" i="35" s="1"/>
  <c r="BR22" i="35"/>
  <c r="BF22" i="35"/>
  <c r="AN22" i="35"/>
  <c r="AE22" i="35"/>
  <c r="V22" i="35"/>
  <c r="M22" i="35"/>
  <c r="AN21" i="35"/>
  <c r="AN20" i="35"/>
  <c r="AN19" i="35"/>
  <c r="AN18" i="35"/>
  <c r="BA17" i="35"/>
  <c r="BA18" i="35" s="1"/>
  <c r="BA19" i="35" s="1"/>
  <c r="BA20" i="35" s="1"/>
  <c r="BA21" i="35" s="1"/>
  <c r="BA22" i="35" s="1"/>
  <c r="BA23" i="35" s="1"/>
  <c r="AU17" i="35"/>
  <c r="AU18" i="35" s="1"/>
  <c r="AU19" i="35" s="1"/>
  <c r="AU20" i="35" s="1"/>
  <c r="AU21" i="35" s="1"/>
  <c r="AU22" i="35" s="1"/>
  <c r="AU23" i="35" s="1"/>
  <c r="AU24" i="35" s="1"/>
  <c r="AU25" i="35" s="1"/>
  <c r="AU26" i="35" s="1"/>
  <c r="AU27" i="35" s="1"/>
  <c r="AU28" i="35" s="1"/>
  <c r="AU29" i="35" s="1"/>
  <c r="AU30" i="35" s="1"/>
  <c r="AU31" i="35" s="1"/>
  <c r="AU32" i="35" s="1"/>
  <c r="AU33" i="35" s="1"/>
  <c r="AU34" i="35" s="1"/>
  <c r="AU35" i="35" s="1"/>
  <c r="AU36" i="35" s="1"/>
  <c r="AU37" i="35" s="1"/>
  <c r="AU38" i="35" s="1"/>
  <c r="AU39" i="35" s="1"/>
  <c r="AU40" i="35" s="1"/>
  <c r="AU41" i="35" s="1"/>
  <c r="AU42" i="35" s="1"/>
  <c r="AU43" i="35" s="1"/>
  <c r="AU44" i="35" s="1"/>
  <c r="AU45" i="35" s="1"/>
  <c r="AU46" i="35" s="1"/>
  <c r="AU47" i="35" s="1"/>
  <c r="AU48" i="35" s="1"/>
  <c r="AU49" i="35" s="1"/>
  <c r="AU50" i="35" s="1"/>
  <c r="AU51" i="35" s="1"/>
  <c r="AU52" i="35" s="1"/>
  <c r="AU53" i="35" s="1"/>
  <c r="AU54" i="35" s="1"/>
  <c r="AU55" i="35" s="1"/>
  <c r="AU56" i="35" s="1"/>
  <c r="AU57" i="35" s="1"/>
  <c r="AU58" i="35" s="1"/>
  <c r="AU59" i="35" s="1"/>
  <c r="AU60" i="35" s="1"/>
  <c r="AU61" i="35" s="1"/>
  <c r="AU62" i="35" s="1"/>
  <c r="AU63" i="35" s="1"/>
  <c r="AU64" i="35" s="1"/>
  <c r="AU65" i="35" s="1"/>
  <c r="AU66" i="35" s="1"/>
  <c r="AU67" i="35" s="1"/>
  <c r="AU68" i="35" s="1"/>
  <c r="AU69" i="35" s="1"/>
  <c r="AU70" i="35" s="1"/>
  <c r="AU71" i="35" s="1"/>
  <c r="AU72" i="35" s="1"/>
  <c r="AU73" i="35" s="1"/>
  <c r="AU74" i="35" s="1"/>
  <c r="AU75" i="35" s="1"/>
  <c r="AU76" i="35" s="1"/>
  <c r="AU77" i="35" s="1"/>
  <c r="AU78" i="35" s="1"/>
  <c r="AU79" i="35" s="1"/>
  <c r="AU80" i="35" s="1"/>
  <c r="AU81" i="35" s="1"/>
  <c r="AU82" i="35" s="1"/>
  <c r="AU83" i="35" s="1"/>
  <c r="AU84" i="35" s="1"/>
  <c r="AU85" i="35" s="1"/>
  <c r="AU86" i="35" s="1"/>
  <c r="AU87" i="35" s="1"/>
  <c r="AU88" i="35" s="1"/>
  <c r="AU89" i="35" s="1"/>
  <c r="AU90" i="35" s="1"/>
  <c r="AU91" i="35" s="1"/>
  <c r="AU92" i="35" s="1"/>
  <c r="AU93" i="35" s="1"/>
  <c r="AU94" i="35" s="1"/>
  <c r="AU95" i="35" s="1"/>
  <c r="AU96" i="35" s="1"/>
  <c r="AU97" i="35" s="1"/>
  <c r="AU98" i="35" s="1"/>
  <c r="AU99" i="35" s="1"/>
  <c r="AU100" i="35" s="1"/>
  <c r="AU101" i="35" s="1"/>
  <c r="AU102" i="35" s="1"/>
  <c r="AU103" i="35" s="1"/>
  <c r="AU104" i="35" s="1"/>
  <c r="AU105" i="35" s="1"/>
  <c r="AU106" i="35" s="1"/>
  <c r="AU107" i="35" s="1"/>
  <c r="AU108" i="35" s="1"/>
  <c r="AU109" i="35" s="1"/>
  <c r="AU110" i="35" s="1"/>
  <c r="AU111" i="35" s="1"/>
  <c r="AU112" i="35" s="1"/>
  <c r="AU113" i="35" s="1"/>
  <c r="AU114" i="35" s="1"/>
  <c r="AU115" i="35" s="1"/>
  <c r="AU116" i="35" s="1"/>
  <c r="AU117" i="35" s="1"/>
  <c r="AU118" i="35" s="1"/>
  <c r="AU119" i="35" s="1"/>
  <c r="AU120" i="35" s="1"/>
  <c r="AU121" i="35" s="1"/>
  <c r="AU122" i="35" s="1"/>
  <c r="AU123" i="35" s="1"/>
  <c r="AU124" i="35" s="1"/>
  <c r="AU125" i="35" s="1"/>
  <c r="AU126" i="35" s="1"/>
  <c r="AU127" i="35" s="1"/>
  <c r="AU128" i="35" s="1"/>
  <c r="AU129" i="35" s="1"/>
  <c r="AU130" i="35" s="1"/>
  <c r="AU131" i="35" s="1"/>
  <c r="AU132" i="35" s="1"/>
  <c r="AU133" i="35" s="1"/>
  <c r="AU134" i="35" s="1"/>
  <c r="AU135" i="35" s="1"/>
  <c r="AU136" i="35" s="1"/>
  <c r="AU137" i="35" s="1"/>
  <c r="AU138" i="35" s="1"/>
  <c r="AU139" i="35" s="1"/>
  <c r="AU140" i="35" s="1"/>
  <c r="AU141" i="35" s="1"/>
  <c r="AU142" i="35" s="1"/>
  <c r="AU143" i="35" s="1"/>
  <c r="AU144" i="35" s="1"/>
  <c r="AU145" i="35" s="1"/>
  <c r="AU146" i="35" s="1"/>
  <c r="AU147" i="35" s="1"/>
  <c r="AU148" i="35" s="1"/>
  <c r="AU149" i="35" s="1"/>
  <c r="AU150" i="35" s="1"/>
  <c r="AU151" i="35" s="1"/>
  <c r="AU152" i="35" s="1"/>
  <c r="AU153" i="35" s="1"/>
  <c r="AU154" i="35" s="1"/>
  <c r="AU155" i="35" s="1"/>
  <c r="AU156" i="35" s="1"/>
  <c r="AU157" i="35" s="1"/>
  <c r="AU158" i="35" s="1"/>
  <c r="AU159" i="35" s="1"/>
  <c r="AU160" i="35" s="1"/>
  <c r="AU161" i="35" s="1"/>
  <c r="AU162" i="35" s="1"/>
  <c r="AU163" i="35" s="1"/>
  <c r="AU164" i="35" s="1"/>
  <c r="AU165" i="35" s="1"/>
  <c r="AU166" i="35" s="1"/>
  <c r="AU167" i="35" s="1"/>
  <c r="AU168" i="35" s="1"/>
  <c r="AU169" i="35" s="1"/>
  <c r="AU170" i="35" s="1"/>
  <c r="AU171" i="35" s="1"/>
  <c r="AU172" i="35" s="1"/>
  <c r="AU173" i="35" s="1"/>
  <c r="AU174" i="35" s="1"/>
  <c r="AN17" i="35"/>
  <c r="J17" i="35"/>
  <c r="J18" i="35" s="1"/>
  <c r="H17" i="35"/>
  <c r="G17" i="35" s="1"/>
  <c r="BH16" i="35"/>
  <c r="AV16" i="35"/>
  <c r="AN16" i="35"/>
  <c r="BH15" i="35"/>
  <c r="AV15" i="35"/>
  <c r="AN15" i="35"/>
  <c r="BH14" i="35"/>
  <c r="AV14" i="35"/>
  <c r="AN14" i="35"/>
  <c r="BH13" i="35"/>
  <c r="AV13" i="35"/>
  <c r="AN13" i="35"/>
  <c r="O13" i="35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O84" i="35" s="1"/>
  <c r="O85" i="35" s="1"/>
  <c r="O86" i="35" s="1"/>
  <c r="O87" i="35" s="1"/>
  <c r="O88" i="35" s="1"/>
  <c r="O89" i="35" s="1"/>
  <c r="O90" i="35" s="1"/>
  <c r="O91" i="35" s="1"/>
  <c r="O92" i="35" s="1"/>
  <c r="O93" i="35" s="1"/>
  <c r="O94" i="35" s="1"/>
  <c r="O95" i="35" s="1"/>
  <c r="O96" i="35" s="1"/>
  <c r="O97" i="35" s="1"/>
  <c r="O98" i="35" s="1"/>
  <c r="O99" i="35" s="1"/>
  <c r="O100" i="35" s="1"/>
  <c r="O101" i="35" s="1"/>
  <c r="O102" i="35" s="1"/>
  <c r="O103" i="35" s="1"/>
  <c r="O104" i="35" s="1"/>
  <c r="O105" i="35" s="1"/>
  <c r="O106" i="35" s="1"/>
  <c r="O107" i="35" s="1"/>
  <c r="O108" i="35" s="1"/>
  <c r="O109" i="35" s="1"/>
  <c r="O110" i="35" s="1"/>
  <c r="O111" i="35" s="1"/>
  <c r="O112" i="35" s="1"/>
  <c r="O113" i="35" s="1"/>
  <c r="O114" i="35" s="1"/>
  <c r="O115" i="35" s="1"/>
  <c r="O116" i="35" s="1"/>
  <c r="O117" i="35" s="1"/>
  <c r="O118" i="35" s="1"/>
  <c r="O119" i="35" s="1"/>
  <c r="O120" i="35" s="1"/>
  <c r="O121" i="35" s="1"/>
  <c r="O122" i="35" s="1"/>
  <c r="O123" i="35" s="1"/>
  <c r="O124" i="35" s="1"/>
  <c r="O125" i="35" s="1"/>
  <c r="O126" i="35" s="1"/>
  <c r="O127" i="35" s="1"/>
  <c r="O128" i="35" s="1"/>
  <c r="O129" i="35" s="1"/>
  <c r="O130" i="35" s="1"/>
  <c r="O131" i="35" s="1"/>
  <c r="O132" i="35" s="1"/>
  <c r="O133" i="35" s="1"/>
  <c r="O134" i="35" s="1"/>
  <c r="O135" i="35" s="1"/>
  <c r="O136" i="35" s="1"/>
  <c r="O137" i="35" s="1"/>
  <c r="O138" i="35" s="1"/>
  <c r="O139" i="35" s="1"/>
  <c r="O140" i="35" s="1"/>
  <c r="O141" i="35" s="1"/>
  <c r="O142" i="35" s="1"/>
  <c r="O143" i="35" s="1"/>
  <c r="O144" i="35" s="1"/>
  <c r="O145" i="35" s="1"/>
  <c r="O146" i="35" s="1"/>
  <c r="O147" i="35" s="1"/>
  <c r="O148" i="35" s="1"/>
  <c r="O149" i="35" s="1"/>
  <c r="O150" i="35" s="1"/>
  <c r="O151" i="35" s="1"/>
  <c r="O152" i="35" s="1"/>
  <c r="O153" i="35" s="1"/>
  <c r="BH12" i="35"/>
  <c r="AV12" i="35"/>
  <c r="AN12" i="35"/>
  <c r="BH11" i="35"/>
  <c r="AV11" i="35"/>
  <c r="AN11" i="35"/>
  <c r="AK11" i="35"/>
  <c r="AK12" i="35" s="1"/>
  <c r="AK13" i="35" s="1"/>
  <c r="AK14" i="35" s="1"/>
  <c r="AK15" i="35" s="1"/>
  <c r="AK16" i="35" s="1"/>
  <c r="AK17" i="35" s="1"/>
  <c r="AK18" i="35" s="1"/>
  <c r="AK19" i="35" s="1"/>
  <c r="AK20" i="35" s="1"/>
  <c r="AK21" i="35" s="1"/>
  <c r="AK22" i="35" s="1"/>
  <c r="AK23" i="35" s="1"/>
  <c r="AK24" i="35" s="1"/>
  <c r="AK25" i="35" s="1"/>
  <c r="AK26" i="35" s="1"/>
  <c r="AK27" i="35" s="1"/>
  <c r="AK28" i="35" s="1"/>
  <c r="AK29" i="35" s="1"/>
  <c r="AK30" i="35" s="1"/>
  <c r="AK31" i="35" s="1"/>
  <c r="AK32" i="35" s="1"/>
  <c r="AK33" i="35" s="1"/>
  <c r="AK34" i="35" s="1"/>
  <c r="AK35" i="35" s="1"/>
  <c r="AK36" i="35" s="1"/>
  <c r="AK37" i="35" s="1"/>
  <c r="AK38" i="35" s="1"/>
  <c r="AK39" i="35" s="1"/>
  <c r="AK40" i="35" s="1"/>
  <c r="AK41" i="35" s="1"/>
  <c r="AK42" i="35" s="1"/>
  <c r="AK43" i="35" s="1"/>
  <c r="AK44" i="35" s="1"/>
  <c r="AK45" i="35" s="1"/>
  <c r="AK46" i="35" s="1"/>
  <c r="AK47" i="35" s="1"/>
  <c r="AK48" i="35" s="1"/>
  <c r="AK49" i="35" s="1"/>
  <c r="AK50" i="35" s="1"/>
  <c r="AK51" i="35" s="1"/>
  <c r="AK52" i="35" s="1"/>
  <c r="AK53" i="35" s="1"/>
  <c r="AK54" i="35" s="1"/>
  <c r="AK55" i="35" s="1"/>
  <c r="AK56" i="35" s="1"/>
  <c r="AK57" i="35" s="1"/>
  <c r="AK58" i="35" s="1"/>
  <c r="AK59" i="35" s="1"/>
  <c r="AK60" i="35" s="1"/>
  <c r="AK61" i="35" s="1"/>
  <c r="AK62" i="35" s="1"/>
  <c r="AK63" i="35" s="1"/>
  <c r="AK64" i="35" s="1"/>
  <c r="AK65" i="35" s="1"/>
  <c r="AK66" i="35" s="1"/>
  <c r="AK67" i="35" s="1"/>
  <c r="AK68" i="35" s="1"/>
  <c r="AK69" i="35" s="1"/>
  <c r="AK70" i="35" s="1"/>
  <c r="AK71" i="35" s="1"/>
  <c r="AK72" i="35" s="1"/>
  <c r="AK73" i="35" s="1"/>
  <c r="AK74" i="35" s="1"/>
  <c r="AK75" i="35" s="1"/>
  <c r="AK76" i="35" s="1"/>
  <c r="AK77" i="35" s="1"/>
  <c r="AK78" i="35" s="1"/>
  <c r="AK79" i="35" s="1"/>
  <c r="AK80" i="35" s="1"/>
  <c r="AK81" i="35" s="1"/>
  <c r="AK82" i="35" s="1"/>
  <c r="AK83" i="35" s="1"/>
  <c r="AK84" i="35" s="1"/>
  <c r="AK85" i="35" s="1"/>
  <c r="AK86" i="35" s="1"/>
  <c r="AK87" i="35" s="1"/>
  <c r="AK88" i="35" s="1"/>
  <c r="AK89" i="35" s="1"/>
  <c r="AK90" i="35" s="1"/>
  <c r="AK91" i="35" s="1"/>
  <c r="AK92" i="35" s="1"/>
  <c r="AK93" i="35" s="1"/>
  <c r="AK94" i="35" s="1"/>
  <c r="AK95" i="35" s="1"/>
  <c r="AK96" i="35" s="1"/>
  <c r="AK97" i="35" s="1"/>
  <c r="AK98" i="35" s="1"/>
  <c r="AK99" i="35" s="1"/>
  <c r="AK100" i="35" s="1"/>
  <c r="AK101" i="35" s="1"/>
  <c r="AK102" i="35" s="1"/>
  <c r="AK103" i="35" s="1"/>
  <c r="AK104" i="35" s="1"/>
  <c r="AK105" i="35" s="1"/>
  <c r="AK106" i="35" s="1"/>
  <c r="AK107" i="35" s="1"/>
  <c r="AK108" i="35" s="1"/>
  <c r="AK109" i="35" s="1"/>
  <c r="AK110" i="35" s="1"/>
  <c r="AK111" i="35" s="1"/>
  <c r="AK112" i="35" s="1"/>
  <c r="AK113" i="35" s="1"/>
  <c r="AK114" i="35" s="1"/>
  <c r="AK115" i="35" s="1"/>
  <c r="AK116" i="35" s="1"/>
  <c r="AK117" i="35" s="1"/>
  <c r="AK118" i="35" s="1"/>
  <c r="AK119" i="35" s="1"/>
  <c r="AK120" i="35" s="1"/>
  <c r="AK121" i="35" s="1"/>
  <c r="AK122" i="35" s="1"/>
  <c r="AK123" i="35" s="1"/>
  <c r="AK124" i="35" s="1"/>
  <c r="AK125" i="35" s="1"/>
  <c r="AK126" i="35" s="1"/>
  <c r="AK127" i="35" s="1"/>
  <c r="AK128" i="35" s="1"/>
  <c r="AK129" i="35" s="1"/>
  <c r="AK130" i="35" s="1"/>
  <c r="AK131" i="35" s="1"/>
  <c r="AK132" i="35" s="1"/>
  <c r="AK133" i="35" s="1"/>
  <c r="AK134" i="35" s="1"/>
  <c r="AK135" i="35" s="1"/>
  <c r="AK136" i="35" s="1"/>
  <c r="AK137" i="35" s="1"/>
  <c r="AK138" i="35" s="1"/>
  <c r="AK139" i="35" s="1"/>
  <c r="AK140" i="35" s="1"/>
  <c r="AK141" i="35" s="1"/>
  <c r="AK142" i="35" s="1"/>
  <c r="AK143" i="35" s="1"/>
  <c r="AK144" i="35" s="1"/>
  <c r="AK145" i="35" s="1"/>
  <c r="AK146" i="35" s="1"/>
  <c r="AK147" i="35" s="1"/>
  <c r="AK148" i="35" s="1"/>
  <c r="AK149" i="35" s="1"/>
  <c r="AK150" i="35" s="1"/>
  <c r="AK151" i="35" s="1"/>
  <c r="AK152" i="35" s="1"/>
  <c r="AK153" i="35" s="1"/>
  <c r="X11" i="35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X84" i="35" s="1"/>
  <c r="X85" i="35" s="1"/>
  <c r="X86" i="35" s="1"/>
  <c r="X87" i="35" s="1"/>
  <c r="X88" i="35" s="1"/>
  <c r="X89" i="35" s="1"/>
  <c r="X90" i="35" s="1"/>
  <c r="X91" i="35" s="1"/>
  <c r="X92" i="35" s="1"/>
  <c r="X93" i="35" s="1"/>
  <c r="X94" i="35" s="1"/>
  <c r="X95" i="35" s="1"/>
  <c r="X96" i="35" s="1"/>
  <c r="X97" i="35" s="1"/>
  <c r="X98" i="35" s="1"/>
  <c r="X99" i="35" s="1"/>
  <c r="X100" i="35" s="1"/>
  <c r="X101" i="35" s="1"/>
  <c r="X102" i="35" s="1"/>
  <c r="X103" i="35" s="1"/>
  <c r="X104" i="35" s="1"/>
  <c r="X105" i="35" s="1"/>
  <c r="X106" i="35" s="1"/>
  <c r="X107" i="35" s="1"/>
  <c r="X108" i="35" s="1"/>
  <c r="X109" i="35" s="1"/>
  <c r="X110" i="35" s="1"/>
  <c r="X111" i="35" s="1"/>
  <c r="X112" i="35" s="1"/>
  <c r="X113" i="35" s="1"/>
  <c r="X114" i="35" s="1"/>
  <c r="X115" i="35" s="1"/>
  <c r="X116" i="35" s="1"/>
  <c r="X117" i="35" s="1"/>
  <c r="X118" i="35" s="1"/>
  <c r="X119" i="35" s="1"/>
  <c r="X120" i="35" s="1"/>
  <c r="X121" i="35" s="1"/>
  <c r="X122" i="35" s="1"/>
  <c r="X123" i="35" s="1"/>
  <c r="X124" i="35" s="1"/>
  <c r="X125" i="35" s="1"/>
  <c r="X126" i="35" s="1"/>
  <c r="X127" i="35" s="1"/>
  <c r="X128" i="35" s="1"/>
  <c r="X129" i="35" s="1"/>
  <c r="X130" i="35" s="1"/>
  <c r="X131" i="35" s="1"/>
  <c r="X132" i="35" s="1"/>
  <c r="X133" i="35" s="1"/>
  <c r="X134" i="35" s="1"/>
  <c r="X135" i="35" s="1"/>
  <c r="X136" i="35" s="1"/>
  <c r="X137" i="35" s="1"/>
  <c r="X138" i="35" s="1"/>
  <c r="X139" i="35" s="1"/>
  <c r="X140" i="35" s="1"/>
  <c r="X141" i="35" s="1"/>
  <c r="X142" i="35" s="1"/>
  <c r="X143" i="35" s="1"/>
  <c r="X144" i="35" s="1"/>
  <c r="X145" i="35" s="1"/>
  <c r="X146" i="35" s="1"/>
  <c r="X147" i="35" s="1"/>
  <c r="X148" i="35" s="1"/>
  <c r="X149" i="35" s="1"/>
  <c r="X150" i="35" s="1"/>
  <c r="X151" i="35" s="1"/>
  <c r="X152" i="35" s="1"/>
  <c r="X153" i="35" s="1"/>
  <c r="O11" i="35"/>
  <c r="O12" i="35" s="1"/>
  <c r="F11" i="35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BR10" i="35"/>
  <c r="BL10" i="35"/>
  <c r="BL11" i="35" s="1"/>
  <c r="BL12" i="35" s="1"/>
  <c r="BL13" i="35" s="1"/>
  <c r="BL14" i="35" s="1"/>
  <c r="BL15" i="35" s="1"/>
  <c r="BL16" i="35" s="1"/>
  <c r="BH10" i="35"/>
  <c r="BF10" i="35"/>
  <c r="AZ10" i="35"/>
  <c r="AZ11" i="35" s="1"/>
  <c r="E11" i="35" s="1"/>
  <c r="AV10" i="35"/>
  <c r="AN10" i="35"/>
  <c r="AM10" i="35"/>
  <c r="AM178" i="35" s="1"/>
  <c r="AE10" i="35"/>
  <c r="AB10" i="35"/>
  <c r="AB11" i="35" s="1"/>
  <c r="AB12" i="35" s="1"/>
  <c r="Z10" i="35"/>
  <c r="V10" i="35"/>
  <c r="U10" i="35"/>
  <c r="U178" i="35" s="1"/>
  <c r="S10" i="35"/>
  <c r="Q10" i="35"/>
  <c r="Q178" i="35" s="1"/>
  <c r="M10" i="35"/>
  <c r="L10" i="35"/>
  <c r="J10" i="35"/>
  <c r="J11" i="35" s="1"/>
  <c r="J12" i="35" s="1"/>
  <c r="H10" i="35"/>
  <c r="H178" i="35" s="1"/>
  <c r="C7" i="35"/>
  <c r="BH5" i="35"/>
  <c r="BJ5" i="35" s="1"/>
  <c r="BM58" i="35" s="1"/>
  <c r="BM59" i="35" s="1"/>
  <c r="BM60" i="35" s="1"/>
  <c r="BM61" i="35" s="1"/>
  <c r="BM62" i="35" s="1"/>
  <c r="BM63" i="35" s="1"/>
  <c r="BM64" i="35" s="1"/>
  <c r="BM65" i="35" s="1"/>
  <c r="BM66" i="35" s="1"/>
  <c r="BM67" i="35" s="1"/>
  <c r="BM68" i="35" s="1"/>
  <c r="BM69" i="35" s="1"/>
  <c r="BM70" i="35" s="1"/>
  <c r="BM71" i="35" s="1"/>
  <c r="BM72" i="35" s="1"/>
  <c r="BM73" i="35" s="1"/>
  <c r="BM74" i="35" s="1"/>
  <c r="BM75" i="35" s="1"/>
  <c r="BM76" i="35" s="1"/>
  <c r="BM77" i="35" s="1"/>
  <c r="BM78" i="35" s="1"/>
  <c r="BM79" i="35" s="1"/>
  <c r="BM80" i="35" s="1"/>
  <c r="BM81" i="35" s="1"/>
  <c r="BM82" i="35" s="1"/>
  <c r="BM83" i="35" s="1"/>
  <c r="BM84" i="35" s="1"/>
  <c r="BM85" i="35" s="1"/>
  <c r="BM86" i="35" s="1"/>
  <c r="BM87" i="35" s="1"/>
  <c r="BM88" i="35" s="1"/>
  <c r="BM89" i="35" s="1"/>
  <c r="BM90" i="35" s="1"/>
  <c r="BM91" i="35" s="1"/>
  <c r="BM92" i="35" s="1"/>
  <c r="BM93" i="35" s="1"/>
  <c r="BM94" i="35" s="1"/>
  <c r="BM95" i="35" s="1"/>
  <c r="BM96" i="35" s="1"/>
  <c r="BM97" i="35" s="1"/>
  <c r="BM98" i="35" s="1"/>
  <c r="BM99" i="35" s="1"/>
  <c r="BM100" i="35" s="1"/>
  <c r="BM101" i="35" s="1"/>
  <c r="BM102" i="35" s="1"/>
  <c r="BM103" i="35" s="1"/>
  <c r="BM104" i="35" s="1"/>
  <c r="BM105" i="35" s="1"/>
  <c r="BM106" i="35" s="1"/>
  <c r="BM107" i="35" s="1"/>
  <c r="BM108" i="35" s="1"/>
  <c r="BM109" i="35" s="1"/>
  <c r="BM110" i="35" s="1"/>
  <c r="BM111" i="35" s="1"/>
  <c r="BM112" i="35" s="1"/>
  <c r="BM113" i="35" s="1"/>
  <c r="BM114" i="35" s="1"/>
  <c r="BM115" i="35" s="1"/>
  <c r="BM116" i="35" s="1"/>
  <c r="BM117" i="35" s="1"/>
  <c r="BM118" i="35" s="1"/>
  <c r="BM119" i="35" s="1"/>
  <c r="BM120" i="35" s="1"/>
  <c r="BM121" i="35" s="1"/>
  <c r="BM122" i="35" s="1"/>
  <c r="BM123" i="35" s="1"/>
  <c r="BM124" i="35" s="1"/>
  <c r="BM125" i="35" s="1"/>
  <c r="BM126" i="35" s="1"/>
  <c r="BM127" i="35" s="1"/>
  <c r="BM128" i="35" s="1"/>
  <c r="BM129" i="35" s="1"/>
  <c r="BM130" i="35" s="1"/>
  <c r="BM131" i="35" s="1"/>
  <c r="BM132" i="35" s="1"/>
  <c r="BM133" i="35" s="1"/>
  <c r="BM134" i="35" s="1"/>
  <c r="BM135" i="35" s="1"/>
  <c r="BM136" i="35" s="1"/>
  <c r="BM137" i="35" s="1"/>
  <c r="BM138" i="35" s="1"/>
  <c r="BM139" i="35" s="1"/>
  <c r="BM140" i="35" s="1"/>
  <c r="BM141" i="35" s="1"/>
  <c r="BM142" i="35" s="1"/>
  <c r="BM143" i="35" s="1"/>
  <c r="BM144" i="35" s="1"/>
  <c r="BM145" i="35" s="1"/>
  <c r="BM146" i="35" s="1"/>
  <c r="BM147" i="35" s="1"/>
  <c r="BM148" i="35" s="1"/>
  <c r="BM149" i="35" s="1"/>
  <c r="BM150" i="35" s="1"/>
  <c r="BM151" i="35" s="1"/>
  <c r="BM152" i="35" s="1"/>
  <c r="BM153" i="35" s="1"/>
  <c r="BM154" i="35" s="1"/>
  <c r="BM155" i="35" s="1"/>
  <c r="BM156" i="35" s="1"/>
  <c r="BM157" i="35" s="1"/>
  <c r="BM158" i="35" s="1"/>
  <c r="BM159" i="35" s="1"/>
  <c r="BM160" i="35" s="1"/>
  <c r="BM161" i="35" s="1"/>
  <c r="BM162" i="35" s="1"/>
  <c r="BM163" i="35" s="1"/>
  <c r="BM164" i="35" s="1"/>
  <c r="BM165" i="35" s="1"/>
  <c r="BM166" i="35" s="1"/>
  <c r="BM167" i="35" s="1"/>
  <c r="BM168" i="35" s="1"/>
  <c r="BM169" i="35" s="1"/>
  <c r="BM170" i="35" s="1"/>
  <c r="BM171" i="35" s="1"/>
  <c r="BM172" i="35" s="1"/>
  <c r="BM173" i="35" s="1"/>
  <c r="BM174" i="35" s="1"/>
  <c r="BM175" i="35" s="1"/>
  <c r="BM176" i="35" s="1"/>
  <c r="BM177" i="35" s="1"/>
  <c r="AZ5" i="35"/>
  <c r="BA5" i="35" s="1"/>
  <c r="BL202" i="16"/>
  <c r="BK202" i="16"/>
  <c r="AS202" i="16"/>
  <c r="BS166" i="16"/>
  <c r="BS154" i="16"/>
  <c r="BS142" i="16"/>
  <c r="BG142" i="16"/>
  <c r="BS130" i="16"/>
  <c r="BS118" i="16"/>
  <c r="BS106" i="16"/>
  <c r="AR106" i="16"/>
  <c r="BS94" i="16"/>
  <c r="AR94" i="16"/>
  <c r="BS82" i="16"/>
  <c r="AR82" i="16"/>
  <c r="AW79" i="16"/>
  <c r="AW78" i="16"/>
  <c r="BS70" i="16"/>
  <c r="AR70" i="16"/>
  <c r="AN76" i="16" s="1"/>
  <c r="AE70" i="16"/>
  <c r="BS58" i="16"/>
  <c r="BG58" i="16"/>
  <c r="BF58" i="16"/>
  <c r="AR58" i="16"/>
  <c r="AE58" i="16"/>
  <c r="V58" i="16"/>
  <c r="AN57" i="16"/>
  <c r="BI56" i="16"/>
  <c r="BC56" i="16"/>
  <c r="AW56" i="16"/>
  <c r="AN56" i="16"/>
  <c r="BI55" i="16"/>
  <c r="AW55" i="16"/>
  <c r="AN55" i="16"/>
  <c r="BI54" i="16"/>
  <c r="AW54" i="16"/>
  <c r="AN54" i="16"/>
  <c r="BI53" i="16"/>
  <c r="AW53" i="16"/>
  <c r="AN53" i="16"/>
  <c r="BI52" i="16"/>
  <c r="AW52" i="16"/>
  <c r="AN52" i="16"/>
  <c r="BI51" i="16"/>
  <c r="AW51" i="16"/>
  <c r="AN51" i="16"/>
  <c r="BI50" i="16"/>
  <c r="AW50" i="16"/>
  <c r="AN50" i="16"/>
  <c r="BI49" i="16"/>
  <c r="AW49" i="16"/>
  <c r="AN49" i="16"/>
  <c r="BI48" i="16"/>
  <c r="AN48" i="16"/>
  <c r="BI47" i="16"/>
  <c r="AN47" i="16"/>
  <c r="BS46" i="16"/>
  <c r="BI46" i="16"/>
  <c r="BG46" i="16"/>
  <c r="AW46" i="16"/>
  <c r="AN46" i="16"/>
  <c r="AE46" i="16"/>
  <c r="V46" i="16"/>
  <c r="M46" i="16"/>
  <c r="BI45" i="16"/>
  <c r="AN45" i="16"/>
  <c r="BI44" i="16"/>
  <c r="AW44" i="16"/>
  <c r="AN44" i="16"/>
  <c r="BI43" i="16"/>
  <c r="AW43" i="16"/>
  <c r="AN43" i="16"/>
  <c r="BI42" i="16"/>
  <c r="AN42" i="16"/>
  <c r="BI41" i="16"/>
  <c r="AW41" i="16"/>
  <c r="AN41" i="16"/>
  <c r="BI40" i="16"/>
  <c r="AW40" i="16"/>
  <c r="AN40" i="16"/>
  <c r="BI39" i="16"/>
  <c r="AW39" i="16"/>
  <c r="AN39" i="16"/>
  <c r="BI38" i="16"/>
  <c r="BB38" i="16"/>
  <c r="AW38" i="16"/>
  <c r="AN38" i="16"/>
  <c r="BI37" i="16"/>
  <c r="AW37" i="16"/>
  <c r="AN37" i="16"/>
  <c r="BI36" i="16"/>
  <c r="AW36" i="16"/>
  <c r="AN36" i="16"/>
  <c r="BI35" i="16"/>
  <c r="AN35" i="16"/>
  <c r="AB35" i="16"/>
  <c r="AB36" i="16" s="1"/>
  <c r="AB37" i="16" s="1"/>
  <c r="AB38" i="16" s="1"/>
  <c r="Z39" i="16" s="1"/>
  <c r="Y39" i="16" s="1"/>
  <c r="Z35" i="16"/>
  <c r="Y35" i="16" s="1"/>
  <c r="BS34" i="16"/>
  <c r="BR34" i="16"/>
  <c r="BI34" i="16"/>
  <c r="BG34" i="16"/>
  <c r="AN34" i="16"/>
  <c r="AE34" i="16"/>
  <c r="V34" i="16"/>
  <c r="M34" i="16"/>
  <c r="AW33" i="16"/>
  <c r="AN33" i="16"/>
  <c r="AN32" i="16"/>
  <c r="AW31" i="16"/>
  <c r="AN31" i="16"/>
  <c r="AN30" i="16"/>
  <c r="AN29" i="16"/>
  <c r="AW28" i="16"/>
  <c r="AN28" i="16"/>
  <c r="AN27" i="16"/>
  <c r="AN26" i="16"/>
  <c r="BB25" i="16"/>
  <c r="AN25" i="16"/>
  <c r="AN24" i="16"/>
  <c r="AN23" i="16"/>
  <c r="S23" i="16"/>
  <c r="Q23" i="16"/>
  <c r="P23" i="16" s="1"/>
  <c r="BS22" i="16"/>
  <c r="BG22" i="16"/>
  <c r="AN22" i="16"/>
  <c r="AE22" i="16"/>
  <c r="V22" i="16"/>
  <c r="M22" i="16"/>
  <c r="AN21" i="16"/>
  <c r="AN20" i="16"/>
  <c r="AN19" i="16"/>
  <c r="AN18" i="16"/>
  <c r="BB17" i="16"/>
  <c r="BB18" i="16" s="1"/>
  <c r="BB19" i="16" s="1"/>
  <c r="BB20" i="16" s="1"/>
  <c r="BB21" i="16" s="1"/>
  <c r="BB22" i="16" s="1"/>
  <c r="BB23" i="16" s="1"/>
  <c r="AU17" i="16"/>
  <c r="AU18" i="16" s="1"/>
  <c r="AU19" i="16" s="1"/>
  <c r="AU20" i="16" s="1"/>
  <c r="AU21" i="16" s="1"/>
  <c r="AU22" i="16" s="1"/>
  <c r="AU23" i="16" s="1"/>
  <c r="AU24" i="16" s="1"/>
  <c r="AU25" i="16" s="1"/>
  <c r="AU26" i="16" s="1"/>
  <c r="AU27" i="16" s="1"/>
  <c r="AU28" i="16" s="1"/>
  <c r="AU29" i="16" s="1"/>
  <c r="AU30" i="16" s="1"/>
  <c r="AU31" i="16" s="1"/>
  <c r="AU32" i="16" s="1"/>
  <c r="AU33" i="16" s="1"/>
  <c r="AU34" i="16" s="1"/>
  <c r="AU35" i="16" s="1"/>
  <c r="AU36" i="16" s="1"/>
  <c r="AU37" i="16" s="1"/>
  <c r="AU38" i="16" s="1"/>
  <c r="AU39" i="16" s="1"/>
  <c r="AU40" i="16" s="1"/>
  <c r="AU41" i="16" s="1"/>
  <c r="AU42" i="16" s="1"/>
  <c r="AU43" i="16" s="1"/>
  <c r="AU44" i="16" s="1"/>
  <c r="AU45" i="16" s="1"/>
  <c r="AU46" i="16" s="1"/>
  <c r="AU47" i="16" s="1"/>
  <c r="AU48" i="16" s="1"/>
  <c r="AU49" i="16" s="1"/>
  <c r="AU50" i="16" s="1"/>
  <c r="AU51" i="16" s="1"/>
  <c r="AU52" i="16" s="1"/>
  <c r="AU53" i="16" s="1"/>
  <c r="AU54" i="16" s="1"/>
  <c r="AU55" i="16" s="1"/>
  <c r="AU56" i="16" s="1"/>
  <c r="AU57" i="16" s="1"/>
  <c r="AU58" i="16" s="1"/>
  <c r="AU59" i="16" s="1"/>
  <c r="AU60" i="16" s="1"/>
  <c r="AU61" i="16" s="1"/>
  <c r="AU62" i="16" s="1"/>
  <c r="AU63" i="16" s="1"/>
  <c r="AU64" i="16" s="1"/>
  <c r="AU65" i="16" s="1"/>
  <c r="AU66" i="16" s="1"/>
  <c r="AU67" i="16" s="1"/>
  <c r="AU68" i="16" s="1"/>
  <c r="AU69" i="16" s="1"/>
  <c r="AU70" i="16" s="1"/>
  <c r="AU71" i="16" s="1"/>
  <c r="AU72" i="16" s="1"/>
  <c r="AU73" i="16" s="1"/>
  <c r="AU74" i="16" s="1"/>
  <c r="AU75" i="16" s="1"/>
  <c r="AU76" i="16" s="1"/>
  <c r="AU77" i="16" s="1"/>
  <c r="AU78" i="16" s="1"/>
  <c r="AU79" i="16" s="1"/>
  <c r="AU80" i="16" s="1"/>
  <c r="AU81" i="16" s="1"/>
  <c r="AU82" i="16" s="1"/>
  <c r="AU83" i="16" s="1"/>
  <c r="AU84" i="16" s="1"/>
  <c r="AU85" i="16" s="1"/>
  <c r="AU86" i="16" s="1"/>
  <c r="AU87" i="16" s="1"/>
  <c r="AU88" i="16" s="1"/>
  <c r="AU89" i="16" s="1"/>
  <c r="AU90" i="16" s="1"/>
  <c r="AU91" i="16" s="1"/>
  <c r="AU92" i="16" s="1"/>
  <c r="AU93" i="16" s="1"/>
  <c r="AU94" i="16" s="1"/>
  <c r="AU95" i="16" s="1"/>
  <c r="AU96" i="16" s="1"/>
  <c r="AU97" i="16" s="1"/>
  <c r="AU98" i="16" s="1"/>
  <c r="AU99" i="16" s="1"/>
  <c r="AU100" i="16" s="1"/>
  <c r="AU101" i="16" s="1"/>
  <c r="AU102" i="16" s="1"/>
  <c r="AU103" i="16" s="1"/>
  <c r="AU104" i="16" s="1"/>
  <c r="AU105" i="16" s="1"/>
  <c r="AU106" i="16" s="1"/>
  <c r="AU107" i="16" s="1"/>
  <c r="AU108" i="16" s="1"/>
  <c r="AU109" i="16" s="1"/>
  <c r="AU110" i="16" s="1"/>
  <c r="AU111" i="16" s="1"/>
  <c r="AU112" i="16" s="1"/>
  <c r="AU113" i="16" s="1"/>
  <c r="AU114" i="16" s="1"/>
  <c r="AU115" i="16" s="1"/>
  <c r="AU116" i="16" s="1"/>
  <c r="AU117" i="16" s="1"/>
  <c r="AU118" i="16" s="1"/>
  <c r="AU119" i="16" s="1"/>
  <c r="AU120" i="16" s="1"/>
  <c r="AU121" i="16" s="1"/>
  <c r="AU122" i="16" s="1"/>
  <c r="AU123" i="16" s="1"/>
  <c r="AU124" i="16" s="1"/>
  <c r="AU125" i="16" s="1"/>
  <c r="AU126" i="16" s="1"/>
  <c r="AU127" i="16" s="1"/>
  <c r="AU128" i="16" s="1"/>
  <c r="AU129" i="16" s="1"/>
  <c r="AU130" i="16" s="1"/>
  <c r="AU131" i="16" s="1"/>
  <c r="AU132" i="16" s="1"/>
  <c r="AU133" i="16" s="1"/>
  <c r="AU134" i="16" s="1"/>
  <c r="AU135" i="16" s="1"/>
  <c r="AU136" i="16" s="1"/>
  <c r="AU137" i="16" s="1"/>
  <c r="AU138" i="16" s="1"/>
  <c r="AU139" i="16" s="1"/>
  <c r="AU140" i="16" s="1"/>
  <c r="AU141" i="16" s="1"/>
  <c r="AU142" i="16" s="1"/>
  <c r="AU143" i="16" s="1"/>
  <c r="AU144" i="16" s="1"/>
  <c r="AU145" i="16" s="1"/>
  <c r="AU146" i="16" s="1"/>
  <c r="AU147" i="16" s="1"/>
  <c r="AU148" i="16" s="1"/>
  <c r="AU149" i="16" s="1"/>
  <c r="AU150" i="16" s="1"/>
  <c r="AU151" i="16" s="1"/>
  <c r="AU152" i="16" s="1"/>
  <c r="AU153" i="16" s="1"/>
  <c r="AN17" i="16"/>
  <c r="J17" i="16"/>
  <c r="H18" i="16" s="1"/>
  <c r="G18" i="16" s="1"/>
  <c r="H17" i="16"/>
  <c r="G17" i="16" s="1"/>
  <c r="BI16" i="16"/>
  <c r="AV16" i="16"/>
  <c r="AN16" i="16"/>
  <c r="BI15" i="16"/>
  <c r="AV15" i="16"/>
  <c r="AN15" i="16"/>
  <c r="BI14" i="16"/>
  <c r="AV14" i="16"/>
  <c r="AN14" i="16"/>
  <c r="BI13" i="16"/>
  <c r="AV13" i="16"/>
  <c r="AN13" i="16"/>
  <c r="BI12" i="16"/>
  <c r="AV12" i="16"/>
  <c r="AN12" i="16"/>
  <c r="BI11" i="16"/>
  <c r="AV11" i="16"/>
  <c r="AN11" i="16"/>
  <c r="AK11" i="16"/>
  <c r="AK12" i="16" s="1"/>
  <c r="AK13" i="16" s="1"/>
  <c r="AK14" i="16" s="1"/>
  <c r="AK15" i="16" s="1"/>
  <c r="AK16" i="16" s="1"/>
  <c r="AK17" i="16" s="1"/>
  <c r="AK18" i="16" s="1"/>
  <c r="AK19" i="16" s="1"/>
  <c r="AK20" i="16" s="1"/>
  <c r="AK21" i="16" s="1"/>
  <c r="AK22" i="16" s="1"/>
  <c r="AK23" i="16" s="1"/>
  <c r="AK24" i="16" s="1"/>
  <c r="AK25" i="16" s="1"/>
  <c r="AK26" i="16" s="1"/>
  <c r="AK27" i="16" s="1"/>
  <c r="AK28" i="16" s="1"/>
  <c r="AK29" i="16" s="1"/>
  <c r="AK30" i="16" s="1"/>
  <c r="AK31" i="16" s="1"/>
  <c r="AK32" i="16" s="1"/>
  <c r="AK33" i="16" s="1"/>
  <c r="AK34" i="16" s="1"/>
  <c r="AK35" i="16" s="1"/>
  <c r="AK36" i="16" s="1"/>
  <c r="AK37" i="16" s="1"/>
  <c r="AK38" i="16" s="1"/>
  <c r="AK39" i="16" s="1"/>
  <c r="AK40" i="16" s="1"/>
  <c r="AK41" i="16" s="1"/>
  <c r="AK42" i="16" s="1"/>
  <c r="AK43" i="16" s="1"/>
  <c r="AK44" i="16" s="1"/>
  <c r="AK45" i="16" s="1"/>
  <c r="AK46" i="16" s="1"/>
  <c r="AK47" i="16" s="1"/>
  <c r="AK48" i="16" s="1"/>
  <c r="AK49" i="16" s="1"/>
  <c r="AK50" i="16" s="1"/>
  <c r="AK51" i="16" s="1"/>
  <c r="AK52" i="16" s="1"/>
  <c r="AK53" i="16" s="1"/>
  <c r="AK54" i="16" s="1"/>
  <c r="AK55" i="16" s="1"/>
  <c r="AK56" i="16" s="1"/>
  <c r="AK57" i="16" s="1"/>
  <c r="AK58" i="16" s="1"/>
  <c r="AK59" i="16" s="1"/>
  <c r="AK60" i="16" s="1"/>
  <c r="AK61" i="16" s="1"/>
  <c r="AK62" i="16" s="1"/>
  <c r="AK63" i="16" s="1"/>
  <c r="AK64" i="16" s="1"/>
  <c r="AK65" i="16" s="1"/>
  <c r="AK66" i="16" s="1"/>
  <c r="AK67" i="16" s="1"/>
  <c r="AK68" i="16" s="1"/>
  <c r="AK69" i="16" s="1"/>
  <c r="AK70" i="16" s="1"/>
  <c r="AK71" i="16" s="1"/>
  <c r="AK72" i="16" s="1"/>
  <c r="AK73" i="16" s="1"/>
  <c r="AK74" i="16" s="1"/>
  <c r="AK75" i="16" s="1"/>
  <c r="AK76" i="16" s="1"/>
  <c r="AK77" i="16" s="1"/>
  <c r="AK78" i="16" s="1"/>
  <c r="AK79" i="16" s="1"/>
  <c r="AK80" i="16" s="1"/>
  <c r="AK81" i="16" s="1"/>
  <c r="AK82" i="16" s="1"/>
  <c r="AK83" i="16" s="1"/>
  <c r="AK84" i="16" s="1"/>
  <c r="AK85" i="16" s="1"/>
  <c r="AK86" i="16" s="1"/>
  <c r="AK87" i="16" s="1"/>
  <c r="AK88" i="16" s="1"/>
  <c r="AK89" i="16" s="1"/>
  <c r="AK90" i="16" s="1"/>
  <c r="AK91" i="16" s="1"/>
  <c r="AK92" i="16" s="1"/>
  <c r="AK93" i="16" s="1"/>
  <c r="AK94" i="16" s="1"/>
  <c r="AK95" i="16" s="1"/>
  <c r="AK96" i="16" s="1"/>
  <c r="AK97" i="16" s="1"/>
  <c r="AK98" i="16" s="1"/>
  <c r="AK99" i="16" s="1"/>
  <c r="AK100" i="16" s="1"/>
  <c r="AK101" i="16" s="1"/>
  <c r="AK102" i="16" s="1"/>
  <c r="AK103" i="16" s="1"/>
  <c r="AK104" i="16" s="1"/>
  <c r="AK105" i="16" s="1"/>
  <c r="AK106" i="16" s="1"/>
  <c r="AK107" i="16" s="1"/>
  <c r="AK108" i="16" s="1"/>
  <c r="AK109" i="16" s="1"/>
  <c r="AK110" i="16" s="1"/>
  <c r="AK111" i="16" s="1"/>
  <c r="AK112" i="16" s="1"/>
  <c r="AK113" i="16" s="1"/>
  <c r="AK114" i="16" s="1"/>
  <c r="AK115" i="16" s="1"/>
  <c r="AK116" i="16" s="1"/>
  <c r="AK117" i="16" s="1"/>
  <c r="AK118" i="16" s="1"/>
  <c r="AK119" i="16" s="1"/>
  <c r="AK120" i="16" s="1"/>
  <c r="AK121" i="16" s="1"/>
  <c r="AK122" i="16" s="1"/>
  <c r="AK123" i="16" s="1"/>
  <c r="AK124" i="16" s="1"/>
  <c r="AK125" i="16" s="1"/>
  <c r="AK126" i="16" s="1"/>
  <c r="AK127" i="16" s="1"/>
  <c r="AK128" i="16" s="1"/>
  <c r="AK129" i="16" s="1"/>
  <c r="AK130" i="16" s="1"/>
  <c r="AK131" i="16" s="1"/>
  <c r="AK132" i="16" s="1"/>
  <c r="AK133" i="16" s="1"/>
  <c r="AK134" i="16" s="1"/>
  <c r="AK135" i="16" s="1"/>
  <c r="AK136" i="16" s="1"/>
  <c r="AK137" i="16" s="1"/>
  <c r="AK138" i="16" s="1"/>
  <c r="AK139" i="16" s="1"/>
  <c r="AK140" i="16" s="1"/>
  <c r="AK141" i="16" s="1"/>
  <c r="AK142" i="16" s="1"/>
  <c r="AK143" i="16" s="1"/>
  <c r="AK144" i="16" s="1"/>
  <c r="AK145" i="16" s="1"/>
  <c r="AK146" i="16" s="1"/>
  <c r="AK147" i="16" s="1"/>
  <c r="AK148" i="16" s="1"/>
  <c r="AK149" i="16" s="1"/>
  <c r="AK150" i="16" s="1"/>
  <c r="AK151" i="16" s="1"/>
  <c r="AK152" i="16" s="1"/>
  <c r="AK153" i="16" s="1"/>
  <c r="X11" i="16"/>
  <c r="X12" i="16" s="1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X84" i="16" s="1"/>
  <c r="X85" i="16" s="1"/>
  <c r="X86" i="16" s="1"/>
  <c r="X87" i="16" s="1"/>
  <c r="X88" i="16" s="1"/>
  <c r="X89" i="16" s="1"/>
  <c r="X90" i="16" s="1"/>
  <c r="X91" i="16" s="1"/>
  <c r="X92" i="16" s="1"/>
  <c r="X93" i="16" s="1"/>
  <c r="X94" i="16" s="1"/>
  <c r="X95" i="16" s="1"/>
  <c r="X96" i="16" s="1"/>
  <c r="X97" i="16" s="1"/>
  <c r="X98" i="16" s="1"/>
  <c r="X99" i="16" s="1"/>
  <c r="X100" i="16" s="1"/>
  <c r="X101" i="16" s="1"/>
  <c r="X102" i="16" s="1"/>
  <c r="X103" i="16" s="1"/>
  <c r="X104" i="16" s="1"/>
  <c r="X105" i="16" s="1"/>
  <c r="X106" i="16" s="1"/>
  <c r="X107" i="16" s="1"/>
  <c r="X108" i="16" s="1"/>
  <c r="X109" i="16" s="1"/>
  <c r="X110" i="16" s="1"/>
  <c r="X111" i="16" s="1"/>
  <c r="X112" i="16" s="1"/>
  <c r="X113" i="16" s="1"/>
  <c r="X114" i="16" s="1"/>
  <c r="X115" i="16" s="1"/>
  <c r="X116" i="16" s="1"/>
  <c r="X117" i="16" s="1"/>
  <c r="X118" i="16" s="1"/>
  <c r="X119" i="16" s="1"/>
  <c r="X120" i="16" s="1"/>
  <c r="X121" i="16" s="1"/>
  <c r="X122" i="16" s="1"/>
  <c r="X123" i="16" s="1"/>
  <c r="X124" i="16" s="1"/>
  <c r="X125" i="16" s="1"/>
  <c r="X126" i="16" s="1"/>
  <c r="X127" i="16" s="1"/>
  <c r="X128" i="16" s="1"/>
  <c r="X129" i="16" s="1"/>
  <c r="X130" i="16" s="1"/>
  <c r="X131" i="16" s="1"/>
  <c r="X132" i="16" s="1"/>
  <c r="X133" i="16" s="1"/>
  <c r="X134" i="16" s="1"/>
  <c r="X135" i="16" s="1"/>
  <c r="X136" i="16" s="1"/>
  <c r="X137" i="16" s="1"/>
  <c r="X138" i="16" s="1"/>
  <c r="X139" i="16" s="1"/>
  <c r="X140" i="16" s="1"/>
  <c r="X141" i="16" s="1"/>
  <c r="X142" i="16" s="1"/>
  <c r="X143" i="16" s="1"/>
  <c r="X144" i="16" s="1"/>
  <c r="X145" i="16" s="1"/>
  <c r="X146" i="16" s="1"/>
  <c r="X147" i="16" s="1"/>
  <c r="X148" i="16" s="1"/>
  <c r="X149" i="16" s="1"/>
  <c r="X150" i="16" s="1"/>
  <c r="X151" i="16" s="1"/>
  <c r="X152" i="16" s="1"/>
  <c r="X153" i="16" s="1"/>
  <c r="O11" i="16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2" i="16" s="1"/>
  <c r="O93" i="16" s="1"/>
  <c r="O94" i="16" s="1"/>
  <c r="O95" i="16" s="1"/>
  <c r="O96" i="16" s="1"/>
  <c r="O97" i="16" s="1"/>
  <c r="O98" i="16" s="1"/>
  <c r="O99" i="16" s="1"/>
  <c r="O100" i="16" s="1"/>
  <c r="O101" i="16" s="1"/>
  <c r="O102" i="16" s="1"/>
  <c r="O103" i="16" s="1"/>
  <c r="O104" i="16" s="1"/>
  <c r="O105" i="16" s="1"/>
  <c r="O106" i="16" s="1"/>
  <c r="O107" i="16" s="1"/>
  <c r="O108" i="16" s="1"/>
  <c r="O109" i="16" s="1"/>
  <c r="O110" i="16" s="1"/>
  <c r="O111" i="16" s="1"/>
  <c r="O112" i="16" s="1"/>
  <c r="O113" i="16" s="1"/>
  <c r="O114" i="16" s="1"/>
  <c r="O115" i="16" s="1"/>
  <c r="O116" i="16" s="1"/>
  <c r="O117" i="16" s="1"/>
  <c r="O118" i="16" s="1"/>
  <c r="O119" i="16" s="1"/>
  <c r="O120" i="16" s="1"/>
  <c r="O121" i="16" s="1"/>
  <c r="O122" i="16" s="1"/>
  <c r="O123" i="16" s="1"/>
  <c r="O124" i="16" s="1"/>
  <c r="O125" i="16" s="1"/>
  <c r="O126" i="16" s="1"/>
  <c r="O127" i="16" s="1"/>
  <c r="O128" i="16" s="1"/>
  <c r="O129" i="16" s="1"/>
  <c r="O130" i="16" s="1"/>
  <c r="O131" i="16" s="1"/>
  <c r="O132" i="16" s="1"/>
  <c r="O133" i="16" s="1"/>
  <c r="O134" i="16" s="1"/>
  <c r="O135" i="16" s="1"/>
  <c r="O136" i="16" s="1"/>
  <c r="O137" i="16" s="1"/>
  <c r="O138" i="16" s="1"/>
  <c r="O139" i="16" s="1"/>
  <c r="O140" i="16" s="1"/>
  <c r="O141" i="16" s="1"/>
  <c r="O142" i="16" s="1"/>
  <c r="O143" i="16" s="1"/>
  <c r="O144" i="16" s="1"/>
  <c r="O145" i="16" s="1"/>
  <c r="O146" i="16" s="1"/>
  <c r="O147" i="16" s="1"/>
  <c r="O148" i="16" s="1"/>
  <c r="O149" i="16" s="1"/>
  <c r="O150" i="16" s="1"/>
  <c r="O151" i="16" s="1"/>
  <c r="O152" i="16" s="1"/>
  <c r="O153" i="16" s="1"/>
  <c r="F11" i="16"/>
  <c r="F12" i="16" s="1"/>
  <c r="F13" i="16" s="1"/>
  <c r="F14" i="16" s="1"/>
  <c r="F15" i="16" s="1"/>
  <c r="F16" i="16" s="1"/>
  <c r="F17" i="16" s="1"/>
  <c r="F18" i="16" s="1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F32" i="16" s="1"/>
  <c r="F33" i="16" s="1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F47" i="16" s="1"/>
  <c r="F48" i="16" s="1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F62" i="16" s="1"/>
  <c r="F63" i="16" s="1"/>
  <c r="F64" i="16" s="1"/>
  <c r="F65" i="16" s="1"/>
  <c r="F66" i="16" s="1"/>
  <c r="F67" i="16" s="1"/>
  <c r="F68" i="16" s="1"/>
  <c r="F69" i="16" s="1"/>
  <c r="F70" i="16" s="1"/>
  <c r="F71" i="16" s="1"/>
  <c r="F72" i="16" s="1"/>
  <c r="F73" i="16" s="1"/>
  <c r="F74" i="16" s="1"/>
  <c r="F75" i="16" s="1"/>
  <c r="F76" i="16" s="1"/>
  <c r="F77" i="16" s="1"/>
  <c r="F78" i="16" s="1"/>
  <c r="F79" i="16" s="1"/>
  <c r="F80" i="16" s="1"/>
  <c r="F81" i="16" s="1"/>
  <c r="F82" i="16" s="1"/>
  <c r="F83" i="16" s="1"/>
  <c r="F84" i="16" s="1"/>
  <c r="F85" i="16" s="1"/>
  <c r="F86" i="16" s="1"/>
  <c r="F87" i="16" s="1"/>
  <c r="F88" i="16" s="1"/>
  <c r="F89" i="16" s="1"/>
  <c r="F90" i="16" s="1"/>
  <c r="F91" i="16" s="1"/>
  <c r="F92" i="16" s="1"/>
  <c r="F93" i="16" s="1"/>
  <c r="F94" i="16" s="1"/>
  <c r="F95" i="16" s="1"/>
  <c r="F96" i="16" s="1"/>
  <c r="F97" i="16" s="1"/>
  <c r="F98" i="16" s="1"/>
  <c r="F99" i="16" s="1"/>
  <c r="F100" i="16" s="1"/>
  <c r="F101" i="16" s="1"/>
  <c r="F102" i="16" s="1"/>
  <c r="F103" i="16" s="1"/>
  <c r="F104" i="16" s="1"/>
  <c r="F105" i="16" s="1"/>
  <c r="F106" i="16" s="1"/>
  <c r="F107" i="16" s="1"/>
  <c r="F108" i="16" s="1"/>
  <c r="F109" i="16" s="1"/>
  <c r="F110" i="16" s="1"/>
  <c r="F111" i="16" s="1"/>
  <c r="F112" i="16" s="1"/>
  <c r="F113" i="16" s="1"/>
  <c r="F114" i="16" s="1"/>
  <c r="F115" i="16" s="1"/>
  <c r="F116" i="16" s="1"/>
  <c r="F117" i="16" s="1"/>
  <c r="F118" i="16" s="1"/>
  <c r="F119" i="16" s="1"/>
  <c r="F120" i="16" s="1"/>
  <c r="F121" i="16" s="1"/>
  <c r="F122" i="16" s="1"/>
  <c r="F123" i="16" s="1"/>
  <c r="F124" i="16" s="1"/>
  <c r="F125" i="16" s="1"/>
  <c r="F126" i="16" s="1"/>
  <c r="F127" i="16" s="1"/>
  <c r="F128" i="16" s="1"/>
  <c r="F129" i="16" s="1"/>
  <c r="F130" i="16" s="1"/>
  <c r="F131" i="16" s="1"/>
  <c r="F132" i="16" s="1"/>
  <c r="F133" i="16" s="1"/>
  <c r="F134" i="16" s="1"/>
  <c r="F135" i="16" s="1"/>
  <c r="F136" i="16" s="1"/>
  <c r="F137" i="16" s="1"/>
  <c r="F138" i="16" s="1"/>
  <c r="F139" i="16" s="1"/>
  <c r="F140" i="16" s="1"/>
  <c r="F141" i="16" s="1"/>
  <c r="F142" i="16" s="1"/>
  <c r="F143" i="16" s="1"/>
  <c r="F144" i="16" s="1"/>
  <c r="F145" i="16" s="1"/>
  <c r="F146" i="16" s="1"/>
  <c r="F147" i="16" s="1"/>
  <c r="F148" i="16" s="1"/>
  <c r="F149" i="16" s="1"/>
  <c r="F150" i="16" s="1"/>
  <c r="F151" i="16" s="1"/>
  <c r="F152" i="16" s="1"/>
  <c r="F153" i="16" s="1"/>
  <c r="BS10" i="16"/>
  <c r="BM10" i="16"/>
  <c r="BM11" i="16" s="1"/>
  <c r="BM12" i="16" s="1"/>
  <c r="BM13" i="16" s="1"/>
  <c r="BM14" i="16" s="1"/>
  <c r="BM15" i="16" s="1"/>
  <c r="BM16" i="16" s="1"/>
  <c r="BI10" i="16"/>
  <c r="BG10" i="16"/>
  <c r="BA10" i="16"/>
  <c r="E10" i="16" s="1"/>
  <c r="AV10" i="16"/>
  <c r="AN10" i="16"/>
  <c r="AM10" i="16"/>
  <c r="AM202" i="16" s="1"/>
  <c r="AE10" i="16"/>
  <c r="AB10" i="16"/>
  <c r="AB11" i="16" s="1"/>
  <c r="Z10" i="16"/>
  <c r="AD10" i="16" s="1"/>
  <c r="AD202" i="16" s="1"/>
  <c r="V10" i="16"/>
  <c r="S10" i="16"/>
  <c r="S11" i="16" s="1"/>
  <c r="S12" i="16" s="1"/>
  <c r="S13" i="16" s="1"/>
  <c r="S14" i="16" s="1"/>
  <c r="S15" i="16" s="1"/>
  <c r="Q16" i="16" s="1"/>
  <c r="P16" i="16" s="1"/>
  <c r="Q10" i="16"/>
  <c r="Q202" i="16" s="1"/>
  <c r="M10" i="16"/>
  <c r="J10" i="16"/>
  <c r="J11" i="16" s="1"/>
  <c r="H10" i="16"/>
  <c r="L10" i="16" s="1"/>
  <c r="L202" i="16" s="1"/>
  <c r="BI5" i="16"/>
  <c r="BK5" i="16" s="1"/>
  <c r="BN59" i="16" s="1"/>
  <c r="BN60" i="16" s="1"/>
  <c r="BN61" i="16" s="1"/>
  <c r="BN62" i="16" s="1"/>
  <c r="BN63" i="16" s="1"/>
  <c r="BN64" i="16" s="1"/>
  <c r="BN65" i="16" s="1"/>
  <c r="BN66" i="16" s="1"/>
  <c r="BN67" i="16" s="1"/>
  <c r="BN68" i="16" s="1"/>
  <c r="BN69" i="16" s="1"/>
  <c r="BN70" i="16" s="1"/>
  <c r="BN71" i="16" s="1"/>
  <c r="BN72" i="16" s="1"/>
  <c r="BN73" i="16" s="1"/>
  <c r="BN74" i="16" s="1"/>
  <c r="BN75" i="16" s="1"/>
  <c r="BN76" i="16" s="1"/>
  <c r="BN77" i="16" s="1"/>
  <c r="BN78" i="16" s="1"/>
  <c r="BN79" i="16" s="1"/>
  <c r="BN80" i="16" s="1"/>
  <c r="BN81" i="16" s="1"/>
  <c r="BN82" i="16" s="1"/>
  <c r="BN83" i="16" s="1"/>
  <c r="BN84" i="16" s="1"/>
  <c r="BN85" i="16" s="1"/>
  <c r="BN86" i="16" s="1"/>
  <c r="BN87" i="16" s="1"/>
  <c r="BN88" i="16" s="1"/>
  <c r="BN89" i="16" s="1"/>
  <c r="BN90" i="16" s="1"/>
  <c r="BN91" i="16" s="1"/>
  <c r="BN92" i="16" s="1"/>
  <c r="BN93" i="16" s="1"/>
  <c r="BN94" i="16" s="1"/>
  <c r="BN95" i="16" s="1"/>
  <c r="BN96" i="16" s="1"/>
  <c r="BN97" i="16" s="1"/>
  <c r="BN98" i="16" s="1"/>
  <c r="BN99" i="16" s="1"/>
  <c r="BN100" i="16" s="1"/>
  <c r="BN101" i="16" s="1"/>
  <c r="BN102" i="16" s="1"/>
  <c r="BN103" i="16" s="1"/>
  <c r="BN104" i="16" s="1"/>
  <c r="BN105" i="16" s="1"/>
  <c r="BN106" i="16" s="1"/>
  <c r="BN107" i="16" s="1"/>
  <c r="BN108" i="16" s="1"/>
  <c r="BN109" i="16" s="1"/>
  <c r="BN110" i="16" s="1"/>
  <c r="BN111" i="16" s="1"/>
  <c r="BN112" i="16" s="1"/>
  <c r="BN113" i="16" s="1"/>
  <c r="BN114" i="16" s="1"/>
  <c r="BN115" i="16" s="1"/>
  <c r="BN116" i="16" s="1"/>
  <c r="BN117" i="16" s="1"/>
  <c r="BN118" i="16" s="1"/>
  <c r="BN119" i="16" s="1"/>
  <c r="BN120" i="16" s="1"/>
  <c r="BN121" i="16" s="1"/>
  <c r="BN122" i="16" s="1"/>
  <c r="BN123" i="16" s="1"/>
  <c r="BN124" i="16" s="1"/>
  <c r="BN125" i="16" s="1"/>
  <c r="BN126" i="16" s="1"/>
  <c r="BN127" i="16" s="1"/>
  <c r="BN128" i="16" s="1"/>
  <c r="BN129" i="16" s="1"/>
  <c r="BN130" i="16" s="1"/>
  <c r="BN131" i="16" s="1"/>
  <c r="BN132" i="16" s="1"/>
  <c r="BN133" i="16" s="1"/>
  <c r="BN134" i="16" s="1"/>
  <c r="BN135" i="16" s="1"/>
  <c r="BN136" i="16" s="1"/>
  <c r="BN137" i="16" s="1"/>
  <c r="BN138" i="16" s="1"/>
  <c r="BN139" i="16" s="1"/>
  <c r="BN140" i="16" s="1"/>
  <c r="BN141" i="16" s="1"/>
  <c r="BN142" i="16" s="1"/>
  <c r="BN143" i="16" s="1"/>
  <c r="BN144" i="16" s="1"/>
  <c r="BN145" i="16" s="1"/>
  <c r="BN146" i="16" s="1"/>
  <c r="BN147" i="16" s="1"/>
  <c r="BN148" i="16" s="1"/>
  <c r="BN149" i="16" s="1"/>
  <c r="BN150" i="16" s="1"/>
  <c r="BN151" i="16" s="1"/>
  <c r="BN152" i="16" s="1"/>
  <c r="BN153" i="16" s="1"/>
  <c r="BN154" i="16" s="1"/>
  <c r="BN155" i="16" s="1"/>
  <c r="BN156" i="16" s="1"/>
  <c r="BN157" i="16" s="1"/>
  <c r="BN158" i="16" s="1"/>
  <c r="BN159" i="16" s="1"/>
  <c r="BN160" i="16" s="1"/>
  <c r="BN161" i="16" s="1"/>
  <c r="BN162" i="16" s="1"/>
  <c r="BN163" i="16" s="1"/>
  <c r="BN164" i="16" s="1"/>
  <c r="BN165" i="16" s="1"/>
  <c r="BN166" i="16" s="1"/>
  <c r="BN167" i="16" s="1"/>
  <c r="BN168" i="16" s="1"/>
  <c r="BN169" i="16" s="1"/>
  <c r="BN170" i="16" s="1"/>
  <c r="BN171" i="16" s="1"/>
  <c r="BN172" i="16" s="1"/>
  <c r="BN173" i="16" s="1"/>
  <c r="BN174" i="16" s="1"/>
  <c r="BN175" i="16" s="1"/>
  <c r="BN176" i="16" s="1"/>
  <c r="BN177" i="16" s="1"/>
  <c r="BN178" i="16" s="1"/>
  <c r="BN179" i="16" s="1"/>
  <c r="BN180" i="16" s="1"/>
  <c r="BN181" i="16" s="1"/>
  <c r="BN182" i="16" s="1"/>
  <c r="BN183" i="16" s="1"/>
  <c r="BN184" i="16" s="1"/>
  <c r="BN185" i="16" s="1"/>
  <c r="BN186" i="16" s="1"/>
  <c r="BN187" i="16" s="1"/>
  <c r="BN188" i="16" s="1"/>
  <c r="BN189" i="16" s="1"/>
  <c r="BN190" i="16" s="1"/>
  <c r="BN191" i="16" s="1"/>
  <c r="BN192" i="16" s="1"/>
  <c r="BN193" i="16" s="1"/>
  <c r="BN194" i="16" s="1"/>
  <c r="BN195" i="16" s="1"/>
  <c r="BN196" i="16" s="1"/>
  <c r="BN197" i="16" s="1"/>
  <c r="BN198" i="16" s="1"/>
  <c r="BN199" i="16" s="1"/>
  <c r="BN200" i="16" s="1"/>
  <c r="BN201" i="16" s="1"/>
  <c r="BA5" i="16"/>
  <c r="BB5" i="16" s="1"/>
  <c r="BB55" i="16" s="1"/>
  <c r="B13" i="49"/>
  <c r="B14" i="49" s="1"/>
  <c r="B15" i="49" s="1"/>
  <c r="B16" i="49" s="1"/>
  <c r="B17" i="49" s="1"/>
  <c r="B18" i="49" s="1"/>
  <c r="B19" i="49" s="1"/>
  <c r="B20" i="49" s="1"/>
  <c r="B21" i="49" s="1"/>
  <c r="B22" i="49" s="1"/>
  <c r="B23" i="49" s="1"/>
  <c r="B24" i="49" s="1"/>
  <c r="B25" i="49" s="1"/>
  <c r="B26" i="49" s="1"/>
  <c r="B27" i="49" s="1"/>
  <c r="B28" i="49" s="1"/>
  <c r="B29" i="49" s="1"/>
  <c r="B30" i="49" s="1"/>
  <c r="B31" i="49" s="1"/>
  <c r="B32" i="49" s="1"/>
  <c r="B33" i="49" s="1"/>
  <c r="B34" i="49" s="1"/>
  <c r="B35" i="49" s="1"/>
  <c r="B36" i="49" s="1"/>
  <c r="B37" i="49" s="1"/>
  <c r="B38" i="49" s="1"/>
  <c r="B39" i="49" s="1"/>
  <c r="B40" i="49" s="1"/>
  <c r="B41" i="49" s="1"/>
  <c r="B42" i="49" s="1"/>
  <c r="B43" i="49" s="1"/>
  <c r="B44" i="49" s="1"/>
  <c r="B45" i="49" s="1"/>
  <c r="B46" i="49" s="1"/>
  <c r="B47" i="49" s="1"/>
  <c r="B48" i="49" s="1"/>
  <c r="B49" i="49" s="1"/>
  <c r="B50" i="49" s="1"/>
  <c r="B51" i="49" s="1"/>
  <c r="B52" i="49" s="1"/>
  <c r="B53" i="49" s="1"/>
  <c r="B54" i="49" s="1"/>
  <c r="B55" i="49" s="1"/>
  <c r="B56" i="49" s="1"/>
  <c r="B57" i="49" s="1"/>
  <c r="B58" i="49" s="1"/>
  <c r="B59" i="49" s="1"/>
  <c r="B60" i="49" s="1"/>
  <c r="B61" i="49" s="1"/>
  <c r="B62" i="49" s="1"/>
  <c r="B63" i="49" s="1"/>
  <c r="B64" i="49" s="1"/>
  <c r="B65" i="49" s="1"/>
  <c r="B66" i="49" s="1"/>
  <c r="B67" i="49" s="1"/>
  <c r="B68" i="49" s="1"/>
  <c r="B69" i="49" s="1"/>
  <c r="B70" i="49" s="1"/>
  <c r="B71" i="49" s="1"/>
  <c r="B72" i="49" s="1"/>
  <c r="B73" i="49" s="1"/>
  <c r="B74" i="49" s="1"/>
  <c r="B75" i="49" s="1"/>
  <c r="B76" i="49" s="1"/>
  <c r="B77" i="49" s="1"/>
  <c r="B78" i="49" s="1"/>
  <c r="B79" i="49" s="1"/>
  <c r="B80" i="49" s="1"/>
  <c r="B81" i="49" s="1"/>
  <c r="B82" i="49" s="1"/>
  <c r="B83" i="49" s="1"/>
  <c r="B84" i="49" s="1"/>
  <c r="B85" i="49" s="1"/>
  <c r="B86" i="49" s="1"/>
  <c r="B87" i="49" s="1"/>
  <c r="B88" i="49" s="1"/>
  <c r="B89" i="49" s="1"/>
  <c r="B90" i="49" s="1"/>
  <c r="B91" i="49" s="1"/>
  <c r="B92" i="49" s="1"/>
  <c r="B93" i="49" s="1"/>
  <c r="B94" i="49" s="1"/>
  <c r="B95" i="49" s="1"/>
  <c r="B96" i="49" s="1"/>
  <c r="B97" i="49" s="1"/>
  <c r="B98" i="49" s="1"/>
  <c r="B99" i="49" s="1"/>
  <c r="B100" i="49" s="1"/>
  <c r="B101" i="49" s="1"/>
  <c r="B102" i="49" s="1"/>
  <c r="B103" i="49" s="1"/>
  <c r="B104" i="49" s="1"/>
  <c r="B105" i="49" s="1"/>
  <c r="B106" i="49" s="1"/>
  <c r="B107" i="49" s="1"/>
  <c r="B108" i="49" s="1"/>
  <c r="B109" i="49" s="1"/>
  <c r="B110" i="49" s="1"/>
  <c r="B111" i="49" s="1"/>
  <c r="B112" i="49" s="1"/>
  <c r="B113" i="49" s="1"/>
  <c r="B114" i="49" s="1"/>
  <c r="B115" i="49" s="1"/>
  <c r="B116" i="49" s="1"/>
  <c r="B117" i="49" s="1"/>
  <c r="B118" i="49" s="1"/>
  <c r="B119" i="49" s="1"/>
  <c r="B120" i="49" s="1"/>
  <c r="B121" i="49" s="1"/>
  <c r="B122" i="49" s="1"/>
  <c r="B123" i="49" s="1"/>
  <c r="B124" i="49" s="1"/>
  <c r="B125" i="49" s="1"/>
  <c r="B126" i="49" s="1"/>
  <c r="B127" i="49" s="1"/>
  <c r="B128" i="49" s="1"/>
  <c r="B129" i="49" s="1"/>
  <c r="B130" i="49" s="1"/>
  <c r="B131" i="49" s="1"/>
  <c r="B132" i="49" s="1"/>
  <c r="F12" i="49"/>
  <c r="E38" i="4"/>
  <c r="D38" i="4"/>
  <c r="C38" i="4"/>
  <c r="B38" i="4"/>
  <c r="E31" i="4"/>
  <c r="D31" i="4"/>
  <c r="C31" i="4"/>
  <c r="C45" i="4" s="1"/>
  <c r="E11" i="4"/>
  <c r="E43" i="4" s="1"/>
  <c r="D11" i="4"/>
  <c r="D43" i="4" s="1"/>
  <c r="C11" i="4"/>
  <c r="T15" i="4" s="1"/>
  <c r="B11" i="4"/>
  <c r="B43" i="4" s="1"/>
  <c r="E10" i="4"/>
  <c r="D10" i="4"/>
  <c r="C10" i="4"/>
  <c r="C36" i="4" s="1"/>
  <c r="B10" i="4"/>
  <c r="E9" i="4"/>
  <c r="D9" i="4"/>
  <c r="D29" i="4" s="1"/>
  <c r="C9" i="4"/>
  <c r="T13" i="4" s="1"/>
  <c r="T17" i="4" s="1"/>
  <c r="B9" i="4"/>
  <c r="B29" i="4" s="1"/>
  <c r="E5" i="4"/>
  <c r="D5" i="4"/>
  <c r="C5" i="4"/>
  <c r="T5" i="4" s="1"/>
  <c r="B5" i="4"/>
  <c r="E4" i="4"/>
  <c r="D4" i="4"/>
  <c r="C4" i="4"/>
  <c r="T4" i="4" s="1"/>
  <c r="B4" i="4"/>
  <c r="B115" i="8"/>
  <c r="P19" i="8"/>
  <c r="O19" i="8"/>
  <c r="N19" i="8"/>
  <c r="M19" i="8"/>
  <c r="L19" i="8"/>
  <c r="K19" i="8"/>
  <c r="J19" i="8"/>
  <c r="D18" i="8"/>
  <c r="C18" i="8"/>
  <c r="B18" i="8"/>
  <c r="F105" i="9"/>
  <c r="F104" i="9"/>
  <c r="S97" i="9"/>
  <c r="S96" i="9"/>
  <c r="I90" i="9"/>
  <c r="M89" i="9"/>
  <c r="L89" i="9"/>
  <c r="K89" i="9"/>
  <c r="J89" i="9"/>
  <c r="J86" i="9"/>
  <c r="I86" i="9"/>
  <c r="D18" i="52" s="1"/>
  <c r="I82" i="9"/>
  <c r="I80" i="9"/>
  <c r="B22" i="8" s="1"/>
  <c r="E73" i="9"/>
  <c r="E72" i="9"/>
  <c r="V72" i="9" s="1"/>
  <c r="E71" i="9"/>
  <c r="U71" i="9" s="1"/>
  <c r="E70" i="9"/>
  <c r="F67" i="9"/>
  <c r="W52" i="9"/>
  <c r="V52" i="9"/>
  <c r="S52" i="9"/>
  <c r="R52" i="9"/>
  <c r="Q52" i="9"/>
  <c r="N51" i="9"/>
  <c r="U48" i="9"/>
  <c r="U52" i="9" s="1"/>
  <c r="T48" i="9"/>
  <c r="L48" i="9"/>
  <c r="K48" i="9"/>
  <c r="F35" i="9"/>
  <c r="W34" i="9"/>
  <c r="L21" i="39" s="1"/>
  <c r="V34" i="9"/>
  <c r="K21" i="39" s="1"/>
  <c r="U34" i="9"/>
  <c r="J21" i="39" s="1"/>
  <c r="T34" i="9"/>
  <c r="S34" i="9"/>
  <c r="J34" i="9"/>
  <c r="L18" i="39"/>
  <c r="K18" i="39"/>
  <c r="L27" i="9"/>
  <c r="K27" i="9"/>
  <c r="J27" i="9"/>
  <c r="I27" i="9"/>
  <c r="K22" i="9"/>
  <c r="J22" i="9"/>
  <c r="I22" i="9"/>
  <c r="K21" i="9"/>
  <c r="J21" i="9"/>
  <c r="I21" i="9"/>
  <c r="W7" i="9"/>
  <c r="V7" i="9"/>
  <c r="U7" i="9"/>
  <c r="T7" i="9"/>
  <c r="S7" i="9"/>
  <c r="R7" i="9"/>
  <c r="Q7" i="9"/>
  <c r="J6" i="9"/>
  <c r="K6" i="9" s="1"/>
  <c r="L6" i="9" s="1"/>
  <c r="M6" i="9" s="1"/>
  <c r="N6" i="9" s="1"/>
  <c r="O6" i="9" s="1"/>
  <c r="P6" i="9" s="1"/>
  <c r="Q6" i="9" s="1"/>
  <c r="R6" i="9" s="1"/>
  <c r="S6" i="9" s="1"/>
  <c r="T6" i="9" s="1"/>
  <c r="U6" i="9" s="1"/>
  <c r="V6" i="9" s="1"/>
  <c r="W6" i="9" s="1"/>
  <c r="O174" i="48"/>
  <c r="X174" i="48" s="1"/>
  <c r="AH174" i="48" s="1"/>
  <c r="AM174" i="48" s="1"/>
  <c r="AU174" i="48" s="1"/>
  <c r="AS164" i="48"/>
  <c r="AR164" i="48"/>
  <c r="AQ164" i="48"/>
  <c r="AP164" i="48"/>
  <c r="AO164" i="48"/>
  <c r="AL164" i="48"/>
  <c r="AK164" i="48"/>
  <c r="AF164" i="48"/>
  <c r="R164" i="48"/>
  <c r="E164" i="48"/>
  <c r="AS153" i="48"/>
  <c r="AR153" i="48"/>
  <c r="AQ153" i="48"/>
  <c r="AP153" i="48"/>
  <c r="AO153" i="48"/>
  <c r="AN153" i="48"/>
  <c r="AM153" i="48"/>
  <c r="AL153" i="48"/>
  <c r="AF153" i="48"/>
  <c r="R153" i="48"/>
  <c r="E150" i="48"/>
  <c r="AS147" i="48"/>
  <c r="AR147" i="48"/>
  <c r="AQ147" i="48"/>
  <c r="AP147" i="48"/>
  <c r="AO147" i="48"/>
  <c r="AN147" i="48"/>
  <c r="AM147" i="48"/>
  <c r="AK147" i="48"/>
  <c r="AF147" i="48"/>
  <c r="R147" i="48"/>
  <c r="E147" i="48"/>
  <c r="AS143" i="48"/>
  <c r="AQ143" i="48"/>
  <c r="AN143" i="48"/>
  <c r="AL143" i="48"/>
  <c r="AK143" i="48"/>
  <c r="AF143" i="48"/>
  <c r="R143" i="48"/>
  <c r="AU138" i="48"/>
  <c r="AU137" i="48"/>
  <c r="AU136" i="48"/>
  <c r="AU135" i="48"/>
  <c r="AU134" i="48"/>
  <c r="D134" i="48"/>
  <c r="N134" i="48" s="1"/>
  <c r="O133" i="48" s="1"/>
  <c r="O143" i="48" s="1"/>
  <c r="O156" i="48" s="1"/>
  <c r="O157" i="48" s="1"/>
  <c r="AU132" i="48"/>
  <c r="AU131" i="48"/>
  <c r="AU130" i="48"/>
  <c r="E129" i="48"/>
  <c r="AP128" i="48"/>
  <c r="AP143" i="48" s="1"/>
  <c r="AU125" i="48"/>
  <c r="AU124" i="48"/>
  <c r="E123" i="48"/>
  <c r="AR120" i="48"/>
  <c r="AQ120" i="48"/>
  <c r="AP120" i="48"/>
  <c r="AO120" i="48"/>
  <c r="AL120" i="48"/>
  <c r="AK120" i="48"/>
  <c r="AF120" i="48"/>
  <c r="R120" i="48"/>
  <c r="E108" i="48"/>
  <c r="AU107" i="48"/>
  <c r="AU106" i="48"/>
  <c r="AU105" i="48"/>
  <c r="AU104" i="48"/>
  <c r="AU103" i="48"/>
  <c r="AU102" i="48"/>
  <c r="E101" i="48"/>
  <c r="AU100" i="48"/>
  <c r="AU99" i="48"/>
  <c r="AU98" i="48"/>
  <c r="AU97" i="48"/>
  <c r="E96" i="48"/>
  <c r="AS93" i="48"/>
  <c r="AR93" i="48"/>
  <c r="AQ93" i="48"/>
  <c r="AP93" i="48"/>
  <c r="AO93" i="48"/>
  <c r="AN93" i="48"/>
  <c r="AL93" i="48"/>
  <c r="AK93" i="48"/>
  <c r="AF93" i="48"/>
  <c r="R93" i="48"/>
  <c r="E86" i="48"/>
  <c r="AU80" i="48"/>
  <c r="AU79" i="48"/>
  <c r="AU78" i="48"/>
  <c r="AU77" i="48"/>
  <c r="AU76" i="48"/>
  <c r="E75" i="48"/>
  <c r="AS72" i="48"/>
  <c r="AR72" i="48"/>
  <c r="AP72" i="48"/>
  <c r="AO72" i="48"/>
  <c r="AN72" i="48"/>
  <c r="AK72" i="48"/>
  <c r="R72" i="48"/>
  <c r="E61" i="48"/>
  <c r="AU60" i="48"/>
  <c r="AU59" i="48"/>
  <c r="AU58" i="48"/>
  <c r="E57" i="48"/>
  <c r="AM55" i="48"/>
  <c r="AU55" i="48" s="1"/>
  <c r="AM54" i="48"/>
  <c r="AU54" i="48" s="1"/>
  <c r="E53" i="48"/>
  <c r="AM52" i="48"/>
  <c r="AU52" i="48" s="1"/>
  <c r="AM51" i="48"/>
  <c r="AU51" i="48" s="1"/>
  <c r="E50" i="48"/>
  <c r="AU48" i="48"/>
  <c r="AU47" i="48"/>
  <c r="AU46" i="48"/>
  <c r="AU45" i="48"/>
  <c r="AU44" i="48"/>
  <c r="AU43" i="48"/>
  <c r="AU42" i="48"/>
  <c r="AU41" i="48"/>
  <c r="AU40" i="48"/>
  <c r="AU39" i="48"/>
  <c r="AU38" i="48"/>
  <c r="AU37" i="48"/>
  <c r="AU36" i="48"/>
  <c r="AU35" i="48"/>
  <c r="AU34" i="48"/>
  <c r="E33" i="48"/>
  <c r="AS30" i="48"/>
  <c r="AR30" i="48"/>
  <c r="AQ30" i="48"/>
  <c r="AP30" i="48"/>
  <c r="AO30" i="48"/>
  <c r="AN30" i="48"/>
  <c r="AM30" i="48"/>
  <c r="AK30" i="48"/>
  <c r="AF30" i="48"/>
  <c r="E6" i="48"/>
  <c r="AE62" i="6"/>
  <c r="AB62" i="6"/>
  <c r="Y62" i="6"/>
  <c r="V61" i="6"/>
  <c r="Z54" i="6"/>
  <c r="K54" i="6"/>
  <c r="AQ53" i="6"/>
  <c r="S53" i="6"/>
  <c r="T53" i="6" s="1"/>
  <c r="P53" i="6"/>
  <c r="J53" i="6"/>
  <c r="K53" i="6" s="1"/>
  <c r="G53" i="6"/>
  <c r="H53" i="6" s="1"/>
  <c r="AB52" i="6"/>
  <c r="Z52" i="6"/>
  <c r="W52" i="6"/>
  <c r="T52" i="6"/>
  <c r="N52" i="6"/>
  <c r="K52" i="6"/>
  <c r="H52" i="6"/>
  <c r="AE50" i="6"/>
  <c r="AB50" i="6"/>
  <c r="Z50" i="6"/>
  <c r="W50" i="6"/>
  <c r="T50" i="6"/>
  <c r="N50" i="6"/>
  <c r="K50" i="6"/>
  <c r="H50" i="6"/>
  <c r="Z49" i="6"/>
  <c r="V49" i="6"/>
  <c r="W49" i="6" s="1"/>
  <c r="T49" i="6"/>
  <c r="M49" i="6"/>
  <c r="K49" i="6"/>
  <c r="H49" i="6"/>
  <c r="Z48" i="6"/>
  <c r="V48" i="6"/>
  <c r="T48" i="6"/>
  <c r="N48" i="6"/>
  <c r="K48" i="6"/>
  <c r="H48" i="6"/>
  <c r="AE47" i="6"/>
  <c r="AB47" i="6"/>
  <c r="Z47" i="6"/>
  <c r="W47" i="6"/>
  <c r="T47" i="6"/>
  <c r="N47" i="6"/>
  <c r="K47" i="6"/>
  <c r="H47" i="6"/>
  <c r="Z46" i="6"/>
  <c r="W46" i="6"/>
  <c r="T46" i="6"/>
  <c r="AE45" i="6"/>
  <c r="AB45" i="6"/>
  <c r="Z45" i="6"/>
  <c r="W45" i="6"/>
  <c r="T45" i="6"/>
  <c r="N45" i="6"/>
  <c r="K45" i="6"/>
  <c r="H45" i="6"/>
  <c r="AK44" i="6"/>
  <c r="Y44" i="6"/>
  <c r="Y53" i="6" s="1"/>
  <c r="Z53" i="6" s="1"/>
  <c r="W44" i="6"/>
  <c r="T44" i="6"/>
  <c r="N44" i="6"/>
  <c r="K44" i="6"/>
  <c r="H44" i="6"/>
  <c r="AK43" i="6"/>
  <c r="Z43" i="6"/>
  <c r="W43" i="6"/>
  <c r="T43" i="6"/>
  <c r="N43" i="6"/>
  <c r="K43" i="6"/>
  <c r="H43" i="6"/>
  <c r="AE42" i="6"/>
  <c r="AK42" i="6" s="1"/>
  <c r="AB42" i="6"/>
  <c r="Z42" i="6"/>
  <c r="W42" i="6"/>
  <c r="T42" i="6"/>
  <c r="N42" i="6"/>
  <c r="K42" i="6"/>
  <c r="H42" i="6"/>
  <c r="AK41" i="6"/>
  <c r="Z41" i="6"/>
  <c r="W41" i="6"/>
  <c r="T41" i="6"/>
  <c r="N41" i="6"/>
  <c r="K41" i="6"/>
  <c r="H41" i="6"/>
  <c r="AE40" i="6"/>
  <c r="AB40" i="6"/>
  <c r="Z40" i="6"/>
  <c r="W40" i="6"/>
  <c r="T40" i="6"/>
  <c r="N40" i="6"/>
  <c r="K40" i="6"/>
  <c r="H40" i="6"/>
  <c r="AK39" i="6"/>
  <c r="Z39" i="6"/>
  <c r="W39" i="6"/>
  <c r="T39" i="6"/>
  <c r="N39" i="6"/>
  <c r="K39" i="6"/>
  <c r="H39" i="6"/>
  <c r="AQ37" i="6"/>
  <c r="M37" i="6"/>
  <c r="N37" i="6" s="1"/>
  <c r="G37" i="6"/>
  <c r="AB36" i="6"/>
  <c r="Z36" i="6"/>
  <c r="L31" i="5" s="1"/>
  <c r="V36" i="6"/>
  <c r="W36" i="6" s="1"/>
  <c r="K31" i="5" s="1"/>
  <c r="T36" i="6"/>
  <c r="N36" i="6"/>
  <c r="I31" i="5" s="1"/>
  <c r="J36" i="6"/>
  <c r="J37" i="6" s="1"/>
  <c r="H36" i="6"/>
  <c r="G31" i="5" s="1"/>
  <c r="Y35" i="6"/>
  <c r="Y37" i="6" s="1"/>
  <c r="W35" i="6"/>
  <c r="P35" i="6"/>
  <c r="P37" i="6" s="1"/>
  <c r="Q37" i="6" s="1"/>
  <c r="N35" i="6"/>
  <c r="K35" i="6"/>
  <c r="H35" i="6"/>
  <c r="Z34" i="6"/>
  <c r="W34" i="6"/>
  <c r="T34" i="6"/>
  <c r="N34" i="6"/>
  <c r="K34" i="6"/>
  <c r="H34" i="6"/>
  <c r="AB29" i="6"/>
  <c r="Z29" i="6"/>
  <c r="W29" i="6"/>
  <c r="T29" i="6"/>
  <c r="AE28" i="6"/>
  <c r="AB28" i="6"/>
  <c r="Z28" i="6"/>
  <c r="V28" i="6"/>
  <c r="W28" i="6" s="1"/>
  <c r="T28" i="6"/>
  <c r="N28" i="6"/>
  <c r="K28" i="6"/>
  <c r="H28" i="6"/>
  <c r="T26" i="6"/>
  <c r="N26" i="6"/>
  <c r="K26" i="6"/>
  <c r="H26" i="6"/>
  <c r="AY6" i="6"/>
  <c r="AU6" i="6"/>
  <c r="AQ6" i="6"/>
  <c r="AK6" i="6"/>
  <c r="AH6" i="6"/>
  <c r="AE6" i="6"/>
  <c r="AB6" i="6"/>
  <c r="Y6" i="6"/>
  <c r="V6" i="6"/>
  <c r="P6" i="6"/>
  <c r="M6" i="6"/>
  <c r="L301" i="5"/>
  <c r="M300" i="5" s="1"/>
  <c r="J290" i="5"/>
  <c r="J291" i="5" s="1"/>
  <c r="J293" i="5" s="1"/>
  <c r="M290" i="5"/>
  <c r="N292" i="5" s="1"/>
  <c r="K258" i="5"/>
  <c r="J258" i="5"/>
  <c r="I258" i="5"/>
  <c r="H258" i="5"/>
  <c r="G258" i="5"/>
  <c r="K16" i="9"/>
  <c r="I16" i="9"/>
  <c r="L249" i="5"/>
  <c r="J249" i="5"/>
  <c r="G242" i="5"/>
  <c r="V238" i="5"/>
  <c r="U238" i="5"/>
  <c r="T238" i="5"/>
  <c r="L238" i="5"/>
  <c r="K238" i="5"/>
  <c r="K212" i="5" s="1"/>
  <c r="J238" i="5"/>
  <c r="J212" i="5" s="1"/>
  <c r="I238" i="5"/>
  <c r="I212" i="5" s="1"/>
  <c r="H238" i="5"/>
  <c r="H212" i="5" s="1"/>
  <c r="N233" i="5"/>
  <c r="M233" i="5"/>
  <c r="N232" i="5"/>
  <c r="M232" i="5"/>
  <c r="N231" i="5"/>
  <c r="M231" i="5"/>
  <c r="N230" i="5"/>
  <c r="M230" i="5"/>
  <c r="N229" i="5"/>
  <c r="M229" i="5"/>
  <c r="N228" i="5"/>
  <c r="M228" i="5"/>
  <c r="N227" i="5"/>
  <c r="M227" i="5"/>
  <c r="N226" i="5"/>
  <c r="M226" i="5"/>
  <c r="N225" i="5"/>
  <c r="M225" i="5"/>
  <c r="N224" i="5"/>
  <c r="M224" i="5"/>
  <c r="P223" i="5"/>
  <c r="Q222" i="5"/>
  <c r="N222" i="5"/>
  <c r="O222" i="5" s="1"/>
  <c r="P222" i="5" s="1"/>
  <c r="M222" i="5"/>
  <c r="Q221" i="5"/>
  <c r="R221" i="5" s="1"/>
  <c r="S221" i="5" s="1"/>
  <c r="N221" i="5"/>
  <c r="O221" i="5" s="1"/>
  <c r="P221" i="5" s="1"/>
  <c r="M221" i="5"/>
  <c r="Q220" i="5"/>
  <c r="N220" i="5"/>
  <c r="O220" i="5" s="1"/>
  <c r="P220" i="5" s="1"/>
  <c r="M220" i="5"/>
  <c r="G219" i="5"/>
  <c r="G218" i="5"/>
  <c r="R217" i="5"/>
  <c r="S217" i="5" s="1"/>
  <c r="N217" i="5"/>
  <c r="M217" i="5"/>
  <c r="I216" i="5"/>
  <c r="F216" i="5"/>
  <c r="R216" i="5" s="1"/>
  <c r="P59" i="38"/>
  <c r="P113" i="38" s="1"/>
  <c r="H171" i="5"/>
  <c r="G170" i="5"/>
  <c r="L168" i="5"/>
  <c r="N167" i="5"/>
  <c r="L167" i="5"/>
  <c r="M165" i="5"/>
  <c r="L165" i="5"/>
  <c r="N164" i="5"/>
  <c r="M164" i="5"/>
  <c r="L164" i="5"/>
  <c r="I157" i="5"/>
  <c r="H157" i="5"/>
  <c r="G157" i="5"/>
  <c r="I154" i="5"/>
  <c r="C48" i="38" s="1"/>
  <c r="H154" i="5"/>
  <c r="I153" i="5"/>
  <c r="I152" i="5"/>
  <c r="G139" i="5"/>
  <c r="L114" i="5"/>
  <c r="K114" i="5"/>
  <c r="J114" i="5"/>
  <c r="I114" i="5"/>
  <c r="H114" i="5"/>
  <c r="K113" i="5"/>
  <c r="J113" i="5"/>
  <c r="I113" i="5"/>
  <c r="H113" i="5"/>
  <c r="L112" i="5"/>
  <c r="K112" i="5"/>
  <c r="J112" i="5"/>
  <c r="I112" i="5"/>
  <c r="H112" i="5"/>
  <c r="L111" i="5"/>
  <c r="K111" i="5"/>
  <c r="J111" i="5"/>
  <c r="I111" i="5"/>
  <c r="L110" i="5"/>
  <c r="K110" i="5"/>
  <c r="L88" i="5"/>
  <c r="L138" i="5" s="1"/>
  <c r="K88" i="5"/>
  <c r="K96" i="5" s="1"/>
  <c r="J88" i="5"/>
  <c r="I88" i="5"/>
  <c r="I138" i="5" s="1"/>
  <c r="H88" i="5"/>
  <c r="H138" i="5" s="1"/>
  <c r="G88" i="5"/>
  <c r="G96" i="5" s="1"/>
  <c r="G146" i="5" s="1"/>
  <c r="L87" i="5"/>
  <c r="K87" i="5"/>
  <c r="J87" i="5"/>
  <c r="J95" i="5" s="1"/>
  <c r="J145" i="5" s="1"/>
  <c r="I87" i="5"/>
  <c r="I137" i="5" s="1"/>
  <c r="H87" i="5"/>
  <c r="G87" i="5"/>
  <c r="G95" i="5" s="1"/>
  <c r="G145" i="5" s="1"/>
  <c r="L86" i="5"/>
  <c r="L136" i="5" s="1"/>
  <c r="K86" i="5"/>
  <c r="K136" i="5" s="1"/>
  <c r="J86" i="5"/>
  <c r="J136" i="5" s="1"/>
  <c r="I86" i="5"/>
  <c r="I136" i="5" s="1"/>
  <c r="H86" i="5"/>
  <c r="H136" i="5" s="1"/>
  <c r="G86" i="5"/>
  <c r="G94" i="5" s="1"/>
  <c r="G144" i="5" s="1"/>
  <c r="L85" i="5"/>
  <c r="K85" i="5"/>
  <c r="D15" i="4" s="1"/>
  <c r="D37" i="4" s="1"/>
  <c r="J85" i="5"/>
  <c r="C15" i="4" s="1"/>
  <c r="C37" i="4" s="1"/>
  <c r="I85" i="5"/>
  <c r="B15" i="4" s="1"/>
  <c r="B37" i="4" s="1"/>
  <c r="H85" i="5"/>
  <c r="G85" i="5"/>
  <c r="K84" i="5"/>
  <c r="J84" i="5"/>
  <c r="I84" i="5"/>
  <c r="I134" i="5" s="1"/>
  <c r="H84" i="5"/>
  <c r="G84" i="5"/>
  <c r="K81" i="5"/>
  <c r="J81" i="5"/>
  <c r="I81" i="5"/>
  <c r="H81" i="5"/>
  <c r="G81" i="5"/>
  <c r="L73" i="5"/>
  <c r="K73" i="5"/>
  <c r="J73" i="5"/>
  <c r="I73" i="5"/>
  <c r="H73" i="5"/>
  <c r="G73" i="5"/>
  <c r="L52" i="5"/>
  <c r="K52" i="5"/>
  <c r="J52" i="5"/>
  <c r="I52" i="5"/>
  <c r="I28" i="5" s="1"/>
  <c r="H52" i="5"/>
  <c r="H28" i="5" s="1"/>
  <c r="G52" i="5"/>
  <c r="G28" i="5" s="1"/>
  <c r="K44" i="5"/>
  <c r="E42" i="38" s="1"/>
  <c r="J44" i="5"/>
  <c r="H44" i="5"/>
  <c r="G43" i="5"/>
  <c r="L40" i="5"/>
  <c r="I39" i="5"/>
  <c r="G39" i="5"/>
  <c r="H110" i="5" s="1"/>
  <c r="L27" i="5"/>
  <c r="K27" i="5"/>
  <c r="J27" i="5"/>
  <c r="I27" i="5"/>
  <c r="H27" i="5"/>
  <c r="G27" i="5"/>
  <c r="L26" i="5"/>
  <c r="K26" i="5"/>
  <c r="J26" i="5"/>
  <c r="I26" i="5"/>
  <c r="H26" i="5"/>
  <c r="G26" i="5"/>
  <c r="K25" i="5"/>
  <c r="J25" i="5"/>
  <c r="I25" i="5"/>
  <c r="H25" i="5"/>
  <c r="G25" i="5"/>
  <c r="L21" i="5"/>
  <c r="K21" i="5"/>
  <c r="J21" i="5"/>
  <c r="I21" i="5"/>
  <c r="H21" i="5"/>
  <c r="L20" i="5"/>
  <c r="K20" i="5"/>
  <c r="J20" i="5"/>
  <c r="I20" i="5"/>
  <c r="H20" i="5"/>
  <c r="L19" i="5"/>
  <c r="K19" i="5"/>
  <c r="J19" i="5"/>
  <c r="J273" i="5" s="1"/>
  <c r="I19" i="5"/>
  <c r="H19" i="5"/>
  <c r="L16" i="5"/>
  <c r="L15" i="5"/>
  <c r="K15" i="5"/>
  <c r="J15" i="5"/>
  <c r="I15" i="5"/>
  <c r="H15" i="5"/>
  <c r="G15" i="5"/>
  <c r="L14" i="5"/>
  <c r="K14" i="5"/>
  <c r="J14" i="5"/>
  <c r="I14" i="5"/>
  <c r="H14" i="5"/>
  <c r="G14" i="5"/>
  <c r="L13" i="5"/>
  <c r="K13" i="5"/>
  <c r="J13" i="5"/>
  <c r="I13" i="5"/>
  <c r="H13" i="5"/>
  <c r="G13" i="5"/>
  <c r="L10" i="5"/>
  <c r="K10" i="5"/>
  <c r="J10" i="5"/>
  <c r="I10" i="5"/>
  <c r="H10" i="5"/>
  <c r="L9" i="5"/>
  <c r="K9" i="5"/>
  <c r="J9" i="5"/>
  <c r="I9" i="5"/>
  <c r="H9" i="5"/>
  <c r="L8" i="5"/>
  <c r="K8" i="5"/>
  <c r="J8" i="5"/>
  <c r="I8" i="5"/>
  <c r="H8" i="5"/>
  <c r="E4" i="5"/>
  <c r="E3" i="5"/>
  <c r="P265" i="50"/>
  <c r="O265" i="50"/>
  <c r="N265" i="50"/>
  <c r="M265" i="50"/>
  <c r="L265" i="50"/>
  <c r="K265" i="50"/>
  <c r="J265" i="50"/>
  <c r="H265" i="50"/>
  <c r="F265" i="50"/>
  <c r="I263" i="50"/>
  <c r="I265" i="50" s="1"/>
  <c r="G261" i="50"/>
  <c r="G265" i="50" s="1"/>
  <c r="F258" i="50"/>
  <c r="J256" i="50"/>
  <c r="H253" i="50"/>
  <c r="H258" i="50" s="1"/>
  <c r="I252" i="50"/>
  <c r="G250" i="50"/>
  <c r="G258" i="50" s="1"/>
  <c r="P246" i="50"/>
  <c r="O246" i="50"/>
  <c r="N246" i="50"/>
  <c r="M246" i="50"/>
  <c r="L246" i="50"/>
  <c r="K246" i="50"/>
  <c r="J246" i="50"/>
  <c r="F246" i="50"/>
  <c r="H241" i="50"/>
  <c r="H246" i="50" s="1"/>
  <c r="H248" i="50" s="1"/>
  <c r="G241" i="50"/>
  <c r="G239" i="50"/>
  <c r="P226" i="50"/>
  <c r="O226" i="50"/>
  <c r="N226" i="50"/>
  <c r="M226" i="50"/>
  <c r="L226" i="50"/>
  <c r="K226" i="50"/>
  <c r="J226" i="50"/>
  <c r="I226" i="50"/>
  <c r="H226" i="50"/>
  <c r="G226" i="50"/>
  <c r="P225" i="50"/>
  <c r="O225" i="50"/>
  <c r="N225" i="50"/>
  <c r="M225" i="50"/>
  <c r="L225" i="50"/>
  <c r="K225" i="50"/>
  <c r="J225" i="50"/>
  <c r="I225" i="50"/>
  <c r="H225" i="50"/>
  <c r="G225" i="50"/>
  <c r="U223" i="50"/>
  <c r="U222" i="50"/>
  <c r="P163" i="50"/>
  <c r="O163" i="50"/>
  <c r="N163" i="50"/>
  <c r="M163" i="50"/>
  <c r="L163" i="50"/>
  <c r="K163" i="50"/>
  <c r="J163" i="50"/>
  <c r="I163" i="50"/>
  <c r="P156" i="50"/>
  <c r="P212" i="50" s="1"/>
  <c r="O156" i="50"/>
  <c r="O212" i="50" s="1"/>
  <c r="N156" i="50"/>
  <c r="N212" i="50" s="1"/>
  <c r="M156" i="50"/>
  <c r="M212" i="50" s="1"/>
  <c r="L156" i="50"/>
  <c r="L212" i="50" s="1"/>
  <c r="K156" i="50"/>
  <c r="K212" i="50" s="1"/>
  <c r="J156" i="50"/>
  <c r="I156" i="50"/>
  <c r="P155" i="50"/>
  <c r="P211" i="50" s="1"/>
  <c r="O155" i="50"/>
  <c r="O211" i="50" s="1"/>
  <c r="N155" i="50"/>
  <c r="N211" i="50" s="1"/>
  <c r="M155" i="50"/>
  <c r="M211" i="50" s="1"/>
  <c r="L155" i="50"/>
  <c r="L211" i="50" s="1"/>
  <c r="K155" i="50"/>
  <c r="K211" i="50" s="1"/>
  <c r="J155" i="50"/>
  <c r="I155" i="50"/>
  <c r="H155" i="50"/>
  <c r="P154" i="50"/>
  <c r="O154" i="50"/>
  <c r="N154" i="50"/>
  <c r="M154" i="50"/>
  <c r="L154" i="50"/>
  <c r="K154" i="50"/>
  <c r="J154" i="50"/>
  <c r="I154" i="50"/>
  <c r="K152" i="50"/>
  <c r="K208" i="50" s="1"/>
  <c r="L152" i="50"/>
  <c r="L208" i="50" s="1"/>
  <c r="J152" i="50"/>
  <c r="P225" i="24"/>
  <c r="O225" i="24"/>
  <c r="N225" i="24"/>
  <c r="M225" i="24"/>
  <c r="L225" i="24"/>
  <c r="K225" i="24"/>
  <c r="J225" i="24"/>
  <c r="H225" i="24"/>
  <c r="F225" i="24"/>
  <c r="I223" i="24"/>
  <c r="I225" i="24" s="1"/>
  <c r="G221" i="24"/>
  <c r="G225" i="24" s="1"/>
  <c r="F218" i="24"/>
  <c r="J216" i="24"/>
  <c r="H213" i="24"/>
  <c r="I213" i="24" s="1"/>
  <c r="I212" i="24"/>
  <c r="I218" i="24" s="1"/>
  <c r="G210" i="24"/>
  <c r="G218" i="24" s="1"/>
  <c r="P206" i="24"/>
  <c r="O206" i="24"/>
  <c r="N206" i="24"/>
  <c r="M206" i="24"/>
  <c r="L206" i="24"/>
  <c r="K206" i="24"/>
  <c r="J206" i="24"/>
  <c r="F206" i="24"/>
  <c r="H201" i="24"/>
  <c r="G201" i="24"/>
  <c r="G199" i="24"/>
  <c r="P186" i="24"/>
  <c r="O186" i="24"/>
  <c r="N186" i="24"/>
  <c r="M186" i="24"/>
  <c r="L186" i="24"/>
  <c r="K186" i="24"/>
  <c r="J186" i="24"/>
  <c r="I186" i="24"/>
  <c r="H186" i="24"/>
  <c r="G186" i="24"/>
  <c r="P185" i="24"/>
  <c r="O185" i="24"/>
  <c r="N185" i="24"/>
  <c r="M185" i="24"/>
  <c r="L185" i="24"/>
  <c r="K185" i="24"/>
  <c r="J185" i="24"/>
  <c r="I185" i="24"/>
  <c r="H185" i="24"/>
  <c r="G185" i="24"/>
  <c r="U183" i="24"/>
  <c r="U182" i="24"/>
  <c r="F169" i="24"/>
  <c r="F165" i="24"/>
  <c r="L170" i="5" s="1"/>
  <c r="P163" i="24"/>
  <c r="V169" i="5" s="1"/>
  <c r="O163" i="24"/>
  <c r="U169" i="5" s="1"/>
  <c r="N163" i="24"/>
  <c r="T169" i="5" s="1"/>
  <c r="M163" i="24"/>
  <c r="S169" i="5" s="1"/>
  <c r="L163" i="24"/>
  <c r="R169" i="5" s="1"/>
  <c r="K163" i="24"/>
  <c r="Q169" i="5" s="1"/>
  <c r="J163" i="24"/>
  <c r="P169" i="5" s="1"/>
  <c r="I163" i="24"/>
  <c r="O169" i="5" s="1"/>
  <c r="F163" i="24"/>
  <c r="L169" i="5" s="1"/>
  <c r="P162" i="24"/>
  <c r="V168" i="5" s="1"/>
  <c r="O162" i="24"/>
  <c r="U168" i="5" s="1"/>
  <c r="N162" i="24"/>
  <c r="M162" i="24"/>
  <c r="L162" i="24"/>
  <c r="R168" i="5" s="1"/>
  <c r="K162" i="24"/>
  <c r="Q168" i="5" s="1"/>
  <c r="J162" i="24"/>
  <c r="I162" i="24"/>
  <c r="H162" i="24"/>
  <c r="G162" i="24"/>
  <c r="M168" i="5" s="1"/>
  <c r="P161" i="24"/>
  <c r="V167" i="5" s="1"/>
  <c r="O161" i="24"/>
  <c r="N161" i="24"/>
  <c r="T167" i="5" s="1"/>
  <c r="M161" i="24"/>
  <c r="S167" i="5" s="1"/>
  <c r="L161" i="24"/>
  <c r="R167" i="5" s="1"/>
  <c r="K161" i="24"/>
  <c r="J161" i="24"/>
  <c r="P167" i="5" s="1"/>
  <c r="I161" i="24"/>
  <c r="O167" i="5" s="1"/>
  <c r="G161" i="24"/>
  <c r="M167" i="5" s="1"/>
  <c r="P160" i="24"/>
  <c r="V166" i="5" s="1"/>
  <c r="O160" i="24"/>
  <c r="U166" i="5" s="1"/>
  <c r="N160" i="24"/>
  <c r="T166" i="5" s="1"/>
  <c r="M160" i="24"/>
  <c r="L160" i="24"/>
  <c r="R166" i="5" s="1"/>
  <c r="K160" i="24"/>
  <c r="Q166" i="5" s="1"/>
  <c r="J160" i="24"/>
  <c r="P166" i="5" s="1"/>
  <c r="I160" i="24"/>
  <c r="H160" i="24"/>
  <c r="N166" i="5" s="1"/>
  <c r="G160" i="24"/>
  <c r="M166" i="5" s="1"/>
  <c r="F160" i="24"/>
  <c r="L166" i="5" s="1"/>
  <c r="P159" i="24"/>
  <c r="V165" i="5" s="1"/>
  <c r="O159" i="24"/>
  <c r="U165" i="5" s="1"/>
  <c r="N159" i="24"/>
  <c r="T165" i="5" s="1"/>
  <c r="M159" i="24"/>
  <c r="S165" i="5" s="1"/>
  <c r="L159" i="24"/>
  <c r="R165" i="5" s="1"/>
  <c r="K159" i="24"/>
  <c r="Q165" i="5" s="1"/>
  <c r="J159" i="24"/>
  <c r="P165" i="5" s="1"/>
  <c r="I159" i="24"/>
  <c r="O165" i="5" s="1"/>
  <c r="H159" i="24"/>
  <c r="N165" i="5" s="1"/>
  <c r="F152" i="24"/>
  <c r="L158" i="5" s="1"/>
  <c r="F151" i="24"/>
  <c r="L157" i="5" s="1"/>
  <c r="F148" i="24"/>
  <c r="L154" i="5" s="1"/>
  <c r="F48" i="38" s="1"/>
  <c r="D34" i="58" s="1"/>
  <c r="F147" i="24"/>
  <c r="L153" i="5" s="1"/>
  <c r="F146" i="24"/>
  <c r="L152" i="5" s="1"/>
  <c r="F145" i="24"/>
  <c r="L151" i="5" s="1"/>
  <c r="F144" i="24"/>
  <c r="L150" i="5" s="1"/>
  <c r="F140" i="24"/>
  <c r="L59" i="24"/>
  <c r="M59" i="24" s="1"/>
  <c r="N59" i="24" s="1"/>
  <c r="O59" i="24" s="1"/>
  <c r="P59" i="24" s="1"/>
  <c r="EX160" i="46"/>
  <c r="EW160" i="46"/>
  <c r="EV160" i="46"/>
  <c r="EU160" i="46"/>
  <c r="ET160" i="46"/>
  <c r="ES160" i="46"/>
  <c r="ER160" i="46"/>
  <c r="EQ160" i="46"/>
  <c r="EP160" i="46"/>
  <c r="EO160" i="46"/>
  <c r="EN160" i="46"/>
  <c r="EM160" i="46"/>
  <c r="EJ160" i="46"/>
  <c r="EI160" i="46"/>
  <c r="EH160" i="46"/>
  <c r="EG160" i="46"/>
  <c r="EF160" i="46"/>
  <c r="EE160" i="46"/>
  <c r="ED160" i="46"/>
  <c r="EC160" i="46"/>
  <c r="EB160" i="46"/>
  <c r="EA160" i="46"/>
  <c r="DZ160" i="46"/>
  <c r="DY160" i="46"/>
  <c r="DV160" i="46"/>
  <c r="DU160" i="46"/>
  <c r="DT160" i="46"/>
  <c r="DS160" i="46"/>
  <c r="DR160" i="46"/>
  <c r="DQ160" i="46"/>
  <c r="DP160" i="46"/>
  <c r="DO160" i="46"/>
  <c r="DN160" i="46"/>
  <c r="DM160" i="46"/>
  <c r="DL160" i="46"/>
  <c r="DK160" i="46"/>
  <c r="DH160" i="46"/>
  <c r="DG160" i="46"/>
  <c r="DF160" i="46"/>
  <c r="DE160" i="46"/>
  <c r="DD160" i="46"/>
  <c r="DC160" i="46"/>
  <c r="DB160" i="46"/>
  <c r="DA160" i="46"/>
  <c r="CZ160" i="46"/>
  <c r="CY160" i="46"/>
  <c r="CX160" i="46"/>
  <c r="CW160" i="46"/>
  <c r="CR160" i="46"/>
  <c r="CQ160" i="46"/>
  <c r="CP160" i="46"/>
  <c r="CO160" i="46"/>
  <c r="CN160" i="46"/>
  <c r="CM160" i="46"/>
  <c r="CL160" i="46"/>
  <c r="CK160" i="46"/>
  <c r="CJ160" i="46"/>
  <c r="CI160" i="46"/>
  <c r="CH160" i="46"/>
  <c r="CG160" i="46"/>
  <c r="CF160" i="46"/>
  <c r="CA160" i="46"/>
  <c r="BZ160" i="46"/>
  <c r="BY160" i="46"/>
  <c r="BX160" i="46"/>
  <c r="BW160" i="46"/>
  <c r="BV160" i="46"/>
  <c r="BU160" i="46"/>
  <c r="BT160" i="46"/>
  <c r="BS160" i="46"/>
  <c r="BR160" i="46"/>
  <c r="BQ160" i="46"/>
  <c r="BP160" i="46"/>
  <c r="BM160" i="46"/>
  <c r="BL160" i="46"/>
  <c r="BK160" i="46"/>
  <c r="BJ160" i="46"/>
  <c r="BI160" i="46"/>
  <c r="BH160" i="46"/>
  <c r="BG160" i="46"/>
  <c r="BF160" i="46"/>
  <c r="BE160" i="46"/>
  <c r="BD160" i="46"/>
  <c r="BC160" i="46"/>
  <c r="BB160" i="46"/>
  <c r="AW160" i="46"/>
  <c r="AV160" i="46"/>
  <c r="AU160" i="46"/>
  <c r="AT160" i="46"/>
  <c r="AS160" i="46"/>
  <c r="AR160" i="46"/>
  <c r="AQ160" i="46"/>
  <c r="AP160" i="46"/>
  <c r="AO160" i="46"/>
  <c r="AN160" i="46"/>
  <c r="AM160" i="46"/>
  <c r="AL160" i="46"/>
  <c r="CS157" i="46"/>
  <c r="F133" i="50" s="1"/>
  <c r="CB157" i="46"/>
  <c r="BN157" i="46"/>
  <c r="G133" i="50" s="1"/>
  <c r="AX157" i="46"/>
  <c r="EY156" i="46"/>
  <c r="EK156" i="46"/>
  <c r="DW156" i="46"/>
  <c r="DI156" i="46"/>
  <c r="CS156" i="46"/>
  <c r="F129" i="50" s="1"/>
  <c r="CB156" i="46"/>
  <c r="BN156" i="46"/>
  <c r="G129" i="50" s="1"/>
  <c r="AX156" i="46"/>
  <c r="EY155" i="46"/>
  <c r="EK155" i="46"/>
  <c r="DW155" i="46"/>
  <c r="DI155" i="46"/>
  <c r="CS155" i="46"/>
  <c r="F128" i="50" s="1"/>
  <c r="CB155" i="46"/>
  <c r="BN155" i="46"/>
  <c r="G128" i="50" s="1"/>
  <c r="AX155" i="46"/>
  <c r="EY154" i="46"/>
  <c r="EK154" i="46"/>
  <c r="DW154" i="46"/>
  <c r="DI154" i="46"/>
  <c r="CS154" i="46"/>
  <c r="F127" i="50" s="1"/>
  <c r="CB154" i="46"/>
  <c r="BN154" i="46"/>
  <c r="G127" i="50" s="1"/>
  <c r="AX154" i="46"/>
  <c r="EY153" i="46"/>
  <c r="EK153" i="46"/>
  <c r="DW153" i="46"/>
  <c r="DI153" i="46"/>
  <c r="CS153" i="46"/>
  <c r="F126" i="50" s="1"/>
  <c r="CB153" i="46"/>
  <c r="BN153" i="46"/>
  <c r="G126" i="50" s="1"/>
  <c r="AX153" i="46"/>
  <c r="EY152" i="46"/>
  <c r="EK152" i="46"/>
  <c r="DW152" i="46"/>
  <c r="DI152" i="46"/>
  <c r="CS152" i="46"/>
  <c r="F125" i="50" s="1"/>
  <c r="CB152" i="46"/>
  <c r="BN152" i="46"/>
  <c r="G125" i="50" s="1"/>
  <c r="AX152" i="46"/>
  <c r="BN151" i="46"/>
  <c r="G124" i="50" s="1"/>
  <c r="AX151" i="46"/>
  <c r="BN150" i="46"/>
  <c r="G123" i="50" s="1"/>
  <c r="AX150" i="46"/>
  <c r="EY149" i="46"/>
  <c r="EK149" i="46"/>
  <c r="DW149" i="46"/>
  <c r="DI149" i="46"/>
  <c r="CS149" i="46"/>
  <c r="F122" i="50" s="1"/>
  <c r="CB149" i="46"/>
  <c r="BN149" i="46"/>
  <c r="G122" i="50" s="1"/>
  <c r="AX149" i="46"/>
  <c r="EY148" i="46"/>
  <c r="EK148" i="46"/>
  <c r="DW148" i="46"/>
  <c r="DI148" i="46"/>
  <c r="CS148" i="46"/>
  <c r="F121" i="50" s="1"/>
  <c r="CB148" i="46"/>
  <c r="BN148" i="46"/>
  <c r="G121" i="50" s="1"/>
  <c r="AX148" i="46"/>
  <c r="EY147" i="46"/>
  <c r="EK147" i="46"/>
  <c r="DW147" i="46"/>
  <c r="DI147" i="46"/>
  <c r="CS147" i="46"/>
  <c r="F120" i="50" s="1"/>
  <c r="CB147" i="46"/>
  <c r="BN147" i="46"/>
  <c r="G120" i="50" s="1"/>
  <c r="AX147" i="46"/>
  <c r="EY146" i="46"/>
  <c r="EK146" i="46"/>
  <c r="DW146" i="46"/>
  <c r="DI146" i="46"/>
  <c r="CS146" i="46"/>
  <c r="F119" i="50" s="1"/>
  <c r="CB146" i="46"/>
  <c r="BN146" i="46"/>
  <c r="G119" i="50" s="1"/>
  <c r="AX146" i="46"/>
  <c r="EY145" i="46"/>
  <c r="EK145" i="46"/>
  <c r="DW145" i="46"/>
  <c r="DI145" i="46"/>
  <c r="CS145" i="46"/>
  <c r="F118" i="50" s="1"/>
  <c r="CB145" i="46"/>
  <c r="BN145" i="46"/>
  <c r="G118" i="50" s="1"/>
  <c r="AX145" i="46"/>
  <c r="EY144" i="46"/>
  <c r="EK144" i="46"/>
  <c r="DW144" i="46"/>
  <c r="DI144" i="46"/>
  <c r="CS144" i="46"/>
  <c r="F117" i="50" s="1"/>
  <c r="CB144" i="46"/>
  <c r="BN144" i="46"/>
  <c r="G117" i="50" s="1"/>
  <c r="AX144" i="46"/>
  <c r="EY143" i="46"/>
  <c r="EK143" i="46"/>
  <c r="DW143" i="46"/>
  <c r="DI143" i="46"/>
  <c r="CS143" i="46"/>
  <c r="F116" i="50" s="1"/>
  <c r="CB143" i="46"/>
  <c r="BN143" i="46"/>
  <c r="G116" i="50" s="1"/>
  <c r="AX143" i="46"/>
  <c r="EY142" i="46"/>
  <c r="EK142" i="46"/>
  <c r="DW142" i="46"/>
  <c r="DI142" i="46"/>
  <c r="CS142" i="46"/>
  <c r="F115" i="50" s="1"/>
  <c r="CB142" i="46"/>
  <c r="BN142" i="46"/>
  <c r="G115" i="50" s="1"/>
  <c r="AX142" i="46"/>
  <c r="EY141" i="46"/>
  <c r="EK141" i="46"/>
  <c r="DW141" i="46"/>
  <c r="DI141" i="46"/>
  <c r="CS141" i="46"/>
  <c r="F114" i="50" s="1"/>
  <c r="CB141" i="46"/>
  <c r="BN141" i="46"/>
  <c r="G114" i="50" s="1"/>
  <c r="AX141" i="46"/>
  <c r="EY140" i="46"/>
  <c r="EK140" i="46"/>
  <c r="DW140" i="46"/>
  <c r="DI140" i="46"/>
  <c r="CS140" i="46"/>
  <c r="F113" i="50" s="1"/>
  <c r="CB140" i="46"/>
  <c r="BN140" i="46"/>
  <c r="G113" i="50" s="1"/>
  <c r="AX140" i="46"/>
  <c r="EY139" i="46"/>
  <c r="EK139" i="46"/>
  <c r="DW139" i="46"/>
  <c r="DI139" i="46"/>
  <c r="CS139" i="46"/>
  <c r="F112" i="50" s="1"/>
  <c r="CB139" i="46"/>
  <c r="BN139" i="46"/>
  <c r="G112" i="50" s="1"/>
  <c r="AX139" i="46"/>
  <c r="EY138" i="46"/>
  <c r="EK138" i="46"/>
  <c r="DW138" i="46"/>
  <c r="DI138" i="46"/>
  <c r="CS138" i="46"/>
  <c r="CB138" i="46"/>
  <c r="BN138" i="46"/>
  <c r="G111" i="50" s="1"/>
  <c r="AX138" i="46"/>
  <c r="EY137" i="46"/>
  <c r="EK137" i="46"/>
  <c r="DW137" i="46"/>
  <c r="DI137" i="46"/>
  <c r="CS137" i="46"/>
  <c r="CB137" i="46"/>
  <c r="BN137" i="46"/>
  <c r="G110" i="50" s="1"/>
  <c r="AX137" i="46"/>
  <c r="EY136" i="46"/>
  <c r="EK136" i="46"/>
  <c r="DW136" i="46"/>
  <c r="DI136" i="46"/>
  <c r="CS136" i="46"/>
  <c r="CB136" i="46"/>
  <c r="BN136" i="46"/>
  <c r="G109" i="50" s="1"/>
  <c r="AX136" i="46"/>
  <c r="EY135" i="46"/>
  <c r="EK135" i="46"/>
  <c r="DW135" i="46"/>
  <c r="DI135" i="46"/>
  <c r="CS135" i="46"/>
  <c r="CB135" i="46"/>
  <c r="BN135" i="46"/>
  <c r="G108" i="50" s="1"/>
  <c r="AX135" i="46"/>
  <c r="EY134" i="46"/>
  <c r="EK134" i="46"/>
  <c r="DW134" i="46"/>
  <c r="DI134" i="46"/>
  <c r="CS134" i="46"/>
  <c r="CB134" i="46"/>
  <c r="BN134" i="46"/>
  <c r="G107" i="50" s="1"/>
  <c r="AX134" i="46"/>
  <c r="EY133" i="46"/>
  <c r="EK133" i="46"/>
  <c r="DW133" i="46"/>
  <c r="DI133" i="46"/>
  <c r="CS133" i="46"/>
  <c r="CB133" i="46"/>
  <c r="BN133" i="46"/>
  <c r="G106" i="50" s="1"/>
  <c r="AX133" i="46"/>
  <c r="EY132" i="46"/>
  <c r="EK132" i="46"/>
  <c r="DW132" i="46"/>
  <c r="DI132" i="46"/>
  <c r="CS132" i="46"/>
  <c r="CB132" i="46"/>
  <c r="BN132" i="46"/>
  <c r="G105" i="50" s="1"/>
  <c r="AX132" i="46"/>
  <c r="EY131" i="46"/>
  <c r="EK131" i="46"/>
  <c r="DW131" i="46"/>
  <c r="DI131" i="46"/>
  <c r="CS131" i="46"/>
  <c r="CB131" i="46"/>
  <c r="BN131" i="46"/>
  <c r="G104" i="50" s="1"/>
  <c r="AX131" i="46"/>
  <c r="EY130" i="46"/>
  <c r="EK130" i="46"/>
  <c r="DW130" i="46"/>
  <c r="DI130" i="46"/>
  <c r="CS130" i="46"/>
  <c r="CB130" i="46"/>
  <c r="BN130" i="46"/>
  <c r="G103" i="50" s="1"/>
  <c r="AX130" i="46"/>
  <c r="EY129" i="46"/>
  <c r="EK129" i="46"/>
  <c r="DW129" i="46"/>
  <c r="DI129" i="46"/>
  <c r="CS129" i="46"/>
  <c r="CB129" i="46"/>
  <c r="BN129" i="46"/>
  <c r="G102" i="50" s="1"/>
  <c r="AX129" i="46"/>
  <c r="EY128" i="46"/>
  <c r="EK128" i="46"/>
  <c r="DW128" i="46"/>
  <c r="DI128" i="46"/>
  <c r="CS128" i="46"/>
  <c r="CB128" i="46"/>
  <c r="BN128" i="46"/>
  <c r="G101" i="50" s="1"/>
  <c r="AX128" i="46"/>
  <c r="EY127" i="46"/>
  <c r="EK127" i="46"/>
  <c r="DW127" i="46"/>
  <c r="DI127" i="46"/>
  <c r="CS127" i="46"/>
  <c r="CB127" i="46"/>
  <c r="BN127" i="46"/>
  <c r="G100" i="50" s="1"/>
  <c r="AX127" i="46"/>
  <c r="EY126" i="46"/>
  <c r="EK126" i="46"/>
  <c r="DW126" i="46"/>
  <c r="DI126" i="46"/>
  <c r="CS126" i="46"/>
  <c r="CB126" i="46"/>
  <c r="BN126" i="46"/>
  <c r="G99" i="50" s="1"/>
  <c r="AX126" i="46"/>
  <c r="EY125" i="46"/>
  <c r="EK125" i="46"/>
  <c r="DW125" i="46"/>
  <c r="DI125" i="46"/>
  <c r="CS125" i="46"/>
  <c r="CB125" i="46"/>
  <c r="BN125" i="46"/>
  <c r="G98" i="50" s="1"/>
  <c r="AX125" i="46"/>
  <c r="EY124" i="46"/>
  <c r="EK124" i="46"/>
  <c r="DW124" i="46"/>
  <c r="DI124" i="46"/>
  <c r="CS124" i="46"/>
  <c r="CB124" i="46"/>
  <c r="BN124" i="46"/>
  <c r="G97" i="50" s="1"/>
  <c r="AX124" i="46"/>
  <c r="EY123" i="46"/>
  <c r="EK123" i="46"/>
  <c r="DW123" i="46"/>
  <c r="DI123" i="46"/>
  <c r="CS123" i="46"/>
  <c r="CB123" i="46"/>
  <c r="BN123" i="46"/>
  <c r="G96" i="50" s="1"/>
  <c r="AX123" i="46"/>
  <c r="EY122" i="46"/>
  <c r="EK122" i="46"/>
  <c r="DW122" i="46"/>
  <c r="DI122" i="46"/>
  <c r="CS122" i="46"/>
  <c r="CB122" i="46"/>
  <c r="BN122" i="46"/>
  <c r="G95" i="50" s="1"/>
  <c r="AX122" i="46"/>
  <c r="EY121" i="46"/>
  <c r="EK121" i="46"/>
  <c r="DW121" i="46"/>
  <c r="DI121" i="46"/>
  <c r="CS121" i="46"/>
  <c r="CB121" i="46"/>
  <c r="BN121" i="46"/>
  <c r="G94" i="50" s="1"/>
  <c r="AX121" i="46"/>
  <c r="EY120" i="46"/>
  <c r="EK120" i="46"/>
  <c r="DW120" i="46"/>
  <c r="DI120" i="46"/>
  <c r="CS120" i="46"/>
  <c r="CB120" i="46"/>
  <c r="BN120" i="46"/>
  <c r="G93" i="50" s="1"/>
  <c r="AX120" i="46"/>
  <c r="EY119" i="46"/>
  <c r="EK119" i="46"/>
  <c r="DW119" i="46"/>
  <c r="DI119" i="46"/>
  <c r="CS119" i="46"/>
  <c r="CB119" i="46"/>
  <c r="BN119" i="46"/>
  <c r="G92" i="50" s="1"/>
  <c r="AX119" i="46"/>
  <c r="EY118" i="46"/>
  <c r="EK118" i="46"/>
  <c r="DW118" i="46"/>
  <c r="DI118" i="46"/>
  <c r="CS118" i="46"/>
  <c r="CB118" i="46"/>
  <c r="BN118" i="46"/>
  <c r="G91" i="50" s="1"/>
  <c r="AX118" i="46"/>
  <c r="EY117" i="46"/>
  <c r="EK117" i="46"/>
  <c r="DW117" i="46"/>
  <c r="DI117" i="46"/>
  <c r="CS117" i="46"/>
  <c r="CB117" i="46"/>
  <c r="BN117" i="46"/>
  <c r="G90" i="50" s="1"/>
  <c r="AX117" i="46"/>
  <c r="EY116" i="46"/>
  <c r="EK116" i="46"/>
  <c r="DW116" i="46"/>
  <c r="DI116" i="46"/>
  <c r="CS116" i="46"/>
  <c r="CB116" i="46"/>
  <c r="BN116" i="46"/>
  <c r="G89" i="50" s="1"/>
  <c r="AX116" i="46"/>
  <c r="EY115" i="46"/>
  <c r="EK115" i="46"/>
  <c r="DW115" i="46"/>
  <c r="DI115" i="46"/>
  <c r="CS115" i="46"/>
  <c r="CB115" i="46"/>
  <c r="BN115" i="46"/>
  <c r="G88" i="50" s="1"/>
  <c r="AX115" i="46"/>
  <c r="EY114" i="46"/>
  <c r="EK114" i="46"/>
  <c r="DW114" i="46"/>
  <c r="DI114" i="46"/>
  <c r="CS114" i="46"/>
  <c r="CB114" i="46"/>
  <c r="BN114" i="46"/>
  <c r="G87" i="50" s="1"/>
  <c r="AX114" i="46"/>
  <c r="EY113" i="46"/>
  <c r="EK113" i="46"/>
  <c r="DW113" i="46"/>
  <c r="DI113" i="46"/>
  <c r="CS113" i="46"/>
  <c r="F86" i="50" s="1"/>
  <c r="CB113" i="46"/>
  <c r="BN113" i="46"/>
  <c r="G86" i="50" s="1"/>
  <c r="AX113" i="46"/>
  <c r="EY112" i="46"/>
  <c r="EK112" i="46"/>
  <c r="DW112" i="46"/>
  <c r="DI112" i="46"/>
  <c r="CS112" i="46"/>
  <c r="CB112" i="46"/>
  <c r="BN112" i="46"/>
  <c r="G85" i="50" s="1"/>
  <c r="AX112" i="46"/>
  <c r="EY111" i="46"/>
  <c r="EK111" i="46"/>
  <c r="DW111" i="46"/>
  <c r="DI111" i="46"/>
  <c r="CS111" i="46"/>
  <c r="F84" i="50" s="1"/>
  <c r="CB111" i="46"/>
  <c r="BN111" i="46"/>
  <c r="G84" i="50" s="1"/>
  <c r="AX111" i="46"/>
  <c r="EY110" i="46"/>
  <c r="EK110" i="46"/>
  <c r="DW110" i="46"/>
  <c r="DI110" i="46"/>
  <c r="CS110" i="46"/>
  <c r="CB110" i="46"/>
  <c r="BN110" i="46"/>
  <c r="AX110" i="46"/>
  <c r="EY109" i="46"/>
  <c r="EK109" i="46"/>
  <c r="DW109" i="46"/>
  <c r="DI109" i="46"/>
  <c r="CS109" i="46"/>
  <c r="F82" i="50" s="1"/>
  <c r="CB109" i="46"/>
  <c r="BN109" i="46"/>
  <c r="G82" i="50" s="1"/>
  <c r="AX109" i="46"/>
  <c r="EY108" i="46"/>
  <c r="EK108" i="46"/>
  <c r="DW108" i="46"/>
  <c r="DI108" i="46"/>
  <c r="CS108" i="46"/>
  <c r="CB108" i="46"/>
  <c r="BN108" i="46"/>
  <c r="G81" i="50" s="1"/>
  <c r="AX108" i="46"/>
  <c r="EY107" i="46"/>
  <c r="EK107" i="46"/>
  <c r="DW107" i="46"/>
  <c r="DI107" i="46"/>
  <c r="CS107" i="46"/>
  <c r="F80" i="50" s="1"/>
  <c r="CB107" i="46"/>
  <c r="BN107" i="46"/>
  <c r="AX107" i="46"/>
  <c r="EY106" i="46"/>
  <c r="EK106" i="46"/>
  <c r="DW106" i="46"/>
  <c r="DI106" i="46"/>
  <c r="CS106" i="46"/>
  <c r="CB106" i="46"/>
  <c r="BN106" i="46"/>
  <c r="G79" i="50" s="1"/>
  <c r="AX106" i="46"/>
  <c r="EY105" i="46"/>
  <c r="EK105" i="46"/>
  <c r="DW105" i="46"/>
  <c r="DI105" i="46"/>
  <c r="CS105" i="46"/>
  <c r="F78" i="50" s="1"/>
  <c r="CB105" i="46"/>
  <c r="BN105" i="46"/>
  <c r="G78" i="50" s="1"/>
  <c r="AX105" i="46"/>
  <c r="EY104" i="46"/>
  <c r="EK104" i="46"/>
  <c r="DW104" i="46"/>
  <c r="DI104" i="46"/>
  <c r="CS104" i="46"/>
  <c r="CB104" i="46"/>
  <c r="BN104" i="46"/>
  <c r="G77" i="50" s="1"/>
  <c r="AX104" i="46"/>
  <c r="EY103" i="46"/>
  <c r="EK103" i="46"/>
  <c r="DW103" i="46"/>
  <c r="DI103" i="46"/>
  <c r="CS103" i="46"/>
  <c r="F76" i="50" s="1"/>
  <c r="CB103" i="46"/>
  <c r="BN103" i="46"/>
  <c r="G76" i="50" s="1"/>
  <c r="AX103" i="46"/>
  <c r="EY102" i="46"/>
  <c r="EK102" i="46"/>
  <c r="DW102" i="46"/>
  <c r="DI102" i="46"/>
  <c r="CS102" i="46"/>
  <c r="CB102" i="46"/>
  <c r="BN102" i="46"/>
  <c r="G75" i="50" s="1"/>
  <c r="AX102" i="46"/>
  <c r="EY101" i="46"/>
  <c r="EK101" i="46"/>
  <c r="DW101" i="46"/>
  <c r="DI101" i="46"/>
  <c r="CS101" i="46"/>
  <c r="F74" i="50" s="1"/>
  <c r="CB101" i="46"/>
  <c r="G74" i="50"/>
  <c r="AX101" i="46"/>
  <c r="EY100" i="46"/>
  <c r="EK100" i="46"/>
  <c r="DW100" i="46"/>
  <c r="DI100" i="46"/>
  <c r="CS100" i="46"/>
  <c r="CB100" i="46"/>
  <c r="BN100" i="46"/>
  <c r="G73" i="50" s="1"/>
  <c r="AX100" i="46"/>
  <c r="EY99" i="46"/>
  <c r="EK99" i="46"/>
  <c r="DW99" i="46"/>
  <c r="DI99" i="46"/>
  <c r="CS99" i="46"/>
  <c r="F72" i="50" s="1"/>
  <c r="CB99" i="46"/>
  <c r="BN99" i="46"/>
  <c r="AX99" i="46"/>
  <c r="EY98" i="46"/>
  <c r="EK98" i="46"/>
  <c r="DW98" i="46"/>
  <c r="DI98" i="46"/>
  <c r="CS98" i="46"/>
  <c r="CB98" i="46"/>
  <c r="BN98" i="46"/>
  <c r="G71" i="50" s="1"/>
  <c r="AX98" i="46"/>
  <c r="EY97" i="46"/>
  <c r="EK97" i="46"/>
  <c r="DW97" i="46"/>
  <c r="DI97" i="46"/>
  <c r="CS97" i="46"/>
  <c r="F70" i="50" s="1"/>
  <c r="F161" i="50" s="1"/>
  <c r="CB97" i="46"/>
  <c r="BN97" i="46"/>
  <c r="G70" i="50" s="1"/>
  <c r="G161" i="50" s="1"/>
  <c r="AX97" i="46"/>
  <c r="EY96" i="46"/>
  <c r="EK96" i="46"/>
  <c r="DW96" i="46"/>
  <c r="DI96" i="46"/>
  <c r="CS96" i="46"/>
  <c r="CB96" i="46"/>
  <c r="BN96" i="46"/>
  <c r="G69" i="50" s="1"/>
  <c r="AX96" i="46"/>
  <c r="EY95" i="46"/>
  <c r="EK95" i="46"/>
  <c r="DW95" i="46"/>
  <c r="DI95" i="46"/>
  <c r="CS95" i="46"/>
  <c r="F68" i="50" s="1"/>
  <c r="CB95" i="46"/>
  <c r="G68" i="50"/>
  <c r="AX95" i="46"/>
  <c r="EY94" i="46"/>
  <c r="EK94" i="46"/>
  <c r="DW94" i="46"/>
  <c r="DI94" i="46"/>
  <c r="CS94" i="46"/>
  <c r="CB94" i="46"/>
  <c r="AX94" i="46"/>
  <c r="EY93" i="46"/>
  <c r="EK93" i="46"/>
  <c r="DW93" i="46"/>
  <c r="DI93" i="46"/>
  <c r="CS93" i="46"/>
  <c r="F66" i="50" s="1"/>
  <c r="CB93" i="46"/>
  <c r="G66" i="50"/>
  <c r="AX93" i="46"/>
  <c r="EY92" i="46"/>
  <c r="EK92" i="46"/>
  <c r="DW92" i="46"/>
  <c r="DI92" i="46"/>
  <c r="CS92" i="46"/>
  <c r="CB92" i="46"/>
  <c r="AX92" i="46"/>
  <c r="EY91" i="46"/>
  <c r="EK91" i="46"/>
  <c r="DW91" i="46"/>
  <c r="DI91" i="46"/>
  <c r="CS91" i="46"/>
  <c r="F64" i="50" s="1"/>
  <c r="CB91" i="46"/>
  <c r="G64" i="50"/>
  <c r="AX91" i="46"/>
  <c r="BN90" i="46"/>
  <c r="G63" i="50" s="1"/>
  <c r="EY89" i="46"/>
  <c r="EK89" i="46"/>
  <c r="DW89" i="46"/>
  <c r="DI89" i="46"/>
  <c r="CS89" i="46"/>
  <c r="CB89" i="46"/>
  <c r="BN89" i="46"/>
  <c r="G62" i="50" s="1"/>
  <c r="EY88" i="46"/>
  <c r="EK88" i="46"/>
  <c r="DW88" i="46"/>
  <c r="DI88" i="46"/>
  <c r="CS88" i="46"/>
  <c r="F61" i="50" s="1"/>
  <c r="CB88" i="46"/>
  <c r="BN88" i="46"/>
  <c r="AX88" i="46"/>
  <c r="EY87" i="46"/>
  <c r="EK87" i="46"/>
  <c r="DW87" i="46"/>
  <c r="DI87" i="46"/>
  <c r="CS87" i="46"/>
  <c r="CB87" i="46"/>
  <c r="G60" i="50"/>
  <c r="AX87" i="46"/>
  <c r="EY86" i="46"/>
  <c r="EK86" i="46"/>
  <c r="DW86" i="46"/>
  <c r="DI86" i="46"/>
  <c r="CS86" i="46"/>
  <c r="F59" i="50" s="1"/>
  <c r="CB86" i="46"/>
  <c r="G59" i="50"/>
  <c r="AX86" i="46"/>
  <c r="EY85" i="46"/>
  <c r="EK85" i="46"/>
  <c r="DW85" i="46"/>
  <c r="DI85" i="46"/>
  <c r="CS85" i="46"/>
  <c r="CB85" i="46"/>
  <c r="G58" i="50"/>
  <c r="AX85" i="46"/>
  <c r="EY84" i="46"/>
  <c r="EK84" i="46"/>
  <c r="DW84" i="46"/>
  <c r="DI84" i="46"/>
  <c r="CS84" i="46"/>
  <c r="F57" i="50" s="1"/>
  <c r="CB84" i="46"/>
  <c r="G57" i="50"/>
  <c r="AX84" i="46"/>
  <c r="CS83" i="46"/>
  <c r="CB83" i="46"/>
  <c r="G131" i="50"/>
  <c r="AX83" i="46"/>
  <c r="EY82" i="46"/>
  <c r="EK82" i="46"/>
  <c r="DW82" i="46"/>
  <c r="DI82" i="46"/>
  <c r="CS82" i="46"/>
  <c r="F56" i="50" s="1"/>
  <c r="CB82" i="46"/>
  <c r="G56" i="50"/>
  <c r="AX82" i="46"/>
  <c r="EY81" i="46"/>
  <c r="EK81" i="46"/>
  <c r="DW81" i="46"/>
  <c r="DI81" i="46"/>
  <c r="CS81" i="46"/>
  <c r="F55" i="50" s="1"/>
  <c r="CB81" i="46"/>
  <c r="AX81" i="46"/>
  <c r="EY80" i="46"/>
  <c r="EK80" i="46"/>
  <c r="DW80" i="46"/>
  <c r="DI80" i="46"/>
  <c r="CS80" i="46"/>
  <c r="CB80" i="46"/>
  <c r="G54" i="50"/>
  <c r="AX80" i="46"/>
  <c r="EY79" i="46"/>
  <c r="EK79" i="46"/>
  <c r="DW79" i="46"/>
  <c r="DI79" i="46"/>
  <c r="CS79" i="46"/>
  <c r="F53" i="50" s="1"/>
  <c r="CB79" i="46"/>
  <c r="CC79" i="46" s="1"/>
  <c r="CD79" i="46" s="1"/>
  <c r="G53" i="50"/>
  <c r="AX79" i="46"/>
  <c r="EY78" i="46"/>
  <c r="EK78" i="46"/>
  <c r="DW78" i="46"/>
  <c r="DI78" i="46"/>
  <c r="CS78" i="46"/>
  <c r="F52" i="50" s="1"/>
  <c r="CB78" i="46"/>
  <c r="G52" i="50"/>
  <c r="AX78" i="46"/>
  <c r="EY77" i="46"/>
  <c r="EK77" i="46"/>
  <c r="DW77" i="46"/>
  <c r="DI77" i="46"/>
  <c r="CS77" i="46"/>
  <c r="CB77" i="46"/>
  <c r="G51" i="50"/>
  <c r="AX77" i="46"/>
  <c r="EY76" i="46"/>
  <c r="EK76" i="46"/>
  <c r="DW76" i="46"/>
  <c r="DI76" i="46"/>
  <c r="CS76" i="46"/>
  <c r="F50" i="50" s="1"/>
  <c r="CB76" i="46"/>
  <c r="G50" i="50"/>
  <c r="AX76" i="46"/>
  <c r="EY75" i="46"/>
  <c r="EK75" i="46"/>
  <c r="DW75" i="46"/>
  <c r="DI75" i="46"/>
  <c r="CS75" i="46"/>
  <c r="CB75" i="46"/>
  <c r="CC75" i="46" s="1"/>
  <c r="CD75" i="46" s="1"/>
  <c r="G49" i="50"/>
  <c r="AX75" i="46"/>
  <c r="EY74" i="46"/>
  <c r="EK74" i="46"/>
  <c r="DW74" i="46"/>
  <c r="DI74" i="46"/>
  <c r="CS74" i="46"/>
  <c r="F48" i="50" s="1"/>
  <c r="CB74" i="46"/>
  <c r="G48" i="50"/>
  <c r="AX74" i="46"/>
  <c r="EY73" i="46"/>
  <c r="EK73" i="46"/>
  <c r="DW73" i="46"/>
  <c r="DI73" i="46"/>
  <c r="CS73" i="46"/>
  <c r="F47" i="50" s="1"/>
  <c r="CB73" i="46"/>
  <c r="G47" i="50"/>
  <c r="AX73" i="46"/>
  <c r="EY72" i="46"/>
  <c r="EK72" i="46"/>
  <c r="DW72" i="46"/>
  <c r="DI72" i="46"/>
  <c r="CS72" i="46"/>
  <c r="F46" i="50" s="1"/>
  <c r="CB72" i="46"/>
  <c r="G46" i="50"/>
  <c r="AX72" i="46"/>
  <c r="EY71" i="46"/>
  <c r="EK71" i="46"/>
  <c r="DW71" i="46"/>
  <c r="DI71" i="46"/>
  <c r="CS71" i="46"/>
  <c r="F45" i="50" s="1"/>
  <c r="F162" i="50" s="1"/>
  <c r="CB71" i="46"/>
  <c r="CC71" i="46"/>
  <c r="CD71" i="46" s="1"/>
  <c r="AX71" i="46"/>
  <c r="EY70" i="46"/>
  <c r="EK70" i="46"/>
  <c r="DW70" i="46"/>
  <c r="DI70" i="46"/>
  <c r="CS70" i="46"/>
  <c r="F44" i="50" s="1"/>
  <c r="CB70" i="46"/>
  <c r="G44" i="50"/>
  <c r="AX70" i="46"/>
  <c r="EY69" i="46"/>
  <c r="EK69" i="46"/>
  <c r="DW69" i="46"/>
  <c r="DI69" i="46"/>
  <c r="CS69" i="46"/>
  <c r="F43" i="50" s="1"/>
  <c r="CB69" i="46"/>
  <c r="AX69" i="46"/>
  <c r="EY68" i="46"/>
  <c r="EK68" i="46"/>
  <c r="DW68" i="46"/>
  <c r="DI68" i="46"/>
  <c r="CS68" i="46"/>
  <c r="F42" i="50" s="1"/>
  <c r="CB68" i="46"/>
  <c r="G42" i="50"/>
  <c r="AX68" i="46"/>
  <c r="EY67" i="46"/>
  <c r="EK67" i="46"/>
  <c r="DW67" i="46"/>
  <c r="DI67" i="46"/>
  <c r="CS67" i="46"/>
  <c r="CB67" i="46"/>
  <c r="G41" i="50"/>
  <c r="AX67" i="46"/>
  <c r="EY66" i="46"/>
  <c r="EK66" i="46"/>
  <c r="DW66" i="46"/>
  <c r="DI66" i="46"/>
  <c r="CS66" i="46"/>
  <c r="F40" i="50" s="1"/>
  <c r="CB66" i="46"/>
  <c r="G40" i="50"/>
  <c r="AX66" i="46"/>
  <c r="EY65" i="46"/>
  <c r="EK65" i="46"/>
  <c r="DW65" i="46"/>
  <c r="DI65" i="46"/>
  <c r="CS65" i="46"/>
  <c r="F39" i="50" s="1"/>
  <c r="CB65" i="46"/>
  <c r="G39" i="50"/>
  <c r="AX65" i="46"/>
  <c r="EY64" i="46"/>
  <c r="EK64" i="46"/>
  <c r="DW64" i="46"/>
  <c r="DI64" i="46"/>
  <c r="CS64" i="46"/>
  <c r="F38" i="50" s="1"/>
  <c r="CB64" i="46"/>
  <c r="G38" i="50"/>
  <c r="AX64" i="46"/>
  <c r="EY63" i="46"/>
  <c r="EK63" i="46"/>
  <c r="DW63" i="46"/>
  <c r="DI63" i="46"/>
  <c r="CS63" i="46"/>
  <c r="F37" i="50" s="1"/>
  <c r="CB63" i="46"/>
  <c r="G37" i="50"/>
  <c r="AX63" i="46"/>
  <c r="EY62" i="46"/>
  <c r="EK62" i="46"/>
  <c r="DW62" i="46"/>
  <c r="DI62" i="46"/>
  <c r="CS62" i="46"/>
  <c r="F36" i="50" s="1"/>
  <c r="CB62" i="46"/>
  <c r="G36" i="50"/>
  <c r="AX62" i="46"/>
  <c r="EY61" i="46"/>
  <c r="EK61" i="46"/>
  <c r="DW61" i="46"/>
  <c r="DI61" i="46"/>
  <c r="CS61" i="46"/>
  <c r="F35" i="50" s="1"/>
  <c r="CB61" i="46"/>
  <c r="G35" i="50"/>
  <c r="AX61" i="46"/>
  <c r="EY60" i="46"/>
  <c r="EK60" i="46"/>
  <c r="DW60" i="46"/>
  <c r="DI60" i="46"/>
  <c r="CS60" i="46"/>
  <c r="F34" i="50" s="1"/>
  <c r="CB60" i="46"/>
  <c r="G34" i="50"/>
  <c r="AX60" i="46"/>
  <c r="EY59" i="46"/>
  <c r="EK59" i="46"/>
  <c r="DW59" i="46"/>
  <c r="DI59" i="46"/>
  <c r="CS59" i="46"/>
  <c r="F33" i="50" s="1"/>
  <c r="CB59" i="46"/>
  <c r="G33" i="50"/>
  <c r="AX59" i="46"/>
  <c r="EY58" i="46"/>
  <c r="EK58" i="46"/>
  <c r="DW58" i="46"/>
  <c r="DI58" i="46"/>
  <c r="CS58" i="46"/>
  <c r="F32" i="50" s="1"/>
  <c r="CB58" i="46"/>
  <c r="G32" i="50"/>
  <c r="AX58" i="46"/>
  <c r="EY57" i="46"/>
  <c r="EK57" i="46"/>
  <c r="DW57" i="46"/>
  <c r="DI57" i="46"/>
  <c r="CS57" i="46"/>
  <c r="F31" i="50" s="1"/>
  <c r="CB57" i="46"/>
  <c r="BN57" i="46"/>
  <c r="G31" i="50" s="1"/>
  <c r="AX57" i="46"/>
  <c r="EY56" i="46"/>
  <c r="EK56" i="46"/>
  <c r="DW56" i="46"/>
  <c r="DI56" i="46"/>
  <c r="CS56" i="46"/>
  <c r="F132" i="50" s="1"/>
  <c r="CB56" i="46"/>
  <c r="BN56" i="46"/>
  <c r="G132" i="50" s="1"/>
  <c r="AX56" i="46"/>
  <c r="EY55" i="46"/>
  <c r="EK55" i="46"/>
  <c r="DW55" i="46"/>
  <c r="DI55" i="46"/>
  <c r="CS55" i="46"/>
  <c r="F30" i="50" s="1"/>
  <c r="CB55" i="46"/>
  <c r="G30" i="50"/>
  <c r="AX55" i="46"/>
  <c r="EY54" i="46"/>
  <c r="EK54" i="46"/>
  <c r="DW54" i="46"/>
  <c r="DI54" i="46"/>
  <c r="CS54" i="46"/>
  <c r="F29" i="50" s="1"/>
  <c r="CB54" i="46"/>
  <c r="G29" i="50"/>
  <c r="AX54" i="46"/>
  <c r="CS53" i="46"/>
  <c r="F130" i="50" s="1"/>
  <c r="CB53" i="46"/>
  <c r="G130" i="50"/>
  <c r="AX53" i="46"/>
  <c r="EY52" i="46"/>
  <c r="EK52" i="46"/>
  <c r="DW52" i="46"/>
  <c r="DI52" i="46"/>
  <c r="CS52" i="46"/>
  <c r="F28" i="50" s="1"/>
  <c r="CB52" i="46"/>
  <c r="G28" i="50"/>
  <c r="AX52" i="46"/>
  <c r="EY51" i="46"/>
  <c r="EK51" i="46"/>
  <c r="DW51" i="46"/>
  <c r="DI51" i="46"/>
  <c r="CS51" i="46"/>
  <c r="F27" i="50" s="1"/>
  <c r="CB51" i="46"/>
  <c r="AX51" i="46"/>
  <c r="EY50" i="46"/>
  <c r="EK50" i="46"/>
  <c r="DW50" i="46"/>
  <c r="DI50" i="46"/>
  <c r="CS50" i="46"/>
  <c r="F26" i="50" s="1"/>
  <c r="CB50" i="46"/>
  <c r="BN50" i="46"/>
  <c r="G26" i="50" s="1"/>
  <c r="AX50" i="46"/>
  <c r="EY49" i="46"/>
  <c r="EK49" i="46"/>
  <c r="DW49" i="46"/>
  <c r="DI49" i="46"/>
  <c r="CS49" i="46"/>
  <c r="F25" i="50" s="1"/>
  <c r="CB49" i="46"/>
  <c r="BN49" i="46"/>
  <c r="G25" i="50" s="1"/>
  <c r="AX49" i="46"/>
  <c r="EY48" i="46"/>
  <c r="EK48" i="46"/>
  <c r="DW48" i="46"/>
  <c r="DI48" i="46"/>
  <c r="CS48" i="46"/>
  <c r="F24" i="50" s="1"/>
  <c r="CB48" i="46"/>
  <c r="BN48" i="46"/>
  <c r="G24" i="50" s="1"/>
  <c r="AX48" i="46"/>
  <c r="EY47" i="46"/>
  <c r="EK47" i="46"/>
  <c r="DW47" i="46"/>
  <c r="DI47" i="46"/>
  <c r="CS47" i="46"/>
  <c r="F23" i="50" s="1"/>
  <c r="CB47" i="46"/>
  <c r="G23" i="50"/>
  <c r="AX47" i="46"/>
  <c r="EY46" i="46"/>
  <c r="EK46" i="46"/>
  <c r="DW46" i="46"/>
  <c r="DI46" i="46"/>
  <c r="CS46" i="46"/>
  <c r="F22" i="50" s="1"/>
  <c r="CB46" i="46"/>
  <c r="G22" i="50"/>
  <c r="AX46" i="46"/>
  <c r="EY45" i="46"/>
  <c r="EK45" i="46"/>
  <c r="DW45" i="46"/>
  <c r="DI45" i="46"/>
  <c r="CS45" i="46"/>
  <c r="F21" i="50" s="1"/>
  <c r="CB45" i="46"/>
  <c r="G21" i="50"/>
  <c r="AX45" i="46"/>
  <c r="EY44" i="46"/>
  <c r="EK44" i="46"/>
  <c r="DW44" i="46"/>
  <c r="DI44" i="46"/>
  <c r="CS44" i="46"/>
  <c r="F20" i="50" s="1"/>
  <c r="CB44" i="46"/>
  <c r="G20" i="50"/>
  <c r="AX44" i="46"/>
  <c r="EY43" i="46"/>
  <c r="EK43" i="46"/>
  <c r="DW43" i="46"/>
  <c r="DI43" i="46"/>
  <c r="CS43" i="46"/>
  <c r="F19" i="50" s="1"/>
  <c r="CB43" i="46"/>
  <c r="G19" i="50"/>
  <c r="AX43" i="46"/>
  <c r="EY42" i="46"/>
  <c r="EK42" i="46"/>
  <c r="DW42" i="46"/>
  <c r="DI42" i="46"/>
  <c r="CS42" i="46"/>
  <c r="F18" i="50" s="1"/>
  <c r="CB42" i="46"/>
  <c r="G18" i="50"/>
  <c r="AX42" i="46"/>
  <c r="EY41" i="46"/>
  <c r="EK41" i="46"/>
  <c r="DW41" i="46"/>
  <c r="DI41" i="46"/>
  <c r="CS41" i="46"/>
  <c r="F17" i="50" s="1"/>
  <c r="CB41" i="46"/>
  <c r="G17" i="50"/>
  <c r="AX41" i="46"/>
  <c r="EY40" i="46"/>
  <c r="EK40" i="46"/>
  <c r="DW40" i="46"/>
  <c r="DI40" i="46"/>
  <c r="CS40" i="46"/>
  <c r="F16" i="50" s="1"/>
  <c r="CB40" i="46"/>
  <c r="G16" i="50"/>
  <c r="AX40" i="46"/>
  <c r="EY39" i="46"/>
  <c r="EK39" i="46"/>
  <c r="DW39" i="46"/>
  <c r="DI39" i="46"/>
  <c r="CS39" i="46"/>
  <c r="F15" i="50" s="1"/>
  <c r="CB39" i="46"/>
  <c r="G15" i="50"/>
  <c r="AX39" i="46"/>
  <c r="EY38" i="46"/>
  <c r="EK38" i="46"/>
  <c r="DW38" i="46"/>
  <c r="DI38" i="46"/>
  <c r="CS38" i="46"/>
  <c r="F14" i="50" s="1"/>
  <c r="CB38" i="46"/>
  <c r="AX38" i="46"/>
  <c r="EY37" i="46"/>
  <c r="EK37" i="46"/>
  <c r="DW37" i="46"/>
  <c r="DI37" i="46"/>
  <c r="CS37" i="46"/>
  <c r="F13" i="50" s="1"/>
  <c r="CB37" i="46"/>
  <c r="G13" i="50"/>
  <c r="AX37" i="46"/>
  <c r="EY36" i="46"/>
  <c r="EK36" i="46"/>
  <c r="DW36" i="46"/>
  <c r="DI36" i="46"/>
  <c r="CS36" i="46"/>
  <c r="CB36" i="46"/>
  <c r="AX36" i="46"/>
  <c r="H144" i="50" s="1"/>
  <c r="EY35" i="46"/>
  <c r="EK35" i="46"/>
  <c r="DW35" i="46"/>
  <c r="DI35" i="46"/>
  <c r="CS35" i="46"/>
  <c r="F11" i="50" s="1"/>
  <c r="CB35" i="46"/>
  <c r="G11" i="50"/>
  <c r="AX35" i="46"/>
  <c r="EY34" i="46"/>
  <c r="EK34" i="46"/>
  <c r="DW34" i="46"/>
  <c r="DI34" i="46"/>
  <c r="CS34" i="46"/>
  <c r="CB34" i="46"/>
  <c r="AX34" i="46"/>
  <c r="EY33" i="46"/>
  <c r="EK33" i="46"/>
  <c r="DW33" i="46"/>
  <c r="DI33" i="46"/>
  <c r="CS33" i="46"/>
  <c r="F9" i="50" s="1"/>
  <c r="CB33" i="46"/>
  <c r="CC33" i="46" s="1"/>
  <c r="CD33" i="46" s="1"/>
  <c r="G9" i="50"/>
  <c r="AX33" i="46"/>
  <c r="EY32" i="46"/>
  <c r="EK32" i="46"/>
  <c r="DW32" i="46"/>
  <c r="DI32" i="46"/>
  <c r="CS32" i="46"/>
  <c r="CB32" i="46"/>
  <c r="AX32" i="46"/>
  <c r="EY31" i="46"/>
  <c r="EK31" i="46"/>
  <c r="DW31" i="46"/>
  <c r="DI31" i="46"/>
  <c r="CS31" i="46"/>
  <c r="F7" i="50" s="1"/>
  <c r="CB31" i="46"/>
  <c r="CC31" i="46" s="1"/>
  <c r="CD31" i="46" s="1"/>
  <c r="G7" i="50"/>
  <c r="AX31" i="46"/>
  <c r="EY30" i="46"/>
  <c r="EK30" i="46"/>
  <c r="DW30" i="46"/>
  <c r="DI30" i="46"/>
  <c r="CS30" i="46"/>
  <c r="CB30" i="46"/>
  <c r="AX30" i="46"/>
  <c r="EY29" i="46"/>
  <c r="EK29" i="46"/>
  <c r="DW29" i="46"/>
  <c r="DI29" i="46"/>
  <c r="CS29" i="46"/>
  <c r="F5" i="50" s="1"/>
  <c r="CB29" i="46"/>
  <c r="G5" i="50"/>
  <c r="AX29" i="46"/>
  <c r="EY28" i="46"/>
  <c r="EK28" i="46"/>
  <c r="DW28" i="46"/>
  <c r="DI28" i="46"/>
  <c r="CS28" i="46"/>
  <c r="CB28" i="46"/>
  <c r="AX28" i="46"/>
  <c r="EX25" i="46"/>
  <c r="EW25" i="46"/>
  <c r="EV25" i="46"/>
  <c r="EU25" i="46"/>
  <c r="ET25" i="46"/>
  <c r="ES25" i="46"/>
  <c r="ER25" i="46"/>
  <c r="EQ25" i="46"/>
  <c r="EP25" i="46"/>
  <c r="EO25" i="46"/>
  <c r="EN25" i="46"/>
  <c r="EM25" i="46"/>
  <c r="EJ25" i="46"/>
  <c r="EI25" i="46"/>
  <c r="EH25" i="46"/>
  <c r="EG25" i="46"/>
  <c r="EF25" i="46"/>
  <c r="EE25" i="46"/>
  <c r="ED25" i="46"/>
  <c r="EC25" i="46"/>
  <c r="EB25" i="46"/>
  <c r="EA25" i="46"/>
  <c r="DZ25" i="46"/>
  <c r="DY25" i="46"/>
  <c r="DV25" i="46"/>
  <c r="DU25" i="46"/>
  <c r="DT25" i="46"/>
  <c r="DS25" i="46"/>
  <c r="DR25" i="46"/>
  <c r="DQ25" i="46"/>
  <c r="DP25" i="46"/>
  <c r="DO25" i="46"/>
  <c r="DN25" i="46"/>
  <c r="DM25" i="46"/>
  <c r="DL25" i="46"/>
  <c r="DK25" i="46"/>
  <c r="DH25" i="46"/>
  <c r="DG25" i="46"/>
  <c r="DF25" i="46"/>
  <c r="DE25" i="46"/>
  <c r="DD25" i="46"/>
  <c r="DC25" i="46"/>
  <c r="DB25" i="46"/>
  <c r="DA25" i="46"/>
  <c r="CZ25" i="46"/>
  <c r="CY25" i="46"/>
  <c r="CX25" i="46"/>
  <c r="CW25" i="46"/>
  <c r="CQ25" i="46"/>
  <c r="CP25" i="46"/>
  <c r="CO25" i="46"/>
  <c r="CN25" i="46"/>
  <c r="CM25" i="46"/>
  <c r="CL25" i="46"/>
  <c r="CK25" i="46"/>
  <c r="CJ25" i="46"/>
  <c r="CI25" i="46"/>
  <c r="CH25" i="46"/>
  <c r="CG25" i="46"/>
  <c r="CF25" i="46"/>
  <c r="CA25" i="46"/>
  <c r="BZ25" i="46"/>
  <c r="BY25" i="46"/>
  <c r="BX25" i="46"/>
  <c r="BW25" i="46"/>
  <c r="BV25" i="46"/>
  <c r="BU25" i="46"/>
  <c r="BT25" i="46"/>
  <c r="BS25" i="46"/>
  <c r="BR25" i="46"/>
  <c r="BQ25" i="46"/>
  <c r="BP25" i="46"/>
  <c r="BM25" i="46"/>
  <c r="BL25" i="46"/>
  <c r="BK25" i="46"/>
  <c r="BJ25" i="46"/>
  <c r="BI25" i="46"/>
  <c r="BH25" i="46"/>
  <c r="BG25" i="46"/>
  <c r="BF25" i="46"/>
  <c r="BE25" i="46"/>
  <c r="BD25" i="46"/>
  <c r="BC25" i="46"/>
  <c r="BB25" i="46"/>
  <c r="AW25" i="46"/>
  <c r="AV25" i="46"/>
  <c r="AU25" i="46"/>
  <c r="AT25" i="46"/>
  <c r="AS25" i="46"/>
  <c r="AR25" i="46"/>
  <c r="AQ25" i="46"/>
  <c r="AP25" i="46"/>
  <c r="AO25" i="46"/>
  <c r="AN25" i="46"/>
  <c r="AM25" i="46"/>
  <c r="AL25" i="46"/>
  <c r="EY23" i="46"/>
  <c r="EK23" i="46"/>
  <c r="DW23" i="46"/>
  <c r="DI23" i="46"/>
  <c r="CS23" i="46"/>
  <c r="CB23" i="46"/>
  <c r="BN23" i="46"/>
  <c r="AX23" i="46"/>
  <c r="EY22" i="46"/>
  <c r="EK22" i="46"/>
  <c r="DW22" i="46"/>
  <c r="DI22" i="46"/>
  <c r="CS22" i="46"/>
  <c r="CB22" i="46"/>
  <c r="BN22" i="46"/>
  <c r="AY22" i="46" s="1"/>
  <c r="AZ22" i="46" s="1"/>
  <c r="AX22" i="46"/>
  <c r="EY21" i="46"/>
  <c r="EK21" i="46"/>
  <c r="DW21" i="46"/>
  <c r="DI21" i="46"/>
  <c r="CS21" i="46"/>
  <c r="CB21" i="46"/>
  <c r="BN21" i="46"/>
  <c r="AX21" i="46"/>
  <c r="EY20" i="46"/>
  <c r="EK20" i="46"/>
  <c r="DW20" i="46"/>
  <c r="DI20" i="46"/>
  <c r="CS20" i="46"/>
  <c r="CB20" i="46"/>
  <c r="CC20" i="46" s="1"/>
  <c r="CD20" i="46" s="1"/>
  <c r="BN20" i="46"/>
  <c r="AX20" i="46"/>
  <c r="EY19" i="46"/>
  <c r="EK19" i="46"/>
  <c r="DW19" i="46"/>
  <c r="DI19" i="46"/>
  <c r="CS19" i="46"/>
  <c r="CB19" i="46"/>
  <c r="BN19" i="46"/>
  <c r="AX19" i="46"/>
  <c r="EY18" i="46"/>
  <c r="EK18" i="46"/>
  <c r="DW18" i="46"/>
  <c r="DI18" i="46"/>
  <c r="CS18" i="46"/>
  <c r="CB18" i="46"/>
  <c r="BN18" i="46"/>
  <c r="AY18" i="46" s="1"/>
  <c r="AZ18" i="46" s="1"/>
  <c r="AX18" i="46"/>
  <c r="EY17" i="46"/>
  <c r="EK17" i="46"/>
  <c r="DW17" i="46"/>
  <c r="DI17" i="46"/>
  <c r="CS17" i="46"/>
  <c r="CB17" i="46"/>
  <c r="BN17" i="46"/>
  <c r="AX17" i="46"/>
  <c r="EY16" i="46"/>
  <c r="EK16" i="46"/>
  <c r="DW16" i="46"/>
  <c r="DI16" i="46"/>
  <c r="CS16" i="46"/>
  <c r="CB16" i="46"/>
  <c r="BN16" i="46"/>
  <c r="AX16" i="46"/>
  <c r="EY15" i="46"/>
  <c r="EK15" i="46"/>
  <c r="DW15" i="46"/>
  <c r="DI15" i="46"/>
  <c r="CS15" i="46"/>
  <c r="CB15" i="46"/>
  <c r="BN15" i="46"/>
  <c r="AX15" i="46"/>
  <c r="EY14" i="46"/>
  <c r="EK14" i="46"/>
  <c r="DW14" i="46"/>
  <c r="DI14" i="46"/>
  <c r="CS14" i="46"/>
  <c r="CB14" i="46"/>
  <c r="BN14" i="46"/>
  <c r="AX14" i="46"/>
  <c r="EN11" i="46"/>
  <c r="EO11" i="46" s="1"/>
  <c r="EP11" i="46" s="1"/>
  <c r="EQ11" i="46" s="1"/>
  <c r="ER11" i="46" s="1"/>
  <c r="ES11" i="46" s="1"/>
  <c r="ET11" i="46" s="1"/>
  <c r="EU11" i="46" s="1"/>
  <c r="EV11" i="46" s="1"/>
  <c r="EW11" i="46" s="1"/>
  <c r="EX11" i="46" s="1"/>
  <c r="EA11" i="46"/>
  <c r="EB11" i="46" s="1"/>
  <c r="EC11" i="46" s="1"/>
  <c r="ED11" i="46" s="1"/>
  <c r="EE11" i="46" s="1"/>
  <c r="EF11" i="46" s="1"/>
  <c r="EG11" i="46" s="1"/>
  <c r="EH11" i="46" s="1"/>
  <c r="EI11" i="46" s="1"/>
  <c r="EJ11" i="46" s="1"/>
  <c r="DZ11" i="46"/>
  <c r="DL11" i="46"/>
  <c r="DM11" i="46" s="1"/>
  <c r="DN11" i="46" s="1"/>
  <c r="DO11" i="46" s="1"/>
  <c r="DP11" i="46" s="1"/>
  <c r="DQ11" i="46" s="1"/>
  <c r="DR11" i="46" s="1"/>
  <c r="DS11" i="46" s="1"/>
  <c r="DT11" i="46" s="1"/>
  <c r="DU11" i="46" s="1"/>
  <c r="DV11" i="46" s="1"/>
  <c r="CX11" i="46"/>
  <c r="CY11" i="46" s="1"/>
  <c r="CZ11" i="46" s="1"/>
  <c r="DA11" i="46" s="1"/>
  <c r="DB11" i="46" s="1"/>
  <c r="DC11" i="46" s="1"/>
  <c r="DD11" i="46" s="1"/>
  <c r="DE11" i="46" s="1"/>
  <c r="DF11" i="46" s="1"/>
  <c r="DG11" i="46" s="1"/>
  <c r="DH11" i="46" s="1"/>
  <c r="CG11" i="46"/>
  <c r="CH11" i="46" s="1"/>
  <c r="CI11" i="46" s="1"/>
  <c r="CJ11" i="46" s="1"/>
  <c r="CK11" i="46" s="1"/>
  <c r="CL11" i="46" s="1"/>
  <c r="CM11" i="46" s="1"/>
  <c r="CN11" i="46" s="1"/>
  <c r="CO11" i="46" s="1"/>
  <c r="CP11" i="46" s="1"/>
  <c r="CQ11" i="46" s="1"/>
  <c r="BQ11" i="46"/>
  <c r="BR11" i="46" s="1"/>
  <c r="BS11" i="46" s="1"/>
  <c r="BT11" i="46" s="1"/>
  <c r="BU11" i="46" s="1"/>
  <c r="BV11" i="46" s="1"/>
  <c r="BW11" i="46" s="1"/>
  <c r="BX11" i="46" s="1"/>
  <c r="BY11" i="46" s="1"/>
  <c r="BZ11" i="46" s="1"/>
  <c r="CA11" i="46" s="1"/>
  <c r="BC11" i="46"/>
  <c r="BD11" i="46" s="1"/>
  <c r="BE11" i="46" s="1"/>
  <c r="BF11" i="46" s="1"/>
  <c r="BG11" i="46" s="1"/>
  <c r="BH11" i="46" s="1"/>
  <c r="BI11" i="46" s="1"/>
  <c r="BJ11" i="46" s="1"/>
  <c r="BK11" i="46" s="1"/>
  <c r="BL11" i="46" s="1"/>
  <c r="BM11" i="46" s="1"/>
  <c r="AM11" i="46"/>
  <c r="AN11" i="46" s="1"/>
  <c r="AO11" i="46" s="1"/>
  <c r="AP11" i="46" s="1"/>
  <c r="AQ11" i="46" s="1"/>
  <c r="AR11" i="46" s="1"/>
  <c r="AS11" i="46" s="1"/>
  <c r="AT11" i="46" s="1"/>
  <c r="AU11" i="46" s="1"/>
  <c r="AV11" i="46" s="1"/>
  <c r="AW11" i="46" s="1"/>
  <c r="CG9" i="46"/>
  <c r="CH9" i="46" s="1"/>
  <c r="CI9" i="46" s="1"/>
  <c r="CJ9" i="46" s="1"/>
  <c r="CK9" i="46" s="1"/>
  <c r="CL9" i="46" s="1"/>
  <c r="CM9" i="46" s="1"/>
  <c r="CN9" i="46" s="1"/>
  <c r="CO9" i="46" s="1"/>
  <c r="CP9" i="46" s="1"/>
  <c r="CQ9" i="46" s="1"/>
  <c r="CR9" i="46" s="1"/>
  <c r="CS9" i="46" s="1"/>
  <c r="BQ9" i="46"/>
  <c r="BR9" i="46" s="1"/>
  <c r="BS9" i="46" s="1"/>
  <c r="BT9" i="46" s="1"/>
  <c r="BU9" i="46" s="1"/>
  <c r="BV9" i="46" s="1"/>
  <c r="BW9" i="46" s="1"/>
  <c r="BX9" i="46" s="1"/>
  <c r="BY9" i="46" s="1"/>
  <c r="BZ9" i="46" s="1"/>
  <c r="CA9" i="46" s="1"/>
  <c r="CB9" i="46" s="1"/>
  <c r="BC9" i="46"/>
  <c r="BD9" i="46" s="1"/>
  <c r="BE9" i="46" s="1"/>
  <c r="BF9" i="46" s="1"/>
  <c r="BG9" i="46" s="1"/>
  <c r="BH9" i="46" s="1"/>
  <c r="BI9" i="46" s="1"/>
  <c r="BJ9" i="46" s="1"/>
  <c r="BK9" i="46" s="1"/>
  <c r="BL9" i="46" s="1"/>
  <c r="BM9" i="46" s="1"/>
  <c r="BN9" i="46" s="1"/>
  <c r="AM9" i="46"/>
  <c r="AN9" i="46" s="1"/>
  <c r="AO9" i="46" s="1"/>
  <c r="AP9" i="46" s="1"/>
  <c r="AQ9" i="46" s="1"/>
  <c r="AR9" i="46" s="1"/>
  <c r="AS9" i="46" s="1"/>
  <c r="AT9" i="46" s="1"/>
  <c r="AU9" i="46" s="1"/>
  <c r="AV9" i="46" s="1"/>
  <c r="AW9" i="46" s="1"/>
  <c r="AX9" i="46" s="1"/>
  <c r="EX248" i="45"/>
  <c r="EW248" i="45"/>
  <c r="EV248" i="45"/>
  <c r="EU248" i="45"/>
  <c r="ET248" i="45"/>
  <c r="ES248" i="45"/>
  <c r="ER248" i="45"/>
  <c r="EQ248" i="45"/>
  <c r="EP248" i="45"/>
  <c r="EO248" i="45"/>
  <c r="EN248" i="45"/>
  <c r="EM248" i="45"/>
  <c r="EJ248" i="45"/>
  <c r="EI248" i="45"/>
  <c r="EH248" i="45"/>
  <c r="EG248" i="45"/>
  <c r="EF248" i="45"/>
  <c r="EE248" i="45"/>
  <c r="ED248" i="45"/>
  <c r="EC248" i="45"/>
  <c r="EB248" i="45"/>
  <c r="EA248" i="45"/>
  <c r="DZ248" i="45"/>
  <c r="DY248" i="45"/>
  <c r="DV248" i="45"/>
  <c r="DU248" i="45"/>
  <c r="DT248" i="45"/>
  <c r="DS248" i="45"/>
  <c r="DR248" i="45"/>
  <c r="DQ248" i="45"/>
  <c r="DP248" i="45"/>
  <c r="DO248" i="45"/>
  <c r="DN248" i="45"/>
  <c r="DM248" i="45"/>
  <c r="DL248" i="45"/>
  <c r="DK248" i="45"/>
  <c r="DH248" i="45"/>
  <c r="DG248" i="45"/>
  <c r="DF248" i="45"/>
  <c r="DE248" i="45"/>
  <c r="DD248" i="45"/>
  <c r="DC248" i="45"/>
  <c r="DB248" i="45"/>
  <c r="DA248" i="45"/>
  <c r="CZ248" i="45"/>
  <c r="CY248" i="45"/>
  <c r="CX248" i="45"/>
  <c r="CW248" i="45"/>
  <c r="CQ248" i="45"/>
  <c r="CP248" i="45"/>
  <c r="CO248" i="45"/>
  <c r="CN248" i="45"/>
  <c r="CM248" i="45"/>
  <c r="CL248" i="45"/>
  <c r="CK248" i="45"/>
  <c r="CJ248" i="45"/>
  <c r="CI248" i="45"/>
  <c r="CH248" i="45"/>
  <c r="CG248" i="45"/>
  <c r="CF248" i="45"/>
  <c r="CA248" i="45"/>
  <c r="BZ248" i="45"/>
  <c r="BY248" i="45"/>
  <c r="BX248" i="45"/>
  <c r="BW248" i="45"/>
  <c r="BV248" i="45"/>
  <c r="BU248" i="45"/>
  <c r="BT248" i="45"/>
  <c r="BS248" i="45"/>
  <c r="BR248" i="45"/>
  <c r="BQ248" i="45"/>
  <c r="BP248" i="45"/>
  <c r="BM248" i="45"/>
  <c r="BL248" i="45"/>
  <c r="BK248" i="45"/>
  <c r="BJ248" i="45"/>
  <c r="BI248" i="45"/>
  <c r="BH248" i="45"/>
  <c r="BG248" i="45"/>
  <c r="BF248" i="45"/>
  <c r="BE248" i="45"/>
  <c r="BD248" i="45"/>
  <c r="BC248" i="45"/>
  <c r="BB248" i="45"/>
  <c r="AW248" i="45"/>
  <c r="AV248" i="45"/>
  <c r="AU248" i="45"/>
  <c r="AT248" i="45"/>
  <c r="AS248" i="45"/>
  <c r="AR248" i="45"/>
  <c r="AQ248" i="45"/>
  <c r="AP248" i="45"/>
  <c r="AO248" i="45"/>
  <c r="AN248" i="45"/>
  <c r="AM248" i="45"/>
  <c r="AL248" i="45"/>
  <c r="EY244" i="45"/>
  <c r="EK244" i="45"/>
  <c r="DW244" i="45"/>
  <c r="DI244" i="45"/>
  <c r="CS244" i="45"/>
  <c r="CB244" i="45"/>
  <c r="BN244" i="45"/>
  <c r="AX244" i="45"/>
  <c r="EY243" i="45"/>
  <c r="EY248" i="45" s="1"/>
  <c r="EK243" i="45"/>
  <c r="EK248" i="45" s="1"/>
  <c r="DW243" i="45"/>
  <c r="DW248" i="45" s="1"/>
  <c r="DI243" i="45"/>
  <c r="DI248" i="45" s="1"/>
  <c r="CS243" i="45"/>
  <c r="CS248" i="45" s="1"/>
  <c r="CB243" i="45"/>
  <c r="CB248" i="45" s="1"/>
  <c r="BN243" i="45"/>
  <c r="BN248" i="45" s="1"/>
  <c r="AX243" i="45"/>
  <c r="AX248" i="45" s="1"/>
  <c r="EX236" i="45"/>
  <c r="EW236" i="45"/>
  <c r="EV236" i="45"/>
  <c r="EU236" i="45"/>
  <c r="ET236" i="45"/>
  <c r="ES236" i="45"/>
  <c r="ER236" i="45"/>
  <c r="EQ236" i="45"/>
  <c r="EP236" i="45"/>
  <c r="EO236" i="45"/>
  <c r="EN236" i="45"/>
  <c r="EM236" i="45"/>
  <c r="EJ236" i="45"/>
  <c r="EI236" i="45"/>
  <c r="EH236" i="45"/>
  <c r="EG236" i="45"/>
  <c r="EF236" i="45"/>
  <c r="EE236" i="45"/>
  <c r="ED236" i="45"/>
  <c r="EC236" i="45"/>
  <c r="EB236" i="45"/>
  <c r="EA236" i="45"/>
  <c r="DZ236" i="45"/>
  <c r="DY236" i="45"/>
  <c r="DV236" i="45"/>
  <c r="DU236" i="45"/>
  <c r="DT236" i="45"/>
  <c r="DS236" i="45"/>
  <c r="DR236" i="45"/>
  <c r="DQ236" i="45"/>
  <c r="DP236" i="45"/>
  <c r="DO236" i="45"/>
  <c r="DN236" i="45"/>
  <c r="DM236" i="45"/>
  <c r="DL236" i="45"/>
  <c r="DK236" i="45"/>
  <c r="DH236" i="45"/>
  <c r="DG236" i="45"/>
  <c r="DF236" i="45"/>
  <c r="DE236" i="45"/>
  <c r="DD236" i="45"/>
  <c r="DC236" i="45"/>
  <c r="DB236" i="45"/>
  <c r="DA236" i="45"/>
  <c r="CZ236" i="45"/>
  <c r="CY236" i="45"/>
  <c r="CX236" i="45"/>
  <c r="CW236" i="45"/>
  <c r="CR236" i="45"/>
  <c r="CR238" i="45" s="1"/>
  <c r="CQ236" i="45"/>
  <c r="CP236" i="45"/>
  <c r="CO236" i="45"/>
  <c r="CN236" i="45"/>
  <c r="CM236" i="45"/>
  <c r="CL236" i="45"/>
  <c r="CK236" i="45"/>
  <c r="CJ236" i="45"/>
  <c r="CI236" i="45"/>
  <c r="CH236" i="45"/>
  <c r="CG236" i="45"/>
  <c r="CF236" i="45"/>
  <c r="CA236" i="45"/>
  <c r="BZ236" i="45"/>
  <c r="BY236" i="45"/>
  <c r="BX236" i="45"/>
  <c r="BW236" i="45"/>
  <c r="BV236" i="45"/>
  <c r="BU236" i="45"/>
  <c r="BT236" i="45"/>
  <c r="BS236" i="45"/>
  <c r="BR236" i="45"/>
  <c r="BQ236" i="45"/>
  <c r="BP236" i="45"/>
  <c r="BM236" i="45"/>
  <c r="BL236" i="45"/>
  <c r="BK236" i="45"/>
  <c r="BJ236" i="45"/>
  <c r="BI236" i="45"/>
  <c r="BH236" i="45"/>
  <c r="BG236" i="45"/>
  <c r="BF236" i="45"/>
  <c r="BE236" i="45"/>
  <c r="BD236" i="45"/>
  <c r="BC236" i="45"/>
  <c r="BB236" i="45"/>
  <c r="AW236" i="45"/>
  <c r="AV236" i="45"/>
  <c r="AU236" i="45"/>
  <c r="AT236" i="45"/>
  <c r="AS236" i="45"/>
  <c r="AR236" i="45"/>
  <c r="AQ236" i="45"/>
  <c r="AP236" i="45"/>
  <c r="AO236" i="45"/>
  <c r="AN236" i="45"/>
  <c r="AM236" i="45"/>
  <c r="AL236" i="45"/>
  <c r="EY230" i="45"/>
  <c r="EK230" i="45"/>
  <c r="DW230" i="45"/>
  <c r="DI230" i="45"/>
  <c r="CS230" i="45"/>
  <c r="CB230" i="45"/>
  <c r="BN230" i="45"/>
  <c r="AY230" i="45" s="1"/>
  <c r="AZ230" i="45" s="1"/>
  <c r="EY229" i="45"/>
  <c r="EK229" i="45"/>
  <c r="DW229" i="45"/>
  <c r="DI229" i="45"/>
  <c r="CS229" i="45"/>
  <c r="CB229" i="45"/>
  <c r="BN229" i="45"/>
  <c r="G129" i="24" s="1"/>
  <c r="EY228" i="45"/>
  <c r="EK228" i="45"/>
  <c r="DW228" i="45"/>
  <c r="DI228" i="45"/>
  <c r="CS228" i="45"/>
  <c r="CB228" i="45"/>
  <c r="BN228" i="45"/>
  <c r="G128" i="24" s="1"/>
  <c r="EY227" i="45"/>
  <c r="EK227" i="45"/>
  <c r="DW227" i="45"/>
  <c r="DI227" i="45"/>
  <c r="CS227" i="45"/>
  <c r="CB227" i="45"/>
  <c r="G127" i="24"/>
  <c r="EY226" i="45"/>
  <c r="EK226" i="45"/>
  <c r="DW226" i="45"/>
  <c r="DI226" i="45"/>
  <c r="CS226" i="45"/>
  <c r="CB226" i="45"/>
  <c r="EY225" i="45"/>
  <c r="EK225" i="45"/>
  <c r="DW225" i="45"/>
  <c r="DI225" i="45"/>
  <c r="CS225" i="45"/>
  <c r="CB225" i="45"/>
  <c r="G125" i="24"/>
  <c r="EY224" i="45"/>
  <c r="EK224" i="45"/>
  <c r="DW224" i="45"/>
  <c r="DI224" i="45"/>
  <c r="CS224" i="45"/>
  <c r="CB224" i="45"/>
  <c r="G124" i="24"/>
  <c r="EK223" i="45"/>
  <c r="DW223" i="45"/>
  <c r="DI223" i="45"/>
  <c r="CS223" i="45"/>
  <c r="CB223" i="45"/>
  <c r="EK222" i="45"/>
  <c r="DW222" i="45"/>
  <c r="DI222" i="45"/>
  <c r="CS222" i="45"/>
  <c r="CB222" i="45"/>
  <c r="G122" i="24"/>
  <c r="EY221" i="45"/>
  <c r="EK221" i="45"/>
  <c r="DW221" i="45"/>
  <c r="DI221" i="45"/>
  <c r="CS221" i="45"/>
  <c r="CB221" i="45"/>
  <c r="G121" i="24"/>
  <c r="EY220" i="45"/>
  <c r="EK220" i="45"/>
  <c r="DW220" i="45"/>
  <c r="DI220" i="45"/>
  <c r="CS220" i="45"/>
  <c r="CB220" i="45"/>
  <c r="G120" i="24"/>
  <c r="EY219" i="45"/>
  <c r="EK219" i="45"/>
  <c r="DW219" i="45"/>
  <c r="DI219" i="45"/>
  <c r="CS219" i="45"/>
  <c r="CB219" i="45"/>
  <c r="G119" i="24"/>
  <c r="EY218" i="45"/>
  <c r="EK218" i="45"/>
  <c r="DW218" i="45"/>
  <c r="DI218" i="45"/>
  <c r="CS218" i="45"/>
  <c r="CB218" i="45"/>
  <c r="G118" i="24"/>
  <c r="EY217" i="45"/>
  <c r="EK217" i="45"/>
  <c r="DW217" i="45"/>
  <c r="DI217" i="45"/>
  <c r="CS217" i="45"/>
  <c r="CB217" i="45"/>
  <c r="EY216" i="45"/>
  <c r="EK216" i="45"/>
  <c r="DW216" i="45"/>
  <c r="DI216" i="45"/>
  <c r="CS216" i="45"/>
  <c r="CB216" i="45"/>
  <c r="G116" i="24"/>
  <c r="EY215" i="45"/>
  <c r="EK215" i="45"/>
  <c r="DW215" i="45"/>
  <c r="DI215" i="45"/>
  <c r="CS215" i="45"/>
  <c r="CB215" i="45"/>
  <c r="EY214" i="45"/>
  <c r="EK214" i="45"/>
  <c r="DW214" i="45"/>
  <c r="DI214" i="45"/>
  <c r="CS214" i="45"/>
  <c r="CB214" i="45"/>
  <c r="G114" i="24"/>
  <c r="EY213" i="45"/>
  <c r="EK213" i="45"/>
  <c r="DW213" i="45"/>
  <c r="DI213" i="45"/>
  <c r="CS213" i="45"/>
  <c r="CB213" i="45"/>
  <c r="G113" i="24"/>
  <c r="EY212" i="45"/>
  <c r="EK212" i="45"/>
  <c r="DW212" i="45"/>
  <c r="DI212" i="45"/>
  <c r="CS212" i="45"/>
  <c r="CB212" i="45"/>
  <c r="G112" i="24"/>
  <c r="EY211" i="45"/>
  <c r="EK211" i="45"/>
  <c r="DW211" i="45"/>
  <c r="DI211" i="45"/>
  <c r="CS211" i="45"/>
  <c r="CB211" i="45"/>
  <c r="G111" i="24"/>
  <c r="EY210" i="45"/>
  <c r="EK210" i="45"/>
  <c r="DW210" i="45"/>
  <c r="DI210" i="45"/>
  <c r="CS210" i="45"/>
  <c r="CB210" i="45"/>
  <c r="G110" i="24"/>
  <c r="EY209" i="45"/>
  <c r="EK209" i="45"/>
  <c r="DW209" i="45"/>
  <c r="DI209" i="45"/>
  <c r="CS209" i="45"/>
  <c r="CB209" i="45"/>
  <c r="G109" i="24"/>
  <c r="EY208" i="45"/>
  <c r="EK208" i="45"/>
  <c r="DW208" i="45"/>
  <c r="DI208" i="45"/>
  <c r="CS208" i="45"/>
  <c r="CB208" i="45"/>
  <c r="EY207" i="45"/>
  <c r="EK207" i="45"/>
  <c r="DW207" i="45"/>
  <c r="DI207" i="45"/>
  <c r="CS207" i="45"/>
  <c r="CB207" i="45"/>
  <c r="G107" i="24"/>
  <c r="EY206" i="45"/>
  <c r="EK206" i="45"/>
  <c r="DW206" i="45"/>
  <c r="DI206" i="45"/>
  <c r="CS206" i="45"/>
  <c r="CB206" i="45"/>
  <c r="EY205" i="45"/>
  <c r="EK205" i="45"/>
  <c r="DW205" i="45"/>
  <c r="DI205" i="45"/>
  <c r="CS205" i="45"/>
  <c r="CB205" i="45"/>
  <c r="G105" i="24"/>
  <c r="EY204" i="45"/>
  <c r="EK204" i="45"/>
  <c r="DW204" i="45"/>
  <c r="DI204" i="45"/>
  <c r="CS204" i="45"/>
  <c r="CB204" i="45"/>
  <c r="G104" i="24"/>
  <c r="EY203" i="45"/>
  <c r="EK203" i="45"/>
  <c r="DW203" i="45"/>
  <c r="DI203" i="45"/>
  <c r="CS203" i="45"/>
  <c r="CB203" i="45"/>
  <c r="G103" i="24"/>
  <c r="EY202" i="45"/>
  <c r="EK202" i="45"/>
  <c r="DW202" i="45"/>
  <c r="DI202" i="45"/>
  <c r="CS202" i="45"/>
  <c r="CB202" i="45"/>
  <c r="EY201" i="45"/>
  <c r="EK201" i="45"/>
  <c r="DW201" i="45"/>
  <c r="DI201" i="45"/>
  <c r="CS201" i="45"/>
  <c r="CB201" i="45"/>
  <c r="G101" i="24"/>
  <c r="EY200" i="45"/>
  <c r="EK200" i="45"/>
  <c r="DW200" i="45"/>
  <c r="DI200" i="45"/>
  <c r="CS200" i="45"/>
  <c r="CB200" i="45"/>
  <c r="G100" i="24"/>
  <c r="EY199" i="45"/>
  <c r="EK199" i="45"/>
  <c r="DW199" i="45"/>
  <c r="DI199" i="45"/>
  <c r="CS199" i="45"/>
  <c r="CB199" i="45"/>
  <c r="BN199" i="45"/>
  <c r="EY198" i="45"/>
  <c r="EK198" i="45"/>
  <c r="DW198" i="45"/>
  <c r="DI198" i="45"/>
  <c r="CS198" i="45"/>
  <c r="CB198" i="45"/>
  <c r="BN198" i="45"/>
  <c r="EY197" i="45"/>
  <c r="EK197" i="45"/>
  <c r="DW197" i="45"/>
  <c r="DI197" i="45"/>
  <c r="CS197" i="45"/>
  <c r="CB197" i="45"/>
  <c r="G97" i="24"/>
  <c r="EY196" i="45"/>
  <c r="EK196" i="45"/>
  <c r="DW196" i="45"/>
  <c r="DI196" i="45"/>
  <c r="CS196" i="45"/>
  <c r="CB196" i="45"/>
  <c r="G96" i="24"/>
  <c r="EY195" i="45"/>
  <c r="EK195" i="45"/>
  <c r="DW195" i="45"/>
  <c r="DI195" i="45"/>
  <c r="CS195" i="45"/>
  <c r="CB195" i="45"/>
  <c r="G95" i="24"/>
  <c r="EY194" i="45"/>
  <c r="EK194" i="45"/>
  <c r="DW194" i="45"/>
  <c r="DI194" i="45"/>
  <c r="CS194" i="45"/>
  <c r="CB194" i="45"/>
  <c r="G94" i="24"/>
  <c r="EY193" i="45"/>
  <c r="EK193" i="45"/>
  <c r="DW193" i="45"/>
  <c r="DI193" i="45"/>
  <c r="CS193" i="45"/>
  <c r="CB193" i="45"/>
  <c r="G93" i="24"/>
  <c r="EY192" i="45"/>
  <c r="EK192" i="45"/>
  <c r="DW192" i="45"/>
  <c r="DI192" i="45"/>
  <c r="CS192" i="45"/>
  <c r="CB192" i="45"/>
  <c r="G92" i="24"/>
  <c r="EY191" i="45"/>
  <c r="EK191" i="45"/>
  <c r="DW191" i="45"/>
  <c r="DI191" i="45"/>
  <c r="CS191" i="45"/>
  <c r="CT191" i="45" s="1"/>
  <c r="CU191" i="45" s="1"/>
  <c r="CB191" i="45"/>
  <c r="EY190" i="45"/>
  <c r="EK190" i="45"/>
  <c r="DW190" i="45"/>
  <c r="DI190" i="45"/>
  <c r="CS190" i="45"/>
  <c r="CB190" i="45"/>
  <c r="EY189" i="45"/>
  <c r="EK189" i="45"/>
  <c r="DW189" i="45"/>
  <c r="DI189" i="45"/>
  <c r="CS189" i="45"/>
  <c r="CT189" i="45" s="1"/>
  <c r="CU189" i="45" s="1"/>
  <c r="CB189" i="45"/>
  <c r="G89" i="24"/>
  <c r="EY188" i="45"/>
  <c r="EK188" i="45"/>
  <c r="DW188" i="45"/>
  <c r="DI188" i="45"/>
  <c r="CS188" i="45"/>
  <c r="CB188" i="45"/>
  <c r="BN188" i="45"/>
  <c r="G88" i="24" s="1"/>
  <c r="EY187" i="45"/>
  <c r="EK187" i="45"/>
  <c r="DW187" i="45"/>
  <c r="DI187" i="45"/>
  <c r="CS187" i="45"/>
  <c r="CB187" i="45"/>
  <c r="BN187" i="45"/>
  <c r="G87" i="24" s="1"/>
  <c r="EY186" i="45"/>
  <c r="EK186" i="45"/>
  <c r="DW186" i="45"/>
  <c r="DI186" i="45"/>
  <c r="CS186" i="45"/>
  <c r="CB186" i="45"/>
  <c r="BN186" i="45"/>
  <c r="G86" i="24" s="1"/>
  <c r="EY185" i="45"/>
  <c r="EK185" i="45"/>
  <c r="DW185" i="45"/>
  <c r="DI185" i="45"/>
  <c r="CS185" i="45"/>
  <c r="CB185" i="45"/>
  <c r="BN185" i="45"/>
  <c r="G85" i="24" s="1"/>
  <c r="EY184" i="45"/>
  <c r="EK184" i="45"/>
  <c r="DW184" i="45"/>
  <c r="DI184" i="45"/>
  <c r="CS184" i="45"/>
  <c r="CB184" i="45"/>
  <c r="BN184" i="45"/>
  <c r="G84" i="24" s="1"/>
  <c r="EY183" i="45"/>
  <c r="EK183" i="45"/>
  <c r="DW183" i="45"/>
  <c r="DI183" i="45"/>
  <c r="CS183" i="45"/>
  <c r="CB183" i="45"/>
  <c r="BN183" i="45"/>
  <c r="EY182" i="45"/>
  <c r="EK182" i="45"/>
  <c r="DW182" i="45"/>
  <c r="DI182" i="45"/>
  <c r="CS182" i="45"/>
  <c r="CB182" i="45"/>
  <c r="BN182" i="45"/>
  <c r="EY181" i="45"/>
  <c r="EK181" i="45"/>
  <c r="DW181" i="45"/>
  <c r="DI181" i="45"/>
  <c r="CS181" i="45"/>
  <c r="CB181" i="45"/>
  <c r="BN181" i="45"/>
  <c r="G81" i="24" s="1"/>
  <c r="EY180" i="45"/>
  <c r="EK180" i="45"/>
  <c r="DW180" i="45"/>
  <c r="DI180" i="45"/>
  <c r="CS180" i="45"/>
  <c r="CB180" i="45"/>
  <c r="BN180" i="45"/>
  <c r="G80" i="24" s="1"/>
  <c r="EY179" i="45"/>
  <c r="EK179" i="45"/>
  <c r="DW179" i="45"/>
  <c r="DI179" i="45"/>
  <c r="CS179" i="45"/>
  <c r="CB179" i="45"/>
  <c r="BN179" i="45"/>
  <c r="G79" i="24" s="1"/>
  <c r="EY178" i="45"/>
  <c r="EK178" i="45"/>
  <c r="DW178" i="45"/>
  <c r="DI178" i="45"/>
  <c r="CS178" i="45"/>
  <c r="CB178" i="45"/>
  <c r="BN178" i="45"/>
  <c r="G78" i="24" s="1"/>
  <c r="EY177" i="45"/>
  <c r="EK177" i="45"/>
  <c r="DW177" i="45"/>
  <c r="DI177" i="45"/>
  <c r="CS177" i="45"/>
  <c r="CB177" i="45"/>
  <c r="G77" i="24"/>
  <c r="EY176" i="45"/>
  <c r="EK176" i="45"/>
  <c r="DW176" i="45"/>
  <c r="DI176" i="45"/>
  <c r="CS176" i="45"/>
  <c r="CB176" i="45"/>
  <c r="G76" i="24"/>
  <c r="EY175" i="45"/>
  <c r="EK175" i="45"/>
  <c r="DW175" i="45"/>
  <c r="DI175" i="45"/>
  <c r="CS175" i="45"/>
  <c r="CB175" i="45"/>
  <c r="EY174" i="45"/>
  <c r="EK174" i="45"/>
  <c r="DW174" i="45"/>
  <c r="DI174" i="45"/>
  <c r="CS174" i="45"/>
  <c r="CB174" i="45"/>
  <c r="EY173" i="45"/>
  <c r="EK173" i="45"/>
  <c r="DW173" i="45"/>
  <c r="DI173" i="45"/>
  <c r="CS173" i="45"/>
  <c r="CB173" i="45"/>
  <c r="BN173" i="45"/>
  <c r="G73" i="24" s="1"/>
  <c r="EY172" i="45"/>
  <c r="EK172" i="45"/>
  <c r="DW172" i="45"/>
  <c r="DI172" i="45"/>
  <c r="CS172" i="45"/>
  <c r="CB172" i="45"/>
  <c r="BN172" i="45"/>
  <c r="G72" i="24" s="1"/>
  <c r="EY171" i="45"/>
  <c r="EK171" i="45"/>
  <c r="DW171" i="45"/>
  <c r="DI171" i="45"/>
  <c r="CS171" i="45"/>
  <c r="CB171" i="45"/>
  <c r="BN171" i="45"/>
  <c r="G71" i="24" s="1"/>
  <c r="G157" i="24" s="1"/>
  <c r="EY170" i="45"/>
  <c r="EK170" i="45"/>
  <c r="DW170" i="45"/>
  <c r="DI170" i="45"/>
  <c r="CS170" i="45"/>
  <c r="CB170" i="45"/>
  <c r="BN170" i="45"/>
  <c r="G70" i="24" s="1"/>
  <c r="EY169" i="45"/>
  <c r="EK169" i="45"/>
  <c r="DW169" i="45"/>
  <c r="DI169" i="45"/>
  <c r="CS169" i="45"/>
  <c r="CB169" i="45"/>
  <c r="EY168" i="45"/>
  <c r="EK168" i="45"/>
  <c r="DW168" i="45"/>
  <c r="DI168" i="45"/>
  <c r="CS168" i="45"/>
  <c r="CB168" i="45"/>
  <c r="G68" i="24"/>
  <c r="K68" i="24"/>
  <c r="EY167" i="45"/>
  <c r="EK167" i="45"/>
  <c r="DW167" i="45"/>
  <c r="DI167" i="45"/>
  <c r="CS167" i="45"/>
  <c r="CB167" i="45"/>
  <c r="EY166" i="45"/>
  <c r="EK166" i="45"/>
  <c r="DW166" i="45"/>
  <c r="DI166" i="45"/>
  <c r="CS166" i="45"/>
  <c r="CB166" i="45"/>
  <c r="CC166" i="45" s="1"/>
  <c r="CD166" i="45" s="1"/>
  <c r="G66" i="24"/>
  <c r="EY165" i="45"/>
  <c r="EK165" i="45"/>
  <c r="DW165" i="45"/>
  <c r="DI165" i="45"/>
  <c r="CS165" i="45"/>
  <c r="CB165" i="45"/>
  <c r="K65" i="24"/>
  <c r="M65" i="24" s="1"/>
  <c r="N65" i="24" s="1"/>
  <c r="O65" i="24" s="1"/>
  <c r="P65" i="24" s="1"/>
  <c r="CB164" i="45"/>
  <c r="G64" i="24"/>
  <c r="EY163" i="45"/>
  <c r="EK163" i="45"/>
  <c r="DW163" i="45"/>
  <c r="DI163" i="45"/>
  <c r="CS163" i="45"/>
  <c r="CB163" i="45"/>
  <c r="G63" i="24"/>
  <c r="EY162" i="45"/>
  <c r="EK162" i="45"/>
  <c r="DW162" i="45"/>
  <c r="DI162" i="45"/>
  <c r="CS162" i="45"/>
  <c r="CB162" i="45"/>
  <c r="G62" i="24"/>
  <c r="K62" i="24"/>
  <c r="L62" i="24" s="1"/>
  <c r="M62" i="24" s="1"/>
  <c r="N62" i="24" s="1"/>
  <c r="O62" i="24" s="1"/>
  <c r="P62" i="24" s="1"/>
  <c r="EY161" i="45"/>
  <c r="EK161" i="45"/>
  <c r="DW161" i="45"/>
  <c r="DI161" i="45"/>
  <c r="CS161" i="45"/>
  <c r="CT161" i="45" s="1"/>
  <c r="CU161" i="45" s="1"/>
  <c r="CB161" i="45"/>
  <c r="G61" i="24"/>
  <c r="EY160" i="45"/>
  <c r="EK160" i="45"/>
  <c r="DW160" i="45"/>
  <c r="DI160" i="45"/>
  <c r="CS160" i="45"/>
  <c r="CB160" i="45"/>
  <c r="G60" i="24"/>
  <c r="EY159" i="45"/>
  <c r="EK159" i="45"/>
  <c r="DW159" i="45"/>
  <c r="DI159" i="45"/>
  <c r="CS159" i="45"/>
  <c r="CB159" i="45"/>
  <c r="EY158" i="45"/>
  <c r="EK158" i="45"/>
  <c r="DW158" i="45"/>
  <c r="DI158" i="45"/>
  <c r="CS158" i="45"/>
  <c r="CB158" i="45"/>
  <c r="G58" i="24"/>
  <c r="EY156" i="45"/>
  <c r="EK156" i="45"/>
  <c r="DW156" i="45"/>
  <c r="DI156" i="45"/>
  <c r="CS156" i="45"/>
  <c r="CB156" i="45"/>
  <c r="G132" i="24"/>
  <c r="EY155" i="45"/>
  <c r="EK155" i="45"/>
  <c r="DW155" i="45"/>
  <c r="DI155" i="45"/>
  <c r="CS155" i="45"/>
  <c r="CB155" i="45"/>
  <c r="G56" i="24"/>
  <c r="K56" i="24"/>
  <c r="L56" i="24" s="1"/>
  <c r="M56" i="24" s="1"/>
  <c r="N56" i="24" s="1"/>
  <c r="O56" i="24" s="1"/>
  <c r="P56" i="24" s="1"/>
  <c r="EY154" i="45"/>
  <c r="EK154" i="45"/>
  <c r="DW154" i="45"/>
  <c r="DI154" i="45"/>
  <c r="CS154" i="45"/>
  <c r="CB154" i="45"/>
  <c r="G55" i="24"/>
  <c r="EY153" i="45"/>
  <c r="EK153" i="45"/>
  <c r="DW153" i="45"/>
  <c r="DI153" i="45"/>
  <c r="CS153" i="45"/>
  <c r="CB153" i="45"/>
  <c r="G54" i="24"/>
  <c r="K54" i="24"/>
  <c r="L54" i="24" s="1"/>
  <c r="M54" i="24" s="1"/>
  <c r="N54" i="24" s="1"/>
  <c r="O54" i="24" s="1"/>
  <c r="P54" i="24" s="1"/>
  <c r="EY152" i="45"/>
  <c r="EK152" i="45"/>
  <c r="DW152" i="45"/>
  <c r="DI152" i="45"/>
  <c r="CS152" i="45"/>
  <c r="CB152" i="45"/>
  <c r="G53" i="24"/>
  <c r="EY151" i="45"/>
  <c r="EK151" i="45"/>
  <c r="DW151" i="45"/>
  <c r="DI151" i="45"/>
  <c r="CS151" i="45"/>
  <c r="CB151" i="45"/>
  <c r="BN151" i="45"/>
  <c r="G52" i="24" s="1"/>
  <c r="K52" i="24"/>
  <c r="L52" i="24" s="1"/>
  <c r="M52" i="24" s="1"/>
  <c r="N52" i="24" s="1"/>
  <c r="O52" i="24" s="1"/>
  <c r="P52" i="24" s="1"/>
  <c r="EY150" i="45"/>
  <c r="EK150" i="45"/>
  <c r="DW150" i="45"/>
  <c r="DI150" i="45"/>
  <c r="CS150" i="45"/>
  <c r="CB150" i="45"/>
  <c r="G51" i="24"/>
  <c r="EY149" i="45"/>
  <c r="EK149" i="45"/>
  <c r="DW149" i="45"/>
  <c r="DI149" i="45"/>
  <c r="CS149" i="45"/>
  <c r="CB149" i="45"/>
  <c r="G50" i="24"/>
  <c r="K50" i="24"/>
  <c r="L50" i="24" s="1"/>
  <c r="M50" i="24" s="1"/>
  <c r="N50" i="24" s="1"/>
  <c r="O50" i="24" s="1"/>
  <c r="P50" i="24" s="1"/>
  <c r="EY148" i="45"/>
  <c r="EK148" i="45"/>
  <c r="DW148" i="45"/>
  <c r="DI148" i="45"/>
  <c r="CS148" i="45"/>
  <c r="CB148" i="45"/>
  <c r="G49" i="24"/>
  <c r="EY147" i="45"/>
  <c r="EK147" i="45"/>
  <c r="DW147" i="45"/>
  <c r="DI147" i="45"/>
  <c r="CS147" i="45"/>
  <c r="CB147" i="45"/>
  <c r="CC147" i="45" s="1"/>
  <c r="CD147" i="45" s="1"/>
  <c r="G48" i="24"/>
  <c r="K48" i="24"/>
  <c r="L48" i="24" s="1"/>
  <c r="M48" i="24" s="1"/>
  <c r="N48" i="24" s="1"/>
  <c r="O48" i="24" s="1"/>
  <c r="P48" i="24" s="1"/>
  <c r="EY146" i="45"/>
  <c r="EK146" i="45"/>
  <c r="DW146" i="45"/>
  <c r="DI146" i="45"/>
  <c r="CS146" i="45"/>
  <c r="CB146" i="45"/>
  <c r="G47" i="24"/>
  <c r="EY145" i="45"/>
  <c r="EK145" i="45"/>
  <c r="DW145" i="45"/>
  <c r="DI145" i="45"/>
  <c r="CS145" i="45"/>
  <c r="CB145" i="45"/>
  <c r="G46" i="24"/>
  <c r="K46" i="24"/>
  <c r="L46" i="24" s="1"/>
  <c r="M46" i="24" s="1"/>
  <c r="N46" i="24" s="1"/>
  <c r="O46" i="24" s="1"/>
  <c r="P46" i="24" s="1"/>
  <c r="EY144" i="45"/>
  <c r="EK144" i="45"/>
  <c r="DW144" i="45"/>
  <c r="DI144" i="45"/>
  <c r="CS144" i="45"/>
  <c r="CB144" i="45"/>
  <c r="G45" i="24"/>
  <c r="G170" i="24" s="1"/>
  <c r="EY143" i="45"/>
  <c r="EK143" i="45"/>
  <c r="DW143" i="45"/>
  <c r="DI143" i="45"/>
  <c r="CS143" i="45"/>
  <c r="CB143" i="45"/>
  <c r="G44" i="24"/>
  <c r="K44" i="24"/>
  <c r="L44" i="24" s="1"/>
  <c r="M44" i="24" s="1"/>
  <c r="N44" i="24" s="1"/>
  <c r="O44" i="24" s="1"/>
  <c r="P44" i="24" s="1"/>
  <c r="EY142" i="45"/>
  <c r="EK142" i="45"/>
  <c r="DW142" i="45"/>
  <c r="DI142" i="45"/>
  <c r="CS142" i="45"/>
  <c r="CB142" i="45"/>
  <c r="G43" i="24"/>
  <c r="EY141" i="45"/>
  <c r="EK141" i="45"/>
  <c r="DW141" i="45"/>
  <c r="DI141" i="45"/>
  <c r="CS141" i="45"/>
  <c r="CB141" i="45"/>
  <c r="CC141" i="45" s="1"/>
  <c r="CD141" i="45" s="1"/>
  <c r="G42" i="24"/>
  <c r="K42" i="24"/>
  <c r="L42" i="24" s="1"/>
  <c r="M42" i="24" s="1"/>
  <c r="N42" i="24" s="1"/>
  <c r="O42" i="24" s="1"/>
  <c r="P42" i="24" s="1"/>
  <c r="EY140" i="45"/>
  <c r="EK140" i="45"/>
  <c r="DW140" i="45"/>
  <c r="DI140" i="45"/>
  <c r="CS140" i="45"/>
  <c r="CB140" i="45"/>
  <c r="G41" i="24"/>
  <c r="EY139" i="45"/>
  <c r="EK139" i="45"/>
  <c r="DW139" i="45"/>
  <c r="DI139" i="45"/>
  <c r="CS139" i="45"/>
  <c r="CB139" i="45"/>
  <c r="CC139" i="45" s="1"/>
  <c r="CD139" i="45" s="1"/>
  <c r="G40" i="24"/>
  <c r="K40" i="24"/>
  <c r="L40" i="24" s="1"/>
  <c r="M40" i="24" s="1"/>
  <c r="N40" i="24" s="1"/>
  <c r="O40" i="24" s="1"/>
  <c r="P40" i="24" s="1"/>
  <c r="EY138" i="45"/>
  <c r="EK138" i="45"/>
  <c r="DW138" i="45"/>
  <c r="DI138" i="45"/>
  <c r="CS138" i="45"/>
  <c r="CB138" i="45"/>
  <c r="CC138" i="45" s="1"/>
  <c r="CD138" i="45" s="1"/>
  <c r="G39" i="24"/>
  <c r="G150" i="24" s="1"/>
  <c r="M156" i="5" s="1"/>
  <c r="EY137" i="45"/>
  <c r="EK137" i="45"/>
  <c r="DW137" i="45"/>
  <c r="DI137" i="45"/>
  <c r="CS137" i="45"/>
  <c r="CB137" i="45"/>
  <c r="G38" i="24"/>
  <c r="K38" i="24"/>
  <c r="L38" i="24" s="1"/>
  <c r="M38" i="24" s="1"/>
  <c r="N38" i="24" s="1"/>
  <c r="O38" i="24" s="1"/>
  <c r="P38" i="24" s="1"/>
  <c r="EY136" i="45"/>
  <c r="EK136" i="45"/>
  <c r="DW136" i="45"/>
  <c r="DI136" i="45"/>
  <c r="CS136" i="45"/>
  <c r="CB136" i="45"/>
  <c r="G37" i="24"/>
  <c r="EY135" i="45"/>
  <c r="EK135" i="45"/>
  <c r="DW135" i="45"/>
  <c r="DI135" i="45"/>
  <c r="CS135" i="45"/>
  <c r="CB135" i="45"/>
  <c r="G36" i="24"/>
  <c r="K36" i="24"/>
  <c r="L36" i="24" s="1"/>
  <c r="M36" i="24" s="1"/>
  <c r="N36" i="24" s="1"/>
  <c r="O36" i="24" s="1"/>
  <c r="P36" i="24" s="1"/>
  <c r="EY134" i="45"/>
  <c r="EK134" i="45"/>
  <c r="DW134" i="45"/>
  <c r="DI134" i="45"/>
  <c r="CS134" i="45"/>
  <c r="CB134" i="45"/>
  <c r="G35" i="24"/>
  <c r="EY133" i="45"/>
  <c r="EK133" i="45"/>
  <c r="DW133" i="45"/>
  <c r="DI133" i="45"/>
  <c r="CS133" i="45"/>
  <c r="CB133" i="45"/>
  <c r="G34" i="24"/>
  <c r="K34" i="24"/>
  <c r="L34" i="24" s="1"/>
  <c r="M34" i="24" s="1"/>
  <c r="N34" i="24" s="1"/>
  <c r="O34" i="24" s="1"/>
  <c r="P34" i="24" s="1"/>
  <c r="EY132" i="45"/>
  <c r="EK132" i="45"/>
  <c r="DW132" i="45"/>
  <c r="DI132" i="45"/>
  <c r="CS132" i="45"/>
  <c r="CB132" i="45"/>
  <c r="BN132" i="45"/>
  <c r="G33" i="24" s="1"/>
  <c r="EY131" i="45"/>
  <c r="EK131" i="45"/>
  <c r="DW131" i="45"/>
  <c r="DI131" i="45"/>
  <c r="CS131" i="45"/>
  <c r="CB131" i="45"/>
  <c r="G32" i="24"/>
  <c r="K32" i="24"/>
  <c r="L32" i="24" s="1"/>
  <c r="M32" i="24" s="1"/>
  <c r="N32" i="24" s="1"/>
  <c r="O32" i="24" s="1"/>
  <c r="P32" i="24" s="1"/>
  <c r="EY130" i="45"/>
  <c r="EK130" i="45"/>
  <c r="DW130" i="45"/>
  <c r="DI130" i="45"/>
  <c r="CS130" i="45"/>
  <c r="CB130" i="45"/>
  <c r="G31" i="24"/>
  <c r="EY129" i="45"/>
  <c r="EK129" i="45"/>
  <c r="DW129" i="45"/>
  <c r="DI129" i="45"/>
  <c r="CS129" i="45"/>
  <c r="CB129" i="45"/>
  <c r="CC129" i="45" s="1"/>
  <c r="CD129" i="45" s="1"/>
  <c r="G133" i="24"/>
  <c r="J133" i="24"/>
  <c r="K133" i="24" s="1"/>
  <c r="L133" i="24" s="1"/>
  <c r="M133" i="24" s="1"/>
  <c r="N133" i="24" s="1"/>
  <c r="O133" i="24" s="1"/>
  <c r="P133" i="24" s="1"/>
  <c r="EY128" i="45"/>
  <c r="EK128" i="45"/>
  <c r="DW128" i="45"/>
  <c r="DI128" i="45"/>
  <c r="CS128" i="45"/>
  <c r="CB128" i="45"/>
  <c r="CC128" i="45" s="1"/>
  <c r="CD128" i="45" s="1"/>
  <c r="G30" i="24"/>
  <c r="EY127" i="45"/>
  <c r="EK127" i="45"/>
  <c r="DW127" i="45"/>
  <c r="DI127" i="45"/>
  <c r="CS127" i="45"/>
  <c r="CB127" i="45"/>
  <c r="CC127" i="45" s="1"/>
  <c r="CD127" i="45" s="1"/>
  <c r="G29" i="24"/>
  <c r="EY126" i="45"/>
  <c r="EK126" i="45"/>
  <c r="DW126" i="45"/>
  <c r="DI126" i="45"/>
  <c r="CS126" i="45"/>
  <c r="CB126" i="45"/>
  <c r="G131" i="24"/>
  <c r="EY125" i="45"/>
  <c r="EK125" i="45"/>
  <c r="DW125" i="45"/>
  <c r="DI125" i="45"/>
  <c r="CS125" i="45"/>
  <c r="CB125" i="45"/>
  <c r="G28" i="24"/>
  <c r="EY124" i="45"/>
  <c r="EK124" i="45"/>
  <c r="DW124" i="45"/>
  <c r="DI124" i="45"/>
  <c r="CS124" i="45"/>
  <c r="CB124" i="45"/>
  <c r="G27" i="24"/>
  <c r="EY123" i="45"/>
  <c r="EK123" i="45"/>
  <c r="DW123" i="45"/>
  <c r="DI123" i="45"/>
  <c r="CS123" i="45"/>
  <c r="CB123" i="45"/>
  <c r="CC123" i="45" s="1"/>
  <c r="CD123" i="45" s="1"/>
  <c r="G26" i="24"/>
  <c r="K26" i="24"/>
  <c r="L26" i="24" s="1"/>
  <c r="M26" i="24" s="1"/>
  <c r="N26" i="24" s="1"/>
  <c r="O26" i="24" s="1"/>
  <c r="P26" i="24" s="1"/>
  <c r="EY122" i="45"/>
  <c r="EK122" i="45"/>
  <c r="DW122" i="45"/>
  <c r="DI122" i="45"/>
  <c r="CS122" i="45"/>
  <c r="CB122" i="45"/>
  <c r="CC122" i="45" s="1"/>
  <c r="CD122" i="45" s="1"/>
  <c r="G25" i="24"/>
  <c r="EY121" i="45"/>
  <c r="EK121" i="45"/>
  <c r="DW121" i="45"/>
  <c r="DI121" i="45"/>
  <c r="CS121" i="45"/>
  <c r="CB121" i="45"/>
  <c r="G24" i="24"/>
  <c r="K24" i="24"/>
  <c r="L24" i="24" s="1"/>
  <c r="M24" i="24" s="1"/>
  <c r="N24" i="24" s="1"/>
  <c r="O24" i="24" s="1"/>
  <c r="P24" i="24" s="1"/>
  <c r="EY120" i="45"/>
  <c r="EK120" i="45"/>
  <c r="DW120" i="45"/>
  <c r="DI120" i="45"/>
  <c r="CS120" i="45"/>
  <c r="CB120" i="45"/>
  <c r="G23" i="24"/>
  <c r="EY119" i="45"/>
  <c r="EK119" i="45"/>
  <c r="DW119" i="45"/>
  <c r="DI119" i="45"/>
  <c r="CS119" i="45"/>
  <c r="CB119" i="45"/>
  <c r="G22" i="24"/>
  <c r="K22" i="24"/>
  <c r="L22" i="24" s="1"/>
  <c r="M22" i="24" s="1"/>
  <c r="N22" i="24" s="1"/>
  <c r="O22" i="24" s="1"/>
  <c r="P22" i="24" s="1"/>
  <c r="EY118" i="45"/>
  <c r="EK118" i="45"/>
  <c r="DW118" i="45"/>
  <c r="DI118" i="45"/>
  <c r="CS118" i="45"/>
  <c r="CB118" i="45"/>
  <c r="G21" i="24"/>
  <c r="EY117" i="45"/>
  <c r="EK117" i="45"/>
  <c r="DW117" i="45"/>
  <c r="DI117" i="45"/>
  <c r="CS117" i="45"/>
  <c r="CB117" i="45"/>
  <c r="G20" i="24"/>
  <c r="K20" i="24"/>
  <c r="L20" i="24" s="1"/>
  <c r="M20" i="24" s="1"/>
  <c r="N20" i="24" s="1"/>
  <c r="O20" i="24" s="1"/>
  <c r="P20" i="24" s="1"/>
  <c r="EY116" i="45"/>
  <c r="EK116" i="45"/>
  <c r="DW116" i="45"/>
  <c r="DI116" i="45"/>
  <c r="CS116" i="45"/>
  <c r="CB116" i="45"/>
  <c r="BN116" i="45"/>
  <c r="G19" i="24" s="1"/>
  <c r="EY115" i="45"/>
  <c r="EK115" i="45"/>
  <c r="DW115" i="45"/>
  <c r="DI115" i="45"/>
  <c r="CS115" i="45"/>
  <c r="CB115" i="45"/>
  <c r="G18" i="24"/>
  <c r="K18" i="24"/>
  <c r="L18" i="24" s="1"/>
  <c r="M18" i="24" s="1"/>
  <c r="N18" i="24" s="1"/>
  <c r="O18" i="24" s="1"/>
  <c r="P18" i="24" s="1"/>
  <c r="EY114" i="45"/>
  <c r="EK114" i="45"/>
  <c r="DW114" i="45"/>
  <c r="DI114" i="45"/>
  <c r="CS114" i="45"/>
  <c r="CB114" i="45"/>
  <c r="G17" i="24"/>
  <c r="EY113" i="45"/>
  <c r="EK113" i="45"/>
  <c r="DW113" i="45"/>
  <c r="DI113" i="45"/>
  <c r="CS113" i="45"/>
  <c r="CB113" i="45"/>
  <c r="G16" i="24"/>
  <c r="K16" i="24"/>
  <c r="L16" i="24" s="1"/>
  <c r="M16" i="24" s="1"/>
  <c r="N16" i="24" s="1"/>
  <c r="O16" i="24" s="1"/>
  <c r="P16" i="24" s="1"/>
  <c r="EY112" i="45"/>
  <c r="EK112" i="45"/>
  <c r="DW112" i="45"/>
  <c r="DI112" i="45"/>
  <c r="CS112" i="45"/>
  <c r="CB112" i="45"/>
  <c r="G15" i="24"/>
  <c r="EY111" i="45"/>
  <c r="EK111" i="45"/>
  <c r="DW111" i="45"/>
  <c r="DI111" i="45"/>
  <c r="CS111" i="45"/>
  <c r="CB111" i="45"/>
  <c r="G14" i="24"/>
  <c r="K14" i="24"/>
  <c r="L14" i="24" s="1"/>
  <c r="M14" i="24" s="1"/>
  <c r="N14" i="24" s="1"/>
  <c r="O14" i="24" s="1"/>
  <c r="P14" i="24" s="1"/>
  <c r="EY110" i="45"/>
  <c r="EK110" i="45"/>
  <c r="DW110" i="45"/>
  <c r="DI110" i="45"/>
  <c r="CS110" i="45"/>
  <c r="CB110" i="45"/>
  <c r="G13" i="24"/>
  <c r="EY109" i="45"/>
  <c r="EK109" i="45"/>
  <c r="DW109" i="45"/>
  <c r="DI109" i="45"/>
  <c r="CS109" i="45"/>
  <c r="CB109" i="45"/>
  <c r="G12" i="24"/>
  <c r="EY108" i="45"/>
  <c r="EK108" i="45"/>
  <c r="DW108" i="45"/>
  <c r="DI108" i="45"/>
  <c r="CS108" i="45"/>
  <c r="CB108" i="45"/>
  <c r="G11" i="24"/>
  <c r="EY107" i="45"/>
  <c r="EK107" i="45"/>
  <c r="DW107" i="45"/>
  <c r="DI107" i="45"/>
  <c r="CS107" i="45"/>
  <c r="CB107" i="45"/>
  <c r="G10" i="24"/>
  <c r="G146" i="24" s="1"/>
  <c r="M152" i="5" s="1"/>
  <c r="H146" i="24"/>
  <c r="N152" i="5" s="1"/>
  <c r="EY106" i="45"/>
  <c r="EK106" i="45"/>
  <c r="DW106" i="45"/>
  <c r="DI106" i="45"/>
  <c r="CS106" i="45"/>
  <c r="CB106" i="45"/>
  <c r="G9" i="24"/>
  <c r="EY105" i="45"/>
  <c r="EK105" i="45"/>
  <c r="DW105" i="45"/>
  <c r="DI105" i="45"/>
  <c r="CS105" i="45"/>
  <c r="CB105" i="45"/>
  <c r="G8" i="24"/>
  <c r="G145" i="24" s="1"/>
  <c r="M151" i="5" s="1"/>
  <c r="H145" i="24"/>
  <c r="N151" i="5" s="1"/>
  <c r="EY104" i="45"/>
  <c r="EK104" i="45"/>
  <c r="DW104" i="45"/>
  <c r="DI104" i="45"/>
  <c r="CS104" i="45"/>
  <c r="CB104" i="45"/>
  <c r="G7" i="24"/>
  <c r="EY103" i="45"/>
  <c r="EK103" i="45"/>
  <c r="DW103" i="45"/>
  <c r="DI103" i="45"/>
  <c r="CS103" i="45"/>
  <c r="CB103" i="45"/>
  <c r="G6" i="24"/>
  <c r="EY102" i="45"/>
  <c r="EK102" i="45"/>
  <c r="DW102" i="45"/>
  <c r="DI102" i="45"/>
  <c r="CS102" i="45"/>
  <c r="CB102" i="45"/>
  <c r="G5" i="24"/>
  <c r="EY101" i="45"/>
  <c r="EK101" i="45"/>
  <c r="DW101" i="45"/>
  <c r="DI101" i="45"/>
  <c r="CS101" i="45"/>
  <c r="CB101" i="45"/>
  <c r="G4" i="24"/>
  <c r="EX98" i="45"/>
  <c r="EW98" i="45"/>
  <c r="EV98" i="45"/>
  <c r="EU98" i="45"/>
  <c r="ET98" i="45"/>
  <c r="ES98" i="45"/>
  <c r="ER98" i="45"/>
  <c r="EQ98" i="45"/>
  <c r="EP98" i="45"/>
  <c r="EO98" i="45"/>
  <c r="EN98" i="45"/>
  <c r="EM98" i="45"/>
  <c r="EJ98" i="45"/>
  <c r="EI98" i="45"/>
  <c r="EH98" i="45"/>
  <c r="EG98" i="45"/>
  <c r="EF98" i="45"/>
  <c r="EE98" i="45"/>
  <c r="ED98" i="45"/>
  <c r="EC98" i="45"/>
  <c r="EB98" i="45"/>
  <c r="EA98" i="45"/>
  <c r="DZ98" i="45"/>
  <c r="DY98" i="45"/>
  <c r="DV98" i="45"/>
  <c r="DU98" i="45"/>
  <c r="DT98" i="45"/>
  <c r="DS98" i="45"/>
  <c r="DR98" i="45"/>
  <c r="DQ98" i="45"/>
  <c r="DP98" i="45"/>
  <c r="DO98" i="45"/>
  <c r="DN98" i="45"/>
  <c r="DM98" i="45"/>
  <c r="DL98" i="45"/>
  <c r="DK98" i="45"/>
  <c r="DH98" i="45"/>
  <c r="DG98" i="45"/>
  <c r="DF98" i="45"/>
  <c r="DE98" i="45"/>
  <c r="DD98" i="45"/>
  <c r="DC98" i="45"/>
  <c r="DB98" i="45"/>
  <c r="DA98" i="45"/>
  <c r="CZ98" i="45"/>
  <c r="CY98" i="45"/>
  <c r="CX98" i="45"/>
  <c r="CW98" i="45"/>
  <c r="EY89" i="45"/>
  <c r="EK89" i="45"/>
  <c r="DW89" i="45"/>
  <c r="CT89" i="45" s="1"/>
  <c r="DI89" i="45"/>
  <c r="CB89" i="45"/>
  <c r="BN89" i="45"/>
  <c r="AX89" i="45"/>
  <c r="EY88" i="45"/>
  <c r="EK88" i="45"/>
  <c r="DW88" i="45"/>
  <c r="CT88" i="45" s="1"/>
  <c r="DI88" i="45"/>
  <c r="CB88" i="45"/>
  <c r="BN88" i="45"/>
  <c r="AX88" i="45"/>
  <c r="EY87" i="45"/>
  <c r="EK87" i="45"/>
  <c r="DW87" i="45"/>
  <c r="DI87" i="45"/>
  <c r="CB87" i="45"/>
  <c r="BN87" i="45"/>
  <c r="AX87" i="45"/>
  <c r="CQ81" i="45"/>
  <c r="CP81" i="45"/>
  <c r="CO81" i="45"/>
  <c r="CN81" i="45"/>
  <c r="CM81" i="45"/>
  <c r="CL81" i="45"/>
  <c r="CK81" i="45"/>
  <c r="CJ81" i="45"/>
  <c r="CI81" i="45"/>
  <c r="CH81" i="45"/>
  <c r="CG81" i="45"/>
  <c r="CF81" i="45"/>
  <c r="CA81" i="45"/>
  <c r="BZ81" i="45"/>
  <c r="BY81" i="45"/>
  <c r="BX81" i="45"/>
  <c r="BW81" i="45"/>
  <c r="BV81" i="45"/>
  <c r="BU81" i="45"/>
  <c r="BT81" i="45"/>
  <c r="BS81" i="45"/>
  <c r="BR81" i="45"/>
  <c r="BQ81" i="45"/>
  <c r="BP81" i="45"/>
  <c r="BM81" i="45"/>
  <c r="BL81" i="45"/>
  <c r="BK81" i="45"/>
  <c r="BJ81" i="45"/>
  <c r="BI81" i="45"/>
  <c r="BH81" i="45"/>
  <c r="BG81" i="45"/>
  <c r="BF81" i="45"/>
  <c r="BE81" i="45"/>
  <c r="BD81" i="45"/>
  <c r="BC81" i="45"/>
  <c r="BB81" i="45"/>
  <c r="AW81" i="45"/>
  <c r="AV81" i="45"/>
  <c r="AU81" i="45"/>
  <c r="AT81" i="45"/>
  <c r="AS81" i="45"/>
  <c r="AR81" i="45"/>
  <c r="AQ81" i="45"/>
  <c r="AP81" i="45"/>
  <c r="AO81" i="45"/>
  <c r="AN81" i="45"/>
  <c r="AM81" i="45"/>
  <c r="AL81" i="45"/>
  <c r="CS80" i="45"/>
  <c r="CB80" i="45"/>
  <c r="BN80" i="45"/>
  <c r="E111" i="29" s="1"/>
  <c r="AX80" i="45"/>
  <c r="CS79" i="45"/>
  <c r="CB79" i="45"/>
  <c r="BN79" i="45"/>
  <c r="AX79" i="45"/>
  <c r="CS78" i="45"/>
  <c r="CB78" i="45"/>
  <c r="BN78" i="45"/>
  <c r="AX78" i="45"/>
  <c r="CS77" i="45"/>
  <c r="CS81" i="45" s="1"/>
  <c r="CB77" i="45"/>
  <c r="CB81" i="45" s="1"/>
  <c r="BN77" i="45"/>
  <c r="AX77" i="45"/>
  <c r="AX81" i="45" s="1"/>
  <c r="EX74" i="45"/>
  <c r="EW74" i="45"/>
  <c r="EV74" i="45"/>
  <c r="EU74" i="45"/>
  <c r="ET74" i="45"/>
  <c r="ES74" i="45"/>
  <c r="ER74" i="45"/>
  <c r="EQ74" i="45"/>
  <c r="EP74" i="45"/>
  <c r="EO74" i="45"/>
  <c r="EN74" i="45"/>
  <c r="EM74" i="45"/>
  <c r="EJ74" i="45"/>
  <c r="EI74" i="45"/>
  <c r="EH74" i="45"/>
  <c r="EG74" i="45"/>
  <c r="EF74" i="45"/>
  <c r="EE74" i="45"/>
  <c r="ED74" i="45"/>
  <c r="EC74" i="45"/>
  <c r="EB74" i="45"/>
  <c r="EA74" i="45"/>
  <c r="DZ74" i="45"/>
  <c r="DY74" i="45"/>
  <c r="DV74" i="45"/>
  <c r="DU74" i="45"/>
  <c r="DT74" i="45"/>
  <c r="DS74" i="45"/>
  <c r="DR74" i="45"/>
  <c r="DQ74" i="45"/>
  <c r="DP74" i="45"/>
  <c r="DO74" i="45"/>
  <c r="DN74" i="45"/>
  <c r="DM74" i="45"/>
  <c r="DL74" i="45"/>
  <c r="DK74" i="45"/>
  <c r="DH74" i="45"/>
  <c r="DG74" i="45"/>
  <c r="DF74" i="45"/>
  <c r="DE74" i="45"/>
  <c r="DD74" i="45"/>
  <c r="DC74" i="45"/>
  <c r="DB74" i="45"/>
  <c r="DA74" i="45"/>
  <c r="CZ74" i="45"/>
  <c r="CY74" i="45"/>
  <c r="CX74" i="45"/>
  <c r="CW74" i="45"/>
  <c r="CQ74" i="45"/>
  <c r="CP74" i="45"/>
  <c r="CO74" i="45"/>
  <c r="CN74" i="45"/>
  <c r="CM74" i="45"/>
  <c r="CL74" i="45"/>
  <c r="CK74" i="45"/>
  <c r="CJ74" i="45"/>
  <c r="CI74" i="45"/>
  <c r="CH74" i="45"/>
  <c r="CG74" i="45"/>
  <c r="CF74" i="45"/>
  <c r="CA74" i="45"/>
  <c r="BZ74" i="45"/>
  <c r="BY74" i="45"/>
  <c r="BX74" i="45"/>
  <c r="BW74" i="45"/>
  <c r="BV74" i="45"/>
  <c r="BU74" i="45"/>
  <c r="BT74" i="45"/>
  <c r="BS74" i="45"/>
  <c r="BR74" i="45"/>
  <c r="BQ74" i="45"/>
  <c r="BP74" i="45"/>
  <c r="BM74" i="45"/>
  <c r="BL74" i="45"/>
  <c r="BK74" i="45"/>
  <c r="BJ74" i="45"/>
  <c r="BI74" i="45"/>
  <c r="BH74" i="45"/>
  <c r="BG74" i="45"/>
  <c r="BF74" i="45"/>
  <c r="BE74" i="45"/>
  <c r="BD74" i="45"/>
  <c r="BC74" i="45"/>
  <c r="BB74" i="45"/>
  <c r="AW74" i="45"/>
  <c r="AV74" i="45"/>
  <c r="AU74" i="45"/>
  <c r="AT74" i="45"/>
  <c r="AS74" i="45"/>
  <c r="AR74" i="45"/>
  <c r="AQ74" i="45"/>
  <c r="AP74" i="45"/>
  <c r="AO74" i="45"/>
  <c r="AN74" i="45"/>
  <c r="AM74" i="45"/>
  <c r="AL74" i="45"/>
  <c r="A74" i="45"/>
  <c r="EX73" i="45"/>
  <c r="EW73" i="45"/>
  <c r="EV73" i="45"/>
  <c r="EU73" i="45"/>
  <c r="ET73" i="45"/>
  <c r="ES73" i="45"/>
  <c r="ER73" i="45"/>
  <c r="EQ73" i="45"/>
  <c r="EP73" i="45"/>
  <c r="EO73" i="45"/>
  <c r="EN73" i="45"/>
  <c r="EM73" i="45"/>
  <c r="EJ73" i="45"/>
  <c r="EI73" i="45"/>
  <c r="EH73" i="45"/>
  <c r="EG73" i="45"/>
  <c r="EF73" i="45"/>
  <c r="EE73" i="45"/>
  <c r="ED73" i="45"/>
  <c r="EC73" i="45"/>
  <c r="EB73" i="45"/>
  <c r="EA73" i="45"/>
  <c r="DZ73" i="45"/>
  <c r="DY73" i="45"/>
  <c r="DV73" i="45"/>
  <c r="DU73" i="45"/>
  <c r="DT73" i="45"/>
  <c r="DS73" i="45"/>
  <c r="DR73" i="45"/>
  <c r="DQ73" i="45"/>
  <c r="DP73" i="45"/>
  <c r="DO73" i="45"/>
  <c r="DN73" i="45"/>
  <c r="DM73" i="45"/>
  <c r="DL73" i="45"/>
  <c r="DK73" i="45"/>
  <c r="DH73" i="45"/>
  <c r="DG73" i="45"/>
  <c r="DF73" i="45"/>
  <c r="DE73" i="45"/>
  <c r="DD73" i="45"/>
  <c r="DC73" i="45"/>
  <c r="DB73" i="45"/>
  <c r="DA73" i="45"/>
  <c r="CZ73" i="45"/>
  <c r="CY73" i="45"/>
  <c r="CX73" i="45"/>
  <c r="CW73" i="45"/>
  <c r="CQ73" i="45"/>
  <c r="CP73" i="45"/>
  <c r="CO73" i="45"/>
  <c r="CN73" i="45"/>
  <c r="CM73" i="45"/>
  <c r="CL73" i="45"/>
  <c r="CK73" i="45"/>
  <c r="CJ73" i="45"/>
  <c r="CI73" i="45"/>
  <c r="CH73" i="45"/>
  <c r="CG73" i="45"/>
  <c r="CF73" i="45"/>
  <c r="CA73" i="45"/>
  <c r="BZ73" i="45"/>
  <c r="BY73" i="45"/>
  <c r="BX73" i="45"/>
  <c r="BW73" i="45"/>
  <c r="BV73" i="45"/>
  <c r="BU73" i="45"/>
  <c r="BT73" i="45"/>
  <c r="BS73" i="45"/>
  <c r="BR73" i="45"/>
  <c r="BQ73" i="45"/>
  <c r="BP73" i="45"/>
  <c r="BM73" i="45"/>
  <c r="BL73" i="45"/>
  <c r="BK73" i="45"/>
  <c r="BJ73" i="45"/>
  <c r="BI73" i="45"/>
  <c r="BH73" i="45"/>
  <c r="BG73" i="45"/>
  <c r="BF73" i="45"/>
  <c r="BE73" i="45"/>
  <c r="BD73" i="45"/>
  <c r="BC73" i="45"/>
  <c r="BB73" i="45"/>
  <c r="AW73" i="45"/>
  <c r="AV73" i="45"/>
  <c r="AU73" i="45"/>
  <c r="AT73" i="45"/>
  <c r="AS73" i="45"/>
  <c r="AR73" i="45"/>
  <c r="AQ73" i="45"/>
  <c r="AP73" i="45"/>
  <c r="AO73" i="45"/>
  <c r="AN73" i="45"/>
  <c r="AM73" i="45"/>
  <c r="AL73" i="45"/>
  <c r="EX71" i="45"/>
  <c r="EW71" i="45"/>
  <c r="EV71" i="45"/>
  <c r="EU71" i="45"/>
  <c r="ET71" i="45"/>
  <c r="ES71" i="45"/>
  <c r="ER71" i="45"/>
  <c r="EQ71" i="45"/>
  <c r="EP71" i="45"/>
  <c r="EO71" i="45"/>
  <c r="EN71" i="45"/>
  <c r="EM71" i="45"/>
  <c r="EJ71" i="45"/>
  <c r="EI71" i="45"/>
  <c r="EH71" i="45"/>
  <c r="EG71" i="45"/>
  <c r="EF71" i="45"/>
  <c r="EE71" i="45"/>
  <c r="ED71" i="45"/>
  <c r="EC71" i="45"/>
  <c r="EB71" i="45"/>
  <c r="EA71" i="45"/>
  <c r="DZ71" i="45"/>
  <c r="DY71" i="45"/>
  <c r="DV71" i="45"/>
  <c r="DU71" i="45"/>
  <c r="DT71" i="45"/>
  <c r="DS71" i="45"/>
  <c r="DR71" i="45"/>
  <c r="DQ71" i="45"/>
  <c r="DP71" i="45"/>
  <c r="DO71" i="45"/>
  <c r="DN71" i="45"/>
  <c r="DM71" i="45"/>
  <c r="DL71" i="45"/>
  <c r="DK71" i="45"/>
  <c r="DH71" i="45"/>
  <c r="DG71" i="45"/>
  <c r="DF71" i="45"/>
  <c r="DE71" i="45"/>
  <c r="DD71" i="45"/>
  <c r="DC71" i="45"/>
  <c r="DB71" i="45"/>
  <c r="DA71" i="45"/>
  <c r="CZ71" i="45"/>
  <c r="CY71" i="45"/>
  <c r="CX71" i="45"/>
  <c r="CW71" i="45"/>
  <c r="CQ71" i="45"/>
  <c r="CP71" i="45"/>
  <c r="CO71" i="45"/>
  <c r="CN71" i="45"/>
  <c r="CM71" i="45"/>
  <c r="CL71" i="45"/>
  <c r="CK71" i="45"/>
  <c r="CJ71" i="45"/>
  <c r="CI71" i="45"/>
  <c r="CH71" i="45"/>
  <c r="CG71" i="45"/>
  <c r="CF71" i="45"/>
  <c r="CA71" i="45"/>
  <c r="BZ71" i="45"/>
  <c r="BY71" i="45"/>
  <c r="BX71" i="45"/>
  <c r="BW71" i="45"/>
  <c r="BV71" i="45"/>
  <c r="BU71" i="45"/>
  <c r="BT71" i="45"/>
  <c r="BS71" i="45"/>
  <c r="BR71" i="45"/>
  <c r="BQ71" i="45"/>
  <c r="BP71" i="45"/>
  <c r="BM71" i="45"/>
  <c r="BL71" i="45"/>
  <c r="BK71" i="45"/>
  <c r="BJ71" i="45"/>
  <c r="BI71" i="45"/>
  <c r="BH71" i="45"/>
  <c r="BG71" i="45"/>
  <c r="BF71" i="45"/>
  <c r="BE71" i="45"/>
  <c r="BD71" i="45"/>
  <c r="BC71" i="45"/>
  <c r="BB71" i="45"/>
  <c r="AW71" i="45"/>
  <c r="AV71" i="45"/>
  <c r="AU71" i="45"/>
  <c r="AT71" i="45"/>
  <c r="AS71" i="45"/>
  <c r="AR71" i="45"/>
  <c r="AQ71" i="45"/>
  <c r="AP71" i="45"/>
  <c r="AO71" i="45"/>
  <c r="AN71" i="45"/>
  <c r="AM71" i="45"/>
  <c r="AL71" i="45"/>
  <c r="A71" i="45"/>
  <c r="EX70" i="45"/>
  <c r="EW70" i="45"/>
  <c r="EV70" i="45"/>
  <c r="EU70" i="45"/>
  <c r="ET70" i="45"/>
  <c r="ES70" i="45"/>
  <c r="ER70" i="45"/>
  <c r="EQ70" i="45"/>
  <c r="EP70" i="45"/>
  <c r="EO70" i="45"/>
  <c r="EN70" i="45"/>
  <c r="EM70" i="45"/>
  <c r="EJ70" i="45"/>
  <c r="EI70" i="45"/>
  <c r="EH70" i="45"/>
  <c r="EG70" i="45"/>
  <c r="EF70" i="45"/>
  <c r="EE70" i="45"/>
  <c r="ED70" i="45"/>
  <c r="EC70" i="45"/>
  <c r="EB70" i="45"/>
  <c r="EA70" i="45"/>
  <c r="DZ70" i="45"/>
  <c r="DY70" i="45"/>
  <c r="DV70" i="45"/>
  <c r="DU70" i="45"/>
  <c r="DT70" i="45"/>
  <c r="DS70" i="45"/>
  <c r="DR70" i="45"/>
  <c r="DQ70" i="45"/>
  <c r="DP70" i="45"/>
  <c r="DO70" i="45"/>
  <c r="DN70" i="45"/>
  <c r="DM70" i="45"/>
  <c r="DL70" i="45"/>
  <c r="DK70" i="45"/>
  <c r="DH70" i="45"/>
  <c r="DG70" i="45"/>
  <c r="DF70" i="45"/>
  <c r="DE70" i="45"/>
  <c r="DD70" i="45"/>
  <c r="DC70" i="45"/>
  <c r="DB70" i="45"/>
  <c r="DA70" i="45"/>
  <c r="CZ70" i="45"/>
  <c r="CY70" i="45"/>
  <c r="CX70" i="45"/>
  <c r="CW70" i="45"/>
  <c r="CQ70" i="45"/>
  <c r="CP70" i="45"/>
  <c r="CO70" i="45"/>
  <c r="CN70" i="45"/>
  <c r="CM70" i="45"/>
  <c r="CL70" i="45"/>
  <c r="CK70" i="45"/>
  <c r="CJ70" i="45"/>
  <c r="CI70" i="45"/>
  <c r="CH70" i="45"/>
  <c r="CG70" i="45"/>
  <c r="CF70" i="45"/>
  <c r="CA70" i="45"/>
  <c r="BZ70" i="45"/>
  <c r="BY70" i="45"/>
  <c r="BX70" i="45"/>
  <c r="BW70" i="45"/>
  <c r="BV70" i="45"/>
  <c r="BU70" i="45"/>
  <c r="BT70" i="45"/>
  <c r="BS70" i="45"/>
  <c r="BR70" i="45"/>
  <c r="BQ70" i="45"/>
  <c r="BP70" i="45"/>
  <c r="BM70" i="45"/>
  <c r="BL70" i="45"/>
  <c r="BK70" i="45"/>
  <c r="BJ70" i="45"/>
  <c r="BI70" i="45"/>
  <c r="BH70" i="45"/>
  <c r="BG70" i="45"/>
  <c r="BF70" i="45"/>
  <c r="BE70" i="45"/>
  <c r="BD70" i="45"/>
  <c r="BC70" i="45"/>
  <c r="BB70" i="45"/>
  <c r="AW70" i="45"/>
  <c r="AV70" i="45"/>
  <c r="AU70" i="45"/>
  <c r="AT70" i="45"/>
  <c r="AS70" i="45"/>
  <c r="AR70" i="45"/>
  <c r="AQ70" i="45"/>
  <c r="AP70" i="45"/>
  <c r="AO70" i="45"/>
  <c r="AN70" i="45"/>
  <c r="AM70" i="45"/>
  <c r="AL70" i="45"/>
  <c r="A70" i="45"/>
  <c r="EX69" i="45"/>
  <c r="EW69" i="45"/>
  <c r="EV69" i="45"/>
  <c r="EU69" i="45"/>
  <c r="ET69" i="45"/>
  <c r="ES69" i="45"/>
  <c r="ER69" i="45"/>
  <c r="EQ69" i="45"/>
  <c r="EP69" i="45"/>
  <c r="EO69" i="45"/>
  <c r="EN69" i="45"/>
  <c r="EM69" i="45"/>
  <c r="EJ69" i="45"/>
  <c r="EI69" i="45"/>
  <c r="EH69" i="45"/>
  <c r="EG69" i="45"/>
  <c r="EF69" i="45"/>
  <c r="EE69" i="45"/>
  <c r="ED69" i="45"/>
  <c r="EC69" i="45"/>
  <c r="EB69" i="45"/>
  <c r="EA69" i="45"/>
  <c r="DZ69" i="45"/>
  <c r="DY69" i="45"/>
  <c r="DV69" i="45"/>
  <c r="DU69" i="45"/>
  <c r="DT69" i="45"/>
  <c r="DS69" i="45"/>
  <c r="DR69" i="45"/>
  <c r="DQ69" i="45"/>
  <c r="DP69" i="45"/>
  <c r="DO69" i="45"/>
  <c r="DN69" i="45"/>
  <c r="DM69" i="45"/>
  <c r="DL69" i="45"/>
  <c r="DK69" i="45"/>
  <c r="DH69" i="45"/>
  <c r="DG69" i="45"/>
  <c r="DF69" i="45"/>
  <c r="DE69" i="45"/>
  <c r="DD69" i="45"/>
  <c r="DC69" i="45"/>
  <c r="DB69" i="45"/>
  <c r="DA69" i="45"/>
  <c r="CZ69" i="45"/>
  <c r="CY69" i="45"/>
  <c r="CX69" i="45"/>
  <c r="CW69" i="45"/>
  <c r="CQ69" i="45"/>
  <c r="CP69" i="45"/>
  <c r="CO69" i="45"/>
  <c r="CN69" i="45"/>
  <c r="CM69" i="45"/>
  <c r="CL69" i="45"/>
  <c r="CK69" i="45"/>
  <c r="CJ69" i="45"/>
  <c r="CI69" i="45"/>
  <c r="CH69" i="45"/>
  <c r="CG69" i="45"/>
  <c r="CF69" i="45"/>
  <c r="CA69" i="45"/>
  <c r="BZ69" i="45"/>
  <c r="BY69" i="45"/>
  <c r="BX69" i="45"/>
  <c r="BW69" i="45"/>
  <c r="BV69" i="45"/>
  <c r="BU69" i="45"/>
  <c r="BT69" i="45"/>
  <c r="BS69" i="45"/>
  <c r="BR69" i="45"/>
  <c r="BQ69" i="45"/>
  <c r="BP69" i="45"/>
  <c r="BM69" i="45"/>
  <c r="BL69" i="45"/>
  <c r="BK69" i="45"/>
  <c r="BJ69" i="45"/>
  <c r="BI69" i="45"/>
  <c r="BH69" i="45"/>
  <c r="BG69" i="45"/>
  <c r="BF69" i="45"/>
  <c r="BE69" i="45"/>
  <c r="BD69" i="45"/>
  <c r="BC69" i="45"/>
  <c r="BB69" i="45"/>
  <c r="AW69" i="45"/>
  <c r="AV69" i="45"/>
  <c r="AU69" i="45"/>
  <c r="AT69" i="45"/>
  <c r="AS69" i="45"/>
  <c r="AR69" i="45"/>
  <c r="AQ69" i="45"/>
  <c r="AP69" i="45"/>
  <c r="AO69" i="45"/>
  <c r="AN69" i="45"/>
  <c r="AM69" i="45"/>
  <c r="AL69" i="45"/>
  <c r="A69" i="45"/>
  <c r="EX63" i="45"/>
  <c r="EW63" i="45"/>
  <c r="EV63" i="45"/>
  <c r="EU63" i="45"/>
  <c r="ET63" i="45"/>
  <c r="ES63" i="45"/>
  <c r="ER63" i="45"/>
  <c r="EQ63" i="45"/>
  <c r="EP63" i="45"/>
  <c r="EO63" i="45"/>
  <c r="EN63" i="45"/>
  <c r="EM63" i="45"/>
  <c r="EJ63" i="45"/>
  <c r="EI63" i="45"/>
  <c r="EH63" i="45"/>
  <c r="EG63" i="45"/>
  <c r="EF63" i="45"/>
  <c r="EE63" i="45"/>
  <c r="ED63" i="45"/>
  <c r="EC63" i="45"/>
  <c r="EB63" i="45"/>
  <c r="EA63" i="45"/>
  <c r="DZ63" i="45"/>
  <c r="DY63" i="45"/>
  <c r="DV63" i="45"/>
  <c r="DU63" i="45"/>
  <c r="DT63" i="45"/>
  <c r="DS63" i="45"/>
  <c r="DR63" i="45"/>
  <c r="DQ63" i="45"/>
  <c r="DP63" i="45"/>
  <c r="DO63" i="45"/>
  <c r="DN63" i="45"/>
  <c r="DM63" i="45"/>
  <c r="DL63" i="45"/>
  <c r="DK63" i="45"/>
  <c r="DH63" i="45"/>
  <c r="DG63" i="45"/>
  <c r="DF63" i="45"/>
  <c r="DE63" i="45"/>
  <c r="DD63" i="45"/>
  <c r="DC63" i="45"/>
  <c r="DB63" i="45"/>
  <c r="DA63" i="45"/>
  <c r="CZ63" i="45"/>
  <c r="CY63" i="45"/>
  <c r="CX63" i="45"/>
  <c r="CW63" i="45"/>
  <c r="CQ63" i="45"/>
  <c r="CP63" i="45"/>
  <c r="CO63" i="45"/>
  <c r="CN63" i="45"/>
  <c r="CM63" i="45"/>
  <c r="CL63" i="45"/>
  <c r="CK63" i="45"/>
  <c r="CJ63" i="45"/>
  <c r="CI63" i="45"/>
  <c r="CH63" i="45"/>
  <c r="CG63" i="45"/>
  <c r="CF63" i="45"/>
  <c r="CA63" i="45"/>
  <c r="BZ63" i="45"/>
  <c r="BY63" i="45"/>
  <c r="BX63" i="45"/>
  <c r="BW63" i="45"/>
  <c r="BV63" i="45"/>
  <c r="BU63" i="45"/>
  <c r="BT63" i="45"/>
  <c r="BS63" i="45"/>
  <c r="BR63" i="45"/>
  <c r="BQ63" i="45"/>
  <c r="BP63" i="45"/>
  <c r="BM63" i="45"/>
  <c r="BL63" i="45"/>
  <c r="BK63" i="45"/>
  <c r="BJ63" i="45"/>
  <c r="BI63" i="45"/>
  <c r="BH63" i="45"/>
  <c r="BG63" i="45"/>
  <c r="BF63" i="45"/>
  <c r="BE63" i="45"/>
  <c r="BD63" i="45"/>
  <c r="BC63" i="45"/>
  <c r="BB63" i="45"/>
  <c r="AW63" i="45"/>
  <c r="AV63" i="45"/>
  <c r="AU63" i="45"/>
  <c r="AT63" i="45"/>
  <c r="AS63" i="45"/>
  <c r="AR63" i="45"/>
  <c r="AQ63" i="45"/>
  <c r="AP63" i="45"/>
  <c r="AO63" i="45"/>
  <c r="AN63" i="45"/>
  <c r="AM63" i="45"/>
  <c r="AL63" i="45"/>
  <c r="EX62" i="45"/>
  <c r="EW62" i="45"/>
  <c r="EV62" i="45"/>
  <c r="EU62" i="45"/>
  <c r="ET62" i="45"/>
  <c r="ES62" i="45"/>
  <c r="ER62" i="45"/>
  <c r="EQ62" i="45"/>
  <c r="EP62" i="45"/>
  <c r="EO62" i="45"/>
  <c r="EN62" i="45"/>
  <c r="EM62" i="45"/>
  <c r="EJ62" i="45"/>
  <c r="EI62" i="45"/>
  <c r="EH62" i="45"/>
  <c r="EG62" i="45"/>
  <c r="EF62" i="45"/>
  <c r="EE62" i="45"/>
  <c r="ED62" i="45"/>
  <c r="EC62" i="45"/>
  <c r="EB62" i="45"/>
  <c r="EA62" i="45"/>
  <c r="DZ62" i="45"/>
  <c r="DY62" i="45"/>
  <c r="DV62" i="45"/>
  <c r="DU62" i="45"/>
  <c r="DT62" i="45"/>
  <c r="DS62" i="45"/>
  <c r="DR62" i="45"/>
  <c r="DQ62" i="45"/>
  <c r="DP62" i="45"/>
  <c r="DO62" i="45"/>
  <c r="DN62" i="45"/>
  <c r="DM62" i="45"/>
  <c r="DL62" i="45"/>
  <c r="DK62" i="45"/>
  <c r="DH62" i="45"/>
  <c r="DG62" i="45"/>
  <c r="DF62" i="45"/>
  <c r="DE62" i="45"/>
  <c r="DD62" i="45"/>
  <c r="DC62" i="45"/>
  <c r="DB62" i="45"/>
  <c r="DA62" i="45"/>
  <c r="CZ62" i="45"/>
  <c r="CY62" i="45"/>
  <c r="CX62" i="45"/>
  <c r="CW62" i="45"/>
  <c r="CQ62" i="45"/>
  <c r="CP62" i="45"/>
  <c r="CO62" i="45"/>
  <c r="CN62" i="45"/>
  <c r="CM62" i="45"/>
  <c r="CL62" i="45"/>
  <c r="CK62" i="45"/>
  <c r="CJ62" i="45"/>
  <c r="CI62" i="45"/>
  <c r="CH62" i="45"/>
  <c r="CG62" i="45"/>
  <c r="CF62" i="45"/>
  <c r="CA62" i="45"/>
  <c r="BZ62" i="45"/>
  <c r="BY62" i="45"/>
  <c r="BX62" i="45"/>
  <c r="BW62" i="45"/>
  <c r="BV62" i="45"/>
  <c r="BU62" i="45"/>
  <c r="BT62" i="45"/>
  <c r="BS62" i="45"/>
  <c r="BR62" i="45"/>
  <c r="BQ62" i="45"/>
  <c r="BP62" i="45"/>
  <c r="BM62" i="45"/>
  <c r="BL62" i="45"/>
  <c r="BK62" i="45"/>
  <c r="BJ62" i="45"/>
  <c r="BI62" i="45"/>
  <c r="BH62" i="45"/>
  <c r="BG62" i="45"/>
  <c r="BF62" i="45"/>
  <c r="BE62" i="45"/>
  <c r="BD62" i="45"/>
  <c r="BC62" i="45"/>
  <c r="BB62" i="45"/>
  <c r="AW62" i="45"/>
  <c r="AV62" i="45"/>
  <c r="AU62" i="45"/>
  <c r="AT62" i="45"/>
  <c r="AS62" i="45"/>
  <c r="AR62" i="45"/>
  <c r="AQ62" i="45"/>
  <c r="AP62" i="45"/>
  <c r="AO62" i="45"/>
  <c r="AN62" i="45"/>
  <c r="AM62" i="45"/>
  <c r="AL62" i="45"/>
  <c r="EX60" i="45"/>
  <c r="EW60" i="45"/>
  <c r="EV60" i="45"/>
  <c r="EU60" i="45"/>
  <c r="ET60" i="45"/>
  <c r="ES60" i="45"/>
  <c r="ER60" i="45"/>
  <c r="EQ60" i="45"/>
  <c r="EP60" i="45"/>
  <c r="EO60" i="45"/>
  <c r="EN60" i="45"/>
  <c r="EM60" i="45"/>
  <c r="EJ60" i="45"/>
  <c r="EI60" i="45"/>
  <c r="EH60" i="45"/>
  <c r="EG60" i="45"/>
  <c r="EF60" i="45"/>
  <c r="EE60" i="45"/>
  <c r="ED60" i="45"/>
  <c r="EC60" i="45"/>
  <c r="EB60" i="45"/>
  <c r="EA60" i="45"/>
  <c r="DZ60" i="45"/>
  <c r="DY60" i="45"/>
  <c r="DV60" i="45"/>
  <c r="DU60" i="45"/>
  <c r="DT60" i="45"/>
  <c r="DS60" i="45"/>
  <c r="DR60" i="45"/>
  <c r="DQ60" i="45"/>
  <c r="DP60" i="45"/>
  <c r="DO60" i="45"/>
  <c r="DN60" i="45"/>
  <c r="DM60" i="45"/>
  <c r="DL60" i="45"/>
  <c r="DK60" i="45"/>
  <c r="DH60" i="45"/>
  <c r="DG60" i="45"/>
  <c r="DF60" i="45"/>
  <c r="DE60" i="45"/>
  <c r="DD60" i="45"/>
  <c r="DC60" i="45"/>
  <c r="DB60" i="45"/>
  <c r="DA60" i="45"/>
  <c r="CZ60" i="45"/>
  <c r="CY60" i="45"/>
  <c r="CX60" i="45"/>
  <c r="CW60" i="45"/>
  <c r="CQ60" i="45"/>
  <c r="CP60" i="45"/>
  <c r="CO60" i="45"/>
  <c r="CN60" i="45"/>
  <c r="CM60" i="45"/>
  <c r="CL60" i="45"/>
  <c r="CK60" i="45"/>
  <c r="CJ60" i="45"/>
  <c r="CI60" i="45"/>
  <c r="CH60" i="45"/>
  <c r="CG60" i="45"/>
  <c r="CF60" i="45"/>
  <c r="CA60" i="45"/>
  <c r="BZ60" i="45"/>
  <c r="BY60" i="45"/>
  <c r="BX60" i="45"/>
  <c r="BW60" i="45"/>
  <c r="BV60" i="45"/>
  <c r="BU60" i="45"/>
  <c r="BT60" i="45"/>
  <c r="BS60" i="45"/>
  <c r="BR60" i="45"/>
  <c r="BQ60" i="45"/>
  <c r="BP60" i="45"/>
  <c r="BM60" i="45"/>
  <c r="BL60" i="45"/>
  <c r="BK60" i="45"/>
  <c r="BJ60" i="45"/>
  <c r="BI60" i="45"/>
  <c r="BH60" i="45"/>
  <c r="BG60" i="45"/>
  <c r="BF60" i="45"/>
  <c r="BE60" i="45"/>
  <c r="BD60" i="45"/>
  <c r="BC60" i="45"/>
  <c r="BB60" i="45"/>
  <c r="AW60" i="45"/>
  <c r="AV60" i="45"/>
  <c r="AU60" i="45"/>
  <c r="AT60" i="45"/>
  <c r="AS60" i="45"/>
  <c r="AR60" i="45"/>
  <c r="AQ60" i="45"/>
  <c r="AP60" i="45"/>
  <c r="AO60" i="45"/>
  <c r="AN60" i="45"/>
  <c r="AM60" i="45"/>
  <c r="AL60" i="45"/>
  <c r="EX59" i="45"/>
  <c r="EW59" i="45"/>
  <c r="EV59" i="45"/>
  <c r="EU59" i="45"/>
  <c r="ET59" i="45"/>
  <c r="ES59" i="45"/>
  <c r="ER59" i="45"/>
  <c r="EQ59" i="45"/>
  <c r="EP59" i="45"/>
  <c r="EO59" i="45"/>
  <c r="EN59" i="45"/>
  <c r="EM59" i="45"/>
  <c r="EJ59" i="45"/>
  <c r="EI59" i="45"/>
  <c r="EH59" i="45"/>
  <c r="EG59" i="45"/>
  <c r="EF59" i="45"/>
  <c r="EE59" i="45"/>
  <c r="ED59" i="45"/>
  <c r="EC59" i="45"/>
  <c r="EB59" i="45"/>
  <c r="EA59" i="45"/>
  <c r="DZ59" i="45"/>
  <c r="DY59" i="45"/>
  <c r="DV59" i="45"/>
  <c r="DU59" i="45"/>
  <c r="DT59" i="45"/>
  <c r="DS59" i="45"/>
  <c r="DR59" i="45"/>
  <c r="DQ59" i="45"/>
  <c r="DP59" i="45"/>
  <c r="DO59" i="45"/>
  <c r="DN59" i="45"/>
  <c r="DM59" i="45"/>
  <c r="DL59" i="45"/>
  <c r="DK59" i="45"/>
  <c r="DH59" i="45"/>
  <c r="DG59" i="45"/>
  <c r="DF59" i="45"/>
  <c r="DE59" i="45"/>
  <c r="DD59" i="45"/>
  <c r="DC59" i="45"/>
  <c r="DB59" i="45"/>
  <c r="DA59" i="45"/>
  <c r="CZ59" i="45"/>
  <c r="CY59" i="45"/>
  <c r="CX59" i="45"/>
  <c r="CW59" i="45"/>
  <c r="CQ59" i="45"/>
  <c r="CP59" i="45"/>
  <c r="CO59" i="45"/>
  <c r="CN59" i="45"/>
  <c r="CM59" i="45"/>
  <c r="CL59" i="45"/>
  <c r="CK59" i="45"/>
  <c r="CJ59" i="45"/>
  <c r="CI59" i="45"/>
  <c r="CH59" i="45"/>
  <c r="CG59" i="45"/>
  <c r="CF59" i="45"/>
  <c r="CA59" i="45"/>
  <c r="BZ59" i="45"/>
  <c r="BY59" i="45"/>
  <c r="BX59" i="45"/>
  <c r="BW59" i="45"/>
  <c r="BV59" i="45"/>
  <c r="BU59" i="45"/>
  <c r="BT59" i="45"/>
  <c r="BS59" i="45"/>
  <c r="BR59" i="45"/>
  <c r="BQ59" i="45"/>
  <c r="BP59" i="45"/>
  <c r="BM59" i="45"/>
  <c r="BL59" i="45"/>
  <c r="BK59" i="45"/>
  <c r="BJ59" i="45"/>
  <c r="BI59" i="45"/>
  <c r="BH59" i="45"/>
  <c r="BG59" i="45"/>
  <c r="BF59" i="45"/>
  <c r="BE59" i="45"/>
  <c r="BD59" i="45"/>
  <c r="BC59" i="45"/>
  <c r="BB59" i="45"/>
  <c r="AW59" i="45"/>
  <c r="AV59" i="45"/>
  <c r="AU59" i="45"/>
  <c r="AT59" i="45"/>
  <c r="AS59" i="45"/>
  <c r="AR59" i="45"/>
  <c r="AQ59" i="45"/>
  <c r="AP59" i="45"/>
  <c r="AO59" i="45"/>
  <c r="AN59" i="45"/>
  <c r="AM59" i="45"/>
  <c r="AL59" i="45"/>
  <c r="EX58" i="45"/>
  <c r="EW58" i="45"/>
  <c r="EV58" i="45"/>
  <c r="EU58" i="45"/>
  <c r="ET58" i="45"/>
  <c r="ES58" i="45"/>
  <c r="ER58" i="45"/>
  <c r="EQ58" i="45"/>
  <c r="EP58" i="45"/>
  <c r="EO58" i="45"/>
  <c r="EN58" i="45"/>
  <c r="EM58" i="45"/>
  <c r="EJ58" i="45"/>
  <c r="EI58" i="45"/>
  <c r="EH58" i="45"/>
  <c r="EG58" i="45"/>
  <c r="EF58" i="45"/>
  <c r="EE58" i="45"/>
  <c r="ED58" i="45"/>
  <c r="EC58" i="45"/>
  <c r="EB58" i="45"/>
  <c r="EA58" i="45"/>
  <c r="DZ58" i="45"/>
  <c r="DY58" i="45"/>
  <c r="DV58" i="45"/>
  <c r="DU58" i="45"/>
  <c r="DT58" i="45"/>
  <c r="DS58" i="45"/>
  <c r="DR58" i="45"/>
  <c r="DQ58" i="45"/>
  <c r="DP58" i="45"/>
  <c r="DO58" i="45"/>
  <c r="DN58" i="45"/>
  <c r="DM58" i="45"/>
  <c r="DL58" i="45"/>
  <c r="DK58" i="45"/>
  <c r="DH58" i="45"/>
  <c r="DG58" i="45"/>
  <c r="DF58" i="45"/>
  <c r="DE58" i="45"/>
  <c r="DD58" i="45"/>
  <c r="DC58" i="45"/>
  <c r="DB58" i="45"/>
  <c r="DA58" i="45"/>
  <c r="CZ58" i="45"/>
  <c r="CY58" i="45"/>
  <c r="CX58" i="45"/>
  <c r="CW58" i="45"/>
  <c r="CQ58" i="45"/>
  <c r="CP58" i="45"/>
  <c r="CO58" i="45"/>
  <c r="CN58" i="45"/>
  <c r="CM58" i="45"/>
  <c r="CL58" i="45"/>
  <c r="CK58" i="45"/>
  <c r="CJ58" i="45"/>
  <c r="CI58" i="45"/>
  <c r="CH58" i="45"/>
  <c r="CG58" i="45"/>
  <c r="CF58" i="45"/>
  <c r="CA58" i="45"/>
  <c r="BZ58" i="45"/>
  <c r="BY58" i="45"/>
  <c r="BX58" i="45"/>
  <c r="BW58" i="45"/>
  <c r="BV58" i="45"/>
  <c r="BU58" i="45"/>
  <c r="BT58" i="45"/>
  <c r="BS58" i="45"/>
  <c r="BR58" i="45"/>
  <c r="BQ58" i="45"/>
  <c r="BP58" i="45"/>
  <c r="BM58" i="45"/>
  <c r="BL58" i="45"/>
  <c r="BK58" i="45"/>
  <c r="BJ58" i="45"/>
  <c r="BI58" i="45"/>
  <c r="BH58" i="45"/>
  <c r="BG58" i="45"/>
  <c r="BF58" i="45"/>
  <c r="BE58" i="45"/>
  <c r="BD58" i="45"/>
  <c r="BC58" i="45"/>
  <c r="BB58" i="45"/>
  <c r="AW58" i="45"/>
  <c r="AV58" i="45"/>
  <c r="AU58" i="45"/>
  <c r="AT58" i="45"/>
  <c r="AS58" i="45"/>
  <c r="AR58" i="45"/>
  <c r="AQ58" i="45"/>
  <c r="AP58" i="45"/>
  <c r="AO58" i="45"/>
  <c r="AN58" i="45"/>
  <c r="AM58" i="45"/>
  <c r="AL58" i="45"/>
  <c r="EY52" i="45"/>
  <c r="EK52" i="45"/>
  <c r="DW52" i="45"/>
  <c r="DI52" i="45"/>
  <c r="CS52" i="45"/>
  <c r="CB52" i="45"/>
  <c r="BN52" i="45"/>
  <c r="M80" i="5" s="1"/>
  <c r="AX52" i="45"/>
  <c r="EY51" i="45"/>
  <c r="EK51" i="45"/>
  <c r="DW51" i="45"/>
  <c r="DI51" i="45"/>
  <c r="CS51" i="45"/>
  <c r="CB51" i="45"/>
  <c r="BN51" i="45"/>
  <c r="M79" i="5" s="1"/>
  <c r="EX50" i="45"/>
  <c r="EW50" i="45"/>
  <c r="EW54" i="45" s="1"/>
  <c r="EV50" i="45"/>
  <c r="EU50" i="45"/>
  <c r="ET50" i="45"/>
  <c r="ES50" i="45"/>
  <c r="ES54" i="45" s="1"/>
  <c r="ER50" i="45"/>
  <c r="ER54" i="45" s="1"/>
  <c r="EQ50" i="45"/>
  <c r="EP50" i="45"/>
  <c r="EO50" i="45"/>
  <c r="EO54" i="45" s="1"/>
  <c r="EN50" i="45"/>
  <c r="EN54" i="45" s="1"/>
  <c r="EM50" i="45"/>
  <c r="EM54" i="45" s="1"/>
  <c r="EJ50" i="45"/>
  <c r="EJ54" i="45" s="1"/>
  <c r="EI50" i="45"/>
  <c r="EH50" i="45"/>
  <c r="EG50" i="45"/>
  <c r="EF50" i="45"/>
  <c r="EF54" i="45" s="1"/>
  <c r="EE50" i="45"/>
  <c r="ED50" i="45"/>
  <c r="ED54" i="45" s="1"/>
  <c r="EC50" i="45"/>
  <c r="EB50" i="45"/>
  <c r="EB54" i="45" s="1"/>
  <c r="EA50" i="45"/>
  <c r="DZ50" i="45"/>
  <c r="DY50" i="45"/>
  <c r="DV50" i="45"/>
  <c r="DU50" i="45"/>
  <c r="DT50" i="45"/>
  <c r="DS50" i="45"/>
  <c r="DS54" i="45" s="1"/>
  <c r="DR50" i="45"/>
  <c r="DQ50" i="45"/>
  <c r="DP50" i="45"/>
  <c r="DO50" i="45"/>
  <c r="DO54" i="45" s="1"/>
  <c r="DN50" i="45"/>
  <c r="DM50" i="45"/>
  <c r="DL50" i="45"/>
  <c r="DK50" i="45"/>
  <c r="DH50" i="45"/>
  <c r="DH54" i="45" s="1"/>
  <c r="DG50" i="45"/>
  <c r="DF50" i="45"/>
  <c r="DF54" i="45" s="1"/>
  <c r="DE50" i="45"/>
  <c r="DD50" i="45"/>
  <c r="DC50" i="45"/>
  <c r="DB50" i="45"/>
  <c r="DB54" i="45" s="1"/>
  <c r="DA50" i="45"/>
  <c r="DA54" i="45" s="1"/>
  <c r="CZ50" i="45"/>
  <c r="CY50" i="45"/>
  <c r="CX50" i="45"/>
  <c r="CW50" i="45"/>
  <c r="CW54" i="45" s="1"/>
  <c r="CR50" i="45"/>
  <c r="CR54" i="45" s="1"/>
  <c r="CQ50" i="45"/>
  <c r="CP50" i="45"/>
  <c r="CO50" i="45"/>
  <c r="CO54" i="45" s="1"/>
  <c r="CN50" i="45"/>
  <c r="CN54" i="45" s="1"/>
  <c r="CM50" i="45"/>
  <c r="CL50" i="45"/>
  <c r="CK50" i="45"/>
  <c r="CK54" i="45" s="1"/>
  <c r="CJ50" i="45"/>
  <c r="CJ54" i="45" s="1"/>
  <c r="CI50" i="45"/>
  <c r="CH50" i="45"/>
  <c r="CG50" i="45"/>
  <c r="CG54" i="45" s="1"/>
  <c r="CF50" i="45"/>
  <c r="CA50" i="45"/>
  <c r="BZ50" i="45"/>
  <c r="BZ54" i="45" s="1"/>
  <c r="BY50" i="45"/>
  <c r="BX50" i="45"/>
  <c r="BX54" i="45" s="1"/>
  <c r="BW50" i="45"/>
  <c r="BW54" i="45" s="1"/>
  <c r="BV50" i="45"/>
  <c r="BV54" i="45" s="1"/>
  <c r="BU50" i="45"/>
  <c r="BT50" i="45"/>
  <c r="BT54" i="45" s="1"/>
  <c r="BS50" i="45"/>
  <c r="BS54" i="45" s="1"/>
  <c r="BR50" i="45"/>
  <c r="BQ50" i="45"/>
  <c r="BP50" i="45"/>
  <c r="BP54" i="45" s="1"/>
  <c r="BM50" i="45"/>
  <c r="BL50" i="45"/>
  <c r="BK50" i="45"/>
  <c r="BK54" i="45" s="1"/>
  <c r="BJ50" i="45"/>
  <c r="BJ54" i="45" s="1"/>
  <c r="BI50" i="45"/>
  <c r="BH50" i="45"/>
  <c r="BG50" i="45"/>
  <c r="BG54" i="45" s="1"/>
  <c r="BF50" i="45"/>
  <c r="BF54" i="45" s="1"/>
  <c r="BE50" i="45"/>
  <c r="BD50" i="45"/>
  <c r="BC50" i="45"/>
  <c r="BC54" i="45" s="1"/>
  <c r="BB50" i="45"/>
  <c r="BB54" i="45" s="1"/>
  <c r="AW50" i="45"/>
  <c r="AV50" i="45"/>
  <c r="AU50" i="45"/>
  <c r="AT50" i="45"/>
  <c r="AT54" i="45" s="1"/>
  <c r="AS50" i="45"/>
  <c r="AR50" i="45"/>
  <c r="AR54" i="45" s="1"/>
  <c r="AQ50" i="45"/>
  <c r="AP50" i="45"/>
  <c r="AP54" i="45" s="1"/>
  <c r="AO50" i="45"/>
  <c r="AN50" i="45"/>
  <c r="AN54" i="45" s="1"/>
  <c r="AM50" i="45"/>
  <c r="AL50" i="45"/>
  <c r="AL54" i="45" s="1"/>
  <c r="EY49" i="45"/>
  <c r="EK49" i="45"/>
  <c r="DW49" i="45"/>
  <c r="DI49" i="45"/>
  <c r="CS49" i="45"/>
  <c r="CB49" i="45"/>
  <c r="BN49" i="45"/>
  <c r="AX49" i="45"/>
  <c r="A49" i="45"/>
  <c r="EY48" i="45"/>
  <c r="EK48" i="45"/>
  <c r="DW48" i="45"/>
  <c r="DI48" i="45"/>
  <c r="CS48" i="45"/>
  <c r="CB48" i="45"/>
  <c r="BN48" i="45"/>
  <c r="AX48" i="45"/>
  <c r="A48" i="45"/>
  <c r="EY47" i="45"/>
  <c r="EK47" i="45"/>
  <c r="DW47" i="45"/>
  <c r="DI47" i="45"/>
  <c r="CS47" i="45"/>
  <c r="CB47" i="45"/>
  <c r="BN47" i="45"/>
  <c r="AX47" i="45"/>
  <c r="A47" i="45"/>
  <c r="EY42" i="45"/>
  <c r="EK42" i="45"/>
  <c r="DW42" i="45"/>
  <c r="DI42" i="45"/>
  <c r="CS42" i="45"/>
  <c r="CB42" i="45"/>
  <c r="BN42" i="45"/>
  <c r="K78" i="54" s="1"/>
  <c r="L98" i="54" s="1"/>
  <c r="AX42" i="45"/>
  <c r="EY41" i="45"/>
  <c r="EK41" i="45"/>
  <c r="DW41" i="45"/>
  <c r="DI41" i="45"/>
  <c r="CB41" i="45"/>
  <c r="BN41" i="45"/>
  <c r="K77" i="54" s="1"/>
  <c r="L97" i="54" s="1"/>
  <c r="AX41" i="45"/>
  <c r="AX62" i="45" s="1"/>
  <c r="EX40" i="45"/>
  <c r="EX44" i="45" s="1"/>
  <c r="EW40" i="45"/>
  <c r="EV40" i="45"/>
  <c r="EU40" i="45"/>
  <c r="ET40" i="45"/>
  <c r="ET44" i="45" s="1"/>
  <c r="ES40" i="45"/>
  <c r="ER40" i="45"/>
  <c r="EQ40" i="45"/>
  <c r="EP40" i="45"/>
  <c r="EO40" i="45"/>
  <c r="EN40" i="45"/>
  <c r="EM40" i="45"/>
  <c r="EJ40" i="45"/>
  <c r="EI40" i="45"/>
  <c r="EH40" i="45"/>
  <c r="EH44" i="45" s="1"/>
  <c r="EG40" i="45"/>
  <c r="EF40" i="45"/>
  <c r="EE40" i="45"/>
  <c r="ED40" i="45"/>
  <c r="EC40" i="45"/>
  <c r="EB40" i="45"/>
  <c r="EA40" i="45"/>
  <c r="DZ40" i="45"/>
  <c r="DY40" i="45"/>
  <c r="DV40" i="45"/>
  <c r="DU40" i="45"/>
  <c r="DT40" i="45"/>
  <c r="DT44" i="45" s="1"/>
  <c r="DS40" i="45"/>
  <c r="DR40" i="45"/>
  <c r="DQ40" i="45"/>
  <c r="DQ44" i="45" s="1"/>
  <c r="DP40" i="45"/>
  <c r="DP44" i="45" s="1"/>
  <c r="DO40" i="45"/>
  <c r="DN40" i="45"/>
  <c r="DM40" i="45"/>
  <c r="DM44" i="45" s="1"/>
  <c r="DL40" i="45"/>
  <c r="DL44" i="45" s="1"/>
  <c r="DK40" i="45"/>
  <c r="DH40" i="45"/>
  <c r="DG40" i="45"/>
  <c r="DF40" i="45"/>
  <c r="DE40" i="45"/>
  <c r="DD40" i="45"/>
  <c r="DD44" i="45" s="1"/>
  <c r="DC40" i="45"/>
  <c r="DC44" i="45" s="1"/>
  <c r="DB40" i="45"/>
  <c r="DA40" i="45"/>
  <c r="CZ40" i="45"/>
  <c r="CY40" i="45"/>
  <c r="CX40" i="45"/>
  <c r="CW40" i="45"/>
  <c r="CR40" i="45"/>
  <c r="CR44" i="45" s="1"/>
  <c r="CQ40" i="45"/>
  <c r="CQ44" i="45" s="1"/>
  <c r="CP40" i="45"/>
  <c r="CO40" i="45"/>
  <c r="CN40" i="45"/>
  <c r="CM40" i="45"/>
  <c r="CL40" i="45"/>
  <c r="CK40" i="45"/>
  <c r="CJ40" i="45"/>
  <c r="CI40" i="45"/>
  <c r="CH40" i="45"/>
  <c r="CH44" i="45" s="1"/>
  <c r="CG40" i="45"/>
  <c r="CF40" i="45"/>
  <c r="CA40" i="45"/>
  <c r="BZ40" i="45"/>
  <c r="BZ44" i="45" s="1"/>
  <c r="BY40" i="45"/>
  <c r="BY44" i="45" s="1"/>
  <c r="BX40" i="45"/>
  <c r="BW40" i="45"/>
  <c r="BV40" i="45"/>
  <c r="BV44" i="45" s="1"/>
  <c r="BU40" i="45"/>
  <c r="BT40" i="45"/>
  <c r="BS40" i="45"/>
  <c r="BR40" i="45"/>
  <c r="BR44" i="45" s="1"/>
  <c r="BQ40" i="45"/>
  <c r="BP40" i="45"/>
  <c r="BM40" i="45"/>
  <c r="BM44" i="45" s="1"/>
  <c r="BL40" i="45"/>
  <c r="BL44" i="45" s="1"/>
  <c r="BK40" i="45"/>
  <c r="BJ40" i="45"/>
  <c r="BI40" i="45"/>
  <c r="BI44" i="45" s="1"/>
  <c r="BH40" i="45"/>
  <c r="BG40" i="45"/>
  <c r="BF40" i="45"/>
  <c r="BE40" i="45"/>
  <c r="BE44" i="45" s="1"/>
  <c r="BD40" i="45"/>
  <c r="BC40" i="45"/>
  <c r="BB40" i="45"/>
  <c r="AW40" i="45"/>
  <c r="AV40" i="45"/>
  <c r="AV44" i="45" s="1"/>
  <c r="AU40" i="45"/>
  <c r="AT40" i="45"/>
  <c r="AS40" i="45"/>
  <c r="AR40" i="45"/>
  <c r="AQ40" i="45"/>
  <c r="AQ44" i="45" s="1"/>
  <c r="AP40" i="45"/>
  <c r="AO40" i="45"/>
  <c r="AN40" i="45"/>
  <c r="AN44" i="45" s="1"/>
  <c r="AM40" i="45"/>
  <c r="AL40" i="45"/>
  <c r="EY39" i="45"/>
  <c r="EK39" i="45"/>
  <c r="DW39" i="45"/>
  <c r="DI39" i="45"/>
  <c r="CS39" i="45"/>
  <c r="CB39" i="45"/>
  <c r="BN39" i="45"/>
  <c r="EY38" i="45"/>
  <c r="EK38" i="45"/>
  <c r="DW38" i="45"/>
  <c r="DI38" i="45"/>
  <c r="CS38" i="45"/>
  <c r="CB38" i="45"/>
  <c r="BN38" i="45"/>
  <c r="K81" i="54" s="1"/>
  <c r="AX38" i="45"/>
  <c r="AX59" i="45" s="1"/>
  <c r="EY37" i="45"/>
  <c r="EK37" i="45"/>
  <c r="DW37" i="45"/>
  <c r="DI37" i="45"/>
  <c r="CS37" i="45"/>
  <c r="CB37" i="45"/>
  <c r="BN37" i="45"/>
  <c r="K70" i="54" s="1"/>
  <c r="AX37" i="45"/>
  <c r="EX33" i="45"/>
  <c r="EW33" i="45"/>
  <c r="EV33" i="45"/>
  <c r="EU33" i="45"/>
  <c r="ET33" i="45"/>
  <c r="ES33" i="45"/>
  <c r="ER33" i="45"/>
  <c r="EQ33" i="45"/>
  <c r="EP33" i="45"/>
  <c r="EO33" i="45"/>
  <c r="EN33" i="45"/>
  <c r="EM33" i="45"/>
  <c r="EJ33" i="45"/>
  <c r="EI33" i="45"/>
  <c r="EH33" i="45"/>
  <c r="EG33" i="45"/>
  <c r="EF33" i="45"/>
  <c r="EE33" i="45"/>
  <c r="ED33" i="45"/>
  <c r="EC33" i="45"/>
  <c r="EB33" i="45"/>
  <c r="EA33" i="45"/>
  <c r="DZ33" i="45"/>
  <c r="DY33" i="45"/>
  <c r="DV33" i="45"/>
  <c r="DU33" i="45"/>
  <c r="DT33" i="45"/>
  <c r="DS33" i="45"/>
  <c r="DR33" i="45"/>
  <c r="DQ33" i="45"/>
  <c r="DP33" i="45"/>
  <c r="DO33" i="45"/>
  <c r="DN33" i="45"/>
  <c r="DM33" i="45"/>
  <c r="DL33" i="45"/>
  <c r="DK33" i="45"/>
  <c r="DH33" i="45"/>
  <c r="DG33" i="45"/>
  <c r="DF33" i="45"/>
  <c r="DE33" i="45"/>
  <c r="DD33" i="45"/>
  <c r="DC33" i="45"/>
  <c r="DB33" i="45"/>
  <c r="DA33" i="45"/>
  <c r="CZ33" i="45"/>
  <c r="CY33" i="45"/>
  <c r="CX33" i="45"/>
  <c r="CW33" i="45"/>
  <c r="CQ33" i="45"/>
  <c r="CP33" i="45"/>
  <c r="CO33" i="45"/>
  <c r="CN33" i="45"/>
  <c r="CM33" i="45"/>
  <c r="CL33" i="45"/>
  <c r="CK33" i="45"/>
  <c r="CJ33" i="45"/>
  <c r="CI33" i="45"/>
  <c r="CH33" i="45"/>
  <c r="CG33" i="45"/>
  <c r="CF33" i="45"/>
  <c r="CA33" i="45"/>
  <c r="BZ33" i="45"/>
  <c r="BY33" i="45"/>
  <c r="BX33" i="45"/>
  <c r="BW33" i="45"/>
  <c r="BV33" i="45"/>
  <c r="BU33" i="45"/>
  <c r="BT33" i="45"/>
  <c r="BS33" i="45"/>
  <c r="BR33" i="45"/>
  <c r="BQ33" i="45"/>
  <c r="BP33" i="45"/>
  <c r="BM33" i="45"/>
  <c r="BL33" i="45"/>
  <c r="BK33" i="45"/>
  <c r="BJ33" i="45"/>
  <c r="BI33" i="45"/>
  <c r="BH33" i="45"/>
  <c r="BG33" i="45"/>
  <c r="BF33" i="45"/>
  <c r="BE33" i="45"/>
  <c r="BD33" i="45"/>
  <c r="BC33" i="45"/>
  <c r="BB33" i="45"/>
  <c r="AW33" i="45"/>
  <c r="AV33" i="45"/>
  <c r="AU33" i="45"/>
  <c r="AT33" i="45"/>
  <c r="AS33" i="45"/>
  <c r="AR33" i="45"/>
  <c r="AQ33" i="45"/>
  <c r="AP33" i="45"/>
  <c r="AO33" i="45"/>
  <c r="AN33" i="45"/>
  <c r="AM33" i="45"/>
  <c r="AL33" i="45"/>
  <c r="EX32" i="45"/>
  <c r="EW32" i="45"/>
  <c r="EV32" i="45"/>
  <c r="EU32" i="45"/>
  <c r="ET32" i="45"/>
  <c r="ES32" i="45"/>
  <c r="ER32" i="45"/>
  <c r="EQ32" i="45"/>
  <c r="EP32" i="45"/>
  <c r="EO32" i="45"/>
  <c r="EN32" i="45"/>
  <c r="EM32" i="45"/>
  <c r="EJ32" i="45"/>
  <c r="EI32" i="45"/>
  <c r="EH32" i="45"/>
  <c r="EG32" i="45"/>
  <c r="EF32" i="45"/>
  <c r="EE32" i="45"/>
  <c r="ED32" i="45"/>
  <c r="EC32" i="45"/>
  <c r="EB32" i="45"/>
  <c r="EA32" i="45"/>
  <c r="DZ32" i="45"/>
  <c r="DY32" i="45"/>
  <c r="DV32" i="45"/>
  <c r="DU32" i="45"/>
  <c r="DT32" i="45"/>
  <c r="DS32" i="45"/>
  <c r="DR32" i="45"/>
  <c r="DQ32" i="45"/>
  <c r="DP32" i="45"/>
  <c r="DO32" i="45"/>
  <c r="DN32" i="45"/>
  <c r="DM32" i="45"/>
  <c r="DL32" i="45"/>
  <c r="DK32" i="45"/>
  <c r="DH32" i="45"/>
  <c r="DG32" i="45"/>
  <c r="DF32" i="45"/>
  <c r="DE32" i="45"/>
  <c r="DD32" i="45"/>
  <c r="DC32" i="45"/>
  <c r="DB32" i="45"/>
  <c r="DA32" i="45"/>
  <c r="CZ32" i="45"/>
  <c r="CY32" i="45"/>
  <c r="CX32" i="45"/>
  <c r="CW32" i="45"/>
  <c r="CQ32" i="45"/>
  <c r="CP32" i="45"/>
  <c r="CO32" i="45"/>
  <c r="CN32" i="45"/>
  <c r="CM32" i="45"/>
  <c r="CL32" i="45"/>
  <c r="CK32" i="45"/>
  <c r="CJ32" i="45"/>
  <c r="CI32" i="45"/>
  <c r="CH32" i="45"/>
  <c r="CG32" i="45"/>
  <c r="CF32" i="45"/>
  <c r="CA32" i="45"/>
  <c r="BZ32" i="45"/>
  <c r="BY32" i="45"/>
  <c r="BX32" i="45"/>
  <c r="BW32" i="45"/>
  <c r="BV32" i="45"/>
  <c r="BU32" i="45"/>
  <c r="BT32" i="45"/>
  <c r="BS32" i="45"/>
  <c r="BR32" i="45"/>
  <c r="BQ32" i="45"/>
  <c r="BP32" i="45"/>
  <c r="BM32" i="45"/>
  <c r="BL32" i="45"/>
  <c r="BK32" i="45"/>
  <c r="BJ32" i="45"/>
  <c r="BI32" i="45"/>
  <c r="BH32" i="45"/>
  <c r="BG32" i="45"/>
  <c r="BF32" i="45"/>
  <c r="BE32" i="45"/>
  <c r="BD32" i="45"/>
  <c r="BC32" i="45"/>
  <c r="BB32" i="45"/>
  <c r="AW32" i="45"/>
  <c r="AV32" i="45"/>
  <c r="AU32" i="45"/>
  <c r="AT32" i="45"/>
  <c r="AS32" i="45"/>
  <c r="AR32" i="45"/>
  <c r="AQ32" i="45"/>
  <c r="AP32" i="45"/>
  <c r="AO32" i="45"/>
  <c r="AN32" i="45"/>
  <c r="AM32" i="45"/>
  <c r="AL32" i="45"/>
  <c r="EX31" i="45"/>
  <c r="EW31" i="45"/>
  <c r="EV31" i="45"/>
  <c r="EU31" i="45"/>
  <c r="ET31" i="45"/>
  <c r="ES31" i="45"/>
  <c r="ER31" i="45"/>
  <c r="EQ31" i="45"/>
  <c r="EP31" i="45"/>
  <c r="EO31" i="45"/>
  <c r="EN31" i="45"/>
  <c r="EM31" i="45"/>
  <c r="EJ31" i="45"/>
  <c r="EI31" i="45"/>
  <c r="EH31" i="45"/>
  <c r="EG31" i="45"/>
  <c r="EF31" i="45"/>
  <c r="EE31" i="45"/>
  <c r="ED31" i="45"/>
  <c r="EC31" i="45"/>
  <c r="EB31" i="45"/>
  <c r="EA31" i="45"/>
  <c r="DZ31" i="45"/>
  <c r="DY31" i="45"/>
  <c r="DV31" i="45"/>
  <c r="DU31" i="45"/>
  <c r="DT31" i="45"/>
  <c r="DS31" i="45"/>
  <c r="DR31" i="45"/>
  <c r="DQ31" i="45"/>
  <c r="DP31" i="45"/>
  <c r="DO31" i="45"/>
  <c r="DN31" i="45"/>
  <c r="DM31" i="45"/>
  <c r="DL31" i="45"/>
  <c r="DK31" i="45"/>
  <c r="DH31" i="45"/>
  <c r="DG31" i="45"/>
  <c r="DF31" i="45"/>
  <c r="DE31" i="45"/>
  <c r="DD31" i="45"/>
  <c r="DC31" i="45"/>
  <c r="DB31" i="45"/>
  <c r="DA31" i="45"/>
  <c r="CZ31" i="45"/>
  <c r="CY31" i="45"/>
  <c r="CX31" i="45"/>
  <c r="CW31" i="45"/>
  <c r="CQ31" i="45"/>
  <c r="CP31" i="45"/>
  <c r="CO31" i="45"/>
  <c r="CN31" i="45"/>
  <c r="CM31" i="45"/>
  <c r="CL31" i="45"/>
  <c r="CK31" i="45"/>
  <c r="CJ31" i="45"/>
  <c r="CI31" i="45"/>
  <c r="CH31" i="45"/>
  <c r="CG31" i="45"/>
  <c r="CF31" i="45"/>
  <c r="CA31" i="45"/>
  <c r="BZ31" i="45"/>
  <c r="BY31" i="45"/>
  <c r="BX31" i="45"/>
  <c r="BW31" i="45"/>
  <c r="BV31" i="45"/>
  <c r="BU31" i="45"/>
  <c r="BT31" i="45"/>
  <c r="BS31" i="45"/>
  <c r="BR31" i="45"/>
  <c r="BQ31" i="45"/>
  <c r="BP31" i="45"/>
  <c r="BM31" i="45"/>
  <c r="BL31" i="45"/>
  <c r="BK31" i="45"/>
  <c r="BJ31" i="45"/>
  <c r="BI31" i="45"/>
  <c r="BH31" i="45"/>
  <c r="BG31" i="45"/>
  <c r="BF31" i="45"/>
  <c r="BE31" i="45"/>
  <c r="BD31" i="45"/>
  <c r="BC31" i="45"/>
  <c r="BB31" i="45"/>
  <c r="AW31" i="45"/>
  <c r="AV31" i="45"/>
  <c r="AU31" i="45"/>
  <c r="AT31" i="45"/>
  <c r="AS31" i="45"/>
  <c r="AR31" i="45"/>
  <c r="AQ31" i="45"/>
  <c r="AP31" i="45"/>
  <c r="AO31" i="45"/>
  <c r="AN31" i="45"/>
  <c r="AM31" i="45"/>
  <c r="AL31" i="45"/>
  <c r="EX27" i="45"/>
  <c r="EW27" i="45"/>
  <c r="EV27" i="45"/>
  <c r="EU27" i="45"/>
  <c r="ET27" i="45"/>
  <c r="ES27" i="45"/>
  <c r="ER27" i="45"/>
  <c r="EQ27" i="45"/>
  <c r="EP27" i="45"/>
  <c r="EO27" i="45"/>
  <c r="EN27" i="45"/>
  <c r="EM27" i="45"/>
  <c r="EJ27" i="45"/>
  <c r="EI27" i="45"/>
  <c r="EH27" i="45"/>
  <c r="EG27" i="45"/>
  <c r="EF27" i="45"/>
  <c r="EE27" i="45"/>
  <c r="ED27" i="45"/>
  <c r="EC27" i="45"/>
  <c r="EB27" i="45"/>
  <c r="EA27" i="45"/>
  <c r="DZ27" i="45"/>
  <c r="DY27" i="45"/>
  <c r="DV27" i="45"/>
  <c r="DU27" i="45"/>
  <c r="DT27" i="45"/>
  <c r="DS27" i="45"/>
  <c r="DR27" i="45"/>
  <c r="DQ27" i="45"/>
  <c r="DP27" i="45"/>
  <c r="DO27" i="45"/>
  <c r="DN27" i="45"/>
  <c r="DM27" i="45"/>
  <c r="DL27" i="45"/>
  <c r="DK27" i="45"/>
  <c r="DH27" i="45"/>
  <c r="DG27" i="45"/>
  <c r="DF27" i="45"/>
  <c r="DE27" i="45"/>
  <c r="DD27" i="45"/>
  <c r="DC27" i="45"/>
  <c r="DB27" i="45"/>
  <c r="DA27" i="45"/>
  <c r="CZ27" i="45"/>
  <c r="CY27" i="45"/>
  <c r="CX27" i="45"/>
  <c r="CW27" i="45"/>
  <c r="CQ27" i="45"/>
  <c r="CP27" i="45"/>
  <c r="CO27" i="45"/>
  <c r="CN27" i="45"/>
  <c r="CM27" i="45"/>
  <c r="CL27" i="45"/>
  <c r="CK27" i="45"/>
  <c r="CJ27" i="45"/>
  <c r="CI27" i="45"/>
  <c r="CH27" i="45"/>
  <c r="CG27" i="45"/>
  <c r="CF27" i="45"/>
  <c r="CA27" i="45"/>
  <c r="BZ27" i="45"/>
  <c r="BY27" i="45"/>
  <c r="BX27" i="45"/>
  <c r="BW27" i="45"/>
  <c r="BV27" i="45"/>
  <c r="BU27" i="45"/>
  <c r="BT27" i="45"/>
  <c r="BS27" i="45"/>
  <c r="BR27" i="45"/>
  <c r="BQ27" i="45"/>
  <c r="BP27" i="45"/>
  <c r="BM27" i="45"/>
  <c r="BL27" i="45"/>
  <c r="BK27" i="45"/>
  <c r="BJ27" i="45"/>
  <c r="BI27" i="45"/>
  <c r="BH27" i="45"/>
  <c r="BG27" i="45"/>
  <c r="BF27" i="45"/>
  <c r="BE27" i="45"/>
  <c r="BD27" i="45"/>
  <c r="BC27" i="45"/>
  <c r="BB27" i="45"/>
  <c r="AW27" i="45"/>
  <c r="AV27" i="45"/>
  <c r="AU27" i="45"/>
  <c r="AT27" i="45"/>
  <c r="AS27" i="45"/>
  <c r="AR27" i="45"/>
  <c r="AQ27" i="45"/>
  <c r="AP27" i="45"/>
  <c r="AO27" i="45"/>
  <c r="AN27" i="45"/>
  <c r="AM27" i="45"/>
  <c r="AL27" i="45"/>
  <c r="EX26" i="45"/>
  <c r="EW26" i="45"/>
  <c r="EV26" i="45"/>
  <c r="EU26" i="45"/>
  <c r="ET26" i="45"/>
  <c r="ES26" i="45"/>
  <c r="ER26" i="45"/>
  <c r="EQ26" i="45"/>
  <c r="EP26" i="45"/>
  <c r="EO26" i="45"/>
  <c r="EN26" i="45"/>
  <c r="EM26" i="45"/>
  <c r="EJ26" i="45"/>
  <c r="EI26" i="45"/>
  <c r="EH26" i="45"/>
  <c r="EG26" i="45"/>
  <c r="EF26" i="45"/>
  <c r="EE26" i="45"/>
  <c r="ED26" i="45"/>
  <c r="EC26" i="45"/>
  <c r="EB26" i="45"/>
  <c r="EA26" i="45"/>
  <c r="DZ26" i="45"/>
  <c r="DY26" i="45"/>
  <c r="DV26" i="45"/>
  <c r="DU26" i="45"/>
  <c r="DT26" i="45"/>
  <c r="DS26" i="45"/>
  <c r="DR26" i="45"/>
  <c r="DQ26" i="45"/>
  <c r="DP26" i="45"/>
  <c r="DO26" i="45"/>
  <c r="DN26" i="45"/>
  <c r="DM26" i="45"/>
  <c r="DL26" i="45"/>
  <c r="DK26" i="45"/>
  <c r="DH26" i="45"/>
  <c r="DG26" i="45"/>
  <c r="DF26" i="45"/>
  <c r="DE26" i="45"/>
  <c r="DD26" i="45"/>
  <c r="DC26" i="45"/>
  <c r="DB26" i="45"/>
  <c r="DA26" i="45"/>
  <c r="CZ26" i="45"/>
  <c r="CY26" i="45"/>
  <c r="CX26" i="45"/>
  <c r="CW26" i="45"/>
  <c r="CQ26" i="45"/>
  <c r="CP26" i="45"/>
  <c r="CO26" i="45"/>
  <c r="CN26" i="45"/>
  <c r="CM26" i="45"/>
  <c r="CL26" i="45"/>
  <c r="CK26" i="45"/>
  <c r="CJ26" i="45"/>
  <c r="CI26" i="45"/>
  <c r="CH26" i="45"/>
  <c r="CG26" i="45"/>
  <c r="CF26" i="45"/>
  <c r="CA26" i="45"/>
  <c r="BZ26" i="45"/>
  <c r="BY26" i="45"/>
  <c r="BX26" i="45"/>
  <c r="BW26" i="45"/>
  <c r="BV26" i="45"/>
  <c r="BU26" i="45"/>
  <c r="BT26" i="45"/>
  <c r="BS26" i="45"/>
  <c r="BR26" i="45"/>
  <c r="BQ26" i="45"/>
  <c r="BP26" i="45"/>
  <c r="BM26" i="45"/>
  <c r="BL26" i="45"/>
  <c r="BK26" i="45"/>
  <c r="BJ26" i="45"/>
  <c r="BI26" i="45"/>
  <c r="BH26" i="45"/>
  <c r="BG26" i="45"/>
  <c r="BF26" i="45"/>
  <c r="BE26" i="45"/>
  <c r="BD26" i="45"/>
  <c r="BC26" i="45"/>
  <c r="BB26" i="45"/>
  <c r="AW26" i="45"/>
  <c r="AV26" i="45"/>
  <c r="AU26" i="45"/>
  <c r="AT26" i="45"/>
  <c r="AS26" i="45"/>
  <c r="AR26" i="45"/>
  <c r="AQ26" i="45"/>
  <c r="AP26" i="45"/>
  <c r="AO26" i="45"/>
  <c r="AN26" i="45"/>
  <c r="AM26" i="45"/>
  <c r="AL26" i="45"/>
  <c r="EX25" i="45"/>
  <c r="EW25" i="45"/>
  <c r="EV25" i="45"/>
  <c r="EU25" i="45"/>
  <c r="ET25" i="45"/>
  <c r="ES25" i="45"/>
  <c r="ER25" i="45"/>
  <c r="EQ25" i="45"/>
  <c r="EP25" i="45"/>
  <c r="EO25" i="45"/>
  <c r="EN25" i="45"/>
  <c r="EM25" i="45"/>
  <c r="EJ25" i="45"/>
  <c r="EI25" i="45"/>
  <c r="EH25" i="45"/>
  <c r="EG25" i="45"/>
  <c r="EF25" i="45"/>
  <c r="EE25" i="45"/>
  <c r="ED25" i="45"/>
  <c r="EC25" i="45"/>
  <c r="EB25" i="45"/>
  <c r="EA25" i="45"/>
  <c r="DZ25" i="45"/>
  <c r="DY25" i="45"/>
  <c r="DV25" i="45"/>
  <c r="DU25" i="45"/>
  <c r="DT25" i="45"/>
  <c r="DS25" i="45"/>
  <c r="DR25" i="45"/>
  <c r="DQ25" i="45"/>
  <c r="DP25" i="45"/>
  <c r="DO25" i="45"/>
  <c r="DN25" i="45"/>
  <c r="DM25" i="45"/>
  <c r="DL25" i="45"/>
  <c r="DK25" i="45"/>
  <c r="DH25" i="45"/>
  <c r="DG25" i="45"/>
  <c r="DF25" i="45"/>
  <c r="DE25" i="45"/>
  <c r="DD25" i="45"/>
  <c r="DC25" i="45"/>
  <c r="DB25" i="45"/>
  <c r="DA25" i="45"/>
  <c r="CZ25" i="45"/>
  <c r="CY25" i="45"/>
  <c r="CX25" i="45"/>
  <c r="CW25" i="45"/>
  <c r="CQ25" i="45"/>
  <c r="CP25" i="45"/>
  <c r="CO25" i="45"/>
  <c r="CN25" i="45"/>
  <c r="CM25" i="45"/>
  <c r="CL25" i="45"/>
  <c r="CK25" i="45"/>
  <c r="CJ25" i="45"/>
  <c r="CI25" i="45"/>
  <c r="CH25" i="45"/>
  <c r="CG25" i="45"/>
  <c r="CF25" i="45"/>
  <c r="CA25" i="45"/>
  <c r="BZ25" i="45"/>
  <c r="BY25" i="45"/>
  <c r="BX25" i="45"/>
  <c r="BW25" i="45"/>
  <c r="BV25" i="45"/>
  <c r="BU25" i="45"/>
  <c r="BT25" i="45"/>
  <c r="BS25" i="45"/>
  <c r="BR25" i="45"/>
  <c r="BQ25" i="45"/>
  <c r="BP25" i="45"/>
  <c r="BM25" i="45"/>
  <c r="BL25" i="45"/>
  <c r="BK25" i="45"/>
  <c r="BJ25" i="45"/>
  <c r="BI25" i="45"/>
  <c r="BH25" i="45"/>
  <c r="BG25" i="45"/>
  <c r="BF25" i="45"/>
  <c r="BE25" i="45"/>
  <c r="BD25" i="45"/>
  <c r="BC25" i="45"/>
  <c r="BB25" i="45"/>
  <c r="AW25" i="45"/>
  <c r="AV25" i="45"/>
  <c r="AU25" i="45"/>
  <c r="AT25" i="45"/>
  <c r="AS25" i="45"/>
  <c r="AR25" i="45"/>
  <c r="AQ25" i="45"/>
  <c r="AP25" i="45"/>
  <c r="AO25" i="45"/>
  <c r="AN25" i="45"/>
  <c r="AM25" i="45"/>
  <c r="AL25" i="45"/>
  <c r="EX22" i="45"/>
  <c r="EW22" i="45"/>
  <c r="EW28" i="45" s="1"/>
  <c r="EV22" i="45"/>
  <c r="EU22" i="45"/>
  <c r="ET22" i="45"/>
  <c r="ES22" i="45"/>
  <c r="ES28" i="45" s="1"/>
  <c r="ER22" i="45"/>
  <c r="EQ22" i="45"/>
  <c r="EP22" i="45"/>
  <c r="EO22" i="45"/>
  <c r="EN22" i="45"/>
  <c r="EM22" i="45"/>
  <c r="EJ22" i="45"/>
  <c r="EI22" i="45"/>
  <c r="EH22" i="45"/>
  <c r="EG22" i="45"/>
  <c r="EF22" i="45"/>
  <c r="EE22" i="45"/>
  <c r="ED22" i="45"/>
  <c r="EC22" i="45"/>
  <c r="EB22" i="45"/>
  <c r="EA22" i="45"/>
  <c r="DZ22" i="45"/>
  <c r="DY22" i="45"/>
  <c r="DV22" i="45"/>
  <c r="DU22" i="45"/>
  <c r="DU28" i="45" s="1"/>
  <c r="DT22" i="45"/>
  <c r="DS22" i="45"/>
  <c r="DR22" i="45"/>
  <c r="DQ22" i="45"/>
  <c r="DQ28" i="45" s="1"/>
  <c r="DP22" i="45"/>
  <c r="DO22" i="45"/>
  <c r="DN22" i="45"/>
  <c r="DM22" i="45"/>
  <c r="DM28" i="45" s="1"/>
  <c r="DL22" i="45"/>
  <c r="DK22" i="45"/>
  <c r="DH22" i="45"/>
  <c r="DG22" i="45"/>
  <c r="DG28" i="45" s="1"/>
  <c r="DF22" i="45"/>
  <c r="DE22" i="45"/>
  <c r="DD22" i="45"/>
  <c r="DC22" i="45"/>
  <c r="DC28" i="45" s="1"/>
  <c r="DB22" i="45"/>
  <c r="DA22" i="45"/>
  <c r="CZ22" i="45"/>
  <c r="CY22" i="45"/>
  <c r="CY28" i="45" s="1"/>
  <c r="CX22" i="45"/>
  <c r="CW22" i="45"/>
  <c r="CQ22" i="45"/>
  <c r="CP22" i="45"/>
  <c r="CO22" i="45"/>
  <c r="CN22" i="45"/>
  <c r="CM22" i="45"/>
  <c r="CL22" i="45"/>
  <c r="CK22" i="45"/>
  <c r="CJ22" i="45"/>
  <c r="CI22" i="45"/>
  <c r="CH22" i="45"/>
  <c r="CG22" i="45"/>
  <c r="CF22" i="45"/>
  <c r="CA22" i="45"/>
  <c r="BZ22" i="45"/>
  <c r="BY22" i="45"/>
  <c r="BX22" i="45"/>
  <c r="BW22" i="45"/>
  <c r="BV22" i="45"/>
  <c r="BU22" i="45"/>
  <c r="BT22" i="45"/>
  <c r="BS22" i="45"/>
  <c r="BR22" i="45"/>
  <c r="BQ22" i="45"/>
  <c r="BP22" i="45"/>
  <c r="BM22" i="45"/>
  <c r="BL22" i="45"/>
  <c r="BK22" i="45"/>
  <c r="BJ22" i="45"/>
  <c r="BI22" i="45"/>
  <c r="BH22" i="45"/>
  <c r="BG22" i="45"/>
  <c r="BF22" i="45"/>
  <c r="BE22" i="45"/>
  <c r="BD22" i="45"/>
  <c r="BC22" i="45"/>
  <c r="BB22" i="45"/>
  <c r="AW22" i="45"/>
  <c r="AV22" i="45"/>
  <c r="AU22" i="45"/>
  <c r="AT22" i="45"/>
  <c r="AS22" i="45"/>
  <c r="AR22" i="45"/>
  <c r="AQ22" i="45"/>
  <c r="AP22" i="45"/>
  <c r="AO22" i="45"/>
  <c r="AN22" i="45"/>
  <c r="AM22" i="45"/>
  <c r="AL22" i="45"/>
  <c r="EY21" i="45"/>
  <c r="EK21" i="45"/>
  <c r="DW21" i="45"/>
  <c r="DI21" i="45"/>
  <c r="CS21" i="45"/>
  <c r="CB21" i="45"/>
  <c r="BN21" i="45"/>
  <c r="K15" i="54" s="1"/>
  <c r="M51" i="5" s="1"/>
  <c r="C9" i="58" s="1"/>
  <c r="E9" i="58" s="1"/>
  <c r="F9" i="58" s="1"/>
  <c r="AX21" i="45"/>
  <c r="EY20" i="45"/>
  <c r="EK20" i="45"/>
  <c r="DW20" i="45"/>
  <c r="DI20" i="45"/>
  <c r="CS20" i="45"/>
  <c r="CB20" i="45"/>
  <c r="BN20" i="45"/>
  <c r="K16" i="54" s="1"/>
  <c r="EY19" i="45"/>
  <c r="EK19" i="45"/>
  <c r="DW19" i="45"/>
  <c r="DI19" i="45"/>
  <c r="CS19" i="45"/>
  <c r="CB19" i="45"/>
  <c r="BN19" i="45"/>
  <c r="K8" i="54" s="1"/>
  <c r="EY15" i="45"/>
  <c r="EK15" i="45"/>
  <c r="DW15" i="45"/>
  <c r="DI15" i="45"/>
  <c r="CS15" i="45"/>
  <c r="CB15" i="45"/>
  <c r="BN15" i="45"/>
  <c r="AX15" i="45"/>
  <c r="EN11" i="45"/>
  <c r="EO11" i="45" s="1"/>
  <c r="EP11" i="45" s="1"/>
  <c r="EQ11" i="45" s="1"/>
  <c r="ER11" i="45" s="1"/>
  <c r="ES11" i="45" s="1"/>
  <c r="ET11" i="45" s="1"/>
  <c r="EU11" i="45" s="1"/>
  <c r="EV11" i="45" s="1"/>
  <c r="EW11" i="45" s="1"/>
  <c r="EX11" i="45" s="1"/>
  <c r="DZ11" i="45"/>
  <c r="EA11" i="45" s="1"/>
  <c r="EB11" i="45" s="1"/>
  <c r="EC11" i="45" s="1"/>
  <c r="ED11" i="45" s="1"/>
  <c r="EE11" i="45" s="1"/>
  <c r="EF11" i="45" s="1"/>
  <c r="EG11" i="45" s="1"/>
  <c r="EH11" i="45" s="1"/>
  <c r="EI11" i="45" s="1"/>
  <c r="EJ11" i="45" s="1"/>
  <c r="DL11" i="45"/>
  <c r="DM11" i="45" s="1"/>
  <c r="DN11" i="45" s="1"/>
  <c r="DO11" i="45" s="1"/>
  <c r="DP11" i="45" s="1"/>
  <c r="DQ11" i="45" s="1"/>
  <c r="DR11" i="45" s="1"/>
  <c r="DS11" i="45" s="1"/>
  <c r="DT11" i="45" s="1"/>
  <c r="DU11" i="45" s="1"/>
  <c r="DV11" i="45" s="1"/>
  <c r="CX11" i="45"/>
  <c r="CY11" i="45" s="1"/>
  <c r="CZ11" i="45" s="1"/>
  <c r="DA11" i="45" s="1"/>
  <c r="DB11" i="45" s="1"/>
  <c r="DC11" i="45" s="1"/>
  <c r="DD11" i="45" s="1"/>
  <c r="DE11" i="45" s="1"/>
  <c r="DF11" i="45" s="1"/>
  <c r="DG11" i="45" s="1"/>
  <c r="DH11" i="45" s="1"/>
  <c r="CG11" i="45"/>
  <c r="CH11" i="45" s="1"/>
  <c r="CI11" i="45" s="1"/>
  <c r="CJ11" i="45" s="1"/>
  <c r="CK11" i="45" s="1"/>
  <c r="CL11" i="45" s="1"/>
  <c r="CM11" i="45" s="1"/>
  <c r="CN11" i="45" s="1"/>
  <c r="CO11" i="45" s="1"/>
  <c r="CP11" i="45" s="1"/>
  <c r="CQ11" i="45" s="1"/>
  <c r="BQ11" i="45"/>
  <c r="BR11" i="45" s="1"/>
  <c r="BS11" i="45" s="1"/>
  <c r="BT11" i="45" s="1"/>
  <c r="BU11" i="45" s="1"/>
  <c r="BV11" i="45" s="1"/>
  <c r="BW11" i="45" s="1"/>
  <c r="BX11" i="45" s="1"/>
  <c r="BY11" i="45" s="1"/>
  <c r="BZ11" i="45" s="1"/>
  <c r="CA11" i="45" s="1"/>
  <c r="BC11" i="45"/>
  <c r="BD11" i="45" s="1"/>
  <c r="BE11" i="45" s="1"/>
  <c r="BF11" i="45" s="1"/>
  <c r="BG11" i="45" s="1"/>
  <c r="BH11" i="45" s="1"/>
  <c r="BI11" i="45" s="1"/>
  <c r="BJ11" i="45" s="1"/>
  <c r="BK11" i="45" s="1"/>
  <c r="BL11" i="45" s="1"/>
  <c r="BM11" i="45" s="1"/>
  <c r="AM11" i="45"/>
  <c r="AN11" i="45" s="1"/>
  <c r="AO11" i="45" s="1"/>
  <c r="AP11" i="45" s="1"/>
  <c r="AQ11" i="45" s="1"/>
  <c r="AR11" i="45" s="1"/>
  <c r="AS11" i="45" s="1"/>
  <c r="AT11" i="45" s="1"/>
  <c r="AU11" i="45" s="1"/>
  <c r="AV11" i="45" s="1"/>
  <c r="AW11" i="45" s="1"/>
  <c r="EY10" i="45"/>
  <c r="EX10" i="45"/>
  <c r="EW10" i="45"/>
  <c r="EV10" i="45"/>
  <c r="EU10" i="45"/>
  <c r="ET10" i="45"/>
  <c r="ES10" i="45"/>
  <c r="ER10" i="45"/>
  <c r="EQ10" i="45"/>
  <c r="EP10" i="45"/>
  <c r="EO10" i="45"/>
  <c r="EN10" i="45"/>
  <c r="EM10" i="45"/>
  <c r="EK10" i="45"/>
  <c r="EJ10" i="45"/>
  <c r="EI10" i="45"/>
  <c r="EH10" i="45"/>
  <c r="EG10" i="45"/>
  <c r="EF10" i="45"/>
  <c r="EE10" i="45"/>
  <c r="ED10" i="45"/>
  <c r="EC10" i="45"/>
  <c r="EB10" i="45"/>
  <c r="EA10" i="45"/>
  <c r="DZ10" i="45"/>
  <c r="DY10" i="45"/>
  <c r="DW10" i="45"/>
  <c r="DV10" i="45"/>
  <c r="DU10" i="45"/>
  <c r="DT10" i="45"/>
  <c r="DS10" i="45"/>
  <c r="DR10" i="45"/>
  <c r="DQ10" i="45"/>
  <c r="DP10" i="45"/>
  <c r="DO10" i="45"/>
  <c r="DN10" i="45"/>
  <c r="DM10" i="45"/>
  <c r="DL10" i="45"/>
  <c r="DK10" i="45"/>
  <c r="CX10" i="45"/>
  <c r="CW10" i="45"/>
  <c r="CQ10" i="45"/>
  <c r="CP10" i="45"/>
  <c r="CO10" i="45"/>
  <c r="CN10" i="45"/>
  <c r="CM10" i="45"/>
  <c r="CL10" i="45"/>
  <c r="CK10" i="45"/>
  <c r="CJ10" i="45"/>
  <c r="CI10" i="45"/>
  <c r="CH10" i="45"/>
  <c r="CG10" i="45"/>
  <c r="CF10" i="45"/>
  <c r="CB10" i="45"/>
  <c r="CA10" i="45"/>
  <c r="BZ10" i="45"/>
  <c r="BY10" i="45"/>
  <c r="BX10" i="45"/>
  <c r="BW10" i="45"/>
  <c r="BV10" i="45"/>
  <c r="BU10" i="45"/>
  <c r="BT10" i="45"/>
  <c r="BS10" i="45"/>
  <c r="BR10" i="45"/>
  <c r="BQ10" i="45"/>
  <c r="BP10" i="45"/>
  <c r="CG9" i="45"/>
  <c r="CH9" i="45" s="1"/>
  <c r="CI9" i="45" s="1"/>
  <c r="CJ9" i="45" s="1"/>
  <c r="CK9" i="45" s="1"/>
  <c r="CL9" i="45" s="1"/>
  <c r="CM9" i="45" s="1"/>
  <c r="CN9" i="45" s="1"/>
  <c r="CO9" i="45" s="1"/>
  <c r="CP9" i="45" s="1"/>
  <c r="CQ9" i="45" s="1"/>
  <c r="CR9" i="45" s="1"/>
  <c r="CS9" i="45" s="1"/>
  <c r="BQ9" i="45"/>
  <c r="BR9" i="45" s="1"/>
  <c r="BS9" i="45" s="1"/>
  <c r="BT9" i="45" s="1"/>
  <c r="BU9" i="45" s="1"/>
  <c r="BV9" i="45" s="1"/>
  <c r="BW9" i="45" s="1"/>
  <c r="BX9" i="45" s="1"/>
  <c r="BY9" i="45" s="1"/>
  <c r="BZ9" i="45" s="1"/>
  <c r="CA9" i="45" s="1"/>
  <c r="CB9" i="45" s="1"/>
  <c r="BC9" i="45"/>
  <c r="BD9" i="45" s="1"/>
  <c r="BE9" i="45" s="1"/>
  <c r="BF9" i="45" s="1"/>
  <c r="BG9" i="45" s="1"/>
  <c r="BH9" i="45" s="1"/>
  <c r="BI9" i="45" s="1"/>
  <c r="BJ9" i="45" s="1"/>
  <c r="BK9" i="45" s="1"/>
  <c r="BL9" i="45" s="1"/>
  <c r="BM9" i="45" s="1"/>
  <c r="BN9" i="45" s="1"/>
  <c r="AM9" i="45"/>
  <c r="AN9" i="45" s="1"/>
  <c r="AO9" i="45" s="1"/>
  <c r="AP9" i="45" s="1"/>
  <c r="AQ9" i="45" s="1"/>
  <c r="AR9" i="45" s="1"/>
  <c r="AS9" i="45" s="1"/>
  <c r="AT9" i="45" s="1"/>
  <c r="AU9" i="45" s="1"/>
  <c r="AV9" i="45" s="1"/>
  <c r="AW9" i="45" s="1"/>
  <c r="AX9" i="45" s="1"/>
  <c r="L38" i="39"/>
  <c r="K38" i="39"/>
  <c r="J38" i="39"/>
  <c r="I38" i="39"/>
  <c r="H38" i="39"/>
  <c r="G38" i="39"/>
  <c r="F38" i="39"/>
  <c r="E38" i="39"/>
  <c r="D38" i="39"/>
  <c r="C38" i="39"/>
  <c r="L37" i="39"/>
  <c r="K37" i="39"/>
  <c r="J37" i="39"/>
  <c r="I37" i="39"/>
  <c r="H37" i="39"/>
  <c r="G37" i="39"/>
  <c r="F37" i="39"/>
  <c r="L36" i="39"/>
  <c r="K36" i="39"/>
  <c r="H36" i="39"/>
  <c r="G36" i="39"/>
  <c r="F36" i="39"/>
  <c r="E36" i="39"/>
  <c r="D36" i="39"/>
  <c r="C36" i="39"/>
  <c r="G21" i="39"/>
  <c r="F21" i="39"/>
  <c r="E21" i="39"/>
  <c r="D21" i="39"/>
  <c r="C21" i="39"/>
  <c r="J18" i="39"/>
  <c r="O1" i="39"/>
  <c r="O3" i="39" s="1"/>
  <c r="E58" i="38"/>
  <c r="E108" i="38" s="1"/>
  <c r="D58" i="38"/>
  <c r="D108" i="38" s="1"/>
  <c r="C58" i="38"/>
  <c r="C108" i="38" s="1"/>
  <c r="E50" i="38"/>
  <c r="E49" i="38"/>
  <c r="D49" i="38"/>
  <c r="C49" i="38"/>
  <c r="E48" i="38"/>
  <c r="D48" i="38"/>
  <c r="E47" i="38"/>
  <c r="D47" i="38"/>
  <c r="F23" i="38"/>
  <c r="E23" i="38"/>
  <c r="D23" i="38"/>
  <c r="C23" i="38"/>
  <c r="F22" i="38"/>
  <c r="E22" i="38"/>
  <c r="D22" i="38"/>
  <c r="C22" i="38"/>
  <c r="F21" i="38"/>
  <c r="E21" i="38"/>
  <c r="D21" i="38"/>
  <c r="C21" i="38"/>
  <c r="F20" i="38"/>
  <c r="E20" i="38"/>
  <c r="D20" i="38"/>
  <c r="C20" i="38"/>
  <c r="F19" i="38"/>
  <c r="E19" i="38"/>
  <c r="D19" i="38"/>
  <c r="C19" i="38"/>
  <c r="F10" i="38"/>
  <c r="E10" i="38"/>
  <c r="D10" i="38"/>
  <c r="C10" i="38"/>
  <c r="F9" i="38"/>
  <c r="E9" i="38"/>
  <c r="D9" i="38"/>
  <c r="C9" i="38"/>
  <c r="F8" i="38"/>
  <c r="E8" i="38"/>
  <c r="D8" i="38"/>
  <c r="C8" i="38"/>
  <c r="T1" i="38"/>
  <c r="H44" i="43"/>
  <c r="I44" i="43" s="1"/>
  <c r="J44" i="43" s="1"/>
  <c r="E44" i="43"/>
  <c r="F44" i="43" s="1"/>
  <c r="H43" i="43"/>
  <c r="I43" i="43" s="1"/>
  <c r="J43" i="43" s="1"/>
  <c r="F43" i="43"/>
  <c r="E43" i="43"/>
  <c r="H17" i="43"/>
  <c r="H21" i="43" s="1"/>
  <c r="H25" i="43" s="1"/>
  <c r="H30" i="43" s="1"/>
  <c r="D16" i="43"/>
  <c r="I16" i="43" s="1"/>
  <c r="J16" i="43" s="1"/>
  <c r="D15" i="43"/>
  <c r="I15" i="43" s="1"/>
  <c r="J15" i="43" s="1"/>
  <c r="D14" i="43"/>
  <c r="I14" i="43" s="1"/>
  <c r="J14" i="43" s="1"/>
  <c r="D13" i="43"/>
  <c r="D12" i="43"/>
  <c r="I12" i="43" s="1"/>
  <c r="J12" i="43" s="1"/>
  <c r="D9" i="43"/>
  <c r="D8" i="43"/>
  <c r="I8" i="43" s="1"/>
  <c r="J8" i="43" s="1"/>
  <c r="D7" i="43"/>
  <c r="I7" i="43" s="1"/>
  <c r="J7" i="43" s="1"/>
  <c r="F102" i="38" l="1"/>
  <c r="G35" i="5"/>
  <c r="G32" i="5"/>
  <c r="G36" i="5" s="1"/>
  <c r="G37" i="5"/>
  <c r="K37" i="5"/>
  <c r="K35" i="5"/>
  <c r="K32" i="5"/>
  <c r="K36" i="5" s="1"/>
  <c r="L37" i="5"/>
  <c r="L32" i="5"/>
  <c r="L36" i="5" s="1"/>
  <c r="I37" i="5"/>
  <c r="I35" i="5"/>
  <c r="I32" i="5"/>
  <c r="I36" i="5" s="1"/>
  <c r="H218" i="24"/>
  <c r="K148" i="24"/>
  <c r="Q154" i="5" s="1"/>
  <c r="O148" i="24"/>
  <c r="U154" i="5" s="1"/>
  <c r="E39" i="29"/>
  <c r="N61" i="5"/>
  <c r="AS15" i="6"/>
  <c r="AR15" i="6" s="1"/>
  <c r="AS16" i="6" s="1"/>
  <c r="I44" i="5"/>
  <c r="I171" i="5" s="1"/>
  <c r="C40" i="38"/>
  <c r="L44" i="5"/>
  <c r="D23" i="43" s="1"/>
  <c r="I23" i="43" s="1"/>
  <c r="J23" i="43" s="1"/>
  <c r="F40" i="38"/>
  <c r="J16" i="9"/>
  <c r="C103" i="38"/>
  <c r="D102" i="38"/>
  <c r="J252" i="5"/>
  <c r="H180" i="24"/>
  <c r="H220" i="50"/>
  <c r="M16" i="9"/>
  <c r="F103" i="38"/>
  <c r="CS27" i="45"/>
  <c r="CX28" i="45"/>
  <c r="AY180" i="45"/>
  <c r="AZ180" i="45" s="1"/>
  <c r="CC230" i="45"/>
  <c r="CD230" i="45" s="1"/>
  <c r="CC100" i="46"/>
  <c r="CD100" i="46" s="1"/>
  <c r="AX60" i="45"/>
  <c r="DI33" i="45"/>
  <c r="AL34" i="45"/>
  <c r="AP34" i="45"/>
  <c r="AT34" i="45"/>
  <c r="BB34" i="45"/>
  <c r="BJ34" i="45"/>
  <c r="BP34" i="45"/>
  <c r="BT34" i="45"/>
  <c r="BX34" i="45"/>
  <c r="CJ34" i="45"/>
  <c r="CN34" i="45"/>
  <c r="BT72" i="45"/>
  <c r="BX72" i="45"/>
  <c r="CZ61" i="45"/>
  <c r="DH61" i="45"/>
  <c r="EP72" i="45"/>
  <c r="DI62" i="45"/>
  <c r="H23" i="38"/>
  <c r="AX63" i="45"/>
  <c r="K121" i="54"/>
  <c r="K142" i="54" s="1"/>
  <c r="AX58" i="45"/>
  <c r="G163" i="24"/>
  <c r="M169" i="5" s="1"/>
  <c r="T73" i="9"/>
  <c r="I46" i="39" s="1"/>
  <c r="P73" i="9"/>
  <c r="E46" i="39" s="1"/>
  <c r="Q73" i="9"/>
  <c r="F46" i="39" s="1"/>
  <c r="S73" i="9"/>
  <c r="H46" i="39" s="1"/>
  <c r="O73" i="9"/>
  <c r="D46" i="39" s="1"/>
  <c r="V73" i="9"/>
  <c r="K46" i="39" s="1"/>
  <c r="R73" i="9"/>
  <c r="G46" i="39" s="1"/>
  <c r="U73" i="9"/>
  <c r="J46" i="39" s="1"/>
  <c r="F62" i="9"/>
  <c r="H24" i="5"/>
  <c r="T147" i="48"/>
  <c r="T33" i="48"/>
  <c r="M33" i="48"/>
  <c r="T61" i="48"/>
  <c r="X61" i="48" s="1"/>
  <c r="AA61" i="48" s="1"/>
  <c r="AB61" i="48" s="1"/>
  <c r="AD61" i="48" s="1"/>
  <c r="M61" i="48"/>
  <c r="E93" i="48"/>
  <c r="T75" i="48"/>
  <c r="M75" i="48"/>
  <c r="T108" i="48"/>
  <c r="M108" i="48"/>
  <c r="T86" i="48"/>
  <c r="M86" i="48"/>
  <c r="T101" i="48"/>
  <c r="M101" i="48"/>
  <c r="T129" i="48"/>
  <c r="M129" i="48"/>
  <c r="T150" i="48"/>
  <c r="M150" i="48"/>
  <c r="E30" i="48"/>
  <c r="T6" i="48"/>
  <c r="M6" i="48"/>
  <c r="T53" i="48"/>
  <c r="M53" i="48"/>
  <c r="T57" i="48"/>
  <c r="M57" i="48"/>
  <c r="T123" i="48"/>
  <c r="M123" i="48"/>
  <c r="T50" i="48"/>
  <c r="M50" i="48"/>
  <c r="E120" i="48"/>
  <c r="T96" i="48"/>
  <c r="M96" i="48"/>
  <c r="T164" i="48"/>
  <c r="M164" i="48"/>
  <c r="EY25" i="45"/>
  <c r="AY19" i="45"/>
  <c r="AZ19" i="45" s="1"/>
  <c r="E110" i="29"/>
  <c r="E109" i="29" s="1"/>
  <c r="E103" i="29" s="1"/>
  <c r="AY78" i="45"/>
  <c r="AZ78" i="45" s="1"/>
  <c r="AY80" i="45"/>
  <c r="AZ80" i="45" s="1"/>
  <c r="CT120" i="45"/>
  <c r="CU120" i="45" s="1"/>
  <c r="CC163" i="45"/>
  <c r="CD163" i="45" s="1"/>
  <c r="CC170" i="45"/>
  <c r="CD170" i="45" s="1"/>
  <c r="CC172" i="45"/>
  <c r="CD172" i="45" s="1"/>
  <c r="AY188" i="45"/>
  <c r="AZ188" i="45" s="1"/>
  <c r="CC47" i="46"/>
  <c r="CD47" i="46" s="1"/>
  <c r="CC49" i="46"/>
  <c r="CD49" i="46" s="1"/>
  <c r="CC65" i="46"/>
  <c r="CD65" i="46" s="1"/>
  <c r="CC102" i="46"/>
  <c r="CD102" i="46" s="1"/>
  <c r="CC103" i="46"/>
  <c r="CD103" i="46" s="1"/>
  <c r="CC105" i="46"/>
  <c r="CD105" i="46" s="1"/>
  <c r="CC109" i="46"/>
  <c r="CD109" i="46" s="1"/>
  <c r="CC117" i="46"/>
  <c r="CD117" i="46" s="1"/>
  <c r="CC124" i="46"/>
  <c r="CD124" i="46" s="1"/>
  <c r="CC128" i="46"/>
  <c r="CD128" i="46" s="1"/>
  <c r="CC133" i="46"/>
  <c r="CD133" i="46" s="1"/>
  <c r="CC142" i="46"/>
  <c r="CD142" i="46" s="1"/>
  <c r="CC145" i="46"/>
  <c r="CD145" i="46" s="1"/>
  <c r="I24" i="5"/>
  <c r="J24" i="5"/>
  <c r="C6" i="4"/>
  <c r="T6" i="4" s="1"/>
  <c r="J28" i="5"/>
  <c r="CB31" i="45"/>
  <c r="EK31" i="45"/>
  <c r="EJ34" i="45"/>
  <c r="EK69" i="45"/>
  <c r="L76" i="5"/>
  <c r="L28" i="5" s="1"/>
  <c r="CB98" i="45"/>
  <c r="CT182" i="45"/>
  <c r="CU182" i="45" s="1"/>
  <c r="CT183" i="45"/>
  <c r="CU183" i="45" s="1"/>
  <c r="CC194" i="45"/>
  <c r="CD194" i="45" s="1"/>
  <c r="AY47" i="46"/>
  <c r="AZ47" i="46" s="1"/>
  <c r="K24" i="5"/>
  <c r="V12" i="6"/>
  <c r="V10" i="6" s="1"/>
  <c r="K28" i="5"/>
  <c r="BF70" i="16"/>
  <c r="E10" i="35"/>
  <c r="AN70" i="35"/>
  <c r="H8" i="36"/>
  <c r="H9" i="36" s="1"/>
  <c r="H10" i="36" s="1"/>
  <c r="H11" i="36" s="1"/>
  <c r="BB28" i="45"/>
  <c r="P10" i="16"/>
  <c r="P202" i="16" s="1"/>
  <c r="AI22" i="35"/>
  <c r="AI34" i="35"/>
  <c r="BC34" i="45"/>
  <c r="CG34" i="45"/>
  <c r="BK34" i="45"/>
  <c r="CO34" i="45"/>
  <c r="BG34" i="45"/>
  <c r="CK34" i="45"/>
  <c r="CZ44" i="45"/>
  <c r="CZ28" i="45"/>
  <c r="DD28" i="45"/>
  <c r="DH28" i="45"/>
  <c r="EB28" i="45"/>
  <c r="EF28" i="45"/>
  <c r="EP28" i="45"/>
  <c r="ET28" i="45"/>
  <c r="EX28" i="45"/>
  <c r="K146" i="50"/>
  <c r="K202" i="50" s="1"/>
  <c r="AY47" i="45"/>
  <c r="AZ47" i="45" s="1"/>
  <c r="CT51" i="45"/>
  <c r="CU51" i="45" s="1"/>
  <c r="CT106" i="45"/>
  <c r="CU106" i="45" s="1"/>
  <c r="CT118" i="45"/>
  <c r="CU118" i="45" s="1"/>
  <c r="CT211" i="45"/>
  <c r="CU211" i="45" s="1"/>
  <c r="CT213" i="45"/>
  <c r="CU213" i="45" s="1"/>
  <c r="CC216" i="45"/>
  <c r="CD216" i="45" s="1"/>
  <c r="CT52" i="45"/>
  <c r="CU52" i="45" s="1"/>
  <c r="CT117" i="45"/>
  <c r="CU117" i="45" s="1"/>
  <c r="CT173" i="45"/>
  <c r="CU173" i="45" s="1"/>
  <c r="CT212" i="45"/>
  <c r="CU212" i="45" s="1"/>
  <c r="DK28" i="45"/>
  <c r="DS34" i="45"/>
  <c r="DY28" i="45"/>
  <c r="EC28" i="45"/>
  <c r="EG28" i="45"/>
  <c r="EM28" i="45"/>
  <c r="EQ28" i="45"/>
  <c r="EU28" i="45"/>
  <c r="CS60" i="45"/>
  <c r="AO28" i="45"/>
  <c r="AW28" i="45"/>
  <c r="BS28" i="45"/>
  <c r="CI72" i="45"/>
  <c r="DU61" i="45"/>
  <c r="EY74" i="45"/>
  <c r="CC47" i="45"/>
  <c r="CD47" i="45" s="1"/>
  <c r="M77" i="5"/>
  <c r="E124" i="29"/>
  <c r="CT121" i="45"/>
  <c r="CU121" i="45" s="1"/>
  <c r="CT122" i="45"/>
  <c r="CU122" i="45" s="1"/>
  <c r="CT123" i="45"/>
  <c r="CU123" i="45" s="1"/>
  <c r="CT126" i="45"/>
  <c r="CU126" i="45" s="1"/>
  <c r="CT130" i="45"/>
  <c r="CU130" i="45" s="1"/>
  <c r="CT137" i="45"/>
  <c r="CU137" i="45" s="1"/>
  <c r="CT141" i="45"/>
  <c r="CU141" i="45" s="1"/>
  <c r="CT142" i="45"/>
  <c r="CU142" i="45" s="1"/>
  <c r="CT144" i="45"/>
  <c r="CU144" i="45" s="1"/>
  <c r="CT150" i="45"/>
  <c r="CU150" i="45" s="1"/>
  <c r="CT156" i="45"/>
  <c r="CU156" i="45" s="1"/>
  <c r="CT160" i="45"/>
  <c r="CU160" i="45" s="1"/>
  <c r="CC162" i="45"/>
  <c r="CD162" i="45" s="1"/>
  <c r="CT181" i="45"/>
  <c r="CU181" i="45" s="1"/>
  <c r="CC183" i="45"/>
  <c r="CD183" i="45" s="1"/>
  <c r="CC186" i="45"/>
  <c r="CD186" i="45" s="1"/>
  <c r="CC14" i="46"/>
  <c r="CD14" i="46" s="1"/>
  <c r="AY20" i="46"/>
  <c r="AZ20" i="46" s="1"/>
  <c r="CC39" i="46"/>
  <c r="CD39" i="46" s="1"/>
  <c r="CC41" i="46"/>
  <c r="CD41" i="46" s="1"/>
  <c r="AY51" i="46"/>
  <c r="AZ51" i="46" s="1"/>
  <c r="AY67" i="46"/>
  <c r="AZ67" i="46" s="1"/>
  <c r="CC147" i="46"/>
  <c r="CD147" i="46" s="1"/>
  <c r="CC152" i="46"/>
  <c r="CD152" i="46" s="1"/>
  <c r="CC155" i="46"/>
  <c r="CD155" i="46" s="1"/>
  <c r="E153" i="48"/>
  <c r="D12" i="52"/>
  <c r="T52" i="9"/>
  <c r="Z38" i="16"/>
  <c r="Y38" i="16" s="1"/>
  <c r="G10" i="35"/>
  <c r="G178" i="35" s="1"/>
  <c r="AY31" i="46"/>
  <c r="AZ31" i="46" s="1"/>
  <c r="AY33" i="46"/>
  <c r="AZ33" i="46" s="1"/>
  <c r="AQ10" i="16"/>
  <c r="AQ202" i="16" s="1"/>
  <c r="H11" i="16"/>
  <c r="G11" i="16" s="1"/>
  <c r="AI46" i="16"/>
  <c r="AN86" i="35"/>
  <c r="DW31" i="45"/>
  <c r="CB32" i="45"/>
  <c r="EK32" i="45"/>
  <c r="AY37" i="45"/>
  <c r="AZ37" i="45" s="1"/>
  <c r="DW71" i="45"/>
  <c r="AQ72" i="45"/>
  <c r="CG61" i="45"/>
  <c r="CK61" i="45"/>
  <c r="CO61" i="45"/>
  <c r="DK72" i="45"/>
  <c r="DO72" i="45"/>
  <c r="DS72" i="45"/>
  <c r="CC51" i="45"/>
  <c r="CD51" i="45" s="1"/>
  <c r="CC104" i="45"/>
  <c r="CD104" i="45" s="1"/>
  <c r="CT162" i="45"/>
  <c r="CU162" i="45" s="1"/>
  <c r="CT166" i="45"/>
  <c r="CU166" i="45" s="1"/>
  <c r="CC173" i="45"/>
  <c r="CD173" i="45" s="1"/>
  <c r="CC178" i="45"/>
  <c r="CD178" i="45" s="1"/>
  <c r="CC195" i="45"/>
  <c r="CD195" i="45" s="1"/>
  <c r="CC211" i="45"/>
  <c r="CD211" i="45" s="1"/>
  <c r="CC215" i="45"/>
  <c r="CD215" i="45" s="1"/>
  <c r="AY221" i="45"/>
  <c r="AZ221" i="45" s="1"/>
  <c r="CC225" i="45"/>
  <c r="CD225" i="45" s="1"/>
  <c r="AY39" i="46"/>
  <c r="AZ39" i="46" s="1"/>
  <c r="AY83" i="46"/>
  <c r="AZ83" i="46" s="1"/>
  <c r="CC92" i="46"/>
  <c r="CD92" i="46" s="1"/>
  <c r="CC93" i="46"/>
  <c r="CD93" i="46" s="1"/>
  <c r="CC95" i="46"/>
  <c r="CD95" i="46" s="1"/>
  <c r="CC97" i="46"/>
  <c r="CD97" i="46" s="1"/>
  <c r="U185" i="24"/>
  <c r="G246" i="50"/>
  <c r="AL10" i="16"/>
  <c r="AL202" i="16" s="1"/>
  <c r="BB98" i="16"/>
  <c r="BB99" i="16" s="1"/>
  <c r="BB100" i="16" s="1"/>
  <c r="BB101" i="16" s="1"/>
  <c r="BB102" i="16" s="1"/>
  <c r="BB103" i="16" s="1"/>
  <c r="BB104" i="16" s="1"/>
  <c r="BB105" i="16" s="1"/>
  <c r="BB106" i="16" s="1"/>
  <c r="AN65" i="35"/>
  <c r="AN82" i="35"/>
  <c r="L171" i="5"/>
  <c r="L172" i="5" s="1"/>
  <c r="CC16" i="46"/>
  <c r="CD16" i="46" s="1"/>
  <c r="CC35" i="46"/>
  <c r="CD35" i="46" s="1"/>
  <c r="CC37" i="46"/>
  <c r="CD37" i="46" s="1"/>
  <c r="AY43" i="46"/>
  <c r="AZ43" i="46" s="1"/>
  <c r="CC51" i="46"/>
  <c r="CD51" i="46" s="1"/>
  <c r="CC53" i="46"/>
  <c r="CD53" i="46" s="1"/>
  <c r="CC55" i="46"/>
  <c r="CD55" i="46" s="1"/>
  <c r="CC57" i="46"/>
  <c r="CD57" i="46" s="1"/>
  <c r="CC58" i="46"/>
  <c r="CD58" i="46" s="1"/>
  <c r="CC59" i="46"/>
  <c r="CD59" i="46" s="1"/>
  <c r="CC60" i="46"/>
  <c r="CD60" i="46" s="1"/>
  <c r="CC61" i="46"/>
  <c r="CD61" i="46" s="1"/>
  <c r="CC62" i="46"/>
  <c r="CD62" i="46" s="1"/>
  <c r="CC63" i="46"/>
  <c r="CD63" i="46" s="1"/>
  <c r="CC108" i="46"/>
  <c r="CD108" i="46" s="1"/>
  <c r="CC140" i="46"/>
  <c r="CD140" i="46" s="1"/>
  <c r="CT71" i="46"/>
  <c r="CU71" i="46" s="1"/>
  <c r="CT73" i="46"/>
  <c r="CU73" i="46" s="1"/>
  <c r="CC82" i="46"/>
  <c r="CD82" i="46" s="1"/>
  <c r="AY100" i="46"/>
  <c r="AZ100" i="46" s="1"/>
  <c r="CC101" i="46"/>
  <c r="CD101" i="46" s="1"/>
  <c r="AY108" i="46"/>
  <c r="AZ108" i="46" s="1"/>
  <c r="AY14" i="46"/>
  <c r="AZ14" i="46" s="1"/>
  <c r="DI25" i="46"/>
  <c r="AY16" i="46"/>
  <c r="AZ16" i="46" s="1"/>
  <c r="CC29" i="46"/>
  <c r="CD29" i="46" s="1"/>
  <c r="AY35" i="46"/>
  <c r="AZ35" i="46" s="1"/>
  <c r="CC43" i="46"/>
  <c r="CD43" i="46" s="1"/>
  <c r="CC45" i="46"/>
  <c r="CD45" i="46" s="1"/>
  <c r="CC68" i="46"/>
  <c r="CD68" i="46" s="1"/>
  <c r="CC70" i="46"/>
  <c r="CD70" i="46" s="1"/>
  <c r="CC84" i="46"/>
  <c r="CD84" i="46" s="1"/>
  <c r="CC86" i="46"/>
  <c r="CD86" i="46" s="1"/>
  <c r="CC88" i="46"/>
  <c r="CD88" i="46" s="1"/>
  <c r="CC89" i="46"/>
  <c r="CD89" i="46" s="1"/>
  <c r="AY101" i="46"/>
  <c r="AZ101" i="46" s="1"/>
  <c r="CC129" i="46"/>
  <c r="CD129" i="46" s="1"/>
  <c r="CC148" i="46"/>
  <c r="CD148" i="46" s="1"/>
  <c r="CT157" i="46"/>
  <c r="CU157" i="46" s="1"/>
  <c r="ES34" i="45"/>
  <c r="CC19" i="45"/>
  <c r="CD19" i="45" s="1"/>
  <c r="CX34" i="45"/>
  <c r="CX54" i="45"/>
  <c r="EH54" i="45"/>
  <c r="EH61" i="45"/>
  <c r="CB69" i="45"/>
  <c r="CB58" i="45"/>
  <c r="CM72" i="45"/>
  <c r="CM44" i="45"/>
  <c r="EY62" i="45"/>
  <c r="EY73" i="45"/>
  <c r="BE28" i="45"/>
  <c r="BM28" i="45"/>
  <c r="CI28" i="45"/>
  <c r="CQ28" i="45"/>
  <c r="AW34" i="45"/>
  <c r="CM34" i="45"/>
  <c r="DU34" i="45"/>
  <c r="AY226" i="45"/>
  <c r="AZ226" i="45" s="1"/>
  <c r="K129" i="54"/>
  <c r="EY22" i="45"/>
  <c r="K80" i="54"/>
  <c r="M72" i="5"/>
  <c r="C16" i="58" s="1"/>
  <c r="E16" i="58" s="1"/>
  <c r="F16" i="58" s="1"/>
  <c r="K146" i="54"/>
  <c r="K98" i="54"/>
  <c r="EP44" i="45"/>
  <c r="DI74" i="45"/>
  <c r="AW54" i="45"/>
  <c r="CT103" i="45"/>
  <c r="CU103" i="45" s="1"/>
  <c r="CT104" i="45"/>
  <c r="CU104" i="45" s="1"/>
  <c r="CC108" i="45"/>
  <c r="CD108" i="45" s="1"/>
  <c r="CC109" i="45"/>
  <c r="CD109" i="45" s="1"/>
  <c r="CC110" i="45"/>
  <c r="CD110" i="45" s="1"/>
  <c r="CC113" i="45"/>
  <c r="CD113" i="45" s="1"/>
  <c r="CT127" i="45"/>
  <c r="CU127" i="45" s="1"/>
  <c r="CT128" i="45"/>
  <c r="CU128" i="45" s="1"/>
  <c r="CC132" i="45"/>
  <c r="CD132" i="45" s="1"/>
  <c r="CT145" i="45"/>
  <c r="CU145" i="45" s="1"/>
  <c r="CT146" i="45"/>
  <c r="CU146" i="45" s="1"/>
  <c r="CT147" i="45"/>
  <c r="CU147" i="45" s="1"/>
  <c r="CC151" i="45"/>
  <c r="CD151" i="45" s="1"/>
  <c r="CC152" i="45"/>
  <c r="CD152" i="45" s="1"/>
  <c r="CC153" i="45"/>
  <c r="CD153" i="45" s="1"/>
  <c r="CT163" i="45"/>
  <c r="CU163" i="45" s="1"/>
  <c r="CC179" i="45"/>
  <c r="CD179" i="45" s="1"/>
  <c r="CC187" i="45"/>
  <c r="CD187" i="45" s="1"/>
  <c r="AY193" i="45"/>
  <c r="AZ193" i="45" s="1"/>
  <c r="CT195" i="45"/>
  <c r="CU195" i="45" s="1"/>
  <c r="CC196" i="45"/>
  <c r="CD196" i="45" s="1"/>
  <c r="CC201" i="45"/>
  <c r="CD201" i="45" s="1"/>
  <c r="CC203" i="45"/>
  <c r="CD203" i="45" s="1"/>
  <c r="CC204" i="45"/>
  <c r="CD204" i="45" s="1"/>
  <c r="AY212" i="45"/>
  <c r="AZ212" i="45" s="1"/>
  <c r="CT216" i="45"/>
  <c r="CU216" i="45" s="1"/>
  <c r="CC219" i="45"/>
  <c r="CD219" i="45" s="1"/>
  <c r="CC220" i="45"/>
  <c r="CD220" i="45" s="1"/>
  <c r="CC229" i="45"/>
  <c r="CD229" i="45" s="1"/>
  <c r="K128" i="54"/>
  <c r="CS32" i="45"/>
  <c r="EY32" i="45"/>
  <c r="EY27" i="45"/>
  <c r="BI28" i="45"/>
  <c r="CM28" i="45"/>
  <c r="AS34" i="45"/>
  <c r="BM34" i="45"/>
  <c r="CI34" i="45"/>
  <c r="DC72" i="45"/>
  <c r="EA34" i="45"/>
  <c r="EW34" i="45"/>
  <c r="AS54" i="45"/>
  <c r="M49" i="5"/>
  <c r="K23" i="54"/>
  <c r="L23" i="54"/>
  <c r="K9" i="54"/>
  <c r="M50" i="5"/>
  <c r="K31" i="54"/>
  <c r="DB34" i="45"/>
  <c r="DF34" i="45"/>
  <c r="M68" i="5"/>
  <c r="K90" i="54"/>
  <c r="K37" i="54"/>
  <c r="DW69" i="45"/>
  <c r="M69" i="5"/>
  <c r="K101" i="54"/>
  <c r="K45" i="54"/>
  <c r="EK71" i="45"/>
  <c r="AN65" i="45"/>
  <c r="AN83" i="45" s="1"/>
  <c r="AN238" i="45" s="1"/>
  <c r="AN250" i="45" s="1"/>
  <c r="AV72" i="45"/>
  <c r="BV65" i="45"/>
  <c r="CX72" i="45"/>
  <c r="EH65" i="45"/>
  <c r="EH238" i="45" s="1"/>
  <c r="EH250" i="45" s="1"/>
  <c r="K97" i="54"/>
  <c r="K145" i="54"/>
  <c r="M71" i="5"/>
  <c r="DH44" i="45"/>
  <c r="DH65" i="45" s="1"/>
  <c r="DH66" i="45" s="1"/>
  <c r="CT47" i="45"/>
  <c r="CU47" i="45" s="1"/>
  <c r="EY50" i="45"/>
  <c r="EY54" i="45" s="1"/>
  <c r="CC48" i="45"/>
  <c r="CD48" i="45" s="1"/>
  <c r="CI54" i="45"/>
  <c r="CT107" i="45"/>
  <c r="CU107" i="45" s="1"/>
  <c r="CT108" i="45"/>
  <c r="CU108" i="45" s="1"/>
  <c r="CT112" i="45"/>
  <c r="CU112" i="45" s="1"/>
  <c r="CT113" i="45"/>
  <c r="CU113" i="45" s="1"/>
  <c r="CT114" i="45"/>
  <c r="CU114" i="45" s="1"/>
  <c r="CT115" i="45"/>
  <c r="CU115" i="45" s="1"/>
  <c r="CC117" i="45"/>
  <c r="CD117" i="45" s="1"/>
  <c r="CC118" i="45"/>
  <c r="CD118" i="45" s="1"/>
  <c r="CC119" i="45"/>
  <c r="CD119" i="45" s="1"/>
  <c r="CT131" i="45"/>
  <c r="CU131" i="45" s="1"/>
  <c r="CT132" i="45"/>
  <c r="CU132" i="45" s="1"/>
  <c r="CT135" i="45"/>
  <c r="CU135" i="45" s="1"/>
  <c r="CC137" i="45"/>
  <c r="CD137" i="45" s="1"/>
  <c r="CT151" i="45"/>
  <c r="CU151" i="45" s="1"/>
  <c r="CT152" i="45"/>
  <c r="CU152" i="45" s="1"/>
  <c r="CC156" i="45"/>
  <c r="CD156" i="45" s="1"/>
  <c r="CC158" i="45"/>
  <c r="CD158" i="45" s="1"/>
  <c r="CC171" i="45"/>
  <c r="CD171" i="45" s="1"/>
  <c r="AY177" i="45"/>
  <c r="AZ177" i="45" s="1"/>
  <c r="CT179" i="45"/>
  <c r="CU179" i="45" s="1"/>
  <c r="AY185" i="45"/>
  <c r="AZ185" i="45" s="1"/>
  <c r="CT187" i="45"/>
  <c r="CU187" i="45" s="1"/>
  <c r="CC188" i="45"/>
  <c r="CD188" i="45" s="1"/>
  <c r="CT197" i="45"/>
  <c r="CU197" i="45" s="1"/>
  <c r="CT201" i="45"/>
  <c r="CU201" i="45" s="1"/>
  <c r="CT203" i="45"/>
  <c r="CU203" i="45" s="1"/>
  <c r="CC207" i="45"/>
  <c r="CD207" i="45" s="1"/>
  <c r="CT219" i="45"/>
  <c r="CU219" i="45" s="1"/>
  <c r="CT220" i="45"/>
  <c r="CU220" i="45" s="1"/>
  <c r="CT225" i="45"/>
  <c r="CU225" i="45" s="1"/>
  <c r="CT227" i="45"/>
  <c r="CU227" i="45" s="1"/>
  <c r="CT229" i="45"/>
  <c r="CU229" i="45" s="1"/>
  <c r="CT116" i="45"/>
  <c r="CU116" i="45" s="1"/>
  <c r="CT136" i="45"/>
  <c r="CU136" i="45" s="1"/>
  <c r="CT154" i="45"/>
  <c r="CU154" i="45" s="1"/>
  <c r="CT155" i="45"/>
  <c r="CU155" i="45" s="1"/>
  <c r="AY168" i="45"/>
  <c r="AZ168" i="45" s="1"/>
  <c r="AY196" i="45"/>
  <c r="AZ196" i="45" s="1"/>
  <c r="CT207" i="45"/>
  <c r="CU207" i="45" s="1"/>
  <c r="CT209" i="45"/>
  <c r="CU209" i="45" s="1"/>
  <c r="CC212" i="45"/>
  <c r="CD212" i="45" s="1"/>
  <c r="AY219" i="45"/>
  <c r="AZ219" i="45" s="1"/>
  <c r="CT230" i="45"/>
  <c r="CU230" i="45" s="1"/>
  <c r="I223" i="5"/>
  <c r="D27" i="38"/>
  <c r="L94" i="5"/>
  <c r="L144" i="5" s="1"/>
  <c r="C27" i="38"/>
  <c r="H12" i="5"/>
  <c r="I82" i="5"/>
  <c r="C47" i="38"/>
  <c r="G154" i="5"/>
  <c r="G171" i="5" s="1"/>
  <c r="E27" i="38"/>
  <c r="H74" i="5"/>
  <c r="D42" i="38"/>
  <c r="J135" i="5"/>
  <c r="K93" i="5"/>
  <c r="D20" i="4" s="1"/>
  <c r="D39" i="4" s="1"/>
  <c r="D40" i="4" s="1"/>
  <c r="D25" i="4" s="1"/>
  <c r="K135" i="5"/>
  <c r="K12" i="5"/>
  <c r="D16" i="4"/>
  <c r="D44" i="4" s="1"/>
  <c r="I96" i="5"/>
  <c r="I146" i="5" s="1"/>
  <c r="J110" i="5"/>
  <c r="J115" i="5" s="1"/>
  <c r="H170" i="5"/>
  <c r="H82" i="5"/>
  <c r="K94" i="5"/>
  <c r="K144" i="5" s="1"/>
  <c r="L96" i="5"/>
  <c r="L105" i="5" s="1"/>
  <c r="H177" i="50"/>
  <c r="N196" i="5" s="1"/>
  <c r="H200" i="50"/>
  <c r="H60" i="8"/>
  <c r="E50" i="53" s="1"/>
  <c r="U70" i="9"/>
  <c r="M187" i="50"/>
  <c r="M210" i="50"/>
  <c r="N187" i="50"/>
  <c r="N210" i="50"/>
  <c r="K187" i="50"/>
  <c r="K210" i="50"/>
  <c r="O187" i="50"/>
  <c r="O210" i="50"/>
  <c r="L187" i="50"/>
  <c r="L210" i="50"/>
  <c r="P187" i="50"/>
  <c r="P210" i="50"/>
  <c r="I241" i="50"/>
  <c r="I246" i="50" s="1"/>
  <c r="I253" i="50"/>
  <c r="I258" i="50" s="1"/>
  <c r="F49" i="38"/>
  <c r="CB71" i="45"/>
  <c r="CC39" i="45"/>
  <c r="CD39" i="45" s="1"/>
  <c r="DO28" i="45"/>
  <c r="DO34" i="45"/>
  <c r="DS28" i="45"/>
  <c r="N47" i="5"/>
  <c r="CB27" i="45"/>
  <c r="AM72" i="45"/>
  <c r="AM44" i="45"/>
  <c r="AM61" i="45"/>
  <c r="AU72" i="45"/>
  <c r="AU44" i="45"/>
  <c r="BC61" i="45"/>
  <c r="BC72" i="45"/>
  <c r="BG61" i="45"/>
  <c r="BG72" i="45"/>
  <c r="BK61" i="45"/>
  <c r="BK72" i="45"/>
  <c r="BQ44" i="45"/>
  <c r="BQ61" i="45"/>
  <c r="BU61" i="45"/>
  <c r="BU44" i="45"/>
  <c r="DY61" i="45"/>
  <c r="DY44" i="45"/>
  <c r="DY72" i="45"/>
  <c r="EC61" i="45"/>
  <c r="EC44" i="45"/>
  <c r="EG61" i="45"/>
  <c r="EG44" i="45"/>
  <c r="EM61" i="45"/>
  <c r="EM44" i="45"/>
  <c r="EM65" i="45" s="1"/>
  <c r="EM238" i="45" s="1"/>
  <c r="EM250" i="45" s="1"/>
  <c r="EQ61" i="45"/>
  <c r="EQ44" i="45"/>
  <c r="EU61" i="45"/>
  <c r="EU44" i="45"/>
  <c r="DW73" i="45"/>
  <c r="DW62" i="45"/>
  <c r="DK34" i="45"/>
  <c r="DI63" i="45"/>
  <c r="G10" i="38"/>
  <c r="G16" i="38" s="1"/>
  <c r="AY21" i="45"/>
  <c r="AZ21" i="45" s="1"/>
  <c r="CC21" i="45"/>
  <c r="CD21" i="45" s="1"/>
  <c r="DW27" i="45"/>
  <c r="AM28" i="45"/>
  <c r="AQ28" i="45"/>
  <c r="AU28" i="45"/>
  <c r="BQ28" i="45"/>
  <c r="BU28" i="45"/>
  <c r="BY28" i="45"/>
  <c r="CS69" i="45"/>
  <c r="CS58" i="45"/>
  <c r="EY59" i="45"/>
  <c r="EY70" i="45"/>
  <c r="AR72" i="45"/>
  <c r="AR44" i="45"/>
  <c r="BD72" i="45"/>
  <c r="BD61" i="45"/>
  <c r="BD44" i="45"/>
  <c r="BH72" i="45"/>
  <c r="BH44" i="45"/>
  <c r="BL72" i="45"/>
  <c r="BL61" i="45"/>
  <c r="CH72" i="45"/>
  <c r="CH61" i="45"/>
  <c r="CL72" i="45"/>
  <c r="CL44" i="45"/>
  <c r="CL61" i="45"/>
  <c r="CP72" i="45"/>
  <c r="CP44" i="45"/>
  <c r="DB72" i="45"/>
  <c r="DB28" i="45"/>
  <c r="DF72" i="45"/>
  <c r="DF28" i="45"/>
  <c r="DZ61" i="45"/>
  <c r="DZ44" i="45"/>
  <c r="ED44" i="45"/>
  <c r="ED65" i="45" s="1"/>
  <c r="ED61" i="45"/>
  <c r="BN62" i="45"/>
  <c r="EK73" i="45"/>
  <c r="EK62" i="45"/>
  <c r="AN72" i="45"/>
  <c r="G148" i="24"/>
  <c r="M154" i="5" s="1"/>
  <c r="G102" i="24"/>
  <c r="AY202" i="45"/>
  <c r="AZ202" i="45" s="1"/>
  <c r="AY209" i="45"/>
  <c r="AZ209" i="45" s="1"/>
  <c r="G123" i="24"/>
  <c r="CT223" i="45"/>
  <c r="CU223" i="45" s="1"/>
  <c r="G67" i="50"/>
  <c r="G149" i="50" s="1"/>
  <c r="AY94" i="46"/>
  <c r="AZ94" i="46" s="1"/>
  <c r="G83" i="50"/>
  <c r="AY110" i="46"/>
  <c r="AZ110" i="46" s="1"/>
  <c r="H206" i="24"/>
  <c r="H208" i="24" s="1"/>
  <c r="I201" i="24"/>
  <c r="I206" i="24" s="1"/>
  <c r="J12" i="6"/>
  <c r="H53" i="5"/>
  <c r="E6" i="4"/>
  <c r="L53" i="5"/>
  <c r="Y12" i="6"/>
  <c r="Y10" i="6" s="1"/>
  <c r="CS31" i="45"/>
  <c r="DI58" i="45"/>
  <c r="DI69" i="45"/>
  <c r="H21" i="38"/>
  <c r="AY39" i="45"/>
  <c r="AZ39" i="45" s="1"/>
  <c r="AO54" i="45"/>
  <c r="AO34" i="45"/>
  <c r="BE34" i="45"/>
  <c r="BE54" i="45"/>
  <c r="BE65" i="45" s="1"/>
  <c r="BI34" i="45"/>
  <c r="BI54" i="45"/>
  <c r="BI65" i="45" s="1"/>
  <c r="BI66" i="45" s="1"/>
  <c r="CA54" i="45"/>
  <c r="CA34" i="45"/>
  <c r="CQ34" i="45"/>
  <c r="CQ54" i="45"/>
  <c r="CQ65" i="45" s="1"/>
  <c r="DM34" i="45"/>
  <c r="DM54" i="45"/>
  <c r="DM65" i="45" s="1"/>
  <c r="DQ34" i="45"/>
  <c r="DQ54" i="45"/>
  <c r="DQ65" i="45" s="1"/>
  <c r="EE34" i="45"/>
  <c r="EE54" i="45"/>
  <c r="EI34" i="45"/>
  <c r="EI54" i="45"/>
  <c r="BM54" i="45"/>
  <c r="CM54" i="45"/>
  <c r="DU54" i="45"/>
  <c r="DM61" i="45"/>
  <c r="CQ72" i="45"/>
  <c r="CT110" i="45"/>
  <c r="CU110" i="45" s="1"/>
  <c r="CT111" i="45"/>
  <c r="CU111" i="45" s="1"/>
  <c r="CC133" i="45"/>
  <c r="CD133" i="45" s="1"/>
  <c r="CT140" i="45"/>
  <c r="CU140" i="45" s="1"/>
  <c r="K70" i="24"/>
  <c r="L70" i="24" s="1"/>
  <c r="M70" i="24" s="1"/>
  <c r="N70" i="24" s="1"/>
  <c r="O70" i="24" s="1"/>
  <c r="P70" i="24" s="1"/>
  <c r="AY170" i="45"/>
  <c r="AZ170" i="45" s="1"/>
  <c r="CC175" i="45"/>
  <c r="CD175" i="45" s="1"/>
  <c r="AY178" i="45"/>
  <c r="AZ178" i="45" s="1"/>
  <c r="AY194" i="45"/>
  <c r="AZ194" i="45" s="1"/>
  <c r="CC202" i="45"/>
  <c r="CD202" i="45" s="1"/>
  <c r="G108" i="24"/>
  <c r="AY208" i="45"/>
  <c r="AZ208" i="45" s="1"/>
  <c r="AY216" i="45"/>
  <c r="AZ216" i="45" s="1"/>
  <c r="G43" i="50"/>
  <c r="AY69" i="46"/>
  <c r="AZ69" i="46" s="1"/>
  <c r="CC69" i="46"/>
  <c r="CD69" i="46" s="1"/>
  <c r="CT69" i="46"/>
  <c r="CU69" i="46" s="1"/>
  <c r="G80" i="50"/>
  <c r="AY107" i="46"/>
  <c r="AZ107" i="46" s="1"/>
  <c r="BF34" i="45"/>
  <c r="BF28" i="45"/>
  <c r="CS22" i="45"/>
  <c r="CN28" i="45"/>
  <c r="BN58" i="45"/>
  <c r="CC37" i="45"/>
  <c r="CD37" i="45" s="1"/>
  <c r="BN50" i="45"/>
  <c r="BN54" i="45" s="1"/>
  <c r="CS50" i="45"/>
  <c r="CS54" i="45" s="1"/>
  <c r="CF54" i="45"/>
  <c r="CF34" i="45"/>
  <c r="CZ34" i="45"/>
  <c r="CZ54" i="45"/>
  <c r="CZ65" i="45" s="1"/>
  <c r="DD34" i="45"/>
  <c r="DD61" i="45"/>
  <c r="DD54" i="45"/>
  <c r="DD65" i="45" s="1"/>
  <c r="DH34" i="45"/>
  <c r="DN34" i="45"/>
  <c r="DR34" i="45"/>
  <c r="DR54" i="45"/>
  <c r="DV34" i="45"/>
  <c r="DV54" i="45"/>
  <c r="DN54" i="45"/>
  <c r="EA54" i="45"/>
  <c r="DQ61" i="45"/>
  <c r="AX69" i="45"/>
  <c r="EK98" i="45"/>
  <c r="CT102" i="45"/>
  <c r="CU102" i="45" s="1"/>
  <c r="CC105" i="45"/>
  <c r="CD105" i="45" s="1"/>
  <c r="CC114" i="45"/>
  <c r="CD114" i="45" s="1"/>
  <c r="AY172" i="45"/>
  <c r="AZ172" i="45" s="1"/>
  <c r="H148" i="50"/>
  <c r="AY65" i="46"/>
  <c r="AZ65" i="46" s="1"/>
  <c r="XEG54" i="48"/>
  <c r="DI98" i="45"/>
  <c r="AX98" i="45"/>
  <c r="CT125" i="45"/>
  <c r="CU125" i="45" s="1"/>
  <c r="CT134" i="45"/>
  <c r="CU134" i="45" s="1"/>
  <c r="G59" i="24"/>
  <c r="CT159" i="45"/>
  <c r="CU159" i="45" s="1"/>
  <c r="K66" i="24"/>
  <c r="L66" i="24" s="1"/>
  <c r="M66" i="24" s="1"/>
  <c r="N66" i="24" s="1"/>
  <c r="O66" i="24" s="1"/>
  <c r="P66" i="24" s="1"/>
  <c r="AY166" i="45"/>
  <c r="AZ166" i="45" s="1"/>
  <c r="AY227" i="45"/>
  <c r="AZ227" i="45" s="1"/>
  <c r="K185" i="50"/>
  <c r="K188" i="50"/>
  <c r="O188" i="50"/>
  <c r="DI22" i="45"/>
  <c r="DI26" i="45"/>
  <c r="EK27" i="45"/>
  <c r="AN28" i="45"/>
  <c r="AR28" i="45"/>
  <c r="AV28" i="45"/>
  <c r="BD28" i="45"/>
  <c r="BH28" i="45"/>
  <c r="BL28" i="45"/>
  <c r="BR28" i="45"/>
  <c r="BV28" i="45"/>
  <c r="BZ28" i="45"/>
  <c r="CH28" i="45"/>
  <c r="CL28" i="45"/>
  <c r="CP28" i="45"/>
  <c r="DL28" i="45"/>
  <c r="DP28" i="45"/>
  <c r="DT28" i="45"/>
  <c r="DZ28" i="45"/>
  <c r="ED28" i="45"/>
  <c r="EH28" i="45"/>
  <c r="CS71" i="45"/>
  <c r="BW28" i="45"/>
  <c r="CY61" i="45"/>
  <c r="DC61" i="45"/>
  <c r="DG61" i="45"/>
  <c r="EO72" i="45"/>
  <c r="ES72" i="45"/>
  <c r="EW72" i="45"/>
  <c r="CI44" i="45"/>
  <c r="DU44" i="45"/>
  <c r="DW33" i="45"/>
  <c r="CW34" i="45"/>
  <c r="DA34" i="45"/>
  <c r="DE34" i="45"/>
  <c r="EM34" i="45"/>
  <c r="EQ34" i="45"/>
  <c r="EU34" i="45"/>
  <c r="EK74" i="45"/>
  <c r="DK54" i="45"/>
  <c r="EU54" i="45"/>
  <c r="DW58" i="45"/>
  <c r="CS62" i="45"/>
  <c r="EY63" i="45"/>
  <c r="BN98" i="45"/>
  <c r="EY98" i="45"/>
  <c r="CC102" i="45"/>
  <c r="CD102" i="45" s="1"/>
  <c r="CC106" i="45"/>
  <c r="CD106" i="45" s="1"/>
  <c r="CT109" i="45"/>
  <c r="CU109" i="45" s="1"/>
  <c r="CC111" i="45"/>
  <c r="CD111" i="45" s="1"/>
  <c r="CC115" i="45"/>
  <c r="CD115" i="45" s="1"/>
  <c r="CC120" i="45"/>
  <c r="CD120" i="45" s="1"/>
  <c r="CC124" i="45"/>
  <c r="CD124" i="45" s="1"/>
  <c r="CC125" i="45"/>
  <c r="CD125" i="45" s="1"/>
  <c r="CC130" i="45"/>
  <c r="CD130" i="45" s="1"/>
  <c r="CC134" i="45"/>
  <c r="CD134" i="45" s="1"/>
  <c r="CT138" i="45"/>
  <c r="CU138" i="45" s="1"/>
  <c r="CT139" i="45"/>
  <c r="CU139" i="45" s="1"/>
  <c r="CC148" i="45"/>
  <c r="CD148" i="45" s="1"/>
  <c r="CC168" i="45"/>
  <c r="CD168" i="45" s="1"/>
  <c r="CC180" i="45"/>
  <c r="CD180" i="45" s="1"/>
  <c r="AY186" i="45"/>
  <c r="AZ186" i="45" s="1"/>
  <c r="CC208" i="45"/>
  <c r="CD208" i="45" s="1"/>
  <c r="G115" i="24"/>
  <c r="AY215" i="45"/>
  <c r="AZ215" i="45" s="1"/>
  <c r="CC226" i="45"/>
  <c r="CD226" i="45" s="1"/>
  <c r="F41" i="50"/>
  <c r="CT67" i="46"/>
  <c r="CU67" i="46" s="1"/>
  <c r="AY91" i="46"/>
  <c r="AZ91" i="46" s="1"/>
  <c r="AV36" i="35"/>
  <c r="BE34" i="35"/>
  <c r="EY33" i="45"/>
  <c r="BS34" i="45"/>
  <c r="BW34" i="45"/>
  <c r="EO34" i="45"/>
  <c r="CB70" i="45"/>
  <c r="EK70" i="45"/>
  <c r="DI60" i="45"/>
  <c r="AL61" i="45"/>
  <c r="AP61" i="45"/>
  <c r="AT61" i="45"/>
  <c r="BP61" i="45"/>
  <c r="BT61" i="45"/>
  <c r="BX61" i="45"/>
  <c r="CJ28" i="45"/>
  <c r="EB72" i="45"/>
  <c r="EF72" i="45"/>
  <c r="EJ72" i="45"/>
  <c r="CY44" i="45"/>
  <c r="DG44" i="45"/>
  <c r="CT48" i="45"/>
  <c r="CU48" i="45" s="1"/>
  <c r="CB33" i="45"/>
  <c r="EK33" i="45"/>
  <c r="AN34" i="45"/>
  <c r="AR34" i="45"/>
  <c r="AV34" i="45"/>
  <c r="BR34" i="45"/>
  <c r="BV34" i="45"/>
  <c r="BZ34" i="45"/>
  <c r="DZ34" i="45"/>
  <c r="ED34" i="45"/>
  <c r="EH34" i="45"/>
  <c r="EN34" i="45"/>
  <c r="ER34" i="45"/>
  <c r="EV34" i="45"/>
  <c r="AV54" i="45"/>
  <c r="AV65" i="45" s="1"/>
  <c r="BR54" i="45"/>
  <c r="BR65" i="45" s="1"/>
  <c r="DE54" i="45"/>
  <c r="DZ54" i="45"/>
  <c r="DZ65" i="45" s="1"/>
  <c r="EQ54" i="45"/>
  <c r="EV54" i="45"/>
  <c r="EK58" i="45"/>
  <c r="BP72" i="45"/>
  <c r="AY77" i="45"/>
  <c r="AZ77" i="45" s="1"/>
  <c r="AY79" i="45"/>
  <c r="AZ79" i="45" s="1"/>
  <c r="CC103" i="45"/>
  <c r="CD103" i="45" s="1"/>
  <c r="CT105" i="45"/>
  <c r="CU105" i="45" s="1"/>
  <c r="CC107" i="45"/>
  <c r="CD107" i="45" s="1"/>
  <c r="CC112" i="45"/>
  <c r="CD112" i="45" s="1"/>
  <c r="CC116" i="45"/>
  <c r="CD116" i="45" s="1"/>
  <c r="CT119" i="45"/>
  <c r="CU119" i="45" s="1"/>
  <c r="CC121" i="45"/>
  <c r="CD121" i="45" s="1"/>
  <c r="CT124" i="45"/>
  <c r="CU124" i="45" s="1"/>
  <c r="CC142" i="45"/>
  <c r="CD142" i="45" s="1"/>
  <c r="CT148" i="45"/>
  <c r="CU148" i="45" s="1"/>
  <c r="CT149" i="45"/>
  <c r="CU149" i="45" s="1"/>
  <c r="CT168" i="45"/>
  <c r="CU168" i="45" s="1"/>
  <c r="AY207" i="45"/>
  <c r="AZ207" i="45" s="1"/>
  <c r="G117" i="24"/>
  <c r="AY217" i="45"/>
  <c r="AZ217" i="45" s="1"/>
  <c r="AY225" i="45"/>
  <c r="AZ225" i="45" s="1"/>
  <c r="EY25" i="46"/>
  <c r="AY79" i="46"/>
  <c r="AZ79" i="46" s="1"/>
  <c r="L148" i="24"/>
  <c r="R154" i="5" s="1"/>
  <c r="AM168" i="48"/>
  <c r="K189" i="50"/>
  <c r="O189" i="50"/>
  <c r="D14" i="4"/>
  <c r="D30" i="4" s="1"/>
  <c r="K92" i="5"/>
  <c r="K142" i="5" s="1"/>
  <c r="E15" i="4"/>
  <c r="E37" i="4" s="1"/>
  <c r="L135" i="5"/>
  <c r="L93" i="5"/>
  <c r="E20" i="4" s="1"/>
  <c r="E39" i="4" s="1"/>
  <c r="E40" i="4" s="1"/>
  <c r="E25" i="4" s="1"/>
  <c r="CC205" i="45"/>
  <c r="CD205" i="45" s="1"/>
  <c r="CC223" i="45"/>
  <c r="CD223" i="45" s="1"/>
  <c r="CT18" i="46"/>
  <c r="CU18" i="46" s="1"/>
  <c r="CT22" i="46"/>
  <c r="CU22" i="46" s="1"/>
  <c r="AX160" i="46"/>
  <c r="DI160" i="46"/>
  <c r="CT51" i="46"/>
  <c r="CU51" i="46" s="1"/>
  <c r="CC66" i="46"/>
  <c r="CD66" i="46" s="1"/>
  <c r="CC76" i="46"/>
  <c r="CD76" i="46" s="1"/>
  <c r="CC78" i="46"/>
  <c r="CD78" i="46" s="1"/>
  <c r="AY93" i="46"/>
  <c r="AZ93" i="46" s="1"/>
  <c r="CC94" i="46"/>
  <c r="CD94" i="46" s="1"/>
  <c r="G72" i="50"/>
  <c r="AY99" i="46"/>
  <c r="AZ99" i="46" s="1"/>
  <c r="H150" i="50"/>
  <c r="AY102" i="46"/>
  <c r="AZ102" i="46" s="1"/>
  <c r="CC110" i="46"/>
  <c r="CD110" i="46" s="1"/>
  <c r="CC116" i="46"/>
  <c r="CD116" i="46" s="1"/>
  <c r="CC125" i="46"/>
  <c r="CD125" i="46" s="1"/>
  <c r="CC136" i="46"/>
  <c r="CD136" i="46" s="1"/>
  <c r="CC137" i="46"/>
  <c r="CD137" i="46" s="1"/>
  <c r="CC143" i="46"/>
  <c r="CD143" i="46" s="1"/>
  <c r="CC144" i="46"/>
  <c r="CD144" i="46" s="1"/>
  <c r="CC149" i="46"/>
  <c r="CD149" i="46" s="1"/>
  <c r="CC156" i="46"/>
  <c r="CD156" i="46" s="1"/>
  <c r="P148" i="24"/>
  <c r="V154" i="5" s="1"/>
  <c r="O146" i="50"/>
  <c r="H211" i="50"/>
  <c r="H188" i="50"/>
  <c r="N207" i="5" s="1"/>
  <c r="L188" i="50"/>
  <c r="P188" i="50"/>
  <c r="L189" i="50"/>
  <c r="P189" i="50"/>
  <c r="U226" i="50"/>
  <c r="K256" i="50"/>
  <c r="K258" i="50" s="1"/>
  <c r="J258" i="50"/>
  <c r="K45" i="5"/>
  <c r="CC143" i="45"/>
  <c r="CD143" i="45" s="1"/>
  <c r="CC144" i="45"/>
  <c r="CD144" i="45" s="1"/>
  <c r="CC149" i="45"/>
  <c r="CD149" i="45" s="1"/>
  <c r="CC154" i="45"/>
  <c r="CD154" i="45" s="1"/>
  <c r="CC159" i="45"/>
  <c r="CD159" i="45" s="1"/>
  <c r="CC164" i="45"/>
  <c r="CD164" i="45" s="1"/>
  <c r="CC165" i="45"/>
  <c r="CD165" i="45" s="1"/>
  <c r="CT174" i="45"/>
  <c r="CU174" i="45" s="1"/>
  <c r="CC177" i="45"/>
  <c r="CD177" i="45" s="1"/>
  <c r="CC185" i="45"/>
  <c r="CD185" i="45" s="1"/>
  <c r="CC193" i="45"/>
  <c r="CD193" i="45" s="1"/>
  <c r="AY201" i="45"/>
  <c r="AZ201" i="45" s="1"/>
  <c r="AY204" i="45"/>
  <c r="AZ204" i="45" s="1"/>
  <c r="CT205" i="45"/>
  <c r="CU205" i="45" s="1"/>
  <c r="AY211" i="45"/>
  <c r="AZ211" i="45" s="1"/>
  <c r="AY213" i="45"/>
  <c r="AZ213" i="45" s="1"/>
  <c r="CT217" i="45"/>
  <c r="CU217" i="45" s="1"/>
  <c r="AY220" i="45"/>
  <c r="AZ220" i="45" s="1"/>
  <c r="AY229" i="45"/>
  <c r="AZ229" i="45" s="1"/>
  <c r="CB25" i="46"/>
  <c r="AY29" i="46"/>
  <c r="AZ29" i="46" s="1"/>
  <c r="AY37" i="46"/>
  <c r="AZ37" i="46" s="1"/>
  <c r="AY41" i="46"/>
  <c r="AZ41" i="46" s="1"/>
  <c r="AY45" i="46"/>
  <c r="AZ45" i="46" s="1"/>
  <c r="AY49" i="46"/>
  <c r="AZ49" i="46" s="1"/>
  <c r="AY53" i="46"/>
  <c r="AZ53" i="46" s="1"/>
  <c r="AY55" i="46"/>
  <c r="AZ55" i="46" s="1"/>
  <c r="AY57" i="46"/>
  <c r="AZ57" i="46" s="1"/>
  <c r="AY59" i="46"/>
  <c r="AZ59" i="46" s="1"/>
  <c r="AY61" i="46"/>
  <c r="AZ61" i="46" s="1"/>
  <c r="AY63" i="46"/>
  <c r="AZ63" i="46" s="1"/>
  <c r="CC64" i="46"/>
  <c r="CD64" i="46" s="1"/>
  <c r="CT65" i="46"/>
  <c r="CU65" i="46" s="1"/>
  <c r="AY71" i="46"/>
  <c r="AZ71" i="46" s="1"/>
  <c r="CC72" i="46"/>
  <c r="CD72" i="46" s="1"/>
  <c r="CC73" i="46"/>
  <c r="CD73" i="46" s="1"/>
  <c r="AY75" i="46"/>
  <c r="AZ75" i="46" s="1"/>
  <c r="CT79" i="46"/>
  <c r="CU79" i="46" s="1"/>
  <c r="G61" i="50"/>
  <c r="AY88" i="46"/>
  <c r="AZ88" i="46" s="1"/>
  <c r="AY89" i="46"/>
  <c r="AZ89" i="46" s="1"/>
  <c r="AY90" i="46"/>
  <c r="AZ90" i="46" s="1"/>
  <c r="G65" i="50"/>
  <c r="AY92" i="46"/>
  <c r="AZ92" i="46" s="1"/>
  <c r="CC99" i="46"/>
  <c r="CD99" i="46" s="1"/>
  <c r="AY109" i="46"/>
  <c r="AZ109" i="46" s="1"/>
  <c r="CC157" i="46"/>
  <c r="CD157" i="46" s="1"/>
  <c r="P146" i="50"/>
  <c r="P202" i="50" s="1"/>
  <c r="M301" i="5"/>
  <c r="N300" i="5" s="1"/>
  <c r="N301" i="5" s="1"/>
  <c r="O300" i="5" s="1"/>
  <c r="O301" i="5" s="1"/>
  <c r="P300" i="5" s="1"/>
  <c r="P301" i="5" s="1"/>
  <c r="Q300" i="5" s="1"/>
  <c r="Q301" i="5" s="1"/>
  <c r="R300" i="5" s="1"/>
  <c r="R301" i="5" s="1"/>
  <c r="S300" i="5" s="1"/>
  <c r="S301" i="5" s="1"/>
  <c r="T300" i="5" s="1"/>
  <c r="T301" i="5" s="1"/>
  <c r="U300" i="5" s="1"/>
  <c r="U301" i="5" s="1"/>
  <c r="V300" i="5" s="1"/>
  <c r="BF46" i="16"/>
  <c r="AN87" i="16"/>
  <c r="AN83" i="16"/>
  <c r="CC126" i="45"/>
  <c r="CD126" i="45" s="1"/>
  <c r="CT129" i="45"/>
  <c r="CU129" i="45" s="1"/>
  <c r="CC131" i="45"/>
  <c r="CD131" i="45" s="1"/>
  <c r="CT133" i="45"/>
  <c r="CU133" i="45" s="1"/>
  <c r="CC135" i="45"/>
  <c r="CD135" i="45" s="1"/>
  <c r="CC136" i="45"/>
  <c r="CD136" i="45" s="1"/>
  <c r="CC140" i="45"/>
  <c r="CD140" i="45" s="1"/>
  <c r="CT143" i="45"/>
  <c r="CU143" i="45" s="1"/>
  <c r="CC145" i="45"/>
  <c r="CD145" i="45" s="1"/>
  <c r="CC146" i="45"/>
  <c r="CD146" i="45" s="1"/>
  <c r="CC150" i="45"/>
  <c r="CD150" i="45" s="1"/>
  <c r="CT153" i="45"/>
  <c r="CU153" i="45" s="1"/>
  <c r="CC155" i="45"/>
  <c r="CD155" i="45" s="1"/>
  <c r="CT158" i="45"/>
  <c r="CU158" i="45" s="1"/>
  <c r="CC160" i="45"/>
  <c r="CD160" i="45" s="1"/>
  <c r="CC161" i="45"/>
  <c r="CD161" i="45" s="1"/>
  <c r="CT165" i="45"/>
  <c r="CU165" i="45" s="1"/>
  <c r="CC169" i="45"/>
  <c r="CD169" i="45" s="1"/>
  <c r="CT171" i="45"/>
  <c r="CU171" i="45" s="1"/>
  <c r="CT177" i="45"/>
  <c r="CU177" i="45" s="1"/>
  <c r="CC181" i="45"/>
  <c r="CD181" i="45" s="1"/>
  <c r="CT185" i="45"/>
  <c r="CU185" i="45" s="1"/>
  <c r="CC189" i="45"/>
  <c r="CD189" i="45" s="1"/>
  <c r="CT193" i="45"/>
  <c r="CU193" i="45" s="1"/>
  <c r="CC197" i="45"/>
  <c r="CD197" i="45" s="1"/>
  <c r="CC199" i="45"/>
  <c r="CD199" i="45" s="1"/>
  <c r="CT208" i="45"/>
  <c r="CU208" i="45" s="1"/>
  <c r="CT215" i="45"/>
  <c r="CU215" i="45" s="1"/>
  <c r="CT221" i="45"/>
  <c r="CU221" i="45" s="1"/>
  <c r="CT226" i="45"/>
  <c r="CU226" i="45" s="1"/>
  <c r="AX25" i="46"/>
  <c r="Q258" i="5" s="1"/>
  <c r="EK25" i="46"/>
  <c r="CT16" i="46"/>
  <c r="CU16" i="46" s="1"/>
  <c r="CC18" i="46"/>
  <c r="CD18" i="46" s="1"/>
  <c r="CT20" i="46"/>
  <c r="CU20" i="46" s="1"/>
  <c r="CC22" i="46"/>
  <c r="CD22" i="46" s="1"/>
  <c r="CB160" i="46"/>
  <c r="CB162" i="46" s="1"/>
  <c r="CT53" i="46"/>
  <c r="CU53" i="46" s="1"/>
  <c r="CT55" i="46"/>
  <c r="CU55" i="46" s="1"/>
  <c r="CT57" i="46"/>
  <c r="CU57" i="46" s="1"/>
  <c r="CT59" i="46"/>
  <c r="CU59" i="46" s="1"/>
  <c r="CT61" i="46"/>
  <c r="CU61" i="46" s="1"/>
  <c r="CT63" i="46"/>
  <c r="CU63" i="46" s="1"/>
  <c r="CC67" i="46"/>
  <c r="CD67" i="46" s="1"/>
  <c r="CC83" i="46"/>
  <c r="CD83" i="46" s="1"/>
  <c r="CC120" i="46"/>
  <c r="CD120" i="46" s="1"/>
  <c r="CC121" i="46"/>
  <c r="CD121" i="46" s="1"/>
  <c r="CC132" i="46"/>
  <c r="CD132" i="46" s="1"/>
  <c r="CC141" i="46"/>
  <c r="CD141" i="46" s="1"/>
  <c r="CC146" i="46"/>
  <c r="CD146" i="46" s="1"/>
  <c r="CC153" i="46"/>
  <c r="CD153" i="46" s="1"/>
  <c r="CC154" i="46"/>
  <c r="CD154" i="46" s="1"/>
  <c r="CT156" i="46"/>
  <c r="CU156" i="46" s="1"/>
  <c r="M146" i="50"/>
  <c r="M202" i="50" s="1"/>
  <c r="I12" i="5"/>
  <c r="I74" i="5"/>
  <c r="AM126" i="48"/>
  <c r="AU126" i="48" s="1"/>
  <c r="BC57" i="16"/>
  <c r="BC58" i="16" s="1"/>
  <c r="BC59" i="16" s="1"/>
  <c r="BC60" i="16" s="1"/>
  <c r="BC61" i="16" s="1"/>
  <c r="BC62" i="16" s="1"/>
  <c r="BC63" i="16" s="1"/>
  <c r="BC64" i="16" s="1"/>
  <c r="BC65" i="16" s="1"/>
  <c r="BC66" i="16" s="1"/>
  <c r="BC67" i="16" s="1"/>
  <c r="BC68" i="16" s="1"/>
  <c r="BC69" i="16" s="1"/>
  <c r="BC70" i="16" s="1"/>
  <c r="BC71" i="16" s="1"/>
  <c r="BC72" i="16" s="1"/>
  <c r="BC73" i="16" s="1"/>
  <c r="BC74" i="16" s="1"/>
  <c r="BC75" i="16" s="1"/>
  <c r="BC76" i="16" s="1"/>
  <c r="BC77" i="16" s="1"/>
  <c r="BC78" i="16" s="1"/>
  <c r="BC79" i="16" s="1"/>
  <c r="BC80" i="16" s="1"/>
  <c r="BC81" i="16" s="1"/>
  <c r="BC82" i="16" s="1"/>
  <c r="BC83" i="16" s="1"/>
  <c r="BC84" i="16" s="1"/>
  <c r="BC85" i="16" s="1"/>
  <c r="BC86" i="16" s="1"/>
  <c r="BC87" i="16" s="1"/>
  <c r="BC88" i="16" s="1"/>
  <c r="BC89" i="16" s="1"/>
  <c r="BC90" i="16" s="1"/>
  <c r="BC91" i="16" s="1"/>
  <c r="BC92" i="16" s="1"/>
  <c r="BC93" i="16" s="1"/>
  <c r="BC94" i="16" s="1"/>
  <c r="BC95" i="16" s="1"/>
  <c r="BC96" i="16" s="1"/>
  <c r="BC97" i="16" s="1"/>
  <c r="BC98" i="16" s="1"/>
  <c r="BC99" i="16" s="1"/>
  <c r="BC100" i="16" s="1"/>
  <c r="BC101" i="16" s="1"/>
  <c r="BC102" i="16" s="1"/>
  <c r="BC103" i="16" s="1"/>
  <c r="BC104" i="16" s="1"/>
  <c r="BC105" i="16" s="1"/>
  <c r="BC106" i="16" s="1"/>
  <c r="BC107" i="16" s="1"/>
  <c r="BC108" i="16" s="1"/>
  <c r="BC109" i="16" s="1"/>
  <c r="BC110" i="16" s="1"/>
  <c r="BC111" i="16" s="1"/>
  <c r="BC112" i="16" s="1"/>
  <c r="BC113" i="16" s="1"/>
  <c r="BC114" i="16" s="1"/>
  <c r="BC115" i="16" s="1"/>
  <c r="BC116" i="16" s="1"/>
  <c r="BC117" i="16" s="1"/>
  <c r="BC118" i="16" s="1"/>
  <c r="BC119" i="16" s="1"/>
  <c r="BC120" i="16" s="1"/>
  <c r="BC121" i="16" s="1"/>
  <c r="BC122" i="16" s="1"/>
  <c r="BC123" i="16" s="1"/>
  <c r="BC124" i="16" s="1"/>
  <c r="BC125" i="16" s="1"/>
  <c r="BC126" i="16" s="1"/>
  <c r="BC127" i="16" s="1"/>
  <c r="BC128" i="16" s="1"/>
  <c r="BC129" i="16" s="1"/>
  <c r="BC130" i="16" s="1"/>
  <c r="BC131" i="16" s="1"/>
  <c r="BC132" i="16" s="1"/>
  <c r="BC133" i="16" s="1"/>
  <c r="BC134" i="16" s="1"/>
  <c r="BC135" i="16" s="1"/>
  <c r="BC136" i="16" s="1"/>
  <c r="BC137" i="16" s="1"/>
  <c r="BC138" i="16" s="1"/>
  <c r="BC139" i="16" s="1"/>
  <c r="BC140" i="16" s="1"/>
  <c r="BC141" i="16" s="1"/>
  <c r="BC142" i="16" s="1"/>
  <c r="BC143" i="16" s="1"/>
  <c r="BC144" i="16" s="1"/>
  <c r="BC145" i="16" s="1"/>
  <c r="BC146" i="16" s="1"/>
  <c r="BC147" i="16" s="1"/>
  <c r="BC148" i="16" s="1"/>
  <c r="BC149" i="16" s="1"/>
  <c r="BC150" i="16" s="1"/>
  <c r="BC151" i="16" s="1"/>
  <c r="BC152" i="16" s="1"/>
  <c r="BC153" i="16" s="1"/>
  <c r="BO56" i="16"/>
  <c r="BO57" i="16" s="1"/>
  <c r="BO58" i="16" s="1"/>
  <c r="BO59" i="16" s="1"/>
  <c r="BO60" i="16" s="1"/>
  <c r="BO61" i="16" s="1"/>
  <c r="BO62" i="16" s="1"/>
  <c r="BO63" i="16" s="1"/>
  <c r="BO64" i="16" s="1"/>
  <c r="BO65" i="16" s="1"/>
  <c r="BO66" i="16" s="1"/>
  <c r="BO67" i="16" s="1"/>
  <c r="BO68" i="16" s="1"/>
  <c r="BO69" i="16" s="1"/>
  <c r="BO70" i="16" s="1"/>
  <c r="BO71" i="16" s="1"/>
  <c r="BO72" i="16" s="1"/>
  <c r="BO73" i="16" s="1"/>
  <c r="BO74" i="16" s="1"/>
  <c r="BO75" i="16" s="1"/>
  <c r="BO76" i="16" s="1"/>
  <c r="BO77" i="16" s="1"/>
  <c r="BO78" i="16" s="1"/>
  <c r="BO79" i="16" s="1"/>
  <c r="BO80" i="16" s="1"/>
  <c r="BO81" i="16" s="1"/>
  <c r="BO82" i="16" s="1"/>
  <c r="BO83" i="16" s="1"/>
  <c r="BO84" i="16" s="1"/>
  <c r="BO85" i="16" s="1"/>
  <c r="BO86" i="16" s="1"/>
  <c r="BO87" i="16" s="1"/>
  <c r="BO88" i="16" s="1"/>
  <c r="BO89" i="16" s="1"/>
  <c r="BO90" i="16" s="1"/>
  <c r="BO91" i="16" s="1"/>
  <c r="BO92" i="16" s="1"/>
  <c r="BO93" i="16" s="1"/>
  <c r="BO94" i="16" s="1"/>
  <c r="BO95" i="16" s="1"/>
  <c r="BO96" i="16" s="1"/>
  <c r="BO97" i="16" s="1"/>
  <c r="BO98" i="16" s="1"/>
  <c r="BO99" i="16" s="1"/>
  <c r="BO100" i="16" s="1"/>
  <c r="BO101" i="16" s="1"/>
  <c r="BO102" i="16" s="1"/>
  <c r="BO103" i="16" s="1"/>
  <c r="BO104" i="16" s="1"/>
  <c r="BO105" i="16" s="1"/>
  <c r="BO106" i="16" s="1"/>
  <c r="BO107" i="16" s="1"/>
  <c r="BO108" i="16" s="1"/>
  <c r="BO109" i="16" s="1"/>
  <c r="BO110" i="16" s="1"/>
  <c r="BO111" i="16" s="1"/>
  <c r="BO112" i="16" s="1"/>
  <c r="BO113" i="16" s="1"/>
  <c r="BO114" i="16" s="1"/>
  <c r="BO115" i="16" s="1"/>
  <c r="BO116" i="16" s="1"/>
  <c r="BO117" i="16" s="1"/>
  <c r="BO118" i="16" s="1"/>
  <c r="BO119" i="16" s="1"/>
  <c r="BO120" i="16" s="1"/>
  <c r="BO121" i="16" s="1"/>
  <c r="BO122" i="16" s="1"/>
  <c r="BO123" i="16" s="1"/>
  <c r="BO124" i="16" s="1"/>
  <c r="BO125" i="16" s="1"/>
  <c r="BO126" i="16" s="1"/>
  <c r="BO127" i="16" s="1"/>
  <c r="BO128" i="16" s="1"/>
  <c r="BO129" i="16" s="1"/>
  <c r="BO130" i="16" s="1"/>
  <c r="BO131" i="16" s="1"/>
  <c r="BO132" i="16" s="1"/>
  <c r="BO133" i="16" s="1"/>
  <c r="BO134" i="16" s="1"/>
  <c r="BO135" i="16" s="1"/>
  <c r="BO136" i="16" s="1"/>
  <c r="BO137" i="16" s="1"/>
  <c r="BO138" i="16" s="1"/>
  <c r="BO139" i="16" s="1"/>
  <c r="BO140" i="16" s="1"/>
  <c r="BO141" i="16" s="1"/>
  <c r="BO142" i="16" s="1"/>
  <c r="BO143" i="16" s="1"/>
  <c r="BO144" i="16" s="1"/>
  <c r="BO145" i="16" s="1"/>
  <c r="BO146" i="16" s="1"/>
  <c r="BO147" i="16" s="1"/>
  <c r="BO148" i="16" s="1"/>
  <c r="BO149" i="16" s="1"/>
  <c r="BO150" i="16" s="1"/>
  <c r="BO151" i="16" s="1"/>
  <c r="BO152" i="16" s="1"/>
  <c r="BO153" i="16" s="1"/>
  <c r="BO154" i="16" s="1"/>
  <c r="BO155" i="16" s="1"/>
  <c r="BO156" i="16" s="1"/>
  <c r="BO157" i="16" s="1"/>
  <c r="BO158" i="16" s="1"/>
  <c r="BO159" i="16" s="1"/>
  <c r="BO160" i="16" s="1"/>
  <c r="BO161" i="16" s="1"/>
  <c r="BO162" i="16" s="1"/>
  <c r="BO163" i="16" s="1"/>
  <c r="BO164" i="16" s="1"/>
  <c r="BO165" i="16" s="1"/>
  <c r="BO166" i="16" s="1"/>
  <c r="BO167" i="16" s="1"/>
  <c r="BO168" i="16" s="1"/>
  <c r="BO169" i="16" s="1"/>
  <c r="BO170" i="16" s="1"/>
  <c r="BO171" i="16" s="1"/>
  <c r="BO172" i="16" s="1"/>
  <c r="BO173" i="16" s="1"/>
  <c r="BO174" i="16" s="1"/>
  <c r="BO175" i="16" s="1"/>
  <c r="BO176" i="16" s="1"/>
  <c r="BO177" i="16" s="1"/>
  <c r="BO178" i="16" s="1"/>
  <c r="BO179" i="16" s="1"/>
  <c r="BO180" i="16" s="1"/>
  <c r="BO181" i="16" s="1"/>
  <c r="BO182" i="16" s="1"/>
  <c r="BO183" i="16" s="1"/>
  <c r="BO184" i="16" s="1"/>
  <c r="BO185" i="16" s="1"/>
  <c r="BO186" i="16" s="1"/>
  <c r="BO187" i="16" s="1"/>
  <c r="BO188" i="16" s="1"/>
  <c r="BO189" i="16" s="1"/>
  <c r="BO190" i="16" s="1"/>
  <c r="BO191" i="16" s="1"/>
  <c r="BO192" i="16" s="1"/>
  <c r="BO193" i="16" s="1"/>
  <c r="BO194" i="16" s="1"/>
  <c r="BO195" i="16" s="1"/>
  <c r="BO196" i="16" s="1"/>
  <c r="BO197" i="16" s="1"/>
  <c r="BO198" i="16" s="1"/>
  <c r="BO199" i="16" s="1"/>
  <c r="BO200" i="16" s="1"/>
  <c r="BO201" i="16" s="1"/>
  <c r="AN114" i="16"/>
  <c r="AN109" i="16"/>
  <c r="AN116" i="16"/>
  <c r="AN108" i="16"/>
  <c r="AN113" i="16"/>
  <c r="AN111" i="16"/>
  <c r="BB57" i="35"/>
  <c r="BB58" i="35" s="1"/>
  <c r="BB59" i="35" s="1"/>
  <c r="BB60" i="35" s="1"/>
  <c r="BB61" i="35" s="1"/>
  <c r="BB62" i="35" s="1"/>
  <c r="BB63" i="35" s="1"/>
  <c r="BB64" i="35" s="1"/>
  <c r="BB65" i="35" s="1"/>
  <c r="BB66" i="35" s="1"/>
  <c r="BB67" i="35" s="1"/>
  <c r="BB68" i="35" s="1"/>
  <c r="BB69" i="35" s="1"/>
  <c r="BB70" i="35" s="1"/>
  <c r="BB71" i="35" s="1"/>
  <c r="BB72" i="35" s="1"/>
  <c r="BB73" i="35" s="1"/>
  <c r="BB74" i="35" s="1"/>
  <c r="BB75" i="35" s="1"/>
  <c r="BB76" i="35" s="1"/>
  <c r="BB77" i="35" s="1"/>
  <c r="BB78" i="35" s="1"/>
  <c r="BB79" i="35" s="1"/>
  <c r="BB80" i="35" s="1"/>
  <c r="BB81" i="35" s="1"/>
  <c r="BB82" i="35" s="1"/>
  <c r="BB83" i="35" s="1"/>
  <c r="BB84" i="35" s="1"/>
  <c r="BB85" i="35" s="1"/>
  <c r="BB86" i="35" s="1"/>
  <c r="BB87" i="35" s="1"/>
  <c r="BB88" i="35" s="1"/>
  <c r="BB89" i="35" s="1"/>
  <c r="BB90" i="35" s="1"/>
  <c r="BB91" i="35" s="1"/>
  <c r="BB92" i="35" s="1"/>
  <c r="BB93" i="35" s="1"/>
  <c r="BB94" i="35" s="1"/>
  <c r="BB95" i="35" s="1"/>
  <c r="BB96" i="35" s="1"/>
  <c r="BB97" i="35" s="1"/>
  <c r="BB98" i="35" s="1"/>
  <c r="BB99" i="35" s="1"/>
  <c r="BB100" i="35" s="1"/>
  <c r="BB101" i="35" s="1"/>
  <c r="BB102" i="35" s="1"/>
  <c r="BB103" i="35" s="1"/>
  <c r="BB104" i="35" s="1"/>
  <c r="BB105" i="35" s="1"/>
  <c r="BB106" i="35" s="1"/>
  <c r="BB107" i="35" s="1"/>
  <c r="BB108" i="35" s="1"/>
  <c r="BB109" i="35" s="1"/>
  <c r="BB110" i="35" s="1"/>
  <c r="BB111" i="35" s="1"/>
  <c r="BB112" i="35" s="1"/>
  <c r="BB113" i="35" s="1"/>
  <c r="BB114" i="35" s="1"/>
  <c r="BB115" i="35" s="1"/>
  <c r="BB116" i="35" s="1"/>
  <c r="BB117" i="35" s="1"/>
  <c r="BB118" i="35" s="1"/>
  <c r="BB119" i="35" s="1"/>
  <c r="BB120" i="35" s="1"/>
  <c r="BB121" i="35" s="1"/>
  <c r="BB122" i="35" s="1"/>
  <c r="BB123" i="35" s="1"/>
  <c r="BB124" i="35" s="1"/>
  <c r="BB125" i="35" s="1"/>
  <c r="BB126" i="35" s="1"/>
  <c r="BB127" i="35" s="1"/>
  <c r="BB128" i="35" s="1"/>
  <c r="BB129" i="35" s="1"/>
  <c r="BB130" i="35" s="1"/>
  <c r="BB131" i="35" s="1"/>
  <c r="BB132" i="35" s="1"/>
  <c r="BB133" i="35" s="1"/>
  <c r="BB134" i="35" s="1"/>
  <c r="BB135" i="35" s="1"/>
  <c r="BB136" i="35" s="1"/>
  <c r="BB137" i="35" s="1"/>
  <c r="BB138" i="35" s="1"/>
  <c r="BB139" i="35" s="1"/>
  <c r="BB140" i="35" s="1"/>
  <c r="BB141" i="35" s="1"/>
  <c r="BB142" i="35" s="1"/>
  <c r="BB143" i="35" s="1"/>
  <c r="BB144" i="35" s="1"/>
  <c r="BB145" i="35" s="1"/>
  <c r="BB146" i="35" s="1"/>
  <c r="BB147" i="35" s="1"/>
  <c r="BB148" i="35" s="1"/>
  <c r="BB149" i="35" s="1"/>
  <c r="BB150" i="35" s="1"/>
  <c r="BB151" i="35" s="1"/>
  <c r="BB152" i="35" s="1"/>
  <c r="BB153" i="35" s="1"/>
  <c r="AN112" i="35"/>
  <c r="AN108" i="35"/>
  <c r="AN107" i="35"/>
  <c r="AN114" i="35"/>
  <c r="AN113" i="35"/>
  <c r="CC107" i="46"/>
  <c r="CD107" i="46" s="1"/>
  <c r="CC111" i="46"/>
  <c r="CD111" i="46" s="1"/>
  <c r="CC113" i="46"/>
  <c r="CD113" i="46" s="1"/>
  <c r="M188" i="50"/>
  <c r="M189" i="50"/>
  <c r="U225" i="50"/>
  <c r="K115" i="5"/>
  <c r="G238" i="5"/>
  <c r="G212" i="5" s="1"/>
  <c r="H18" i="35"/>
  <c r="G18" i="35" s="1"/>
  <c r="CC74" i="46"/>
  <c r="CD74" i="46" s="1"/>
  <c r="CC91" i="46"/>
  <c r="CD91" i="46" s="1"/>
  <c r="G206" i="24"/>
  <c r="L146" i="50"/>
  <c r="L202" i="50" s="1"/>
  <c r="L185" i="50"/>
  <c r="N188" i="50"/>
  <c r="N189" i="50"/>
  <c r="K53" i="5"/>
  <c r="H96" i="5"/>
  <c r="H146" i="5" s="1"/>
  <c r="G249" i="5"/>
  <c r="AM127" i="48"/>
  <c r="AU127" i="48" s="1"/>
  <c r="AN102" i="16"/>
  <c r="AN105" i="16"/>
  <c r="AN98" i="16"/>
  <c r="AB37" i="35"/>
  <c r="AB38" i="35" s="1"/>
  <c r="Z37" i="35"/>
  <c r="Y37" i="35" s="1"/>
  <c r="Z36" i="35"/>
  <c r="Y36" i="35" s="1"/>
  <c r="AI46" i="35"/>
  <c r="AI34" i="16"/>
  <c r="Q24" i="35"/>
  <c r="P24" i="35" s="1"/>
  <c r="AN69" i="35"/>
  <c r="AN71" i="35"/>
  <c r="AN76" i="35"/>
  <c r="AN90" i="35"/>
  <c r="R156" i="48"/>
  <c r="R172" i="48" s="1"/>
  <c r="C5" i="52" s="1"/>
  <c r="XEG55" i="48"/>
  <c r="Z11" i="16"/>
  <c r="Y11" i="16" s="1"/>
  <c r="Z36" i="16"/>
  <c r="Y36" i="16" s="1"/>
  <c r="AB39" i="16"/>
  <c r="Z40" i="16" s="1"/>
  <c r="Y40" i="16" s="1"/>
  <c r="AN70" i="16"/>
  <c r="AN74" i="16"/>
  <c r="AN74" i="35"/>
  <c r="AN77" i="35"/>
  <c r="AI22" i="16"/>
  <c r="AN61" i="35"/>
  <c r="AN72" i="35"/>
  <c r="AN75" i="35"/>
  <c r="AN81" i="35"/>
  <c r="D11" i="36"/>
  <c r="I36" i="39"/>
  <c r="I40" i="39" s="1"/>
  <c r="U8" i="39"/>
  <c r="U66" i="39" s="1"/>
  <c r="J208" i="50"/>
  <c r="J185" i="50"/>
  <c r="P204" i="5" s="1"/>
  <c r="J85" i="38" s="1"/>
  <c r="J187" i="50"/>
  <c r="J210" i="50"/>
  <c r="I211" i="50"/>
  <c r="I188" i="50"/>
  <c r="O207" i="5" s="1"/>
  <c r="I189" i="50"/>
  <c r="O208" i="5" s="1"/>
  <c r="I212" i="50"/>
  <c r="J211" i="50"/>
  <c r="J188" i="50"/>
  <c r="P207" i="5" s="1"/>
  <c r="J36" i="39"/>
  <c r="J40" i="39" s="1"/>
  <c r="V8" i="39"/>
  <c r="V66" i="39" s="1"/>
  <c r="Z8" i="39"/>
  <c r="Z66" i="39" s="1"/>
  <c r="J189" i="50"/>
  <c r="P208" i="5" s="1"/>
  <c r="J212" i="50"/>
  <c r="I187" i="50"/>
  <c r="I210" i="50"/>
  <c r="F117" i="9"/>
  <c r="L176" i="5"/>
  <c r="R207" i="5"/>
  <c r="V207" i="5"/>
  <c r="R208" i="5"/>
  <c r="V208" i="5"/>
  <c r="S207" i="5"/>
  <c r="S208" i="5"/>
  <c r="R204" i="5"/>
  <c r="L85" i="38" s="1"/>
  <c r="T207" i="5"/>
  <c r="T208" i="5"/>
  <c r="Q204" i="5"/>
  <c r="K85" i="38" s="1"/>
  <c r="Q207" i="5"/>
  <c r="U207" i="5"/>
  <c r="Q208" i="5"/>
  <c r="U208" i="5"/>
  <c r="F143" i="50"/>
  <c r="F147" i="50"/>
  <c r="G152" i="50"/>
  <c r="H141" i="50"/>
  <c r="G143" i="50"/>
  <c r="H156" i="50"/>
  <c r="F145" i="50"/>
  <c r="F148" i="50"/>
  <c r="F151" i="50"/>
  <c r="H142" i="50"/>
  <c r="L157" i="50"/>
  <c r="L213" i="50" s="1"/>
  <c r="G148" i="50"/>
  <c r="G156" i="50"/>
  <c r="H152" i="50"/>
  <c r="G151" i="50"/>
  <c r="B196" i="8"/>
  <c r="B75" i="8"/>
  <c r="J232" i="8"/>
  <c r="J74" i="8"/>
  <c r="B231" i="8"/>
  <c r="B73" i="8"/>
  <c r="C231" i="8"/>
  <c r="C73" i="8"/>
  <c r="L232" i="8"/>
  <c r="L74" i="8"/>
  <c r="P232" i="8"/>
  <c r="P74" i="8"/>
  <c r="N232" i="8"/>
  <c r="N74" i="8"/>
  <c r="K232" i="8"/>
  <c r="K74" i="8"/>
  <c r="O232" i="8"/>
  <c r="O74" i="8"/>
  <c r="D231" i="8"/>
  <c r="D73" i="8"/>
  <c r="M74" i="8"/>
  <c r="J70" i="9"/>
  <c r="E64" i="9"/>
  <c r="L64" i="9" s="1"/>
  <c r="O2" i="39"/>
  <c r="K72" i="9"/>
  <c r="E65" i="9"/>
  <c r="M65" i="9" s="1"/>
  <c r="K70" i="9"/>
  <c r="N71" i="9"/>
  <c r="N70" i="9" s="1"/>
  <c r="O72" i="9"/>
  <c r="R71" i="9"/>
  <c r="R70" i="9" s="1"/>
  <c r="AK45" i="6"/>
  <c r="G55" i="6"/>
  <c r="G58" i="6" s="1"/>
  <c r="M249" i="5"/>
  <c r="AB35" i="6"/>
  <c r="V53" i="6"/>
  <c r="W53" i="6" s="1"/>
  <c r="AQ55" i="6"/>
  <c r="AQ70" i="6" s="1"/>
  <c r="N249" i="5"/>
  <c r="K36" i="6"/>
  <c r="H31" i="5" s="1"/>
  <c r="K249" i="5"/>
  <c r="H37" i="6"/>
  <c r="Z35" i="6"/>
  <c r="C44" i="29"/>
  <c r="C77" i="29" s="1"/>
  <c r="D44" i="29"/>
  <c r="D77" i="29" s="1"/>
  <c r="D34" i="29"/>
  <c r="X8" i="39"/>
  <c r="X66" i="39" s="1"/>
  <c r="N114" i="8"/>
  <c r="W8" i="39"/>
  <c r="W66" i="39" s="1"/>
  <c r="AA8" i="39"/>
  <c r="AA66" i="39" s="1"/>
  <c r="Y8" i="39"/>
  <c r="Y66" i="39" s="1"/>
  <c r="V71" i="9"/>
  <c r="S72" i="9"/>
  <c r="G147" i="50"/>
  <c r="T3" i="38"/>
  <c r="T2" i="38"/>
  <c r="F40" i="39"/>
  <c r="ED238" i="45"/>
  <c r="ED250" i="45" s="1"/>
  <c r="ED66" i="45"/>
  <c r="CC20" i="45"/>
  <c r="CD20" i="45" s="1"/>
  <c r="CT20" i="45"/>
  <c r="CU20" i="45" s="1"/>
  <c r="BN26" i="45"/>
  <c r="BN22" i="45"/>
  <c r="BN32" i="45"/>
  <c r="DW32" i="45"/>
  <c r="DW22" i="45"/>
  <c r="DW26" i="45"/>
  <c r="BN74" i="45"/>
  <c r="BN63" i="45"/>
  <c r="CC42" i="45"/>
  <c r="CD42" i="45" s="1"/>
  <c r="CT42" i="45"/>
  <c r="CU42" i="45" s="1"/>
  <c r="DW74" i="45"/>
  <c r="DW63" i="45"/>
  <c r="DL54" i="45"/>
  <c r="DL65" i="45" s="1"/>
  <c r="DL34" i="45"/>
  <c r="DL72" i="45"/>
  <c r="DP54" i="45"/>
  <c r="DP65" i="45" s="1"/>
  <c r="DP34" i="45"/>
  <c r="DP72" i="45"/>
  <c r="DT54" i="45"/>
  <c r="DT65" i="45" s="1"/>
  <c r="DT34" i="45"/>
  <c r="DT72" i="45"/>
  <c r="G40" i="39"/>
  <c r="K40" i="39"/>
  <c r="EJ28" i="45"/>
  <c r="EB34" i="45"/>
  <c r="DL61" i="45"/>
  <c r="DP61" i="45"/>
  <c r="DT61" i="45"/>
  <c r="EN28" i="45"/>
  <c r="EN72" i="45"/>
  <c r="EN44" i="45"/>
  <c r="EN65" i="45" s="1"/>
  <c r="EN61" i="45"/>
  <c r="ER28" i="45"/>
  <c r="ER72" i="45"/>
  <c r="ER44" i="45"/>
  <c r="ER65" i="45" s="1"/>
  <c r="ER61" i="45"/>
  <c r="EV28" i="45"/>
  <c r="EV72" i="45"/>
  <c r="EV44" i="45"/>
  <c r="EV61" i="45"/>
  <c r="CB63" i="45"/>
  <c r="EK63" i="45"/>
  <c r="BZ65" i="45"/>
  <c r="CB50" i="45"/>
  <c r="CY54" i="45"/>
  <c r="CY34" i="45"/>
  <c r="CY72" i="45"/>
  <c r="DC54" i="45"/>
  <c r="DC65" i="45" s="1"/>
  <c r="DC34" i="45"/>
  <c r="DG54" i="45"/>
  <c r="DG34" i="45"/>
  <c r="DG72" i="45"/>
  <c r="DI236" i="45"/>
  <c r="AY102" i="45"/>
  <c r="AZ102" i="45" s="1"/>
  <c r="AY108" i="45"/>
  <c r="AZ108" i="45" s="1"/>
  <c r="AY126" i="45"/>
  <c r="AZ126" i="45" s="1"/>
  <c r="K53" i="24"/>
  <c r="L53" i="24" s="1"/>
  <c r="M53" i="24" s="1"/>
  <c r="N53" i="24" s="1"/>
  <c r="O53" i="24" s="1"/>
  <c r="P53" i="24" s="1"/>
  <c r="AY152" i="45"/>
  <c r="AZ152" i="45" s="1"/>
  <c r="AY159" i="45"/>
  <c r="AZ159" i="45" s="1"/>
  <c r="AY171" i="45"/>
  <c r="AZ171" i="45" s="1"/>
  <c r="EO28" i="45"/>
  <c r="EF34" i="45"/>
  <c r="BB72" i="45"/>
  <c r="BB61" i="45"/>
  <c r="BB44" i="45"/>
  <c r="BF72" i="45"/>
  <c r="BF61" i="45"/>
  <c r="BF44" i="45"/>
  <c r="BF65" i="45" s="1"/>
  <c r="BJ72" i="45"/>
  <c r="BJ61" i="45"/>
  <c r="BJ44" i="45"/>
  <c r="BJ65" i="45" s="1"/>
  <c r="BJ28" i="45"/>
  <c r="BN40" i="45"/>
  <c r="BS72" i="45"/>
  <c r="BS61" i="45"/>
  <c r="BS44" i="45"/>
  <c r="BS65" i="45" s="1"/>
  <c r="BW72" i="45"/>
  <c r="BW61" i="45"/>
  <c r="BW44" i="45"/>
  <c r="BW65" i="45" s="1"/>
  <c r="CA72" i="45"/>
  <c r="CA61" i="45"/>
  <c r="CA44" i="45"/>
  <c r="CA28" i="45"/>
  <c r="EA28" i="45"/>
  <c r="EA72" i="45"/>
  <c r="EA44" i="45"/>
  <c r="EA61" i="45"/>
  <c r="EE28" i="45"/>
  <c r="EE72" i="45"/>
  <c r="EE44" i="45"/>
  <c r="EE65" i="45" s="1"/>
  <c r="EE61" i="45"/>
  <c r="EI28" i="45"/>
  <c r="EI72" i="45"/>
  <c r="EI44" i="45"/>
  <c r="EI61" i="45"/>
  <c r="CB62" i="45"/>
  <c r="CC41" i="45"/>
  <c r="CD41" i="45" s="1"/>
  <c r="M78" i="5"/>
  <c r="AY49" i="45"/>
  <c r="AZ49" i="45" s="1"/>
  <c r="BN33" i="45"/>
  <c r="BN60" i="45"/>
  <c r="AM54" i="45"/>
  <c r="AM34" i="45"/>
  <c r="AQ54" i="45"/>
  <c r="AQ65" i="45" s="1"/>
  <c r="AQ34" i="45"/>
  <c r="AQ61" i="45"/>
  <c r="AU54" i="45"/>
  <c r="AU65" i="45" s="1"/>
  <c r="AU34" i="45"/>
  <c r="AU61" i="45"/>
  <c r="BQ54" i="45"/>
  <c r="BQ34" i="45"/>
  <c r="BU54" i="45"/>
  <c r="BU34" i="45"/>
  <c r="BY54" i="45"/>
  <c r="BY65" i="45" s="1"/>
  <c r="BY34" i="45"/>
  <c r="BY61" i="45"/>
  <c r="DW60" i="45"/>
  <c r="CB73" i="45"/>
  <c r="AY110" i="45"/>
  <c r="AZ110" i="45" s="1"/>
  <c r="K19" i="24"/>
  <c r="L19" i="24" s="1"/>
  <c r="M19" i="24" s="1"/>
  <c r="N19" i="24" s="1"/>
  <c r="O19" i="24" s="1"/>
  <c r="P19" i="24" s="1"/>
  <c r="AY116" i="45"/>
  <c r="AZ116" i="45" s="1"/>
  <c r="I149" i="24"/>
  <c r="O155" i="5" s="1"/>
  <c r="AY128" i="45"/>
  <c r="AZ128" i="45" s="1"/>
  <c r="K35" i="24"/>
  <c r="L35" i="24" s="1"/>
  <c r="M35" i="24" s="1"/>
  <c r="N35" i="24" s="1"/>
  <c r="O35" i="24" s="1"/>
  <c r="P35" i="24" s="1"/>
  <c r="AY134" i="45"/>
  <c r="AZ134" i="45" s="1"/>
  <c r="K61" i="24"/>
  <c r="L61" i="24" s="1"/>
  <c r="M61" i="24" s="1"/>
  <c r="N61" i="24" s="1"/>
  <c r="O61" i="24" s="1"/>
  <c r="P61" i="24" s="1"/>
  <c r="AY161" i="45"/>
  <c r="AZ161" i="45" s="1"/>
  <c r="G67" i="24"/>
  <c r="AY167" i="45"/>
  <c r="AZ167" i="45" s="1"/>
  <c r="AY179" i="45"/>
  <c r="AZ179" i="45" s="1"/>
  <c r="EY69" i="45"/>
  <c r="EY40" i="45"/>
  <c r="EY58" i="45"/>
  <c r="CS59" i="45"/>
  <c r="CS26" i="45"/>
  <c r="CF61" i="45"/>
  <c r="CF44" i="45"/>
  <c r="CF72" i="45"/>
  <c r="CS40" i="45"/>
  <c r="CF28" i="45"/>
  <c r="CJ61" i="45"/>
  <c r="CJ44" i="45"/>
  <c r="CJ65" i="45" s="1"/>
  <c r="CJ72" i="45"/>
  <c r="CN61" i="45"/>
  <c r="CN44" i="45"/>
  <c r="CN65" i="45" s="1"/>
  <c r="CN72" i="45"/>
  <c r="CC52" i="45"/>
  <c r="CD52" i="45" s="1"/>
  <c r="CB74" i="45"/>
  <c r="CS70" i="45"/>
  <c r="K21" i="24"/>
  <c r="L21" i="24" s="1"/>
  <c r="M21" i="24" s="1"/>
  <c r="N21" i="24" s="1"/>
  <c r="O21" i="24" s="1"/>
  <c r="P21" i="24" s="1"/>
  <c r="AY118" i="45"/>
  <c r="AZ118" i="45" s="1"/>
  <c r="H148" i="24"/>
  <c r="N154" i="5" s="1"/>
  <c r="AY124" i="45"/>
  <c r="AZ124" i="45" s="1"/>
  <c r="K37" i="24"/>
  <c r="L37" i="24" s="1"/>
  <c r="M37" i="24" s="1"/>
  <c r="N37" i="24" s="1"/>
  <c r="O37" i="24" s="1"/>
  <c r="P37" i="24" s="1"/>
  <c r="AY136" i="45"/>
  <c r="AZ136" i="45" s="1"/>
  <c r="K43" i="24"/>
  <c r="L43" i="24" s="1"/>
  <c r="M43" i="24" s="1"/>
  <c r="N43" i="24" s="1"/>
  <c r="O43" i="24" s="1"/>
  <c r="P43" i="24" s="1"/>
  <c r="AY142" i="45"/>
  <c r="AZ142" i="45" s="1"/>
  <c r="G90" i="24"/>
  <c r="CC190" i="45"/>
  <c r="CD190" i="45" s="1"/>
  <c r="AY190" i="45"/>
  <c r="AZ190" i="45" s="1"/>
  <c r="G91" i="24"/>
  <c r="AY191" i="45"/>
  <c r="AZ191" i="45" s="1"/>
  <c r="AY144" i="45"/>
  <c r="AZ144" i="45" s="1"/>
  <c r="K51" i="24"/>
  <c r="L51" i="24" s="1"/>
  <c r="M51" i="24" s="1"/>
  <c r="N51" i="24" s="1"/>
  <c r="O51" i="24" s="1"/>
  <c r="P51" i="24" s="1"/>
  <c r="AY150" i="45"/>
  <c r="AZ150" i="45" s="1"/>
  <c r="G69" i="24"/>
  <c r="AY169" i="45"/>
  <c r="AZ169" i="45" s="1"/>
  <c r="G98" i="24"/>
  <c r="CC198" i="45"/>
  <c r="CD198" i="45" s="1"/>
  <c r="AY198" i="45"/>
  <c r="AZ198" i="45" s="1"/>
  <c r="G99" i="24"/>
  <c r="AY199" i="45"/>
  <c r="AZ199" i="45" s="1"/>
  <c r="CT199" i="45"/>
  <c r="CU199" i="45" s="1"/>
  <c r="AY203" i="45"/>
  <c r="AZ203" i="45" s="1"/>
  <c r="EY31" i="45"/>
  <c r="EY60" i="45"/>
  <c r="EY71" i="45"/>
  <c r="AO61" i="45"/>
  <c r="AO44" i="45"/>
  <c r="AO72" i="45"/>
  <c r="AS61" i="45"/>
  <c r="AS44" i="45"/>
  <c r="AS65" i="45" s="1"/>
  <c r="AS72" i="45"/>
  <c r="AW61" i="45"/>
  <c r="AW44" i="45"/>
  <c r="AW72" i="45"/>
  <c r="H22" i="38"/>
  <c r="AX73" i="45"/>
  <c r="AY41" i="45"/>
  <c r="AZ41" i="45" s="1"/>
  <c r="BM65" i="45"/>
  <c r="BV66" i="45"/>
  <c r="BV83" i="45"/>
  <c r="BV238" i="45" s="1"/>
  <c r="BV250" i="45" s="1"/>
  <c r="EH66" i="45"/>
  <c r="AX50" i="45"/>
  <c r="CH54" i="45"/>
  <c r="CH65" i="45" s="1"/>
  <c r="CH34" i="45"/>
  <c r="CL54" i="45"/>
  <c r="CL65" i="45" s="1"/>
  <c r="CL34" i="45"/>
  <c r="CP54" i="45"/>
  <c r="CP65" i="45" s="1"/>
  <c r="CP34" i="45"/>
  <c r="DW50" i="45"/>
  <c r="DY54" i="45"/>
  <c r="DY65" i="45" s="1"/>
  <c r="DY34" i="45"/>
  <c r="EC54" i="45"/>
  <c r="EC34" i="45"/>
  <c r="EG54" i="45"/>
  <c r="EG34" i="45"/>
  <c r="EK50" i="45"/>
  <c r="EP54" i="45"/>
  <c r="EP65" i="45" s="1"/>
  <c r="EP34" i="45"/>
  <c r="ET54" i="45"/>
  <c r="ET65" i="45" s="1"/>
  <c r="ET34" i="45"/>
  <c r="EX54" i="45"/>
  <c r="EX65" i="45" s="1"/>
  <c r="EX34" i="45"/>
  <c r="EG72" i="45"/>
  <c r="EX72" i="45"/>
  <c r="AY104" i="45"/>
  <c r="AZ104" i="45" s="1"/>
  <c r="K15" i="24"/>
  <c r="L15" i="24" s="1"/>
  <c r="M15" i="24" s="1"/>
  <c r="N15" i="24" s="1"/>
  <c r="O15" i="24" s="1"/>
  <c r="P15" i="24" s="1"/>
  <c r="AY112" i="45"/>
  <c r="AZ112" i="45" s="1"/>
  <c r="K23" i="24"/>
  <c r="L23" i="24" s="1"/>
  <c r="M23" i="24" s="1"/>
  <c r="N23" i="24" s="1"/>
  <c r="O23" i="24" s="1"/>
  <c r="P23" i="24" s="1"/>
  <c r="AY120" i="45"/>
  <c r="AZ120" i="45" s="1"/>
  <c r="K31" i="24"/>
  <c r="L31" i="24" s="1"/>
  <c r="M31" i="24" s="1"/>
  <c r="N31" i="24" s="1"/>
  <c r="O31" i="24" s="1"/>
  <c r="P31" i="24" s="1"/>
  <c r="AY130" i="45"/>
  <c r="AZ130" i="45" s="1"/>
  <c r="AY138" i="45"/>
  <c r="AZ138" i="45" s="1"/>
  <c r="K47" i="24"/>
  <c r="L47" i="24" s="1"/>
  <c r="M47" i="24" s="1"/>
  <c r="N47" i="24" s="1"/>
  <c r="O47" i="24" s="1"/>
  <c r="P47" i="24" s="1"/>
  <c r="AY146" i="45"/>
  <c r="AZ146" i="45" s="1"/>
  <c r="K55" i="24"/>
  <c r="L55" i="24" s="1"/>
  <c r="M55" i="24" s="1"/>
  <c r="N55" i="24" s="1"/>
  <c r="O55" i="24" s="1"/>
  <c r="P55" i="24" s="1"/>
  <c r="AY154" i="45"/>
  <c r="AZ154" i="45" s="1"/>
  <c r="AY163" i="45"/>
  <c r="AZ163" i="45" s="1"/>
  <c r="CT167" i="45"/>
  <c r="CU167" i="45" s="1"/>
  <c r="G74" i="24"/>
  <c r="CC174" i="45"/>
  <c r="CD174" i="45" s="1"/>
  <c r="AY174" i="45"/>
  <c r="AZ174" i="45" s="1"/>
  <c r="G75" i="24"/>
  <c r="AY175" i="45"/>
  <c r="AZ175" i="45" s="1"/>
  <c r="AY187" i="45"/>
  <c r="AZ187" i="45" s="1"/>
  <c r="CT190" i="45"/>
  <c r="CU190" i="45" s="1"/>
  <c r="G106" i="24"/>
  <c r="CC206" i="45"/>
  <c r="CD206" i="45" s="1"/>
  <c r="AY206" i="45"/>
  <c r="AZ206" i="45" s="1"/>
  <c r="M47" i="5"/>
  <c r="CC15" i="45"/>
  <c r="CD15" i="45" s="1"/>
  <c r="CT15" i="45"/>
  <c r="CU15" i="45" s="1"/>
  <c r="AS28" i="45"/>
  <c r="BN70" i="45"/>
  <c r="BN59" i="45"/>
  <c r="AY59" i="45" s="1"/>
  <c r="AZ59" i="45" s="1"/>
  <c r="CC38" i="45"/>
  <c r="CD38" i="45" s="1"/>
  <c r="CT38" i="45"/>
  <c r="CU38" i="45" s="1"/>
  <c r="DW70" i="45"/>
  <c r="DW59" i="45"/>
  <c r="BQ72" i="45"/>
  <c r="BU72" i="45"/>
  <c r="BY72" i="45"/>
  <c r="CW28" i="45"/>
  <c r="CW72" i="45"/>
  <c r="CW44" i="45"/>
  <c r="CW61" i="45"/>
  <c r="DA28" i="45"/>
  <c r="DA72" i="45"/>
  <c r="DA44" i="45"/>
  <c r="DA65" i="45" s="1"/>
  <c r="DA61" i="45"/>
  <c r="DE28" i="45"/>
  <c r="DE72" i="45"/>
  <c r="DE44" i="45"/>
  <c r="DE61" i="45"/>
  <c r="DI40" i="45"/>
  <c r="DN28" i="45"/>
  <c r="DN72" i="45"/>
  <c r="DN44" i="45"/>
  <c r="DN65" i="45" s="1"/>
  <c r="DN61" i="45"/>
  <c r="DR28" i="45"/>
  <c r="DR72" i="45"/>
  <c r="DR44" i="45"/>
  <c r="DR65" i="45" s="1"/>
  <c r="DR61" i="45"/>
  <c r="DV28" i="45"/>
  <c r="DV72" i="45"/>
  <c r="DV44" i="45"/>
  <c r="DV65" i="45" s="1"/>
  <c r="DV61" i="45"/>
  <c r="EP61" i="45"/>
  <c r="ET61" i="45"/>
  <c r="EX61" i="45"/>
  <c r="CS63" i="45"/>
  <c r="CS74" i="45"/>
  <c r="AR65" i="45"/>
  <c r="BU65" i="45"/>
  <c r="DG65" i="45"/>
  <c r="DI32" i="45"/>
  <c r="DI70" i="45"/>
  <c r="DI59" i="45"/>
  <c r="CS33" i="45"/>
  <c r="CT49" i="45"/>
  <c r="CU49" i="45" s="1"/>
  <c r="BD54" i="45"/>
  <c r="BD34" i="45"/>
  <c r="BH54" i="45"/>
  <c r="BH65" i="45" s="1"/>
  <c r="BH34" i="45"/>
  <c r="BL54" i="45"/>
  <c r="BL65" i="45" s="1"/>
  <c r="BL34" i="45"/>
  <c r="AY52" i="45"/>
  <c r="AZ52" i="45" s="1"/>
  <c r="BH61" i="45"/>
  <c r="CP61" i="45"/>
  <c r="EC72" i="45"/>
  <c r="ET72" i="45"/>
  <c r="DW98" i="45"/>
  <c r="CT98" i="45" s="1"/>
  <c r="CT87" i="45"/>
  <c r="EK236" i="45"/>
  <c r="AY106" i="45"/>
  <c r="AZ106" i="45" s="1"/>
  <c r="AY114" i="45"/>
  <c r="AZ114" i="45" s="1"/>
  <c r="J147" i="24"/>
  <c r="P153" i="5" s="1"/>
  <c r="AY122" i="45"/>
  <c r="AZ122" i="45" s="1"/>
  <c r="K33" i="24"/>
  <c r="L33" i="24" s="1"/>
  <c r="M33" i="24" s="1"/>
  <c r="N33" i="24" s="1"/>
  <c r="O33" i="24" s="1"/>
  <c r="P33" i="24" s="1"/>
  <c r="AY132" i="45"/>
  <c r="AZ132" i="45" s="1"/>
  <c r="K41" i="24"/>
  <c r="L41" i="24" s="1"/>
  <c r="M41" i="24" s="1"/>
  <c r="N41" i="24" s="1"/>
  <c r="O41" i="24" s="1"/>
  <c r="P41" i="24" s="1"/>
  <c r="AY140" i="45"/>
  <c r="AZ140" i="45" s="1"/>
  <c r="K49" i="24"/>
  <c r="L49" i="24" s="1"/>
  <c r="M49" i="24" s="1"/>
  <c r="N49" i="24" s="1"/>
  <c r="O49" i="24" s="1"/>
  <c r="P49" i="24" s="1"/>
  <c r="AY148" i="45"/>
  <c r="AZ148" i="45" s="1"/>
  <c r="H163" i="24"/>
  <c r="N169" i="5" s="1"/>
  <c r="AY156" i="45"/>
  <c r="AZ156" i="45" s="1"/>
  <c r="G65" i="24"/>
  <c r="AY165" i="45"/>
  <c r="AZ165" i="45" s="1"/>
  <c r="BN236" i="45"/>
  <c r="CC167" i="45"/>
  <c r="CD167" i="45" s="1"/>
  <c r="CT169" i="45"/>
  <c r="CU169" i="45" s="1"/>
  <c r="CT175" i="45"/>
  <c r="CU175" i="45" s="1"/>
  <c r="G82" i="24"/>
  <c r="CC182" i="45"/>
  <c r="CD182" i="45" s="1"/>
  <c r="AY182" i="45"/>
  <c r="AZ182" i="45" s="1"/>
  <c r="G83" i="24"/>
  <c r="AY183" i="45"/>
  <c r="AZ183" i="45" s="1"/>
  <c r="CC191" i="45"/>
  <c r="CD191" i="45" s="1"/>
  <c r="AY195" i="45"/>
  <c r="AZ195" i="45" s="1"/>
  <c r="CT198" i="45"/>
  <c r="CU198" i="45" s="1"/>
  <c r="CC17" i="46"/>
  <c r="CD17" i="46" s="1"/>
  <c r="AY17" i="46"/>
  <c r="AZ17" i="46" s="1"/>
  <c r="CT17" i="46"/>
  <c r="CU17" i="46" s="1"/>
  <c r="DI162" i="46"/>
  <c r="G6" i="50"/>
  <c r="M235" i="5"/>
  <c r="CC30" i="46"/>
  <c r="CD30" i="46" s="1"/>
  <c r="AY30" i="46"/>
  <c r="AZ30" i="46" s="1"/>
  <c r="F10" i="50"/>
  <c r="CT34" i="46"/>
  <c r="CU34" i="46" s="1"/>
  <c r="G14" i="50"/>
  <c r="CC38" i="46"/>
  <c r="CD38" i="46" s="1"/>
  <c r="AY38" i="46"/>
  <c r="AZ38" i="46" s="1"/>
  <c r="AX22" i="45"/>
  <c r="AY22" i="45" s="1"/>
  <c r="AZ22" i="45" s="1"/>
  <c r="CB22" i="45"/>
  <c r="EK22" i="45"/>
  <c r="DI25" i="45"/>
  <c r="AX26" i="45"/>
  <c r="CB26" i="45"/>
  <c r="EK26" i="45"/>
  <c r="DI27" i="45"/>
  <c r="AL28" i="45"/>
  <c r="AP28" i="45"/>
  <c r="AT28" i="45"/>
  <c r="BC28" i="45"/>
  <c r="BG28" i="45"/>
  <c r="BK28" i="45"/>
  <c r="BP28" i="45"/>
  <c r="BT28" i="45"/>
  <c r="BX28" i="45"/>
  <c r="CG28" i="45"/>
  <c r="CK28" i="45"/>
  <c r="CO28" i="45"/>
  <c r="DI31" i="45"/>
  <c r="AX32" i="45"/>
  <c r="AX40" i="45"/>
  <c r="CB40" i="45"/>
  <c r="DW40" i="45"/>
  <c r="CB60" i="45"/>
  <c r="EK60" i="45"/>
  <c r="AN61" i="45"/>
  <c r="AR61" i="45"/>
  <c r="AV61" i="45"/>
  <c r="BE61" i="45"/>
  <c r="BI61" i="45"/>
  <c r="BM61" i="45"/>
  <c r="BR61" i="45"/>
  <c r="BV61" i="45"/>
  <c r="BZ61" i="45"/>
  <c r="CI61" i="45"/>
  <c r="CM61" i="45"/>
  <c r="CQ61" i="45"/>
  <c r="BN69" i="45"/>
  <c r="AX70" i="45"/>
  <c r="CZ72" i="45"/>
  <c r="DD72" i="45"/>
  <c r="DH72" i="45"/>
  <c r="DM72" i="45"/>
  <c r="DQ72" i="45"/>
  <c r="DU72" i="45"/>
  <c r="DZ72" i="45"/>
  <c r="ED72" i="45"/>
  <c r="EH72" i="45"/>
  <c r="EM72" i="45"/>
  <c r="EQ72" i="45"/>
  <c r="EU72" i="45"/>
  <c r="DI73" i="45"/>
  <c r="BN81" i="45"/>
  <c r="AY81" i="45" s="1"/>
  <c r="AZ81" i="45" s="1"/>
  <c r="CS236" i="45"/>
  <c r="DW236" i="45"/>
  <c r="CT176" i="45"/>
  <c r="CU176" i="45" s="1"/>
  <c r="CT184" i="45"/>
  <c r="CU184" i="45" s="1"/>
  <c r="CT192" i="45"/>
  <c r="CU192" i="45" s="1"/>
  <c r="CT200" i="45"/>
  <c r="CU200" i="45" s="1"/>
  <c r="DW25" i="46"/>
  <c r="CC15" i="46"/>
  <c r="CD15" i="46" s="1"/>
  <c r="AY15" i="46"/>
  <c r="AZ15" i="46" s="1"/>
  <c r="CT15" i="46"/>
  <c r="CU15" i="46" s="1"/>
  <c r="CC23" i="46"/>
  <c r="CD23" i="46" s="1"/>
  <c r="AY23" i="46"/>
  <c r="AZ23" i="46" s="1"/>
  <c r="CT23" i="46"/>
  <c r="CU23" i="46" s="1"/>
  <c r="G4" i="50"/>
  <c r="M216" i="5"/>
  <c r="CC28" i="46"/>
  <c r="CD28" i="46" s="1"/>
  <c r="AY28" i="46"/>
  <c r="AZ28" i="46" s="1"/>
  <c r="BN160" i="46"/>
  <c r="DW160" i="46"/>
  <c r="DW162" i="46" s="1"/>
  <c r="F8" i="50"/>
  <c r="CT32" i="46"/>
  <c r="CU32" i="46" s="1"/>
  <c r="G12" i="50"/>
  <c r="G144" i="50" s="1"/>
  <c r="CC36" i="46"/>
  <c r="CD36" i="46" s="1"/>
  <c r="AY36" i="46"/>
  <c r="AZ36" i="46" s="1"/>
  <c r="AY15" i="45"/>
  <c r="AZ15" i="45" s="1"/>
  <c r="AY20" i="45"/>
  <c r="AZ20" i="45" s="1"/>
  <c r="BN25" i="45"/>
  <c r="CS25" i="45"/>
  <c r="DW25" i="45"/>
  <c r="EY26" i="45"/>
  <c r="BN27" i="45"/>
  <c r="BN31" i="45"/>
  <c r="AY38" i="45"/>
  <c r="AZ38" i="45" s="1"/>
  <c r="EK40" i="45"/>
  <c r="AY42" i="45"/>
  <c r="AZ42" i="45" s="1"/>
  <c r="CC49" i="45"/>
  <c r="CD49" i="45" s="1"/>
  <c r="DI50" i="45"/>
  <c r="CX61" i="45"/>
  <c r="DB61" i="45"/>
  <c r="DF61" i="45"/>
  <c r="DK61" i="45"/>
  <c r="DO61" i="45"/>
  <c r="DS61" i="45"/>
  <c r="EB61" i="45"/>
  <c r="EF61" i="45"/>
  <c r="EJ61" i="45"/>
  <c r="EO61" i="45"/>
  <c r="ES61" i="45"/>
  <c r="EW61" i="45"/>
  <c r="AX71" i="45"/>
  <c r="DI71" i="45"/>
  <c r="AL72" i="45"/>
  <c r="AP72" i="45"/>
  <c r="AT72" i="45"/>
  <c r="BE72" i="45"/>
  <c r="BI72" i="45"/>
  <c r="BM72" i="45"/>
  <c r="BR72" i="45"/>
  <c r="BV72" i="45"/>
  <c r="BZ72" i="45"/>
  <c r="CG72" i="45"/>
  <c r="CK72" i="45"/>
  <c r="CO72" i="45"/>
  <c r="AX74" i="45"/>
  <c r="AX236" i="45"/>
  <c r="CB236" i="45"/>
  <c r="CT101" i="45"/>
  <c r="CU101" i="45" s="1"/>
  <c r="CT170" i="45"/>
  <c r="CU170" i="45" s="1"/>
  <c r="AY173" i="45"/>
  <c r="AZ173" i="45" s="1"/>
  <c r="CT178" i="45"/>
  <c r="CU178" i="45" s="1"/>
  <c r="AY181" i="45"/>
  <c r="AZ181" i="45" s="1"/>
  <c r="CT186" i="45"/>
  <c r="CU186" i="45" s="1"/>
  <c r="AY189" i="45"/>
  <c r="AZ189" i="45" s="1"/>
  <c r="CT194" i="45"/>
  <c r="CU194" i="45" s="1"/>
  <c r="AY197" i="45"/>
  <c r="AZ197" i="45" s="1"/>
  <c r="CT202" i="45"/>
  <c r="CU202" i="45" s="1"/>
  <c r="AY205" i="45"/>
  <c r="AZ205" i="45" s="1"/>
  <c r="CC210" i="45"/>
  <c r="CD210" i="45" s="1"/>
  <c r="CC214" i="45"/>
  <c r="CD214" i="45" s="1"/>
  <c r="CC218" i="45"/>
  <c r="CD218" i="45" s="1"/>
  <c r="CC222" i="45"/>
  <c r="CD222" i="45" s="1"/>
  <c r="CC224" i="45"/>
  <c r="CD224" i="45" s="1"/>
  <c r="G126" i="24"/>
  <c r="CC228" i="45"/>
  <c r="CD228" i="45" s="1"/>
  <c r="G130" i="24"/>
  <c r="CS25" i="46"/>
  <c r="CC21" i="46"/>
  <c r="CD21" i="46" s="1"/>
  <c r="AY21" i="46"/>
  <c r="AZ21" i="46" s="1"/>
  <c r="CT21" i="46"/>
  <c r="CU21" i="46" s="1"/>
  <c r="F6" i="50"/>
  <c r="CT30" i="46"/>
  <c r="CU30" i="46" s="1"/>
  <c r="G10" i="50"/>
  <c r="CC34" i="46"/>
  <c r="CD34" i="46" s="1"/>
  <c r="AY34" i="46"/>
  <c r="AZ34" i="46" s="1"/>
  <c r="Q52" i="6"/>
  <c r="Q50" i="6"/>
  <c r="Q46" i="6"/>
  <c r="Q44" i="6"/>
  <c r="Q43" i="6"/>
  <c r="Q35" i="6"/>
  <c r="Q28" i="6"/>
  <c r="P21" i="6" s="1"/>
  <c r="Q40" i="6"/>
  <c r="Q39" i="6"/>
  <c r="Q36" i="6"/>
  <c r="J31" i="5" s="1"/>
  <c r="Q34" i="6"/>
  <c r="Q49" i="6"/>
  <c r="Q47" i="6"/>
  <c r="Q45" i="6"/>
  <c r="Q42" i="6"/>
  <c r="Q41" i="6"/>
  <c r="Q53" i="6"/>
  <c r="Q26" i="6"/>
  <c r="S20" i="6" s="1"/>
  <c r="Q48" i="6"/>
  <c r="CT19" i="45"/>
  <c r="CU19" i="45" s="1"/>
  <c r="CT21" i="45"/>
  <c r="CU21" i="45" s="1"/>
  <c r="AX25" i="45"/>
  <c r="CB25" i="45"/>
  <c r="EK25" i="45"/>
  <c r="AX27" i="45"/>
  <c r="AX31" i="45"/>
  <c r="AX33" i="45"/>
  <c r="CT37" i="45"/>
  <c r="CU37" i="45" s="1"/>
  <c r="CT39" i="45"/>
  <c r="CU39" i="45" s="1"/>
  <c r="CT41" i="45"/>
  <c r="CU41" i="45" s="1"/>
  <c r="AL44" i="45"/>
  <c r="AP44" i="45"/>
  <c r="AP65" i="45" s="1"/>
  <c r="AT44" i="45"/>
  <c r="AT65" i="45" s="1"/>
  <c r="BC44" i="45"/>
  <c r="BC65" i="45" s="1"/>
  <c r="BG44" i="45"/>
  <c r="BG65" i="45" s="1"/>
  <c r="BK44" i="45"/>
  <c r="BK65" i="45" s="1"/>
  <c r="BP44" i="45"/>
  <c r="BT44" i="45"/>
  <c r="BT65" i="45" s="1"/>
  <c r="BX44" i="45"/>
  <c r="BX65" i="45" s="1"/>
  <c r="CG44" i="45"/>
  <c r="CG65" i="45" s="1"/>
  <c r="CK44" i="45"/>
  <c r="CK65" i="45" s="1"/>
  <c r="CO44" i="45"/>
  <c r="CO65" i="45" s="1"/>
  <c r="CX44" i="45"/>
  <c r="CX65" i="45" s="1"/>
  <c r="DB44" i="45"/>
  <c r="DB65" i="45" s="1"/>
  <c r="DF44" i="45"/>
  <c r="DF65" i="45" s="1"/>
  <c r="DK44" i="45"/>
  <c r="DO44" i="45"/>
  <c r="DO65" i="45" s="1"/>
  <c r="DS44" i="45"/>
  <c r="DS65" i="45" s="1"/>
  <c r="EB44" i="45"/>
  <c r="EB65" i="45" s="1"/>
  <c r="EF44" i="45"/>
  <c r="EF65" i="45" s="1"/>
  <c r="EJ44" i="45"/>
  <c r="EJ65" i="45" s="1"/>
  <c r="EO44" i="45"/>
  <c r="EO65" i="45" s="1"/>
  <c r="ES44" i="45"/>
  <c r="ES65" i="45" s="1"/>
  <c r="EW44" i="45"/>
  <c r="EW65" i="45" s="1"/>
  <c r="AY48" i="45"/>
  <c r="AZ48" i="45" s="1"/>
  <c r="AY51" i="45"/>
  <c r="AZ51" i="45" s="1"/>
  <c r="CB59" i="45"/>
  <c r="EK59" i="45"/>
  <c r="BN71" i="45"/>
  <c r="BN73" i="45"/>
  <c r="AY101" i="45"/>
  <c r="AZ101" i="45" s="1"/>
  <c r="CC101" i="45"/>
  <c r="CD101" i="45" s="1"/>
  <c r="EY236" i="45"/>
  <c r="AY103" i="45"/>
  <c r="AZ103" i="45" s="1"/>
  <c r="AY105" i="45"/>
  <c r="AZ105" i="45" s="1"/>
  <c r="AY107" i="45"/>
  <c r="AZ107" i="45" s="1"/>
  <c r="AY109" i="45"/>
  <c r="AZ109" i="45" s="1"/>
  <c r="AY111" i="45"/>
  <c r="AZ111" i="45" s="1"/>
  <c r="AY113" i="45"/>
  <c r="AZ113" i="45" s="1"/>
  <c r="AY115" i="45"/>
  <c r="AZ115" i="45" s="1"/>
  <c r="AY117" i="45"/>
  <c r="AZ117" i="45" s="1"/>
  <c r="AY119" i="45"/>
  <c r="AZ119" i="45" s="1"/>
  <c r="AY121" i="45"/>
  <c r="AZ121" i="45" s="1"/>
  <c r="AY123" i="45"/>
  <c r="AZ123" i="45" s="1"/>
  <c r="AY125" i="45"/>
  <c r="AZ125" i="45" s="1"/>
  <c r="AY127" i="45"/>
  <c r="AZ127" i="45" s="1"/>
  <c r="AY129" i="45"/>
  <c r="AZ129" i="45" s="1"/>
  <c r="AY131" i="45"/>
  <c r="AZ131" i="45" s="1"/>
  <c r="AY133" i="45"/>
  <c r="AZ133" i="45" s="1"/>
  <c r="AY135" i="45"/>
  <c r="AZ135" i="45" s="1"/>
  <c r="AY137" i="45"/>
  <c r="AZ137" i="45" s="1"/>
  <c r="AY139" i="45"/>
  <c r="AZ139" i="45" s="1"/>
  <c r="AY141" i="45"/>
  <c r="AZ141" i="45" s="1"/>
  <c r="AY143" i="45"/>
  <c r="AZ143" i="45" s="1"/>
  <c r="AY145" i="45"/>
  <c r="AZ145" i="45" s="1"/>
  <c r="AY147" i="45"/>
  <c r="AZ147" i="45" s="1"/>
  <c r="AY149" i="45"/>
  <c r="AZ149" i="45" s="1"/>
  <c r="AY151" i="45"/>
  <c r="AZ151" i="45" s="1"/>
  <c r="AY153" i="45"/>
  <c r="AZ153" i="45" s="1"/>
  <c r="AY155" i="45"/>
  <c r="AZ155" i="45" s="1"/>
  <c r="AY158" i="45"/>
  <c r="AZ158" i="45" s="1"/>
  <c r="AY160" i="45"/>
  <c r="AZ160" i="45" s="1"/>
  <c r="AY162" i="45"/>
  <c r="AZ162" i="45" s="1"/>
  <c r="AY164" i="45"/>
  <c r="AZ164" i="45" s="1"/>
  <c r="CT172" i="45"/>
  <c r="CU172" i="45" s="1"/>
  <c r="AY176" i="45"/>
  <c r="AZ176" i="45" s="1"/>
  <c r="CC176" i="45"/>
  <c r="CD176" i="45" s="1"/>
  <c r="CT180" i="45"/>
  <c r="CU180" i="45" s="1"/>
  <c r="AY184" i="45"/>
  <c r="AZ184" i="45" s="1"/>
  <c r="CC184" i="45"/>
  <c r="CD184" i="45" s="1"/>
  <c r="CT188" i="45"/>
  <c r="CU188" i="45" s="1"/>
  <c r="AY192" i="45"/>
  <c r="AZ192" i="45" s="1"/>
  <c r="CC192" i="45"/>
  <c r="CD192" i="45" s="1"/>
  <c r="CT196" i="45"/>
  <c r="CU196" i="45" s="1"/>
  <c r="AY200" i="45"/>
  <c r="AZ200" i="45" s="1"/>
  <c r="CC200" i="45"/>
  <c r="CD200" i="45" s="1"/>
  <c r="CT204" i="45"/>
  <c r="CU204" i="45" s="1"/>
  <c r="CT206" i="45"/>
  <c r="CU206" i="45" s="1"/>
  <c r="CC209" i="45"/>
  <c r="CD209" i="45" s="1"/>
  <c r="AY210" i="45"/>
  <c r="AZ210" i="45" s="1"/>
  <c r="CT210" i="45"/>
  <c r="CU210" i="45" s="1"/>
  <c r="CC213" i="45"/>
  <c r="CD213" i="45" s="1"/>
  <c r="AY214" i="45"/>
  <c r="AZ214" i="45" s="1"/>
  <c r="CT214" i="45"/>
  <c r="CU214" i="45" s="1"/>
  <c r="CC217" i="45"/>
  <c r="CD217" i="45" s="1"/>
  <c r="AY218" i="45"/>
  <c r="AZ218" i="45" s="1"/>
  <c r="CT218" i="45"/>
  <c r="CU218" i="45" s="1"/>
  <c r="CC221" i="45"/>
  <c r="CD221" i="45" s="1"/>
  <c r="AY222" i="45"/>
  <c r="AZ222" i="45" s="1"/>
  <c r="CT222" i="45"/>
  <c r="CU222" i="45" s="1"/>
  <c r="AY224" i="45"/>
  <c r="AZ224" i="45" s="1"/>
  <c r="CT224" i="45"/>
  <c r="CU224" i="45" s="1"/>
  <c r="CC227" i="45"/>
  <c r="CD227" i="45" s="1"/>
  <c r="AY228" i="45"/>
  <c r="AZ228" i="45" s="1"/>
  <c r="CT228" i="45"/>
  <c r="CU228" i="45" s="1"/>
  <c r="BN25" i="46"/>
  <c r="CC19" i="46"/>
  <c r="CD19" i="46" s="1"/>
  <c r="AY19" i="46"/>
  <c r="AZ19" i="46" s="1"/>
  <c r="CT19" i="46"/>
  <c r="CU19" i="46" s="1"/>
  <c r="F4" i="50"/>
  <c r="CT28" i="46"/>
  <c r="CU28" i="46" s="1"/>
  <c r="CS160" i="46"/>
  <c r="G8" i="50"/>
  <c r="CC32" i="46"/>
  <c r="CD32" i="46" s="1"/>
  <c r="AY32" i="46"/>
  <c r="AZ32" i="46" s="1"/>
  <c r="F12" i="50"/>
  <c r="F144" i="50" s="1"/>
  <c r="CT36" i="46"/>
  <c r="CU36" i="46" s="1"/>
  <c r="H161" i="50"/>
  <c r="AY223" i="45"/>
  <c r="AZ223" i="45" s="1"/>
  <c r="CT14" i="46"/>
  <c r="CU14" i="46" s="1"/>
  <c r="CT29" i="46"/>
  <c r="CU29" i="46" s="1"/>
  <c r="CT31" i="46"/>
  <c r="CU31" i="46" s="1"/>
  <c r="N223" i="5"/>
  <c r="CT33" i="46"/>
  <c r="CU33" i="46" s="1"/>
  <c r="N236" i="5"/>
  <c r="CT35" i="46"/>
  <c r="CU35" i="46" s="1"/>
  <c r="CT37" i="46"/>
  <c r="CU37" i="46" s="1"/>
  <c r="CT39" i="46"/>
  <c r="CU39" i="46" s="1"/>
  <c r="CT41" i="46"/>
  <c r="CU41" i="46" s="1"/>
  <c r="CT43" i="46"/>
  <c r="CU43" i="46" s="1"/>
  <c r="CT45" i="46"/>
  <c r="CU45" i="46" s="1"/>
  <c r="CT47" i="46"/>
  <c r="CU47" i="46" s="1"/>
  <c r="I145" i="50"/>
  <c r="H145" i="50"/>
  <c r="CT49" i="46"/>
  <c r="CU49" i="46" s="1"/>
  <c r="N219" i="5"/>
  <c r="F51" i="50"/>
  <c r="CT77" i="46"/>
  <c r="CU77" i="46" s="1"/>
  <c r="CT78" i="46"/>
  <c r="CU78" i="46" s="1"/>
  <c r="F58" i="50"/>
  <c r="CT85" i="46"/>
  <c r="CU85" i="46" s="1"/>
  <c r="CT86" i="46"/>
  <c r="CU86" i="46" s="1"/>
  <c r="F69" i="50"/>
  <c r="CT96" i="46"/>
  <c r="CU96" i="46" s="1"/>
  <c r="CT97" i="46"/>
  <c r="CU97" i="46" s="1"/>
  <c r="F77" i="50"/>
  <c r="CT104" i="46"/>
  <c r="CU104" i="46" s="1"/>
  <c r="CT105" i="46"/>
  <c r="CU105" i="46" s="1"/>
  <c r="F85" i="50"/>
  <c r="CT112" i="46"/>
  <c r="CU112" i="46" s="1"/>
  <c r="CT113" i="46"/>
  <c r="CU113" i="46" s="1"/>
  <c r="F88" i="50"/>
  <c r="CT115" i="46"/>
  <c r="CU115" i="46" s="1"/>
  <c r="F92" i="50"/>
  <c r="CT119" i="46"/>
  <c r="CU119" i="46" s="1"/>
  <c r="F96" i="50"/>
  <c r="CT123" i="46"/>
  <c r="CU123" i="46" s="1"/>
  <c r="F100" i="50"/>
  <c r="CT127" i="46"/>
  <c r="CU127" i="46" s="1"/>
  <c r="F104" i="50"/>
  <c r="CT131" i="46"/>
  <c r="CU131" i="46" s="1"/>
  <c r="F108" i="50"/>
  <c r="CT135" i="46"/>
  <c r="CU135" i="46" s="1"/>
  <c r="L256" i="50"/>
  <c r="L45" i="5"/>
  <c r="J96" i="5"/>
  <c r="K122" i="5" s="1"/>
  <c r="K130" i="5" s="1"/>
  <c r="J138" i="5"/>
  <c r="J89" i="5"/>
  <c r="S216" i="5"/>
  <c r="M218" i="5"/>
  <c r="Q238" i="5"/>
  <c r="R220" i="5"/>
  <c r="R238" i="5" s="1"/>
  <c r="M223" i="5"/>
  <c r="Y55" i="6"/>
  <c r="Z55" i="6" s="1"/>
  <c r="Z37" i="6"/>
  <c r="AE53" i="6"/>
  <c r="AK40" i="6"/>
  <c r="AM56" i="48"/>
  <c r="AL56" i="48"/>
  <c r="AY73" i="46"/>
  <c r="AZ73" i="46" s="1"/>
  <c r="F54" i="50"/>
  <c r="CT80" i="46"/>
  <c r="CU80" i="46" s="1"/>
  <c r="AY82" i="46"/>
  <c r="AZ82" i="46" s="1"/>
  <c r="F60" i="50"/>
  <c r="CT87" i="46"/>
  <c r="CU87" i="46" s="1"/>
  <c r="CT88" i="46"/>
  <c r="CU88" i="46" s="1"/>
  <c r="CT91" i="46"/>
  <c r="CU91" i="46" s="1"/>
  <c r="N234" i="5"/>
  <c r="F71" i="50"/>
  <c r="CT98" i="46"/>
  <c r="CU98" i="46" s="1"/>
  <c r="CT99" i="46"/>
  <c r="CU99" i="46" s="1"/>
  <c r="F79" i="50"/>
  <c r="CT106" i="46"/>
  <c r="CU106" i="46" s="1"/>
  <c r="CT107" i="46"/>
  <c r="CU107" i="46" s="1"/>
  <c r="F87" i="50"/>
  <c r="CT114" i="46"/>
  <c r="CU114" i="46" s="1"/>
  <c r="F91" i="50"/>
  <c r="CT118" i="46"/>
  <c r="CU118" i="46" s="1"/>
  <c r="F95" i="50"/>
  <c r="CT122" i="46"/>
  <c r="CU122" i="46" s="1"/>
  <c r="F99" i="50"/>
  <c r="CT126" i="46"/>
  <c r="CU126" i="46" s="1"/>
  <c r="F103" i="50"/>
  <c r="CT130" i="46"/>
  <c r="CU130" i="46" s="1"/>
  <c r="F107" i="50"/>
  <c r="CT134" i="46"/>
  <c r="CU134" i="46" s="1"/>
  <c r="F111" i="50"/>
  <c r="CT138" i="46"/>
  <c r="CU138" i="46" s="1"/>
  <c r="J218" i="24"/>
  <c r="K216" i="24"/>
  <c r="K105" i="5"/>
  <c r="J104" i="5"/>
  <c r="M234" i="5"/>
  <c r="K292" i="5"/>
  <c r="Y21" i="6"/>
  <c r="V21" i="6"/>
  <c r="P55" i="6"/>
  <c r="N216" i="5"/>
  <c r="EK160" i="46"/>
  <c r="EK162" i="46" s="1"/>
  <c r="N235" i="5"/>
  <c r="CT38" i="46"/>
  <c r="CU38" i="46" s="1"/>
  <c r="CT40" i="46"/>
  <c r="CU40" i="46" s="1"/>
  <c r="CT42" i="46"/>
  <c r="CU42" i="46" s="1"/>
  <c r="CT44" i="46"/>
  <c r="CU44" i="46" s="1"/>
  <c r="CT46" i="46"/>
  <c r="CU46" i="46" s="1"/>
  <c r="CT48" i="46"/>
  <c r="CU48" i="46" s="1"/>
  <c r="CT50" i="46"/>
  <c r="CU50" i="46" s="1"/>
  <c r="N218" i="5"/>
  <c r="CT52" i="46"/>
  <c r="CU52" i="46" s="1"/>
  <c r="H147" i="50"/>
  <c r="CT54" i="46"/>
  <c r="CU54" i="46" s="1"/>
  <c r="CT56" i="46"/>
  <c r="CU56" i="46" s="1"/>
  <c r="CT58" i="46"/>
  <c r="CU58" i="46" s="1"/>
  <c r="CT60" i="46"/>
  <c r="CU60" i="46" s="1"/>
  <c r="CT62" i="46"/>
  <c r="CU62" i="46" s="1"/>
  <c r="CT64" i="46"/>
  <c r="CU64" i="46" s="1"/>
  <c r="CT66" i="46"/>
  <c r="CU66" i="46" s="1"/>
  <c r="CT68" i="46"/>
  <c r="CU68" i="46" s="1"/>
  <c r="CT70" i="46"/>
  <c r="CU70" i="46" s="1"/>
  <c r="CT72" i="46"/>
  <c r="CU72" i="46" s="1"/>
  <c r="CT74" i="46"/>
  <c r="CU74" i="46" s="1"/>
  <c r="AY76" i="46"/>
  <c r="AZ76" i="46" s="1"/>
  <c r="AY77" i="46"/>
  <c r="AZ77" i="46" s="1"/>
  <c r="CC77" i="46"/>
  <c r="CD77" i="46" s="1"/>
  <c r="G55" i="50"/>
  <c r="AY81" i="46"/>
  <c r="AZ81" i="46" s="1"/>
  <c r="CT81" i="46"/>
  <c r="CU81" i="46" s="1"/>
  <c r="CT82" i="46"/>
  <c r="CU82" i="46" s="1"/>
  <c r="AY84" i="46"/>
  <c r="AZ84" i="46" s="1"/>
  <c r="AY85" i="46"/>
  <c r="AZ85" i="46" s="1"/>
  <c r="CC85" i="46"/>
  <c r="CD85" i="46" s="1"/>
  <c r="F62" i="50"/>
  <c r="CT89" i="46"/>
  <c r="CU89" i="46" s="1"/>
  <c r="F65" i="50"/>
  <c r="CT92" i="46"/>
  <c r="CU92" i="46" s="1"/>
  <c r="CT93" i="46"/>
  <c r="CU93" i="46" s="1"/>
  <c r="AY95" i="46"/>
  <c r="AZ95" i="46" s="1"/>
  <c r="AY96" i="46"/>
  <c r="AZ96" i="46" s="1"/>
  <c r="CC96" i="46"/>
  <c r="CD96" i="46" s="1"/>
  <c r="F73" i="50"/>
  <c r="CT100" i="46"/>
  <c r="CU100" i="46" s="1"/>
  <c r="CT101" i="46"/>
  <c r="CU101" i="46" s="1"/>
  <c r="AY103" i="46"/>
  <c r="AZ103" i="46" s="1"/>
  <c r="AY104" i="46"/>
  <c r="AZ104" i="46" s="1"/>
  <c r="CC104" i="46"/>
  <c r="CD104" i="46" s="1"/>
  <c r="F81" i="50"/>
  <c r="CT108" i="46"/>
  <c r="CU108" i="46" s="1"/>
  <c r="CT109" i="46"/>
  <c r="CU109" i="46" s="1"/>
  <c r="AY111" i="46"/>
  <c r="AZ111" i="46" s="1"/>
  <c r="AY112" i="46"/>
  <c r="AZ112" i="46" s="1"/>
  <c r="CC112" i="46"/>
  <c r="CD112" i="46" s="1"/>
  <c r="CC115" i="46"/>
  <c r="CD115" i="46" s="1"/>
  <c r="H163" i="50"/>
  <c r="F90" i="50"/>
  <c r="CT117" i="46"/>
  <c r="CU117" i="46" s="1"/>
  <c r="CC119" i="46"/>
  <c r="CD119" i="46" s="1"/>
  <c r="F94" i="50"/>
  <c r="CT121" i="46"/>
  <c r="CU121" i="46" s="1"/>
  <c r="CC123" i="46"/>
  <c r="CD123" i="46" s="1"/>
  <c r="F98" i="50"/>
  <c r="CT125" i="46"/>
  <c r="CU125" i="46" s="1"/>
  <c r="CC127" i="46"/>
  <c r="CD127" i="46" s="1"/>
  <c r="F102" i="50"/>
  <c r="CT129" i="46"/>
  <c r="CU129" i="46" s="1"/>
  <c r="CC131" i="46"/>
  <c r="CD131" i="46" s="1"/>
  <c r="F106" i="50"/>
  <c r="CT133" i="46"/>
  <c r="CU133" i="46" s="1"/>
  <c r="CC135" i="46"/>
  <c r="CD135" i="46" s="1"/>
  <c r="F110" i="50"/>
  <c r="CT137" i="46"/>
  <c r="CU137" i="46" s="1"/>
  <c r="CC139" i="46"/>
  <c r="CD139" i="46" s="1"/>
  <c r="O166" i="5"/>
  <c r="I148" i="24"/>
  <c r="O154" i="5" s="1"/>
  <c r="S166" i="5"/>
  <c r="M148" i="24"/>
  <c r="S154" i="5" s="1"/>
  <c r="N146" i="50"/>
  <c r="N202" i="50" s="1"/>
  <c r="B6" i="4"/>
  <c r="I53" i="5"/>
  <c r="M12" i="6"/>
  <c r="M10" i="6" s="1"/>
  <c r="K82" i="5"/>
  <c r="L120" i="5"/>
  <c r="K146" i="5"/>
  <c r="M236" i="5"/>
  <c r="J55" i="6"/>
  <c r="K37" i="6"/>
  <c r="V37" i="6"/>
  <c r="M53" i="6"/>
  <c r="N53" i="6" s="1"/>
  <c r="N49" i="6"/>
  <c r="EY160" i="46"/>
  <c r="AY40" i="46"/>
  <c r="AZ40" i="46" s="1"/>
  <c r="CC40" i="46"/>
  <c r="CD40" i="46" s="1"/>
  <c r="AY42" i="46"/>
  <c r="AZ42" i="46" s="1"/>
  <c r="CC42" i="46"/>
  <c r="CD42" i="46" s="1"/>
  <c r="AY44" i="46"/>
  <c r="AZ44" i="46" s="1"/>
  <c r="CC44" i="46"/>
  <c r="CD44" i="46" s="1"/>
  <c r="AY46" i="46"/>
  <c r="AZ46" i="46" s="1"/>
  <c r="CC46" i="46"/>
  <c r="CD46" i="46" s="1"/>
  <c r="AY48" i="46"/>
  <c r="AZ48" i="46" s="1"/>
  <c r="CC48" i="46"/>
  <c r="CD48" i="46" s="1"/>
  <c r="G145" i="50"/>
  <c r="AY50" i="46"/>
  <c r="AZ50" i="46" s="1"/>
  <c r="CC50" i="46"/>
  <c r="CD50" i="46" s="1"/>
  <c r="G27" i="50"/>
  <c r="M219" i="5"/>
  <c r="F146" i="50"/>
  <c r="AY52" i="46"/>
  <c r="AZ52" i="46" s="1"/>
  <c r="CC52" i="46"/>
  <c r="CD52" i="46" s="1"/>
  <c r="AY54" i="46"/>
  <c r="AZ54" i="46" s="1"/>
  <c r="CC54" i="46"/>
  <c r="CD54" i="46" s="1"/>
  <c r="AY56" i="46"/>
  <c r="AZ56" i="46" s="1"/>
  <c r="CC56" i="46"/>
  <c r="CD56" i="46" s="1"/>
  <c r="AY58" i="46"/>
  <c r="AZ58" i="46" s="1"/>
  <c r="AY60" i="46"/>
  <c r="AZ60" i="46" s="1"/>
  <c r="AY62" i="46"/>
  <c r="AZ62" i="46" s="1"/>
  <c r="AY64" i="46"/>
  <c r="AZ64" i="46" s="1"/>
  <c r="AY66" i="46"/>
  <c r="AZ66" i="46" s="1"/>
  <c r="AY68" i="46"/>
  <c r="AZ68" i="46" s="1"/>
  <c r="AY70" i="46"/>
  <c r="AZ70" i="46" s="1"/>
  <c r="G45" i="50"/>
  <c r="G162" i="50" s="1"/>
  <c r="AY72" i="46"/>
  <c r="AZ72" i="46" s="1"/>
  <c r="AY74" i="46"/>
  <c r="AZ74" i="46" s="1"/>
  <c r="F49" i="50"/>
  <c r="CT75" i="46"/>
  <c r="CU75" i="46" s="1"/>
  <c r="CT76" i="46"/>
  <c r="CU76" i="46" s="1"/>
  <c r="AY78" i="46"/>
  <c r="AZ78" i="46" s="1"/>
  <c r="AY80" i="46"/>
  <c r="AZ80" i="46" s="1"/>
  <c r="CC80" i="46"/>
  <c r="CD80" i="46" s="1"/>
  <c r="CC81" i="46"/>
  <c r="CD81" i="46" s="1"/>
  <c r="F131" i="50"/>
  <c r="CT83" i="46"/>
  <c r="CU83" i="46" s="1"/>
  <c r="CT84" i="46"/>
  <c r="CU84" i="46" s="1"/>
  <c r="AY86" i="46"/>
  <c r="AZ86" i="46" s="1"/>
  <c r="AY87" i="46"/>
  <c r="AZ87" i="46" s="1"/>
  <c r="CC87" i="46"/>
  <c r="CD87" i="46" s="1"/>
  <c r="F67" i="50"/>
  <c r="F149" i="50" s="1"/>
  <c r="CT94" i="46"/>
  <c r="CU94" i="46" s="1"/>
  <c r="CT95" i="46"/>
  <c r="CU95" i="46" s="1"/>
  <c r="AY97" i="46"/>
  <c r="AZ97" i="46" s="1"/>
  <c r="AY98" i="46"/>
  <c r="AZ98" i="46" s="1"/>
  <c r="CC98" i="46"/>
  <c r="CD98" i="46" s="1"/>
  <c r="F75" i="50"/>
  <c r="CT102" i="46"/>
  <c r="CU102" i="46" s="1"/>
  <c r="CT103" i="46"/>
  <c r="CU103" i="46" s="1"/>
  <c r="AY105" i="46"/>
  <c r="AZ105" i="46" s="1"/>
  <c r="AY106" i="46"/>
  <c r="AZ106" i="46" s="1"/>
  <c r="CC106" i="46"/>
  <c r="CD106" i="46" s="1"/>
  <c r="F83" i="50"/>
  <c r="CT110" i="46"/>
  <c r="CU110" i="46" s="1"/>
  <c r="CT111" i="46"/>
  <c r="CU111" i="46" s="1"/>
  <c r="AY113" i="46"/>
  <c r="AZ113" i="46" s="1"/>
  <c r="AY114" i="46"/>
  <c r="AZ114" i="46" s="1"/>
  <c r="CC114" i="46"/>
  <c r="CD114" i="46" s="1"/>
  <c r="G163" i="50"/>
  <c r="F89" i="50"/>
  <c r="CT116" i="46"/>
  <c r="CU116" i="46" s="1"/>
  <c r="CC118" i="46"/>
  <c r="CD118" i="46" s="1"/>
  <c r="F93" i="50"/>
  <c r="CT120" i="46"/>
  <c r="CU120" i="46" s="1"/>
  <c r="CC122" i="46"/>
  <c r="CD122" i="46" s="1"/>
  <c r="F97" i="50"/>
  <c r="CT124" i="46"/>
  <c r="CU124" i="46" s="1"/>
  <c r="CC126" i="46"/>
  <c r="CD126" i="46" s="1"/>
  <c r="F101" i="50"/>
  <c r="CT128" i="46"/>
  <c r="CU128" i="46" s="1"/>
  <c r="CC130" i="46"/>
  <c r="CD130" i="46" s="1"/>
  <c r="F105" i="50"/>
  <c r="CT132" i="46"/>
  <c r="CU132" i="46" s="1"/>
  <c r="CC134" i="46"/>
  <c r="CD134" i="46" s="1"/>
  <c r="F109" i="50"/>
  <c r="CT136" i="46"/>
  <c r="CU136" i="46" s="1"/>
  <c r="CC138" i="46"/>
  <c r="CD138" i="46" s="1"/>
  <c r="J12" i="5"/>
  <c r="L74" i="5"/>
  <c r="H122" i="5"/>
  <c r="H130" i="5" s="1"/>
  <c r="AK34" i="6"/>
  <c r="AN34" i="6" s="1"/>
  <c r="AM81" i="48"/>
  <c r="AU81" i="48" s="1"/>
  <c r="AM85" i="48"/>
  <c r="AU85" i="48" s="1"/>
  <c r="J74" i="5"/>
  <c r="C16" i="4"/>
  <c r="C44" i="4" s="1"/>
  <c r="C14" i="4"/>
  <c r="C30" i="4" s="1"/>
  <c r="J134" i="5"/>
  <c r="AB53" i="6"/>
  <c r="H55" i="6"/>
  <c r="H58" i="6" s="1"/>
  <c r="AP156" i="48"/>
  <c r="AM82" i="48"/>
  <c r="AU82" i="48" s="1"/>
  <c r="AU128" i="48"/>
  <c r="AR139" i="48"/>
  <c r="BM17" i="16"/>
  <c r="BJ17" i="16"/>
  <c r="G44" i="5"/>
  <c r="D6" i="4"/>
  <c r="K74" i="5"/>
  <c r="J82" i="5"/>
  <c r="G92" i="5"/>
  <c r="G142" i="5" s="1"/>
  <c r="G93" i="5"/>
  <c r="G143" i="5" s="1"/>
  <c r="H111" i="5"/>
  <c r="H115" i="5" s="1"/>
  <c r="L113" i="5"/>
  <c r="L115" i="5" s="1"/>
  <c r="K134" i="5"/>
  <c r="J137" i="5"/>
  <c r="K138" i="5"/>
  <c r="O217" i="5"/>
  <c r="P217" i="5" s="1"/>
  <c r="J294" i="5"/>
  <c r="P12" i="6"/>
  <c r="P10" i="6" s="1"/>
  <c r="E72" i="48"/>
  <c r="AM83" i="48"/>
  <c r="AU83" i="48" s="1"/>
  <c r="E133" i="48"/>
  <c r="E74" i="9"/>
  <c r="N73" i="9"/>
  <c r="C46" i="39" s="1"/>
  <c r="J12" i="16"/>
  <c r="H12" i="16"/>
  <c r="G12" i="16" s="1"/>
  <c r="AB12" i="16"/>
  <c r="Z12" i="16"/>
  <c r="Y12" i="16" s="1"/>
  <c r="CT139" i="46"/>
  <c r="CU139" i="46" s="1"/>
  <c r="CT140" i="46"/>
  <c r="CU140" i="46" s="1"/>
  <c r="CT141" i="46"/>
  <c r="CU141" i="46" s="1"/>
  <c r="CT142" i="46"/>
  <c r="CU142" i="46" s="1"/>
  <c r="CT143" i="46"/>
  <c r="CU143" i="46" s="1"/>
  <c r="CT144" i="46"/>
  <c r="CU144" i="46" s="1"/>
  <c r="CT145" i="46"/>
  <c r="CU145" i="46" s="1"/>
  <c r="CT146" i="46"/>
  <c r="CU146" i="46" s="1"/>
  <c r="CT147" i="46"/>
  <c r="CU147" i="46" s="1"/>
  <c r="CT148" i="46"/>
  <c r="CU148" i="46" s="1"/>
  <c r="CT149" i="46"/>
  <c r="CU149" i="46" s="1"/>
  <c r="CT152" i="46"/>
  <c r="CU152" i="46" s="1"/>
  <c r="CT153" i="46"/>
  <c r="CU153" i="46" s="1"/>
  <c r="CT154" i="46"/>
  <c r="CU154" i="46" s="1"/>
  <c r="CT155" i="46"/>
  <c r="CU155" i="46" s="1"/>
  <c r="J148" i="24"/>
  <c r="P154" i="5" s="1"/>
  <c r="N148" i="24"/>
  <c r="T154" i="5" s="1"/>
  <c r="U186" i="24"/>
  <c r="B31" i="4"/>
  <c r="B45" i="4" s="1"/>
  <c r="J45" i="5"/>
  <c r="J53" i="5"/>
  <c r="J92" i="5"/>
  <c r="J93" i="5"/>
  <c r="J102" i="5" s="1"/>
  <c r="D65" i="8" s="1"/>
  <c r="J94" i="5"/>
  <c r="J144" i="5" s="1"/>
  <c r="I110" i="5"/>
  <c r="I115" i="5" s="1"/>
  <c r="Z44" i="6"/>
  <c r="W48" i="6"/>
  <c r="AM84" i="48"/>
  <c r="AU84" i="48" s="1"/>
  <c r="Q24" i="16"/>
  <c r="P24" i="16" s="1"/>
  <c r="S24" i="16"/>
  <c r="O71" i="9"/>
  <c r="O70" i="9" s="1"/>
  <c r="S71" i="9"/>
  <c r="S70" i="9" s="1"/>
  <c r="L72" i="9"/>
  <c r="P72" i="9"/>
  <c r="T72" i="9"/>
  <c r="BS202" i="16"/>
  <c r="Q11" i="16"/>
  <c r="P11" i="16" s="1"/>
  <c r="BA11" i="16"/>
  <c r="Q13" i="16"/>
  <c r="P13" i="16" s="1"/>
  <c r="Q15" i="16"/>
  <c r="P15" i="16" s="1"/>
  <c r="AR202" i="16"/>
  <c r="AN66" i="16"/>
  <c r="AN62" i="16"/>
  <c r="AN69" i="16"/>
  <c r="AN65" i="16"/>
  <c r="AN61" i="16"/>
  <c r="AN68" i="16"/>
  <c r="AN64" i="16"/>
  <c r="AN60" i="16"/>
  <c r="AN58" i="16"/>
  <c r="AN59" i="16"/>
  <c r="AN63" i="16"/>
  <c r="AN67" i="16"/>
  <c r="E66" i="9"/>
  <c r="L70" i="9"/>
  <c r="P71" i="9"/>
  <c r="P70" i="9" s="1"/>
  <c r="T71" i="9"/>
  <c r="T70" i="9" s="1"/>
  <c r="M72" i="9"/>
  <c r="Q72" i="9"/>
  <c r="U72" i="9"/>
  <c r="B25" i="8"/>
  <c r="B117" i="8" s="1"/>
  <c r="AN202" i="16"/>
  <c r="AO10" i="16"/>
  <c r="J18" i="16"/>
  <c r="AB40" i="16"/>
  <c r="BL17" i="35"/>
  <c r="BI17" i="35"/>
  <c r="M71" i="9"/>
  <c r="M70" i="9" s="1"/>
  <c r="Q71" i="9"/>
  <c r="Q70" i="9" s="1"/>
  <c r="J72" i="9"/>
  <c r="N72" i="9"/>
  <c r="R72" i="9"/>
  <c r="J114" i="8"/>
  <c r="G10" i="16"/>
  <c r="G202" i="16" s="1"/>
  <c r="H202" i="16"/>
  <c r="Z202" i="16"/>
  <c r="Y10" i="16"/>
  <c r="Y202" i="16" s="1"/>
  <c r="Q12" i="16"/>
  <c r="P12" i="16" s="1"/>
  <c r="Q14" i="16"/>
  <c r="P14" i="16" s="1"/>
  <c r="S16" i="16"/>
  <c r="BF34" i="16"/>
  <c r="Z37" i="16"/>
  <c r="Y37" i="16" s="1"/>
  <c r="L178" i="35"/>
  <c r="AN84" i="16"/>
  <c r="AN94" i="16"/>
  <c r="AN95" i="16"/>
  <c r="AN90" i="16"/>
  <c r="AN88" i="16"/>
  <c r="AN86" i="16"/>
  <c r="AN93" i="16"/>
  <c r="AN91" i="16"/>
  <c r="AN82" i="16"/>
  <c r="AN92" i="16"/>
  <c r="AN101" i="16"/>
  <c r="AN96" i="16"/>
  <c r="AN104" i="16"/>
  <c r="AN99" i="16"/>
  <c r="AN97" i="16"/>
  <c r="AN103" i="16"/>
  <c r="U10" i="16"/>
  <c r="U202" i="16" s="1"/>
  <c r="AI10" i="16"/>
  <c r="AN80" i="16"/>
  <c r="AN79" i="16"/>
  <c r="AN77" i="16"/>
  <c r="AN75" i="16"/>
  <c r="AN73" i="16"/>
  <c r="AN71" i="16"/>
  <c r="AN81" i="16"/>
  <c r="AN78" i="16"/>
  <c r="AN72" i="16"/>
  <c r="AN85" i="16"/>
  <c r="AN89" i="16"/>
  <c r="AN100" i="16"/>
  <c r="S25" i="35"/>
  <c r="Q25" i="35"/>
  <c r="P25" i="35" s="1"/>
  <c r="AN110" i="16"/>
  <c r="AN115" i="16"/>
  <c r="AN117" i="16"/>
  <c r="BA74" i="35"/>
  <c r="BA75" i="35" s="1"/>
  <c r="BA76" i="35" s="1"/>
  <c r="BA77" i="35" s="1"/>
  <c r="BA78" i="35" s="1"/>
  <c r="BA79" i="35" s="1"/>
  <c r="BA80" i="35" s="1"/>
  <c r="BA81" i="35" s="1"/>
  <c r="BA82" i="35" s="1"/>
  <c r="BA83" i="35" s="1"/>
  <c r="BA84" i="35" s="1"/>
  <c r="BA85" i="35" s="1"/>
  <c r="BA86" i="35" s="1"/>
  <c r="BA87" i="35" s="1"/>
  <c r="BA88" i="35" s="1"/>
  <c r="BA89" i="35" s="1"/>
  <c r="BA90" i="35" s="1"/>
  <c r="BA91" i="35" s="1"/>
  <c r="BA92" i="35" s="1"/>
  <c r="BA93" i="35" s="1"/>
  <c r="BA94" i="35" s="1"/>
  <c r="BA95" i="35" s="1"/>
  <c r="BA96" i="35" s="1"/>
  <c r="BA97" i="35" s="1"/>
  <c r="BA98" i="35" s="1"/>
  <c r="BA99" i="35" s="1"/>
  <c r="BA100" i="35" s="1"/>
  <c r="BA101" i="35" s="1"/>
  <c r="BA102" i="35" s="1"/>
  <c r="BA103" i="35" s="1"/>
  <c r="BA104" i="35" s="1"/>
  <c r="BA105" i="35" s="1"/>
  <c r="BA106" i="35" s="1"/>
  <c r="BA107" i="35" s="1"/>
  <c r="BA108" i="35" s="1"/>
  <c r="BA109" i="35" s="1"/>
  <c r="BA110" i="35" s="1"/>
  <c r="BA111" i="35" s="1"/>
  <c r="BA112" i="35" s="1"/>
  <c r="BA113" i="35" s="1"/>
  <c r="BA114" i="35" s="1"/>
  <c r="BA115" i="35" s="1"/>
  <c r="BA116" i="35" s="1"/>
  <c r="BA117" i="35" s="1"/>
  <c r="BA118" i="35" s="1"/>
  <c r="BA119" i="35" s="1"/>
  <c r="BA120" i="35" s="1"/>
  <c r="BA121" i="35" s="1"/>
  <c r="BA122" i="35" s="1"/>
  <c r="BA123" i="35" s="1"/>
  <c r="BA124" i="35" s="1"/>
  <c r="BA125" i="35" s="1"/>
  <c r="BA126" i="35" s="1"/>
  <c r="BA127" i="35" s="1"/>
  <c r="BA128" i="35" s="1"/>
  <c r="BA129" i="35" s="1"/>
  <c r="BA130" i="35" s="1"/>
  <c r="BA131" i="35" s="1"/>
  <c r="BA132" i="35" s="1"/>
  <c r="BA133" i="35" s="1"/>
  <c r="BA134" i="35" s="1"/>
  <c r="BA135" i="35" s="1"/>
  <c r="BA136" i="35" s="1"/>
  <c r="BA137" i="35" s="1"/>
  <c r="BA138" i="35" s="1"/>
  <c r="BA139" i="35" s="1"/>
  <c r="BA140" i="35" s="1"/>
  <c r="BA141" i="35" s="1"/>
  <c r="BA142" i="35" s="1"/>
  <c r="BA143" i="35" s="1"/>
  <c r="BA144" i="35" s="1"/>
  <c r="BA145" i="35" s="1"/>
  <c r="BA146" i="35" s="1"/>
  <c r="BA147" i="35" s="1"/>
  <c r="BA148" i="35" s="1"/>
  <c r="BA149" i="35" s="1"/>
  <c r="BA150" i="35" s="1"/>
  <c r="BA151" i="35" s="1"/>
  <c r="BA152" i="35" s="1"/>
  <c r="BA153" i="35" s="1"/>
  <c r="BA154" i="35" s="1"/>
  <c r="BA155" i="35" s="1"/>
  <c r="BA156" i="35" s="1"/>
  <c r="BA157" i="35" s="1"/>
  <c r="BA158" i="35" s="1"/>
  <c r="BA159" i="35" s="1"/>
  <c r="BA160" i="35" s="1"/>
  <c r="BA161" i="35" s="1"/>
  <c r="BA162" i="35" s="1"/>
  <c r="BA163" i="35" s="1"/>
  <c r="BA164" i="35" s="1"/>
  <c r="BA165" i="35" s="1"/>
  <c r="BA166" i="35" s="1"/>
  <c r="BA167" i="35" s="1"/>
  <c r="BA168" i="35" s="1"/>
  <c r="BA169" i="35" s="1"/>
  <c r="BA170" i="35" s="1"/>
  <c r="BA171" i="35" s="1"/>
  <c r="BA172" i="35" s="1"/>
  <c r="BA173" i="35" s="1"/>
  <c r="BA174" i="35" s="1"/>
  <c r="BA55" i="35"/>
  <c r="Z12" i="35"/>
  <c r="Y12" i="35" s="1"/>
  <c r="AZ12" i="35"/>
  <c r="AB39" i="35"/>
  <c r="Z39" i="35"/>
  <c r="Y39" i="35" s="1"/>
  <c r="BE46" i="35"/>
  <c r="AN106" i="16"/>
  <c r="AN107" i="16"/>
  <c r="AN112" i="16"/>
  <c r="Z178" i="35"/>
  <c r="Y10" i="35"/>
  <c r="Y178" i="35" s="1"/>
  <c r="AD10" i="35"/>
  <c r="AD178" i="35" s="1"/>
  <c r="J19" i="35"/>
  <c r="H19" i="35"/>
  <c r="G19" i="35" s="1"/>
  <c r="J13" i="35"/>
  <c r="H13" i="35"/>
  <c r="G13" i="35" s="1"/>
  <c r="S11" i="35"/>
  <c r="Q11" i="35"/>
  <c r="P11" i="35" s="1"/>
  <c r="AB13" i="35"/>
  <c r="Z13" i="35"/>
  <c r="Y13" i="35" s="1"/>
  <c r="AO10" i="35"/>
  <c r="H12" i="35"/>
  <c r="G12" i="35" s="1"/>
  <c r="Z38" i="35"/>
  <c r="Y38" i="35" s="1"/>
  <c r="AI10" i="35"/>
  <c r="P10" i="35"/>
  <c r="P178" i="35" s="1"/>
  <c r="AL10" i="35"/>
  <c r="AL178" i="35" s="1"/>
  <c r="AQ10" i="35"/>
  <c r="AQ178" i="35" s="1"/>
  <c r="BR178" i="35"/>
  <c r="H11" i="35"/>
  <c r="G11" i="35" s="1"/>
  <c r="Z11" i="35"/>
  <c r="Y11" i="35" s="1"/>
  <c r="C171" i="35"/>
  <c r="C168" i="35"/>
  <c r="C147" i="35"/>
  <c r="C165" i="35"/>
  <c r="C162" i="35"/>
  <c r="C159" i="35"/>
  <c r="C156" i="35"/>
  <c r="C153" i="35"/>
  <c r="C144" i="35"/>
  <c r="C141" i="35"/>
  <c r="C138" i="35"/>
  <c r="C132" i="35"/>
  <c r="C150" i="35"/>
  <c r="C129" i="35"/>
  <c r="C135" i="35"/>
  <c r="C126" i="35"/>
  <c r="C111" i="35"/>
  <c r="C102" i="35"/>
  <c r="C96" i="35"/>
  <c r="C93" i="35"/>
  <c r="C114" i="35"/>
  <c r="C105" i="35"/>
  <c r="C108" i="35"/>
  <c r="C99" i="35"/>
  <c r="AN100" i="35"/>
  <c r="AN102" i="35"/>
  <c r="AN101" i="35"/>
  <c r="AN96" i="35"/>
  <c r="AN95" i="35"/>
  <c r="AN103" i="35"/>
  <c r="AN97" i="35"/>
  <c r="AN94" i="35"/>
  <c r="AN105" i="35"/>
  <c r="AN104" i="35"/>
  <c r="AN99" i="35"/>
  <c r="AN98" i="35"/>
  <c r="AN62" i="35"/>
  <c r="AN66" i="35"/>
  <c r="AN78" i="35"/>
  <c r="AN91" i="35"/>
  <c r="AN93" i="35"/>
  <c r="AN92" i="35"/>
  <c r="AN89" i="35"/>
  <c r="AN87" i="35"/>
  <c r="AN85" i="35"/>
  <c r="AN83" i="35"/>
  <c r="AN88" i="35"/>
  <c r="AN59" i="35"/>
  <c r="AN63" i="35"/>
  <c r="AN67" i="35"/>
  <c r="AN73" i="35"/>
  <c r="AN79" i="35"/>
  <c r="AN58" i="35"/>
  <c r="AN178" i="35" s="1"/>
  <c r="AN60" i="35"/>
  <c r="AN64" i="35"/>
  <c r="AN68" i="35"/>
  <c r="AN116" i="35"/>
  <c r="AN117" i="35"/>
  <c r="AN110" i="35"/>
  <c r="AN111" i="35"/>
  <c r="AN106" i="35"/>
  <c r="AN109" i="35"/>
  <c r="AN115" i="35"/>
  <c r="C34" i="29"/>
  <c r="H40" i="39"/>
  <c r="L40" i="39"/>
  <c r="D113" i="8"/>
  <c r="M114" i="8"/>
  <c r="D150" i="8"/>
  <c r="M151" i="8"/>
  <c r="B152" i="8"/>
  <c r="D194" i="8"/>
  <c r="M195" i="8"/>
  <c r="M232" i="8"/>
  <c r="J151" i="8"/>
  <c r="N151" i="8"/>
  <c r="J195" i="8"/>
  <c r="N195" i="8"/>
  <c r="B113" i="8"/>
  <c r="K114" i="8"/>
  <c r="O114" i="8"/>
  <c r="B150" i="8"/>
  <c r="K151" i="8"/>
  <c r="O151" i="8"/>
  <c r="B194" i="8"/>
  <c r="K195" i="8"/>
  <c r="O195" i="8"/>
  <c r="C113" i="8"/>
  <c r="L114" i="8"/>
  <c r="P114" i="8"/>
  <c r="C150" i="8"/>
  <c r="L151" i="8"/>
  <c r="P151" i="8"/>
  <c r="C194" i="8"/>
  <c r="L195" i="8"/>
  <c r="P195" i="8"/>
  <c r="I152" i="50"/>
  <c r="I148" i="50"/>
  <c r="L103" i="5"/>
  <c r="G144" i="24"/>
  <c r="M150" i="5" s="1"/>
  <c r="G149" i="24"/>
  <c r="M155" i="5" s="1"/>
  <c r="H151" i="24"/>
  <c r="N157" i="5" s="1"/>
  <c r="I147" i="50"/>
  <c r="F167" i="24"/>
  <c r="I151" i="24"/>
  <c r="O157" i="5" s="1"/>
  <c r="G147" i="24"/>
  <c r="M153" i="5" s="1"/>
  <c r="N168" i="5"/>
  <c r="O168" i="5"/>
  <c r="S168" i="5"/>
  <c r="P168" i="5"/>
  <c r="T168" i="5"/>
  <c r="Q167" i="5"/>
  <c r="U167" i="5"/>
  <c r="H18" i="39"/>
  <c r="C9" i="43"/>
  <c r="H9" i="43" s="1"/>
  <c r="H10" i="43" s="1"/>
  <c r="F14" i="38"/>
  <c r="E16" i="38"/>
  <c r="H21" i="39"/>
  <c r="I92" i="5"/>
  <c r="G18" i="39"/>
  <c r="D11" i="38"/>
  <c r="D15" i="38"/>
  <c r="D50" i="38"/>
  <c r="D52" i="38" s="1"/>
  <c r="N86" i="5"/>
  <c r="N136" i="5" s="1"/>
  <c r="M15" i="9"/>
  <c r="T14" i="4"/>
  <c r="T18" i="4" s="1"/>
  <c r="T19" i="4" s="1"/>
  <c r="D17" i="43"/>
  <c r="E15" i="38"/>
  <c r="D16" i="38"/>
  <c r="E24" i="38"/>
  <c r="E36" i="38" s="1"/>
  <c r="F11" i="38"/>
  <c r="D89" i="38"/>
  <c r="D110" i="38" s="1"/>
  <c r="H8" i="38"/>
  <c r="H137" i="5"/>
  <c r="H95" i="5"/>
  <c r="H145" i="5" s="1"/>
  <c r="L137" i="5"/>
  <c r="L95" i="5"/>
  <c r="I94" i="5"/>
  <c r="I21" i="39"/>
  <c r="F34" i="9"/>
  <c r="I18" i="39"/>
  <c r="I95" i="5"/>
  <c r="I145" i="5" s="1"/>
  <c r="K15" i="9"/>
  <c r="F24" i="38"/>
  <c r="H92" i="5"/>
  <c r="H134" i="5"/>
  <c r="D34" i="43"/>
  <c r="E36" i="4"/>
  <c r="E45" i="4"/>
  <c r="C11" i="38"/>
  <c r="H89" i="5"/>
  <c r="H173" i="5" s="1"/>
  <c r="H179" i="5" s="1"/>
  <c r="H243" i="5" s="1"/>
  <c r="H135" i="5"/>
  <c r="D24" i="38"/>
  <c r="D36" i="38" s="1"/>
  <c r="C24" i="38"/>
  <c r="E52" i="38"/>
  <c r="C89" i="38"/>
  <c r="C110" i="38" s="1"/>
  <c r="L12" i="5"/>
  <c r="H93" i="5"/>
  <c r="D45" i="4"/>
  <c r="D10" i="43"/>
  <c r="E11" i="38"/>
  <c r="E89" i="38"/>
  <c r="E110" i="38" s="1"/>
  <c r="I13" i="43"/>
  <c r="J13" i="43" s="1"/>
  <c r="D14" i="38"/>
  <c r="E12" i="29"/>
  <c r="M10" i="5"/>
  <c r="E14" i="38"/>
  <c r="F16" i="38"/>
  <c r="K89" i="5"/>
  <c r="K173" i="5" s="1"/>
  <c r="K95" i="5"/>
  <c r="F15" i="38"/>
  <c r="K273" i="5"/>
  <c r="L290" i="5" s="1"/>
  <c r="L291" i="5" s="1"/>
  <c r="K290" i="5"/>
  <c r="K291" i="5" s="1"/>
  <c r="G89" i="5"/>
  <c r="L128" i="5"/>
  <c r="I135" i="5"/>
  <c r="N87" i="5"/>
  <c r="I93" i="5"/>
  <c r="I249" i="5"/>
  <c r="F10" i="29"/>
  <c r="G4" i="4"/>
  <c r="B16" i="4"/>
  <c r="B44" i="4" s="1"/>
  <c r="B14" i="4"/>
  <c r="B30" i="4" s="1"/>
  <c r="I89" i="5"/>
  <c r="K172" i="5"/>
  <c r="H94" i="5"/>
  <c r="E29" i="4"/>
  <c r="I37" i="9"/>
  <c r="T9" i="4"/>
  <c r="K37" i="9"/>
  <c r="D17" i="8" s="1"/>
  <c r="D72" i="8" s="1"/>
  <c r="T8" i="4"/>
  <c r="B36" i="4"/>
  <c r="J37" i="9"/>
  <c r="C17" i="8" s="1"/>
  <c r="C72" i="8" s="1"/>
  <c r="C29" i="4"/>
  <c r="D36" i="4"/>
  <c r="C43" i="4"/>
  <c r="L37" i="9"/>
  <c r="E17" i="8" s="1"/>
  <c r="E72" i="8" s="1"/>
  <c r="T23" i="4"/>
  <c r="K157" i="50"/>
  <c r="K213" i="50" s="1"/>
  <c r="J35" i="5" l="1"/>
  <c r="J32" i="5"/>
  <c r="J36" i="5" s="1"/>
  <c r="J37" i="5"/>
  <c r="H249" i="5"/>
  <c r="H263" i="5" s="1"/>
  <c r="H37" i="5"/>
  <c r="H32" i="5"/>
  <c r="H36" i="5" s="1"/>
  <c r="H35" i="5"/>
  <c r="H102" i="38"/>
  <c r="G102" i="38"/>
  <c r="G252" i="5"/>
  <c r="C42" i="38"/>
  <c r="F42" i="38"/>
  <c r="D23" i="58"/>
  <c r="C36" i="38"/>
  <c r="D37" i="38" s="1"/>
  <c r="H252" i="5"/>
  <c r="C102" i="38"/>
  <c r="I252" i="5"/>
  <c r="E102" i="38"/>
  <c r="K252" i="5"/>
  <c r="K269" i="5" s="1"/>
  <c r="K263" i="5"/>
  <c r="K179" i="50"/>
  <c r="DE65" i="45"/>
  <c r="AY58" i="45"/>
  <c r="AZ58" i="45" s="1"/>
  <c r="EI65" i="45"/>
  <c r="EV65" i="45"/>
  <c r="BD65" i="45"/>
  <c r="CT58" i="45"/>
  <c r="CU58" i="45" s="1"/>
  <c r="CA65" i="45"/>
  <c r="CT62" i="45"/>
  <c r="CU62" i="45" s="1"/>
  <c r="BI83" i="45"/>
  <c r="BI238" i="45" s="1"/>
  <c r="BI250" i="45" s="1"/>
  <c r="EM66" i="45"/>
  <c r="CC62" i="45"/>
  <c r="CD62" i="45" s="1"/>
  <c r="AY62" i="45"/>
  <c r="AZ62" i="45" s="1"/>
  <c r="CC32" i="45"/>
  <c r="CD32" i="45" s="1"/>
  <c r="AX61" i="45"/>
  <c r="E37" i="38"/>
  <c r="M114" i="5"/>
  <c r="G23" i="38"/>
  <c r="T74" i="9"/>
  <c r="P74" i="9"/>
  <c r="Q74" i="9"/>
  <c r="S74" i="9"/>
  <c r="O74" i="9"/>
  <c r="V74" i="9"/>
  <c r="R74" i="9"/>
  <c r="U74" i="9"/>
  <c r="BB107" i="16"/>
  <c r="BB108" i="16" s="1"/>
  <c r="BB109" i="16" s="1"/>
  <c r="BB110" i="16" s="1"/>
  <c r="BB111" i="16" s="1"/>
  <c r="BB112" i="16" s="1"/>
  <c r="BB113" i="16" s="1"/>
  <c r="BB114" i="16" s="1"/>
  <c r="BB115" i="16" s="1"/>
  <c r="BB116" i="16" s="1"/>
  <c r="BB117" i="16" s="1"/>
  <c r="BB118" i="16" s="1"/>
  <c r="BB119" i="16" s="1"/>
  <c r="BB120" i="16" s="1"/>
  <c r="BB121" i="16" s="1"/>
  <c r="BB122" i="16" s="1"/>
  <c r="BB123" i="16" s="1"/>
  <c r="BB124" i="16" s="1"/>
  <c r="BB125" i="16" s="1"/>
  <c r="BB126" i="16" s="1"/>
  <c r="BB127" i="16" s="1"/>
  <c r="BB128" i="16" s="1"/>
  <c r="BB129" i="16" s="1"/>
  <c r="BB130" i="16" s="1"/>
  <c r="BB131" i="16" s="1"/>
  <c r="BB132" i="16" s="1"/>
  <c r="BB133" i="16" s="1"/>
  <c r="BB134" i="16" s="1"/>
  <c r="BB135" i="16" s="1"/>
  <c r="BB136" i="16" s="1"/>
  <c r="BB137" i="16" s="1"/>
  <c r="BB138" i="16" s="1"/>
  <c r="BB139" i="16" s="1"/>
  <c r="BB140" i="16" s="1"/>
  <c r="BB141" i="16" s="1"/>
  <c r="BB142" i="16" s="1"/>
  <c r="BB143" i="16" s="1"/>
  <c r="BB144" i="16" s="1"/>
  <c r="BB145" i="16" s="1"/>
  <c r="BB146" i="16" s="1"/>
  <c r="BB147" i="16" s="1"/>
  <c r="BB148" i="16" s="1"/>
  <c r="BB149" i="16" s="1"/>
  <c r="BB150" i="16" s="1"/>
  <c r="BB151" i="16" s="1"/>
  <c r="BB152" i="16" s="1"/>
  <c r="BB153" i="16" s="1"/>
  <c r="G22" i="38"/>
  <c r="C15" i="58"/>
  <c r="E15" i="58" s="1"/>
  <c r="F15" i="58" s="1"/>
  <c r="C12" i="43"/>
  <c r="E12" i="43" s="1"/>
  <c r="F12" i="43" s="1"/>
  <c r="C12" i="58"/>
  <c r="G64" i="8"/>
  <c r="C8" i="58"/>
  <c r="E8" i="58" s="1"/>
  <c r="F8" i="58" s="1"/>
  <c r="M8" i="5"/>
  <c r="C7" i="58"/>
  <c r="G20" i="38"/>
  <c r="C13" i="58"/>
  <c r="E13" i="58" s="1"/>
  <c r="F13" i="58" s="1"/>
  <c r="G48" i="38"/>
  <c r="C34" i="58" s="1"/>
  <c r="E34" i="58" s="1"/>
  <c r="F34" i="58" s="1"/>
  <c r="M20" i="5"/>
  <c r="D35" i="43"/>
  <c r="D35" i="58"/>
  <c r="AH96" i="48"/>
  <c r="X96" i="48"/>
  <c r="AH129" i="48"/>
  <c r="X129" i="48"/>
  <c r="AA129" i="48" s="1"/>
  <c r="AB129" i="48" s="1"/>
  <c r="AD129" i="48" s="1"/>
  <c r="AH86" i="48"/>
  <c r="X86" i="48"/>
  <c r="AA86" i="48" s="1"/>
  <c r="AB86" i="48" s="1"/>
  <c r="AD86" i="48" s="1"/>
  <c r="X75" i="48"/>
  <c r="AH75" i="48"/>
  <c r="X123" i="48"/>
  <c r="AH123" i="48"/>
  <c r="X53" i="48"/>
  <c r="AA53" i="48" s="1"/>
  <c r="AB53" i="48" s="1"/>
  <c r="AD53" i="48" s="1"/>
  <c r="AH53" i="48"/>
  <c r="X33" i="48"/>
  <c r="AD33" i="48" s="1"/>
  <c r="AH33" i="48"/>
  <c r="AH50" i="48"/>
  <c r="X50" i="48"/>
  <c r="AA50" i="48" s="1"/>
  <c r="X57" i="48"/>
  <c r="AA57" i="48" s="1"/>
  <c r="AB57" i="48" s="1"/>
  <c r="AD57" i="48" s="1"/>
  <c r="AH57" i="48"/>
  <c r="AQ57" i="48" s="1"/>
  <c r="X6" i="48"/>
  <c r="AH6" i="48"/>
  <c r="X164" i="48"/>
  <c r="AH164" i="48"/>
  <c r="AH150" i="48"/>
  <c r="X150" i="48"/>
  <c r="AH101" i="48"/>
  <c r="AN101" i="48" s="1"/>
  <c r="X101" i="48"/>
  <c r="AA101" i="48" s="1"/>
  <c r="AB101" i="48" s="1"/>
  <c r="AD101" i="48" s="1"/>
  <c r="AH108" i="48"/>
  <c r="X108" i="48"/>
  <c r="AA108" i="48" s="1"/>
  <c r="AB108" i="48" s="1"/>
  <c r="AD108" i="48" s="1"/>
  <c r="AH147" i="48"/>
  <c r="X147" i="48"/>
  <c r="AL168" i="48"/>
  <c r="AU168" i="48" s="1"/>
  <c r="E143" i="48"/>
  <c r="E156" i="48" s="1"/>
  <c r="T133" i="48"/>
  <c r="M133" i="48"/>
  <c r="T72" i="48"/>
  <c r="X72" i="48" s="1"/>
  <c r="M72" i="48"/>
  <c r="T153" i="48"/>
  <c r="M153" i="48"/>
  <c r="T30" i="48"/>
  <c r="M30" i="48"/>
  <c r="T120" i="48"/>
  <c r="M120" i="48"/>
  <c r="T93" i="48"/>
  <c r="M93" i="48"/>
  <c r="R157" i="48"/>
  <c r="E11" i="29"/>
  <c r="E94" i="29" s="1"/>
  <c r="E24" i="29" s="1"/>
  <c r="G8" i="38"/>
  <c r="G14" i="38" s="1"/>
  <c r="AY25" i="45"/>
  <c r="AZ25" i="45" s="1"/>
  <c r="L25" i="5"/>
  <c r="L35" i="5" s="1"/>
  <c r="L81" i="5"/>
  <c r="D19" i="58" s="1"/>
  <c r="Y61" i="6"/>
  <c r="L84" i="5"/>
  <c r="EQ65" i="45"/>
  <c r="AM65" i="45"/>
  <c r="AM83" i="45" s="1"/>
  <c r="AM238" i="45" s="1"/>
  <c r="AM250" i="45" s="1"/>
  <c r="EY34" i="45"/>
  <c r="CM65" i="45"/>
  <c r="G150" i="50"/>
  <c r="G183" i="50" s="1"/>
  <c r="E108" i="29"/>
  <c r="E102" i="29" s="1"/>
  <c r="C13" i="43"/>
  <c r="E13" i="43" s="1"/>
  <c r="F13" i="43" s="1"/>
  <c r="AY26" i="45"/>
  <c r="AZ26" i="45" s="1"/>
  <c r="G152" i="24"/>
  <c r="M158" i="5" s="1"/>
  <c r="EG65" i="45"/>
  <c r="CC58" i="45"/>
  <c r="CD58" i="45" s="1"/>
  <c r="AE35" i="6"/>
  <c r="AB63" i="6"/>
  <c r="L102" i="5"/>
  <c r="F65" i="8" s="1"/>
  <c r="AY63" i="45"/>
  <c r="AZ63" i="45" s="1"/>
  <c r="DH238" i="45"/>
  <c r="DH250" i="45" s="1"/>
  <c r="AN66" i="45"/>
  <c r="CI65" i="45"/>
  <c r="I147" i="24"/>
  <c r="O153" i="5" s="1"/>
  <c r="M85" i="5"/>
  <c r="F15" i="4" s="1"/>
  <c r="V23" i="4" s="1"/>
  <c r="W23" i="4" s="1"/>
  <c r="F10" i="4"/>
  <c r="F36" i="4" s="1"/>
  <c r="H149" i="50"/>
  <c r="H182" i="50" s="1"/>
  <c r="N201" i="5" s="1"/>
  <c r="CC236" i="45"/>
  <c r="CD236" i="45" s="1"/>
  <c r="AW65" i="45"/>
  <c r="AW66" i="45" s="1"/>
  <c r="Q198" i="5"/>
  <c r="K82" i="38" s="1"/>
  <c r="AM50" i="48"/>
  <c r="M113" i="5"/>
  <c r="F4" i="4"/>
  <c r="V4" i="4" s="1"/>
  <c r="W4" i="4" s="1"/>
  <c r="M52" i="5"/>
  <c r="AB12" i="6" s="1"/>
  <c r="G9" i="38"/>
  <c r="G15" i="38" s="1"/>
  <c r="C15" i="43"/>
  <c r="E15" i="43" s="1"/>
  <c r="F15" i="43" s="1"/>
  <c r="G60" i="8"/>
  <c r="M87" i="5"/>
  <c r="M95" i="5" s="1"/>
  <c r="E10" i="29"/>
  <c r="E8" i="29" s="1"/>
  <c r="M9" i="5"/>
  <c r="F5" i="4"/>
  <c r="V5" i="4" s="1"/>
  <c r="W5" i="4" s="1"/>
  <c r="N8" i="5"/>
  <c r="C7" i="43"/>
  <c r="M26" i="5"/>
  <c r="C8" i="43"/>
  <c r="E8" i="43" s="1"/>
  <c r="F8" i="43" s="1"/>
  <c r="AN37" i="6"/>
  <c r="L143" i="5"/>
  <c r="K143" i="5"/>
  <c r="H105" i="5"/>
  <c r="EY162" i="46"/>
  <c r="CS34" i="45"/>
  <c r="N42" i="5"/>
  <c r="N94" i="5" s="1"/>
  <c r="N144" i="5" s="1"/>
  <c r="CY65" i="45"/>
  <c r="M14" i="5"/>
  <c r="K61" i="54"/>
  <c r="L24" i="54"/>
  <c r="K24" i="54"/>
  <c r="M42" i="5"/>
  <c r="K149" i="54"/>
  <c r="M13" i="5"/>
  <c r="K53" i="54"/>
  <c r="EU65" i="45"/>
  <c r="EU238" i="45" s="1"/>
  <c r="EU250" i="45" s="1"/>
  <c r="M70" i="5"/>
  <c r="L100" i="54"/>
  <c r="K100" i="54"/>
  <c r="K44" i="54"/>
  <c r="M43" i="5"/>
  <c r="G41" i="38" s="1"/>
  <c r="K150" i="54"/>
  <c r="G177" i="50"/>
  <c r="M196" i="5" s="1"/>
  <c r="G200" i="50"/>
  <c r="F177" i="50"/>
  <c r="L196" i="5" s="1"/>
  <c r="F200" i="50"/>
  <c r="K117" i="54"/>
  <c r="K25" i="24"/>
  <c r="K147" i="24" s="1"/>
  <c r="Q153" i="5" s="1"/>
  <c r="D29" i="38"/>
  <c r="D44" i="38" s="1"/>
  <c r="D55" i="38" s="1"/>
  <c r="D100" i="38" s="1"/>
  <c r="D105" i="38" s="1"/>
  <c r="D115" i="38" s="1"/>
  <c r="I15" i="9"/>
  <c r="E29" i="38"/>
  <c r="E44" i="38" s="1"/>
  <c r="E55" i="38" s="1"/>
  <c r="E100" i="38" s="1"/>
  <c r="L13" i="9"/>
  <c r="K179" i="5"/>
  <c r="K243" i="5" s="1"/>
  <c r="G173" i="5"/>
  <c r="T24" i="4"/>
  <c r="T27" i="4" s="1"/>
  <c r="AE61" i="6"/>
  <c r="K103" i="5"/>
  <c r="K101" i="5"/>
  <c r="E61" i="8" s="1"/>
  <c r="L15" i="9"/>
  <c r="J139" i="5"/>
  <c r="J173" i="5"/>
  <c r="L119" i="5"/>
  <c r="L146" i="5"/>
  <c r="D21" i="4"/>
  <c r="D46" i="4" s="1"/>
  <c r="D47" i="4" s="1"/>
  <c r="D26" i="4" s="1"/>
  <c r="L127" i="5"/>
  <c r="L122" i="5"/>
  <c r="L130" i="5" s="1"/>
  <c r="C29" i="38"/>
  <c r="C44" i="38" s="1"/>
  <c r="J118" i="5"/>
  <c r="I122" i="5"/>
  <c r="I130" i="5" s="1"/>
  <c r="T22" i="4"/>
  <c r="U26" i="4" s="1"/>
  <c r="K102" i="5"/>
  <c r="E65" i="8" s="1"/>
  <c r="I105" i="5"/>
  <c r="M27" i="5"/>
  <c r="F8" i="29"/>
  <c r="F9" i="29"/>
  <c r="S198" i="5"/>
  <c r="M82" i="38" s="1"/>
  <c r="E52" i="53"/>
  <c r="V70" i="9"/>
  <c r="V198" i="5"/>
  <c r="P82" i="38" s="1"/>
  <c r="R198" i="5"/>
  <c r="L82" i="38" s="1"/>
  <c r="U198" i="5"/>
  <c r="O82" i="38" s="1"/>
  <c r="O202" i="50"/>
  <c r="H119" i="5"/>
  <c r="H157" i="50"/>
  <c r="H190" i="50" s="1"/>
  <c r="N209" i="5" s="1"/>
  <c r="I157" i="50"/>
  <c r="DM238" i="45"/>
  <c r="DM250" i="45" s="1"/>
  <c r="DM66" i="45"/>
  <c r="BE66" i="45"/>
  <c r="BE83" i="45"/>
  <c r="BE238" i="45" s="1"/>
  <c r="BE250" i="45" s="1"/>
  <c r="BR66" i="45"/>
  <c r="BR83" i="45"/>
  <c r="BR238" i="45" s="1"/>
  <c r="BR250" i="45" s="1"/>
  <c r="CQ66" i="45"/>
  <c r="CQ83" i="45"/>
  <c r="CQ238" i="45" s="1"/>
  <c r="CQ250" i="45" s="1"/>
  <c r="AV83" i="45"/>
  <c r="AV238" i="45" s="1"/>
  <c r="AV250" i="45" s="1"/>
  <c r="AV66" i="45"/>
  <c r="DD66" i="45"/>
  <c r="DD238" i="45"/>
  <c r="DD250" i="45" s="1"/>
  <c r="H178" i="50"/>
  <c r="N197" i="5" s="1"/>
  <c r="H201" i="50"/>
  <c r="CT54" i="45"/>
  <c r="CU54" i="45" s="1"/>
  <c r="F178" i="50"/>
  <c r="F201" i="50"/>
  <c r="F205" i="50"/>
  <c r="F182" i="50"/>
  <c r="N179" i="50"/>
  <c r="AY27" i="45"/>
  <c r="AZ27" i="45" s="1"/>
  <c r="AY50" i="45"/>
  <c r="AZ50" i="45" s="1"/>
  <c r="AO65" i="45"/>
  <c r="AO83" i="45" s="1"/>
  <c r="AO238" i="45" s="1"/>
  <c r="AO250" i="45" s="1"/>
  <c r="G169" i="24"/>
  <c r="G212" i="50"/>
  <c r="G189" i="50"/>
  <c r="H175" i="50"/>
  <c r="N194" i="5" s="1"/>
  <c r="H198" i="50"/>
  <c r="H189" i="50"/>
  <c r="N208" i="5" s="1"/>
  <c r="H212" i="50"/>
  <c r="F203" i="50"/>
  <c r="F180" i="50"/>
  <c r="DU65" i="45"/>
  <c r="H206" i="50"/>
  <c r="H183" i="50"/>
  <c r="N202" i="5" s="1"/>
  <c r="G208" i="50"/>
  <c r="G185" i="50"/>
  <c r="M88" i="5"/>
  <c r="M96" i="5" s="1"/>
  <c r="N88" i="5"/>
  <c r="M19" i="5"/>
  <c r="M273" i="5" s="1"/>
  <c r="N290" i="5" s="1"/>
  <c r="N291" i="5" s="1"/>
  <c r="C16" i="43"/>
  <c r="E16" i="43" s="1"/>
  <c r="F16" i="43" s="1"/>
  <c r="K190" i="50"/>
  <c r="G97" i="5"/>
  <c r="G147" i="5" s="1"/>
  <c r="G19" i="38"/>
  <c r="F9" i="4"/>
  <c r="F172" i="24"/>
  <c r="F173" i="24" s="1"/>
  <c r="D19" i="4"/>
  <c r="D32" i="4" s="1"/>
  <c r="D33" i="4" s="1"/>
  <c r="D24" i="4" s="1"/>
  <c r="AE37" i="6"/>
  <c r="AE55" i="6" s="1"/>
  <c r="AE70" i="6" s="1"/>
  <c r="H203" i="50"/>
  <c r="H180" i="50"/>
  <c r="N199" i="5" s="1"/>
  <c r="CC160" i="46"/>
  <c r="CD160" i="46" s="1"/>
  <c r="AY60" i="45"/>
  <c r="AZ60" i="45" s="1"/>
  <c r="G180" i="50"/>
  <c r="G203" i="50"/>
  <c r="H185" i="50"/>
  <c r="N204" i="5" s="1"/>
  <c r="H85" i="38" s="1"/>
  <c r="H208" i="50"/>
  <c r="G181" i="50"/>
  <c r="G204" i="50"/>
  <c r="F207" i="50"/>
  <c r="F184" i="50"/>
  <c r="G176" i="50"/>
  <c r="G199" i="50"/>
  <c r="F176" i="50"/>
  <c r="F199" i="50"/>
  <c r="G178" i="50"/>
  <c r="G201" i="50"/>
  <c r="H204" i="50"/>
  <c r="H181" i="50"/>
  <c r="N200" i="5" s="1"/>
  <c r="H197" i="50"/>
  <c r="H174" i="50"/>
  <c r="N193" i="5" s="1"/>
  <c r="O179" i="50"/>
  <c r="H126" i="5"/>
  <c r="R27" i="9"/>
  <c r="F202" i="50"/>
  <c r="F179" i="50"/>
  <c r="CS162" i="46"/>
  <c r="M76" i="5"/>
  <c r="AY236" i="45"/>
  <c r="AZ236" i="45" s="1"/>
  <c r="EC65" i="45"/>
  <c r="EC238" i="45" s="1"/>
  <c r="EC250" i="45" s="1"/>
  <c r="CT50" i="45"/>
  <c r="CU50" i="45" s="1"/>
  <c r="BQ65" i="45"/>
  <c r="BQ66" i="45" s="1"/>
  <c r="G184" i="50"/>
  <c r="G207" i="50"/>
  <c r="L190" i="50"/>
  <c r="F181" i="50"/>
  <c r="F204" i="50"/>
  <c r="G182" i="50"/>
  <c r="G205" i="50"/>
  <c r="M27" i="9"/>
  <c r="L179" i="50"/>
  <c r="M179" i="50"/>
  <c r="P179" i="50"/>
  <c r="AX162" i="46"/>
  <c r="K127" i="5"/>
  <c r="K126" i="5"/>
  <c r="I208" i="50"/>
  <c r="I185" i="50"/>
  <c r="O204" i="5" s="1"/>
  <c r="I85" i="38" s="1"/>
  <c r="I201" i="50"/>
  <c r="I178" i="50"/>
  <c r="O197" i="5" s="1"/>
  <c r="L258" i="5"/>
  <c r="F58" i="38"/>
  <c r="F108" i="38" s="1"/>
  <c r="Q209" i="5"/>
  <c r="M197" i="5"/>
  <c r="M200" i="5"/>
  <c r="L203" i="5"/>
  <c r="F83" i="38" s="1"/>
  <c r="M204" i="5"/>
  <c r="G85" i="38" s="1"/>
  <c r="L201" i="5"/>
  <c r="M176" i="5"/>
  <c r="T198" i="5"/>
  <c r="N82" i="38" s="1"/>
  <c r="M203" i="5"/>
  <c r="G83" i="38" s="1"/>
  <c r="R209" i="5"/>
  <c r="L200" i="5"/>
  <c r="M195" i="5"/>
  <c r="G81" i="38" s="1"/>
  <c r="L199" i="5"/>
  <c r="L197" i="5"/>
  <c r="L195" i="5"/>
  <c r="F81" i="38" s="1"/>
  <c r="L198" i="5"/>
  <c r="F82" i="38" s="1"/>
  <c r="M199" i="5"/>
  <c r="M208" i="5"/>
  <c r="M201" i="5"/>
  <c r="J149" i="50"/>
  <c r="I149" i="50"/>
  <c r="J157" i="50"/>
  <c r="F156" i="50"/>
  <c r="H143" i="50"/>
  <c r="F142" i="50"/>
  <c r="G146" i="50"/>
  <c r="G141" i="50"/>
  <c r="G142" i="50"/>
  <c r="G140" i="50"/>
  <c r="F152" i="50"/>
  <c r="H162" i="50"/>
  <c r="H140" i="50"/>
  <c r="H151" i="50"/>
  <c r="F140" i="50"/>
  <c r="F141" i="50"/>
  <c r="G47" i="38"/>
  <c r="N238" i="5"/>
  <c r="M238" i="5"/>
  <c r="T65" i="9"/>
  <c r="J64" i="9"/>
  <c r="B154" i="8"/>
  <c r="K64" i="9"/>
  <c r="B198" i="8"/>
  <c r="B78" i="8"/>
  <c r="J149" i="24"/>
  <c r="P155" i="5" s="1"/>
  <c r="H147" i="24"/>
  <c r="N153" i="5" s="1"/>
  <c r="H165" i="24"/>
  <c r="N170" i="5" s="1"/>
  <c r="H169" i="24"/>
  <c r="H170" i="24"/>
  <c r="C178" i="35"/>
  <c r="AB37" i="6"/>
  <c r="AB55" i="6" s="1"/>
  <c r="AB70" i="6" s="1"/>
  <c r="AK37" i="6"/>
  <c r="G140" i="24"/>
  <c r="G142" i="24" s="1"/>
  <c r="H152" i="24"/>
  <c r="N158" i="5" s="1"/>
  <c r="H140" i="24"/>
  <c r="H142" i="24" s="1"/>
  <c r="G151" i="24"/>
  <c r="M157" i="5" s="1"/>
  <c r="G157" i="50"/>
  <c r="F157" i="50"/>
  <c r="CP83" i="45"/>
  <c r="CP238" i="45" s="1"/>
  <c r="CP250" i="45" s="1"/>
  <c r="CP66" i="45"/>
  <c r="EG238" i="45"/>
  <c r="EG250" i="45" s="1"/>
  <c r="EG66" i="45"/>
  <c r="DY238" i="45"/>
  <c r="DY250" i="45" s="1"/>
  <c r="DY66" i="45"/>
  <c r="BY66" i="45"/>
  <c r="BY83" i="45"/>
  <c r="BY238" i="45" s="1"/>
  <c r="BY250" i="45" s="1"/>
  <c r="BL66" i="45"/>
  <c r="BL83" i="45"/>
  <c r="BL238" i="45" s="1"/>
  <c r="BL250" i="45" s="1"/>
  <c r="CL83" i="45"/>
  <c r="CL238" i="45" s="1"/>
  <c r="CL250" i="45" s="1"/>
  <c r="CL66" i="45"/>
  <c r="DC238" i="45"/>
  <c r="DC250" i="45" s="1"/>
  <c r="DC66" i="45"/>
  <c r="BI17" i="16"/>
  <c r="G139" i="50"/>
  <c r="G195" i="50" s="1"/>
  <c r="G135" i="50"/>
  <c r="G137" i="50" s="1"/>
  <c r="EX238" i="45"/>
  <c r="EX250" i="45" s="1"/>
  <c r="EX66" i="45"/>
  <c r="CZ66" i="45"/>
  <c r="CZ238" i="45"/>
  <c r="CZ250" i="45" s="1"/>
  <c r="CS61" i="45"/>
  <c r="CS72" i="45"/>
  <c r="CS28" i="45"/>
  <c r="BW83" i="45"/>
  <c r="BW238" i="45" s="1"/>
  <c r="BW250" i="45" s="1"/>
  <c r="BW66" i="45"/>
  <c r="BJ83" i="45"/>
  <c r="BJ238" i="45" s="1"/>
  <c r="BJ250" i="45" s="1"/>
  <c r="BJ66" i="45"/>
  <c r="CB54" i="45"/>
  <c r="CC54" i="45" s="1"/>
  <c r="CD54" i="45" s="1"/>
  <c r="CB34" i="45"/>
  <c r="CC50" i="45"/>
  <c r="CD50" i="45" s="1"/>
  <c r="AQ83" i="45"/>
  <c r="AQ238" i="45" s="1"/>
  <c r="AQ250" i="45" s="1"/>
  <c r="AQ66" i="45"/>
  <c r="EV238" i="45"/>
  <c r="EV250" i="45" s="1"/>
  <c r="EV66" i="45"/>
  <c r="ER238" i="45"/>
  <c r="ER250" i="45" s="1"/>
  <c r="ER66" i="45"/>
  <c r="EN238" i="45"/>
  <c r="EN250" i="45" s="1"/>
  <c r="EN66" i="45"/>
  <c r="BH66" i="45"/>
  <c r="BH83" i="45"/>
  <c r="BH238" i="45" s="1"/>
  <c r="BH250" i="45" s="1"/>
  <c r="F150" i="50"/>
  <c r="P216" i="5"/>
  <c r="P238" i="5" s="1"/>
  <c r="N81" i="5"/>
  <c r="J103" i="5"/>
  <c r="J128" i="5"/>
  <c r="H144" i="24"/>
  <c r="N150" i="5" s="1"/>
  <c r="AM11" i="35"/>
  <c r="AL11" i="35" s="1"/>
  <c r="AO11" i="35"/>
  <c r="AB40" i="35"/>
  <c r="Z40" i="35"/>
  <c r="Y40" i="35" s="1"/>
  <c r="F71" i="9"/>
  <c r="BL18" i="35"/>
  <c r="BI18" i="35"/>
  <c r="BH18" i="35" s="1"/>
  <c r="AO11" i="16"/>
  <c r="AM11" i="16"/>
  <c r="AL11" i="16" s="1"/>
  <c r="E11" i="16"/>
  <c r="BA12" i="16"/>
  <c r="S25" i="16"/>
  <c r="Q25" i="16"/>
  <c r="P25" i="16" s="1"/>
  <c r="AN162" i="48"/>
  <c r="C20" i="4"/>
  <c r="J143" i="5"/>
  <c r="J13" i="16"/>
  <c r="H13" i="16"/>
  <c r="G13" i="16" s="1"/>
  <c r="M152" i="50"/>
  <c r="M208" i="50" s="1"/>
  <c r="BM18" i="16"/>
  <c r="BJ18" i="16"/>
  <c r="BI18" i="16" s="1"/>
  <c r="AQ72" i="48"/>
  <c r="AQ156" i="48" s="1"/>
  <c r="AU57" i="48"/>
  <c r="AL50" i="48"/>
  <c r="F163" i="50"/>
  <c r="AS108" i="48"/>
  <c r="J58" i="6"/>
  <c r="K58" i="6" s="1"/>
  <c r="K55" i="6"/>
  <c r="H139" i="50"/>
  <c r="H135" i="50"/>
  <c r="H137" i="50" s="1"/>
  <c r="EW238" i="45"/>
  <c r="EW250" i="45" s="1"/>
  <c r="EW66" i="45"/>
  <c r="EF238" i="45"/>
  <c r="EF250" i="45" s="1"/>
  <c r="EF66" i="45"/>
  <c r="DW44" i="45"/>
  <c r="DK65" i="45"/>
  <c r="CO66" i="45"/>
  <c r="CO83" i="45"/>
  <c r="CO238" i="45" s="1"/>
  <c r="CO250" i="45" s="1"/>
  <c r="BT66" i="45"/>
  <c r="BT83" i="45"/>
  <c r="BT238" i="45" s="1"/>
  <c r="BT250" i="45" s="1"/>
  <c r="BC66" i="45"/>
  <c r="BC83" i="45"/>
  <c r="BC238" i="45" s="1"/>
  <c r="BC250" i="45" s="1"/>
  <c r="W26" i="6"/>
  <c r="P20" i="6"/>
  <c r="CT27" i="45"/>
  <c r="CU27" i="45" s="1"/>
  <c r="CC27" i="45"/>
  <c r="CD27" i="45" s="1"/>
  <c r="CT25" i="45"/>
  <c r="CU25" i="45" s="1"/>
  <c r="CC25" i="45"/>
  <c r="CD25" i="45" s="1"/>
  <c r="CT236" i="45"/>
  <c r="CU236" i="45" s="1"/>
  <c r="DW72" i="45"/>
  <c r="DW61" i="45"/>
  <c r="DW28" i="45"/>
  <c r="EP238" i="45"/>
  <c r="EP250" i="45" s="1"/>
  <c r="EP66" i="45"/>
  <c r="DG238" i="45"/>
  <c r="DG250" i="45" s="1"/>
  <c r="DG66" i="45"/>
  <c r="DI28" i="45"/>
  <c r="DI72" i="45"/>
  <c r="DI61" i="45"/>
  <c r="CT59" i="45"/>
  <c r="CU59" i="45" s="1"/>
  <c r="CC59" i="45"/>
  <c r="CD59" i="45" s="1"/>
  <c r="H150" i="24"/>
  <c r="N156" i="5" s="1"/>
  <c r="DW54" i="45"/>
  <c r="DW34" i="45"/>
  <c r="EQ66" i="45"/>
  <c r="EQ238" i="45"/>
  <c r="EQ250" i="45" s="1"/>
  <c r="DQ66" i="45"/>
  <c r="DQ238" i="45"/>
  <c r="DQ250" i="45" s="1"/>
  <c r="BM66" i="45"/>
  <c r="BM83" i="45"/>
  <c r="BM238" i="45" s="1"/>
  <c r="BM250" i="45" s="1"/>
  <c r="AO66" i="45"/>
  <c r="DL238" i="45"/>
  <c r="DL250" i="45" s="1"/>
  <c r="DL66" i="45"/>
  <c r="CJ66" i="45"/>
  <c r="CJ83" i="45"/>
  <c r="CJ238" i="45" s="1"/>
  <c r="CJ250" i="45" s="1"/>
  <c r="EI238" i="45"/>
  <c r="EI250" i="45" s="1"/>
  <c r="EI66" i="45"/>
  <c r="EE238" i="45"/>
  <c r="EE250" i="45" s="1"/>
  <c r="EE66" i="45"/>
  <c r="EA65" i="45"/>
  <c r="EK44" i="45"/>
  <c r="CA83" i="45"/>
  <c r="CA238" i="45" s="1"/>
  <c r="CA250" i="45" s="1"/>
  <c r="CA66" i="45"/>
  <c r="AY32" i="45"/>
  <c r="AZ32" i="45" s="1"/>
  <c r="CT32" i="45"/>
  <c r="CU32" i="45" s="1"/>
  <c r="AB14" i="35"/>
  <c r="Z14" i="35"/>
  <c r="Y14" i="35" s="1"/>
  <c r="AN120" i="48"/>
  <c r="AN156" i="48" s="1"/>
  <c r="AU101" i="48"/>
  <c r="S37" i="6"/>
  <c r="T35" i="6"/>
  <c r="S220" i="5"/>
  <c r="EJ238" i="45"/>
  <c r="EJ250" i="45" s="1"/>
  <c r="EJ66" i="45"/>
  <c r="CX238" i="45"/>
  <c r="CX250" i="45" s="1"/>
  <c r="CX66" i="45"/>
  <c r="BG66" i="45"/>
  <c r="BG83" i="45"/>
  <c r="BG238" i="45" s="1"/>
  <c r="BG250" i="45" s="1"/>
  <c r="AX44" i="45"/>
  <c r="AL65" i="45"/>
  <c r="AY31" i="45"/>
  <c r="AZ31" i="45" s="1"/>
  <c r="CC31" i="45"/>
  <c r="CD31" i="45" s="1"/>
  <c r="BU66" i="45"/>
  <c r="BU83" i="45"/>
  <c r="BU238" i="45" s="1"/>
  <c r="BU250" i="45" s="1"/>
  <c r="DZ66" i="45"/>
  <c r="DZ238" i="45"/>
  <c r="DZ250" i="45" s="1"/>
  <c r="G165" i="24"/>
  <c r="M170" i="5" s="1"/>
  <c r="S12" i="35"/>
  <c r="Q12" i="35"/>
  <c r="P12" i="35" s="1"/>
  <c r="AZ13" i="35"/>
  <c r="E12" i="35"/>
  <c r="Q26" i="35"/>
  <c r="P26" i="35" s="1"/>
  <c r="S26" i="35"/>
  <c r="Z41" i="16"/>
  <c r="Y41" i="16" s="1"/>
  <c r="AB41" i="16"/>
  <c r="M66" i="9"/>
  <c r="L66" i="9"/>
  <c r="K66" i="9"/>
  <c r="C19" i="4"/>
  <c r="C21" i="4"/>
  <c r="J142" i="5"/>
  <c r="J97" i="5"/>
  <c r="F73" i="9"/>
  <c r="AU139" i="48"/>
  <c r="AR143" i="48"/>
  <c r="AR156" i="48" s="1"/>
  <c r="AP172" i="48"/>
  <c r="AP178" i="48" s="1"/>
  <c r="AP157" i="48"/>
  <c r="J172" i="48"/>
  <c r="K118" i="5"/>
  <c r="AH37" i="6"/>
  <c r="K119" i="5"/>
  <c r="P58" i="6"/>
  <c r="Q58" i="6" s="1"/>
  <c r="K17" i="9" s="1"/>
  <c r="Q55" i="6"/>
  <c r="Y22" i="6" s="1"/>
  <c r="S21" i="6"/>
  <c r="J146" i="5"/>
  <c r="J122" i="5"/>
  <c r="J130" i="5" s="1"/>
  <c r="J105" i="5"/>
  <c r="L258" i="50"/>
  <c r="M256" i="50"/>
  <c r="H146" i="50"/>
  <c r="F139" i="50"/>
  <c r="F195" i="50" s="1"/>
  <c r="F135" i="50"/>
  <c r="F137" i="50" s="1"/>
  <c r="M177" i="5"/>
  <c r="CT25" i="46"/>
  <c r="CU25" i="46" s="1"/>
  <c r="CC25" i="46"/>
  <c r="CD25" i="46" s="1"/>
  <c r="AY25" i="46"/>
  <c r="AZ25" i="46" s="1"/>
  <c r="ES238" i="45"/>
  <c r="ES250" i="45" s="1"/>
  <c r="ES66" i="45"/>
  <c r="EB238" i="45"/>
  <c r="EB250" i="45" s="1"/>
  <c r="EB66" i="45"/>
  <c r="DF238" i="45"/>
  <c r="DF250" i="45" s="1"/>
  <c r="DF66" i="45"/>
  <c r="CK66" i="45"/>
  <c r="CK83" i="45"/>
  <c r="CK238" i="45" s="1"/>
  <c r="CK250" i="45" s="1"/>
  <c r="CB44" i="45"/>
  <c r="BP65" i="45"/>
  <c r="AT66" i="45"/>
  <c r="AT83" i="45"/>
  <c r="AT238" i="45" s="1"/>
  <c r="AT250" i="45" s="1"/>
  <c r="H149" i="24"/>
  <c r="N155" i="5" s="1"/>
  <c r="DI34" i="45"/>
  <c r="DI54" i="45"/>
  <c r="EK61" i="45"/>
  <c r="EK28" i="45"/>
  <c r="EK72" i="45"/>
  <c r="CB61" i="45"/>
  <c r="CB28" i="45"/>
  <c r="CB72" i="45"/>
  <c r="CY238" i="45"/>
  <c r="CY250" i="45" s="1"/>
  <c r="CY66" i="45"/>
  <c r="BD66" i="45"/>
  <c r="BD83" i="45"/>
  <c r="BD238" i="45" s="1"/>
  <c r="BD250" i="45" s="1"/>
  <c r="DV238" i="45"/>
  <c r="DV250" i="45" s="1"/>
  <c r="DV66" i="45"/>
  <c r="DR238" i="45"/>
  <c r="DR250" i="45" s="1"/>
  <c r="DR66" i="45"/>
  <c r="DN238" i="45"/>
  <c r="DN250" i="45" s="1"/>
  <c r="DN66" i="45"/>
  <c r="CT31" i="45"/>
  <c r="CU31" i="45" s="1"/>
  <c r="EK54" i="45"/>
  <c r="EK34" i="45"/>
  <c r="CH83" i="45"/>
  <c r="CH238" i="45" s="1"/>
  <c r="CH250" i="45" s="1"/>
  <c r="CH66" i="45"/>
  <c r="AS83" i="45"/>
  <c r="AS238" i="45" s="1"/>
  <c r="AS250" i="45" s="1"/>
  <c r="AS66" i="45"/>
  <c r="ET238" i="45"/>
  <c r="ET250" i="45" s="1"/>
  <c r="ET66" i="45"/>
  <c r="CN66" i="45"/>
  <c r="CN83" i="45"/>
  <c r="CN238" i="45" s="1"/>
  <c r="CN250" i="45" s="1"/>
  <c r="CS44" i="45"/>
  <c r="CS65" i="45" s="1"/>
  <c r="CF65" i="45"/>
  <c r="CC60" i="45"/>
  <c r="CD60" i="45" s="1"/>
  <c r="CT60" i="45"/>
  <c r="CU60" i="45" s="1"/>
  <c r="BN72" i="45"/>
  <c r="BN61" i="45"/>
  <c r="CT40" i="45"/>
  <c r="CU40" i="45" s="1"/>
  <c r="CC40" i="45"/>
  <c r="CD40" i="45" s="1"/>
  <c r="BN28" i="45"/>
  <c r="BN44" i="45"/>
  <c r="BB65" i="45"/>
  <c r="CT63" i="45"/>
  <c r="CU63" i="45" s="1"/>
  <c r="CC63" i="45"/>
  <c r="CD63" i="45" s="1"/>
  <c r="CC22" i="45"/>
  <c r="CD22" i="45" s="1"/>
  <c r="CT22" i="45"/>
  <c r="CU22" i="45" s="1"/>
  <c r="BN34" i="45"/>
  <c r="J14" i="35"/>
  <c r="H14" i="35"/>
  <c r="G14" i="35" s="1"/>
  <c r="BH17" i="35"/>
  <c r="DO238" i="45"/>
  <c r="DO250" i="45" s="1"/>
  <c r="DO66" i="45"/>
  <c r="BX66" i="45"/>
  <c r="BX83" i="45"/>
  <c r="BX238" i="45" s="1"/>
  <c r="BX250" i="45" s="1"/>
  <c r="BN162" i="46"/>
  <c r="AY162" i="46" s="1"/>
  <c r="AZ162" i="46" s="1"/>
  <c r="CT160" i="46"/>
  <c r="CU160" i="46" s="1"/>
  <c r="AY160" i="46"/>
  <c r="AZ160" i="46" s="1"/>
  <c r="DP238" i="45"/>
  <c r="DP250" i="45" s="1"/>
  <c r="DP66" i="45"/>
  <c r="AX54" i="45"/>
  <c r="AY54" i="45" s="1"/>
  <c r="AZ54" i="45" s="1"/>
  <c r="AX34" i="45"/>
  <c r="AU83" i="45"/>
  <c r="AU238" i="45" s="1"/>
  <c r="AU250" i="45" s="1"/>
  <c r="AU66" i="45"/>
  <c r="DT238" i="45"/>
  <c r="DT250" i="45" s="1"/>
  <c r="DT66" i="45"/>
  <c r="O18" i="9"/>
  <c r="D11" i="39" s="1"/>
  <c r="K128" i="5"/>
  <c r="J101" i="5"/>
  <c r="D61" i="8" s="1"/>
  <c r="B235" i="8"/>
  <c r="H20" i="35"/>
  <c r="G20" i="35" s="1"/>
  <c r="J20" i="35"/>
  <c r="AH10" i="35"/>
  <c r="AH178" i="35" s="1"/>
  <c r="Q17" i="16"/>
  <c r="P17" i="16" s="1"/>
  <c r="S17" i="16"/>
  <c r="AH10" i="16"/>
  <c r="AH202" i="16" s="1"/>
  <c r="F72" i="9"/>
  <c r="H19" i="16"/>
  <c r="G19" i="16" s="1"/>
  <c r="J19" i="16"/>
  <c r="AM163" i="48"/>
  <c r="AU163" i="48" s="1"/>
  <c r="AB13" i="16"/>
  <c r="Z13" i="16"/>
  <c r="Y13" i="16" s="1"/>
  <c r="E75" i="9"/>
  <c r="O92" i="9"/>
  <c r="N74" i="9"/>
  <c r="M64" i="9"/>
  <c r="AO129" i="48"/>
  <c r="AM86" i="48"/>
  <c r="AU86" i="48" s="1"/>
  <c r="M55" i="6"/>
  <c r="V55" i="6"/>
  <c r="W55" i="6" s="1"/>
  <c r="V22" i="6" s="1"/>
  <c r="W37" i="6"/>
  <c r="K120" i="5"/>
  <c r="L216" i="24"/>
  <c r="K218" i="24"/>
  <c r="AU56" i="48"/>
  <c r="EO238" i="45"/>
  <c r="EO250" i="45" s="1"/>
  <c r="EO66" i="45"/>
  <c r="DS238" i="45"/>
  <c r="DS250" i="45" s="1"/>
  <c r="DS66" i="45"/>
  <c r="DB238" i="45"/>
  <c r="DB250" i="45" s="1"/>
  <c r="DB66" i="45"/>
  <c r="CG66" i="45"/>
  <c r="CG83" i="45"/>
  <c r="CG238" i="45" s="1"/>
  <c r="CG250" i="45" s="1"/>
  <c r="BK66" i="45"/>
  <c r="BK83" i="45"/>
  <c r="BK238" i="45" s="1"/>
  <c r="BK250" i="45" s="1"/>
  <c r="AP66" i="45"/>
  <c r="AP83" i="45"/>
  <c r="AP238" i="45" s="1"/>
  <c r="AP250" i="45" s="1"/>
  <c r="AX72" i="45"/>
  <c r="AY40" i="45"/>
  <c r="AZ40" i="45" s="1"/>
  <c r="AX28" i="45"/>
  <c r="CM66" i="45"/>
  <c r="CM83" i="45"/>
  <c r="CM238" i="45" s="1"/>
  <c r="CM250" i="45" s="1"/>
  <c r="AR83" i="45"/>
  <c r="AR238" i="45" s="1"/>
  <c r="AR250" i="45" s="1"/>
  <c r="AR66" i="45"/>
  <c r="DE238" i="45"/>
  <c r="DE250" i="45" s="1"/>
  <c r="DE66" i="45"/>
  <c r="DA238" i="45"/>
  <c r="DA250" i="45" s="1"/>
  <c r="DA66" i="45"/>
  <c r="CW65" i="45"/>
  <c r="DI44" i="45"/>
  <c r="EY28" i="45"/>
  <c r="EY72" i="45"/>
  <c r="EY44" i="45"/>
  <c r="EY65" i="45" s="1"/>
  <c r="EY61" i="45"/>
  <c r="CT33" i="45"/>
  <c r="CU33" i="45" s="1"/>
  <c r="AY33" i="45"/>
  <c r="AZ33" i="45" s="1"/>
  <c r="CC33" i="45"/>
  <c r="CD33" i="45" s="1"/>
  <c r="BS83" i="45"/>
  <c r="BS238" i="45" s="1"/>
  <c r="BS250" i="45" s="1"/>
  <c r="BS66" i="45"/>
  <c r="BF83" i="45"/>
  <c r="BF238" i="45" s="1"/>
  <c r="BF250" i="45" s="1"/>
  <c r="BF66" i="45"/>
  <c r="BZ66" i="45"/>
  <c r="BZ83" i="45"/>
  <c r="BZ238" i="45" s="1"/>
  <c r="BZ250" i="45" s="1"/>
  <c r="CC26" i="45"/>
  <c r="CD26" i="45" s="1"/>
  <c r="CT26" i="45"/>
  <c r="CU26" i="45" s="1"/>
  <c r="J148" i="50"/>
  <c r="J147" i="50"/>
  <c r="F47" i="38"/>
  <c r="F50" i="38"/>
  <c r="I144" i="24"/>
  <c r="O150" i="5" s="1"/>
  <c r="J151" i="24"/>
  <c r="P157" i="5" s="1"/>
  <c r="H127" i="5"/>
  <c r="I17" i="43"/>
  <c r="J17" i="43" s="1"/>
  <c r="F25" i="38"/>
  <c r="E9" i="43"/>
  <c r="F9" i="43" s="1"/>
  <c r="I10" i="43"/>
  <c r="J10" i="43" s="1"/>
  <c r="B19" i="4"/>
  <c r="B32" i="4" s="1"/>
  <c r="B33" i="4" s="1"/>
  <c r="B24" i="4" s="1"/>
  <c r="I9" i="43"/>
  <c r="J9" i="43" s="1"/>
  <c r="E25" i="38"/>
  <c r="J126" i="5"/>
  <c r="I142" i="5"/>
  <c r="B21" i="4"/>
  <c r="B46" i="4" s="1"/>
  <c r="B47" i="4" s="1"/>
  <c r="B26" i="4" s="1"/>
  <c r="I103" i="5"/>
  <c r="I104" i="5"/>
  <c r="T10" i="4"/>
  <c r="H139" i="5"/>
  <c r="I118" i="5"/>
  <c r="Y63" i="6"/>
  <c r="H121" i="5"/>
  <c r="H129" i="5" s="1"/>
  <c r="H104" i="5"/>
  <c r="E53" i="38"/>
  <c r="I121" i="5"/>
  <c r="I129" i="5" s="1"/>
  <c r="I126" i="5"/>
  <c r="L104" i="5"/>
  <c r="L145" i="5"/>
  <c r="J121" i="5"/>
  <c r="J129" i="5" s="1"/>
  <c r="L121" i="5"/>
  <c r="L129" i="5" s="1"/>
  <c r="I144" i="5"/>
  <c r="J120" i="5"/>
  <c r="D25" i="38"/>
  <c r="H102" i="5"/>
  <c r="B65" i="8" s="1"/>
  <c r="H143" i="5"/>
  <c r="H118" i="5"/>
  <c r="H142" i="5"/>
  <c r="H101" i="5"/>
  <c r="B61" i="8" s="1"/>
  <c r="J269" i="5"/>
  <c r="J90" i="5"/>
  <c r="I139" i="5"/>
  <c r="I90" i="5"/>
  <c r="N137" i="5"/>
  <c r="L293" i="5"/>
  <c r="M294" i="5" s="1"/>
  <c r="D230" i="8"/>
  <c r="D193" i="8"/>
  <c r="D149" i="8"/>
  <c r="D112" i="8"/>
  <c r="H144" i="5"/>
  <c r="H128" i="5"/>
  <c r="H120" i="5"/>
  <c r="H103" i="5"/>
  <c r="B20" i="4"/>
  <c r="B39" i="4" s="1"/>
  <c r="B40" i="4" s="1"/>
  <c r="B25" i="4" s="1"/>
  <c r="I127" i="5"/>
  <c r="I119" i="5"/>
  <c r="J127" i="5"/>
  <c r="J119" i="5"/>
  <c r="I143" i="5"/>
  <c r="I102" i="5"/>
  <c r="C65" i="8" s="1"/>
  <c r="H97" i="5"/>
  <c r="C230" i="8"/>
  <c r="C193" i="8"/>
  <c r="C149" i="8"/>
  <c r="C112" i="8"/>
  <c r="B17" i="8"/>
  <c r="B72" i="8" s="1"/>
  <c r="I120" i="5"/>
  <c r="J15" i="9"/>
  <c r="I97" i="5"/>
  <c r="I101" i="5"/>
  <c r="C61" i="8" s="1"/>
  <c r="K145" i="5"/>
  <c r="K97" i="5"/>
  <c r="K121" i="5"/>
  <c r="K104" i="5"/>
  <c r="I128" i="5"/>
  <c r="I13" i="9"/>
  <c r="I12" i="9" s="1"/>
  <c r="U27" i="4"/>
  <c r="E193" i="8"/>
  <c r="E149" i="8"/>
  <c r="E230" i="8"/>
  <c r="E112" i="8"/>
  <c r="V301" i="5"/>
  <c r="K293" i="5"/>
  <c r="L292" i="5" s="1"/>
  <c r="K139" i="5"/>
  <c r="K90" i="5"/>
  <c r="H90" i="5"/>
  <c r="K149" i="50"/>
  <c r="J263" i="5" l="1"/>
  <c r="L25" i="24"/>
  <c r="L147" i="24" s="1"/>
  <c r="R153" i="5" s="1"/>
  <c r="F13" i="49"/>
  <c r="E14" i="49" s="1"/>
  <c r="C14" i="49" s="1"/>
  <c r="E105" i="38"/>
  <c r="E115" i="38" s="1"/>
  <c r="Y64" i="6"/>
  <c r="G49" i="38"/>
  <c r="C35" i="43" s="1"/>
  <c r="H35" i="43" s="1"/>
  <c r="I35" i="43" s="1"/>
  <c r="J35" i="43" s="1"/>
  <c r="I165" i="24"/>
  <c r="O170" i="5" s="1"/>
  <c r="BQ83" i="45"/>
  <c r="BQ238" i="45" s="1"/>
  <c r="BQ250" i="45" s="1"/>
  <c r="S27" i="9"/>
  <c r="H17" i="39" s="1"/>
  <c r="R258" i="5"/>
  <c r="EU66" i="45"/>
  <c r="AM66" i="45"/>
  <c r="M202" i="5"/>
  <c r="M251" i="5" s="1"/>
  <c r="G206" i="50"/>
  <c r="H84" i="38"/>
  <c r="N251" i="5"/>
  <c r="H112" i="38" s="1"/>
  <c r="H86" i="38"/>
  <c r="H205" i="50"/>
  <c r="G84" i="38"/>
  <c r="F84" i="38"/>
  <c r="AW83" i="45"/>
  <c r="AW238" i="45" s="1"/>
  <c r="AW250" i="45" s="1"/>
  <c r="H48" i="38"/>
  <c r="N16" i="9"/>
  <c r="C10" i="39" s="1"/>
  <c r="G103" i="38"/>
  <c r="O16" i="9"/>
  <c r="D10" i="39" s="1"/>
  <c r="H103" i="38"/>
  <c r="D43" i="58"/>
  <c r="D61" i="38"/>
  <c r="F6" i="4"/>
  <c r="V6" i="4" s="1"/>
  <c r="W6" i="4" s="1"/>
  <c r="V14" i="4"/>
  <c r="W27" i="4" s="1"/>
  <c r="M137" i="5"/>
  <c r="M53" i="5"/>
  <c r="M12" i="5"/>
  <c r="G179" i="5"/>
  <c r="G243" i="5" s="1"/>
  <c r="G263" i="5"/>
  <c r="H14" i="38"/>
  <c r="G11" i="38"/>
  <c r="M93" i="5"/>
  <c r="M143" i="5" s="1"/>
  <c r="M86" i="5"/>
  <c r="M94" i="5" s="1"/>
  <c r="M103" i="5" s="1"/>
  <c r="C14" i="58"/>
  <c r="E14" i="58" s="1"/>
  <c r="F14" i="58" s="1"/>
  <c r="D21" i="58"/>
  <c r="D25" i="58" s="1"/>
  <c r="D30" i="58" s="1"/>
  <c r="M135" i="5"/>
  <c r="F37" i="4"/>
  <c r="C34" i="43"/>
  <c r="C10" i="58"/>
  <c r="E10" i="58" s="1"/>
  <c r="F10" i="58" s="1"/>
  <c r="E7" i="58"/>
  <c r="F7" i="58" s="1"/>
  <c r="E12" i="58"/>
  <c r="F12" i="58" s="1"/>
  <c r="D33" i="43"/>
  <c r="D33" i="58"/>
  <c r="C33" i="43"/>
  <c r="H33" i="43" s="1"/>
  <c r="C33" i="58"/>
  <c r="D36" i="43"/>
  <c r="D36" i="58"/>
  <c r="AH93" i="48"/>
  <c r="X93" i="48"/>
  <c r="X30" i="48"/>
  <c r="AH30" i="48"/>
  <c r="AA6" i="48"/>
  <c r="AA75" i="48"/>
  <c r="AA96" i="48"/>
  <c r="AA150" i="48"/>
  <c r="AB50" i="48"/>
  <c r="AA72" i="48"/>
  <c r="AH120" i="48"/>
  <c r="X120" i="48"/>
  <c r="AH153" i="48"/>
  <c r="X153" i="48"/>
  <c r="AH133" i="48"/>
  <c r="AO133" i="48" s="1"/>
  <c r="AU133" i="48" s="1"/>
  <c r="X133" i="48"/>
  <c r="AA133" i="48" s="1"/>
  <c r="AB133" i="48" s="1"/>
  <c r="AD133" i="48" s="1"/>
  <c r="AA123" i="48"/>
  <c r="E172" i="48"/>
  <c r="C4" i="52" s="1"/>
  <c r="C6" i="52" s="1"/>
  <c r="D6" i="52" s="1"/>
  <c r="T156" i="48"/>
  <c r="M156" i="48"/>
  <c r="T143" i="48"/>
  <c r="M143" i="48"/>
  <c r="C10" i="43"/>
  <c r="E10" i="43" s="1"/>
  <c r="F10" i="43" s="1"/>
  <c r="D19" i="43"/>
  <c r="F27" i="38"/>
  <c r="L82" i="5"/>
  <c r="M81" i="5"/>
  <c r="M25" i="5"/>
  <c r="M24" i="5" s="1"/>
  <c r="L24" i="5"/>
  <c r="AU50" i="48"/>
  <c r="M28" i="5"/>
  <c r="L92" i="5"/>
  <c r="E14" i="4"/>
  <c r="E30" i="4" s="1"/>
  <c r="E16" i="4"/>
  <c r="E44" i="4" s="1"/>
  <c r="L89" i="5"/>
  <c r="L134" i="5"/>
  <c r="E13" i="29"/>
  <c r="E9" i="29"/>
  <c r="E92" i="29" s="1"/>
  <c r="E22" i="29" s="1"/>
  <c r="E93" i="29"/>
  <c r="E23" i="29" s="1"/>
  <c r="CI66" i="45"/>
  <c r="CI83" i="45"/>
  <c r="CI238" i="45" s="1"/>
  <c r="CI250" i="45" s="1"/>
  <c r="E7" i="43"/>
  <c r="F7" i="43" s="1"/>
  <c r="AY61" i="45"/>
  <c r="AZ61" i="45" s="1"/>
  <c r="E157" i="48"/>
  <c r="EC66" i="45"/>
  <c r="AY28" i="45"/>
  <c r="AZ28" i="45" s="1"/>
  <c r="CB65" i="45"/>
  <c r="CB66" i="45" s="1"/>
  <c r="E30" i="38"/>
  <c r="M73" i="5"/>
  <c r="M74" i="5" s="1"/>
  <c r="N112" i="5"/>
  <c r="F11" i="4"/>
  <c r="F43" i="4" s="1"/>
  <c r="K60" i="54"/>
  <c r="M15" i="5"/>
  <c r="H27" i="38"/>
  <c r="M111" i="5"/>
  <c r="F38" i="4"/>
  <c r="M112" i="5"/>
  <c r="M21" i="5"/>
  <c r="G21" i="38"/>
  <c r="G24" i="38" s="1"/>
  <c r="N21" i="5"/>
  <c r="C14" i="43"/>
  <c r="E14" i="43" s="1"/>
  <c r="F14" i="43" s="1"/>
  <c r="K17" i="24"/>
  <c r="M39" i="5"/>
  <c r="K118" i="54"/>
  <c r="K135" i="54"/>
  <c r="K126" i="54"/>
  <c r="K147" i="54" s="1"/>
  <c r="K138" i="54"/>
  <c r="L58" i="38"/>
  <c r="K13" i="9"/>
  <c r="J179" i="5"/>
  <c r="U28" i="4"/>
  <c r="T26" i="4"/>
  <c r="T28" i="4" s="1"/>
  <c r="N18" i="9"/>
  <c r="C11" i="39" s="1"/>
  <c r="D30" i="38"/>
  <c r="M84" i="5"/>
  <c r="M134" i="5" s="1"/>
  <c r="AB61" i="6"/>
  <c r="AB64" i="6" s="1"/>
  <c r="J106" i="5"/>
  <c r="K106" i="5"/>
  <c r="M138" i="5"/>
  <c r="M171" i="5"/>
  <c r="G50" i="38" s="1"/>
  <c r="H172" i="50"/>
  <c r="N191" i="5" s="1"/>
  <c r="H195" i="50"/>
  <c r="V13" i="4"/>
  <c r="W13" i="4" s="1"/>
  <c r="F29" i="4"/>
  <c r="E91" i="29"/>
  <c r="E21" i="29" s="1"/>
  <c r="K30" i="24"/>
  <c r="K149" i="24" s="1"/>
  <c r="Q155" i="5" s="1"/>
  <c r="F70" i="9"/>
  <c r="J90" i="9"/>
  <c r="C25" i="8" s="1"/>
  <c r="C78" i="8" s="1"/>
  <c r="K182" i="50"/>
  <c r="K205" i="50"/>
  <c r="H49" i="38"/>
  <c r="N27" i="9"/>
  <c r="C17" i="39" s="1"/>
  <c r="H213" i="50"/>
  <c r="O31" i="9"/>
  <c r="F172" i="50"/>
  <c r="F213" i="50"/>
  <c r="F190" i="50"/>
  <c r="L209" i="5" s="1"/>
  <c r="F185" i="50"/>
  <c r="F208" i="50"/>
  <c r="H179" i="50"/>
  <c r="N198" i="5" s="1"/>
  <c r="H202" i="50"/>
  <c r="M185" i="50"/>
  <c r="G190" i="50"/>
  <c r="M209" i="5" s="1"/>
  <c r="G213" i="50"/>
  <c r="F173" i="50"/>
  <c r="F196" i="50"/>
  <c r="G173" i="50"/>
  <c r="G196" i="50"/>
  <c r="G202" i="50"/>
  <c r="G179" i="50"/>
  <c r="F189" i="50"/>
  <c r="F212" i="50"/>
  <c r="AL53" i="48"/>
  <c r="AM53" i="48"/>
  <c r="H173" i="50"/>
  <c r="N192" i="5" s="1"/>
  <c r="H196" i="50"/>
  <c r="N138" i="5"/>
  <c r="G167" i="24"/>
  <c r="DI65" i="45"/>
  <c r="DI238" i="45" s="1"/>
  <c r="DI250" i="45" s="1"/>
  <c r="H172" i="48"/>
  <c r="H176" i="48" s="1"/>
  <c r="H207" i="50"/>
  <c r="H184" i="50"/>
  <c r="N203" i="5" s="1"/>
  <c r="H83" i="38" s="1"/>
  <c r="G198" i="50"/>
  <c r="G175" i="50"/>
  <c r="F198" i="50"/>
  <c r="F175" i="50"/>
  <c r="N29" i="9"/>
  <c r="F174" i="50"/>
  <c r="F197" i="50"/>
  <c r="G58" i="38"/>
  <c r="G108" i="38" s="1"/>
  <c r="F206" i="50"/>
  <c r="F183" i="50"/>
  <c r="G172" i="50"/>
  <c r="G197" i="50"/>
  <c r="G174" i="50"/>
  <c r="H199" i="50"/>
  <c r="H176" i="50"/>
  <c r="N195" i="5" s="1"/>
  <c r="H81" i="38" s="1"/>
  <c r="N31" i="9"/>
  <c r="M29" i="9"/>
  <c r="DU238" i="45"/>
  <c r="DU250" i="45" s="1"/>
  <c r="DU66" i="45"/>
  <c r="J205" i="50"/>
  <c r="J182" i="50"/>
  <c r="P201" i="5" s="1"/>
  <c r="I205" i="50"/>
  <c r="I182" i="50"/>
  <c r="O201" i="5" s="1"/>
  <c r="L193" i="5"/>
  <c r="L192" i="5"/>
  <c r="M192" i="5"/>
  <c r="M198" i="5"/>
  <c r="G82" i="38" s="1"/>
  <c r="L208" i="5"/>
  <c r="S204" i="5"/>
  <c r="M85" i="38" s="1"/>
  <c r="N176" i="5"/>
  <c r="N258" i="5" s="1"/>
  <c r="M194" i="5"/>
  <c r="L194" i="5"/>
  <c r="L202" i="5"/>
  <c r="L204" i="5"/>
  <c r="M193" i="5"/>
  <c r="J162" i="50"/>
  <c r="I162" i="50"/>
  <c r="M157" i="50"/>
  <c r="M213" i="50" s="1"/>
  <c r="J145" i="50"/>
  <c r="I146" i="50"/>
  <c r="I140" i="50"/>
  <c r="K80" i="9"/>
  <c r="D22" i="8" s="1"/>
  <c r="D75" i="8" s="1"/>
  <c r="F20" i="8"/>
  <c r="N171" i="5"/>
  <c r="I170" i="24"/>
  <c r="H167" i="24"/>
  <c r="H47" i="38"/>
  <c r="E20" i="8"/>
  <c r="D20" i="8"/>
  <c r="P92" i="9"/>
  <c r="H24" i="8"/>
  <c r="AM123" i="48"/>
  <c r="M80" i="9"/>
  <c r="F22" i="8" s="1"/>
  <c r="F75" i="8" s="1"/>
  <c r="J21" i="35"/>
  <c r="H21" i="35"/>
  <c r="G21" i="35" s="1"/>
  <c r="CS66" i="45"/>
  <c r="CS83" i="45"/>
  <c r="CS238" i="45" s="1"/>
  <c r="CS250" i="45" s="1"/>
  <c r="L191" i="5"/>
  <c r="F159" i="50"/>
  <c r="F165" i="50" s="1"/>
  <c r="AR157" i="48"/>
  <c r="AR172" i="48"/>
  <c r="AR178" i="48" s="1"/>
  <c r="C32" i="4"/>
  <c r="C33" i="4" s="1"/>
  <c r="C24" i="4" s="1"/>
  <c r="T40" i="4" s="1"/>
  <c r="T31" i="4"/>
  <c r="AB15" i="35"/>
  <c r="Z15" i="35"/>
  <c r="Y15" i="35" s="1"/>
  <c r="EK65" i="45"/>
  <c r="I150" i="24"/>
  <c r="O156" i="5" s="1"/>
  <c r="I48" i="38" s="1"/>
  <c r="V26" i="6"/>
  <c r="V58" i="6" s="1"/>
  <c r="W58" i="6" s="1"/>
  <c r="Z26" i="6"/>
  <c r="Z25" i="6" s="1"/>
  <c r="V20" i="6"/>
  <c r="DW65" i="45"/>
  <c r="H159" i="50"/>
  <c r="H165" i="50" s="1"/>
  <c r="AQ157" i="48"/>
  <c r="AQ172" i="48"/>
  <c r="AQ178" i="48" s="1"/>
  <c r="E12" i="16"/>
  <c r="BA13" i="16"/>
  <c r="BL19" i="35"/>
  <c r="BI19" i="35"/>
  <c r="CC34" i="45"/>
  <c r="CD34" i="45" s="1"/>
  <c r="F74" i="9"/>
  <c r="L80" i="9"/>
  <c r="E22" i="8" s="1"/>
  <c r="E75" i="8" s="1"/>
  <c r="J15" i="35"/>
  <c r="H16" i="35" s="1"/>
  <c r="G16" i="35" s="1"/>
  <c r="H15" i="35"/>
  <c r="G15" i="35" s="1"/>
  <c r="BB83" i="45"/>
  <c r="BB238" i="45" s="1"/>
  <c r="BB250" i="45" s="1"/>
  <c r="BB66" i="45"/>
  <c r="BP66" i="45"/>
  <c r="BP83" i="45"/>
  <c r="BP238" i="45" s="1"/>
  <c r="BP250" i="45" s="1"/>
  <c r="J147" i="5"/>
  <c r="S27" i="35"/>
  <c r="Q27" i="35"/>
  <c r="P27" i="35" s="1"/>
  <c r="E13" i="35"/>
  <c r="AZ14" i="35"/>
  <c r="T37" i="6"/>
  <c r="S55" i="6"/>
  <c r="EA238" i="45"/>
  <c r="EA250" i="45" s="1"/>
  <c r="EA66" i="45"/>
  <c r="K59" i="6"/>
  <c r="I17" i="9"/>
  <c r="J14" i="16"/>
  <c r="H14" i="16"/>
  <c r="G14" i="16" s="1"/>
  <c r="AN164" i="48"/>
  <c r="AN172" i="48" s="1"/>
  <c r="AN178" i="48" s="1"/>
  <c r="AU162" i="48"/>
  <c r="AB41" i="35"/>
  <c r="Z41" i="35"/>
  <c r="Y41" i="35" s="1"/>
  <c r="M258" i="5"/>
  <c r="EY66" i="45"/>
  <c r="EY238" i="45"/>
  <c r="EY250" i="45" s="1"/>
  <c r="CW238" i="45"/>
  <c r="CW250" i="45" s="1"/>
  <c r="CW66" i="45"/>
  <c r="CC44" i="45"/>
  <c r="CD44" i="45" s="1"/>
  <c r="BN65" i="45"/>
  <c r="CT44" i="45"/>
  <c r="CU44" i="45" s="1"/>
  <c r="CT61" i="45"/>
  <c r="CU61" i="45" s="1"/>
  <c r="CC61" i="45"/>
  <c r="CD61" i="45" s="1"/>
  <c r="M258" i="50"/>
  <c r="N256" i="50"/>
  <c r="AL66" i="45"/>
  <c r="AL83" i="45"/>
  <c r="AL238" i="45" s="1"/>
  <c r="AL250" i="45" s="1"/>
  <c r="S238" i="5"/>
  <c r="I142" i="50"/>
  <c r="AS120" i="48"/>
  <c r="AS156" i="48" s="1"/>
  <c r="AU108" i="48"/>
  <c r="BM19" i="16"/>
  <c r="BJ19" i="16"/>
  <c r="BI19" i="16" s="1"/>
  <c r="AM12" i="16"/>
  <c r="AL12" i="16" s="1"/>
  <c r="AO12" i="16"/>
  <c r="M216" i="24"/>
  <c r="L218" i="24"/>
  <c r="M58" i="6"/>
  <c r="N58" i="6" s="1"/>
  <c r="Q59" i="6" s="1"/>
  <c r="N55" i="6"/>
  <c r="P22" i="6" s="1"/>
  <c r="AO143" i="48"/>
  <c r="AO156" i="48" s="1"/>
  <c r="AU129" i="48"/>
  <c r="AB14" i="16"/>
  <c r="Z14" i="16"/>
  <c r="Y14" i="16" s="1"/>
  <c r="H20" i="16"/>
  <c r="G20" i="16" s="1"/>
  <c r="J20" i="16"/>
  <c r="Q18" i="16"/>
  <c r="P18" i="16" s="1"/>
  <c r="S18" i="16"/>
  <c r="AY34" i="45"/>
  <c r="AZ34" i="45" s="1"/>
  <c r="CT34" i="45"/>
  <c r="CU34" i="45" s="1"/>
  <c r="CC28" i="45"/>
  <c r="CD28" i="45" s="1"/>
  <c r="CT28" i="45"/>
  <c r="CU28" i="45" s="1"/>
  <c r="CF66" i="45"/>
  <c r="CF83" i="45"/>
  <c r="CF238" i="45" s="1"/>
  <c r="CF250" i="45" s="1"/>
  <c r="C46" i="4"/>
  <c r="C47" i="4" s="1"/>
  <c r="C26" i="4" s="1"/>
  <c r="T42" i="4" s="1"/>
  <c r="T33" i="4"/>
  <c r="Z42" i="16"/>
  <c r="Y42" i="16" s="1"/>
  <c r="AB42" i="16"/>
  <c r="S13" i="35"/>
  <c r="Q13" i="35"/>
  <c r="P13" i="35" s="1"/>
  <c r="AX65" i="45"/>
  <c r="AY44" i="45"/>
  <c r="AZ44" i="45" s="1"/>
  <c r="AN157" i="48"/>
  <c r="DK238" i="45"/>
  <c r="DK250" i="45" s="1"/>
  <c r="DK66" i="45"/>
  <c r="AM96" i="48"/>
  <c r="N152" i="50"/>
  <c r="N208" i="50" s="1"/>
  <c r="C39" i="4"/>
  <c r="C40" i="4" s="1"/>
  <c r="C25" i="4" s="1"/>
  <c r="T41" i="4" s="1"/>
  <c r="T32" i="4"/>
  <c r="Q26" i="16"/>
  <c r="P26" i="16" s="1"/>
  <c r="S26" i="16"/>
  <c r="AO12" i="35"/>
  <c r="AM12" i="35"/>
  <c r="AL12" i="35" s="1"/>
  <c r="M191" i="5"/>
  <c r="G159" i="50"/>
  <c r="G165" i="50" s="1"/>
  <c r="AL49" i="48"/>
  <c r="AM49" i="48"/>
  <c r="K148" i="50"/>
  <c r="K204" i="50" s="1"/>
  <c r="F52" i="38"/>
  <c r="F53" i="38" s="1"/>
  <c r="K147" i="50"/>
  <c r="K203" i="50" s="1"/>
  <c r="I145" i="24"/>
  <c r="O151" i="5" s="1"/>
  <c r="M25" i="24"/>
  <c r="I146" i="24"/>
  <c r="O152" i="5" s="1"/>
  <c r="K151" i="24"/>
  <c r="Q157" i="5" s="1"/>
  <c r="L67" i="24"/>
  <c r="J145" i="24"/>
  <c r="P151" i="5" s="1"/>
  <c r="J144" i="24"/>
  <c r="P150" i="5" s="1"/>
  <c r="J146" i="24"/>
  <c r="P152" i="5" s="1"/>
  <c r="H131" i="5"/>
  <c r="J123" i="5"/>
  <c r="H123" i="5"/>
  <c r="L294" i="5"/>
  <c r="J131" i="5"/>
  <c r="H106" i="5"/>
  <c r="I123" i="5"/>
  <c r="I106" i="5"/>
  <c r="I131" i="5"/>
  <c r="M121" i="5"/>
  <c r="M129" i="5" s="1"/>
  <c r="M145" i="5"/>
  <c r="M104" i="5"/>
  <c r="I107" i="5"/>
  <c r="J98" i="5"/>
  <c r="I98" i="5"/>
  <c r="I147" i="5"/>
  <c r="I269" i="5"/>
  <c r="H257" i="5"/>
  <c r="M146" i="5"/>
  <c r="M122" i="5"/>
  <c r="M130" i="5" s="1"/>
  <c r="M105" i="5"/>
  <c r="E61" i="38"/>
  <c r="K294" i="5"/>
  <c r="K129" i="5"/>
  <c r="K131" i="5" s="1"/>
  <c r="K123" i="5"/>
  <c r="N293" i="5"/>
  <c r="O292" i="5" s="1"/>
  <c r="H98" i="5"/>
  <c r="H107" i="5"/>
  <c r="H147" i="5"/>
  <c r="K147" i="5"/>
  <c r="K98" i="5"/>
  <c r="B112" i="8"/>
  <c r="B230" i="8"/>
  <c r="B149" i="8"/>
  <c r="B193" i="8"/>
  <c r="Q201" i="5"/>
  <c r="L149" i="50"/>
  <c r="C35" i="58" l="1"/>
  <c r="E35" i="58" s="1"/>
  <c r="F35" i="58" s="1"/>
  <c r="V9" i="4"/>
  <c r="V8" i="4"/>
  <c r="V10" i="4" s="1"/>
  <c r="CB83" i="45"/>
  <c r="CB238" i="45" s="1"/>
  <c r="CB250" i="45" s="1"/>
  <c r="G86" i="38"/>
  <c r="N252" i="5"/>
  <c r="N269" i="5" s="1"/>
  <c r="T27" i="9"/>
  <c r="S258" i="5"/>
  <c r="W14" i="4"/>
  <c r="F20" i="4"/>
  <c r="F39" i="4" s="1"/>
  <c r="G112" i="38"/>
  <c r="M252" i="5"/>
  <c r="M269" i="5" s="1"/>
  <c r="L251" i="5"/>
  <c r="F86" i="38"/>
  <c r="M31" i="9"/>
  <c r="F85" i="38"/>
  <c r="H80" i="38"/>
  <c r="G40" i="38"/>
  <c r="C43" i="58"/>
  <c r="E43" i="58" s="1"/>
  <c r="F43" i="58" s="1"/>
  <c r="G25" i="38"/>
  <c r="F29" i="38"/>
  <c r="F30" i="38" s="1"/>
  <c r="F36" i="38"/>
  <c r="F37" i="38" s="1"/>
  <c r="E106" i="38"/>
  <c r="E56" i="38"/>
  <c r="N120" i="5"/>
  <c r="M120" i="5"/>
  <c r="M136" i="5"/>
  <c r="H77" i="8"/>
  <c r="S11" i="39"/>
  <c r="M144" i="5"/>
  <c r="C17" i="58"/>
  <c r="E17" i="58" s="1"/>
  <c r="F17" i="58" s="1"/>
  <c r="D38" i="43"/>
  <c r="I33" i="43"/>
  <c r="J33" i="43" s="1"/>
  <c r="E35" i="43"/>
  <c r="F35" i="43" s="1"/>
  <c r="C19" i="43"/>
  <c r="E19" i="43" s="1"/>
  <c r="F19" i="43" s="1"/>
  <c r="C19" i="58"/>
  <c r="E19" i="58" s="1"/>
  <c r="F19" i="58" s="1"/>
  <c r="M102" i="5"/>
  <c r="G65" i="8" s="1"/>
  <c r="N82" i="5"/>
  <c r="M82" i="5"/>
  <c r="F80" i="38"/>
  <c r="G27" i="38"/>
  <c r="G29" i="38" s="1"/>
  <c r="O30" i="9"/>
  <c r="H82" i="38"/>
  <c r="M119" i="5"/>
  <c r="G80" i="38"/>
  <c r="H34" i="43"/>
  <c r="I34" i="43" s="1"/>
  <c r="J34" i="43" s="1"/>
  <c r="E34" i="43"/>
  <c r="F34" i="43" s="1"/>
  <c r="E33" i="43"/>
  <c r="F33" i="43" s="1"/>
  <c r="D38" i="58"/>
  <c r="D40" i="58" s="1"/>
  <c r="C36" i="43"/>
  <c r="H36" i="43" s="1"/>
  <c r="I36" i="43" s="1"/>
  <c r="J36" i="43" s="1"/>
  <c r="C36" i="58"/>
  <c r="E33" i="58"/>
  <c r="F33" i="58" s="1"/>
  <c r="X143" i="48"/>
  <c r="AH143" i="48"/>
  <c r="AA153" i="48"/>
  <c r="AB150" i="48"/>
  <c r="AB75" i="48"/>
  <c r="AA93" i="48"/>
  <c r="AB123" i="48"/>
  <c r="AA143" i="48"/>
  <c r="T172" i="48"/>
  <c r="X156" i="48"/>
  <c r="X172" i="48" s="1"/>
  <c r="AD50" i="48"/>
  <c r="AD72" i="48" s="1"/>
  <c r="AB72" i="48"/>
  <c r="AA120" i="48"/>
  <c r="AB96" i="48"/>
  <c r="AA30" i="48"/>
  <c r="AB6" i="48"/>
  <c r="T157" i="48"/>
  <c r="X157" i="48" s="1"/>
  <c r="M157" i="48"/>
  <c r="AU53" i="48"/>
  <c r="E19" i="4"/>
  <c r="E32" i="4" s="1"/>
  <c r="E33" i="4" s="1"/>
  <c r="E24" i="4" s="1"/>
  <c r="L142" i="5"/>
  <c r="L101" i="5"/>
  <c r="E21" i="4"/>
  <c r="E46" i="4" s="1"/>
  <c r="E47" i="4" s="1"/>
  <c r="E26" i="4" s="1"/>
  <c r="L126" i="5"/>
  <c r="L131" i="5" s="1"/>
  <c r="L97" i="5"/>
  <c r="L118" i="5"/>
  <c r="L123" i="5" s="1"/>
  <c r="L173" i="5"/>
  <c r="L139" i="5"/>
  <c r="L90" i="5"/>
  <c r="I19" i="43"/>
  <c r="J19" i="43" s="1"/>
  <c r="D21" i="43"/>
  <c r="DI66" i="45"/>
  <c r="J243" i="5"/>
  <c r="J267" i="5" s="1"/>
  <c r="V15" i="4"/>
  <c r="W15" i="4" s="1"/>
  <c r="L30" i="24"/>
  <c r="L149" i="24" s="1"/>
  <c r="R155" i="5" s="1"/>
  <c r="L60" i="54"/>
  <c r="N15" i="5"/>
  <c r="N51" i="5"/>
  <c r="C17" i="43"/>
  <c r="E17" i="43" s="1"/>
  <c r="F17" i="43" s="1"/>
  <c r="M110" i="5"/>
  <c r="M115" i="5" s="1"/>
  <c r="F31" i="4"/>
  <c r="F45" i="4" s="1"/>
  <c r="M44" i="5"/>
  <c r="C23" i="58" s="1"/>
  <c r="E23" i="58" s="1"/>
  <c r="F23" i="58" s="1"/>
  <c r="L17" i="24"/>
  <c r="F16" i="4"/>
  <c r="V24" i="4" s="1"/>
  <c r="W24" i="4" s="1"/>
  <c r="M92" i="5"/>
  <c r="M101" i="5" s="1"/>
  <c r="G61" i="8" s="1"/>
  <c r="H245" i="5"/>
  <c r="H267" i="5"/>
  <c r="G245" i="5"/>
  <c r="G267" i="5"/>
  <c r="F14" i="4"/>
  <c r="M89" i="5"/>
  <c r="K107" i="5"/>
  <c r="J257" i="5"/>
  <c r="M172" i="5"/>
  <c r="J107" i="5"/>
  <c r="O33" i="9"/>
  <c r="D20" i="39" s="1"/>
  <c r="N172" i="5"/>
  <c r="H58" i="38"/>
  <c r="H50" i="38"/>
  <c r="H52" i="38" s="1"/>
  <c r="K90" i="9"/>
  <c r="D25" i="8" s="1"/>
  <c r="D78" i="8" s="1"/>
  <c r="L182" i="50"/>
  <c r="L205" i="50"/>
  <c r="C18" i="39"/>
  <c r="M33" i="9"/>
  <c r="N30" i="9"/>
  <c r="N33" i="9"/>
  <c r="C20" i="39" s="1"/>
  <c r="G192" i="50"/>
  <c r="F192" i="50"/>
  <c r="M30" i="9"/>
  <c r="O29" i="9"/>
  <c r="G172" i="24"/>
  <c r="G173" i="24" s="1"/>
  <c r="M190" i="50"/>
  <c r="K181" i="50"/>
  <c r="K180" i="50"/>
  <c r="N185" i="50"/>
  <c r="O27" i="9"/>
  <c r="I24" i="9"/>
  <c r="B16" i="8" s="1"/>
  <c r="B71" i="8" s="1"/>
  <c r="D152" i="8"/>
  <c r="J178" i="50"/>
  <c r="P197" i="5" s="1"/>
  <c r="J201" i="50"/>
  <c r="D233" i="8"/>
  <c r="D115" i="8" s="1"/>
  <c r="D196" i="8"/>
  <c r="Q200" i="5"/>
  <c r="O176" i="5"/>
  <c r="S209" i="5"/>
  <c r="P176" i="5"/>
  <c r="Q199" i="5"/>
  <c r="T204" i="5"/>
  <c r="N85" i="38" s="1"/>
  <c r="H192" i="50"/>
  <c r="I139" i="50"/>
  <c r="J146" i="50"/>
  <c r="J140" i="50"/>
  <c r="N157" i="50"/>
  <c r="N213" i="50" s="1"/>
  <c r="K145" i="50"/>
  <c r="K201" i="50" s="1"/>
  <c r="H172" i="24"/>
  <c r="H173" i="24" s="1"/>
  <c r="K45" i="24"/>
  <c r="J170" i="24"/>
  <c r="M210" i="5"/>
  <c r="U36" i="4"/>
  <c r="T36" i="4"/>
  <c r="S14" i="35"/>
  <c r="Q14" i="35"/>
  <c r="P14" i="35" s="1"/>
  <c r="U46" i="4"/>
  <c r="H21" i="16"/>
  <c r="G21" i="16" s="1"/>
  <c r="J21" i="16"/>
  <c r="AL33" i="48"/>
  <c r="AM33" i="48"/>
  <c r="AL6" i="48"/>
  <c r="AM75" i="48"/>
  <c r="AB42" i="35"/>
  <c r="Z42" i="35"/>
  <c r="Y42" i="35" s="1"/>
  <c r="J15" i="16"/>
  <c r="H16" i="16" s="1"/>
  <c r="G16" i="16" s="1"/>
  <c r="H15" i="16"/>
  <c r="G15" i="16" s="1"/>
  <c r="Q28" i="35"/>
  <c r="P28" i="35" s="1"/>
  <c r="S28" i="35"/>
  <c r="C235" i="8"/>
  <c r="C117" i="8"/>
  <c r="C154" i="8"/>
  <c r="C198" i="8"/>
  <c r="BH19" i="35"/>
  <c r="DW238" i="45"/>
  <c r="DW250" i="45" s="1"/>
  <c r="DW66" i="45"/>
  <c r="K39" i="24"/>
  <c r="J150" i="24"/>
  <c r="P156" i="5" s="1"/>
  <c r="J48" i="38" s="1"/>
  <c r="EK238" i="45"/>
  <c r="EK250" i="45" s="1"/>
  <c r="EK66" i="45"/>
  <c r="H22" i="35"/>
  <c r="J22" i="35"/>
  <c r="Q92" i="9"/>
  <c r="I24" i="8"/>
  <c r="AM13" i="35"/>
  <c r="AL13" i="35" s="1"/>
  <c r="AO13" i="35"/>
  <c r="U45" i="4"/>
  <c r="T45" i="4"/>
  <c r="AU96" i="48"/>
  <c r="AU120" i="48" s="1"/>
  <c r="AM120" i="48"/>
  <c r="AB43" i="16"/>
  <c r="Z43" i="16"/>
  <c r="Y43" i="16" s="1"/>
  <c r="AL146" i="48"/>
  <c r="AB15" i="16"/>
  <c r="Z15" i="16"/>
  <c r="Y15" i="16" s="1"/>
  <c r="N59" i="6"/>
  <c r="J17" i="9"/>
  <c r="O256" i="50"/>
  <c r="N258" i="50"/>
  <c r="AK150" i="48"/>
  <c r="AZ15" i="35"/>
  <c r="E14" i="35"/>
  <c r="BL20" i="35"/>
  <c r="BI20" i="35"/>
  <c r="BH20" i="35" s="1"/>
  <c r="AU123" i="48"/>
  <c r="AU143" i="48" s="1"/>
  <c r="AM143" i="48"/>
  <c r="AU49" i="48"/>
  <c r="Q27" i="16"/>
  <c r="P27" i="16" s="1"/>
  <c r="S27" i="16"/>
  <c r="O152" i="50"/>
  <c r="O208" i="50" s="1"/>
  <c r="P152" i="50"/>
  <c r="P208" i="50" s="1"/>
  <c r="AX66" i="45"/>
  <c r="AY65" i="45"/>
  <c r="AZ65" i="45" s="1"/>
  <c r="AX83" i="45"/>
  <c r="Q19" i="16"/>
  <c r="P19" i="16" s="1"/>
  <c r="S19" i="16"/>
  <c r="AO13" i="16"/>
  <c r="AM13" i="16"/>
  <c r="AL13" i="16" s="1"/>
  <c r="I141" i="50"/>
  <c r="BN83" i="45"/>
  <c r="BN238" i="45" s="1"/>
  <c r="CC65" i="45"/>
  <c r="CD65" i="45" s="1"/>
  <c r="CT65" i="45"/>
  <c r="CU65" i="45" s="1"/>
  <c r="BN66" i="45"/>
  <c r="O172" i="48"/>
  <c r="P172" i="48" s="1"/>
  <c r="E13" i="16"/>
  <c r="BA14" i="16"/>
  <c r="H166" i="50"/>
  <c r="H215" i="50" s="1"/>
  <c r="Y26" i="6"/>
  <c r="Y58" i="6" s="1"/>
  <c r="U35" i="4"/>
  <c r="T35" i="4"/>
  <c r="F166" i="50"/>
  <c r="F215" i="50" s="1"/>
  <c r="G166" i="50"/>
  <c r="G215" i="50" s="1"/>
  <c r="U37" i="4"/>
  <c r="AM161" i="48"/>
  <c r="AO157" i="48"/>
  <c r="AO172" i="48"/>
  <c r="AO178" i="48" s="1"/>
  <c r="M218" i="24"/>
  <c r="N216" i="24"/>
  <c r="BM20" i="16"/>
  <c r="BJ20" i="16"/>
  <c r="AS157" i="48"/>
  <c r="AS172" i="48"/>
  <c r="AS178" i="48" s="1"/>
  <c r="AP180" i="48" s="1"/>
  <c r="J139" i="50"/>
  <c r="S58" i="6"/>
  <c r="T58" i="6" s="1"/>
  <c r="T59" i="6" s="1"/>
  <c r="T55" i="6"/>
  <c r="S22" i="6" s="1"/>
  <c r="L172" i="48"/>
  <c r="M172" i="48" s="1"/>
  <c r="E196" i="8"/>
  <c r="E152" i="8"/>
  <c r="E233" i="8"/>
  <c r="E115" i="8" s="1"/>
  <c r="L90" i="9"/>
  <c r="N210" i="5"/>
  <c r="W59" i="6"/>
  <c r="L17" i="9"/>
  <c r="Z16" i="35"/>
  <c r="Y16" i="35" s="1"/>
  <c r="AB16" i="35"/>
  <c r="T44" i="4"/>
  <c r="U44" i="4"/>
  <c r="L210" i="5"/>
  <c r="F233" i="8"/>
  <c r="F115" i="8" s="1"/>
  <c r="F196" i="8"/>
  <c r="F152" i="8"/>
  <c r="L148" i="50"/>
  <c r="L204" i="50" s="1"/>
  <c r="L147" i="50"/>
  <c r="L203" i="50" s="1"/>
  <c r="G52" i="38"/>
  <c r="I47" i="38"/>
  <c r="U12" i="24"/>
  <c r="K146" i="24"/>
  <c r="Q152" i="5" s="1"/>
  <c r="K145" i="24"/>
  <c r="Q151" i="5" s="1"/>
  <c r="M67" i="24"/>
  <c r="L151" i="24"/>
  <c r="R157" i="5" s="1"/>
  <c r="M147" i="24"/>
  <c r="S153" i="5" s="1"/>
  <c r="N25" i="24"/>
  <c r="U4" i="24"/>
  <c r="N294" i="5"/>
  <c r="L12" i="9"/>
  <c r="D69" i="38"/>
  <c r="D91" i="38" s="1"/>
  <c r="K257" i="5"/>
  <c r="E62" i="38"/>
  <c r="E69" i="38"/>
  <c r="E91" i="38" s="1"/>
  <c r="K24" i="9"/>
  <c r="R201" i="5"/>
  <c r="M149" i="50"/>
  <c r="C38" i="58" l="1"/>
  <c r="K84" i="38"/>
  <c r="F14" i="49"/>
  <c r="E15" i="49" s="1"/>
  <c r="C15" i="49" s="1"/>
  <c r="V32" i="4"/>
  <c r="W36" i="4" s="1"/>
  <c r="U27" i="9"/>
  <c r="T258" i="5"/>
  <c r="F112" i="38"/>
  <c r="L252" i="5"/>
  <c r="L269" i="5" s="1"/>
  <c r="M30" i="24"/>
  <c r="M149" i="24" s="1"/>
  <c r="S155" i="5" s="1"/>
  <c r="P258" i="5"/>
  <c r="E116" i="38"/>
  <c r="G30" i="38"/>
  <c r="F44" i="38"/>
  <c r="F55" i="38" s="1"/>
  <c r="F100" i="38" s="1"/>
  <c r="F105" i="38" s="1"/>
  <c r="G87" i="38"/>
  <c r="G89" i="38" s="1"/>
  <c r="G110" i="38" s="1"/>
  <c r="G36" i="38"/>
  <c r="G37" i="38" s="1"/>
  <c r="C21" i="58"/>
  <c r="C25" i="58" s="1"/>
  <c r="V18" i="4"/>
  <c r="V17" i="4"/>
  <c r="I58" i="38"/>
  <c r="O258" i="5"/>
  <c r="I77" i="8"/>
  <c r="T11" i="39"/>
  <c r="H87" i="38"/>
  <c r="H89" i="38" s="1"/>
  <c r="H110" i="38" s="1"/>
  <c r="F87" i="38"/>
  <c r="F89" i="38" s="1"/>
  <c r="F110" i="38" s="1"/>
  <c r="R31" i="9"/>
  <c r="C38" i="43"/>
  <c r="E38" i="43" s="1"/>
  <c r="F38" i="43" s="1"/>
  <c r="H38" i="43"/>
  <c r="H40" i="43" s="1"/>
  <c r="E36" i="43"/>
  <c r="F36" i="43" s="1"/>
  <c r="E38" i="58"/>
  <c r="F38" i="58" s="1"/>
  <c r="E36" i="58"/>
  <c r="F36" i="58" s="1"/>
  <c r="AB30" i="48"/>
  <c r="AD6" i="48"/>
  <c r="AD30" i="48" s="1"/>
  <c r="AA156" i="48"/>
  <c r="AB143" i="48"/>
  <c r="AD123" i="48"/>
  <c r="AD143" i="48" s="1"/>
  <c r="AB153" i="48"/>
  <c r="AD150" i="48"/>
  <c r="AD153" i="48" s="1"/>
  <c r="AB120" i="48"/>
  <c r="AD96" i="48"/>
  <c r="AD120" i="48" s="1"/>
  <c r="AB93" i="48"/>
  <c r="AD75" i="48"/>
  <c r="AD93" i="48" s="1"/>
  <c r="L147" i="5"/>
  <c r="L98" i="5"/>
  <c r="D25" i="43"/>
  <c r="I21" i="43"/>
  <c r="J21" i="43" s="1"/>
  <c r="L179" i="5"/>
  <c r="L243" i="5" s="1"/>
  <c r="L267" i="5" s="1"/>
  <c r="M13" i="9"/>
  <c r="M24" i="9" s="1"/>
  <c r="L257" i="5"/>
  <c r="F61" i="8"/>
  <c r="L106" i="5"/>
  <c r="L107" i="5" s="1"/>
  <c r="M173" i="5"/>
  <c r="C21" i="43"/>
  <c r="E21" i="43" s="1"/>
  <c r="F21" i="43" s="1"/>
  <c r="M97" i="5"/>
  <c r="M98" i="5" s="1"/>
  <c r="M142" i="5"/>
  <c r="N10" i="5"/>
  <c r="H10" i="38"/>
  <c r="H16" i="38" s="1"/>
  <c r="F12" i="29"/>
  <c r="F85" i="29" s="1"/>
  <c r="N44" i="54"/>
  <c r="O15" i="5"/>
  <c r="G42" i="38"/>
  <c r="G44" i="38" s="1"/>
  <c r="G55" i="38" s="1"/>
  <c r="G100" i="38" s="1"/>
  <c r="G105" i="38" s="1"/>
  <c r="C23" i="43"/>
  <c r="E23" i="43" s="1"/>
  <c r="F23" i="43" s="1"/>
  <c r="M17" i="24"/>
  <c r="M139" i="5"/>
  <c r="V27" i="4"/>
  <c r="F44" i="4"/>
  <c r="M106" i="5"/>
  <c r="F21" i="4"/>
  <c r="F46" i="4" s="1"/>
  <c r="M118" i="5"/>
  <c r="M123" i="5" s="1"/>
  <c r="F19" i="4"/>
  <c r="F32" i="4" s="1"/>
  <c r="T46" i="4"/>
  <c r="M90" i="5"/>
  <c r="F30" i="4"/>
  <c r="V22" i="4"/>
  <c r="T37" i="4"/>
  <c r="J172" i="50"/>
  <c r="P191" i="5" s="1"/>
  <c r="J195" i="50"/>
  <c r="I172" i="50"/>
  <c r="O191" i="5" s="1"/>
  <c r="I195" i="50"/>
  <c r="I39" i="9"/>
  <c r="M182" i="50"/>
  <c r="M205" i="50"/>
  <c r="D17" i="39"/>
  <c r="K178" i="50"/>
  <c r="L181" i="50"/>
  <c r="P185" i="50"/>
  <c r="H53" i="38"/>
  <c r="L180" i="50"/>
  <c r="O185" i="50"/>
  <c r="N190" i="50"/>
  <c r="D18" i="39"/>
  <c r="P27" i="9"/>
  <c r="V204" i="5"/>
  <c r="Q197" i="5"/>
  <c r="R30" i="9" s="1"/>
  <c r="U204" i="5"/>
  <c r="O85" i="38" s="1"/>
  <c r="R200" i="5"/>
  <c r="T209" i="5"/>
  <c r="R199" i="5"/>
  <c r="O157" i="50"/>
  <c r="O213" i="50" s="1"/>
  <c r="U4" i="50"/>
  <c r="L145" i="50"/>
  <c r="L201" i="50" s="1"/>
  <c r="B186" i="8"/>
  <c r="B189" i="8" s="1"/>
  <c r="B192" i="8" s="1"/>
  <c r="B111" i="8"/>
  <c r="L45" i="24"/>
  <c r="K170" i="24"/>
  <c r="U12" i="50"/>
  <c r="U8" i="50"/>
  <c r="K139" i="50"/>
  <c r="BI20" i="16"/>
  <c r="AY83" i="45"/>
  <c r="AZ83" i="45" s="1"/>
  <c r="AX238" i="45"/>
  <c r="B19" i="8"/>
  <c r="B74" i="8" s="1"/>
  <c r="I52" i="9"/>
  <c r="AB44" i="16"/>
  <c r="Z44" i="16"/>
  <c r="Y44" i="16" s="1"/>
  <c r="G22" i="35"/>
  <c r="L22" i="35"/>
  <c r="AU75" i="48"/>
  <c r="AU93" i="48" s="1"/>
  <c r="AM93" i="48"/>
  <c r="M261" i="5"/>
  <c r="M211" i="5"/>
  <c r="V62" i="6"/>
  <c r="K267" i="5"/>
  <c r="M37" i="9"/>
  <c r="AB17" i="35"/>
  <c r="Z17" i="35"/>
  <c r="Y17" i="35" s="1"/>
  <c r="N211" i="5"/>
  <c r="N261" i="5"/>
  <c r="D198" i="8"/>
  <c r="D235" i="8"/>
  <c r="D117" i="8"/>
  <c r="D154" i="8"/>
  <c r="J141" i="50"/>
  <c r="J142" i="50"/>
  <c r="BM21" i="16"/>
  <c r="BJ21" i="16"/>
  <c r="CT238" i="45"/>
  <c r="CU238" i="45" s="1"/>
  <c r="CC238" i="45"/>
  <c r="CD238" i="45" s="1"/>
  <c r="BN250" i="45"/>
  <c r="Q28" i="16"/>
  <c r="P28" i="16" s="1"/>
  <c r="S28" i="16"/>
  <c r="L39" i="24"/>
  <c r="K150" i="24"/>
  <c r="Q156" i="5" s="1"/>
  <c r="K48" i="38" s="1"/>
  <c r="AU6" i="48"/>
  <c r="AU30" i="48" s="1"/>
  <c r="AL30" i="48"/>
  <c r="AU33" i="48"/>
  <c r="H22" i="16"/>
  <c r="J22" i="16"/>
  <c r="S15" i="35"/>
  <c r="Q15" i="35"/>
  <c r="P15" i="35" s="1"/>
  <c r="L261" i="5"/>
  <c r="L263" i="5" s="1"/>
  <c r="L211" i="5"/>
  <c r="L212" i="5"/>
  <c r="D19" i="39"/>
  <c r="O37" i="9"/>
  <c r="M90" i="9"/>
  <c r="E25" i="8"/>
  <c r="E78" i="8" s="1"/>
  <c r="Z58" i="6"/>
  <c r="Y66" i="6"/>
  <c r="Y68" i="6" s="1"/>
  <c r="AM14" i="16"/>
  <c r="AL14" i="16" s="1"/>
  <c r="AO14" i="16"/>
  <c r="BL21" i="35"/>
  <c r="BI21" i="35"/>
  <c r="BH21" i="35" s="1"/>
  <c r="AZ16" i="35"/>
  <c r="E15" i="35"/>
  <c r="AU150" i="48"/>
  <c r="AU153" i="48" s="1"/>
  <c r="AK153" i="48"/>
  <c r="AK156" i="48" s="1"/>
  <c r="P256" i="50"/>
  <c r="P258" i="50" s="1"/>
  <c r="O258" i="50"/>
  <c r="Z16" i="16"/>
  <c r="Y16" i="16" s="1"/>
  <c r="AB16" i="16"/>
  <c r="AU146" i="48"/>
  <c r="AU147" i="48" s="1"/>
  <c r="AL147" i="48"/>
  <c r="J24" i="8"/>
  <c r="R92" i="9"/>
  <c r="S29" i="35"/>
  <c r="Q29" i="35"/>
  <c r="P29" i="35" s="1"/>
  <c r="N218" i="24"/>
  <c r="O216" i="24"/>
  <c r="AM164" i="48"/>
  <c r="AU161" i="48"/>
  <c r="AU164" i="48" s="1"/>
  <c r="AB58" i="6"/>
  <c r="E190" i="29" s="1"/>
  <c r="E206" i="29" s="1"/>
  <c r="E14" i="16"/>
  <c r="BA15" i="16"/>
  <c r="Q20" i="16"/>
  <c r="P20" i="16" s="1"/>
  <c r="S20" i="16"/>
  <c r="AO14" i="35"/>
  <c r="AM14" i="35"/>
  <c r="AL14" i="35" s="1"/>
  <c r="J23" i="35"/>
  <c r="H23" i="35"/>
  <c r="G23" i="35" s="1"/>
  <c r="AB43" i="35"/>
  <c r="Z43" i="35"/>
  <c r="Y43" i="35" s="1"/>
  <c r="N37" i="9"/>
  <c r="C19" i="39"/>
  <c r="C23" i="39" s="1"/>
  <c r="R7" i="39" s="1"/>
  <c r="R65" i="39" s="1"/>
  <c r="M148" i="50"/>
  <c r="M204" i="50" s="1"/>
  <c r="G53" i="38"/>
  <c r="U10" i="24"/>
  <c r="M147" i="50"/>
  <c r="M203" i="50" s="1"/>
  <c r="O25" i="24"/>
  <c r="N147" i="24"/>
  <c r="T153" i="5" s="1"/>
  <c r="U8" i="24"/>
  <c r="N67" i="24"/>
  <c r="M151" i="24"/>
  <c r="S157" i="5" s="1"/>
  <c r="K144" i="24"/>
  <c r="Q150" i="5" s="1"/>
  <c r="J47" i="38"/>
  <c r="L144" i="24"/>
  <c r="R150" i="5" s="1"/>
  <c r="L146" i="24"/>
  <c r="R152" i="5" s="1"/>
  <c r="L145" i="24"/>
  <c r="R151" i="5" s="1"/>
  <c r="K180" i="5"/>
  <c r="J272" i="5"/>
  <c r="J276" i="5" s="1"/>
  <c r="J245" i="5"/>
  <c r="B229" i="8"/>
  <c r="B148" i="8"/>
  <c r="D16" i="8"/>
  <c r="D71" i="8" s="1"/>
  <c r="K39" i="9"/>
  <c r="E93" i="38"/>
  <c r="E70" i="38"/>
  <c r="D93" i="38"/>
  <c r="S201" i="5"/>
  <c r="N149" i="50"/>
  <c r="C40" i="58" l="1"/>
  <c r="C41" i="58" s="1"/>
  <c r="L84" i="38"/>
  <c r="N30" i="24"/>
  <c r="N149" i="24" s="1"/>
  <c r="T155" i="5" s="1"/>
  <c r="W32" i="4"/>
  <c r="F43" i="29"/>
  <c r="F196" i="29" s="1"/>
  <c r="F86" i="29"/>
  <c r="V19" i="4"/>
  <c r="D41" i="58"/>
  <c r="V258" i="5"/>
  <c r="U258" i="5"/>
  <c r="M107" i="5"/>
  <c r="E21" i="58"/>
  <c r="F21" i="58" s="1"/>
  <c r="L180" i="5"/>
  <c r="M263" i="5"/>
  <c r="G115" i="38"/>
  <c r="F115" i="38"/>
  <c r="E17" i="39"/>
  <c r="C44" i="58"/>
  <c r="D44" i="58"/>
  <c r="D46" i="58" s="1"/>
  <c r="F61" i="38"/>
  <c r="F69" i="38" s="1"/>
  <c r="F91" i="38" s="1"/>
  <c r="F56" i="38"/>
  <c r="F106" i="38"/>
  <c r="J77" i="8"/>
  <c r="U11" i="39"/>
  <c r="M39" i="9"/>
  <c r="M257" i="5"/>
  <c r="M12" i="9"/>
  <c r="M147" i="5"/>
  <c r="C30" i="58"/>
  <c r="E30" i="58" s="1"/>
  <c r="F30" i="58" s="1"/>
  <c r="E25" i="58"/>
  <c r="F25" i="58" s="1"/>
  <c r="I38" i="43"/>
  <c r="J38" i="43" s="1"/>
  <c r="AA157" i="48"/>
  <c r="AA172" i="48"/>
  <c r="AD156" i="48"/>
  <c r="AB156" i="48"/>
  <c r="I25" i="43"/>
  <c r="J25" i="43" s="1"/>
  <c r="D30" i="43"/>
  <c r="I30" i="43" s="1"/>
  <c r="J30" i="43" s="1"/>
  <c r="D40" i="43"/>
  <c r="I40" i="43" s="1"/>
  <c r="J40" i="43" s="1"/>
  <c r="E122" i="29"/>
  <c r="L245" i="5"/>
  <c r="N13" i="9"/>
  <c r="N12" i="9" s="1"/>
  <c r="M179" i="5"/>
  <c r="V27" i="9"/>
  <c r="N20" i="9"/>
  <c r="C12" i="39" s="1"/>
  <c r="O44" i="54"/>
  <c r="P15" i="5"/>
  <c r="C25" i="43"/>
  <c r="C40" i="43" s="1"/>
  <c r="N17" i="24"/>
  <c r="V33" i="4"/>
  <c r="V36" i="4" s="1"/>
  <c r="V31" i="4"/>
  <c r="W28" i="4"/>
  <c r="W26" i="4"/>
  <c r="V26" i="4"/>
  <c r="V28" i="4" s="1"/>
  <c r="W22" i="4"/>
  <c r="I54" i="9"/>
  <c r="I55" i="9" s="1"/>
  <c r="F82" i="29"/>
  <c r="F91" i="29" s="1"/>
  <c r="F21" i="29" s="1"/>
  <c r="D23" i="39"/>
  <c r="S7" i="39" s="1"/>
  <c r="S65" i="39" s="1"/>
  <c r="N182" i="50"/>
  <c r="N205" i="50"/>
  <c r="K172" i="50"/>
  <c r="K195" i="50"/>
  <c r="S31" i="9"/>
  <c r="BQ10" i="35"/>
  <c r="M181" i="50"/>
  <c r="O190" i="50"/>
  <c r="M180" i="50"/>
  <c r="L178" i="50"/>
  <c r="W27" i="9"/>
  <c r="L17" i="39" s="1"/>
  <c r="S199" i="5"/>
  <c r="R197" i="5"/>
  <c r="S30" i="9" s="1"/>
  <c r="U209" i="5"/>
  <c r="S200" i="5"/>
  <c r="P157" i="50"/>
  <c r="P213" i="50" s="1"/>
  <c r="K141" i="50"/>
  <c r="K197" i="50" s="1"/>
  <c r="M145" i="50"/>
  <c r="M201" i="50" s="1"/>
  <c r="K142" i="50"/>
  <c r="K198" i="50" s="1"/>
  <c r="N150" i="50"/>
  <c r="N206" i="50" s="1"/>
  <c r="D186" i="8"/>
  <c r="D189" i="8" s="1"/>
  <c r="D192" i="8" s="1"/>
  <c r="D111" i="8"/>
  <c r="M45" i="24"/>
  <c r="L170" i="24"/>
  <c r="G17" i="8"/>
  <c r="G72" i="8" s="1"/>
  <c r="AB44" i="35"/>
  <c r="Z44" i="35"/>
  <c r="Y44" i="35" s="1"/>
  <c r="H24" i="35"/>
  <c r="G24" i="35" s="1"/>
  <c r="J24" i="35"/>
  <c r="AM15" i="35"/>
  <c r="AL15" i="35" s="1"/>
  <c r="AO15" i="35"/>
  <c r="AM16" i="35" s="1"/>
  <c r="AL16" i="35" s="1"/>
  <c r="Z17" i="16"/>
  <c r="Y17" i="16" s="1"/>
  <c r="AB17" i="16"/>
  <c r="Z61" i="6"/>
  <c r="Z59" i="6"/>
  <c r="F25" i="8"/>
  <c r="F78" i="8" s="1"/>
  <c r="S29" i="16"/>
  <c r="Q29" i="16"/>
  <c r="P29" i="16" s="1"/>
  <c r="BM22" i="16"/>
  <c r="BJ22" i="16"/>
  <c r="AY238" i="45"/>
  <c r="AZ238" i="45" s="1"/>
  <c r="AX250" i="45"/>
  <c r="AY250" i="45" s="1"/>
  <c r="AZ250" i="45" s="1"/>
  <c r="Q191" i="5"/>
  <c r="AO15" i="16"/>
  <c r="AM16" i="16" s="1"/>
  <c r="AL16" i="16" s="1"/>
  <c r="AM15" i="16"/>
  <c r="AL15" i="16" s="1"/>
  <c r="H17" i="8"/>
  <c r="H72" i="8" s="1"/>
  <c r="Q21" i="16"/>
  <c r="P21" i="16" s="1"/>
  <c r="S21" i="16"/>
  <c r="Q22" i="16" s="1"/>
  <c r="AK157" i="48"/>
  <c r="AK172" i="48"/>
  <c r="AK178" i="48" s="1"/>
  <c r="L150" i="50"/>
  <c r="L206" i="50" s="1"/>
  <c r="K150" i="50"/>
  <c r="K206" i="50" s="1"/>
  <c r="M150" i="50"/>
  <c r="M206" i="50" s="1"/>
  <c r="AZ17" i="35"/>
  <c r="AW17" i="35"/>
  <c r="E16" i="35"/>
  <c r="AO16" i="35" s="1"/>
  <c r="AM17" i="35" s="1"/>
  <c r="AL17" i="35" s="1"/>
  <c r="BL22" i="35"/>
  <c r="BI22" i="35"/>
  <c r="H23" i="16"/>
  <c r="G23" i="16" s="1"/>
  <c r="J23" i="16"/>
  <c r="M39" i="24"/>
  <c r="L150" i="24"/>
  <c r="R156" i="5" s="1"/>
  <c r="L48" i="38" s="1"/>
  <c r="U10" i="50"/>
  <c r="F17" i="8"/>
  <c r="F72" i="8" s="1"/>
  <c r="AB45" i="16"/>
  <c r="Z45" i="16"/>
  <c r="Y45" i="16" s="1"/>
  <c r="P216" i="24"/>
  <c r="P218" i="24" s="1"/>
  <c r="O218" i="24"/>
  <c r="S30" i="35"/>
  <c r="Q30" i="35"/>
  <c r="P30" i="35" s="1"/>
  <c r="BA16" i="16"/>
  <c r="E15" i="16"/>
  <c r="AB66" i="6"/>
  <c r="AB68" i="6" s="1"/>
  <c r="S92" i="9"/>
  <c r="T92" i="9" s="1"/>
  <c r="K24" i="8"/>
  <c r="Q16" i="35"/>
  <c r="P16" i="35" s="1"/>
  <c r="S16" i="35"/>
  <c r="L22" i="16"/>
  <c r="G22" i="16"/>
  <c r="L139" i="50"/>
  <c r="E198" i="8"/>
  <c r="E235" i="8"/>
  <c r="E117" i="8"/>
  <c r="E154" i="8"/>
  <c r="CT250" i="45"/>
  <c r="CU250" i="45" s="1"/>
  <c r="CC250" i="45"/>
  <c r="CD250" i="45" s="1"/>
  <c r="BI21" i="16"/>
  <c r="BR10" i="16"/>
  <c r="Z18" i="35"/>
  <c r="Y18" i="35" s="1"/>
  <c r="AB18" i="35"/>
  <c r="B232" i="8"/>
  <c r="B114" i="8"/>
  <c r="B151" i="8"/>
  <c r="B195" i="8"/>
  <c r="N148" i="50"/>
  <c r="N204" i="50" s="1"/>
  <c r="N147" i="50"/>
  <c r="N203" i="50" s="1"/>
  <c r="M146" i="24"/>
  <c r="S152" i="5" s="1"/>
  <c r="M145" i="24"/>
  <c r="S151" i="5" s="1"/>
  <c r="M144" i="24"/>
  <c r="S150" i="5" s="1"/>
  <c r="N151" i="24"/>
  <c r="T157" i="5" s="1"/>
  <c r="O67" i="24"/>
  <c r="O147" i="24"/>
  <c r="U153" i="5" s="1"/>
  <c r="P25" i="24"/>
  <c r="P147" i="24" s="1"/>
  <c r="V153" i="5" s="1"/>
  <c r="K245" i="5"/>
  <c r="K246" i="5" s="1"/>
  <c r="K272" i="5"/>
  <c r="K283" i="5"/>
  <c r="K284" i="5" s="1"/>
  <c r="K274" i="5"/>
  <c r="E94" i="38"/>
  <c r="D148" i="8"/>
  <c r="D229" i="8"/>
  <c r="H46" i="43"/>
  <c r="H41" i="43"/>
  <c r="T201" i="5"/>
  <c r="O149" i="50"/>
  <c r="E41" i="58" l="1"/>
  <c r="F41" i="58" s="1"/>
  <c r="E40" i="58"/>
  <c r="F40" i="58" s="1"/>
  <c r="C46" i="58"/>
  <c r="O30" i="24"/>
  <c r="O149" i="24" s="1"/>
  <c r="U155" i="5" s="1"/>
  <c r="F229" i="29"/>
  <c r="F230" i="29"/>
  <c r="F223" i="29"/>
  <c r="F219" i="29"/>
  <c r="F204" i="29"/>
  <c r="F15" i="49"/>
  <c r="E16" i="49" s="1"/>
  <c r="C16" i="49" s="1"/>
  <c r="P58" i="38"/>
  <c r="P108" i="38" s="1"/>
  <c r="F70" i="38"/>
  <c r="M84" i="38"/>
  <c r="F62" i="38"/>
  <c r="E44" i="58"/>
  <c r="F44" i="58" s="1"/>
  <c r="G61" i="38"/>
  <c r="G69" i="38" s="1"/>
  <c r="G91" i="38" s="1"/>
  <c r="G93" i="38" s="1"/>
  <c r="G56" i="38"/>
  <c r="G106" i="38"/>
  <c r="C8" i="39"/>
  <c r="K77" i="8"/>
  <c r="V11" i="39"/>
  <c r="F93" i="38"/>
  <c r="F94" i="38" s="1"/>
  <c r="E46" i="58"/>
  <c r="F46" i="58" s="1"/>
  <c r="AB172" i="48"/>
  <c r="AB157" i="48"/>
  <c r="AD172" i="48"/>
  <c r="AD157" i="48"/>
  <c r="E192" i="29"/>
  <c r="E193" i="29"/>
  <c r="E182" i="29"/>
  <c r="D41" i="43"/>
  <c r="I41" i="43" s="1"/>
  <c r="J41" i="43" s="1"/>
  <c r="D46" i="43"/>
  <c r="D47" i="43" s="1"/>
  <c r="E117" i="29"/>
  <c r="M243" i="5"/>
  <c r="M267" i="5" s="1"/>
  <c r="M180" i="5"/>
  <c r="F83" i="29"/>
  <c r="F92" i="29" s="1"/>
  <c r="F22" i="29" s="1"/>
  <c r="E123" i="29"/>
  <c r="E128" i="29" s="1"/>
  <c r="F93" i="29"/>
  <c r="F23" i="29" s="1"/>
  <c r="C41" i="43"/>
  <c r="C46" i="43"/>
  <c r="E40" i="43"/>
  <c r="F40" i="43" s="1"/>
  <c r="Q15" i="5"/>
  <c r="P44" i="54"/>
  <c r="O17" i="24"/>
  <c r="C30" i="43"/>
  <c r="E30" i="43" s="1"/>
  <c r="F30" i="43" s="1"/>
  <c r="E25" i="43"/>
  <c r="F25" i="43" s="1"/>
  <c r="I56" i="9"/>
  <c r="W33" i="4"/>
  <c r="W35" i="4"/>
  <c r="W31" i="4"/>
  <c r="W37" i="4"/>
  <c r="V35" i="4"/>
  <c r="V37" i="4" s="1"/>
  <c r="I84" i="9"/>
  <c r="I88" i="9" s="1"/>
  <c r="B21" i="8" s="1"/>
  <c r="O182" i="50"/>
  <c r="O205" i="50"/>
  <c r="L172" i="50"/>
  <c r="L195" i="50"/>
  <c r="K183" i="50"/>
  <c r="N183" i="50"/>
  <c r="M178" i="50"/>
  <c r="N181" i="50"/>
  <c r="M183" i="50"/>
  <c r="L183" i="50"/>
  <c r="K174" i="50"/>
  <c r="N180" i="50"/>
  <c r="K175" i="50"/>
  <c r="P190" i="50"/>
  <c r="T31" i="9"/>
  <c r="T202" i="5"/>
  <c r="Q194" i="5"/>
  <c r="V209" i="5"/>
  <c r="Q202" i="5"/>
  <c r="S197" i="5"/>
  <c r="T30" i="9" s="1"/>
  <c r="T200" i="5"/>
  <c r="S202" i="5"/>
  <c r="R202" i="5"/>
  <c r="T199" i="5"/>
  <c r="Q193" i="5"/>
  <c r="R33" i="9" s="1"/>
  <c r="O150" i="50"/>
  <c r="O206" i="50" s="1"/>
  <c r="N145" i="50"/>
  <c r="N201" i="50" s="1"/>
  <c r="L141" i="50"/>
  <c r="L197" i="50" s="1"/>
  <c r="L142" i="50"/>
  <c r="L198" i="50" s="1"/>
  <c r="N45" i="24"/>
  <c r="M170" i="24"/>
  <c r="O235" i="5"/>
  <c r="O216" i="5" s="1"/>
  <c r="S31" i="35"/>
  <c r="Q31" i="35"/>
  <c r="P31" i="35" s="1"/>
  <c r="F149" i="8"/>
  <c r="F230" i="8"/>
  <c r="F193" i="8"/>
  <c r="F112" i="8"/>
  <c r="BH22" i="35"/>
  <c r="E17" i="35"/>
  <c r="AO17" i="35" s="1"/>
  <c r="AM18" i="35" s="1"/>
  <c r="AL18" i="35" s="1"/>
  <c r="AZ18" i="35"/>
  <c r="AW18" i="35"/>
  <c r="AV18" i="35" s="1"/>
  <c r="H230" i="8"/>
  <c r="H149" i="8"/>
  <c r="H193" i="8"/>
  <c r="H112" i="8"/>
  <c r="G112" i="8"/>
  <c r="G149" i="8"/>
  <c r="G230" i="8"/>
  <c r="G193" i="8"/>
  <c r="R191" i="5"/>
  <c r="J52" i="9"/>
  <c r="C19" i="8"/>
  <c r="C74" i="8" s="1"/>
  <c r="H24" i="16"/>
  <c r="G24" i="16" s="1"/>
  <c r="J24" i="16"/>
  <c r="BL23" i="35"/>
  <c r="BI23" i="35"/>
  <c r="BH23" i="35" s="1"/>
  <c r="I19" i="8"/>
  <c r="I74" i="8" s="1"/>
  <c r="E37" i="39"/>
  <c r="P52" i="9"/>
  <c r="BI22" i="16"/>
  <c r="F198" i="8"/>
  <c r="F117" i="8"/>
  <c r="F154" i="8"/>
  <c r="F235" i="8"/>
  <c r="AB45" i="35"/>
  <c r="Z45" i="35"/>
  <c r="Y45" i="35" s="1"/>
  <c r="AB19" i="35"/>
  <c r="Z19" i="35"/>
  <c r="Y19" i="35" s="1"/>
  <c r="M139" i="50"/>
  <c r="Z46" i="16"/>
  <c r="AB46" i="16"/>
  <c r="N39" i="24"/>
  <c r="M150" i="24"/>
  <c r="S156" i="5" s="1"/>
  <c r="M48" i="38" s="1"/>
  <c r="F19" i="8"/>
  <c r="F74" i="8" s="1"/>
  <c r="M52" i="9"/>
  <c r="M54" i="9" s="1"/>
  <c r="K159" i="50"/>
  <c r="K165" i="50" s="1"/>
  <c r="BM23" i="16"/>
  <c r="BJ23" i="16"/>
  <c r="BI23" i="16" s="1"/>
  <c r="S30" i="16"/>
  <c r="Q30" i="16"/>
  <c r="P30" i="16" s="1"/>
  <c r="Z18" i="16"/>
  <c r="Y18" i="16" s="1"/>
  <c r="AB18" i="16"/>
  <c r="J25" i="35"/>
  <c r="H25" i="35"/>
  <c r="G25" i="35" s="1"/>
  <c r="S17" i="35"/>
  <c r="Q17" i="35"/>
  <c r="P17" i="35" s="1"/>
  <c r="L24" i="8"/>
  <c r="E16" i="16"/>
  <c r="AO16" i="16" s="1"/>
  <c r="AM17" i="16" s="1"/>
  <c r="AL17" i="16" s="1"/>
  <c r="BA17" i="16"/>
  <c r="AW17" i="16"/>
  <c r="AV17" i="35"/>
  <c r="U22" i="16"/>
  <c r="P22" i="16"/>
  <c r="K52" i="9"/>
  <c r="K54" i="9" s="1"/>
  <c r="D19" i="8"/>
  <c r="D74" i="8" s="1"/>
  <c r="P148" i="50"/>
  <c r="P204" i="50" s="1"/>
  <c r="O148" i="50"/>
  <c r="O204" i="50" s="1"/>
  <c r="P147" i="50"/>
  <c r="P203" i="50" s="1"/>
  <c r="O147" i="50"/>
  <c r="O203" i="50" s="1"/>
  <c r="N145" i="24"/>
  <c r="T151" i="5" s="1"/>
  <c r="N144" i="24"/>
  <c r="T150" i="5" s="1"/>
  <c r="N146" i="24"/>
  <c r="T152" i="5" s="1"/>
  <c r="O151" i="24"/>
  <c r="U157" i="5" s="1"/>
  <c r="P67" i="24"/>
  <c r="P151" i="24" s="1"/>
  <c r="V157" i="5" s="1"/>
  <c r="K47" i="38"/>
  <c r="P30" i="24"/>
  <c r="P149" i="24" s="1"/>
  <c r="V155" i="5" s="1"/>
  <c r="L47" i="38"/>
  <c r="L246" i="5"/>
  <c r="H47" i="43"/>
  <c r="G70" i="38"/>
  <c r="K286" i="5"/>
  <c r="L285" i="5" s="1"/>
  <c r="K276" i="5"/>
  <c r="L283" i="5" s="1"/>
  <c r="L284" i="5" s="1"/>
  <c r="U201" i="5"/>
  <c r="E41" i="43" l="1"/>
  <c r="F41" i="43" s="1"/>
  <c r="N84" i="38"/>
  <c r="T251" i="5"/>
  <c r="N112" i="38" s="1"/>
  <c r="N86" i="38"/>
  <c r="R251" i="5"/>
  <c r="L112" i="38" s="1"/>
  <c r="L86" i="38"/>
  <c r="Q251" i="5"/>
  <c r="K112" i="38" s="1"/>
  <c r="K86" i="38"/>
  <c r="S251" i="5"/>
  <c r="M112" i="38" s="1"/>
  <c r="M86" i="38"/>
  <c r="G62" i="38"/>
  <c r="C47" i="58"/>
  <c r="G94" i="38"/>
  <c r="L77" i="8"/>
  <c r="W11" i="39"/>
  <c r="D47" i="58"/>
  <c r="F116" i="38"/>
  <c r="O52" i="9"/>
  <c r="H19" i="8"/>
  <c r="D37" i="39"/>
  <c r="K80" i="38"/>
  <c r="E46" i="43"/>
  <c r="F46" i="43" s="1"/>
  <c r="I46" i="43"/>
  <c r="J46" i="43" s="1"/>
  <c r="I47" i="43"/>
  <c r="J47" i="43" s="1"/>
  <c r="E180" i="29"/>
  <c r="E181" i="29" s="1"/>
  <c r="M245" i="5"/>
  <c r="M246" i="5" s="1"/>
  <c r="C47" i="43"/>
  <c r="E47" i="43" s="1"/>
  <c r="F47" i="43" s="1"/>
  <c r="F121" i="29"/>
  <c r="E118" i="29"/>
  <c r="Q44" i="54"/>
  <c r="R15" i="5"/>
  <c r="P17" i="24"/>
  <c r="I100" i="9"/>
  <c r="B23" i="8"/>
  <c r="B116" i="8" s="1"/>
  <c r="M172" i="50"/>
  <c r="M195" i="50"/>
  <c r="Q210" i="5"/>
  <c r="Q261" i="5" s="1"/>
  <c r="K192" i="50"/>
  <c r="M84" i="9"/>
  <c r="L175" i="50"/>
  <c r="O183" i="50"/>
  <c r="G20" i="39"/>
  <c r="O180" i="50"/>
  <c r="O181" i="50"/>
  <c r="L174" i="50"/>
  <c r="U31" i="9"/>
  <c r="P180" i="50"/>
  <c r="P181" i="50"/>
  <c r="K84" i="9"/>
  <c r="K88" i="9" s="1"/>
  <c r="K100" i="9" s="1"/>
  <c r="N178" i="50"/>
  <c r="U199" i="5"/>
  <c r="U200" i="5"/>
  <c r="R193" i="5"/>
  <c r="V199" i="5"/>
  <c r="T197" i="5"/>
  <c r="U30" i="9" s="1"/>
  <c r="V200" i="5"/>
  <c r="R194" i="5"/>
  <c r="U202" i="5"/>
  <c r="L159" i="50"/>
  <c r="L165" i="50" s="1"/>
  <c r="M141" i="50"/>
  <c r="M197" i="50" s="1"/>
  <c r="M142" i="50"/>
  <c r="M198" i="50" s="1"/>
  <c r="O145" i="50"/>
  <c r="O201" i="50" s="1"/>
  <c r="O45" i="24"/>
  <c r="N170" i="24"/>
  <c r="BA18" i="16"/>
  <c r="AW18" i="16"/>
  <c r="AV18" i="16" s="1"/>
  <c r="E17" i="16"/>
  <c r="AO17" i="16" s="1"/>
  <c r="AM18" i="16" s="1"/>
  <c r="AL18" i="16" s="1"/>
  <c r="Q18" i="35"/>
  <c r="P18" i="35" s="1"/>
  <c r="S18" i="35"/>
  <c r="E19" i="8"/>
  <c r="E74" i="8" s="1"/>
  <c r="L52" i="9"/>
  <c r="S31" i="16"/>
  <c r="Q31" i="16"/>
  <c r="P31" i="16" s="1"/>
  <c r="BJ24" i="16"/>
  <c r="BI24" i="16" s="1"/>
  <c r="BM24" i="16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M53" i="16" s="1"/>
  <c r="BM54" i="16" s="1"/>
  <c r="BM55" i="16" s="1"/>
  <c r="BM56" i="16" s="1"/>
  <c r="AB47" i="16"/>
  <c r="Z47" i="16"/>
  <c r="Y47" i="16" s="1"/>
  <c r="S191" i="5"/>
  <c r="Z46" i="35"/>
  <c r="AB46" i="35"/>
  <c r="T8" i="39"/>
  <c r="T66" i="39" s="1"/>
  <c r="E40" i="39"/>
  <c r="F49" i="9"/>
  <c r="G19" i="39"/>
  <c r="AD46" i="16"/>
  <c r="Y46" i="16"/>
  <c r="Z20" i="35"/>
  <c r="Y20" i="35" s="1"/>
  <c r="AB20" i="35"/>
  <c r="I232" i="8"/>
  <c r="I114" i="8"/>
  <c r="I151" i="8"/>
  <c r="I195" i="8"/>
  <c r="AZ19" i="35"/>
  <c r="AW19" i="35"/>
  <c r="E18" i="35"/>
  <c r="AO18" i="35" s="1"/>
  <c r="AM19" i="35" s="1"/>
  <c r="AL19" i="35" s="1"/>
  <c r="AV17" i="16"/>
  <c r="U92" i="9"/>
  <c r="M24" i="8"/>
  <c r="H26" i="35"/>
  <c r="G26" i="35" s="1"/>
  <c r="J26" i="35"/>
  <c r="O39" i="24"/>
  <c r="N150" i="24"/>
  <c r="T156" i="5" s="1"/>
  <c r="N48" i="38" s="1"/>
  <c r="N139" i="50"/>
  <c r="BR22" i="16"/>
  <c r="L272" i="5"/>
  <c r="L276" i="5" s="1"/>
  <c r="S32" i="35"/>
  <c r="Q32" i="35"/>
  <c r="P32" i="35" s="1"/>
  <c r="D232" i="8"/>
  <c r="D151" i="8"/>
  <c r="D195" i="8"/>
  <c r="D114" i="8"/>
  <c r="Z19" i="16"/>
  <c r="Y19" i="16" s="1"/>
  <c r="AB19" i="16"/>
  <c r="F232" i="8"/>
  <c r="F114" i="8"/>
  <c r="F151" i="8"/>
  <c r="F195" i="8"/>
  <c r="BI24" i="35"/>
  <c r="BH24" i="35" s="1"/>
  <c r="BL24" i="35"/>
  <c r="BL25" i="35" s="1"/>
  <c r="BL26" i="35" s="1"/>
  <c r="BL27" i="35" s="1"/>
  <c r="BL28" i="35" s="1"/>
  <c r="BL29" i="35" s="1"/>
  <c r="BL30" i="35" s="1"/>
  <c r="BL31" i="35" s="1"/>
  <c r="BL32" i="35" s="1"/>
  <c r="BL33" i="35" s="1"/>
  <c r="BL34" i="35" s="1"/>
  <c r="BL35" i="35" s="1"/>
  <c r="BL36" i="35" s="1"/>
  <c r="BL37" i="35" s="1"/>
  <c r="BL38" i="35" s="1"/>
  <c r="BL39" i="35" s="1"/>
  <c r="BL40" i="35" s="1"/>
  <c r="BL41" i="35" s="1"/>
  <c r="BL42" i="35" s="1"/>
  <c r="BL43" i="35" s="1"/>
  <c r="BL44" i="35" s="1"/>
  <c r="BL45" i="35" s="1"/>
  <c r="BL46" i="35" s="1"/>
  <c r="BL47" i="35" s="1"/>
  <c r="BL48" i="35" s="1"/>
  <c r="BL49" i="35" s="1"/>
  <c r="BL50" i="35" s="1"/>
  <c r="BL51" i="35" s="1"/>
  <c r="BL52" i="35" s="1"/>
  <c r="BL53" i="35" s="1"/>
  <c r="BL54" i="35" s="1"/>
  <c r="BL55" i="35" s="1"/>
  <c r="BL56" i="35" s="1"/>
  <c r="J25" i="16"/>
  <c r="H25" i="16"/>
  <c r="G25" i="16" s="1"/>
  <c r="C232" i="8"/>
  <c r="C114" i="8"/>
  <c r="C151" i="8"/>
  <c r="C195" i="8"/>
  <c r="P149" i="50"/>
  <c r="P205" i="50" s="1"/>
  <c r="O144" i="24"/>
  <c r="U150" i="5" s="1"/>
  <c r="O146" i="24"/>
  <c r="U152" i="5" s="1"/>
  <c r="O145" i="24"/>
  <c r="U151" i="5" s="1"/>
  <c r="M47" i="38"/>
  <c r="L286" i="5"/>
  <c r="M285" i="5" s="1"/>
  <c r="E348" i="29" l="1"/>
  <c r="E349" i="29"/>
  <c r="E338" i="29"/>
  <c r="E342" i="29"/>
  <c r="F16" i="49"/>
  <c r="E17" i="49" s="1"/>
  <c r="C17" i="49" s="1"/>
  <c r="P86" i="38"/>
  <c r="E185" i="29"/>
  <c r="U251" i="5"/>
  <c r="O112" i="38" s="1"/>
  <c r="O86" i="38"/>
  <c r="L80" i="38"/>
  <c r="O84" i="38"/>
  <c r="G116" i="38"/>
  <c r="E47" i="58"/>
  <c r="F47" i="58" s="1"/>
  <c r="M77" i="8"/>
  <c r="X11" i="39"/>
  <c r="S8" i="39"/>
  <c r="S66" i="39" s="1"/>
  <c r="D40" i="39"/>
  <c r="H74" i="8"/>
  <c r="H232" i="8"/>
  <c r="H114" i="8"/>
  <c r="H195" i="8"/>
  <c r="H151" i="8"/>
  <c r="K87" i="38"/>
  <c r="K89" i="38" s="1"/>
  <c r="K110" i="38" s="1"/>
  <c r="E184" i="29"/>
  <c r="E223" i="29"/>
  <c r="F198" i="29"/>
  <c r="F206" i="29" s="1"/>
  <c r="B76" i="8"/>
  <c r="B153" i="8"/>
  <c r="B234" i="8"/>
  <c r="B197" i="8"/>
  <c r="F116" i="29"/>
  <c r="R44" i="54"/>
  <c r="S15" i="5"/>
  <c r="Q211" i="5"/>
  <c r="N172" i="50"/>
  <c r="N195" i="50"/>
  <c r="D23" i="8"/>
  <c r="L86" i="9"/>
  <c r="S33" i="9"/>
  <c r="BQ22" i="35"/>
  <c r="O178" i="50"/>
  <c r="R210" i="5"/>
  <c r="R261" i="5" s="1"/>
  <c r="M175" i="50"/>
  <c r="V31" i="9"/>
  <c r="P182" i="50"/>
  <c r="M174" i="50"/>
  <c r="W31" i="9"/>
  <c r="H19" i="39"/>
  <c r="S194" i="5"/>
  <c r="L192" i="50"/>
  <c r="V201" i="5"/>
  <c r="S193" i="5"/>
  <c r="U197" i="5"/>
  <c r="V30" i="9" s="1"/>
  <c r="M159" i="50"/>
  <c r="M165" i="50" s="1"/>
  <c r="P150" i="50"/>
  <c r="P206" i="50" s="1"/>
  <c r="N142" i="50"/>
  <c r="N198" i="50" s="1"/>
  <c r="N141" i="50"/>
  <c r="N197" i="50" s="1"/>
  <c r="P145" i="50"/>
  <c r="P201" i="50" s="1"/>
  <c r="P45" i="24"/>
  <c r="P170" i="24" s="1"/>
  <c r="O170" i="24"/>
  <c r="Y46" i="35"/>
  <c r="AD46" i="35"/>
  <c r="M274" i="5"/>
  <c r="M283" i="5"/>
  <c r="M284" i="5" s="1"/>
  <c r="M286" i="5" s="1"/>
  <c r="N285" i="5" s="1"/>
  <c r="O139" i="50"/>
  <c r="P39" i="24"/>
  <c r="P150" i="24" s="1"/>
  <c r="V156" i="5" s="1"/>
  <c r="P48" i="38" s="1"/>
  <c r="O150" i="24"/>
  <c r="U156" i="5" s="1"/>
  <c r="O48" i="38" s="1"/>
  <c r="AV19" i="35"/>
  <c r="S19" i="35"/>
  <c r="Q19" i="35"/>
  <c r="P19" i="35" s="1"/>
  <c r="T191" i="5"/>
  <c r="J27" i="35"/>
  <c r="H27" i="35"/>
  <c r="G27" i="35" s="1"/>
  <c r="H26" i="16"/>
  <c r="G26" i="16" s="1"/>
  <c r="J26" i="16"/>
  <c r="Z20" i="16"/>
  <c r="Y20" i="16" s="1"/>
  <c r="AB20" i="16"/>
  <c r="Q33" i="35"/>
  <c r="P33" i="35" s="1"/>
  <c r="S33" i="35"/>
  <c r="E19" i="35"/>
  <c r="AO19" i="35" s="1"/>
  <c r="AM20" i="35" s="1"/>
  <c r="AL20" i="35" s="1"/>
  <c r="AZ20" i="35"/>
  <c r="AW20" i="35"/>
  <c r="AV20" i="35" s="1"/>
  <c r="M272" i="5"/>
  <c r="Z48" i="16"/>
  <c r="Y48" i="16" s="1"/>
  <c r="AB48" i="16"/>
  <c r="Q32" i="16"/>
  <c r="P32" i="16" s="1"/>
  <c r="S32" i="16"/>
  <c r="E232" i="8"/>
  <c r="E114" i="8"/>
  <c r="E151" i="8"/>
  <c r="E195" i="8"/>
  <c r="BA19" i="16"/>
  <c r="AW19" i="16"/>
  <c r="E18" i="16"/>
  <c r="AO18" i="16" s="1"/>
  <c r="AM19" i="16" s="1"/>
  <c r="AL19" i="16" s="1"/>
  <c r="BI57" i="35"/>
  <c r="BL57" i="35"/>
  <c r="N135" i="50"/>
  <c r="N24" i="8"/>
  <c r="V92" i="9"/>
  <c r="AB21" i="35"/>
  <c r="Z21" i="35"/>
  <c r="Y21" i="35" s="1"/>
  <c r="G19" i="8"/>
  <c r="G74" i="8" s="1"/>
  <c r="N52" i="9"/>
  <c r="C37" i="39"/>
  <c r="AB47" i="35"/>
  <c r="Z47" i="35"/>
  <c r="Y47" i="35" s="1"/>
  <c r="BM57" i="16"/>
  <c r="BJ57" i="16"/>
  <c r="P144" i="24"/>
  <c r="P146" i="24"/>
  <c r="V152" i="5" s="1"/>
  <c r="P145" i="24"/>
  <c r="V151" i="5" s="1"/>
  <c r="N47" i="38"/>
  <c r="L287" i="5"/>
  <c r="V150" i="5" l="1"/>
  <c r="W150" i="5" s="1"/>
  <c r="M80" i="38"/>
  <c r="E175" i="29"/>
  <c r="E176" i="29"/>
  <c r="N77" i="8"/>
  <c r="Y11" i="39"/>
  <c r="L87" i="38"/>
  <c r="L89" i="38" s="1"/>
  <c r="L110" i="38" s="1"/>
  <c r="F201" i="29"/>
  <c r="F200" i="29"/>
  <c r="S44" i="54"/>
  <c r="T15" i="5"/>
  <c r="R211" i="5"/>
  <c r="O172" i="50"/>
  <c r="O195" i="50"/>
  <c r="H20" i="39"/>
  <c r="H23" i="39" s="1"/>
  <c r="W7" i="39" s="1"/>
  <c r="W65" i="39" s="1"/>
  <c r="N174" i="50"/>
  <c r="N175" i="50"/>
  <c r="P183" i="50"/>
  <c r="S210" i="5"/>
  <c r="S261" i="5" s="1"/>
  <c r="P178" i="50"/>
  <c r="T33" i="9"/>
  <c r="S37" i="9"/>
  <c r="L17" i="8" s="1"/>
  <c r="L72" i="8" s="1"/>
  <c r="V202" i="5"/>
  <c r="V251" i="5" s="1"/>
  <c r="P112" i="38" s="1"/>
  <c r="M276" i="5"/>
  <c r="N274" i="5" s="1"/>
  <c r="T193" i="5"/>
  <c r="M192" i="50"/>
  <c r="V197" i="5"/>
  <c r="W30" i="9" s="1"/>
  <c r="T194" i="5"/>
  <c r="N159" i="50"/>
  <c r="N165" i="50" s="1"/>
  <c r="O141" i="50"/>
  <c r="O197" i="50" s="1"/>
  <c r="O142" i="50"/>
  <c r="O198" i="50" s="1"/>
  <c r="O135" i="50"/>
  <c r="M287" i="5"/>
  <c r="BI58" i="35"/>
  <c r="BL58" i="35"/>
  <c r="I19" i="39"/>
  <c r="P139" i="50"/>
  <c r="BM58" i="16"/>
  <c r="BJ58" i="16"/>
  <c r="G232" i="8"/>
  <c r="G114" i="8"/>
  <c r="G151" i="8"/>
  <c r="G195" i="8"/>
  <c r="BH57" i="35"/>
  <c r="BQ46" i="35"/>
  <c r="AB49" i="16"/>
  <c r="Z49" i="16"/>
  <c r="Y49" i="16" s="1"/>
  <c r="AZ21" i="35"/>
  <c r="AW21" i="35"/>
  <c r="AV21" i="35" s="1"/>
  <c r="E20" i="35"/>
  <c r="AO20" i="35" s="1"/>
  <c r="AM21" i="35" s="1"/>
  <c r="AL21" i="35" s="1"/>
  <c r="S34" i="35"/>
  <c r="Q34" i="35"/>
  <c r="H27" i="16"/>
  <c r="G27" i="16" s="1"/>
  <c r="J27" i="16"/>
  <c r="H28" i="35"/>
  <c r="G28" i="35" s="1"/>
  <c r="J28" i="35"/>
  <c r="Z48" i="35"/>
  <c r="Y48" i="35" s="1"/>
  <c r="AB48" i="35"/>
  <c r="BA20" i="16"/>
  <c r="E19" i="16"/>
  <c r="AO19" i="16" s="1"/>
  <c r="AM20" i="16" s="1"/>
  <c r="AL20" i="16" s="1"/>
  <c r="AW20" i="16"/>
  <c r="AV20" i="16" s="1"/>
  <c r="Q20" i="35"/>
  <c r="P20" i="35" s="1"/>
  <c r="S20" i="35"/>
  <c r="BR46" i="16"/>
  <c r="BI57" i="16"/>
  <c r="R8" i="39"/>
  <c r="R66" i="39" s="1"/>
  <c r="C40" i="39"/>
  <c r="AB22" i="35"/>
  <c r="Z22" i="35"/>
  <c r="W92" i="9"/>
  <c r="P24" i="8" s="1"/>
  <c r="O24" i="8"/>
  <c r="AV19" i="16"/>
  <c r="Q33" i="16"/>
  <c r="P33" i="16" s="1"/>
  <c r="S33" i="16"/>
  <c r="Z21" i="16"/>
  <c r="Y21" i="16" s="1"/>
  <c r="AB21" i="16"/>
  <c r="U191" i="5"/>
  <c r="O47" i="38"/>
  <c r="L306" i="5"/>
  <c r="M43" i="9" s="1"/>
  <c r="M44" i="9" s="1"/>
  <c r="F18" i="8" s="1"/>
  <c r="F73" i="8" s="1"/>
  <c r="L296" i="5"/>
  <c r="L307" i="5" s="1"/>
  <c r="F17" i="49" l="1"/>
  <c r="E18" i="49" s="1"/>
  <c r="C18" i="49" s="1"/>
  <c r="N80" i="38"/>
  <c r="P77" i="8"/>
  <c r="AA11" i="39"/>
  <c r="O77" i="8"/>
  <c r="Z11" i="39"/>
  <c r="S211" i="5"/>
  <c r="M87" i="38"/>
  <c r="M89" i="38" s="1"/>
  <c r="M110" i="38" s="1"/>
  <c r="T44" i="54"/>
  <c r="V15" i="5" s="1"/>
  <c r="U15" i="5"/>
  <c r="L193" i="8"/>
  <c r="P172" i="50"/>
  <c r="P195" i="50"/>
  <c r="L149" i="8"/>
  <c r="L112" i="8"/>
  <c r="L230" i="8"/>
  <c r="T210" i="5"/>
  <c r="T261" i="5" s="1"/>
  <c r="O174" i="50"/>
  <c r="I20" i="39"/>
  <c r="U33" i="9"/>
  <c r="J20" i="39" s="1"/>
  <c r="O175" i="50"/>
  <c r="BE10" i="35"/>
  <c r="N283" i="5"/>
  <c r="N284" i="5" s="1"/>
  <c r="N286" i="5" s="1"/>
  <c r="O285" i="5" s="1"/>
  <c r="J19" i="39"/>
  <c r="N166" i="50"/>
  <c r="U194" i="5"/>
  <c r="U193" i="5"/>
  <c r="N192" i="50"/>
  <c r="O159" i="50"/>
  <c r="O165" i="50" s="1"/>
  <c r="P142" i="50"/>
  <c r="P198" i="50" s="1"/>
  <c r="P141" i="50"/>
  <c r="P197" i="50" s="1"/>
  <c r="M306" i="5"/>
  <c r="N43" i="9" s="1"/>
  <c r="N44" i="9" s="1"/>
  <c r="G18" i="8" s="1"/>
  <c r="G73" i="8" s="1"/>
  <c r="M296" i="5"/>
  <c r="S34" i="16"/>
  <c r="Q34" i="16"/>
  <c r="AB23" i="35"/>
  <c r="Z23" i="35"/>
  <c r="Y23" i="35" s="1"/>
  <c r="S35" i="35"/>
  <c r="Q35" i="35"/>
  <c r="P35" i="35" s="1"/>
  <c r="V191" i="5"/>
  <c r="K19" i="39"/>
  <c r="AB22" i="16"/>
  <c r="Z22" i="16"/>
  <c r="Y22" i="35"/>
  <c r="AD22" i="35"/>
  <c r="BA21" i="16"/>
  <c r="E20" i="16"/>
  <c r="AO20" i="16" s="1"/>
  <c r="AM21" i="16" s="1"/>
  <c r="AL21" i="16" s="1"/>
  <c r="AW21" i="16"/>
  <c r="J29" i="35"/>
  <c r="H29" i="35"/>
  <c r="G29" i="35" s="1"/>
  <c r="P34" i="35"/>
  <c r="U34" i="35"/>
  <c r="E21" i="35"/>
  <c r="AO21" i="35" s="1"/>
  <c r="AM22" i="35" s="1"/>
  <c r="AZ22" i="35"/>
  <c r="AW22" i="35"/>
  <c r="S21" i="35"/>
  <c r="Q22" i="35" s="1"/>
  <c r="Q21" i="35"/>
  <c r="P21" i="35" s="1"/>
  <c r="AB49" i="35"/>
  <c r="Z49" i="35"/>
  <c r="Y49" i="35" s="1"/>
  <c r="H28" i="16"/>
  <c r="G28" i="16" s="1"/>
  <c r="J28" i="16"/>
  <c r="AB50" i="16"/>
  <c r="Z50" i="16"/>
  <c r="Y50" i="16" s="1"/>
  <c r="BI58" i="16"/>
  <c r="BH58" i="35"/>
  <c r="BM59" i="16"/>
  <c r="BJ59" i="16"/>
  <c r="BI59" i="16" s="1"/>
  <c r="P135" i="50"/>
  <c r="BL59" i="35"/>
  <c r="BI59" i="35"/>
  <c r="BH59" i="35" s="1"/>
  <c r="P47" i="38"/>
  <c r="F194" i="8"/>
  <c r="F150" i="8"/>
  <c r="F231" i="8"/>
  <c r="F113" i="8"/>
  <c r="F16" i="8"/>
  <c r="F71" i="8" s="1"/>
  <c r="L305" i="5"/>
  <c r="H108" i="38" l="1"/>
  <c r="O80" i="38"/>
  <c r="N87" i="38"/>
  <c r="N89" i="38" s="1"/>
  <c r="N110" i="38" s="1"/>
  <c r="T211" i="5"/>
  <c r="V33" i="9"/>
  <c r="K20" i="39" s="1"/>
  <c r="N287" i="5"/>
  <c r="N306" i="5" s="1"/>
  <c r="O43" i="9" s="1"/>
  <c r="O44" i="9" s="1"/>
  <c r="H18" i="8" s="1"/>
  <c r="H73" i="8" s="1"/>
  <c r="U210" i="5"/>
  <c r="U261" i="5" s="1"/>
  <c r="P175" i="50"/>
  <c r="P174" i="50"/>
  <c r="V193" i="5"/>
  <c r="O166" i="50"/>
  <c r="O215" i="50"/>
  <c r="O192" i="50"/>
  <c r="V194" i="5"/>
  <c r="N215" i="50"/>
  <c r="P159" i="50"/>
  <c r="P165" i="50" s="1"/>
  <c r="P166" i="50" s="1"/>
  <c r="F186" i="8"/>
  <c r="F189" i="8" s="1"/>
  <c r="F192" i="8" s="1"/>
  <c r="F111" i="8"/>
  <c r="M307" i="5"/>
  <c r="M305" i="5" s="1"/>
  <c r="N22" i="9"/>
  <c r="G231" i="8"/>
  <c r="G113" i="8"/>
  <c r="G194" i="8"/>
  <c r="G150" i="8"/>
  <c r="AB50" i="35"/>
  <c r="Z50" i="35"/>
  <c r="Y50" i="35" s="1"/>
  <c r="BI60" i="35"/>
  <c r="BH60" i="35" s="1"/>
  <c r="BL60" i="35"/>
  <c r="U22" i="35"/>
  <c r="AH22" i="35" s="1"/>
  <c r="P22" i="35"/>
  <c r="BA22" i="16"/>
  <c r="E21" i="16"/>
  <c r="AO21" i="16" s="1"/>
  <c r="AM22" i="16" s="1"/>
  <c r="AW22" i="16"/>
  <c r="Z23" i="16"/>
  <c r="Y23" i="16" s="1"/>
  <c r="AB23" i="16"/>
  <c r="Q35" i="16"/>
  <c r="P35" i="16" s="1"/>
  <c r="S35" i="16"/>
  <c r="AQ22" i="35"/>
  <c r="AL22" i="35"/>
  <c r="J30" i="35"/>
  <c r="H30" i="35"/>
  <c r="G30" i="35" s="1"/>
  <c r="Y22" i="16"/>
  <c r="AD22" i="16"/>
  <c r="AH22" i="16" s="1"/>
  <c r="P34" i="16"/>
  <c r="U34" i="16"/>
  <c r="BM60" i="16"/>
  <c r="BJ60" i="16"/>
  <c r="AB51" i="16"/>
  <c r="Z51" i="16"/>
  <c r="Y51" i="16" s="1"/>
  <c r="AV22" i="35"/>
  <c r="Z24" i="35"/>
  <c r="Y24" i="35" s="1"/>
  <c r="AB24" i="35"/>
  <c r="J29" i="16"/>
  <c r="H29" i="16"/>
  <c r="G29" i="16" s="1"/>
  <c r="AZ23" i="35"/>
  <c r="AW23" i="35"/>
  <c r="AV23" i="35" s="1"/>
  <c r="E22" i="35"/>
  <c r="AO22" i="35" s="1"/>
  <c r="AM23" i="35" s="1"/>
  <c r="AL23" i="35" s="1"/>
  <c r="AV21" i="16"/>
  <c r="BF10" i="16"/>
  <c r="S36" i="35"/>
  <c r="Q36" i="35"/>
  <c r="P36" i="35" s="1"/>
  <c r="F148" i="8"/>
  <c r="F229" i="8"/>
  <c r="H113" i="38" l="1"/>
  <c r="F18" i="49"/>
  <c r="E19" i="49" s="1"/>
  <c r="C19" i="49" s="1"/>
  <c r="D49" i="39"/>
  <c r="P80" i="38"/>
  <c r="U211" i="5"/>
  <c r="O87" i="38"/>
  <c r="O89" i="38" s="1"/>
  <c r="O110" i="38" s="1"/>
  <c r="H150" i="8"/>
  <c r="H113" i="8"/>
  <c r="H231" i="8"/>
  <c r="H194" i="8"/>
  <c r="N296" i="5"/>
  <c r="N307" i="5" s="1"/>
  <c r="N305" i="5" s="1"/>
  <c r="W33" i="9"/>
  <c r="L20" i="39" s="1"/>
  <c r="V210" i="5"/>
  <c r="V261" i="5" s="1"/>
  <c r="P192" i="50"/>
  <c r="L19" i="39"/>
  <c r="P215" i="50"/>
  <c r="N24" i="9"/>
  <c r="C13" i="39"/>
  <c r="C15" i="39" s="1"/>
  <c r="S37" i="35"/>
  <c r="Q37" i="35"/>
  <c r="P37" i="35" s="1"/>
  <c r="J30" i="16"/>
  <c r="H30" i="16"/>
  <c r="G30" i="16" s="1"/>
  <c r="S36" i="16"/>
  <c r="Q36" i="16"/>
  <c r="P36" i="16" s="1"/>
  <c r="Z24" i="16"/>
  <c r="Y24" i="16" s="1"/>
  <c r="AB24" i="16"/>
  <c r="BA23" i="16"/>
  <c r="AW23" i="16"/>
  <c r="E22" i="16"/>
  <c r="AO22" i="16" s="1"/>
  <c r="AM23" i="16" s="1"/>
  <c r="AL23" i="16" s="1"/>
  <c r="AB25" i="35"/>
  <c r="Z25" i="35"/>
  <c r="Y25" i="35" s="1"/>
  <c r="BL61" i="35"/>
  <c r="BI61" i="35"/>
  <c r="AB51" i="35"/>
  <c r="Z51" i="35"/>
  <c r="Y51" i="35" s="1"/>
  <c r="BM61" i="16"/>
  <c r="BJ61" i="16"/>
  <c r="BI61" i="16" s="1"/>
  <c r="J31" i="35"/>
  <c r="H31" i="35"/>
  <c r="G31" i="35" s="1"/>
  <c r="AQ22" i="16"/>
  <c r="AL22" i="16"/>
  <c r="E23" i="35"/>
  <c r="AO23" i="35" s="1"/>
  <c r="AM24" i="35" s="1"/>
  <c r="AL24" i="35" s="1"/>
  <c r="AZ24" i="35"/>
  <c r="AW24" i="35"/>
  <c r="BE22" i="35" s="1"/>
  <c r="AB52" i="16"/>
  <c r="Z52" i="16"/>
  <c r="Y52" i="16" s="1"/>
  <c r="BI60" i="16"/>
  <c r="AV22" i="16"/>
  <c r="V211" i="5" l="1"/>
  <c r="P87" i="38"/>
  <c r="P89" i="38" s="1"/>
  <c r="P110" i="38" s="1"/>
  <c r="O22" i="9"/>
  <c r="L23" i="39"/>
  <c r="AA7" i="39" s="1"/>
  <c r="AA65" i="39" s="1"/>
  <c r="W37" i="9"/>
  <c r="P17" i="8" s="1"/>
  <c r="P72" i="8" s="1"/>
  <c r="N39" i="9"/>
  <c r="G16" i="8"/>
  <c r="G71" i="8" s="1"/>
  <c r="C25" i="39"/>
  <c r="C33" i="39" s="1"/>
  <c r="C42" i="39" s="1"/>
  <c r="C43" i="39" s="1"/>
  <c r="R6" i="39"/>
  <c r="AB53" i="16"/>
  <c r="Z53" i="16"/>
  <c r="Y53" i="16" s="1"/>
  <c r="AZ25" i="35"/>
  <c r="E24" i="35"/>
  <c r="AO24" i="35" s="1"/>
  <c r="AM25" i="35" s="1"/>
  <c r="AL25" i="35" s="1"/>
  <c r="Z26" i="35"/>
  <c r="Y26" i="35" s="1"/>
  <c r="AB26" i="35"/>
  <c r="AB25" i="16"/>
  <c r="Z25" i="16"/>
  <c r="Y25" i="16" s="1"/>
  <c r="J32" i="35"/>
  <c r="H32" i="35"/>
  <c r="G32" i="35" s="1"/>
  <c r="BJ62" i="16"/>
  <c r="BM62" i="16"/>
  <c r="AB52" i="35"/>
  <c r="Z52" i="35"/>
  <c r="Y52" i="35" s="1"/>
  <c r="S37" i="16"/>
  <c r="Q37" i="16"/>
  <c r="P37" i="16" s="1"/>
  <c r="J31" i="16"/>
  <c r="H31" i="16"/>
  <c r="G31" i="16" s="1"/>
  <c r="S38" i="35"/>
  <c r="Q38" i="35"/>
  <c r="P38" i="35" s="1"/>
  <c r="AV24" i="35"/>
  <c r="BL62" i="35"/>
  <c r="BI62" i="35"/>
  <c r="BH62" i="35" s="1"/>
  <c r="BA24" i="16"/>
  <c r="AW24" i="16"/>
  <c r="E23" i="16"/>
  <c r="AO23" i="16" s="1"/>
  <c r="AM24" i="16" s="1"/>
  <c r="AL24" i="16" s="1"/>
  <c r="BH61" i="35"/>
  <c r="F19" i="49" l="1"/>
  <c r="E20" i="49" s="1"/>
  <c r="C20" i="49" s="1"/>
  <c r="P149" i="8"/>
  <c r="P230" i="8"/>
  <c r="D13" i="39"/>
  <c r="P193" i="8"/>
  <c r="P112" i="8"/>
  <c r="G111" i="8"/>
  <c r="G186" i="8"/>
  <c r="G188" i="8"/>
  <c r="R59" i="39"/>
  <c r="R64" i="39" s="1"/>
  <c r="R57" i="39"/>
  <c r="G148" i="8"/>
  <c r="G229" i="8"/>
  <c r="N40" i="9"/>
  <c r="N54" i="9"/>
  <c r="AB27" i="35"/>
  <c r="Z27" i="35"/>
  <c r="Y27" i="35" s="1"/>
  <c r="BL63" i="35"/>
  <c r="BI63" i="35"/>
  <c r="BH63" i="35" s="1"/>
  <c r="S39" i="35"/>
  <c r="Q39" i="35"/>
  <c r="P39" i="35" s="1"/>
  <c r="S38" i="16"/>
  <c r="Q38" i="16"/>
  <c r="P38" i="16" s="1"/>
  <c r="E25" i="35"/>
  <c r="AO25" i="35" s="1"/>
  <c r="AM26" i="35" s="1"/>
  <c r="AL26" i="35" s="1"/>
  <c r="AZ26" i="35"/>
  <c r="BI62" i="16"/>
  <c r="AB53" i="35"/>
  <c r="Z53" i="35"/>
  <c r="Y53" i="35" s="1"/>
  <c r="BA25" i="16"/>
  <c r="E24" i="16"/>
  <c r="AO24" i="16" s="1"/>
  <c r="AM25" i="16" s="1"/>
  <c r="AL25" i="16" s="1"/>
  <c r="BF22" i="16"/>
  <c r="H32" i="16"/>
  <c r="G32" i="16" s="1"/>
  <c r="J32" i="16"/>
  <c r="BM63" i="16"/>
  <c r="BJ63" i="16"/>
  <c r="BI63" i="16" s="1"/>
  <c r="H33" i="35"/>
  <c r="G33" i="35" s="1"/>
  <c r="J33" i="35"/>
  <c r="Z26" i="16"/>
  <c r="Y26" i="16" s="1"/>
  <c r="AB26" i="16"/>
  <c r="AB54" i="16"/>
  <c r="Z54" i="16"/>
  <c r="Y54" i="16" s="1"/>
  <c r="N55" i="9" l="1"/>
  <c r="G189" i="8"/>
  <c r="G192" i="8" s="1"/>
  <c r="R60" i="39"/>
  <c r="BM64" i="16"/>
  <c r="BJ64" i="16"/>
  <c r="J34" i="35"/>
  <c r="H34" i="35"/>
  <c r="H33" i="16"/>
  <c r="G33" i="16" s="1"/>
  <c r="J33" i="16"/>
  <c r="AB54" i="35"/>
  <c r="Z54" i="35"/>
  <c r="Y54" i="35" s="1"/>
  <c r="AZ27" i="35"/>
  <c r="E26" i="35"/>
  <c r="AO26" i="35" s="1"/>
  <c r="AM27" i="35" s="1"/>
  <c r="AL27" i="35" s="1"/>
  <c r="Q39" i="16"/>
  <c r="P39" i="16" s="1"/>
  <c r="S39" i="16"/>
  <c r="S40" i="35"/>
  <c r="Q40" i="35"/>
  <c r="P40" i="35" s="1"/>
  <c r="Z28" i="35"/>
  <c r="Y28" i="35" s="1"/>
  <c r="AB28" i="35"/>
  <c r="AB55" i="16"/>
  <c r="Z55" i="16"/>
  <c r="Y55" i="16" s="1"/>
  <c r="E25" i="16"/>
  <c r="AO25" i="16" s="1"/>
  <c r="AM26" i="16" s="1"/>
  <c r="AL26" i="16" s="1"/>
  <c r="BA26" i="16"/>
  <c r="BI64" i="35"/>
  <c r="BL64" i="35"/>
  <c r="Z27" i="16"/>
  <c r="Y27" i="16" s="1"/>
  <c r="AB27" i="16"/>
  <c r="J66" i="9"/>
  <c r="C20" i="8" s="1"/>
  <c r="F20" i="49" l="1"/>
  <c r="E21" i="49" s="1"/>
  <c r="C21" i="49" s="1"/>
  <c r="BL65" i="35"/>
  <c r="BI65" i="35"/>
  <c r="BH65" i="35" s="1"/>
  <c r="BH64" i="35"/>
  <c r="AB29" i="35"/>
  <c r="Z29" i="35"/>
  <c r="Y29" i="35" s="1"/>
  <c r="J35" i="35"/>
  <c r="H35" i="35"/>
  <c r="G35" i="35" s="1"/>
  <c r="J34" i="16"/>
  <c r="H34" i="16"/>
  <c r="J80" i="9"/>
  <c r="E26" i="16"/>
  <c r="AO26" i="16" s="1"/>
  <c r="AM27" i="16" s="1"/>
  <c r="AL27" i="16" s="1"/>
  <c r="BA27" i="16"/>
  <c r="S41" i="35"/>
  <c r="Q41" i="35"/>
  <c r="P41" i="35" s="1"/>
  <c r="E27" i="35"/>
  <c r="AO27" i="35" s="1"/>
  <c r="AM28" i="35" s="1"/>
  <c r="AL28" i="35" s="1"/>
  <c r="AZ28" i="35"/>
  <c r="BI64" i="16"/>
  <c r="G34" i="35"/>
  <c r="L34" i="35"/>
  <c r="Z28" i="16"/>
  <c r="Y28" i="16" s="1"/>
  <c r="AB28" i="16"/>
  <c r="AB56" i="16"/>
  <c r="Z56" i="16"/>
  <c r="Y56" i="16" s="1"/>
  <c r="Q40" i="16"/>
  <c r="P40" i="16" s="1"/>
  <c r="S40" i="16"/>
  <c r="AB55" i="35"/>
  <c r="Z55" i="35"/>
  <c r="Y55" i="35" s="1"/>
  <c r="BM65" i="16"/>
  <c r="BJ65" i="16"/>
  <c r="BI65" i="16" s="1"/>
  <c r="Q41" i="16" l="1"/>
  <c r="P41" i="16" s="1"/>
  <c r="S41" i="16"/>
  <c r="J36" i="35"/>
  <c r="H36" i="35"/>
  <c r="G36" i="35" s="1"/>
  <c r="AB30" i="35"/>
  <c r="Z30" i="35"/>
  <c r="Y30" i="35" s="1"/>
  <c r="BL66" i="35"/>
  <c r="BI66" i="35"/>
  <c r="BH66" i="35" s="1"/>
  <c r="Z56" i="35"/>
  <c r="Y56" i="35" s="1"/>
  <c r="AB56" i="35"/>
  <c r="AB57" i="16"/>
  <c r="Z57" i="16"/>
  <c r="Y57" i="16" s="1"/>
  <c r="S42" i="35"/>
  <c r="Q42" i="35"/>
  <c r="P42" i="35" s="1"/>
  <c r="G34" i="16"/>
  <c r="L34" i="16"/>
  <c r="BJ66" i="16"/>
  <c r="BI66" i="16" s="1"/>
  <c r="BM66" i="16"/>
  <c r="AB29" i="16"/>
  <c r="Z29" i="16"/>
  <c r="Y29" i="16" s="1"/>
  <c r="AZ29" i="35"/>
  <c r="E28" i="35"/>
  <c r="AO28" i="35" s="1"/>
  <c r="AM29" i="35" s="1"/>
  <c r="AL29" i="35" s="1"/>
  <c r="BA28" i="16"/>
  <c r="E27" i="16"/>
  <c r="AO27" i="16" s="1"/>
  <c r="AM28" i="16" s="1"/>
  <c r="AL28" i="16" s="1"/>
  <c r="C22" i="8"/>
  <c r="C75" i="8" s="1"/>
  <c r="J82" i="9"/>
  <c r="K82" i="9" s="1"/>
  <c r="L82" i="9" s="1"/>
  <c r="M82" i="9" s="1"/>
  <c r="H35" i="16"/>
  <c r="G35" i="16" s="1"/>
  <c r="J35" i="16"/>
  <c r="F21" i="49" l="1"/>
  <c r="E22" i="49" s="1"/>
  <c r="C22" i="49" s="1"/>
  <c r="BA29" i="16"/>
  <c r="E28" i="16"/>
  <c r="AO28" i="16" s="1"/>
  <c r="AM29" i="16" s="1"/>
  <c r="AL29" i="16" s="1"/>
  <c r="AB30" i="16"/>
  <c r="Z30" i="16"/>
  <c r="Y30" i="16" s="1"/>
  <c r="AB57" i="35"/>
  <c r="Z57" i="35"/>
  <c r="Y57" i="35" s="1"/>
  <c r="BL67" i="35"/>
  <c r="BI67" i="35"/>
  <c r="BH67" i="35" s="1"/>
  <c r="J36" i="16"/>
  <c r="H36" i="16"/>
  <c r="G36" i="16" s="1"/>
  <c r="BM67" i="16"/>
  <c r="BJ67" i="16"/>
  <c r="BI67" i="16" s="1"/>
  <c r="AB31" i="35"/>
  <c r="Z31" i="35"/>
  <c r="Y31" i="35" s="1"/>
  <c r="J37" i="35"/>
  <c r="H37" i="35"/>
  <c r="G37" i="35" s="1"/>
  <c r="Q42" i="16"/>
  <c r="P42" i="16" s="1"/>
  <c r="S42" i="16"/>
  <c r="S43" i="35"/>
  <c r="Q43" i="35"/>
  <c r="P43" i="35" s="1"/>
  <c r="C196" i="8"/>
  <c r="C152" i="8"/>
  <c r="C233" i="8"/>
  <c r="E29" i="35"/>
  <c r="AO29" i="35" s="1"/>
  <c r="AM30" i="35" s="1"/>
  <c r="AL30" i="35" s="1"/>
  <c r="AZ30" i="35"/>
  <c r="AB58" i="16"/>
  <c r="Z58" i="16"/>
  <c r="J37" i="16" l="1"/>
  <c r="H37" i="16"/>
  <c r="G37" i="16" s="1"/>
  <c r="E30" i="35"/>
  <c r="AO30" i="35" s="1"/>
  <c r="AM31" i="35" s="1"/>
  <c r="AL31" i="35" s="1"/>
  <c r="AZ31" i="35"/>
  <c r="J38" i="35"/>
  <c r="H38" i="35"/>
  <c r="G38" i="35" s="1"/>
  <c r="BM68" i="16"/>
  <c r="BJ68" i="16"/>
  <c r="BI68" i="16" s="1"/>
  <c r="S43" i="16"/>
  <c r="Q43" i="16"/>
  <c r="P43" i="16" s="1"/>
  <c r="AB31" i="16"/>
  <c r="Z31" i="16"/>
  <c r="Y31" i="16" s="1"/>
  <c r="Z59" i="16"/>
  <c r="Y59" i="16" s="1"/>
  <c r="AB59" i="16"/>
  <c r="AB58" i="35"/>
  <c r="Z58" i="35"/>
  <c r="BA30" i="16"/>
  <c r="E29" i="16"/>
  <c r="AO29" i="16" s="1"/>
  <c r="AM30" i="16" s="1"/>
  <c r="AL30" i="16" s="1"/>
  <c r="Y58" i="16"/>
  <c r="AD58" i="16"/>
  <c r="C115" i="8"/>
  <c r="S44" i="35"/>
  <c r="Q44" i="35"/>
  <c r="P44" i="35" s="1"/>
  <c r="AB32" i="35"/>
  <c r="Z32" i="35"/>
  <c r="Y32" i="35" s="1"/>
  <c r="BI68" i="35"/>
  <c r="BH68" i="35" s="1"/>
  <c r="BL68" i="35"/>
  <c r="F22" i="49" l="1"/>
  <c r="E23" i="49" s="1"/>
  <c r="C23" i="49" s="1"/>
  <c r="E31" i="35"/>
  <c r="AO31" i="35" s="1"/>
  <c r="AM32" i="35" s="1"/>
  <c r="AL32" i="35" s="1"/>
  <c r="AZ32" i="35"/>
  <c r="S44" i="16"/>
  <c r="Q44" i="16"/>
  <c r="P44" i="16" s="1"/>
  <c r="J38" i="16"/>
  <c r="H38" i="16"/>
  <c r="G38" i="16" s="1"/>
  <c r="AB59" i="35"/>
  <c r="Z59" i="35"/>
  <c r="Y59" i="35" s="1"/>
  <c r="Z33" i="35"/>
  <c r="Y33" i="35" s="1"/>
  <c r="AB33" i="35"/>
  <c r="Z34" i="35" s="1"/>
  <c r="S45" i="35"/>
  <c r="Q45" i="35"/>
  <c r="P45" i="35" s="1"/>
  <c r="E30" i="16"/>
  <c r="AO30" i="16" s="1"/>
  <c r="AM31" i="16" s="1"/>
  <c r="AL31" i="16" s="1"/>
  <c r="BA31" i="16"/>
  <c r="Z32" i="16"/>
  <c r="Y32" i="16" s="1"/>
  <c r="AB32" i="16"/>
  <c r="BM69" i="16"/>
  <c r="BJ69" i="16"/>
  <c r="J39" i="35"/>
  <c r="H39" i="35"/>
  <c r="G39" i="35" s="1"/>
  <c r="BL69" i="35"/>
  <c r="BI69" i="35"/>
  <c r="Y58" i="35"/>
  <c r="AD58" i="35"/>
  <c r="AB60" i="16"/>
  <c r="Z60" i="16"/>
  <c r="Y60" i="16" s="1"/>
  <c r="AB61" i="16" l="1"/>
  <c r="Z61" i="16"/>
  <c r="Y61" i="16" s="1"/>
  <c r="Z33" i="16"/>
  <c r="Y33" i="16" s="1"/>
  <c r="AB33" i="16"/>
  <c r="Z34" i="16" s="1"/>
  <c r="BL70" i="35"/>
  <c r="BI70" i="35"/>
  <c r="AB60" i="35"/>
  <c r="Z60" i="35"/>
  <c r="Y60" i="35" s="1"/>
  <c r="H39" i="16"/>
  <c r="G39" i="16" s="1"/>
  <c r="J39" i="16"/>
  <c r="E32" i="35"/>
  <c r="AO32" i="35" s="1"/>
  <c r="AM33" i="35" s="1"/>
  <c r="AL33" i="35" s="1"/>
  <c r="AZ33" i="35"/>
  <c r="BJ70" i="16"/>
  <c r="BM70" i="16"/>
  <c r="E31" i="16"/>
  <c r="AO31" i="16" s="1"/>
  <c r="AM32" i="16" s="1"/>
  <c r="AL32" i="16" s="1"/>
  <c r="BA32" i="16"/>
  <c r="J40" i="35"/>
  <c r="H40" i="35"/>
  <c r="G40" i="35" s="1"/>
  <c r="BH69" i="35"/>
  <c r="BQ58" i="35"/>
  <c r="AD34" i="35"/>
  <c r="AH34" i="35" s="1"/>
  <c r="Y34" i="35"/>
  <c r="BI69" i="16"/>
  <c r="BR58" i="16"/>
  <c r="S46" i="35"/>
  <c r="Q46" i="35"/>
  <c r="S45" i="16"/>
  <c r="Q45" i="16"/>
  <c r="P45" i="16" s="1"/>
  <c r="F23" i="49" l="1"/>
  <c r="E24" i="49" s="1"/>
  <c r="C24" i="49" s="1"/>
  <c r="J41" i="35"/>
  <c r="H41" i="35"/>
  <c r="G41" i="35" s="1"/>
  <c r="BJ71" i="16"/>
  <c r="BI71" i="16" s="1"/>
  <c r="BM71" i="16"/>
  <c r="BI70" i="16"/>
  <c r="H40" i="16"/>
  <c r="G40" i="16" s="1"/>
  <c r="J40" i="16"/>
  <c r="BH70" i="35"/>
  <c r="AB62" i="16"/>
  <c r="Z62" i="16"/>
  <c r="Y62" i="16" s="1"/>
  <c r="U46" i="35"/>
  <c r="P46" i="35"/>
  <c r="BA33" i="16"/>
  <c r="E32" i="16"/>
  <c r="AO32" i="16" s="1"/>
  <c r="AM33" i="16" s="1"/>
  <c r="AL33" i="16" s="1"/>
  <c r="BL71" i="35"/>
  <c r="BI71" i="35"/>
  <c r="BH71" i="35" s="1"/>
  <c r="Y34" i="16"/>
  <c r="AD34" i="16"/>
  <c r="AH34" i="16" s="1"/>
  <c r="Q46" i="16"/>
  <c r="S46" i="16"/>
  <c r="Z61" i="35"/>
  <c r="Y61" i="35" s="1"/>
  <c r="AB61" i="35"/>
  <c r="S47" i="35"/>
  <c r="Q47" i="35"/>
  <c r="P47" i="35" s="1"/>
  <c r="AZ34" i="35"/>
  <c r="E33" i="35"/>
  <c r="AO33" i="35" s="1"/>
  <c r="AM34" i="35" s="1"/>
  <c r="F24" i="49" l="1"/>
  <c r="E25" i="49" s="1"/>
  <c r="C25" i="49" s="1"/>
  <c r="Q48" i="35"/>
  <c r="P48" i="35" s="1"/>
  <c r="S48" i="35"/>
  <c r="AB62" i="35"/>
  <c r="Z62" i="35"/>
  <c r="Y62" i="35" s="1"/>
  <c r="BM72" i="16"/>
  <c r="BJ72" i="16"/>
  <c r="AL34" i="35"/>
  <c r="AQ34" i="35"/>
  <c r="S47" i="16"/>
  <c r="Q47" i="16"/>
  <c r="P47" i="16" s="1"/>
  <c r="BL72" i="35"/>
  <c r="BI72" i="35"/>
  <c r="BH72" i="35" s="1"/>
  <c r="H41" i="16"/>
  <c r="G41" i="16" s="1"/>
  <c r="J41" i="16"/>
  <c r="BA34" i="16"/>
  <c r="E33" i="16"/>
  <c r="AO33" i="16" s="1"/>
  <c r="AM34" i="16" s="1"/>
  <c r="E34" i="35"/>
  <c r="AO34" i="35" s="1"/>
  <c r="AM35" i="35" s="1"/>
  <c r="AL35" i="35" s="1"/>
  <c r="AZ35" i="35"/>
  <c r="U46" i="16"/>
  <c r="P46" i="16"/>
  <c r="Z63" i="16"/>
  <c r="Y63" i="16" s="1"/>
  <c r="AB63" i="16"/>
  <c r="J42" i="35"/>
  <c r="H42" i="35"/>
  <c r="G42" i="35" s="1"/>
  <c r="E34" i="16" l="1"/>
  <c r="AO34" i="16" s="1"/>
  <c r="AM35" i="16" s="1"/>
  <c r="AL35" i="16" s="1"/>
  <c r="BA35" i="16"/>
  <c r="J43" i="35"/>
  <c r="H43" i="35"/>
  <c r="G43" i="35" s="1"/>
  <c r="AB64" i="16"/>
  <c r="Z64" i="16"/>
  <c r="Y64" i="16" s="1"/>
  <c r="BL73" i="35"/>
  <c r="BI73" i="35"/>
  <c r="BJ73" i="16"/>
  <c r="BI73" i="16" s="1"/>
  <c r="BM73" i="16"/>
  <c r="BI72" i="16"/>
  <c r="F25" i="49"/>
  <c r="E26" i="49" s="1"/>
  <c r="C26" i="49" s="1"/>
  <c r="S49" i="35"/>
  <c r="Q49" i="35"/>
  <c r="P49" i="35" s="1"/>
  <c r="AZ36" i="35"/>
  <c r="E35" i="35"/>
  <c r="AO35" i="35" s="1"/>
  <c r="AM36" i="35" s="1"/>
  <c r="AL36" i="35" s="1"/>
  <c r="AL34" i="16"/>
  <c r="AQ34" i="16"/>
  <c r="H42" i="16"/>
  <c r="G42" i="16" s="1"/>
  <c r="J42" i="16"/>
  <c r="Q48" i="16"/>
  <c r="P48" i="16" s="1"/>
  <c r="S48" i="16"/>
  <c r="AB63" i="35"/>
  <c r="Z63" i="35"/>
  <c r="Y63" i="35" s="1"/>
  <c r="BM74" i="16" l="1"/>
  <c r="BJ74" i="16"/>
  <c r="AB64" i="35"/>
  <c r="Z64" i="35"/>
  <c r="Y64" i="35" s="1"/>
  <c r="S49" i="16"/>
  <c r="Q49" i="16"/>
  <c r="P49" i="16" s="1"/>
  <c r="AZ37" i="35"/>
  <c r="E36" i="35"/>
  <c r="AO36" i="35" s="1"/>
  <c r="AM37" i="35" s="1"/>
  <c r="AL37" i="35" s="1"/>
  <c r="S50" i="35"/>
  <c r="Q50" i="35"/>
  <c r="P50" i="35" s="1"/>
  <c r="BL74" i="35"/>
  <c r="BI74" i="35"/>
  <c r="BH74" i="35" s="1"/>
  <c r="J44" i="35"/>
  <c r="H44" i="35"/>
  <c r="G44" i="35" s="1"/>
  <c r="J43" i="16"/>
  <c r="H43" i="16"/>
  <c r="G43" i="16" s="1"/>
  <c r="BH73" i="35"/>
  <c r="AB65" i="16"/>
  <c r="Z65" i="16"/>
  <c r="Y65" i="16" s="1"/>
  <c r="BA36" i="16"/>
  <c r="E35" i="16"/>
  <c r="AO35" i="16" s="1"/>
  <c r="AM36" i="16" s="1"/>
  <c r="AL36" i="16" s="1"/>
  <c r="F26" i="49" l="1"/>
  <c r="E27" i="49" s="1"/>
  <c r="C27" i="49" s="1"/>
  <c r="AB66" i="16"/>
  <c r="Z66" i="16"/>
  <c r="Y66" i="16" s="1"/>
  <c r="S51" i="35"/>
  <c r="Q51" i="35"/>
  <c r="P51" i="35" s="1"/>
  <c r="S50" i="16"/>
  <c r="Q50" i="16"/>
  <c r="P50" i="16" s="1"/>
  <c r="J44" i="16"/>
  <c r="H44" i="16"/>
  <c r="G44" i="16" s="1"/>
  <c r="J45" i="35"/>
  <c r="H45" i="35"/>
  <c r="G45" i="35" s="1"/>
  <c r="BI74" i="16"/>
  <c r="BL75" i="35"/>
  <c r="BI75" i="35"/>
  <c r="E36" i="16"/>
  <c r="AO36" i="16" s="1"/>
  <c r="AM37" i="16" s="1"/>
  <c r="AL37" i="16" s="1"/>
  <c r="BA37" i="16"/>
  <c r="AZ38" i="35"/>
  <c r="E37" i="35"/>
  <c r="AO37" i="35" s="1"/>
  <c r="AM38" i="35" s="1"/>
  <c r="AL38" i="35" s="1"/>
  <c r="Z65" i="35"/>
  <c r="Y65" i="35" s="1"/>
  <c r="AB65" i="35"/>
  <c r="BJ75" i="16"/>
  <c r="BI75" i="16" s="1"/>
  <c r="BM75" i="16"/>
  <c r="F27" i="49" l="1"/>
  <c r="E28" i="49" s="1"/>
  <c r="C28" i="49" s="1"/>
  <c r="BM76" i="16"/>
  <c r="BJ76" i="16"/>
  <c r="BI76" i="16" s="1"/>
  <c r="Z67" i="16"/>
  <c r="Y67" i="16" s="1"/>
  <c r="AB67" i="16"/>
  <c r="AZ39" i="35"/>
  <c r="E38" i="35"/>
  <c r="AO38" i="35" s="1"/>
  <c r="AM39" i="35" s="1"/>
  <c r="AL39" i="35" s="1"/>
  <c r="BH75" i="35"/>
  <c r="S52" i="35"/>
  <c r="Q52" i="35"/>
  <c r="P52" i="35" s="1"/>
  <c r="H46" i="35"/>
  <c r="J46" i="35"/>
  <c r="AB66" i="35"/>
  <c r="Z66" i="35"/>
  <c r="Y66" i="35" s="1"/>
  <c r="BL76" i="35"/>
  <c r="BI76" i="35"/>
  <c r="BH76" i="35" s="1"/>
  <c r="J45" i="16"/>
  <c r="H45" i="16"/>
  <c r="G45" i="16" s="1"/>
  <c r="E37" i="16"/>
  <c r="AO37" i="16" s="1"/>
  <c r="AM38" i="16" s="1"/>
  <c r="AL38" i="16" s="1"/>
  <c r="BA38" i="16"/>
  <c r="S51" i="16"/>
  <c r="Q51" i="16"/>
  <c r="P51" i="16" s="1"/>
  <c r="F28" i="49" l="1"/>
  <c r="E29" i="49" s="1"/>
  <c r="C29" i="49" s="1"/>
  <c r="AB67" i="35"/>
  <c r="Z67" i="35"/>
  <c r="Y67" i="35" s="1"/>
  <c r="AB68" i="16"/>
  <c r="Z68" i="16"/>
  <c r="Y68" i="16" s="1"/>
  <c r="S53" i="35"/>
  <c r="Q53" i="35"/>
  <c r="P53" i="35" s="1"/>
  <c r="S52" i="16"/>
  <c r="Q52" i="16"/>
  <c r="P52" i="16" s="1"/>
  <c r="H46" i="16"/>
  <c r="J46" i="16"/>
  <c r="G46" i="35"/>
  <c r="L46" i="35"/>
  <c r="AH46" i="35" s="1"/>
  <c r="E38" i="16"/>
  <c r="AO38" i="16" s="1"/>
  <c r="AM39" i="16" s="1"/>
  <c r="AL39" i="16" s="1"/>
  <c r="BA39" i="16"/>
  <c r="BL77" i="35"/>
  <c r="BP77" i="35"/>
  <c r="BI77" i="35"/>
  <c r="J47" i="35"/>
  <c r="H47" i="35"/>
  <c r="G47" i="35" s="1"/>
  <c r="AZ40" i="35"/>
  <c r="E39" i="35"/>
  <c r="AO39" i="35" s="1"/>
  <c r="AM40" i="35" s="1"/>
  <c r="AL40" i="35" s="1"/>
  <c r="BQ77" i="16"/>
  <c r="BJ77" i="16"/>
  <c r="BM77" i="16"/>
  <c r="H48" i="35" l="1"/>
  <c r="G48" i="35" s="1"/>
  <c r="J48" i="35"/>
  <c r="BA40" i="16"/>
  <c r="E39" i="16"/>
  <c r="AO39" i="16" s="1"/>
  <c r="AM40" i="16" s="1"/>
  <c r="AL40" i="16" s="1"/>
  <c r="L46" i="16"/>
  <c r="AH46" i="16" s="1"/>
  <c r="G46" i="16"/>
  <c r="S54" i="35"/>
  <c r="Q54" i="35"/>
  <c r="P54" i="35" s="1"/>
  <c r="AB68" i="35"/>
  <c r="Z68" i="35"/>
  <c r="Y68" i="35" s="1"/>
  <c r="BH77" i="35"/>
  <c r="BM78" i="16"/>
  <c r="BJ78" i="16"/>
  <c r="BI78" i="16" s="1"/>
  <c r="BQ78" i="16"/>
  <c r="AZ41" i="35"/>
  <c r="E40" i="35"/>
  <c r="AO40" i="35" s="1"/>
  <c r="AM41" i="35" s="1"/>
  <c r="AL41" i="35" s="1"/>
  <c r="F29" i="49"/>
  <c r="E30" i="49" s="1"/>
  <c r="C30" i="49" s="1"/>
  <c r="S53" i="16"/>
  <c r="Q53" i="16"/>
  <c r="P53" i="16" s="1"/>
  <c r="AB69" i="16"/>
  <c r="Z69" i="16"/>
  <c r="Y69" i="16" s="1"/>
  <c r="BI77" i="16"/>
  <c r="BP78" i="35"/>
  <c r="BI78" i="35"/>
  <c r="BH78" i="35" s="1"/>
  <c r="BL78" i="35"/>
  <c r="J47" i="16"/>
  <c r="H47" i="16"/>
  <c r="G47" i="16" s="1"/>
  <c r="BA41" i="16" l="1"/>
  <c r="E40" i="16"/>
  <c r="AO40" i="16" s="1"/>
  <c r="AM41" i="16" s="1"/>
  <c r="AL41" i="16" s="1"/>
  <c r="H48" i="16"/>
  <c r="G48" i="16" s="1"/>
  <c r="J48" i="16"/>
  <c r="BL79" i="35"/>
  <c r="BP79" i="35"/>
  <c r="BI79" i="35"/>
  <c r="BH79" i="35" s="1"/>
  <c r="S54" i="16"/>
  <c r="Q54" i="16"/>
  <c r="P54" i="16" s="1"/>
  <c r="BQ79" i="16"/>
  <c r="BM79" i="16"/>
  <c r="BJ79" i="16"/>
  <c r="BI79" i="16" s="1"/>
  <c r="S55" i="35"/>
  <c r="Q55" i="35"/>
  <c r="P55" i="35" s="1"/>
  <c r="J49" i="35"/>
  <c r="H49" i="35"/>
  <c r="G49" i="35" s="1"/>
  <c r="AZ42" i="35"/>
  <c r="E41" i="35"/>
  <c r="AO41" i="35" s="1"/>
  <c r="AM42" i="35" s="1"/>
  <c r="AL42" i="35" s="1"/>
  <c r="Z70" i="16"/>
  <c r="AB70" i="16"/>
  <c r="Z69" i="35"/>
  <c r="Y69" i="35" s="1"/>
  <c r="AB69" i="35"/>
  <c r="AZ43" i="35" l="1"/>
  <c r="E42" i="35"/>
  <c r="AO42" i="35" s="1"/>
  <c r="AM43" i="35" s="1"/>
  <c r="AL43" i="35" s="1"/>
  <c r="Q56" i="35"/>
  <c r="P56" i="35" s="1"/>
  <c r="S56" i="35"/>
  <c r="BL80" i="35"/>
  <c r="BP80" i="35"/>
  <c r="BI80" i="35"/>
  <c r="BH80" i="35" s="1"/>
  <c r="BA42" i="16"/>
  <c r="E41" i="16"/>
  <c r="AO41" i="16" s="1"/>
  <c r="AM42" i="16" s="1"/>
  <c r="AL42" i="16" s="1"/>
  <c r="AB70" i="35"/>
  <c r="Z70" i="35"/>
  <c r="AB71" i="16"/>
  <c r="Z71" i="16"/>
  <c r="Y71" i="16" s="1"/>
  <c r="S55" i="16"/>
  <c r="Q55" i="16"/>
  <c r="P55" i="16" s="1"/>
  <c r="J49" i="16"/>
  <c r="H49" i="16"/>
  <c r="G49" i="16" s="1"/>
  <c r="Y70" i="16"/>
  <c r="AD70" i="16"/>
  <c r="J50" i="35"/>
  <c r="H50" i="35"/>
  <c r="G50" i="35" s="1"/>
  <c r="BQ80" i="16"/>
  <c r="BJ80" i="16"/>
  <c r="BI80" i="16" s="1"/>
  <c r="BM80" i="16"/>
  <c r="F30" i="49" l="1"/>
  <c r="E31" i="49" s="1"/>
  <c r="C31" i="49" s="1"/>
  <c r="E49" i="39"/>
  <c r="BM81" i="16"/>
  <c r="BQ81" i="16"/>
  <c r="BJ81" i="16"/>
  <c r="N75" i="9" s="1"/>
  <c r="J51" i="35"/>
  <c r="H51" i="35"/>
  <c r="G51" i="35" s="1"/>
  <c r="J50" i="16"/>
  <c r="H50" i="16"/>
  <c r="G50" i="16" s="1"/>
  <c r="Z72" i="16"/>
  <c r="Y72" i="16" s="1"/>
  <c r="AB72" i="16"/>
  <c r="BA43" i="16"/>
  <c r="E42" i="16"/>
  <c r="AO42" i="16" s="1"/>
  <c r="AM43" i="16" s="1"/>
  <c r="AL43" i="16" s="1"/>
  <c r="S57" i="35"/>
  <c r="Q57" i="35"/>
  <c r="P57" i="35" s="1"/>
  <c r="AD70" i="35"/>
  <c r="Y70" i="35"/>
  <c r="S56" i="16"/>
  <c r="Q56" i="16"/>
  <c r="P56" i="16" s="1"/>
  <c r="AB71" i="35"/>
  <c r="Z71" i="35"/>
  <c r="Y71" i="35" s="1"/>
  <c r="BL81" i="35"/>
  <c r="BP81" i="35"/>
  <c r="BI81" i="35"/>
  <c r="AZ44" i="35"/>
  <c r="E43" i="35"/>
  <c r="AO43" i="35" s="1"/>
  <c r="AM44" i="35" s="1"/>
  <c r="AL44" i="35" s="1"/>
  <c r="C47" i="39" l="1"/>
  <c r="S58" i="35"/>
  <c r="Q58" i="35"/>
  <c r="J52" i="35"/>
  <c r="H52" i="35"/>
  <c r="G52" i="35" s="1"/>
  <c r="BL82" i="35"/>
  <c r="BP82" i="35"/>
  <c r="BI82" i="35"/>
  <c r="S57" i="16"/>
  <c r="Q57" i="16"/>
  <c r="P57" i="16" s="1"/>
  <c r="BI81" i="16"/>
  <c r="BR70" i="16"/>
  <c r="AZ45" i="35"/>
  <c r="E44" i="35"/>
  <c r="AO44" i="35" s="1"/>
  <c r="AM45" i="35" s="1"/>
  <c r="AL45" i="35" s="1"/>
  <c r="E43" i="16"/>
  <c r="AO43" i="16" s="1"/>
  <c r="AM44" i="16" s="1"/>
  <c r="AL44" i="16" s="1"/>
  <c r="BA44" i="16"/>
  <c r="J51" i="16"/>
  <c r="H51" i="16"/>
  <c r="G51" i="16" s="1"/>
  <c r="BH81" i="35"/>
  <c r="BQ70" i="35"/>
  <c r="Z72" i="35"/>
  <c r="Y72" i="35" s="1"/>
  <c r="AB72" i="35"/>
  <c r="AB73" i="16"/>
  <c r="Z73" i="16"/>
  <c r="Y73" i="16" s="1"/>
  <c r="BM82" i="16"/>
  <c r="BQ82" i="16"/>
  <c r="BJ82" i="16"/>
  <c r="F31" i="49" l="1"/>
  <c r="E32" i="49" s="1"/>
  <c r="C32" i="49" s="1"/>
  <c r="AZ46" i="35"/>
  <c r="E45" i="35"/>
  <c r="AO45" i="35" s="1"/>
  <c r="AM46" i="35" s="1"/>
  <c r="S58" i="16"/>
  <c r="Q58" i="16"/>
  <c r="BQ83" i="16"/>
  <c r="BM83" i="16"/>
  <c r="BJ83" i="16"/>
  <c r="BI83" i="16" s="1"/>
  <c r="AB73" i="35"/>
  <c r="Z73" i="35"/>
  <c r="Y73" i="35" s="1"/>
  <c r="BH82" i="35"/>
  <c r="J53" i="35"/>
  <c r="H53" i="35"/>
  <c r="G53" i="35" s="1"/>
  <c r="J52" i="16"/>
  <c r="H52" i="16"/>
  <c r="G52" i="16" s="1"/>
  <c r="P58" i="35"/>
  <c r="U58" i="35"/>
  <c r="BI82" i="16"/>
  <c r="Z74" i="16"/>
  <c r="Y74" i="16" s="1"/>
  <c r="AB74" i="16"/>
  <c r="BA45" i="16"/>
  <c r="E44" i="16"/>
  <c r="AO44" i="16" s="1"/>
  <c r="AM45" i="16" s="1"/>
  <c r="AL45" i="16" s="1"/>
  <c r="BP83" i="35"/>
  <c r="BL83" i="35"/>
  <c r="BI83" i="35"/>
  <c r="BH83" i="35" s="1"/>
  <c r="S59" i="35"/>
  <c r="Q59" i="35"/>
  <c r="P59" i="35" s="1"/>
  <c r="E45" i="16" l="1"/>
  <c r="AO45" i="16" s="1"/>
  <c r="AM46" i="16" s="1"/>
  <c r="BA46" i="16"/>
  <c r="J54" i="35"/>
  <c r="H54" i="35"/>
  <c r="G54" i="35" s="1"/>
  <c r="Z74" i="35"/>
  <c r="Y74" i="35" s="1"/>
  <c r="AB74" i="35"/>
  <c r="P58" i="16"/>
  <c r="U58" i="16"/>
  <c r="BL84" i="35"/>
  <c r="BP84" i="35"/>
  <c r="BI84" i="35"/>
  <c r="BH84" i="35" s="1"/>
  <c r="AB75" i="16"/>
  <c r="Z75" i="16"/>
  <c r="Y75" i="16" s="1"/>
  <c r="Q59" i="16"/>
  <c r="P59" i="16" s="1"/>
  <c r="S59" i="16"/>
  <c r="J53" i="16"/>
  <c r="H53" i="16"/>
  <c r="G53" i="16" s="1"/>
  <c r="BM84" i="16"/>
  <c r="BJ84" i="16"/>
  <c r="BQ84" i="16"/>
  <c r="AQ46" i="35"/>
  <c r="AL46" i="35"/>
  <c r="S60" i="35"/>
  <c r="Q60" i="35"/>
  <c r="P60" i="35" s="1"/>
  <c r="AZ47" i="35"/>
  <c r="E46" i="35"/>
  <c r="AO46" i="35" s="1"/>
  <c r="AM47" i="35" s="1"/>
  <c r="AL47" i="35" s="1"/>
  <c r="F32" i="49" l="1"/>
  <c r="E33" i="49" s="1"/>
  <c r="C33" i="49" s="1"/>
  <c r="Z75" i="35"/>
  <c r="Y75" i="35" s="1"/>
  <c r="AB75" i="35"/>
  <c r="J54" i="16"/>
  <c r="H54" i="16"/>
  <c r="G54" i="16" s="1"/>
  <c r="BL85" i="35"/>
  <c r="BP85" i="35"/>
  <c r="BI85" i="35"/>
  <c r="Q61" i="35"/>
  <c r="P61" i="35" s="1"/>
  <c r="S61" i="35"/>
  <c r="BI84" i="16"/>
  <c r="S60" i="16"/>
  <c r="Q60" i="16"/>
  <c r="P60" i="16" s="1"/>
  <c r="AB76" i="16"/>
  <c r="Z76" i="16"/>
  <c r="Y76" i="16" s="1"/>
  <c r="BA47" i="16"/>
  <c r="E46" i="16"/>
  <c r="AO46" i="16" s="1"/>
  <c r="AM47" i="16" s="1"/>
  <c r="AL47" i="16" s="1"/>
  <c r="AZ48" i="35"/>
  <c r="E47" i="35"/>
  <c r="AO47" i="35" s="1"/>
  <c r="AM48" i="35" s="1"/>
  <c r="AL48" i="35" s="1"/>
  <c r="BQ85" i="16"/>
  <c r="BJ85" i="16"/>
  <c r="BI85" i="16" s="1"/>
  <c r="BM85" i="16"/>
  <c r="J55" i="35"/>
  <c r="H55" i="35"/>
  <c r="G55" i="35" s="1"/>
  <c r="AL46" i="16"/>
  <c r="AQ46" i="16"/>
  <c r="BM86" i="16" l="1"/>
  <c r="BQ86" i="16"/>
  <c r="BJ86" i="16"/>
  <c r="BI86" i="16" s="1"/>
  <c r="E48" i="35"/>
  <c r="AO48" i="35" s="1"/>
  <c r="AM49" i="35" s="1"/>
  <c r="AL49" i="35" s="1"/>
  <c r="AZ49" i="35"/>
  <c r="AB77" i="16"/>
  <c r="Z77" i="16"/>
  <c r="Y77" i="16" s="1"/>
  <c r="S62" i="35"/>
  <c r="Q62" i="35"/>
  <c r="P62" i="35" s="1"/>
  <c r="BH85" i="35"/>
  <c r="J55" i="16"/>
  <c r="H55" i="16"/>
  <c r="G55" i="16" s="1"/>
  <c r="E47" i="16"/>
  <c r="AO47" i="16" s="1"/>
  <c r="AM48" i="16" s="1"/>
  <c r="AL48" i="16" s="1"/>
  <c r="BA48" i="16"/>
  <c r="S61" i="16"/>
  <c r="Q61" i="16"/>
  <c r="P61" i="16" s="1"/>
  <c r="Z76" i="35"/>
  <c r="Y76" i="35" s="1"/>
  <c r="AB76" i="35"/>
  <c r="H56" i="35"/>
  <c r="G56" i="35" s="1"/>
  <c r="J56" i="35"/>
  <c r="BL86" i="35"/>
  <c r="BP86" i="35"/>
  <c r="BI86" i="35"/>
  <c r="BH86" i="35" s="1"/>
  <c r="F33" i="49" l="1"/>
  <c r="E34" i="49" s="1"/>
  <c r="C34" i="49" s="1"/>
  <c r="J57" i="35"/>
  <c r="H57" i="35"/>
  <c r="G57" i="35" s="1"/>
  <c r="BL87" i="35"/>
  <c r="BI87" i="35"/>
  <c r="BH87" i="35" s="1"/>
  <c r="BP87" i="35"/>
  <c r="S62" i="16"/>
  <c r="Q62" i="16"/>
  <c r="P62" i="16" s="1"/>
  <c r="J56" i="16"/>
  <c r="H56" i="16"/>
  <c r="G56" i="16" s="1"/>
  <c r="S63" i="35"/>
  <c r="Q63" i="35"/>
  <c r="P63" i="35" s="1"/>
  <c r="AB78" i="16"/>
  <c r="Z78" i="16"/>
  <c r="Y78" i="16" s="1"/>
  <c r="Z77" i="35"/>
  <c r="Y77" i="35" s="1"/>
  <c r="AB77" i="35"/>
  <c r="BA49" i="16"/>
  <c r="E48" i="16"/>
  <c r="AO48" i="16" s="1"/>
  <c r="AM49" i="16" s="1"/>
  <c r="AL49" i="16" s="1"/>
  <c r="E49" i="35"/>
  <c r="AO49" i="35" s="1"/>
  <c r="AM50" i="35" s="1"/>
  <c r="AL50" i="35" s="1"/>
  <c r="AZ50" i="35"/>
  <c r="BQ87" i="16"/>
  <c r="BJ87" i="16"/>
  <c r="BM87" i="16"/>
  <c r="BI87" i="16" l="1"/>
  <c r="S64" i="35"/>
  <c r="Q64" i="35"/>
  <c r="P64" i="35" s="1"/>
  <c r="Q63" i="16"/>
  <c r="P63" i="16" s="1"/>
  <c r="S63" i="16"/>
  <c r="I58" i="35"/>
  <c r="H58" i="35"/>
  <c r="E50" i="35"/>
  <c r="AO50" i="35" s="1"/>
  <c r="AM51" i="35" s="1"/>
  <c r="AL51" i="35" s="1"/>
  <c r="AZ51" i="35"/>
  <c r="E49" i="16"/>
  <c r="AO49" i="16" s="1"/>
  <c r="AM50" i="16" s="1"/>
  <c r="AL50" i="16" s="1"/>
  <c r="BA50" i="16"/>
  <c r="AB79" i="16"/>
  <c r="Z79" i="16"/>
  <c r="Y79" i="16" s="1"/>
  <c r="J57" i="16"/>
  <c r="H57" i="16"/>
  <c r="G57" i="16" s="1"/>
  <c r="BM88" i="16"/>
  <c r="BJ88" i="16"/>
  <c r="BI88" i="16" s="1"/>
  <c r="BQ88" i="16"/>
  <c r="AB78" i="35"/>
  <c r="Z78" i="35"/>
  <c r="Y78" i="35" s="1"/>
  <c r="BL88" i="35"/>
  <c r="BP88" i="35"/>
  <c r="BI88" i="35"/>
  <c r="F34" i="49" l="1"/>
  <c r="E35" i="49" s="1"/>
  <c r="C35" i="49" s="1"/>
  <c r="BQ89" i="16"/>
  <c r="BJ89" i="16"/>
  <c r="BI89" i="16" s="1"/>
  <c r="BM89" i="16"/>
  <c r="H58" i="16"/>
  <c r="I58" i="16"/>
  <c r="I178" i="35"/>
  <c r="M58" i="35"/>
  <c r="BH88" i="35"/>
  <c r="AB79" i="35"/>
  <c r="Z79" i="35"/>
  <c r="Y79" i="35" s="1"/>
  <c r="E51" i="35"/>
  <c r="AO51" i="35" s="1"/>
  <c r="AM52" i="35" s="1"/>
  <c r="AL52" i="35" s="1"/>
  <c r="AZ52" i="35"/>
  <c r="J58" i="35"/>
  <c r="Q65" i="35"/>
  <c r="P65" i="35" s="1"/>
  <c r="S65" i="35"/>
  <c r="AB80" i="16"/>
  <c r="Z80" i="16"/>
  <c r="Y80" i="16" s="1"/>
  <c r="S64" i="16"/>
  <c r="Q64" i="16"/>
  <c r="P64" i="16" s="1"/>
  <c r="BL89" i="35"/>
  <c r="BP89" i="35"/>
  <c r="BI89" i="35"/>
  <c r="BH89" i="35" s="1"/>
  <c r="E50" i="16"/>
  <c r="AO50" i="16" s="1"/>
  <c r="AM51" i="16" s="1"/>
  <c r="AL51" i="16" s="1"/>
  <c r="BA51" i="16"/>
  <c r="L58" i="35"/>
  <c r="AH58" i="35" s="1"/>
  <c r="G58" i="35"/>
  <c r="AB81" i="16" l="1"/>
  <c r="Z81" i="16"/>
  <c r="Y81" i="16" s="1"/>
  <c r="AI58" i="35"/>
  <c r="AI178" i="35" s="1"/>
  <c r="M178" i="35"/>
  <c r="L58" i="16"/>
  <c r="AH58" i="16" s="1"/>
  <c r="G58" i="16"/>
  <c r="I59" i="35"/>
  <c r="J59" i="35" s="1"/>
  <c r="H59" i="35"/>
  <c r="G59" i="35" s="1"/>
  <c r="AB80" i="35"/>
  <c r="Z80" i="35"/>
  <c r="Y80" i="35" s="1"/>
  <c r="BM90" i="16"/>
  <c r="BQ90" i="16"/>
  <c r="BJ90" i="16"/>
  <c r="BI90" i="16" s="1"/>
  <c r="S65" i="16"/>
  <c r="Q65" i="16"/>
  <c r="P65" i="16" s="1"/>
  <c r="E52" i="35"/>
  <c r="AO52" i="35" s="1"/>
  <c r="AM53" i="35" s="1"/>
  <c r="AL53" i="35" s="1"/>
  <c r="AZ53" i="35"/>
  <c r="I202" i="16"/>
  <c r="M58" i="16"/>
  <c r="E51" i="16"/>
  <c r="AO51" i="16" s="1"/>
  <c r="AM52" i="16" s="1"/>
  <c r="AL52" i="16" s="1"/>
  <c r="BA52" i="16"/>
  <c r="BP90" i="35"/>
  <c r="BI90" i="35"/>
  <c r="BH90" i="35" s="1"/>
  <c r="BL90" i="35"/>
  <c r="S66" i="35"/>
  <c r="Q66" i="35"/>
  <c r="P66" i="35" s="1"/>
  <c r="J58" i="16"/>
  <c r="F35" i="49" l="1"/>
  <c r="E36" i="49" s="1"/>
  <c r="C36" i="49" s="1"/>
  <c r="I60" i="35"/>
  <c r="J60" i="35" s="1"/>
  <c r="H60" i="35"/>
  <c r="G60" i="35" s="1"/>
  <c r="S67" i="35"/>
  <c r="Q67" i="35"/>
  <c r="P67" i="35" s="1"/>
  <c r="E52" i="16"/>
  <c r="AO52" i="16" s="1"/>
  <c r="AM53" i="16" s="1"/>
  <c r="AL53" i="16" s="1"/>
  <c r="BA53" i="16"/>
  <c r="E53" i="35"/>
  <c r="AO53" i="35" s="1"/>
  <c r="AM54" i="35" s="1"/>
  <c r="AL54" i="35" s="1"/>
  <c r="AZ54" i="35"/>
  <c r="Z81" i="35"/>
  <c r="Y81" i="35" s="1"/>
  <c r="AB81" i="35"/>
  <c r="I59" i="16"/>
  <c r="J59" i="16" s="1"/>
  <c r="H59" i="16"/>
  <c r="G59" i="16" s="1"/>
  <c r="AI58" i="16"/>
  <c r="AI202" i="16" s="1"/>
  <c r="M202" i="16"/>
  <c r="BM91" i="16"/>
  <c r="BJ91" i="16"/>
  <c r="BI91" i="16" s="1"/>
  <c r="BQ91" i="16"/>
  <c r="BL91" i="35"/>
  <c r="BP91" i="35"/>
  <c r="BI91" i="35"/>
  <c r="BH91" i="35" s="1"/>
  <c r="S66" i="16"/>
  <c r="Q66" i="16"/>
  <c r="P66" i="16" s="1"/>
  <c r="Z82" i="16"/>
  <c r="AA82" i="16"/>
  <c r="AB82" i="16" s="1"/>
  <c r="F36" i="49" l="1"/>
  <c r="E37" i="49" s="1"/>
  <c r="C37" i="49" s="1"/>
  <c r="AA83" i="16"/>
  <c r="AB83" i="16" s="1"/>
  <c r="Z83" i="16"/>
  <c r="Y83" i="16" s="1"/>
  <c r="H60" i="16"/>
  <c r="G60" i="16" s="1"/>
  <c r="I60" i="16"/>
  <c r="J60" i="16" s="1"/>
  <c r="I61" i="35"/>
  <c r="J61" i="35" s="1"/>
  <c r="H61" i="35"/>
  <c r="G61" i="35" s="1"/>
  <c r="AD82" i="16"/>
  <c r="Y82" i="16"/>
  <c r="S68" i="35"/>
  <c r="Q68" i="35"/>
  <c r="P68" i="35" s="1"/>
  <c r="BM92" i="16"/>
  <c r="BQ92" i="16"/>
  <c r="BJ92" i="16"/>
  <c r="BI92" i="16" s="1"/>
  <c r="AA82" i="35"/>
  <c r="Z82" i="35"/>
  <c r="BA54" i="16"/>
  <c r="E53" i="16"/>
  <c r="AO53" i="16" s="1"/>
  <c r="AM54" i="16" s="1"/>
  <c r="AL54" i="16" s="1"/>
  <c r="BL92" i="35"/>
  <c r="BP92" i="35"/>
  <c r="BI92" i="35"/>
  <c r="BH92" i="35" s="1"/>
  <c r="AA202" i="16"/>
  <c r="AE82" i="16"/>
  <c r="AE202" i="16" s="1"/>
  <c r="Q67" i="16"/>
  <c r="P67" i="16" s="1"/>
  <c r="S67" i="16"/>
  <c r="E54" i="35"/>
  <c r="AO54" i="35" s="1"/>
  <c r="AM55" i="35" s="1"/>
  <c r="AL55" i="35" s="1"/>
  <c r="AZ55" i="35"/>
  <c r="F37" i="49" l="1"/>
  <c r="E38" i="49" s="1"/>
  <c r="C38" i="49" s="1"/>
  <c r="H62" i="35"/>
  <c r="G62" i="35" s="1"/>
  <c r="I62" i="35"/>
  <c r="J62" i="35" s="1"/>
  <c r="I61" i="16"/>
  <c r="J61" i="16" s="1"/>
  <c r="H61" i="16"/>
  <c r="G61" i="16" s="1"/>
  <c r="BD56" i="35"/>
  <c r="E55" i="35"/>
  <c r="AO55" i="35" s="1"/>
  <c r="AM56" i="35" s="1"/>
  <c r="AL56" i="35" s="1"/>
  <c r="AZ56" i="35"/>
  <c r="BL93" i="35"/>
  <c r="BP93" i="35"/>
  <c r="BI93" i="35"/>
  <c r="AA178" i="35"/>
  <c r="AE82" i="35"/>
  <c r="AE178" i="35" s="1"/>
  <c r="BM93" i="16"/>
  <c r="BQ93" i="16"/>
  <c r="BJ93" i="16"/>
  <c r="O75" i="9" s="1"/>
  <c r="AB82" i="35"/>
  <c r="AA84" i="16"/>
  <c r="AB84" i="16" s="1"/>
  <c r="Z84" i="16"/>
  <c r="Y84" i="16" s="1"/>
  <c r="BA55" i="16"/>
  <c r="E54" i="16"/>
  <c r="AO54" i="16" s="1"/>
  <c r="AM55" i="16" s="1"/>
  <c r="AL55" i="16" s="1"/>
  <c r="Q69" i="35"/>
  <c r="P69" i="35" s="1"/>
  <c r="S69" i="35"/>
  <c r="S68" i="16"/>
  <c r="Q68" i="16"/>
  <c r="P68" i="16" s="1"/>
  <c r="AD82" i="35"/>
  <c r="Y82" i="35"/>
  <c r="F38" i="49" l="1"/>
  <c r="E39" i="49" s="1"/>
  <c r="C39" i="49" s="1"/>
  <c r="D47" i="39"/>
  <c r="I62" i="16"/>
  <c r="J62" i="16" s="1"/>
  <c r="H62" i="16"/>
  <c r="G62" i="16" s="1"/>
  <c r="I63" i="35"/>
  <c r="J63" i="35" s="1"/>
  <c r="H63" i="35"/>
  <c r="G63" i="35" s="1"/>
  <c r="R70" i="35"/>
  <c r="Q70" i="35"/>
  <c r="S69" i="16"/>
  <c r="Q69" i="16"/>
  <c r="P69" i="16" s="1"/>
  <c r="BA56" i="16"/>
  <c r="BE56" i="16"/>
  <c r="E55" i="16"/>
  <c r="AO55" i="16" s="1"/>
  <c r="AM56" i="16" s="1"/>
  <c r="AL56" i="16" s="1"/>
  <c r="AA83" i="35"/>
  <c r="AB83" i="35" s="1"/>
  <c r="Z83" i="35"/>
  <c r="Y83" i="35" s="1"/>
  <c r="BH93" i="35"/>
  <c r="BQ82" i="35"/>
  <c r="Z85" i="16"/>
  <c r="Y85" i="16" s="1"/>
  <c r="AA85" i="16"/>
  <c r="AB85" i="16" s="1"/>
  <c r="BQ94" i="16"/>
  <c r="BJ94" i="16"/>
  <c r="BM94" i="16"/>
  <c r="BL94" i="35"/>
  <c r="BI94" i="35"/>
  <c r="BP94" i="35"/>
  <c r="BI93" i="16"/>
  <c r="BR82" i="16"/>
  <c r="AZ57" i="35"/>
  <c r="BD57" i="35"/>
  <c r="E56" i="35"/>
  <c r="AO56" i="35" s="1"/>
  <c r="AM57" i="35" s="1"/>
  <c r="AL57" i="35" s="1"/>
  <c r="F39" i="49" l="1"/>
  <c r="E40" i="49" s="1"/>
  <c r="C40" i="49" s="1"/>
  <c r="AA86" i="16"/>
  <c r="AB86" i="16" s="1"/>
  <c r="Z86" i="16"/>
  <c r="Y86" i="16" s="1"/>
  <c r="I63" i="16"/>
  <c r="J63" i="16" s="1"/>
  <c r="H63" i="16"/>
  <c r="G63" i="16" s="1"/>
  <c r="BE57" i="16"/>
  <c r="E56" i="16"/>
  <c r="AO56" i="16" s="1"/>
  <c r="AM57" i="16" s="1"/>
  <c r="AL57" i="16" s="1"/>
  <c r="BA57" i="16"/>
  <c r="U70" i="35"/>
  <c r="P70" i="35"/>
  <c r="I64" i="35"/>
  <c r="J64" i="35" s="1"/>
  <c r="H64" i="35"/>
  <c r="G64" i="35" s="1"/>
  <c r="BQ95" i="16"/>
  <c r="BJ95" i="16"/>
  <c r="BI95" i="16" s="1"/>
  <c r="BM95" i="16"/>
  <c r="AA84" i="35"/>
  <c r="AB84" i="35" s="1"/>
  <c r="Z84" i="35"/>
  <c r="Y84" i="35" s="1"/>
  <c r="R178" i="35"/>
  <c r="V70" i="35"/>
  <c r="V178" i="35" s="1"/>
  <c r="BD58" i="35"/>
  <c r="E57" i="35"/>
  <c r="AO57" i="35" s="1"/>
  <c r="AZ58" i="35"/>
  <c r="BH94" i="35"/>
  <c r="BI94" i="16"/>
  <c r="R70" i="16"/>
  <c r="S70" i="16" s="1"/>
  <c r="Q70" i="16"/>
  <c r="BL95" i="35"/>
  <c r="BP95" i="35"/>
  <c r="BI95" i="35"/>
  <c r="BH95" i="35" s="1"/>
  <c r="S70" i="35"/>
  <c r="I65" i="35" l="1"/>
  <c r="H65" i="35"/>
  <c r="G65" i="35" s="1"/>
  <c r="J65" i="35"/>
  <c r="H64" i="16"/>
  <c r="G64" i="16" s="1"/>
  <c r="I64" i="16"/>
  <c r="J64" i="16" s="1"/>
  <c r="R71" i="16"/>
  <c r="S71" i="16" s="1"/>
  <c r="Q71" i="16"/>
  <c r="P71" i="16" s="1"/>
  <c r="AA85" i="35"/>
  <c r="AB85" i="35" s="1"/>
  <c r="Z85" i="35"/>
  <c r="Y85" i="35" s="1"/>
  <c r="BL96" i="35"/>
  <c r="BP96" i="35"/>
  <c r="BI96" i="35"/>
  <c r="BH96" i="35" s="1"/>
  <c r="AZ59" i="35"/>
  <c r="E58" i="35"/>
  <c r="BD59" i="35"/>
  <c r="BM96" i="16"/>
  <c r="BQ96" i="16"/>
  <c r="BJ96" i="16"/>
  <c r="BA58" i="16"/>
  <c r="BE58" i="16"/>
  <c r="E57" i="16"/>
  <c r="AO57" i="16" s="1"/>
  <c r="R202" i="16"/>
  <c r="V70" i="16"/>
  <c r="V202" i="16" s="1"/>
  <c r="Z87" i="16"/>
  <c r="Y87" i="16" s="1"/>
  <c r="AA87" i="16"/>
  <c r="AB87" i="16" s="1"/>
  <c r="R71" i="35"/>
  <c r="S71" i="35" s="1"/>
  <c r="Q71" i="35"/>
  <c r="P71" i="35" s="1"/>
  <c r="U70" i="16"/>
  <c r="P70" i="16"/>
  <c r="AM58" i="35"/>
  <c r="AO58" i="35"/>
  <c r="F40" i="49" l="1"/>
  <c r="E41" i="49" s="1"/>
  <c r="C41" i="49" s="1"/>
  <c r="AA88" i="16"/>
  <c r="AB88" i="16" s="1"/>
  <c r="Z88" i="16"/>
  <c r="Y88" i="16" s="1"/>
  <c r="I65" i="16"/>
  <c r="J65" i="16" s="1"/>
  <c r="H65" i="16"/>
  <c r="G65" i="16" s="1"/>
  <c r="AQ58" i="35"/>
  <c r="AL58" i="35"/>
  <c r="BQ97" i="16"/>
  <c r="BM97" i="16"/>
  <c r="BJ97" i="16"/>
  <c r="BI97" i="16" s="1"/>
  <c r="AA86" i="35"/>
  <c r="AB86" i="35" s="1"/>
  <c r="Z86" i="35"/>
  <c r="Y86" i="35" s="1"/>
  <c r="Q72" i="16"/>
  <c r="P72" i="16" s="1"/>
  <c r="R72" i="16"/>
  <c r="S72" i="16" s="1"/>
  <c r="BE59" i="16"/>
  <c r="BA59" i="16"/>
  <c r="E58" i="16"/>
  <c r="H66" i="35"/>
  <c r="G66" i="35" s="1"/>
  <c r="I66" i="35"/>
  <c r="J66" i="35" s="1"/>
  <c r="BI96" i="16"/>
  <c r="BL97" i="35"/>
  <c r="BI97" i="35"/>
  <c r="BH97" i="35" s="1"/>
  <c r="BP97" i="35"/>
  <c r="R72" i="35"/>
  <c r="S72" i="35" s="1"/>
  <c r="Q72" i="35"/>
  <c r="P72" i="35" s="1"/>
  <c r="AM59" i="35"/>
  <c r="AL59" i="35" s="1"/>
  <c r="AO59" i="35"/>
  <c r="AM58" i="16"/>
  <c r="AO58" i="16"/>
  <c r="AZ60" i="35"/>
  <c r="BD60" i="35"/>
  <c r="E59" i="35"/>
  <c r="R73" i="16" l="1"/>
  <c r="S73" i="16" s="1"/>
  <c r="Q73" i="16"/>
  <c r="P73" i="16" s="1"/>
  <c r="I67" i="35"/>
  <c r="J67" i="35" s="1"/>
  <c r="H67" i="35"/>
  <c r="G67" i="35" s="1"/>
  <c r="Z89" i="16"/>
  <c r="Y89" i="16" s="1"/>
  <c r="AA89" i="16"/>
  <c r="AB89" i="16" s="1"/>
  <c r="AM60" i="35"/>
  <c r="AL60" i="35" s="1"/>
  <c r="AO60" i="35"/>
  <c r="BE60" i="16"/>
  <c r="E59" i="16"/>
  <c r="BA60" i="16"/>
  <c r="BD61" i="35"/>
  <c r="E60" i="35"/>
  <c r="AZ61" i="35"/>
  <c r="AA87" i="35"/>
  <c r="AB87" i="35" s="1"/>
  <c r="Z87" i="35"/>
  <c r="Y87" i="35" s="1"/>
  <c r="BM98" i="16"/>
  <c r="BQ98" i="16"/>
  <c r="BJ98" i="16"/>
  <c r="AM59" i="16"/>
  <c r="AL59" i="16" s="1"/>
  <c r="AO59" i="16"/>
  <c r="R73" i="35"/>
  <c r="S73" i="35" s="1"/>
  <c r="Q73" i="35"/>
  <c r="P73" i="35" s="1"/>
  <c r="F41" i="49"/>
  <c r="E42" i="49" s="1"/>
  <c r="C42" i="49" s="1"/>
  <c r="AQ58" i="16"/>
  <c r="AL58" i="16"/>
  <c r="BP98" i="35"/>
  <c r="BI98" i="35"/>
  <c r="BL98" i="35"/>
  <c r="I66" i="16"/>
  <c r="J66" i="16" s="1"/>
  <c r="H66" i="16"/>
  <c r="G66" i="16" s="1"/>
  <c r="R74" i="35" l="1"/>
  <c r="Q74" i="35"/>
  <c r="P74" i="35" s="1"/>
  <c r="S74" i="35"/>
  <c r="AA88" i="35"/>
  <c r="AB88" i="35" s="1"/>
  <c r="Z88" i="35"/>
  <c r="Y88" i="35" s="1"/>
  <c r="Q74" i="16"/>
  <c r="P74" i="16" s="1"/>
  <c r="R74" i="16"/>
  <c r="S74" i="16" s="1"/>
  <c r="AA90" i="16"/>
  <c r="AB90" i="16" s="1"/>
  <c r="Z90" i="16"/>
  <c r="Y90" i="16" s="1"/>
  <c r="I68" i="35"/>
  <c r="J68" i="35" s="1"/>
  <c r="H68" i="35"/>
  <c r="G68" i="35" s="1"/>
  <c r="I67" i="16"/>
  <c r="J67" i="16" s="1"/>
  <c r="H67" i="16"/>
  <c r="G67" i="16" s="1"/>
  <c r="BI98" i="16"/>
  <c r="AM61" i="35"/>
  <c r="AL61" i="35" s="1"/>
  <c r="AO61" i="35"/>
  <c r="BP99" i="35"/>
  <c r="BI99" i="35"/>
  <c r="BH99" i="35" s="1"/>
  <c r="BL99" i="35"/>
  <c r="BA61" i="16"/>
  <c r="BE61" i="16"/>
  <c r="E60" i="16"/>
  <c r="BH98" i="35"/>
  <c r="AM60" i="16"/>
  <c r="AL60" i="16" s="1"/>
  <c r="AO60" i="16"/>
  <c r="BM99" i="16"/>
  <c r="BJ99" i="16"/>
  <c r="BI99" i="16" s="1"/>
  <c r="BQ99" i="16"/>
  <c r="BD62" i="35"/>
  <c r="E61" i="35"/>
  <c r="AZ62" i="35"/>
  <c r="R75" i="16" l="1"/>
  <c r="S75" i="16" s="1"/>
  <c r="Q75" i="16"/>
  <c r="P75" i="16" s="1"/>
  <c r="I69" i="35"/>
  <c r="J69" i="35" s="1"/>
  <c r="H69" i="35"/>
  <c r="G69" i="35" s="1"/>
  <c r="H68" i="16"/>
  <c r="G68" i="16" s="1"/>
  <c r="I68" i="16"/>
  <c r="J68" i="16" s="1"/>
  <c r="AA91" i="16"/>
  <c r="AB91" i="16" s="1"/>
  <c r="Z91" i="16"/>
  <c r="Y91" i="16" s="1"/>
  <c r="AZ63" i="35"/>
  <c r="E62" i="35"/>
  <c r="BD63" i="35"/>
  <c r="R75" i="35"/>
  <c r="S75" i="35" s="1"/>
  <c r="Q75" i="35"/>
  <c r="P75" i="35" s="1"/>
  <c r="BQ100" i="16"/>
  <c r="BJ100" i="16"/>
  <c r="BI100" i="16" s="1"/>
  <c r="BM100" i="16"/>
  <c r="AM61" i="16"/>
  <c r="AL61" i="16" s="1"/>
  <c r="AO61" i="16"/>
  <c r="BA62" i="16"/>
  <c r="BE62" i="16"/>
  <c r="E61" i="16"/>
  <c r="AM62" i="35"/>
  <c r="AL62" i="35" s="1"/>
  <c r="AO62" i="35"/>
  <c r="AA89" i="35"/>
  <c r="AB89" i="35" s="1"/>
  <c r="Z89" i="35"/>
  <c r="Y89" i="35" s="1"/>
  <c r="BL100" i="35"/>
  <c r="BP100" i="35"/>
  <c r="BI100" i="35"/>
  <c r="F42" i="49" l="1"/>
  <c r="E43" i="49" s="1"/>
  <c r="C43" i="49" s="1"/>
  <c r="F49" i="39"/>
  <c r="AA90" i="35"/>
  <c r="Z90" i="35"/>
  <c r="Y90" i="35" s="1"/>
  <c r="AB90" i="35"/>
  <c r="AA92" i="16"/>
  <c r="AB92" i="16" s="1"/>
  <c r="Z92" i="16"/>
  <c r="Y92" i="16" s="1"/>
  <c r="Q76" i="16"/>
  <c r="P76" i="16" s="1"/>
  <c r="R76" i="16"/>
  <c r="S76" i="16" s="1"/>
  <c r="BM101" i="16"/>
  <c r="BQ101" i="16"/>
  <c r="BJ101" i="16"/>
  <c r="BI101" i="16" s="1"/>
  <c r="I69" i="16"/>
  <c r="J69" i="16" s="1"/>
  <c r="H69" i="16"/>
  <c r="G69" i="16" s="1"/>
  <c r="BL101" i="35"/>
  <c r="BP101" i="35"/>
  <c r="BI101" i="35"/>
  <c r="BH101" i="35" s="1"/>
  <c r="AM63" i="35"/>
  <c r="AL63" i="35" s="1"/>
  <c r="AO63" i="35"/>
  <c r="BE63" i="16"/>
  <c r="E62" i="16"/>
  <c r="BA63" i="16"/>
  <c r="BH100" i="35"/>
  <c r="AM62" i="16"/>
  <c r="AL62" i="16" s="1"/>
  <c r="AO62" i="16"/>
  <c r="H70" i="35"/>
  <c r="I70" i="35"/>
  <c r="M70" i="35" s="1"/>
  <c r="AI70" i="35" s="1"/>
  <c r="R76" i="35"/>
  <c r="S76" i="35" s="1"/>
  <c r="Q76" i="35"/>
  <c r="P76" i="35" s="1"/>
  <c r="AZ64" i="35"/>
  <c r="BD64" i="35"/>
  <c r="E63" i="35"/>
  <c r="I70" i="16" l="1"/>
  <c r="M70" i="16" s="1"/>
  <c r="AI70" i="16" s="1"/>
  <c r="H70" i="16"/>
  <c r="R77" i="35"/>
  <c r="S77" i="35" s="1"/>
  <c r="Q77" i="35"/>
  <c r="P77" i="35" s="1"/>
  <c r="J70" i="35"/>
  <c r="R77" i="16"/>
  <c r="S77" i="16" s="1"/>
  <c r="Q77" i="16"/>
  <c r="P77" i="16" s="1"/>
  <c r="L70" i="35"/>
  <c r="AH70" i="35" s="1"/>
  <c r="G70" i="35"/>
  <c r="AA91" i="35"/>
  <c r="AB91" i="35" s="1"/>
  <c r="Z91" i="35"/>
  <c r="Y91" i="35" s="1"/>
  <c r="BD65" i="35"/>
  <c r="E64" i="35"/>
  <c r="AZ65" i="35"/>
  <c r="AM64" i="35"/>
  <c r="AL64" i="35" s="1"/>
  <c r="AO64" i="35"/>
  <c r="BL102" i="35"/>
  <c r="BP102" i="35"/>
  <c r="BI102" i="35"/>
  <c r="BH102" i="35" s="1"/>
  <c r="BM102" i="16"/>
  <c r="BJ102" i="16"/>
  <c r="BI102" i="16" s="1"/>
  <c r="BQ102" i="16"/>
  <c r="AA93" i="16"/>
  <c r="AB93" i="16" s="1"/>
  <c r="Z93" i="16"/>
  <c r="Y93" i="16" s="1"/>
  <c r="AM63" i="16"/>
  <c r="AL63" i="16" s="1"/>
  <c r="AO63" i="16"/>
  <c r="BE64" i="16"/>
  <c r="E63" i="16"/>
  <c r="BA64" i="16"/>
  <c r="F43" i="49" l="1"/>
  <c r="E44" i="49" s="1"/>
  <c r="C44" i="49" s="1"/>
  <c r="AA92" i="35"/>
  <c r="AB92" i="35" s="1"/>
  <c r="Z92" i="35"/>
  <c r="Y92" i="35" s="1"/>
  <c r="Z94" i="16"/>
  <c r="AA94" i="16"/>
  <c r="AE94" i="16" s="1"/>
  <c r="BA65" i="16"/>
  <c r="BE65" i="16"/>
  <c r="E64" i="16"/>
  <c r="AM65" i="35"/>
  <c r="AL65" i="35" s="1"/>
  <c r="AO65" i="35"/>
  <c r="Q78" i="16"/>
  <c r="P78" i="16" s="1"/>
  <c r="R78" i="16"/>
  <c r="S78" i="16" s="1"/>
  <c r="H71" i="35"/>
  <c r="G71" i="35" s="1"/>
  <c r="I71" i="35"/>
  <c r="J71" i="35" s="1"/>
  <c r="L70" i="16"/>
  <c r="AH70" i="16" s="1"/>
  <c r="G70" i="16"/>
  <c r="BM103" i="16"/>
  <c r="BQ103" i="16"/>
  <c r="BJ103" i="16"/>
  <c r="BD66" i="35"/>
  <c r="E65" i="35"/>
  <c r="AZ66" i="35"/>
  <c r="Q78" i="35"/>
  <c r="P78" i="35" s="1"/>
  <c r="R78" i="35"/>
  <c r="S78" i="35" s="1"/>
  <c r="AM64" i="16"/>
  <c r="AL64" i="16" s="1"/>
  <c r="AO64" i="16"/>
  <c r="BL103" i="35"/>
  <c r="BP103" i="35"/>
  <c r="BI103" i="35"/>
  <c r="BH103" i="35" s="1"/>
  <c r="J70" i="16"/>
  <c r="BI103" i="16" l="1"/>
  <c r="R79" i="16"/>
  <c r="S79" i="16" s="1"/>
  <c r="Q79" i="16"/>
  <c r="P79" i="16" s="1"/>
  <c r="I72" i="35"/>
  <c r="J72" i="35" s="1"/>
  <c r="H72" i="35"/>
  <c r="G72" i="35" s="1"/>
  <c r="AA93" i="35"/>
  <c r="AB93" i="35" s="1"/>
  <c r="Z93" i="35"/>
  <c r="Y93" i="35" s="1"/>
  <c r="I71" i="16"/>
  <c r="J71" i="16" s="1"/>
  <c r="H71" i="16"/>
  <c r="G71" i="16" s="1"/>
  <c r="BQ104" i="16"/>
  <c r="BM104" i="16"/>
  <c r="BJ104" i="16"/>
  <c r="BI104" i="16" s="1"/>
  <c r="AD94" i="16"/>
  <c r="Y94" i="16"/>
  <c r="R79" i="35"/>
  <c r="S79" i="35" s="1"/>
  <c r="Q79" i="35"/>
  <c r="P79" i="35" s="1"/>
  <c r="AM66" i="35"/>
  <c r="AL66" i="35" s="1"/>
  <c r="AO66" i="35"/>
  <c r="BA66" i="16"/>
  <c r="BE66" i="16"/>
  <c r="E65" i="16"/>
  <c r="AM65" i="16"/>
  <c r="AL65" i="16" s="1"/>
  <c r="AO65" i="16"/>
  <c r="BP104" i="35"/>
  <c r="BI104" i="35"/>
  <c r="BH104" i="35" s="1"/>
  <c r="BL104" i="35"/>
  <c r="AZ67" i="35"/>
  <c r="E66" i="35"/>
  <c r="BD67" i="35"/>
  <c r="AB94" i="16"/>
  <c r="F44" i="49" l="1"/>
  <c r="E45" i="49" s="1"/>
  <c r="C45" i="49" s="1"/>
  <c r="R80" i="35"/>
  <c r="S80" i="35" s="1"/>
  <c r="Q80" i="35"/>
  <c r="P80" i="35" s="1"/>
  <c r="I72" i="16"/>
  <c r="J72" i="16" s="1"/>
  <c r="H72" i="16"/>
  <c r="G72" i="16" s="1"/>
  <c r="Z94" i="35"/>
  <c r="AA94" i="35"/>
  <c r="AE94" i="35" s="1"/>
  <c r="R80" i="16"/>
  <c r="S80" i="16" s="1"/>
  <c r="Q80" i="16"/>
  <c r="P80" i="16" s="1"/>
  <c r="H73" i="35"/>
  <c r="G73" i="35" s="1"/>
  <c r="I73" i="35"/>
  <c r="J73" i="35" s="1"/>
  <c r="BQ105" i="16"/>
  <c r="BJ105" i="16"/>
  <c r="P75" i="9" s="1"/>
  <c r="BM105" i="16"/>
  <c r="AM66" i="16"/>
  <c r="AL66" i="16" s="1"/>
  <c r="AO66" i="16"/>
  <c r="BE67" i="16"/>
  <c r="E66" i="16"/>
  <c r="BA67" i="16"/>
  <c r="AZ68" i="35"/>
  <c r="BD68" i="35"/>
  <c r="E67" i="35"/>
  <c r="Z95" i="16"/>
  <c r="Y95" i="16" s="1"/>
  <c r="AA95" i="16"/>
  <c r="AB95" i="16" s="1"/>
  <c r="BP105" i="35"/>
  <c r="BI105" i="35"/>
  <c r="BL105" i="35"/>
  <c r="AM67" i="35"/>
  <c r="AL67" i="35" s="1"/>
  <c r="AO67" i="35"/>
  <c r="E47" i="39" l="1"/>
  <c r="AB94" i="35"/>
  <c r="Q81" i="16"/>
  <c r="P81" i="16" s="1"/>
  <c r="R81" i="16"/>
  <c r="S81" i="16" s="1"/>
  <c r="I73" i="16"/>
  <c r="J73" i="16" s="1"/>
  <c r="H73" i="16"/>
  <c r="G73" i="16" s="1"/>
  <c r="I74" i="35"/>
  <c r="J74" i="35" s="1"/>
  <c r="H74" i="35"/>
  <c r="G74" i="35" s="1"/>
  <c r="AA96" i="16"/>
  <c r="AB96" i="16" s="1"/>
  <c r="Z96" i="16"/>
  <c r="Y96" i="16" s="1"/>
  <c r="R81" i="35"/>
  <c r="S81" i="35" s="1"/>
  <c r="Q81" i="35"/>
  <c r="P81" i="35" s="1"/>
  <c r="AM68" i="35"/>
  <c r="AL68" i="35" s="1"/>
  <c r="AO68" i="35"/>
  <c r="BM106" i="16"/>
  <c r="BJ106" i="16"/>
  <c r="BQ106" i="16"/>
  <c r="AA95" i="35"/>
  <c r="AB95" i="35" s="1"/>
  <c r="Z95" i="35"/>
  <c r="Y95" i="35" s="1"/>
  <c r="BI105" i="16"/>
  <c r="BR94" i="16"/>
  <c r="AD94" i="35"/>
  <c r="Y94" i="35"/>
  <c r="BL106" i="35"/>
  <c r="BP106" i="35"/>
  <c r="BI106" i="35"/>
  <c r="BD69" i="35"/>
  <c r="E68" i="35"/>
  <c r="AZ69" i="35"/>
  <c r="AM67" i="16"/>
  <c r="AL67" i="16" s="1"/>
  <c r="AO67" i="16"/>
  <c r="BH105" i="35"/>
  <c r="BQ94" i="35"/>
  <c r="BE68" i="16"/>
  <c r="E67" i="16"/>
  <c r="BA68" i="16"/>
  <c r="F45" i="49" l="1"/>
  <c r="E46" i="49" s="1"/>
  <c r="C46" i="49" s="1"/>
  <c r="AA97" i="16"/>
  <c r="AB97" i="16" s="1"/>
  <c r="Z97" i="16"/>
  <c r="Y97" i="16" s="1"/>
  <c r="AA96" i="35"/>
  <c r="AB96" i="35" s="1"/>
  <c r="Z96" i="35"/>
  <c r="Y96" i="35" s="1"/>
  <c r="I75" i="35"/>
  <c r="J75" i="35" s="1"/>
  <c r="H75" i="35"/>
  <c r="G75" i="35" s="1"/>
  <c r="R82" i="16"/>
  <c r="V82" i="16" s="1"/>
  <c r="Q82" i="16"/>
  <c r="BH106" i="35"/>
  <c r="E69" i="35"/>
  <c r="BD70" i="35"/>
  <c r="AZ70" i="35"/>
  <c r="BI106" i="16"/>
  <c r="R82" i="35"/>
  <c r="V82" i="35" s="1"/>
  <c r="Q82" i="35"/>
  <c r="BP107" i="35"/>
  <c r="BI107" i="35"/>
  <c r="BH107" i="35" s="1"/>
  <c r="BL107" i="35"/>
  <c r="BM107" i="16"/>
  <c r="BQ107" i="16"/>
  <c r="BJ107" i="16"/>
  <c r="BI107" i="16" s="1"/>
  <c r="I74" i="16"/>
  <c r="J74" i="16" s="1"/>
  <c r="H74" i="16"/>
  <c r="G74" i="16" s="1"/>
  <c r="BA69" i="16"/>
  <c r="BE69" i="16"/>
  <c r="E68" i="16"/>
  <c r="AM68" i="16"/>
  <c r="AL68" i="16" s="1"/>
  <c r="AO68" i="16"/>
  <c r="AM69" i="35"/>
  <c r="AL69" i="35" s="1"/>
  <c r="AO69" i="35"/>
  <c r="Z97" i="35" l="1"/>
  <c r="Y97" i="35" s="1"/>
  <c r="AA97" i="35"/>
  <c r="AB97" i="35" s="1"/>
  <c r="I75" i="16"/>
  <c r="J75" i="16" s="1"/>
  <c r="H75" i="16"/>
  <c r="G75" i="16" s="1"/>
  <c r="I76" i="35"/>
  <c r="J76" i="35" s="1"/>
  <c r="H76" i="35"/>
  <c r="G76" i="35" s="1"/>
  <c r="AA98" i="16"/>
  <c r="AB98" i="16" s="1"/>
  <c r="Z98" i="16"/>
  <c r="Y98" i="16" s="1"/>
  <c r="AM70" i="35"/>
  <c r="AO70" i="35"/>
  <c r="AM69" i="16"/>
  <c r="AL69" i="16" s="1"/>
  <c r="AO69" i="16"/>
  <c r="BE70" i="16"/>
  <c r="BA70" i="16"/>
  <c r="E69" i="16"/>
  <c r="S82" i="35"/>
  <c r="P82" i="16"/>
  <c r="U82" i="16"/>
  <c r="BM108" i="16"/>
  <c r="BJ108" i="16"/>
  <c r="BI108" i="16" s="1"/>
  <c r="BQ108" i="16"/>
  <c r="U82" i="35"/>
  <c r="P82" i="35"/>
  <c r="S82" i="16"/>
  <c r="BP108" i="35"/>
  <c r="BI108" i="35"/>
  <c r="BH108" i="35" s="1"/>
  <c r="BL108" i="35"/>
  <c r="AZ71" i="35"/>
  <c r="E70" i="35"/>
  <c r="BD71" i="35"/>
  <c r="F46" i="49" l="1"/>
  <c r="E47" i="49" s="1"/>
  <c r="C47" i="49" s="1"/>
  <c r="I76" i="16"/>
  <c r="J76" i="16" s="1"/>
  <c r="H76" i="16"/>
  <c r="G76" i="16" s="1"/>
  <c r="AA98" i="35"/>
  <c r="AB98" i="35" s="1"/>
  <c r="Z98" i="35"/>
  <c r="Y98" i="35" s="1"/>
  <c r="AA99" i="16"/>
  <c r="AB99" i="16" s="1"/>
  <c r="Z99" i="16"/>
  <c r="Y99" i="16" s="1"/>
  <c r="J77" i="35"/>
  <c r="I77" i="35"/>
  <c r="H77" i="35"/>
  <c r="G77" i="35" s="1"/>
  <c r="Q83" i="35"/>
  <c r="P83" i="35" s="1"/>
  <c r="R83" i="35"/>
  <c r="S83" i="35" s="1"/>
  <c r="AM70" i="16"/>
  <c r="AO70" i="16"/>
  <c r="BD72" i="35"/>
  <c r="AZ72" i="35"/>
  <c r="E71" i="35"/>
  <c r="R83" i="16"/>
  <c r="S83" i="16" s="1"/>
  <c r="Q83" i="16"/>
  <c r="P83" i="16" s="1"/>
  <c r="BL109" i="35"/>
  <c r="BP109" i="35"/>
  <c r="BI109" i="35"/>
  <c r="BA71" i="16"/>
  <c r="E70" i="16"/>
  <c r="BE71" i="16"/>
  <c r="AM71" i="35"/>
  <c r="AL71" i="35" s="1"/>
  <c r="AO71" i="35"/>
  <c r="BM109" i="16"/>
  <c r="BQ109" i="16"/>
  <c r="BJ109" i="16"/>
  <c r="AQ70" i="35"/>
  <c r="AL70" i="35"/>
  <c r="R84" i="16" l="1"/>
  <c r="S84" i="16" s="1"/>
  <c r="Q84" i="16"/>
  <c r="P84" i="16" s="1"/>
  <c r="Z100" i="16"/>
  <c r="Y100" i="16" s="1"/>
  <c r="AA100" i="16"/>
  <c r="AB100" i="16" s="1"/>
  <c r="R84" i="35"/>
  <c r="S84" i="35" s="1"/>
  <c r="Q84" i="35"/>
  <c r="P84" i="35" s="1"/>
  <c r="BH109" i="35"/>
  <c r="AQ70" i="16"/>
  <c r="AL70" i="16"/>
  <c r="BI109" i="16"/>
  <c r="AZ73" i="35"/>
  <c r="E72" i="35"/>
  <c r="BD73" i="35"/>
  <c r="I77" i="16"/>
  <c r="J77" i="16" s="1"/>
  <c r="H77" i="16"/>
  <c r="G77" i="16" s="1"/>
  <c r="BQ110" i="16"/>
  <c r="BM110" i="16"/>
  <c r="BJ110" i="16"/>
  <c r="BI110" i="16" s="1"/>
  <c r="BL110" i="35"/>
  <c r="BP110" i="35"/>
  <c r="BI110" i="35"/>
  <c r="BH110" i="35" s="1"/>
  <c r="I78" i="35"/>
  <c r="J78" i="35" s="1"/>
  <c r="H78" i="35"/>
  <c r="G78" i="35" s="1"/>
  <c r="AA99" i="35"/>
  <c r="AB99" i="35" s="1"/>
  <c r="Z99" i="35"/>
  <c r="Y99" i="35" s="1"/>
  <c r="AM72" i="35"/>
  <c r="AL72" i="35" s="1"/>
  <c r="AO72" i="35"/>
  <c r="BE72" i="16"/>
  <c r="E71" i="16"/>
  <c r="BA72" i="16"/>
  <c r="AM71" i="16"/>
  <c r="AL71" i="16" s="1"/>
  <c r="AO71" i="16"/>
  <c r="F47" i="49" l="1"/>
  <c r="E48" i="49" s="1"/>
  <c r="C48" i="49" s="1"/>
  <c r="AA100" i="35"/>
  <c r="AB100" i="35" s="1"/>
  <c r="Z100" i="35"/>
  <c r="Y100" i="35" s="1"/>
  <c r="AA101" i="16"/>
  <c r="AB101" i="16" s="1"/>
  <c r="Z101" i="16"/>
  <c r="Y101" i="16" s="1"/>
  <c r="H78" i="16"/>
  <c r="G78" i="16" s="1"/>
  <c r="I78" i="16"/>
  <c r="J78" i="16" s="1"/>
  <c r="H79" i="35"/>
  <c r="G79" i="35" s="1"/>
  <c r="I79" i="35"/>
  <c r="J79" i="35" s="1"/>
  <c r="Q85" i="35"/>
  <c r="P85" i="35" s="1"/>
  <c r="R85" i="35"/>
  <c r="S85" i="35" s="1"/>
  <c r="R85" i="16"/>
  <c r="S85" i="16" s="1"/>
  <c r="Q85" i="16"/>
  <c r="P85" i="16" s="1"/>
  <c r="AZ74" i="35"/>
  <c r="BD74" i="35"/>
  <c r="AW74" i="35"/>
  <c r="E73" i="35"/>
  <c r="AM73" i="35"/>
  <c r="AL73" i="35" s="1"/>
  <c r="AO73" i="35"/>
  <c r="BQ111" i="16"/>
  <c r="BJ111" i="16"/>
  <c r="BM111" i="16"/>
  <c r="BA73" i="16"/>
  <c r="E72" i="16"/>
  <c r="BE73" i="16"/>
  <c r="AM72" i="16"/>
  <c r="AL72" i="16" s="1"/>
  <c r="AO72" i="16"/>
  <c r="BL111" i="35"/>
  <c r="BP111" i="35"/>
  <c r="BI111" i="35"/>
  <c r="BH111" i="35" s="1"/>
  <c r="F48" i="49" l="1"/>
  <c r="E49" i="49" s="1"/>
  <c r="C49" i="49" s="1"/>
  <c r="BI111" i="16"/>
  <c r="R86" i="35"/>
  <c r="S86" i="35" s="1"/>
  <c r="Q86" i="35"/>
  <c r="P86" i="35" s="1"/>
  <c r="AA101" i="35"/>
  <c r="AB101" i="35" s="1"/>
  <c r="Z101" i="35"/>
  <c r="Y101" i="35" s="1"/>
  <c r="AM73" i="16"/>
  <c r="AL73" i="16" s="1"/>
  <c r="AO73" i="16"/>
  <c r="BE74" i="16"/>
  <c r="BA74" i="16"/>
  <c r="E73" i="16"/>
  <c r="I79" i="16"/>
  <c r="J79" i="16" s="1"/>
  <c r="H79" i="16"/>
  <c r="G79" i="16" s="1"/>
  <c r="Z102" i="16"/>
  <c r="Y102" i="16" s="1"/>
  <c r="AA102" i="16"/>
  <c r="AB102" i="16" s="1"/>
  <c r="E74" i="35"/>
  <c r="AZ75" i="35"/>
  <c r="BD75" i="35"/>
  <c r="AW75" i="35"/>
  <c r="AV75" i="35" s="1"/>
  <c r="I80" i="35"/>
  <c r="J80" i="35" s="1"/>
  <c r="H80" i="35"/>
  <c r="G80" i="35" s="1"/>
  <c r="AM74" i="35"/>
  <c r="AL74" i="35" s="1"/>
  <c r="AO74" i="35"/>
  <c r="R86" i="16"/>
  <c r="S86" i="16" s="1"/>
  <c r="Q86" i="16"/>
  <c r="P86" i="16" s="1"/>
  <c r="BL112" i="35"/>
  <c r="BP112" i="35"/>
  <c r="BI112" i="35"/>
  <c r="BH112" i="35" s="1"/>
  <c r="BM112" i="16"/>
  <c r="BJ112" i="16"/>
  <c r="BQ112" i="16"/>
  <c r="AV74" i="35"/>
  <c r="I80" i="16" l="1"/>
  <c r="J80" i="16" s="1"/>
  <c r="H80" i="16"/>
  <c r="G80" i="16" s="1"/>
  <c r="AA103" i="16"/>
  <c r="AB103" i="16" s="1"/>
  <c r="Z103" i="16"/>
  <c r="Y103" i="16" s="1"/>
  <c r="R87" i="16"/>
  <c r="S87" i="16" s="1"/>
  <c r="Q87" i="16"/>
  <c r="P87" i="16" s="1"/>
  <c r="I81" i="35"/>
  <c r="J81" i="35" s="1"/>
  <c r="H81" i="35"/>
  <c r="G81" i="35" s="1"/>
  <c r="Q87" i="35"/>
  <c r="P87" i="35" s="1"/>
  <c r="R87" i="35"/>
  <c r="S87" i="35" s="1"/>
  <c r="BQ113" i="16"/>
  <c r="BJ113" i="16"/>
  <c r="BM113" i="16"/>
  <c r="AA102" i="35"/>
  <c r="AB102" i="35" s="1"/>
  <c r="Z102" i="35"/>
  <c r="Y102" i="35" s="1"/>
  <c r="BA75" i="16"/>
  <c r="E74" i="16"/>
  <c r="BE75" i="16"/>
  <c r="E75" i="35"/>
  <c r="AZ76" i="35"/>
  <c r="BD76" i="35"/>
  <c r="AW76" i="35"/>
  <c r="BI112" i="16"/>
  <c r="BP113" i="35"/>
  <c r="BI113" i="35"/>
  <c r="BH113" i="35" s="1"/>
  <c r="BL113" i="35"/>
  <c r="AM75" i="35"/>
  <c r="AL75" i="35" s="1"/>
  <c r="AO75" i="35"/>
  <c r="AM74" i="16"/>
  <c r="AL74" i="16" s="1"/>
  <c r="AO74" i="16"/>
  <c r="F49" i="49" l="1"/>
  <c r="E50" i="49" s="1"/>
  <c r="C50" i="49" s="1"/>
  <c r="BI113" i="16"/>
  <c r="I82" i="35"/>
  <c r="M82" i="35" s="1"/>
  <c r="AI82" i="35" s="1"/>
  <c r="H82" i="35"/>
  <c r="J82" i="35"/>
  <c r="R88" i="35"/>
  <c r="S88" i="35" s="1"/>
  <c r="Q88" i="35"/>
  <c r="P88" i="35" s="1"/>
  <c r="Z103" i="35"/>
  <c r="Y103" i="35" s="1"/>
  <c r="AA103" i="35"/>
  <c r="AB103" i="35" s="1"/>
  <c r="R88" i="16"/>
  <c r="S88" i="16" s="1"/>
  <c r="Q88" i="16"/>
  <c r="P88" i="16" s="1"/>
  <c r="H81" i="16"/>
  <c r="G81" i="16" s="1"/>
  <c r="I81" i="16"/>
  <c r="J81" i="16" s="1"/>
  <c r="E76" i="35"/>
  <c r="AZ77" i="35"/>
  <c r="BD77" i="35"/>
  <c r="AW77" i="35"/>
  <c r="AV77" i="35" s="1"/>
  <c r="BE76" i="16"/>
  <c r="BA76" i="16"/>
  <c r="E75" i="16"/>
  <c r="BP114" i="35"/>
  <c r="BI114" i="35"/>
  <c r="BH114" i="35" s="1"/>
  <c r="BL114" i="35"/>
  <c r="AM75" i="16"/>
  <c r="AL75" i="16" s="1"/>
  <c r="AO75" i="16"/>
  <c r="AV76" i="35"/>
  <c r="BM114" i="16"/>
  <c r="BQ114" i="16"/>
  <c r="BJ114" i="16"/>
  <c r="BI114" i="16" s="1"/>
  <c r="AA104" i="16"/>
  <c r="AB104" i="16" s="1"/>
  <c r="Z104" i="16"/>
  <c r="Y104" i="16" s="1"/>
  <c r="AM76" i="35"/>
  <c r="AL76" i="35" s="1"/>
  <c r="AO76" i="35"/>
  <c r="F50" i="49" l="1"/>
  <c r="E51" i="49" s="1"/>
  <c r="C51" i="49" s="1"/>
  <c r="Q89" i="35"/>
  <c r="P89" i="35" s="1"/>
  <c r="R89" i="35"/>
  <c r="S89" i="35" s="1"/>
  <c r="AA104" i="35"/>
  <c r="AB104" i="35" s="1"/>
  <c r="Z104" i="35"/>
  <c r="Y104" i="35" s="1"/>
  <c r="I82" i="16"/>
  <c r="M82" i="16" s="1"/>
  <c r="AI82" i="16" s="1"/>
  <c r="H82" i="16"/>
  <c r="BM115" i="16"/>
  <c r="BJ115" i="16"/>
  <c r="BQ115" i="16"/>
  <c r="AA105" i="16"/>
  <c r="AB105" i="16" s="1"/>
  <c r="Z105" i="16"/>
  <c r="Y105" i="16" s="1"/>
  <c r="I83" i="35"/>
  <c r="J83" i="35" s="1"/>
  <c r="H83" i="35"/>
  <c r="G83" i="35" s="1"/>
  <c r="AM77" i="35"/>
  <c r="AL77" i="35" s="1"/>
  <c r="AO77" i="35"/>
  <c r="R89" i="16"/>
  <c r="S89" i="16" s="1"/>
  <c r="Q89" i="16"/>
  <c r="P89" i="16" s="1"/>
  <c r="L82" i="35"/>
  <c r="AH82" i="35" s="1"/>
  <c r="G82" i="35"/>
  <c r="AM76" i="16"/>
  <c r="AL76" i="16" s="1"/>
  <c r="AO76" i="16"/>
  <c r="BL115" i="35"/>
  <c r="BP115" i="35"/>
  <c r="BI115" i="35"/>
  <c r="BH115" i="35" s="1"/>
  <c r="BA77" i="16"/>
  <c r="E76" i="16"/>
  <c r="BE77" i="16"/>
  <c r="AZ78" i="35"/>
  <c r="E77" i="35"/>
  <c r="BD78" i="35"/>
  <c r="AW78" i="35"/>
  <c r="F51" i="49" l="1"/>
  <c r="E52" i="49" s="1"/>
  <c r="C52" i="49" s="1"/>
  <c r="BI115" i="16"/>
  <c r="I84" i="35"/>
  <c r="J84" i="35" s="1"/>
  <c r="H84" i="35"/>
  <c r="G84" i="35" s="1"/>
  <c r="R90" i="16"/>
  <c r="S90" i="16" s="1"/>
  <c r="Q90" i="16"/>
  <c r="P90" i="16" s="1"/>
  <c r="R90" i="35"/>
  <c r="S90" i="35" s="1"/>
  <c r="Q90" i="35"/>
  <c r="P90" i="35" s="1"/>
  <c r="AZ79" i="35"/>
  <c r="E78" i="35"/>
  <c r="BD79" i="35"/>
  <c r="AW79" i="35"/>
  <c r="AV79" i="35" s="1"/>
  <c r="L82" i="16"/>
  <c r="AH82" i="16" s="1"/>
  <c r="G82" i="16"/>
  <c r="AA106" i="16"/>
  <c r="AE106" i="16" s="1"/>
  <c r="Z106" i="16"/>
  <c r="AM78" i="35"/>
  <c r="AL78" i="35" s="1"/>
  <c r="AO78" i="35"/>
  <c r="BM116" i="16"/>
  <c r="BQ116" i="16"/>
  <c r="BJ116" i="16"/>
  <c r="BI116" i="16" s="1"/>
  <c r="AA105" i="35"/>
  <c r="AB105" i="35" s="1"/>
  <c r="Z105" i="35"/>
  <c r="Y105" i="35" s="1"/>
  <c r="AV78" i="35"/>
  <c r="BL116" i="35"/>
  <c r="BP116" i="35"/>
  <c r="BI116" i="35"/>
  <c r="BH116" i="35" s="1"/>
  <c r="AY93" i="16"/>
  <c r="AY78" i="16"/>
  <c r="BE78" i="16"/>
  <c r="E77" i="16"/>
  <c r="AY90" i="16"/>
  <c r="BA78" i="16"/>
  <c r="AM77" i="16"/>
  <c r="AL77" i="16" s="1"/>
  <c r="AO77" i="16"/>
  <c r="J82" i="16"/>
  <c r="CF82" i="16" l="1"/>
  <c r="BZ90" i="16"/>
  <c r="BV90" i="16"/>
  <c r="AB106" i="16"/>
  <c r="AA107" i="16" s="1"/>
  <c r="AB107" i="16" s="1"/>
  <c r="AA106" i="35"/>
  <c r="AE106" i="35" s="1"/>
  <c r="Z106" i="35"/>
  <c r="R91" i="35"/>
  <c r="S91" i="35" s="1"/>
  <c r="Q91" i="35"/>
  <c r="P91" i="35" s="1"/>
  <c r="I85" i="35"/>
  <c r="J85" i="35" s="1"/>
  <c r="H85" i="35"/>
  <c r="G85" i="35" s="1"/>
  <c r="BE79" i="16"/>
  <c r="E78" i="16"/>
  <c r="BA79" i="16"/>
  <c r="BG70" i="16"/>
  <c r="N65" i="9"/>
  <c r="C51" i="39" s="1"/>
  <c r="AD106" i="16"/>
  <c r="Y106" i="16"/>
  <c r="Q91" i="16"/>
  <c r="P91" i="16" s="1"/>
  <c r="R91" i="16"/>
  <c r="S91" i="16" s="1"/>
  <c r="I83" i="16"/>
  <c r="J83" i="16" s="1"/>
  <c r="H83" i="16"/>
  <c r="G83" i="16" s="1"/>
  <c r="AM78" i="16"/>
  <c r="AL78" i="16" s="1"/>
  <c r="AO78" i="16"/>
  <c r="BL117" i="35"/>
  <c r="BP117" i="35"/>
  <c r="BI117" i="35"/>
  <c r="BM117" i="16"/>
  <c r="BQ117" i="16"/>
  <c r="BJ117" i="16"/>
  <c r="Q75" i="9" s="1"/>
  <c r="AM79" i="35"/>
  <c r="AL79" i="35" s="1"/>
  <c r="AO79" i="35"/>
  <c r="BD80" i="35"/>
  <c r="AW80" i="35"/>
  <c r="AZ80" i="35"/>
  <c r="E79" i="35"/>
  <c r="C12" i="36"/>
  <c r="D12" i="36" s="1"/>
  <c r="BG82" i="16"/>
  <c r="O65" i="9" s="1"/>
  <c r="F52" i="49" l="1"/>
  <c r="E53" i="49" s="1"/>
  <c r="C53" i="49" s="1"/>
  <c r="F47" i="39"/>
  <c r="CD91" i="16"/>
  <c r="BZ91" i="16"/>
  <c r="Z107" i="16"/>
  <c r="Y107" i="16" s="1"/>
  <c r="R92" i="16"/>
  <c r="S92" i="16" s="1"/>
  <c r="Q92" i="16"/>
  <c r="P92" i="16" s="1"/>
  <c r="I86" i="35"/>
  <c r="J86" i="35" s="1"/>
  <c r="H86" i="35"/>
  <c r="G86" i="35" s="1"/>
  <c r="Z108" i="16"/>
  <c r="Y108" i="16" s="1"/>
  <c r="AA108" i="16"/>
  <c r="AB108" i="16" s="1"/>
  <c r="I84" i="16"/>
  <c r="J84" i="16" s="1"/>
  <c r="H84" i="16"/>
  <c r="G84" i="16" s="1"/>
  <c r="BI117" i="16"/>
  <c r="BR106" i="16"/>
  <c r="BA80" i="16"/>
  <c r="E79" i="16"/>
  <c r="BE80" i="16"/>
  <c r="Q92" i="35"/>
  <c r="P92" i="35" s="1"/>
  <c r="R92" i="35"/>
  <c r="S92" i="35" s="1"/>
  <c r="BL118" i="35"/>
  <c r="BP118" i="35"/>
  <c r="BI118" i="35"/>
  <c r="Y106" i="35"/>
  <c r="AD106" i="35"/>
  <c r="AZ81" i="35"/>
  <c r="E80" i="35"/>
  <c r="AW81" i="35"/>
  <c r="AV81" i="35" s="1"/>
  <c r="BD81" i="35"/>
  <c r="AM80" i="35"/>
  <c r="AL80" i="35" s="1"/>
  <c r="AO80" i="35"/>
  <c r="BQ118" i="16"/>
  <c r="BJ118" i="16"/>
  <c r="BM118" i="16"/>
  <c r="N64" i="9"/>
  <c r="C50" i="39" s="1"/>
  <c r="C55" i="39" s="1"/>
  <c r="AV80" i="35"/>
  <c r="BH117" i="35"/>
  <c r="BQ106" i="35"/>
  <c r="AM79" i="16"/>
  <c r="AL79" i="16" s="1"/>
  <c r="AO79" i="16"/>
  <c r="AB106" i="35"/>
  <c r="F53" i="49" l="1"/>
  <c r="E54" i="49" s="1"/>
  <c r="C54" i="49" s="1"/>
  <c r="G20" i="8"/>
  <c r="CD92" i="16"/>
  <c r="BV92" i="16"/>
  <c r="BZ92" i="16"/>
  <c r="BV91" i="16"/>
  <c r="BE70" i="35"/>
  <c r="I85" i="16"/>
  <c r="J85" i="16" s="1"/>
  <c r="H85" i="16"/>
  <c r="G85" i="16" s="1"/>
  <c r="AA109" i="16"/>
  <c r="AB109" i="16" s="1"/>
  <c r="Z109" i="16"/>
  <c r="Y109" i="16" s="1"/>
  <c r="Q93" i="16"/>
  <c r="P93" i="16" s="1"/>
  <c r="R93" i="16"/>
  <c r="S93" i="16" s="1"/>
  <c r="AA107" i="35"/>
  <c r="AB107" i="35" s="1"/>
  <c r="Z107" i="35"/>
  <c r="Y107" i="35" s="1"/>
  <c r="AM80" i="16"/>
  <c r="AL80" i="16" s="1"/>
  <c r="AO80" i="16"/>
  <c r="N80" i="9"/>
  <c r="F64" i="9"/>
  <c r="F60" i="9" s="1"/>
  <c r="N90" i="9"/>
  <c r="AM81" i="35"/>
  <c r="AL81" i="35" s="1"/>
  <c r="AO81" i="35"/>
  <c r="I87" i="35"/>
  <c r="H87" i="35"/>
  <c r="G87" i="35" s="1"/>
  <c r="J87" i="35"/>
  <c r="BQ119" i="16"/>
  <c r="BJ119" i="16"/>
  <c r="BI119" i="16" s="1"/>
  <c r="BM119" i="16"/>
  <c r="E81" i="35"/>
  <c r="AZ82" i="35"/>
  <c r="BD82" i="35"/>
  <c r="AW82" i="35"/>
  <c r="BL119" i="35"/>
  <c r="BP119" i="35"/>
  <c r="BI119" i="35"/>
  <c r="BH119" i="35" s="1"/>
  <c r="Q93" i="35"/>
  <c r="P93" i="35" s="1"/>
  <c r="R93" i="35"/>
  <c r="S93" i="35" s="1"/>
  <c r="BA81" i="16"/>
  <c r="BE81" i="16"/>
  <c r="E80" i="16"/>
  <c r="BI118" i="16"/>
  <c r="BH118" i="35"/>
  <c r="CD93" i="16" l="1"/>
  <c r="CE82" i="16"/>
  <c r="BZ93" i="16"/>
  <c r="BW94" i="16" s="1"/>
  <c r="R94" i="35"/>
  <c r="V94" i="35" s="1"/>
  <c r="Q94" i="35"/>
  <c r="AA108" i="35"/>
  <c r="AB108" i="35" s="1"/>
  <c r="Z108" i="35"/>
  <c r="Y108" i="35" s="1"/>
  <c r="H86" i="16"/>
  <c r="G86" i="16" s="1"/>
  <c r="I86" i="16"/>
  <c r="J86" i="16" s="1"/>
  <c r="BE82" i="16"/>
  <c r="E81" i="16"/>
  <c r="BA82" i="16"/>
  <c r="AV82" i="35"/>
  <c r="G25" i="8"/>
  <c r="G78" i="8" s="1"/>
  <c r="O90" i="9"/>
  <c r="R12" i="39"/>
  <c r="R69" i="39" s="1"/>
  <c r="R94" i="16"/>
  <c r="V94" i="16" s="1"/>
  <c r="Q94" i="16"/>
  <c r="G22" i="8"/>
  <c r="G75" i="8" s="1"/>
  <c r="N84" i="9"/>
  <c r="N82" i="9"/>
  <c r="I88" i="35"/>
  <c r="J88" i="35" s="1"/>
  <c r="H88" i="35"/>
  <c r="G88" i="35" s="1"/>
  <c r="AM82" i="35"/>
  <c r="AO82" i="35"/>
  <c r="R9" i="39"/>
  <c r="R67" i="39" s="1"/>
  <c r="C57" i="39"/>
  <c r="AM81" i="16"/>
  <c r="AL81" i="16" s="1"/>
  <c r="AO81" i="16"/>
  <c r="AA110" i="16"/>
  <c r="AB110" i="16" s="1"/>
  <c r="Z110" i="16"/>
  <c r="Y110" i="16" s="1"/>
  <c r="BM120" i="16"/>
  <c r="BQ120" i="16"/>
  <c r="BJ120" i="16"/>
  <c r="BL120" i="35"/>
  <c r="BP120" i="35"/>
  <c r="BI120" i="35"/>
  <c r="BH120" i="35" s="1"/>
  <c r="AZ83" i="35"/>
  <c r="BD83" i="35"/>
  <c r="AW83" i="35"/>
  <c r="AV83" i="35" s="1"/>
  <c r="E82" i="35"/>
  <c r="BZ94" i="16" l="1"/>
  <c r="BW95" i="16" s="1"/>
  <c r="CD94" i="16"/>
  <c r="BV93" i="16"/>
  <c r="S94" i="16"/>
  <c r="Q95" i="16" s="1"/>
  <c r="P95" i="16" s="1"/>
  <c r="AA111" i="16"/>
  <c r="Z111" i="16"/>
  <c r="Y111" i="16" s="1"/>
  <c r="AB111" i="16"/>
  <c r="BQ121" i="16"/>
  <c r="BM121" i="16"/>
  <c r="BJ121" i="16"/>
  <c r="BI121" i="16" s="1"/>
  <c r="AM82" i="16"/>
  <c r="AO82" i="16"/>
  <c r="AM83" i="35"/>
  <c r="AL83" i="35" s="1"/>
  <c r="AO83" i="35"/>
  <c r="I89" i="35"/>
  <c r="J89" i="35" s="1"/>
  <c r="H89" i="35"/>
  <c r="G89" i="35" s="1"/>
  <c r="E82" i="16"/>
  <c r="BE83" i="16"/>
  <c r="BA83" i="16"/>
  <c r="I87" i="16"/>
  <c r="J87" i="16" s="1"/>
  <c r="H87" i="16"/>
  <c r="G87" i="16" s="1"/>
  <c r="BP121" i="35"/>
  <c r="BI121" i="35"/>
  <c r="BH121" i="35" s="1"/>
  <c r="BL121" i="35"/>
  <c r="AQ82" i="35"/>
  <c r="AL82" i="35"/>
  <c r="G152" i="8"/>
  <c r="G196" i="8"/>
  <c r="G233" i="8"/>
  <c r="U94" i="35"/>
  <c r="P94" i="35"/>
  <c r="AZ84" i="35"/>
  <c r="E83" i="35"/>
  <c r="AW84" i="35"/>
  <c r="AV84" i="35" s="1"/>
  <c r="BD84" i="35"/>
  <c r="H25" i="8"/>
  <c r="H78" i="8" s="1"/>
  <c r="S12" i="39"/>
  <c r="S69" i="39" s="1"/>
  <c r="AA109" i="35"/>
  <c r="AB109" i="35" s="1"/>
  <c r="Z109" i="35"/>
  <c r="Y109" i="35" s="1"/>
  <c r="BI120" i="16"/>
  <c r="U94" i="16"/>
  <c r="P94" i="16"/>
  <c r="G235" i="8"/>
  <c r="G198" i="8"/>
  <c r="G117" i="8"/>
  <c r="G154" i="8"/>
  <c r="S94" i="35"/>
  <c r="F54" i="49" l="1"/>
  <c r="E55" i="49" s="1"/>
  <c r="C55" i="49" s="1"/>
  <c r="G49" i="39"/>
  <c r="R95" i="16"/>
  <c r="S95" i="16" s="1"/>
  <c r="BV94" i="16"/>
  <c r="BZ95" i="16"/>
  <c r="BW96" i="16" s="1"/>
  <c r="CD95" i="16"/>
  <c r="I90" i="35"/>
  <c r="J90" i="35" s="1"/>
  <c r="H90" i="35"/>
  <c r="G90" i="35" s="1"/>
  <c r="AA110" i="35"/>
  <c r="AB110" i="35" s="1"/>
  <c r="Z110" i="35"/>
  <c r="Y110" i="35" s="1"/>
  <c r="Q95" i="35"/>
  <c r="P95" i="35" s="1"/>
  <c r="R95" i="35"/>
  <c r="S95" i="35" s="1"/>
  <c r="H198" i="8"/>
  <c r="H235" i="8"/>
  <c r="H117" i="8"/>
  <c r="H154" i="8"/>
  <c r="BL122" i="35"/>
  <c r="BP122" i="35"/>
  <c r="BI122" i="35"/>
  <c r="AM83" i="16"/>
  <c r="AL83" i="16" s="1"/>
  <c r="AO83" i="16"/>
  <c r="AZ85" i="35"/>
  <c r="BD85" i="35"/>
  <c r="AW85" i="35"/>
  <c r="E84" i="35"/>
  <c r="G115" i="8"/>
  <c r="H88" i="16"/>
  <c r="G88" i="16" s="1"/>
  <c r="I88" i="16"/>
  <c r="J88" i="16" s="1"/>
  <c r="AL82" i="16"/>
  <c r="AQ82" i="16"/>
  <c r="AA112" i="16"/>
  <c r="AB112" i="16" s="1"/>
  <c r="Z112" i="16"/>
  <c r="Y112" i="16" s="1"/>
  <c r="R96" i="16"/>
  <c r="S96" i="16" s="1"/>
  <c r="Q96" i="16"/>
  <c r="P96" i="16" s="1"/>
  <c r="BE84" i="16"/>
  <c r="E83" i="16"/>
  <c r="BA84" i="16"/>
  <c r="AM84" i="35"/>
  <c r="AL84" i="35" s="1"/>
  <c r="AO84" i="35"/>
  <c r="BM122" i="16"/>
  <c r="BQ122" i="16"/>
  <c r="BJ122" i="16"/>
  <c r="CD96" i="16" l="1"/>
  <c r="BZ96" i="16"/>
  <c r="BW97" i="16" s="1"/>
  <c r="BV95" i="16"/>
  <c r="I89" i="16"/>
  <c r="J89" i="16" s="1"/>
  <c r="H89" i="16"/>
  <c r="G89" i="16" s="1"/>
  <c r="Z113" i="16"/>
  <c r="Y113" i="16" s="1"/>
  <c r="AA113" i="16"/>
  <c r="AB113" i="16" s="1"/>
  <c r="H91" i="35"/>
  <c r="G91" i="35" s="1"/>
  <c r="I91" i="35"/>
  <c r="J91" i="35" s="1"/>
  <c r="AM85" i="35"/>
  <c r="AL85" i="35" s="1"/>
  <c r="AO85" i="35"/>
  <c r="Q97" i="16"/>
  <c r="P97" i="16" s="1"/>
  <c r="R97" i="16"/>
  <c r="S97" i="16" s="1"/>
  <c r="AV85" i="35"/>
  <c r="Q96" i="35"/>
  <c r="P96" i="35" s="1"/>
  <c r="R96" i="35"/>
  <c r="S96" i="35" s="1"/>
  <c r="AA111" i="35"/>
  <c r="AB111" i="35" s="1"/>
  <c r="Z111" i="35"/>
  <c r="Y111" i="35" s="1"/>
  <c r="BI122" i="16"/>
  <c r="BL123" i="35"/>
  <c r="BP123" i="35"/>
  <c r="BI123" i="35"/>
  <c r="BH123" i="35" s="1"/>
  <c r="BM123" i="16"/>
  <c r="BJ123" i="16"/>
  <c r="BI123" i="16" s="1"/>
  <c r="BQ123" i="16"/>
  <c r="E85" i="35"/>
  <c r="AZ86" i="35"/>
  <c r="BD86" i="35"/>
  <c r="AW86" i="35"/>
  <c r="AV86" i="35" s="1"/>
  <c r="BA85" i="16"/>
  <c r="BE85" i="16"/>
  <c r="AV85" i="16"/>
  <c r="E84" i="16"/>
  <c r="AM84" i="16"/>
  <c r="AL84" i="16" s="1"/>
  <c r="AO84" i="16"/>
  <c r="BH122" i="35"/>
  <c r="F55" i="49" l="1"/>
  <c r="E56" i="49" s="1"/>
  <c r="C56" i="49" s="1"/>
  <c r="BV96" i="16"/>
  <c r="BZ97" i="16"/>
  <c r="BW98" i="16" s="1"/>
  <c r="CD97" i="16"/>
  <c r="Z112" i="35"/>
  <c r="Y112" i="35" s="1"/>
  <c r="AA112" i="35"/>
  <c r="AB112" i="35" s="1"/>
  <c r="AA114" i="16"/>
  <c r="AB114" i="16" s="1"/>
  <c r="Z114" i="16"/>
  <c r="Y114" i="16" s="1"/>
  <c r="R98" i="16"/>
  <c r="S98" i="16" s="1"/>
  <c r="Q98" i="16"/>
  <c r="P98" i="16" s="1"/>
  <c r="H90" i="16"/>
  <c r="G90" i="16" s="1"/>
  <c r="I90" i="16"/>
  <c r="J90" i="16" s="1"/>
  <c r="BE86" i="16"/>
  <c r="AV86" i="16"/>
  <c r="E85" i="16"/>
  <c r="BA86" i="16"/>
  <c r="AZ87" i="35"/>
  <c r="BD87" i="35"/>
  <c r="AW87" i="35"/>
  <c r="AV87" i="35" s="1"/>
  <c r="E86" i="35"/>
  <c r="R97" i="35"/>
  <c r="S97" i="35" s="1"/>
  <c r="Q97" i="35"/>
  <c r="P97" i="35" s="1"/>
  <c r="I92" i="35"/>
  <c r="H92" i="35"/>
  <c r="G92" i="35" s="1"/>
  <c r="J92" i="35"/>
  <c r="BL124" i="35"/>
  <c r="BP124" i="35"/>
  <c r="BI124" i="35"/>
  <c r="AM86" i="35"/>
  <c r="AL86" i="35" s="1"/>
  <c r="AO86" i="35"/>
  <c r="BM124" i="16"/>
  <c r="BQ124" i="16"/>
  <c r="BJ124" i="16"/>
  <c r="BI124" i="16" s="1"/>
  <c r="AM85" i="16"/>
  <c r="AL85" i="16" s="1"/>
  <c r="AO85" i="16"/>
  <c r="CD98" i="16" l="1"/>
  <c r="BV98" i="16"/>
  <c r="BZ98" i="16"/>
  <c r="BW99" i="16" s="1"/>
  <c r="BV97" i="16"/>
  <c r="I91" i="16"/>
  <c r="J91" i="16" s="1"/>
  <c r="H91" i="16"/>
  <c r="G91" i="16" s="1"/>
  <c r="AA115" i="16"/>
  <c r="AB115" i="16" s="1"/>
  <c r="Z115" i="16"/>
  <c r="Y115" i="16" s="1"/>
  <c r="AA113" i="35"/>
  <c r="AB113" i="35" s="1"/>
  <c r="Z113" i="35"/>
  <c r="Y113" i="35" s="1"/>
  <c r="R98" i="35"/>
  <c r="S98" i="35" s="1"/>
  <c r="Q98" i="35"/>
  <c r="P98" i="35" s="1"/>
  <c r="Q99" i="16"/>
  <c r="P99" i="16" s="1"/>
  <c r="R99" i="16"/>
  <c r="S99" i="16" s="1"/>
  <c r="AM86" i="16"/>
  <c r="AL86" i="16" s="1"/>
  <c r="AO86" i="16"/>
  <c r="BA87" i="16"/>
  <c r="AV87" i="16"/>
  <c r="E86" i="16"/>
  <c r="BE87" i="16"/>
  <c r="AM87" i="35"/>
  <c r="AL87" i="35" s="1"/>
  <c r="AO87" i="35"/>
  <c r="BP125" i="35"/>
  <c r="BI125" i="35"/>
  <c r="BH125" i="35" s="1"/>
  <c r="BL125" i="35"/>
  <c r="I93" i="35"/>
  <c r="H93" i="35"/>
  <c r="G93" i="35" s="1"/>
  <c r="J93" i="35"/>
  <c r="BQ125" i="16"/>
  <c r="BJ125" i="16"/>
  <c r="BI125" i="16" s="1"/>
  <c r="BM125" i="16"/>
  <c r="BH124" i="35"/>
  <c r="E87" i="35"/>
  <c r="AZ88" i="35"/>
  <c r="BD88" i="35"/>
  <c r="AW88" i="35"/>
  <c r="CD99" i="16" l="1"/>
  <c r="BV99" i="16"/>
  <c r="BZ99" i="16"/>
  <c r="BW100" i="16" s="1"/>
  <c r="R99" i="35"/>
  <c r="S99" i="35" s="1"/>
  <c r="Q99" i="35"/>
  <c r="P99" i="35" s="1"/>
  <c r="AA116" i="16"/>
  <c r="AB116" i="16" s="1"/>
  <c r="Z116" i="16"/>
  <c r="Y116" i="16" s="1"/>
  <c r="R100" i="16"/>
  <c r="S100" i="16" s="1"/>
  <c r="Q100" i="16"/>
  <c r="P100" i="16" s="1"/>
  <c r="AA114" i="35"/>
  <c r="AB114" i="35" s="1"/>
  <c r="Z114" i="35"/>
  <c r="Y114" i="35" s="1"/>
  <c r="AV88" i="35"/>
  <c r="AM88" i="35"/>
  <c r="AL88" i="35" s="1"/>
  <c r="AO88" i="35"/>
  <c r="AZ89" i="35"/>
  <c r="BD89" i="35"/>
  <c r="AW89" i="35"/>
  <c r="AV89" i="35" s="1"/>
  <c r="E88" i="35"/>
  <c r="BM126" i="16"/>
  <c r="BJ126" i="16"/>
  <c r="BI126" i="16" s="1"/>
  <c r="BQ126" i="16"/>
  <c r="BP126" i="35"/>
  <c r="BI126" i="35"/>
  <c r="BH126" i="35" s="1"/>
  <c r="BL126" i="35"/>
  <c r="BE88" i="16"/>
  <c r="AV88" i="16"/>
  <c r="E87" i="16"/>
  <c r="BA88" i="16"/>
  <c r="I92" i="16"/>
  <c r="J92" i="16" s="1"/>
  <c r="H92" i="16"/>
  <c r="G92" i="16" s="1"/>
  <c r="I94" i="35"/>
  <c r="M94" i="35" s="1"/>
  <c r="AI94" i="35" s="1"/>
  <c r="H94" i="35"/>
  <c r="AM87" i="16"/>
  <c r="AL87" i="16" s="1"/>
  <c r="AO87" i="16"/>
  <c r="F56" i="49" l="1"/>
  <c r="E57" i="49" s="1"/>
  <c r="C57" i="49" s="1"/>
  <c r="BV100" i="16"/>
  <c r="CD100" i="16"/>
  <c r="BZ100" i="16"/>
  <c r="BW101" i="16" s="1"/>
  <c r="I93" i="16"/>
  <c r="J93" i="16" s="1"/>
  <c r="H93" i="16"/>
  <c r="G93" i="16" s="1"/>
  <c r="AA115" i="35"/>
  <c r="AB115" i="35" s="1"/>
  <c r="Z115" i="35"/>
  <c r="Y115" i="35" s="1"/>
  <c r="R100" i="35"/>
  <c r="S100" i="35" s="1"/>
  <c r="Q100" i="35"/>
  <c r="P100" i="35" s="1"/>
  <c r="BA89" i="16"/>
  <c r="BE89" i="16"/>
  <c r="AV89" i="16"/>
  <c r="E88" i="16"/>
  <c r="BL127" i="35"/>
  <c r="BP127" i="35"/>
  <c r="BI127" i="35"/>
  <c r="BH127" i="35" s="1"/>
  <c r="L94" i="35"/>
  <c r="AH94" i="35" s="1"/>
  <c r="G94" i="35"/>
  <c r="AM88" i="16"/>
  <c r="AL88" i="16" s="1"/>
  <c r="AO88" i="16"/>
  <c r="J94" i="35"/>
  <c r="BM127" i="16"/>
  <c r="BJ127" i="16"/>
  <c r="BI127" i="16" s="1"/>
  <c r="BQ127" i="16"/>
  <c r="AX173" i="35"/>
  <c r="AX170" i="35"/>
  <c r="AX167" i="35"/>
  <c r="AX164" i="35"/>
  <c r="AX161" i="35"/>
  <c r="AX158" i="35"/>
  <c r="AX155" i="35"/>
  <c r="AX153" i="35"/>
  <c r="AX152" i="35"/>
  <c r="AX171" i="35"/>
  <c r="AX168" i="35"/>
  <c r="AX165" i="35"/>
  <c r="AX162" i="35"/>
  <c r="AX159" i="35"/>
  <c r="AX156" i="35"/>
  <c r="AX174" i="35"/>
  <c r="AX169" i="35"/>
  <c r="AX163" i="35"/>
  <c r="AX160" i="35"/>
  <c r="AX157" i="35"/>
  <c r="AX148" i="35"/>
  <c r="AX142" i="35"/>
  <c r="AX139" i="35"/>
  <c r="AX150" i="35"/>
  <c r="AX149" i="35"/>
  <c r="AX144" i="35"/>
  <c r="AX143" i="35"/>
  <c r="AX141" i="35"/>
  <c r="AX140" i="35"/>
  <c r="AX151" i="35"/>
  <c r="AX137" i="35"/>
  <c r="AX132" i="35"/>
  <c r="AX131" i="35"/>
  <c r="AX129" i="35"/>
  <c r="AX146" i="35"/>
  <c r="AX138" i="35"/>
  <c r="AX133" i="35"/>
  <c r="AX172" i="35"/>
  <c r="AX166" i="35"/>
  <c r="AX154" i="35"/>
  <c r="AX145" i="35"/>
  <c r="AX135" i="35"/>
  <c r="AX134" i="35"/>
  <c r="AX128" i="35"/>
  <c r="AX123" i="35"/>
  <c r="AX119" i="35"/>
  <c r="AX117" i="35"/>
  <c r="AX147" i="35"/>
  <c r="AX124" i="35"/>
  <c r="AX120" i="35"/>
  <c r="AX130" i="35"/>
  <c r="AX126" i="35"/>
  <c r="AX125" i="35"/>
  <c r="AX121" i="35"/>
  <c r="AX111" i="35"/>
  <c r="AX110" i="35"/>
  <c r="AX102" i="35"/>
  <c r="AX101" i="35"/>
  <c r="AX96" i="35"/>
  <c r="AX95" i="35"/>
  <c r="AX93" i="35"/>
  <c r="AX92" i="35"/>
  <c r="E89" i="35"/>
  <c r="AX112" i="35"/>
  <c r="AX106" i="35"/>
  <c r="AX103" i="35"/>
  <c r="AX97" i="35"/>
  <c r="AX127" i="35"/>
  <c r="AX122" i="35"/>
  <c r="AX116" i="35"/>
  <c r="AX114" i="35"/>
  <c r="AX113" i="35"/>
  <c r="AX108" i="35"/>
  <c r="AX107" i="35"/>
  <c r="AX105" i="35"/>
  <c r="AX104" i="35"/>
  <c r="AX99" i="35"/>
  <c r="AX98" i="35"/>
  <c r="BD90" i="35"/>
  <c r="AX90" i="35"/>
  <c r="AW90" i="35"/>
  <c r="AX136" i="35"/>
  <c r="AX118" i="35"/>
  <c r="AX115" i="35"/>
  <c r="G15" i="36" s="1"/>
  <c r="AX94" i="35"/>
  <c r="AX109" i="35"/>
  <c r="AX100" i="35"/>
  <c r="AX91" i="35"/>
  <c r="AM89" i="35"/>
  <c r="AL89" i="35" s="1"/>
  <c r="AO89" i="35"/>
  <c r="AA117" i="16"/>
  <c r="AB117" i="16" s="1"/>
  <c r="Z117" i="16"/>
  <c r="Y117" i="16" s="1"/>
  <c r="R101" i="16"/>
  <c r="S101" i="16" s="1"/>
  <c r="Q101" i="16"/>
  <c r="P101" i="16" s="1"/>
  <c r="CD101" i="16" l="1"/>
  <c r="BV101" i="16"/>
  <c r="AV90" i="35"/>
  <c r="G13" i="36"/>
  <c r="BF154" i="35"/>
  <c r="BF94" i="35"/>
  <c r="BF118" i="35"/>
  <c r="G18" i="36"/>
  <c r="Z118" i="16"/>
  <c r="AA118" i="16"/>
  <c r="AE118" i="16" s="1"/>
  <c r="Q101" i="35"/>
  <c r="P101" i="35" s="1"/>
  <c r="R101" i="35"/>
  <c r="S101" i="35" s="1"/>
  <c r="R102" i="16"/>
  <c r="S102" i="16" s="1"/>
  <c r="Q102" i="16"/>
  <c r="P102" i="16" s="1"/>
  <c r="AM90" i="35"/>
  <c r="AL90" i="35" s="1"/>
  <c r="AO90" i="35"/>
  <c r="BF130" i="35"/>
  <c r="BF166" i="35"/>
  <c r="G17" i="36"/>
  <c r="Z116" i="35"/>
  <c r="Y116" i="35" s="1"/>
  <c r="AA116" i="35"/>
  <c r="AB116" i="35" s="1"/>
  <c r="G14" i="36"/>
  <c r="BF142" i="35"/>
  <c r="G19" i="36"/>
  <c r="BM128" i="16"/>
  <c r="BQ128" i="16"/>
  <c r="BJ128" i="16"/>
  <c r="BI128" i="16" s="1"/>
  <c r="I94" i="16"/>
  <c r="M94" i="16" s="1"/>
  <c r="AI94" i="16" s="1"/>
  <c r="H94" i="16"/>
  <c r="AX178" i="35"/>
  <c r="G12" i="36"/>
  <c r="H12" i="36" s="1"/>
  <c r="BF82" i="35"/>
  <c r="G16" i="36"/>
  <c r="BF106" i="35"/>
  <c r="I95" i="35"/>
  <c r="J95" i="35" s="1"/>
  <c r="H95" i="35"/>
  <c r="G95" i="35" s="1"/>
  <c r="AZ90" i="35"/>
  <c r="AM89" i="16"/>
  <c r="AL89" i="16" s="1"/>
  <c r="AO89" i="16"/>
  <c r="BL128" i="35"/>
  <c r="BP128" i="35"/>
  <c r="BI128" i="35"/>
  <c r="BH128" i="35" s="1"/>
  <c r="AV90" i="16"/>
  <c r="E89" i="16"/>
  <c r="BA90" i="16"/>
  <c r="BE90" i="16"/>
  <c r="H13" i="36" l="1"/>
  <c r="H14" i="36" s="1"/>
  <c r="H15" i="36" s="1"/>
  <c r="H16" i="36" s="1"/>
  <c r="H17" i="36" s="1"/>
  <c r="H18" i="36" s="1"/>
  <c r="H19" i="36" s="1"/>
  <c r="Q102" i="35"/>
  <c r="P102" i="35" s="1"/>
  <c r="R102" i="35"/>
  <c r="S102" i="35" s="1"/>
  <c r="I96" i="35"/>
  <c r="J96" i="35" s="1"/>
  <c r="H96" i="35"/>
  <c r="G96" i="35" s="1"/>
  <c r="R103" i="16"/>
  <c r="S103" i="16" s="1"/>
  <c r="Q103" i="16"/>
  <c r="P103" i="16" s="1"/>
  <c r="BA91" i="16"/>
  <c r="BE91" i="16"/>
  <c r="AV91" i="16"/>
  <c r="E90" i="16"/>
  <c r="AW91" i="35"/>
  <c r="AV91" i="35" s="1"/>
  <c r="AZ91" i="35"/>
  <c r="E90" i="35"/>
  <c r="BD91" i="35"/>
  <c r="L94" i="16"/>
  <c r="AH94" i="16" s="1"/>
  <c r="G94" i="16"/>
  <c r="BF178" i="35"/>
  <c r="AA117" i="35"/>
  <c r="AB117" i="35" s="1"/>
  <c r="Z117" i="35"/>
  <c r="Y117" i="35" s="1"/>
  <c r="AM91" i="35"/>
  <c r="AL91" i="35" s="1"/>
  <c r="AO91" i="35"/>
  <c r="AM90" i="16"/>
  <c r="AL90" i="16" s="1"/>
  <c r="AO90" i="16"/>
  <c r="J94" i="16"/>
  <c r="AB118" i="16"/>
  <c r="BL129" i="35"/>
  <c r="BI129" i="35"/>
  <c r="BP129" i="35"/>
  <c r="AF61" i="48"/>
  <c r="AH61" i="48" s="1"/>
  <c r="BM129" i="16"/>
  <c r="BJ129" i="16"/>
  <c r="R75" i="9" s="1"/>
  <c r="BQ129" i="16"/>
  <c r="AD118" i="16"/>
  <c r="Y118" i="16"/>
  <c r="F57" i="49" l="1"/>
  <c r="E58" i="49" s="1"/>
  <c r="C58" i="49" s="1"/>
  <c r="G47" i="39"/>
  <c r="I97" i="35"/>
  <c r="J97" i="35" s="1"/>
  <c r="H97" i="35"/>
  <c r="G97" i="35" s="1"/>
  <c r="R103" i="35"/>
  <c r="S103" i="35" s="1"/>
  <c r="Q103" i="35"/>
  <c r="P103" i="35" s="1"/>
  <c r="Z118" i="35"/>
  <c r="AA118" i="35"/>
  <c r="AE118" i="35" s="1"/>
  <c r="Q104" i="16"/>
  <c r="P104" i="16" s="1"/>
  <c r="R104" i="16"/>
  <c r="S104" i="16" s="1"/>
  <c r="BQ130" i="16"/>
  <c r="BJ130" i="16"/>
  <c r="BM130" i="16"/>
  <c r="AF72" i="48"/>
  <c r="Z119" i="16"/>
  <c r="Y119" i="16" s="1"/>
  <c r="AA119" i="16"/>
  <c r="AB119" i="16" s="1"/>
  <c r="AM91" i="16"/>
  <c r="AL91" i="16" s="1"/>
  <c r="AO91" i="16"/>
  <c r="I95" i="16"/>
  <c r="J95" i="16" s="1"/>
  <c r="H95" i="16"/>
  <c r="G95" i="16" s="1"/>
  <c r="E91" i="16"/>
  <c r="BE92" i="16"/>
  <c r="BA92" i="16"/>
  <c r="AV92" i="16"/>
  <c r="BP130" i="35"/>
  <c r="BL130" i="35"/>
  <c r="BI130" i="35"/>
  <c r="BI129" i="16"/>
  <c r="BR118" i="16"/>
  <c r="BH129" i="35"/>
  <c r="BQ118" i="35"/>
  <c r="AM92" i="35"/>
  <c r="AL92" i="35" s="1"/>
  <c r="AO92" i="35"/>
  <c r="BD92" i="35"/>
  <c r="AW92" i="35"/>
  <c r="AV92" i="35" s="1"/>
  <c r="E91" i="35"/>
  <c r="AZ92" i="35"/>
  <c r="AF156" i="48" l="1"/>
  <c r="AH156" i="48" s="1"/>
  <c r="AH72" i="48"/>
  <c r="AB118" i="35"/>
  <c r="H96" i="16"/>
  <c r="G96" i="16" s="1"/>
  <c r="I96" i="16"/>
  <c r="J96" i="16" s="1"/>
  <c r="R105" i="16"/>
  <c r="S105" i="16" s="1"/>
  <c r="Q105" i="16"/>
  <c r="P105" i="16" s="1"/>
  <c r="AA120" i="16"/>
  <c r="AB120" i="16" s="1"/>
  <c r="Z120" i="16"/>
  <c r="Y120" i="16" s="1"/>
  <c r="I98" i="35"/>
  <c r="J98" i="35" s="1"/>
  <c r="H98" i="35"/>
  <c r="G98" i="35" s="1"/>
  <c r="AA119" i="35"/>
  <c r="AB119" i="35" s="1"/>
  <c r="Z119" i="35"/>
  <c r="Y119" i="35" s="1"/>
  <c r="BL131" i="35"/>
  <c r="BP131" i="35"/>
  <c r="BI131" i="35"/>
  <c r="BH131" i="35" s="1"/>
  <c r="BD93" i="35"/>
  <c r="E92" i="35"/>
  <c r="AW93" i="35"/>
  <c r="AZ93" i="35"/>
  <c r="AM93" i="35"/>
  <c r="AL93" i="35" s="1"/>
  <c r="AO93" i="35"/>
  <c r="BQ131" i="16"/>
  <c r="BJ131" i="16"/>
  <c r="BI131" i="16" s="1"/>
  <c r="BM131" i="16"/>
  <c r="AD118" i="35"/>
  <c r="Y118" i="35"/>
  <c r="AM92" i="16"/>
  <c r="AL92" i="16" s="1"/>
  <c r="AO92" i="16"/>
  <c r="BI130" i="16"/>
  <c r="R104" i="35"/>
  <c r="S104" i="35" s="1"/>
  <c r="Q104" i="35"/>
  <c r="P104" i="35" s="1"/>
  <c r="BH130" i="35"/>
  <c r="BE93" i="16"/>
  <c r="AV93" i="16"/>
  <c r="BA93" i="16"/>
  <c r="E92" i="16"/>
  <c r="AM61" i="48"/>
  <c r="AM72" i="48" s="1"/>
  <c r="AM156" i="48" s="1"/>
  <c r="AL61" i="48"/>
  <c r="AF172" i="48" l="1"/>
  <c r="AF157" i="48"/>
  <c r="AH157" i="48" s="1"/>
  <c r="R106" i="16"/>
  <c r="V106" i="16" s="1"/>
  <c r="Q106" i="16"/>
  <c r="AA121" i="16"/>
  <c r="AB121" i="16" s="1"/>
  <c r="Z121" i="16"/>
  <c r="Y121" i="16" s="1"/>
  <c r="R105" i="35"/>
  <c r="S105" i="35" s="1"/>
  <c r="Q105" i="35"/>
  <c r="P105" i="35" s="1"/>
  <c r="Z120" i="35"/>
  <c r="Y120" i="35" s="1"/>
  <c r="AA120" i="35"/>
  <c r="AB120" i="35" s="1"/>
  <c r="AM93" i="16"/>
  <c r="AL93" i="16" s="1"/>
  <c r="AO93" i="16"/>
  <c r="AW94" i="35"/>
  <c r="E93" i="35"/>
  <c r="AZ94" i="35"/>
  <c r="BD94" i="35"/>
  <c r="AH172" i="48"/>
  <c r="BE94" i="16"/>
  <c r="AV94" i="16"/>
  <c r="E93" i="16"/>
  <c r="BA94" i="16"/>
  <c r="AV93" i="35"/>
  <c r="BE82" i="35"/>
  <c r="AU61" i="48"/>
  <c r="AU72" i="48" s="1"/>
  <c r="AU156" i="48" s="1"/>
  <c r="AL72" i="48"/>
  <c r="AL156" i="48" s="1"/>
  <c r="AM94" i="35"/>
  <c r="AO94" i="35"/>
  <c r="BL132" i="35"/>
  <c r="BI132" i="35"/>
  <c r="BP132" i="35"/>
  <c r="J99" i="35"/>
  <c r="I99" i="35"/>
  <c r="H99" i="35"/>
  <c r="G99" i="35" s="1"/>
  <c r="I97" i="16"/>
  <c r="J97" i="16" s="1"/>
  <c r="H97" i="16"/>
  <c r="G97" i="16" s="1"/>
  <c r="AM157" i="48"/>
  <c r="AM172" i="48"/>
  <c r="AM178" i="48" s="1"/>
  <c r="BF82" i="16"/>
  <c r="BM132" i="16"/>
  <c r="BJ132" i="16"/>
  <c r="BQ132" i="16"/>
  <c r="F58" i="49" l="1"/>
  <c r="E59" i="49" s="1"/>
  <c r="C59" i="49" s="1"/>
  <c r="S106" i="16"/>
  <c r="AA122" i="16"/>
  <c r="Z122" i="16"/>
  <c r="Y122" i="16" s="1"/>
  <c r="AB122" i="16"/>
  <c r="R106" i="35"/>
  <c r="V106" i="35" s="1"/>
  <c r="Q106" i="35"/>
  <c r="I98" i="16"/>
  <c r="J98" i="16" s="1"/>
  <c r="H98" i="16"/>
  <c r="G98" i="16" s="1"/>
  <c r="AA121" i="35"/>
  <c r="AB121" i="35" s="1"/>
  <c r="Z121" i="35"/>
  <c r="Y121" i="35" s="1"/>
  <c r="O66" i="9"/>
  <c r="D51" i="39" s="1"/>
  <c r="D55" i="39" s="1"/>
  <c r="H100" i="35"/>
  <c r="G100" i="35" s="1"/>
  <c r="I100" i="35"/>
  <c r="J100" i="35" s="1"/>
  <c r="AM95" i="35"/>
  <c r="AL95" i="35" s="1"/>
  <c r="AO95" i="35"/>
  <c r="AL172" i="48"/>
  <c r="AL178" i="48" s="1"/>
  <c r="AL157" i="48"/>
  <c r="BA95" i="16"/>
  <c r="E94" i="16"/>
  <c r="AV95" i="16"/>
  <c r="BE95" i="16"/>
  <c r="AQ94" i="35"/>
  <c r="AL94" i="35"/>
  <c r="AU172" i="48"/>
  <c r="AU157" i="48"/>
  <c r="AV94" i="35"/>
  <c r="R107" i="16"/>
  <c r="S107" i="16" s="1"/>
  <c r="Q107" i="16"/>
  <c r="P107" i="16" s="1"/>
  <c r="BH132" i="35"/>
  <c r="AM94" i="16"/>
  <c r="AO94" i="16"/>
  <c r="U106" i="16"/>
  <c r="P106" i="16"/>
  <c r="BI132" i="16"/>
  <c r="BQ133" i="16"/>
  <c r="BJ133" i="16"/>
  <c r="BI133" i="16" s="1"/>
  <c r="BM133" i="16"/>
  <c r="BL133" i="35"/>
  <c r="BI133" i="35"/>
  <c r="BH133" i="35" s="1"/>
  <c r="BP133" i="35"/>
  <c r="BD95" i="35"/>
  <c r="AW95" i="35"/>
  <c r="AV95" i="35" s="1"/>
  <c r="E94" i="35"/>
  <c r="AZ95" i="35"/>
  <c r="S106" i="35" l="1"/>
  <c r="H20" i="8"/>
  <c r="R108" i="16"/>
  <c r="S108" i="16" s="1"/>
  <c r="Q108" i="16"/>
  <c r="P108" i="16" s="1"/>
  <c r="I99" i="16"/>
  <c r="J99" i="16" s="1"/>
  <c r="H99" i="16"/>
  <c r="G99" i="16" s="1"/>
  <c r="I101" i="35"/>
  <c r="J101" i="35" s="1"/>
  <c r="H101" i="35"/>
  <c r="G101" i="35" s="1"/>
  <c r="BM134" i="16"/>
  <c r="BQ134" i="16"/>
  <c r="BJ134" i="16"/>
  <c r="AU178" i="48"/>
  <c r="AK180" i="48"/>
  <c r="AA122" i="35"/>
  <c r="AB122" i="35" s="1"/>
  <c r="Z122" i="35"/>
  <c r="Y122" i="35" s="1"/>
  <c r="BD96" i="35"/>
  <c r="E95" i="35"/>
  <c r="AW96" i="35"/>
  <c r="AV96" i="35" s="1"/>
  <c r="AZ96" i="35"/>
  <c r="AM96" i="35"/>
  <c r="AL96" i="35" s="1"/>
  <c r="AO96" i="35"/>
  <c r="AA123" i="16"/>
  <c r="AB123" i="16" s="1"/>
  <c r="Z123" i="16"/>
  <c r="Y123" i="16" s="1"/>
  <c r="BP134" i="35"/>
  <c r="BI134" i="35"/>
  <c r="BH134" i="35" s="1"/>
  <c r="BL134" i="35"/>
  <c r="AM95" i="16"/>
  <c r="AL95" i="16" s="1"/>
  <c r="AO95" i="16"/>
  <c r="AV96" i="16"/>
  <c r="E95" i="16"/>
  <c r="BE96" i="16"/>
  <c r="BA96" i="16"/>
  <c r="R107" i="35"/>
  <c r="S107" i="35" s="1"/>
  <c r="Q107" i="35"/>
  <c r="P107" i="35" s="1"/>
  <c r="AQ94" i="16"/>
  <c r="AL94" i="16"/>
  <c r="O80" i="9"/>
  <c r="U106" i="35"/>
  <c r="P106" i="35"/>
  <c r="I150" i="50" l="1"/>
  <c r="J150" i="50"/>
  <c r="I102" i="35"/>
  <c r="J102" i="35" s="1"/>
  <c r="H102" i="35"/>
  <c r="G102" i="35" s="1"/>
  <c r="AA124" i="16"/>
  <c r="AB124" i="16" s="1"/>
  <c r="Z124" i="16"/>
  <c r="Y124" i="16" s="1"/>
  <c r="H22" i="8"/>
  <c r="H75" i="8" s="1"/>
  <c r="O82" i="9"/>
  <c r="R108" i="35"/>
  <c r="S108" i="35" s="1"/>
  <c r="Q108" i="35"/>
  <c r="P108" i="35" s="1"/>
  <c r="AA123" i="35"/>
  <c r="AB123" i="35" s="1"/>
  <c r="Z123" i="35"/>
  <c r="Y123" i="35" s="1"/>
  <c r="BI134" i="16"/>
  <c r="S9" i="39"/>
  <c r="S67" i="39" s="1"/>
  <c r="BA97" i="16"/>
  <c r="BE97" i="16"/>
  <c r="AV97" i="16"/>
  <c r="E96" i="16"/>
  <c r="BP135" i="35"/>
  <c r="BI135" i="35"/>
  <c r="BH135" i="35" s="1"/>
  <c r="BL135" i="35"/>
  <c r="R109" i="16"/>
  <c r="S109" i="16" s="1"/>
  <c r="Q109" i="16"/>
  <c r="P109" i="16" s="1"/>
  <c r="AZ97" i="35"/>
  <c r="E96" i="35"/>
  <c r="BD97" i="35"/>
  <c r="AW97" i="35"/>
  <c r="BQ135" i="16"/>
  <c r="BM135" i="16"/>
  <c r="BJ135" i="16"/>
  <c r="BI135" i="16" s="1"/>
  <c r="I100" i="16"/>
  <c r="J100" i="16" s="1"/>
  <c r="H100" i="16"/>
  <c r="G100" i="16" s="1"/>
  <c r="AM96" i="16"/>
  <c r="AL96" i="16" s="1"/>
  <c r="AO96" i="16"/>
  <c r="AM97" i="35"/>
  <c r="AL97" i="35" s="1"/>
  <c r="AO97" i="35"/>
  <c r="F59" i="49" l="1"/>
  <c r="E60" i="49" s="1"/>
  <c r="C60" i="49" s="1"/>
  <c r="I159" i="50"/>
  <c r="J159" i="50"/>
  <c r="H101" i="16"/>
  <c r="G101" i="16" s="1"/>
  <c r="I101" i="16"/>
  <c r="J101" i="16" s="1"/>
  <c r="R109" i="35"/>
  <c r="S109" i="35" s="1"/>
  <c r="Q109" i="35"/>
  <c r="P109" i="35" s="1"/>
  <c r="Z124" i="35"/>
  <c r="Y124" i="35" s="1"/>
  <c r="AA124" i="35"/>
  <c r="AB124" i="35" s="1"/>
  <c r="AM97" i="16"/>
  <c r="AL97" i="16" s="1"/>
  <c r="AO97" i="16"/>
  <c r="AV97" i="35"/>
  <c r="Z125" i="16"/>
  <c r="Y125" i="16" s="1"/>
  <c r="AA125" i="16"/>
  <c r="AB125" i="16" s="1"/>
  <c r="E97" i="16"/>
  <c r="BA98" i="16"/>
  <c r="AV98" i="16"/>
  <c r="BE98" i="16"/>
  <c r="H196" i="8"/>
  <c r="H233" i="8"/>
  <c r="H152" i="8"/>
  <c r="I103" i="35"/>
  <c r="J103" i="35" s="1"/>
  <c r="H103" i="35"/>
  <c r="G103" i="35" s="1"/>
  <c r="AM98" i="35"/>
  <c r="AL98" i="35" s="1"/>
  <c r="AO98" i="35"/>
  <c r="BM136" i="16"/>
  <c r="BQ136" i="16"/>
  <c r="BJ136" i="16"/>
  <c r="BI136" i="16" s="1"/>
  <c r="Q110" i="16"/>
  <c r="P110" i="16" s="1"/>
  <c r="R110" i="16"/>
  <c r="S110" i="16" s="1"/>
  <c r="AZ98" i="35"/>
  <c r="E97" i="35"/>
  <c r="BD98" i="35"/>
  <c r="AW98" i="35"/>
  <c r="AV98" i="35" s="1"/>
  <c r="BL136" i="35"/>
  <c r="BP136" i="35"/>
  <c r="BI136" i="35"/>
  <c r="I104" i="35" l="1"/>
  <c r="J104" i="35" s="1"/>
  <c r="H104" i="35"/>
  <c r="G104" i="35" s="1"/>
  <c r="I102" i="16"/>
  <c r="J102" i="16" s="1"/>
  <c r="H102" i="16"/>
  <c r="G102" i="16" s="1"/>
  <c r="R111" i="16"/>
  <c r="S111" i="16" s="1"/>
  <c r="Q111" i="16"/>
  <c r="P111" i="16" s="1"/>
  <c r="AA126" i="16"/>
  <c r="AB126" i="16" s="1"/>
  <c r="Z126" i="16"/>
  <c r="Y126" i="16" s="1"/>
  <c r="AM99" i="35"/>
  <c r="AL99" i="35" s="1"/>
  <c r="AO99" i="35"/>
  <c r="BE99" i="16"/>
  <c r="AW99" i="16"/>
  <c r="AV99" i="16" s="1"/>
  <c r="E98" i="16"/>
  <c r="BA99" i="16"/>
  <c r="AA125" i="35"/>
  <c r="AB125" i="35" s="1"/>
  <c r="Z125" i="35"/>
  <c r="Y125" i="35" s="1"/>
  <c r="Q110" i="35"/>
  <c r="P110" i="35" s="1"/>
  <c r="R110" i="35"/>
  <c r="S110" i="35" s="1"/>
  <c r="BH136" i="35"/>
  <c r="AM98" i="16"/>
  <c r="AL98" i="16" s="1"/>
  <c r="AO98" i="16"/>
  <c r="BL137" i="35"/>
  <c r="BP137" i="35"/>
  <c r="BI137" i="35"/>
  <c r="BH137" i="35" s="1"/>
  <c r="AZ99" i="35"/>
  <c r="BD99" i="35"/>
  <c r="E98" i="35"/>
  <c r="AW99" i="35"/>
  <c r="AV99" i="35" s="1"/>
  <c r="BJ137" i="16"/>
  <c r="BI137" i="16" s="1"/>
  <c r="BQ137" i="16"/>
  <c r="BM137" i="16"/>
  <c r="H115" i="8"/>
  <c r="F60" i="49" l="1"/>
  <c r="E61" i="49" s="1"/>
  <c r="C61" i="49" s="1"/>
  <c r="AA127" i="16"/>
  <c r="AB127" i="16" s="1"/>
  <c r="Z127" i="16"/>
  <c r="Y127" i="16" s="1"/>
  <c r="Q111" i="35"/>
  <c r="P111" i="35" s="1"/>
  <c r="R111" i="35"/>
  <c r="S111" i="35" s="1"/>
  <c r="R112" i="16"/>
  <c r="S112" i="16" s="1"/>
  <c r="Q112" i="16"/>
  <c r="P112" i="16" s="1"/>
  <c r="AA126" i="35"/>
  <c r="AB126" i="35" s="1"/>
  <c r="Z126" i="35"/>
  <c r="Y126" i="35" s="1"/>
  <c r="I105" i="35"/>
  <c r="J105" i="35" s="1"/>
  <c r="H105" i="35"/>
  <c r="G105" i="35" s="1"/>
  <c r="I103" i="16"/>
  <c r="J103" i="16" s="1"/>
  <c r="H103" i="16"/>
  <c r="G103" i="16" s="1"/>
  <c r="BM138" i="16"/>
  <c r="BQ138" i="16"/>
  <c r="BJ138" i="16"/>
  <c r="BI138" i="16" s="1"/>
  <c r="E99" i="16"/>
  <c r="BA100" i="16"/>
  <c r="AY101" i="16" s="1"/>
  <c r="BY101" i="16" s="1"/>
  <c r="BE100" i="16"/>
  <c r="AW100" i="16"/>
  <c r="AV100" i="16" s="1"/>
  <c r="BL138" i="35"/>
  <c r="BP138" i="35"/>
  <c r="BI138" i="35"/>
  <c r="BH138" i="35" s="1"/>
  <c r="AM99" i="16"/>
  <c r="AL99" i="16" s="1"/>
  <c r="AO99" i="16"/>
  <c r="AM100" i="35"/>
  <c r="AL100" i="35" s="1"/>
  <c r="AO100" i="35"/>
  <c r="AW100" i="35"/>
  <c r="AV100" i="35" s="1"/>
  <c r="AZ100" i="35"/>
  <c r="E99" i="35"/>
  <c r="BD100" i="35"/>
  <c r="BU102" i="16" l="1"/>
  <c r="BZ101" i="16"/>
  <c r="H106" i="35"/>
  <c r="I106" i="35"/>
  <c r="M106" i="35" s="1"/>
  <c r="AI106" i="35" s="1"/>
  <c r="R113" i="16"/>
  <c r="S113" i="16" s="1"/>
  <c r="Q113" i="16"/>
  <c r="P113" i="16" s="1"/>
  <c r="R112" i="35"/>
  <c r="S112" i="35" s="1"/>
  <c r="Q112" i="35"/>
  <c r="P112" i="35" s="1"/>
  <c r="AM101" i="35"/>
  <c r="AL101" i="35" s="1"/>
  <c r="AO101" i="35"/>
  <c r="AM100" i="16"/>
  <c r="AL100" i="16" s="1"/>
  <c r="AO100" i="16"/>
  <c r="I104" i="16"/>
  <c r="J104" i="16" s="1"/>
  <c r="H104" i="16"/>
  <c r="G104" i="16" s="1"/>
  <c r="AA127" i="35"/>
  <c r="AB127" i="35" s="1"/>
  <c r="Z127" i="35"/>
  <c r="Y127" i="35" s="1"/>
  <c r="BL139" i="35"/>
  <c r="BI139" i="35"/>
  <c r="BH139" i="35" s="1"/>
  <c r="BP139" i="35"/>
  <c r="BE101" i="16"/>
  <c r="AW101" i="16"/>
  <c r="AV101" i="16" s="1"/>
  <c r="E100" i="16"/>
  <c r="BA101" i="16"/>
  <c r="AY102" i="16" s="1"/>
  <c r="BY102" i="16" s="1"/>
  <c r="BQ139" i="16"/>
  <c r="BM139" i="16"/>
  <c r="BJ139" i="16"/>
  <c r="BI139" i="16" s="1"/>
  <c r="AA128" i="16"/>
  <c r="AB128" i="16" s="1"/>
  <c r="Z128" i="16"/>
  <c r="Y128" i="16" s="1"/>
  <c r="BD101" i="35"/>
  <c r="AW101" i="35"/>
  <c r="AV101" i="35" s="1"/>
  <c r="E100" i="35"/>
  <c r="AZ101" i="35"/>
  <c r="F61" i="49" l="1"/>
  <c r="E62" i="49" s="1"/>
  <c r="C62" i="49" s="1"/>
  <c r="CD102" i="16"/>
  <c r="BW102" i="16"/>
  <c r="BU103" i="16"/>
  <c r="C13" i="36"/>
  <c r="D13" i="36" s="1"/>
  <c r="I105" i="16"/>
  <c r="J105" i="16" s="1"/>
  <c r="H105" i="16"/>
  <c r="G105" i="16" s="1"/>
  <c r="AA128" i="35"/>
  <c r="AB128" i="35" s="1"/>
  <c r="Z128" i="35"/>
  <c r="Y128" i="35" s="1"/>
  <c r="R113" i="35"/>
  <c r="S113" i="35" s="1"/>
  <c r="Q113" i="35"/>
  <c r="P113" i="35" s="1"/>
  <c r="BD102" i="35"/>
  <c r="E101" i="35"/>
  <c r="AW102" i="35"/>
  <c r="AV102" i="35" s="1"/>
  <c r="AZ102" i="35"/>
  <c r="BM140" i="16"/>
  <c r="BQ140" i="16"/>
  <c r="BJ140" i="16"/>
  <c r="BI140" i="16" s="1"/>
  <c r="BP140" i="35"/>
  <c r="BL140" i="35"/>
  <c r="BI140" i="35"/>
  <c r="BH140" i="35" s="1"/>
  <c r="AA129" i="16"/>
  <c r="AB129" i="16" s="1"/>
  <c r="Z129" i="16"/>
  <c r="Y129" i="16" s="1"/>
  <c r="AM102" i="35"/>
  <c r="AL102" i="35" s="1"/>
  <c r="AO102" i="35"/>
  <c r="BA102" i="16"/>
  <c r="AY103" i="16" s="1"/>
  <c r="BY103" i="16" s="1"/>
  <c r="BE102" i="16"/>
  <c r="AW102" i="16"/>
  <c r="AV102" i="16" s="1"/>
  <c r="E101" i="16"/>
  <c r="R114" i="16"/>
  <c r="S114" i="16" s="1"/>
  <c r="Q114" i="16"/>
  <c r="P114" i="16" s="1"/>
  <c r="J106" i="35"/>
  <c r="AM101" i="16"/>
  <c r="AL101" i="16" s="1"/>
  <c r="AO101" i="16"/>
  <c r="L106" i="35"/>
  <c r="AH106" i="35" s="1"/>
  <c r="G106" i="35"/>
  <c r="BU104" i="16" l="1"/>
  <c r="R114" i="35"/>
  <c r="S114" i="35" s="1"/>
  <c r="Q114" i="35"/>
  <c r="P114" i="35" s="1"/>
  <c r="Q115" i="16"/>
  <c r="P115" i="16" s="1"/>
  <c r="R115" i="16"/>
  <c r="S115" i="16" s="1"/>
  <c r="H106" i="16"/>
  <c r="I106" i="16"/>
  <c r="M106" i="16" s="1"/>
  <c r="AI106" i="16" s="1"/>
  <c r="BJ141" i="16"/>
  <c r="S75" i="9" s="1"/>
  <c r="BQ141" i="16"/>
  <c r="BM141" i="16"/>
  <c r="AA129" i="35"/>
  <c r="AB129" i="35" s="1"/>
  <c r="Z129" i="35"/>
  <c r="Y129" i="35" s="1"/>
  <c r="I107" i="35"/>
  <c r="J107" i="35" s="1"/>
  <c r="H107" i="35"/>
  <c r="G107" i="35" s="1"/>
  <c r="AM102" i="16"/>
  <c r="AL102" i="16" s="1"/>
  <c r="AO102" i="16"/>
  <c r="AZ103" i="35"/>
  <c r="E102" i="35"/>
  <c r="BD103" i="35"/>
  <c r="AW103" i="35"/>
  <c r="AV103" i="35" s="1"/>
  <c r="Z130" i="16"/>
  <c r="AA130" i="16"/>
  <c r="AE130" i="16" s="1"/>
  <c r="BL141" i="35"/>
  <c r="BI141" i="35"/>
  <c r="BP141" i="35"/>
  <c r="AM103" i="35"/>
  <c r="AL103" i="35" s="1"/>
  <c r="AO103" i="35"/>
  <c r="E102" i="16"/>
  <c r="BE103" i="16"/>
  <c r="BA103" i="16"/>
  <c r="AY104" i="16" s="1"/>
  <c r="BY104" i="16" s="1"/>
  <c r="AW103" i="16"/>
  <c r="AV103" i="16" s="1"/>
  <c r="F62" i="49" l="1"/>
  <c r="E63" i="49" s="1"/>
  <c r="C63" i="49" s="1"/>
  <c r="H47" i="39"/>
  <c r="BU105" i="16"/>
  <c r="J106" i="16"/>
  <c r="H107" i="16" s="1"/>
  <c r="G107" i="16" s="1"/>
  <c r="R116" i="16"/>
  <c r="S116" i="16" s="1"/>
  <c r="Q116" i="16"/>
  <c r="P116" i="16" s="1"/>
  <c r="Z130" i="35"/>
  <c r="AA130" i="35"/>
  <c r="AE130" i="35" s="1"/>
  <c r="I108" i="35"/>
  <c r="J108" i="35" s="1"/>
  <c r="H108" i="35"/>
  <c r="G108" i="35" s="1"/>
  <c r="R115" i="35"/>
  <c r="S115" i="35" s="1"/>
  <c r="Q115" i="35"/>
  <c r="P115" i="35" s="1"/>
  <c r="BP142" i="35"/>
  <c r="BI142" i="35"/>
  <c r="BL142" i="35"/>
  <c r="AM103" i="16"/>
  <c r="AL103" i="16" s="1"/>
  <c r="AO103" i="16"/>
  <c r="BM142" i="16"/>
  <c r="BQ142" i="16"/>
  <c r="BJ142" i="16"/>
  <c r="AB130" i="16"/>
  <c r="L106" i="16"/>
  <c r="AH106" i="16" s="1"/>
  <c r="G106" i="16"/>
  <c r="AM104" i="35"/>
  <c r="AL104" i="35" s="1"/>
  <c r="AO104" i="35"/>
  <c r="BI141" i="16"/>
  <c r="BR130" i="16"/>
  <c r="BA104" i="16"/>
  <c r="AY105" i="16" s="1"/>
  <c r="BY105" i="16" s="1"/>
  <c r="BE104" i="16"/>
  <c r="AW104" i="16"/>
  <c r="AV104" i="16" s="1"/>
  <c r="E103" i="16"/>
  <c r="BH141" i="35"/>
  <c r="BQ130" i="35"/>
  <c r="Y130" i="16"/>
  <c r="AD130" i="16"/>
  <c r="AZ104" i="35"/>
  <c r="E103" i="35"/>
  <c r="BD104" i="35"/>
  <c r="AW104" i="35"/>
  <c r="AV104" i="35" s="1"/>
  <c r="F63" i="49" l="1"/>
  <c r="E64" i="49" s="1"/>
  <c r="C64" i="49" s="1"/>
  <c r="BU106" i="16"/>
  <c r="P76" i="9"/>
  <c r="BG94" i="16"/>
  <c r="P65" i="9" s="1"/>
  <c r="I107" i="16"/>
  <c r="J107" i="16" s="1"/>
  <c r="H108" i="16" s="1"/>
  <c r="G108" i="16" s="1"/>
  <c r="H109" i="35"/>
  <c r="G109" i="35" s="1"/>
  <c r="I109" i="35"/>
  <c r="J109" i="35" s="1"/>
  <c r="Q117" i="16"/>
  <c r="P117" i="16" s="1"/>
  <c r="R117" i="16"/>
  <c r="S117" i="16" s="1"/>
  <c r="BP143" i="35"/>
  <c r="BL143" i="35"/>
  <c r="BI143" i="35"/>
  <c r="BH143" i="35" s="1"/>
  <c r="AD130" i="35"/>
  <c r="Y130" i="35"/>
  <c r="AZ105" i="35"/>
  <c r="BD105" i="35"/>
  <c r="E104" i="35"/>
  <c r="AW105" i="35"/>
  <c r="AM105" i="35"/>
  <c r="AL105" i="35" s="1"/>
  <c r="AO105" i="35"/>
  <c r="Z131" i="16"/>
  <c r="Y131" i="16" s="1"/>
  <c r="AA131" i="16"/>
  <c r="AB131" i="16" s="1"/>
  <c r="BM143" i="16"/>
  <c r="BQ143" i="16"/>
  <c r="BJ143" i="16"/>
  <c r="BI143" i="16" s="1"/>
  <c r="BH142" i="35"/>
  <c r="E104" i="16"/>
  <c r="BA105" i="16"/>
  <c r="AY106" i="16" s="1"/>
  <c r="BY106" i="16" s="1"/>
  <c r="AW105" i="16"/>
  <c r="AV105" i="16" s="1"/>
  <c r="BE105" i="16"/>
  <c r="AM104" i="16"/>
  <c r="AL104" i="16" s="1"/>
  <c r="AO104" i="16"/>
  <c r="R116" i="35"/>
  <c r="S116" i="35" s="1"/>
  <c r="Q116" i="35"/>
  <c r="P116" i="35" s="1"/>
  <c r="BI142" i="16"/>
  <c r="AB130" i="35"/>
  <c r="F64" i="49" l="1"/>
  <c r="E65" i="49" s="1"/>
  <c r="C65" i="49" s="1"/>
  <c r="E52" i="39"/>
  <c r="BU107" i="16"/>
  <c r="P90" i="9"/>
  <c r="I108" i="16"/>
  <c r="J108" i="16" s="1"/>
  <c r="H109" i="16" s="1"/>
  <c r="G109" i="16" s="1"/>
  <c r="AA132" i="16"/>
  <c r="AB132" i="16" s="1"/>
  <c r="Z132" i="16"/>
  <c r="Y132" i="16" s="1"/>
  <c r="I110" i="35"/>
  <c r="J110" i="35" s="1"/>
  <c r="H110" i="35"/>
  <c r="G110" i="35" s="1"/>
  <c r="I109" i="16"/>
  <c r="J109" i="16" s="1"/>
  <c r="Q117" i="35"/>
  <c r="P117" i="35" s="1"/>
  <c r="R117" i="35"/>
  <c r="S117" i="35" s="1"/>
  <c r="BQ144" i="16"/>
  <c r="BM144" i="16"/>
  <c r="BJ144" i="16"/>
  <c r="AM106" i="35"/>
  <c r="AO106" i="35"/>
  <c r="R118" i="16"/>
  <c r="V118" i="16" s="1"/>
  <c r="Q118" i="16"/>
  <c r="BF94" i="16"/>
  <c r="AZ106" i="35"/>
  <c r="BD106" i="35"/>
  <c r="AW106" i="35"/>
  <c r="E105" i="35"/>
  <c r="BL144" i="35"/>
  <c r="BI144" i="35"/>
  <c r="BP144" i="35"/>
  <c r="AM105" i="16"/>
  <c r="AL105" i="16" s="1"/>
  <c r="AO105" i="16"/>
  <c r="BA106" i="16"/>
  <c r="AY107" i="16" s="1"/>
  <c r="BY107" i="16" s="1"/>
  <c r="E105" i="16"/>
  <c r="AW106" i="16"/>
  <c r="AV106" i="16" s="1"/>
  <c r="BE106" i="16"/>
  <c r="AV105" i="35"/>
  <c r="BE94" i="35"/>
  <c r="AA131" i="35"/>
  <c r="AB131" i="35" s="1"/>
  <c r="Z131" i="35"/>
  <c r="Y131" i="35" s="1"/>
  <c r="F65" i="49" l="1"/>
  <c r="E66" i="49" s="1"/>
  <c r="C66" i="49" s="1"/>
  <c r="T12" i="39"/>
  <c r="T69" i="39" s="1"/>
  <c r="BU108" i="16"/>
  <c r="I25" i="8"/>
  <c r="I78" i="8" s="1"/>
  <c r="AA132" i="35"/>
  <c r="AB132" i="35" s="1"/>
  <c r="Z132" i="35"/>
  <c r="Y132" i="35" s="1"/>
  <c r="Z133" i="16"/>
  <c r="Y133" i="16" s="1"/>
  <c r="AA133" i="16"/>
  <c r="AB133" i="16" s="1"/>
  <c r="BP145" i="35"/>
  <c r="BI145" i="35"/>
  <c r="BH145" i="35" s="1"/>
  <c r="BL145" i="35"/>
  <c r="AZ107" i="35"/>
  <c r="BD107" i="35"/>
  <c r="E106" i="35"/>
  <c r="AW107" i="35"/>
  <c r="AV107" i="35" s="1"/>
  <c r="U118" i="16"/>
  <c r="P118" i="16"/>
  <c r="AQ106" i="35"/>
  <c r="AL106" i="35"/>
  <c r="P66" i="9"/>
  <c r="BI144" i="16"/>
  <c r="R118" i="35"/>
  <c r="V118" i="35" s="1"/>
  <c r="Q118" i="35"/>
  <c r="I110" i="16"/>
  <c r="J110" i="16" s="1"/>
  <c r="H110" i="16"/>
  <c r="G110" i="16" s="1"/>
  <c r="AM106" i="16"/>
  <c r="AO106" i="16"/>
  <c r="AV106" i="35"/>
  <c r="S118" i="16"/>
  <c r="BM145" i="16"/>
  <c r="BQ145" i="16"/>
  <c r="BJ145" i="16"/>
  <c r="I111" i="35"/>
  <c r="J111" i="35" s="1"/>
  <c r="H111" i="35"/>
  <c r="G111" i="35" s="1"/>
  <c r="BE107" i="16"/>
  <c r="AW107" i="16"/>
  <c r="AV107" i="16" s="1"/>
  <c r="BA107" i="16"/>
  <c r="AY108" i="16" s="1"/>
  <c r="BY108" i="16" s="1"/>
  <c r="E106" i="16"/>
  <c r="BH144" i="35"/>
  <c r="AM107" i="35"/>
  <c r="AL107" i="35" s="1"/>
  <c r="AO107" i="35"/>
  <c r="E51" i="39" l="1"/>
  <c r="BU109" i="16"/>
  <c r="I198" i="8"/>
  <c r="I154" i="8"/>
  <c r="I117" i="8"/>
  <c r="I235" i="8"/>
  <c r="BI145" i="16"/>
  <c r="I20" i="8"/>
  <c r="AA134" i="16"/>
  <c r="AB134" i="16" s="1"/>
  <c r="Z134" i="16"/>
  <c r="Y134" i="16" s="1"/>
  <c r="Z133" i="35"/>
  <c r="Y133" i="35" s="1"/>
  <c r="AA133" i="35"/>
  <c r="AB133" i="35" s="1"/>
  <c r="I112" i="35"/>
  <c r="J112" i="35" s="1"/>
  <c r="H112" i="35"/>
  <c r="G112" i="35" s="1"/>
  <c r="S118" i="35"/>
  <c r="BE108" i="16"/>
  <c r="AW108" i="16"/>
  <c r="AV108" i="16" s="1"/>
  <c r="E107" i="16"/>
  <c r="BJ146" i="16"/>
  <c r="BI146" i="16" s="1"/>
  <c r="BQ146" i="16"/>
  <c r="BM146" i="16"/>
  <c r="AM107" i="16"/>
  <c r="AL107" i="16" s="1"/>
  <c r="AO107" i="16"/>
  <c r="AM108" i="35"/>
  <c r="AL108" i="35" s="1"/>
  <c r="AO108" i="35"/>
  <c r="R119" i="16"/>
  <c r="S119" i="16" s="1"/>
  <c r="Q119" i="16"/>
  <c r="P119" i="16" s="1"/>
  <c r="AQ106" i="16"/>
  <c r="AL106" i="16"/>
  <c r="U118" i="35"/>
  <c r="P118" i="35"/>
  <c r="AZ108" i="35"/>
  <c r="BD108" i="35"/>
  <c r="E107" i="35"/>
  <c r="AW108" i="35"/>
  <c r="I111" i="16"/>
  <c r="J111" i="16" s="1"/>
  <c r="H111" i="16"/>
  <c r="G111" i="16" s="1"/>
  <c r="BL146" i="35"/>
  <c r="BP146" i="35"/>
  <c r="BI146" i="35"/>
  <c r="AA134" i="35" l="1"/>
  <c r="AB134" i="35" s="1"/>
  <c r="Z134" i="35"/>
  <c r="Y134" i="35" s="1"/>
  <c r="H112" i="16"/>
  <c r="G112" i="16" s="1"/>
  <c r="I112" i="16"/>
  <c r="J112" i="16" s="1"/>
  <c r="R120" i="16"/>
  <c r="S120" i="16" s="1"/>
  <c r="Q120" i="16"/>
  <c r="P120" i="16" s="1"/>
  <c r="I113" i="35"/>
  <c r="J113" i="35" s="1"/>
  <c r="H113" i="35"/>
  <c r="G113" i="35" s="1"/>
  <c r="Z135" i="16"/>
  <c r="Y135" i="16" s="1"/>
  <c r="AA135" i="16"/>
  <c r="AB135" i="16" s="1"/>
  <c r="BL147" i="35"/>
  <c r="BP147" i="35"/>
  <c r="BI147" i="35"/>
  <c r="BH147" i="35" s="1"/>
  <c r="AV108" i="35"/>
  <c r="AM108" i="16"/>
  <c r="AL108" i="16" s="1"/>
  <c r="AO108" i="16"/>
  <c r="BM147" i="16"/>
  <c r="BQ147" i="16"/>
  <c r="BJ147" i="16"/>
  <c r="Q119" i="35"/>
  <c r="P119" i="35" s="1"/>
  <c r="R119" i="35"/>
  <c r="S119" i="35" s="1"/>
  <c r="BH146" i="35"/>
  <c r="AW109" i="35"/>
  <c r="AV109" i="35" s="1"/>
  <c r="AZ109" i="35"/>
  <c r="E108" i="35"/>
  <c r="BD109" i="35"/>
  <c r="AM109" i="35"/>
  <c r="AL109" i="35" s="1"/>
  <c r="AO109" i="35"/>
  <c r="F66" i="49" l="1"/>
  <c r="E67" i="49" s="1"/>
  <c r="C67" i="49" s="1"/>
  <c r="H49" i="39"/>
  <c r="I114" i="35"/>
  <c r="J114" i="35" s="1"/>
  <c r="H114" i="35"/>
  <c r="G114" i="35" s="1"/>
  <c r="AA136" i="16"/>
  <c r="AB136" i="16" s="1"/>
  <c r="Z136" i="16"/>
  <c r="Y136" i="16" s="1"/>
  <c r="Q121" i="16"/>
  <c r="P121" i="16" s="1"/>
  <c r="R121" i="16"/>
  <c r="S121" i="16" s="1"/>
  <c r="I113" i="16"/>
  <c r="J113" i="16" s="1"/>
  <c r="H113" i="16"/>
  <c r="G113" i="16" s="1"/>
  <c r="BI147" i="16"/>
  <c r="BL148" i="35"/>
  <c r="BP148" i="35"/>
  <c r="BI148" i="35"/>
  <c r="AA135" i="35"/>
  <c r="AB135" i="35" s="1"/>
  <c r="Z135" i="35"/>
  <c r="Y135" i="35" s="1"/>
  <c r="BQ148" i="16"/>
  <c r="BM148" i="16"/>
  <c r="BJ148" i="16"/>
  <c r="BI148" i="16" s="1"/>
  <c r="AM109" i="16"/>
  <c r="AL109" i="16" s="1"/>
  <c r="AO109" i="16"/>
  <c r="R120" i="35"/>
  <c r="Q120" i="35"/>
  <c r="P120" i="35" s="1"/>
  <c r="S120" i="35"/>
  <c r="AM110" i="35"/>
  <c r="AL110" i="35" s="1"/>
  <c r="AO110" i="35"/>
  <c r="BD110" i="35"/>
  <c r="AW110" i="35"/>
  <c r="AV110" i="35" s="1"/>
  <c r="E109" i="35"/>
  <c r="AZ110" i="35"/>
  <c r="AA136" i="35" l="1"/>
  <c r="AB136" i="35" s="1"/>
  <c r="Z136" i="35"/>
  <c r="Y136" i="35" s="1"/>
  <c r="H114" i="16"/>
  <c r="G114" i="16" s="1"/>
  <c r="I114" i="16"/>
  <c r="J114" i="16" s="1"/>
  <c r="H115" i="35"/>
  <c r="G115" i="35" s="1"/>
  <c r="I115" i="35"/>
  <c r="J115" i="35" s="1"/>
  <c r="BH148" i="35"/>
  <c r="R122" i="16"/>
  <c r="S122" i="16" s="1"/>
  <c r="Q122" i="16"/>
  <c r="P122" i="16" s="1"/>
  <c r="AM110" i="16"/>
  <c r="AL110" i="16" s="1"/>
  <c r="AO110" i="16"/>
  <c r="BM149" i="16"/>
  <c r="BQ149" i="16"/>
  <c r="BJ149" i="16"/>
  <c r="BI149" i="16" s="1"/>
  <c r="BL149" i="35"/>
  <c r="BI149" i="35"/>
  <c r="BH149" i="35" s="1"/>
  <c r="BP149" i="35"/>
  <c r="Z137" i="16"/>
  <c r="Y137" i="16" s="1"/>
  <c r="AA137" i="16"/>
  <c r="AB137" i="16" s="1"/>
  <c r="R121" i="35"/>
  <c r="S121" i="35" s="1"/>
  <c r="Q121" i="35"/>
  <c r="P121" i="35" s="1"/>
  <c r="BD111" i="35"/>
  <c r="E110" i="35"/>
  <c r="AW111" i="35"/>
  <c r="AV111" i="35" s="1"/>
  <c r="AZ111" i="35"/>
  <c r="AM111" i="35"/>
  <c r="AL111" i="35" s="1"/>
  <c r="AO111" i="35"/>
  <c r="F67" i="49" l="1"/>
  <c r="E68" i="49" s="1"/>
  <c r="C68" i="49" s="1"/>
  <c r="R122" i="35"/>
  <c r="S122" i="35" s="1"/>
  <c r="Q122" i="35"/>
  <c r="P122" i="35" s="1"/>
  <c r="I115" i="16"/>
  <c r="J115" i="16" s="1"/>
  <c r="H115" i="16"/>
  <c r="G115" i="16" s="1"/>
  <c r="AA137" i="35"/>
  <c r="AB137" i="35" s="1"/>
  <c r="Z137" i="35"/>
  <c r="Y137" i="35" s="1"/>
  <c r="AZ112" i="35"/>
  <c r="E111" i="35"/>
  <c r="BD112" i="35"/>
  <c r="AW112" i="35"/>
  <c r="Q27" i="9"/>
  <c r="J58" i="38"/>
  <c r="I116" i="35"/>
  <c r="J116" i="35" s="1"/>
  <c r="H116" i="35"/>
  <c r="G116" i="35" s="1"/>
  <c r="BJ150" i="16"/>
  <c r="BI150" i="16" s="1"/>
  <c r="BQ150" i="16"/>
  <c r="BM150" i="16"/>
  <c r="Q123" i="16"/>
  <c r="P123" i="16" s="1"/>
  <c r="R123" i="16"/>
  <c r="S123" i="16" s="1"/>
  <c r="AA138" i="16"/>
  <c r="AB138" i="16" s="1"/>
  <c r="Z138" i="16"/>
  <c r="Y138" i="16" s="1"/>
  <c r="BP150" i="35"/>
  <c r="BL150" i="35"/>
  <c r="BI150" i="35"/>
  <c r="BH150" i="35" s="1"/>
  <c r="AM112" i="35"/>
  <c r="AL112" i="35" s="1"/>
  <c r="AO112" i="35"/>
  <c r="AM111" i="16"/>
  <c r="AL111" i="16" s="1"/>
  <c r="AO111" i="16"/>
  <c r="I117" i="35" l="1"/>
  <c r="J117" i="35" s="1"/>
  <c r="H117" i="35"/>
  <c r="G117" i="35" s="1"/>
  <c r="AA138" i="35"/>
  <c r="AB138" i="35" s="1"/>
  <c r="Z138" i="35"/>
  <c r="Y138" i="35" s="1"/>
  <c r="Q123" i="35"/>
  <c r="P123" i="35" s="1"/>
  <c r="R123" i="35"/>
  <c r="S123" i="35" s="1"/>
  <c r="BP151" i="35"/>
  <c r="BI151" i="35"/>
  <c r="BH151" i="35" s="1"/>
  <c r="BL151" i="35"/>
  <c r="F17" i="39"/>
  <c r="AM113" i="35"/>
  <c r="AL113" i="35" s="1"/>
  <c r="AO113" i="35"/>
  <c r="R124" i="16"/>
  <c r="S124" i="16" s="1"/>
  <c r="Q124" i="16"/>
  <c r="P124" i="16" s="1"/>
  <c r="AZ113" i="35"/>
  <c r="E112" i="35"/>
  <c r="BD113" i="35"/>
  <c r="AW113" i="35"/>
  <c r="AV113" i="35" s="1"/>
  <c r="I116" i="16"/>
  <c r="J116" i="16" s="1"/>
  <c r="H116" i="16"/>
  <c r="G116" i="16" s="1"/>
  <c r="AM112" i="16"/>
  <c r="AL112" i="16" s="1"/>
  <c r="AO112" i="16"/>
  <c r="AA139" i="16"/>
  <c r="AB139" i="16" s="1"/>
  <c r="Z139" i="16"/>
  <c r="Y139" i="16" s="1"/>
  <c r="BM151" i="16"/>
  <c r="BQ151" i="16"/>
  <c r="BJ151" i="16"/>
  <c r="BI151" i="16" s="1"/>
  <c r="AV112" i="35"/>
  <c r="F68" i="49" l="1"/>
  <c r="E69" i="49" s="1"/>
  <c r="C69" i="49" s="1"/>
  <c r="AA139" i="35"/>
  <c r="AB139" i="35" s="1"/>
  <c r="Z139" i="35"/>
  <c r="Y139" i="35" s="1"/>
  <c r="R124" i="35"/>
  <c r="Q124" i="35"/>
  <c r="P124" i="35" s="1"/>
  <c r="S124" i="35"/>
  <c r="I117" i="16"/>
  <c r="J117" i="16" s="1"/>
  <c r="H117" i="16"/>
  <c r="G117" i="16" s="1"/>
  <c r="R125" i="16"/>
  <c r="S125" i="16" s="1"/>
  <c r="Q125" i="16"/>
  <c r="P125" i="16" s="1"/>
  <c r="BM152" i="16"/>
  <c r="BQ152" i="16"/>
  <c r="BJ152" i="16"/>
  <c r="BI152" i="16" s="1"/>
  <c r="AM114" i="35"/>
  <c r="AL114" i="35" s="1"/>
  <c r="AO114" i="35"/>
  <c r="AA140" i="16"/>
  <c r="AB140" i="16" s="1"/>
  <c r="Z140" i="16"/>
  <c r="Y140" i="16" s="1"/>
  <c r="AM113" i="16"/>
  <c r="AL113" i="16" s="1"/>
  <c r="AO113" i="16"/>
  <c r="AZ114" i="35"/>
  <c r="BD114" i="35"/>
  <c r="E113" i="35"/>
  <c r="AW114" i="35"/>
  <c r="AV114" i="35" s="1"/>
  <c r="BP152" i="35"/>
  <c r="BI152" i="35"/>
  <c r="BH152" i="35" s="1"/>
  <c r="BL152" i="35"/>
  <c r="I118" i="35"/>
  <c r="M118" i="35" s="1"/>
  <c r="AI118" i="35" s="1"/>
  <c r="H118" i="35"/>
  <c r="I118" i="16" l="1"/>
  <c r="M118" i="16" s="1"/>
  <c r="AI118" i="16" s="1"/>
  <c r="H118" i="16"/>
  <c r="Z140" i="35"/>
  <c r="Y140" i="35" s="1"/>
  <c r="AA140" i="35"/>
  <c r="AB140" i="35" s="1"/>
  <c r="L118" i="35"/>
  <c r="AH118" i="35" s="1"/>
  <c r="G118" i="35"/>
  <c r="AM114" i="16"/>
  <c r="AL114" i="16" s="1"/>
  <c r="AO114" i="16"/>
  <c r="R126" i="16"/>
  <c r="S126" i="16" s="1"/>
  <c r="Q126" i="16"/>
  <c r="P126" i="16" s="1"/>
  <c r="Z141" i="16"/>
  <c r="Y141" i="16" s="1"/>
  <c r="AA141" i="16"/>
  <c r="AB141" i="16" s="1"/>
  <c r="R125" i="35"/>
  <c r="S125" i="35" s="1"/>
  <c r="Q125" i="35"/>
  <c r="P125" i="35" s="1"/>
  <c r="J118" i="35"/>
  <c r="BP153" i="35"/>
  <c r="BI153" i="35"/>
  <c r="BL153" i="35"/>
  <c r="AW115" i="35"/>
  <c r="AV115" i="35" s="1"/>
  <c r="AZ115" i="35"/>
  <c r="E114" i="35"/>
  <c r="BD115" i="35"/>
  <c r="AM115" i="35"/>
  <c r="AL115" i="35" s="1"/>
  <c r="AO115" i="35"/>
  <c r="BM153" i="16"/>
  <c r="BQ153" i="16"/>
  <c r="BJ153" i="16"/>
  <c r="T75" i="9" s="1"/>
  <c r="I47" i="39" l="1"/>
  <c r="R126" i="35"/>
  <c r="S126" i="35" s="1"/>
  <c r="Q126" i="35"/>
  <c r="P126" i="35" s="1"/>
  <c r="Z141" i="35"/>
  <c r="Y141" i="35" s="1"/>
  <c r="AA141" i="35"/>
  <c r="AB141" i="35" s="1"/>
  <c r="AA142" i="16"/>
  <c r="AE142" i="16" s="1"/>
  <c r="Z142" i="16"/>
  <c r="Q127" i="16"/>
  <c r="P127" i="16" s="1"/>
  <c r="R127" i="16"/>
  <c r="S127" i="16" s="1"/>
  <c r="BI153" i="16"/>
  <c r="BR142" i="16"/>
  <c r="AM116" i="35"/>
  <c r="AL116" i="35" s="1"/>
  <c r="AO116" i="35"/>
  <c r="AW116" i="35"/>
  <c r="AV116" i="35" s="1"/>
  <c r="AZ116" i="35"/>
  <c r="BD116" i="35"/>
  <c r="E115" i="35"/>
  <c r="I119" i="35"/>
  <c r="J119" i="35" s="1"/>
  <c r="H119" i="35"/>
  <c r="G119" i="35" s="1"/>
  <c r="L118" i="16"/>
  <c r="AH118" i="16" s="1"/>
  <c r="G118" i="16"/>
  <c r="BL154" i="35"/>
  <c r="BP154" i="35"/>
  <c r="BI154" i="35"/>
  <c r="AM115" i="16"/>
  <c r="AL115" i="16" s="1"/>
  <c r="AO115" i="16"/>
  <c r="BM154" i="16"/>
  <c r="BQ154" i="16"/>
  <c r="BJ154" i="16"/>
  <c r="BH153" i="35"/>
  <c r="BQ142" i="35"/>
  <c r="J118" i="16"/>
  <c r="F69" i="49" l="1"/>
  <c r="E70" i="49" s="1"/>
  <c r="C70" i="49" s="1"/>
  <c r="R128" i="16"/>
  <c r="S128" i="16" s="1"/>
  <c r="Q128" i="16"/>
  <c r="P128" i="16" s="1"/>
  <c r="AA142" i="35"/>
  <c r="AE142" i="35" s="1"/>
  <c r="Z142" i="35"/>
  <c r="I120" i="35"/>
  <c r="J120" i="35" s="1"/>
  <c r="H120" i="35"/>
  <c r="G120" i="35" s="1"/>
  <c r="R127" i="35"/>
  <c r="S127" i="35" s="1"/>
  <c r="Q127" i="35"/>
  <c r="P127" i="35" s="1"/>
  <c r="BI154" i="16"/>
  <c r="BH154" i="35"/>
  <c r="AM117" i="35"/>
  <c r="AL117" i="35" s="1"/>
  <c r="AO117" i="35"/>
  <c r="Y142" i="16"/>
  <c r="AD142" i="16"/>
  <c r="I119" i="16"/>
  <c r="J119" i="16" s="1"/>
  <c r="H119" i="16"/>
  <c r="G119" i="16" s="1"/>
  <c r="BP155" i="35"/>
  <c r="BI155" i="35"/>
  <c r="BH155" i="35" s="1"/>
  <c r="BL155" i="35"/>
  <c r="BD117" i="35"/>
  <c r="AW117" i="35"/>
  <c r="E116" i="35"/>
  <c r="AZ117" i="35"/>
  <c r="BM155" i="16"/>
  <c r="BQ155" i="16"/>
  <c r="BJ155" i="16"/>
  <c r="BI155" i="16" s="1"/>
  <c r="AM116" i="16"/>
  <c r="AL116" i="16" s="1"/>
  <c r="AO116" i="16"/>
  <c r="AB142" i="16"/>
  <c r="AB142" i="35" l="1"/>
  <c r="Q128" i="35"/>
  <c r="P128" i="35" s="1"/>
  <c r="R128" i="35"/>
  <c r="S128" i="35" s="1"/>
  <c r="I121" i="35"/>
  <c r="J121" i="35" s="1"/>
  <c r="H121" i="35"/>
  <c r="G121" i="35" s="1"/>
  <c r="H120" i="16"/>
  <c r="G120" i="16" s="1"/>
  <c r="I120" i="16"/>
  <c r="J120" i="16" s="1"/>
  <c r="Q129" i="16"/>
  <c r="P129" i="16" s="1"/>
  <c r="R129" i="16"/>
  <c r="S129" i="16" s="1"/>
  <c r="AW118" i="35"/>
  <c r="E117" i="35"/>
  <c r="AZ118" i="35"/>
  <c r="BD118" i="35"/>
  <c r="BP156" i="35"/>
  <c r="BI156" i="35"/>
  <c r="BH156" i="35" s="1"/>
  <c r="BL156" i="35"/>
  <c r="AN118" i="35"/>
  <c r="AM118" i="35"/>
  <c r="Z143" i="35"/>
  <c r="Y143" i="35" s="1"/>
  <c r="AA143" i="35"/>
  <c r="AB143" i="35" s="1"/>
  <c r="AA143" i="16"/>
  <c r="AB143" i="16" s="1"/>
  <c r="Z143" i="16"/>
  <c r="Y143" i="16" s="1"/>
  <c r="AM117" i="16"/>
  <c r="AL117" i="16" s="1"/>
  <c r="AO117" i="16"/>
  <c r="BM156" i="16"/>
  <c r="BQ156" i="16"/>
  <c r="BJ156" i="16"/>
  <c r="BI156" i="16" s="1"/>
  <c r="AV117" i="35"/>
  <c r="BE106" i="35"/>
  <c r="AD142" i="35"/>
  <c r="Y142" i="35"/>
  <c r="F70" i="49" l="1"/>
  <c r="E71" i="49" s="1"/>
  <c r="C71" i="49" s="1"/>
  <c r="H122" i="35"/>
  <c r="G122" i="35" s="1"/>
  <c r="I122" i="35"/>
  <c r="J122" i="35" s="1"/>
  <c r="I121" i="16"/>
  <c r="J121" i="16" s="1"/>
  <c r="H121" i="16"/>
  <c r="G121" i="16" s="1"/>
  <c r="Q129" i="35"/>
  <c r="P129" i="35" s="1"/>
  <c r="R129" i="35"/>
  <c r="S129" i="35" s="1"/>
  <c r="Z144" i="35"/>
  <c r="Y144" i="35" s="1"/>
  <c r="AA144" i="35"/>
  <c r="AB144" i="35" s="1"/>
  <c r="AQ118" i="35"/>
  <c r="AL118" i="35"/>
  <c r="AO118" i="35"/>
  <c r="AR118" i="35"/>
  <c r="AV118" i="35"/>
  <c r="R130" i="16"/>
  <c r="V130" i="16" s="1"/>
  <c r="Q130" i="16"/>
  <c r="BM157" i="16"/>
  <c r="BQ157" i="16"/>
  <c r="BJ157" i="16"/>
  <c r="BI157" i="16" s="1"/>
  <c r="AN118" i="16"/>
  <c r="AM118" i="16"/>
  <c r="AA144" i="16"/>
  <c r="AB144" i="16" s="1"/>
  <c r="Z144" i="16"/>
  <c r="Y144" i="16" s="1"/>
  <c r="BL157" i="35"/>
  <c r="BP157" i="35"/>
  <c r="BI157" i="35"/>
  <c r="BH157" i="35" s="1"/>
  <c r="BD119" i="35"/>
  <c r="AW119" i="35"/>
  <c r="AV119" i="35" s="1"/>
  <c r="E118" i="35"/>
  <c r="AZ119" i="35"/>
  <c r="AA145" i="35" l="1"/>
  <c r="AB145" i="35" s="1"/>
  <c r="Z145" i="35"/>
  <c r="Y145" i="35" s="1"/>
  <c r="I122" i="16"/>
  <c r="J122" i="16" s="1"/>
  <c r="H122" i="16"/>
  <c r="G122" i="16" s="1"/>
  <c r="R130" i="35"/>
  <c r="V130" i="35" s="1"/>
  <c r="Q130" i="35"/>
  <c r="I123" i="35"/>
  <c r="J123" i="35" s="1"/>
  <c r="H123" i="35"/>
  <c r="G123" i="35" s="1"/>
  <c r="AA145" i="16"/>
  <c r="Z145" i="16"/>
  <c r="Y145" i="16" s="1"/>
  <c r="AB145" i="16"/>
  <c r="BP158" i="35"/>
  <c r="BI158" i="35"/>
  <c r="BL158" i="35"/>
  <c r="S130" i="16"/>
  <c r="AZ120" i="35"/>
  <c r="E119" i="35"/>
  <c r="BD120" i="35"/>
  <c r="AW120" i="35"/>
  <c r="AV120" i="35" s="1"/>
  <c r="AQ118" i="16"/>
  <c r="AL118" i="16"/>
  <c r="BM158" i="16"/>
  <c r="BQ158" i="16"/>
  <c r="BJ158" i="16"/>
  <c r="BI158" i="16" s="1"/>
  <c r="AN119" i="35"/>
  <c r="AO119" i="35" s="1"/>
  <c r="AM119" i="35"/>
  <c r="AL119" i="35" s="1"/>
  <c r="AO118" i="16"/>
  <c r="AR118" i="16"/>
  <c r="U130" i="16"/>
  <c r="P130" i="16"/>
  <c r="F71" i="49" l="1"/>
  <c r="E72" i="49" s="1"/>
  <c r="C72" i="49" s="1"/>
  <c r="S130" i="35"/>
  <c r="I123" i="16"/>
  <c r="J123" i="16" s="1"/>
  <c r="H123" i="16"/>
  <c r="G123" i="16" s="1"/>
  <c r="I124" i="35"/>
  <c r="J124" i="35" s="1"/>
  <c r="H124" i="35"/>
  <c r="G124" i="35" s="1"/>
  <c r="Z146" i="16"/>
  <c r="Y146" i="16" s="1"/>
  <c r="AA146" i="16"/>
  <c r="AB146" i="16" s="1"/>
  <c r="Q131" i="35"/>
  <c r="P131" i="35" s="1"/>
  <c r="R131" i="35"/>
  <c r="S131" i="35" s="1"/>
  <c r="BP159" i="35"/>
  <c r="BI159" i="35"/>
  <c r="BH159" i="35" s="1"/>
  <c r="BL159" i="35"/>
  <c r="AB146" i="35"/>
  <c r="AA146" i="35"/>
  <c r="Z146" i="35"/>
  <c r="Y146" i="35" s="1"/>
  <c r="AN119" i="16"/>
  <c r="AO119" i="16" s="1"/>
  <c r="AM119" i="16"/>
  <c r="AL119" i="16" s="1"/>
  <c r="R131" i="16"/>
  <c r="S131" i="16" s="1"/>
  <c r="Q131" i="16"/>
  <c r="P131" i="16" s="1"/>
  <c r="BH158" i="35"/>
  <c r="U130" i="35"/>
  <c r="P130" i="35"/>
  <c r="AN120" i="35"/>
  <c r="AO120" i="35" s="1"/>
  <c r="AM120" i="35"/>
  <c r="AL120" i="35" s="1"/>
  <c r="BM159" i="16"/>
  <c r="BJ159" i="16"/>
  <c r="BI159" i="16" s="1"/>
  <c r="BQ159" i="16"/>
  <c r="AZ121" i="35"/>
  <c r="E120" i="35"/>
  <c r="BD121" i="35"/>
  <c r="AW121" i="35"/>
  <c r="F72" i="49" l="1"/>
  <c r="R132" i="16"/>
  <c r="S132" i="16" s="1"/>
  <c r="Q132" i="16"/>
  <c r="P132" i="16" s="1"/>
  <c r="BM160" i="16"/>
  <c r="BQ160" i="16"/>
  <c r="BJ160" i="16"/>
  <c r="BI160" i="16" s="1"/>
  <c r="AN120" i="16"/>
  <c r="AO120" i="16" s="1"/>
  <c r="AM120" i="16"/>
  <c r="AL120" i="16" s="1"/>
  <c r="AA147" i="35"/>
  <c r="AB147" i="35" s="1"/>
  <c r="Z147" i="35"/>
  <c r="Y147" i="35" s="1"/>
  <c r="Q132" i="35"/>
  <c r="P132" i="35" s="1"/>
  <c r="R132" i="35"/>
  <c r="S132" i="35" s="1"/>
  <c r="AA147" i="16"/>
  <c r="AB147" i="16" s="1"/>
  <c r="Z147" i="16"/>
  <c r="Y147" i="16" s="1"/>
  <c r="I125" i="35"/>
  <c r="J125" i="35" s="1"/>
  <c r="H125" i="35"/>
  <c r="G125" i="35" s="1"/>
  <c r="I124" i="16"/>
  <c r="J124" i="16" s="1"/>
  <c r="H124" i="16"/>
  <c r="G124" i="16" s="1"/>
  <c r="AW122" i="35"/>
  <c r="AV122" i="35" s="1"/>
  <c r="AZ122" i="35"/>
  <c r="E121" i="35"/>
  <c r="BD122" i="35"/>
  <c r="BL160" i="35"/>
  <c r="BP160" i="35"/>
  <c r="BI160" i="35"/>
  <c r="AV121" i="35"/>
  <c r="AM121" i="35"/>
  <c r="AL121" i="35" s="1"/>
  <c r="AN121" i="35"/>
  <c r="AO121" i="35" s="1"/>
  <c r="C73" i="49" l="1"/>
  <c r="D73" i="49" s="1"/>
  <c r="F73" i="49" s="1"/>
  <c r="E73" i="49"/>
  <c r="AA148" i="16"/>
  <c r="AB148" i="16" s="1"/>
  <c r="Z148" i="16"/>
  <c r="Y148" i="16" s="1"/>
  <c r="AA148" i="35"/>
  <c r="AB148" i="35" s="1"/>
  <c r="Z148" i="35"/>
  <c r="Y148" i="35" s="1"/>
  <c r="R133" i="35"/>
  <c r="S133" i="35" s="1"/>
  <c r="Q133" i="35"/>
  <c r="P133" i="35" s="1"/>
  <c r="H125" i="16"/>
  <c r="G125" i="16" s="1"/>
  <c r="I125" i="16"/>
  <c r="J125" i="16" s="1"/>
  <c r="I126" i="35"/>
  <c r="J126" i="35" s="1"/>
  <c r="H126" i="35"/>
  <c r="G126" i="35" s="1"/>
  <c r="Q133" i="16"/>
  <c r="P133" i="16" s="1"/>
  <c r="R133" i="16"/>
  <c r="S133" i="16" s="1"/>
  <c r="BD123" i="35"/>
  <c r="AW123" i="35"/>
  <c r="E122" i="35"/>
  <c r="AZ123" i="35"/>
  <c r="BM161" i="16"/>
  <c r="BQ161" i="16"/>
  <c r="BJ161" i="16"/>
  <c r="BI161" i="16" s="1"/>
  <c r="AN122" i="35"/>
  <c r="AO122" i="35" s="1"/>
  <c r="AM122" i="35"/>
  <c r="AL122" i="35" s="1"/>
  <c r="BP161" i="35"/>
  <c r="BI161" i="35"/>
  <c r="BH161" i="35" s="1"/>
  <c r="BL161" i="35"/>
  <c r="K58" i="38"/>
  <c r="AN121" i="16"/>
  <c r="AO121" i="16" s="1"/>
  <c r="AM121" i="16"/>
  <c r="AL121" i="16" s="1"/>
  <c r="BH160" i="35"/>
  <c r="E74" i="49" l="1"/>
  <c r="C74" i="49"/>
  <c r="H127" i="35"/>
  <c r="G127" i="35" s="1"/>
  <c r="I127" i="35"/>
  <c r="J127" i="35" s="1"/>
  <c r="R134" i="35"/>
  <c r="S134" i="35" s="1"/>
  <c r="Q134" i="35"/>
  <c r="P134" i="35" s="1"/>
  <c r="R134" i="16"/>
  <c r="S134" i="16" s="1"/>
  <c r="Q134" i="16"/>
  <c r="P134" i="16" s="1"/>
  <c r="H126" i="16"/>
  <c r="G126" i="16" s="1"/>
  <c r="I126" i="16"/>
  <c r="J126" i="16" s="1"/>
  <c r="AA149" i="16"/>
  <c r="AB149" i="16" s="1"/>
  <c r="Z149" i="16"/>
  <c r="Y149" i="16" s="1"/>
  <c r="AZ124" i="35"/>
  <c r="E123" i="35"/>
  <c r="BD124" i="35"/>
  <c r="AW124" i="35"/>
  <c r="AV124" i="35" s="1"/>
  <c r="Z149" i="35"/>
  <c r="Y149" i="35" s="1"/>
  <c r="AA149" i="35"/>
  <c r="AB149" i="35" s="1"/>
  <c r="BM162" i="16"/>
  <c r="BQ162" i="16"/>
  <c r="BJ162" i="16"/>
  <c r="BI162" i="16" s="1"/>
  <c r="AM122" i="16"/>
  <c r="AL122" i="16" s="1"/>
  <c r="AN122" i="16"/>
  <c r="AO122" i="16" s="1"/>
  <c r="BP162" i="35"/>
  <c r="BI162" i="35"/>
  <c r="BH162" i="35" s="1"/>
  <c r="BL162" i="35"/>
  <c r="AN123" i="35"/>
  <c r="AO123" i="35" s="1"/>
  <c r="AM123" i="35"/>
  <c r="AL123" i="35" s="1"/>
  <c r="AV123" i="35"/>
  <c r="R37" i="9"/>
  <c r="K17" i="8" s="1"/>
  <c r="K72" i="8" s="1"/>
  <c r="G17" i="39"/>
  <c r="G23" i="39" s="1"/>
  <c r="V7" i="39" s="1"/>
  <c r="V65" i="39" s="1"/>
  <c r="D74" i="49" l="1"/>
  <c r="F74" i="49" s="1"/>
  <c r="R135" i="35"/>
  <c r="S135" i="35" s="1"/>
  <c r="Q135" i="35"/>
  <c r="P135" i="35" s="1"/>
  <c r="I128" i="35"/>
  <c r="J128" i="35" s="1"/>
  <c r="H128" i="35"/>
  <c r="G128" i="35" s="1"/>
  <c r="Z150" i="35"/>
  <c r="Y150" i="35" s="1"/>
  <c r="AA150" i="35"/>
  <c r="AB150" i="35" s="1"/>
  <c r="K193" i="8"/>
  <c r="K149" i="8"/>
  <c r="K112" i="8"/>
  <c r="K230" i="8"/>
  <c r="AN124" i="35"/>
  <c r="AO124" i="35" s="1"/>
  <c r="AM124" i="35"/>
  <c r="AL124" i="35" s="1"/>
  <c r="AN123" i="16"/>
  <c r="AO123" i="16" s="1"/>
  <c r="AM123" i="16"/>
  <c r="AL123" i="16" s="1"/>
  <c r="AZ125" i="35"/>
  <c r="E124" i="35"/>
  <c r="BD125" i="35"/>
  <c r="AW125" i="35"/>
  <c r="Z150" i="16"/>
  <c r="Y150" i="16" s="1"/>
  <c r="AA150" i="16"/>
  <c r="AB150" i="16" s="1"/>
  <c r="I127" i="16"/>
  <c r="J127" i="16" s="1"/>
  <c r="H127" i="16"/>
  <c r="G127" i="16" s="1"/>
  <c r="R135" i="16"/>
  <c r="S135" i="16" s="1"/>
  <c r="Q135" i="16"/>
  <c r="P135" i="16" s="1"/>
  <c r="BL163" i="35"/>
  <c r="BP163" i="35"/>
  <c r="BI163" i="35"/>
  <c r="BH163" i="35" s="1"/>
  <c r="BM163" i="16"/>
  <c r="BQ163" i="16"/>
  <c r="BJ163" i="16"/>
  <c r="BI163" i="16" s="1"/>
  <c r="E75" i="49" l="1"/>
  <c r="C75" i="49"/>
  <c r="I128" i="16"/>
  <c r="J128" i="16" s="1"/>
  <c r="H128" i="16"/>
  <c r="G128" i="16" s="1"/>
  <c r="R136" i="35"/>
  <c r="S136" i="35" s="1"/>
  <c r="Q136" i="35"/>
  <c r="P136" i="35" s="1"/>
  <c r="AA151" i="35"/>
  <c r="AB151" i="35" s="1"/>
  <c r="Z151" i="35"/>
  <c r="Y151" i="35" s="1"/>
  <c r="R136" i="16"/>
  <c r="S136" i="16" s="1"/>
  <c r="Q136" i="16"/>
  <c r="P136" i="16" s="1"/>
  <c r="AA151" i="16"/>
  <c r="AB151" i="16" s="1"/>
  <c r="Z151" i="16"/>
  <c r="Y151" i="16" s="1"/>
  <c r="AZ126" i="35"/>
  <c r="BD126" i="35"/>
  <c r="E125" i="35"/>
  <c r="AW126" i="35"/>
  <c r="AV126" i="35" s="1"/>
  <c r="AM125" i="35"/>
  <c r="AL125" i="35" s="1"/>
  <c r="AN125" i="35"/>
  <c r="AO125" i="35" s="1"/>
  <c r="BP164" i="35"/>
  <c r="BI164" i="35"/>
  <c r="BH164" i="35" s="1"/>
  <c r="BL164" i="35"/>
  <c r="AV125" i="35"/>
  <c r="I129" i="35"/>
  <c r="J129" i="35" s="1"/>
  <c r="H129" i="35"/>
  <c r="G129" i="35" s="1"/>
  <c r="BM164" i="16"/>
  <c r="BQ164" i="16"/>
  <c r="BJ164" i="16"/>
  <c r="BI164" i="16" s="1"/>
  <c r="AN124" i="16"/>
  <c r="AO124" i="16" s="1"/>
  <c r="AM124" i="16"/>
  <c r="AL124" i="16" s="1"/>
  <c r="D75" i="49" l="1"/>
  <c r="F75" i="49" s="1"/>
  <c r="Q137" i="16"/>
  <c r="P137" i="16" s="1"/>
  <c r="R137" i="16"/>
  <c r="S137" i="16" s="1"/>
  <c r="Q137" i="35"/>
  <c r="P137" i="35" s="1"/>
  <c r="R137" i="35"/>
  <c r="S137" i="35" s="1"/>
  <c r="AA152" i="35"/>
  <c r="AB152" i="35" s="1"/>
  <c r="Z152" i="35"/>
  <c r="Y152" i="35" s="1"/>
  <c r="I129" i="16"/>
  <c r="J129" i="16" s="1"/>
  <c r="H129" i="16"/>
  <c r="G129" i="16" s="1"/>
  <c r="BM165" i="16"/>
  <c r="BQ165" i="16"/>
  <c r="BJ165" i="16"/>
  <c r="U75" i="9" s="1"/>
  <c r="BP165" i="35"/>
  <c r="BI165" i="35"/>
  <c r="BL165" i="35"/>
  <c r="AW127" i="35"/>
  <c r="AV127" i="35" s="1"/>
  <c r="AZ127" i="35"/>
  <c r="E126" i="35"/>
  <c r="BD127" i="35"/>
  <c r="AA152" i="16"/>
  <c r="AB152" i="16" s="1"/>
  <c r="Z152" i="16"/>
  <c r="Y152" i="16" s="1"/>
  <c r="AN125" i="16"/>
  <c r="AO125" i="16" s="1"/>
  <c r="AM125" i="16"/>
  <c r="AL125" i="16" s="1"/>
  <c r="I130" i="35"/>
  <c r="M130" i="35" s="1"/>
  <c r="AI130" i="35" s="1"/>
  <c r="H130" i="35"/>
  <c r="AM126" i="35"/>
  <c r="AL126" i="35" s="1"/>
  <c r="AN126" i="35"/>
  <c r="AO126" i="35" s="1"/>
  <c r="E76" i="49" l="1"/>
  <c r="C76" i="49"/>
  <c r="J47" i="39"/>
  <c r="R138" i="35"/>
  <c r="S138" i="35" s="1"/>
  <c r="Q138" i="35"/>
  <c r="P138" i="35" s="1"/>
  <c r="R138" i="16"/>
  <c r="S138" i="16" s="1"/>
  <c r="Q138" i="16"/>
  <c r="P138" i="16" s="1"/>
  <c r="AA153" i="16"/>
  <c r="AB153" i="16" s="1"/>
  <c r="Z153" i="16"/>
  <c r="Y153" i="16" s="1"/>
  <c r="AA153" i="35"/>
  <c r="AB153" i="35" s="1"/>
  <c r="Z153" i="35"/>
  <c r="Y153" i="35" s="1"/>
  <c r="L130" i="35"/>
  <c r="AH130" i="35" s="1"/>
  <c r="G130" i="35"/>
  <c r="BD128" i="35"/>
  <c r="AW128" i="35"/>
  <c r="AV128" i="35" s="1"/>
  <c r="E127" i="35"/>
  <c r="AZ128" i="35"/>
  <c r="AN127" i="35"/>
  <c r="AO127" i="35" s="1"/>
  <c r="AM127" i="35"/>
  <c r="AL127" i="35" s="1"/>
  <c r="BI165" i="16"/>
  <c r="BR154" i="16"/>
  <c r="I130" i="16"/>
  <c r="M130" i="16" s="1"/>
  <c r="AI130" i="16" s="1"/>
  <c r="H130" i="16"/>
  <c r="J130" i="35"/>
  <c r="AN126" i="16"/>
  <c r="AO126" i="16" s="1"/>
  <c r="AM126" i="16"/>
  <c r="AL126" i="16" s="1"/>
  <c r="BL166" i="35"/>
  <c r="BP166" i="35"/>
  <c r="BI166" i="35"/>
  <c r="BH165" i="35"/>
  <c r="BQ154" i="35"/>
  <c r="BM166" i="16"/>
  <c r="BQ166" i="16"/>
  <c r="BJ166" i="16"/>
  <c r="D76" i="49" l="1"/>
  <c r="F76" i="49" s="1"/>
  <c r="J130" i="16"/>
  <c r="I131" i="16" s="1"/>
  <c r="J131" i="16" s="1"/>
  <c r="Q139" i="35"/>
  <c r="P139" i="35" s="1"/>
  <c r="R139" i="35"/>
  <c r="S139" i="35" s="1"/>
  <c r="BP167" i="35"/>
  <c r="BI167" i="35"/>
  <c r="BH167" i="35" s="1"/>
  <c r="BL167" i="35"/>
  <c r="Q139" i="16"/>
  <c r="P139" i="16" s="1"/>
  <c r="R139" i="16"/>
  <c r="S139" i="16" s="1"/>
  <c r="BH166" i="35"/>
  <c r="AN127" i="16"/>
  <c r="AO127" i="16" s="1"/>
  <c r="AM127" i="16"/>
  <c r="AL127" i="16" s="1"/>
  <c r="G130" i="16"/>
  <c r="L130" i="16"/>
  <c r="AH130" i="16" s="1"/>
  <c r="AN128" i="35"/>
  <c r="AO128" i="35" s="1"/>
  <c r="AM128" i="35"/>
  <c r="AL128" i="35" s="1"/>
  <c r="BI166" i="16"/>
  <c r="BM167" i="16"/>
  <c r="BQ167" i="16"/>
  <c r="BJ167" i="16"/>
  <c r="BI167" i="16" s="1"/>
  <c r="I131" i="35"/>
  <c r="J131" i="35" s="1"/>
  <c r="H131" i="35"/>
  <c r="G131" i="35" s="1"/>
  <c r="BD129" i="35"/>
  <c r="AW129" i="35"/>
  <c r="AZ129" i="35"/>
  <c r="E128" i="35"/>
  <c r="C77" i="49" l="1"/>
  <c r="E77" i="49"/>
  <c r="H131" i="16"/>
  <c r="G131" i="16" s="1"/>
  <c r="R140" i="35"/>
  <c r="S140" i="35" s="1"/>
  <c r="Q140" i="35"/>
  <c r="P140" i="35" s="1"/>
  <c r="H132" i="16"/>
  <c r="G132" i="16" s="1"/>
  <c r="I132" i="16"/>
  <c r="J132" i="16" s="1"/>
  <c r="R140" i="16"/>
  <c r="S140" i="16" s="1"/>
  <c r="Q140" i="16"/>
  <c r="P140" i="16" s="1"/>
  <c r="I132" i="35"/>
  <c r="H132" i="35"/>
  <c r="G132" i="35" s="1"/>
  <c r="J132" i="35"/>
  <c r="AW130" i="35"/>
  <c r="BD130" i="35"/>
  <c r="E129" i="35"/>
  <c r="AZ130" i="35"/>
  <c r="BM168" i="16"/>
  <c r="BQ168" i="16"/>
  <c r="BJ168" i="16"/>
  <c r="AN129" i="35"/>
  <c r="AO129" i="35" s="1"/>
  <c r="AM129" i="35"/>
  <c r="AL129" i="35" s="1"/>
  <c r="AM128" i="16"/>
  <c r="AL128" i="16" s="1"/>
  <c r="AN128" i="16"/>
  <c r="AO128" i="16" s="1"/>
  <c r="BP168" i="35"/>
  <c r="BI168" i="35"/>
  <c r="BL168" i="35"/>
  <c r="AV129" i="35"/>
  <c r="BE118" i="35"/>
  <c r="D77" i="49" l="1"/>
  <c r="F77" i="49" s="1"/>
  <c r="C78" i="49"/>
  <c r="E78" i="49"/>
  <c r="BI168" i="16"/>
  <c r="Q141" i="16"/>
  <c r="P141" i="16" s="1"/>
  <c r="R141" i="16"/>
  <c r="S141" i="16" s="1"/>
  <c r="I133" i="16"/>
  <c r="J133" i="16" s="1"/>
  <c r="H133" i="16"/>
  <c r="G133" i="16" s="1"/>
  <c r="R141" i="35"/>
  <c r="S141" i="35" s="1"/>
  <c r="Q141" i="35"/>
  <c r="P141" i="35" s="1"/>
  <c r="AN130" i="35"/>
  <c r="AM130" i="35"/>
  <c r="BD131" i="35"/>
  <c r="AW131" i="35"/>
  <c r="AV131" i="35" s="1"/>
  <c r="E130" i="35"/>
  <c r="AZ131" i="35"/>
  <c r="AN129" i="16"/>
  <c r="AO129" i="16" s="1"/>
  <c r="AM129" i="16"/>
  <c r="AL129" i="16" s="1"/>
  <c r="BL169" i="35"/>
  <c r="BP169" i="35"/>
  <c r="BI169" i="35"/>
  <c r="BH169" i="35" s="1"/>
  <c r="I133" i="35"/>
  <c r="J133" i="35" s="1"/>
  <c r="H133" i="35"/>
  <c r="G133" i="35" s="1"/>
  <c r="BH168" i="35"/>
  <c r="BM169" i="16"/>
  <c r="BQ169" i="16"/>
  <c r="BJ169" i="16"/>
  <c r="AV130" i="35"/>
  <c r="D78" i="49" l="1"/>
  <c r="F78" i="49"/>
  <c r="I49" i="39"/>
  <c r="F69" i="9"/>
  <c r="BI169" i="16"/>
  <c r="H134" i="16"/>
  <c r="G134" i="16" s="1"/>
  <c r="I134" i="16"/>
  <c r="J134" i="16" s="1"/>
  <c r="Q142" i="16"/>
  <c r="R142" i="16"/>
  <c r="V142" i="16" s="1"/>
  <c r="Q142" i="35"/>
  <c r="R142" i="35"/>
  <c r="V142" i="35" s="1"/>
  <c r="BD132" i="35"/>
  <c r="E131" i="35"/>
  <c r="AW132" i="35"/>
  <c r="AZ132" i="35"/>
  <c r="AQ130" i="35"/>
  <c r="AL130" i="35"/>
  <c r="BM170" i="16"/>
  <c r="BQ170" i="16"/>
  <c r="BJ170" i="16"/>
  <c r="BI170" i="16" s="1"/>
  <c r="I134" i="35"/>
  <c r="J134" i="35" s="1"/>
  <c r="H134" i="35"/>
  <c r="G134" i="35" s="1"/>
  <c r="AO130" i="35"/>
  <c r="AR130" i="35"/>
  <c r="BP170" i="35"/>
  <c r="BI170" i="35"/>
  <c r="BL170" i="35"/>
  <c r="AN130" i="16"/>
  <c r="AM130" i="16"/>
  <c r="C79" i="49" l="1"/>
  <c r="E79" i="49"/>
  <c r="I135" i="35"/>
  <c r="J135" i="35" s="1"/>
  <c r="H135" i="35"/>
  <c r="G135" i="35" s="1"/>
  <c r="BH170" i="35"/>
  <c r="AQ130" i="16"/>
  <c r="AL130" i="16"/>
  <c r="AZ133" i="35"/>
  <c r="E132" i="35"/>
  <c r="BD133" i="35"/>
  <c r="AW133" i="35"/>
  <c r="AV133" i="35" s="1"/>
  <c r="S142" i="35"/>
  <c r="U142" i="16"/>
  <c r="P142" i="16"/>
  <c r="AO130" i="16"/>
  <c r="AR130" i="16"/>
  <c r="AN131" i="35"/>
  <c r="AO131" i="35" s="1"/>
  <c r="AM131" i="35"/>
  <c r="AL131" i="35" s="1"/>
  <c r="BM171" i="16"/>
  <c r="BQ171" i="16"/>
  <c r="BJ171" i="16"/>
  <c r="AV132" i="35"/>
  <c r="U142" i="35"/>
  <c r="P142" i="35"/>
  <c r="I135" i="16"/>
  <c r="J135" i="16" s="1"/>
  <c r="H135" i="16"/>
  <c r="G135" i="16" s="1"/>
  <c r="BP171" i="35"/>
  <c r="BI171" i="35"/>
  <c r="BH171" i="35" s="1"/>
  <c r="BL171" i="35"/>
  <c r="K135" i="50"/>
  <c r="K166" i="50" s="1"/>
  <c r="K215" i="50" s="1"/>
  <c r="S142" i="16"/>
  <c r="D79" i="49" l="1"/>
  <c r="F79" i="49" s="1"/>
  <c r="E80" i="49"/>
  <c r="C80" i="49"/>
  <c r="BI171" i="16"/>
  <c r="I136" i="16"/>
  <c r="J136" i="16" s="1"/>
  <c r="H136" i="16"/>
  <c r="G136" i="16" s="1"/>
  <c r="H136" i="35"/>
  <c r="G136" i="35" s="1"/>
  <c r="I136" i="35"/>
  <c r="J136" i="35" s="1"/>
  <c r="BL172" i="35"/>
  <c r="BP172" i="35"/>
  <c r="BI172" i="35"/>
  <c r="BH172" i="35" s="1"/>
  <c r="AN132" i="35"/>
  <c r="AO132" i="35" s="1"/>
  <c r="AM132" i="35"/>
  <c r="AL132" i="35" s="1"/>
  <c r="AM131" i="16"/>
  <c r="AL131" i="16" s="1"/>
  <c r="AN131" i="16"/>
  <c r="AO131" i="16" s="1"/>
  <c r="R143" i="16"/>
  <c r="S143" i="16" s="1"/>
  <c r="Q143" i="16"/>
  <c r="P143" i="16" s="1"/>
  <c r="R143" i="35"/>
  <c r="S143" i="35" s="1"/>
  <c r="Q143" i="35"/>
  <c r="P143" i="35" s="1"/>
  <c r="BM172" i="16"/>
  <c r="BJ172" i="16"/>
  <c r="BI172" i="16" s="1"/>
  <c r="BQ172" i="16"/>
  <c r="AZ134" i="35"/>
  <c r="E133" i="35"/>
  <c r="BD134" i="35"/>
  <c r="AW134" i="35"/>
  <c r="D80" i="49" l="1"/>
  <c r="F80" i="49" s="1"/>
  <c r="I137" i="35"/>
  <c r="J137" i="35" s="1"/>
  <c r="H137" i="35"/>
  <c r="G137" i="35" s="1"/>
  <c r="R144" i="35"/>
  <c r="S144" i="35" s="1"/>
  <c r="Q144" i="35"/>
  <c r="P144" i="35" s="1"/>
  <c r="I137" i="16"/>
  <c r="J137" i="16" s="1"/>
  <c r="H137" i="16"/>
  <c r="G137" i="16" s="1"/>
  <c r="AZ135" i="35"/>
  <c r="BD135" i="35"/>
  <c r="E134" i="35"/>
  <c r="AW135" i="35"/>
  <c r="AV135" i="35" s="1"/>
  <c r="Q144" i="16"/>
  <c r="P144" i="16" s="1"/>
  <c r="R144" i="16"/>
  <c r="S144" i="16" s="1"/>
  <c r="AV134" i="35"/>
  <c r="BP173" i="35"/>
  <c r="BI173" i="35"/>
  <c r="BL173" i="35"/>
  <c r="AN133" i="35"/>
  <c r="AO133" i="35" s="1"/>
  <c r="AM133" i="35"/>
  <c r="AL133" i="35" s="1"/>
  <c r="BM173" i="16"/>
  <c r="BQ173" i="16"/>
  <c r="BJ173" i="16"/>
  <c r="BI173" i="16" s="1"/>
  <c r="AN132" i="16"/>
  <c r="AO132" i="16" s="1"/>
  <c r="AM132" i="16"/>
  <c r="AL132" i="16" s="1"/>
  <c r="C81" i="49" l="1"/>
  <c r="E81" i="49"/>
  <c r="H138" i="16"/>
  <c r="G138" i="16" s="1"/>
  <c r="I138" i="16"/>
  <c r="J138" i="16" s="1"/>
  <c r="R145" i="16"/>
  <c r="S145" i="16" s="1"/>
  <c r="Q145" i="16"/>
  <c r="P145" i="16" s="1"/>
  <c r="BL174" i="35"/>
  <c r="BP174" i="35"/>
  <c r="BI174" i="35"/>
  <c r="BH174" i="35" s="1"/>
  <c r="BM174" i="16"/>
  <c r="BQ174" i="16"/>
  <c r="BJ174" i="16"/>
  <c r="BI174" i="16" s="1"/>
  <c r="AM134" i="35"/>
  <c r="AL134" i="35" s="1"/>
  <c r="AN134" i="35"/>
  <c r="AO134" i="35" s="1"/>
  <c r="BH173" i="35"/>
  <c r="I138" i="35"/>
  <c r="J138" i="35" s="1"/>
  <c r="H138" i="35"/>
  <c r="G138" i="35" s="1"/>
  <c r="AN133" i="16"/>
  <c r="AO133" i="16" s="1"/>
  <c r="AM133" i="16"/>
  <c r="AL133" i="16" s="1"/>
  <c r="AW136" i="35"/>
  <c r="AZ136" i="35"/>
  <c r="E135" i="35"/>
  <c r="BD136" i="35"/>
  <c r="R145" i="35"/>
  <c r="S145" i="35" s="1"/>
  <c r="Q145" i="35"/>
  <c r="P145" i="35" s="1"/>
  <c r="D81" i="49" l="1"/>
  <c r="F81" i="49" s="1"/>
  <c r="C82" i="49"/>
  <c r="D82" i="49" s="1"/>
  <c r="F82" i="49" s="1"/>
  <c r="E82" i="49"/>
  <c r="I139" i="16"/>
  <c r="J139" i="16" s="1"/>
  <c r="H139" i="16"/>
  <c r="G139" i="16" s="1"/>
  <c r="BD137" i="35"/>
  <c r="AW137" i="35"/>
  <c r="AV137" i="35" s="1"/>
  <c r="E136" i="35"/>
  <c r="AZ137" i="35"/>
  <c r="AM135" i="35"/>
  <c r="AL135" i="35" s="1"/>
  <c r="AN135" i="35"/>
  <c r="AO135" i="35" s="1"/>
  <c r="BM175" i="16"/>
  <c r="BQ175" i="16"/>
  <c r="BJ175" i="16"/>
  <c r="BI175" i="16" s="1"/>
  <c r="Q146" i="16"/>
  <c r="P146" i="16" s="1"/>
  <c r="R146" i="16"/>
  <c r="S146" i="16" s="1"/>
  <c r="R146" i="35"/>
  <c r="S146" i="35" s="1"/>
  <c r="Q146" i="35"/>
  <c r="P146" i="35" s="1"/>
  <c r="AV136" i="35"/>
  <c r="AN134" i="16"/>
  <c r="AO134" i="16" s="1"/>
  <c r="AM134" i="16"/>
  <c r="AL134" i="16" s="1"/>
  <c r="I139" i="35"/>
  <c r="J139" i="35" s="1"/>
  <c r="H139" i="35"/>
  <c r="G139" i="35" s="1"/>
  <c r="BL175" i="35"/>
  <c r="BP175" i="35"/>
  <c r="BI175" i="35"/>
  <c r="BH175" i="35" s="1"/>
  <c r="E83" i="49" l="1"/>
  <c r="C83" i="49"/>
  <c r="R147" i="35"/>
  <c r="S147" i="35" s="1"/>
  <c r="Q147" i="35"/>
  <c r="P147" i="35" s="1"/>
  <c r="I140" i="35"/>
  <c r="J140" i="35" s="1"/>
  <c r="H140" i="35"/>
  <c r="G140" i="35" s="1"/>
  <c r="R147" i="16"/>
  <c r="S147" i="16" s="1"/>
  <c r="Q147" i="16"/>
  <c r="P147" i="16" s="1"/>
  <c r="AW138" i="35"/>
  <c r="AZ138" i="35"/>
  <c r="E137" i="35"/>
  <c r="BD138" i="35"/>
  <c r="I140" i="16"/>
  <c r="J140" i="16" s="1"/>
  <c r="H140" i="16"/>
  <c r="G140" i="16" s="1"/>
  <c r="BL176" i="35"/>
  <c r="BP176" i="35"/>
  <c r="BI176" i="35"/>
  <c r="BH176" i="35" s="1"/>
  <c r="AM135" i="16"/>
  <c r="AL135" i="16" s="1"/>
  <c r="AN135" i="16"/>
  <c r="AO135" i="16" s="1"/>
  <c r="BM176" i="16"/>
  <c r="BQ176" i="16"/>
  <c r="BJ176" i="16"/>
  <c r="BI176" i="16" s="1"/>
  <c r="AN136" i="35"/>
  <c r="AO136" i="35" s="1"/>
  <c r="AM136" i="35"/>
  <c r="AL136" i="35" s="1"/>
  <c r="D83" i="49" l="1"/>
  <c r="F83" i="49" s="1"/>
  <c r="I141" i="16"/>
  <c r="J141" i="16" s="1"/>
  <c r="H141" i="16"/>
  <c r="G141" i="16" s="1"/>
  <c r="Q148" i="16"/>
  <c r="P148" i="16" s="1"/>
  <c r="R148" i="16"/>
  <c r="S148" i="16" s="1"/>
  <c r="Q148" i="35"/>
  <c r="P148" i="35" s="1"/>
  <c r="R148" i="35"/>
  <c r="S148" i="35" s="1"/>
  <c r="AN137" i="35"/>
  <c r="AO137" i="35" s="1"/>
  <c r="AM137" i="35"/>
  <c r="AL137" i="35" s="1"/>
  <c r="I141" i="35"/>
  <c r="J141" i="35" s="1"/>
  <c r="H141" i="35"/>
  <c r="G141" i="35" s="1"/>
  <c r="BD139" i="35"/>
  <c r="AW139" i="35"/>
  <c r="AV139" i="35" s="1"/>
  <c r="E138" i="35"/>
  <c r="AZ139" i="35"/>
  <c r="BM177" i="16"/>
  <c r="BQ177" i="16"/>
  <c r="BJ177" i="16"/>
  <c r="V75" i="9" s="1"/>
  <c r="AV138" i="35"/>
  <c r="AM136" i="16"/>
  <c r="AL136" i="16" s="1"/>
  <c r="AN136" i="16"/>
  <c r="AO136" i="16" s="1"/>
  <c r="BL177" i="35"/>
  <c r="BP177" i="35"/>
  <c r="BP178" i="35" s="1"/>
  <c r="BI177" i="35"/>
  <c r="E84" i="49" l="1"/>
  <c r="C84" i="49"/>
  <c r="K47" i="39"/>
  <c r="BM178" i="16"/>
  <c r="BJ178" i="16"/>
  <c r="BQ178" i="16"/>
  <c r="F75" i="9"/>
  <c r="BI177" i="16"/>
  <c r="BI202" i="16" s="1"/>
  <c r="BJ202" i="16"/>
  <c r="BR166" i="16"/>
  <c r="BR202" i="16" s="1"/>
  <c r="I142" i="35"/>
  <c r="M142" i="35" s="1"/>
  <c r="AI142" i="35" s="1"/>
  <c r="H142" i="35"/>
  <c r="R149" i="35"/>
  <c r="S149" i="35" s="1"/>
  <c r="Q149" i="35"/>
  <c r="P149" i="35" s="1"/>
  <c r="BQ202" i="16"/>
  <c r="AZ140" i="35"/>
  <c r="E139" i="35"/>
  <c r="BD140" i="35"/>
  <c r="AW140" i="35"/>
  <c r="AV140" i="35" s="1"/>
  <c r="H142" i="16"/>
  <c r="I142" i="16"/>
  <c r="M142" i="16" s="1"/>
  <c r="AI142" i="16" s="1"/>
  <c r="AN138" i="35"/>
  <c r="AO138" i="35" s="1"/>
  <c r="AM138" i="35"/>
  <c r="AL138" i="35" s="1"/>
  <c r="R149" i="16"/>
  <c r="S149" i="16" s="1"/>
  <c r="Q149" i="16"/>
  <c r="P149" i="16" s="1"/>
  <c r="AN137" i="16"/>
  <c r="AO137" i="16" s="1"/>
  <c r="AM137" i="16"/>
  <c r="AL137" i="16" s="1"/>
  <c r="BH177" i="35"/>
  <c r="BH178" i="35" s="1"/>
  <c r="BI178" i="35"/>
  <c r="BQ166" i="35"/>
  <c r="BQ178" i="35" s="1"/>
  <c r="D84" i="49" l="1"/>
  <c r="F84" i="49" s="1"/>
  <c r="BI178" i="16"/>
  <c r="BM179" i="16"/>
  <c r="BJ179" i="16"/>
  <c r="BI179" i="16" s="1"/>
  <c r="BQ179" i="16"/>
  <c r="J142" i="16"/>
  <c r="I143" i="16" s="1"/>
  <c r="J143" i="16" s="1"/>
  <c r="J142" i="35"/>
  <c r="R150" i="35"/>
  <c r="Q150" i="35"/>
  <c r="P150" i="35" s="1"/>
  <c r="S150" i="35"/>
  <c r="Q150" i="16"/>
  <c r="P150" i="16" s="1"/>
  <c r="R150" i="16"/>
  <c r="S150" i="16" s="1"/>
  <c r="AN139" i="35"/>
  <c r="AO139" i="35" s="1"/>
  <c r="AM139" i="35"/>
  <c r="AL139" i="35" s="1"/>
  <c r="I143" i="35"/>
  <c r="J143" i="35" s="1"/>
  <c r="H143" i="35"/>
  <c r="G143" i="35" s="1"/>
  <c r="L142" i="16"/>
  <c r="AH142" i="16" s="1"/>
  <c r="G142" i="16"/>
  <c r="AM138" i="16"/>
  <c r="AL138" i="16" s="1"/>
  <c r="AN138" i="16"/>
  <c r="AO138" i="16" s="1"/>
  <c r="H143" i="16"/>
  <c r="G143" i="16" s="1"/>
  <c r="AZ141" i="35"/>
  <c r="BD141" i="35"/>
  <c r="E140" i="35"/>
  <c r="AW141" i="35"/>
  <c r="L142" i="35"/>
  <c r="AH142" i="35" s="1"/>
  <c r="G142" i="35"/>
  <c r="C85" i="49" l="1"/>
  <c r="E85" i="49"/>
  <c r="BJ180" i="16"/>
  <c r="BI180" i="16" s="1"/>
  <c r="BM180" i="16"/>
  <c r="BQ180" i="16"/>
  <c r="I144" i="35"/>
  <c r="J144" i="35" s="1"/>
  <c r="H144" i="35"/>
  <c r="G144" i="35" s="1"/>
  <c r="I144" i="16"/>
  <c r="J144" i="16" s="1"/>
  <c r="H144" i="16"/>
  <c r="G144" i="16" s="1"/>
  <c r="R151" i="16"/>
  <c r="S151" i="16" s="1"/>
  <c r="Q151" i="16"/>
  <c r="P151" i="16" s="1"/>
  <c r="AV141" i="35"/>
  <c r="BE130" i="35"/>
  <c r="AN140" i="35"/>
  <c r="AO140" i="35" s="1"/>
  <c r="AM140" i="35"/>
  <c r="AL140" i="35" s="1"/>
  <c r="R151" i="35"/>
  <c r="S151" i="35" s="1"/>
  <c r="Q151" i="35"/>
  <c r="P151" i="35" s="1"/>
  <c r="BD142" i="35"/>
  <c r="AW142" i="35"/>
  <c r="E141" i="35"/>
  <c r="AZ142" i="35"/>
  <c r="AN139" i="16"/>
  <c r="AO139" i="16" s="1"/>
  <c r="AM139" i="16"/>
  <c r="AL139" i="16" s="1"/>
  <c r="D85" i="49" l="1"/>
  <c r="F85" i="49" s="1"/>
  <c r="C86" i="49" s="1"/>
  <c r="D86" i="49" s="1"/>
  <c r="F86" i="49" s="1"/>
  <c r="E86" i="49"/>
  <c r="BJ181" i="16"/>
  <c r="BI181" i="16" s="1"/>
  <c r="BM181" i="16"/>
  <c r="BQ181" i="16"/>
  <c r="Q152" i="35"/>
  <c r="P152" i="35" s="1"/>
  <c r="R152" i="35"/>
  <c r="S152" i="35" s="1"/>
  <c r="I145" i="35"/>
  <c r="J145" i="35" s="1"/>
  <c r="H145" i="35"/>
  <c r="G145" i="35" s="1"/>
  <c r="AM140" i="16"/>
  <c r="AL140" i="16" s="1"/>
  <c r="AN140" i="16"/>
  <c r="AO140" i="16" s="1"/>
  <c r="AZ143" i="35"/>
  <c r="BD143" i="35"/>
  <c r="AW143" i="35"/>
  <c r="AV143" i="35" s="1"/>
  <c r="E142" i="35"/>
  <c r="Q152" i="16"/>
  <c r="P152" i="16" s="1"/>
  <c r="R152" i="16"/>
  <c r="S152" i="16" s="1"/>
  <c r="I145" i="16"/>
  <c r="J145" i="16" s="1"/>
  <c r="H145" i="16"/>
  <c r="G145" i="16" s="1"/>
  <c r="AV142" i="35"/>
  <c r="AN141" i="35"/>
  <c r="AO141" i="35" s="1"/>
  <c r="AM141" i="35"/>
  <c r="AL141" i="35" s="1"/>
  <c r="E87" i="49" l="1"/>
  <c r="C87" i="49"/>
  <c r="BM182" i="16"/>
  <c r="BJ182" i="16"/>
  <c r="BQ182" i="16"/>
  <c r="H146" i="35"/>
  <c r="G146" i="35" s="1"/>
  <c r="I146" i="35"/>
  <c r="J146" i="35" s="1"/>
  <c r="R153" i="16"/>
  <c r="S153" i="16" s="1"/>
  <c r="Q153" i="16"/>
  <c r="P153" i="16" s="1"/>
  <c r="Q153" i="35"/>
  <c r="P153" i="35" s="1"/>
  <c r="R153" i="35"/>
  <c r="S153" i="35" s="1"/>
  <c r="I146" i="16"/>
  <c r="J146" i="16" s="1"/>
  <c r="H146" i="16"/>
  <c r="G146" i="16" s="1"/>
  <c r="AN141" i="16"/>
  <c r="AO141" i="16" s="1"/>
  <c r="AM141" i="16"/>
  <c r="AL141" i="16" s="1"/>
  <c r="AM142" i="35"/>
  <c r="AN142" i="35"/>
  <c r="AZ144" i="35"/>
  <c r="BD144" i="35"/>
  <c r="E143" i="35"/>
  <c r="AW144" i="35"/>
  <c r="D87" i="49" l="1"/>
  <c r="F87" i="49" s="1"/>
  <c r="BQ183" i="16"/>
  <c r="BM183" i="16"/>
  <c r="BJ183" i="16"/>
  <c r="BI183" i="16" s="1"/>
  <c r="BI182" i="16"/>
  <c r="H147" i="16"/>
  <c r="G147" i="16" s="1"/>
  <c r="I147" i="16"/>
  <c r="J147" i="16" s="1"/>
  <c r="H147" i="35"/>
  <c r="G147" i="35" s="1"/>
  <c r="I147" i="35"/>
  <c r="J147" i="35" s="1"/>
  <c r="AZ145" i="35"/>
  <c r="E144" i="35"/>
  <c r="BD145" i="35"/>
  <c r="AW145" i="35"/>
  <c r="AV145" i="35" s="1"/>
  <c r="AR142" i="35"/>
  <c r="AO142" i="35"/>
  <c r="AV144" i="35"/>
  <c r="AQ142" i="35"/>
  <c r="AL142" i="35"/>
  <c r="L135" i="50"/>
  <c r="L166" i="50" s="1"/>
  <c r="L215" i="50" s="1"/>
  <c r="AM142" i="16"/>
  <c r="AN142" i="16"/>
  <c r="E88" i="49" l="1"/>
  <c r="C88" i="49"/>
  <c r="BJ184" i="16"/>
  <c r="BI184" i="16" s="1"/>
  <c r="BM184" i="16"/>
  <c r="BQ184" i="16"/>
  <c r="I148" i="35"/>
  <c r="J148" i="35" s="1"/>
  <c r="H148" i="35"/>
  <c r="G148" i="35" s="1"/>
  <c r="I148" i="16"/>
  <c r="J148" i="16" s="1"/>
  <c r="H148" i="16"/>
  <c r="G148" i="16" s="1"/>
  <c r="AR142" i="16"/>
  <c r="AO142" i="16"/>
  <c r="AQ142" i="16"/>
  <c r="AL142" i="16"/>
  <c r="AW146" i="35"/>
  <c r="AV146" i="35" s="1"/>
  <c r="AZ146" i="35"/>
  <c r="E145" i="35"/>
  <c r="BD146" i="35"/>
  <c r="AN143" i="35"/>
  <c r="AO143" i="35" s="1"/>
  <c r="AM143" i="35"/>
  <c r="AL143" i="35" s="1"/>
  <c r="D88" i="49" l="1"/>
  <c r="F88" i="49" s="1"/>
  <c r="BQ185" i="16"/>
  <c r="BJ185" i="16"/>
  <c r="BI185" i="16" s="1"/>
  <c r="BM185" i="16"/>
  <c r="AN144" i="35"/>
  <c r="AO144" i="35" s="1"/>
  <c r="AM144" i="35"/>
  <c r="AL144" i="35" s="1"/>
  <c r="M58" i="38"/>
  <c r="AM143" i="16"/>
  <c r="AL143" i="16" s="1"/>
  <c r="AN143" i="16"/>
  <c r="AO143" i="16" s="1"/>
  <c r="I149" i="35"/>
  <c r="J149" i="35" s="1"/>
  <c r="H149" i="35"/>
  <c r="G149" i="35" s="1"/>
  <c r="I149" i="16"/>
  <c r="J149" i="16" s="1"/>
  <c r="H149" i="16"/>
  <c r="G149" i="16" s="1"/>
  <c r="AW147" i="35"/>
  <c r="BD147" i="35"/>
  <c r="E146" i="35"/>
  <c r="AZ147" i="35"/>
  <c r="C89" i="49" l="1"/>
  <c r="E89" i="49"/>
  <c r="BM186" i="16"/>
  <c r="BJ186" i="16"/>
  <c r="BI186" i="16" s="1"/>
  <c r="BQ186" i="16"/>
  <c r="I150" i="16"/>
  <c r="J150" i="16" s="1"/>
  <c r="H150" i="16"/>
  <c r="G150" i="16" s="1"/>
  <c r="I150" i="35"/>
  <c r="J150" i="35" s="1"/>
  <c r="H150" i="35"/>
  <c r="G150" i="35" s="1"/>
  <c r="AV147" i="35"/>
  <c r="BD148" i="35"/>
  <c r="AW148" i="35"/>
  <c r="AV148" i="35" s="1"/>
  <c r="AZ148" i="35"/>
  <c r="E147" i="35"/>
  <c r="AN144" i="16"/>
  <c r="AO144" i="16" s="1"/>
  <c r="AM144" i="16"/>
  <c r="AL144" i="16" s="1"/>
  <c r="I17" i="39"/>
  <c r="I23" i="39" s="1"/>
  <c r="X7" i="39" s="1"/>
  <c r="X65" i="39" s="1"/>
  <c r="T37" i="9"/>
  <c r="M17" i="8" s="1"/>
  <c r="M72" i="8" s="1"/>
  <c r="AM145" i="35"/>
  <c r="AL145" i="35" s="1"/>
  <c r="AN145" i="35"/>
  <c r="AO145" i="35" s="1"/>
  <c r="D89" i="49" l="1"/>
  <c r="F89" i="49" s="1"/>
  <c r="E90" i="49" s="1"/>
  <c r="BQ187" i="16"/>
  <c r="BJ187" i="16"/>
  <c r="BI187" i="16" s="1"/>
  <c r="BM187" i="16"/>
  <c r="I151" i="35"/>
  <c r="J151" i="35" s="1"/>
  <c r="H151" i="35"/>
  <c r="G151" i="35" s="1"/>
  <c r="AZ149" i="35"/>
  <c r="E148" i="35"/>
  <c r="BD149" i="35"/>
  <c r="AW149" i="35"/>
  <c r="AV149" i="35" s="1"/>
  <c r="H151" i="16"/>
  <c r="G151" i="16" s="1"/>
  <c r="I151" i="16"/>
  <c r="J151" i="16" s="1"/>
  <c r="AM145" i="16"/>
  <c r="AL145" i="16" s="1"/>
  <c r="AN145" i="16"/>
  <c r="AO145" i="16" s="1"/>
  <c r="AN146" i="35"/>
  <c r="AO146" i="35" s="1"/>
  <c r="AM146" i="35"/>
  <c r="AL146" i="35" s="1"/>
  <c r="M112" i="8"/>
  <c r="M230" i="8"/>
  <c r="M193" i="8"/>
  <c r="M149" i="8"/>
  <c r="C90" i="49" l="1"/>
  <c r="D90" i="49"/>
  <c r="F90" i="49" s="1"/>
  <c r="BJ188" i="16"/>
  <c r="BI188" i="16" s="1"/>
  <c r="BM188" i="16"/>
  <c r="BQ188" i="16"/>
  <c r="I152" i="16"/>
  <c r="J152" i="16" s="1"/>
  <c r="H152" i="16"/>
  <c r="G152" i="16" s="1"/>
  <c r="H152" i="35"/>
  <c r="G152" i="35" s="1"/>
  <c r="I152" i="35"/>
  <c r="J152" i="35" s="1"/>
  <c r="AN146" i="16"/>
  <c r="AO146" i="16" s="1"/>
  <c r="AM146" i="16"/>
  <c r="AL146" i="16" s="1"/>
  <c r="AZ150" i="35"/>
  <c r="BD150" i="35"/>
  <c r="E149" i="35"/>
  <c r="AW150" i="35"/>
  <c r="AV150" i="35" s="1"/>
  <c r="AN147" i="35"/>
  <c r="AO147" i="35" s="1"/>
  <c r="AM147" i="35"/>
  <c r="AL147" i="35" s="1"/>
  <c r="C91" i="49" l="1"/>
  <c r="E91" i="49"/>
  <c r="BJ189" i="16"/>
  <c r="BM189" i="16"/>
  <c r="BQ189" i="16"/>
  <c r="I153" i="35"/>
  <c r="J153" i="35" s="1"/>
  <c r="H153" i="35"/>
  <c r="G153" i="35" s="1"/>
  <c r="AN148" i="35"/>
  <c r="AO148" i="35" s="1"/>
  <c r="AM148" i="35"/>
  <c r="AL148" i="35" s="1"/>
  <c r="AZ151" i="35"/>
  <c r="E150" i="35"/>
  <c r="AW151" i="35"/>
  <c r="AV151" i="35" s="1"/>
  <c r="BD151" i="35"/>
  <c r="AM147" i="16"/>
  <c r="AL147" i="16" s="1"/>
  <c r="AN147" i="16"/>
  <c r="AO147" i="16" s="1"/>
  <c r="I153" i="16"/>
  <c r="J153" i="16" s="1"/>
  <c r="H153" i="16"/>
  <c r="G153" i="16" s="1"/>
  <c r="D91" i="49" l="1"/>
  <c r="F91" i="49" s="1"/>
  <c r="E92" i="49" s="1"/>
  <c r="C92" i="49"/>
  <c r="BM190" i="16"/>
  <c r="BJ190" i="16"/>
  <c r="BQ190" i="16"/>
  <c r="BI189" i="16"/>
  <c r="BR178" i="16"/>
  <c r="AN149" i="35"/>
  <c r="AO149" i="35" s="1"/>
  <c r="AM149" i="35"/>
  <c r="AL149" i="35" s="1"/>
  <c r="AN148" i="16"/>
  <c r="AO148" i="16" s="1"/>
  <c r="AM148" i="16"/>
  <c r="AL148" i="16" s="1"/>
  <c r="BD152" i="35"/>
  <c r="AW152" i="35"/>
  <c r="AV152" i="35" s="1"/>
  <c r="E151" i="35"/>
  <c r="AZ152" i="35"/>
  <c r="D92" i="49" l="1"/>
  <c r="F92" i="49" s="1"/>
  <c r="BI190" i="16"/>
  <c r="BM191" i="16"/>
  <c r="BJ191" i="16"/>
  <c r="BI191" i="16" s="1"/>
  <c r="BQ191" i="16"/>
  <c r="AM149" i="16"/>
  <c r="AL149" i="16" s="1"/>
  <c r="AN149" i="16"/>
  <c r="AO149" i="16" s="1"/>
  <c r="AN150" i="35"/>
  <c r="AO150" i="35" s="1"/>
  <c r="AM150" i="35"/>
  <c r="AL150" i="35" s="1"/>
  <c r="BD153" i="35"/>
  <c r="BD178" i="35" s="1"/>
  <c r="AZ153" i="35"/>
  <c r="AW153" i="35"/>
  <c r="E152" i="35"/>
  <c r="E93" i="49" l="1"/>
  <c r="C93" i="49"/>
  <c r="BM192" i="16"/>
  <c r="BJ192" i="16"/>
  <c r="BI192" i="16" s="1"/>
  <c r="BQ192" i="16"/>
  <c r="AN150" i="16"/>
  <c r="AO150" i="16" s="1"/>
  <c r="AM150" i="16"/>
  <c r="AL150" i="16" s="1"/>
  <c r="AZ154" i="35"/>
  <c r="E153" i="35"/>
  <c r="AW154" i="35"/>
  <c r="AV153" i="35"/>
  <c r="BE142" i="35"/>
  <c r="AM151" i="35"/>
  <c r="AL151" i="35" s="1"/>
  <c r="AN151" i="35"/>
  <c r="AO151" i="35" s="1"/>
  <c r="D93" i="49" l="1"/>
  <c r="F93" i="49" s="1"/>
  <c r="BM193" i="16"/>
  <c r="BQ193" i="16"/>
  <c r="BJ193" i="16"/>
  <c r="BI193" i="16" s="1"/>
  <c r="AM152" i="35"/>
  <c r="AL152" i="35" s="1"/>
  <c r="AN152" i="35"/>
  <c r="AO152" i="35" s="1"/>
  <c r="E154" i="35"/>
  <c r="AZ155" i="35"/>
  <c r="AW155" i="35"/>
  <c r="AV155" i="35" s="1"/>
  <c r="AV154" i="35"/>
  <c r="AM151" i="16"/>
  <c r="AL151" i="16" s="1"/>
  <c r="AN151" i="16"/>
  <c r="AO151" i="16" s="1"/>
  <c r="C94" i="49" l="1"/>
  <c r="E94" i="49"/>
  <c r="BQ194" i="16"/>
  <c r="BJ194" i="16"/>
  <c r="BI194" i="16" s="1"/>
  <c r="BM194" i="16"/>
  <c r="E155" i="35"/>
  <c r="AZ156" i="35"/>
  <c r="AW156" i="35"/>
  <c r="AM153" i="35"/>
  <c r="AL153" i="35" s="1"/>
  <c r="AN153" i="35"/>
  <c r="AO153" i="35" s="1"/>
  <c r="AN152" i="16"/>
  <c r="AO152" i="16" s="1"/>
  <c r="AM152" i="16"/>
  <c r="AL152" i="16" s="1"/>
  <c r="D94" i="49" l="1"/>
  <c r="F94" i="49" s="1"/>
  <c r="E95" i="49" s="1"/>
  <c r="BM195" i="16"/>
  <c r="BQ195" i="16"/>
  <c r="BJ195" i="16"/>
  <c r="AM153" i="16"/>
  <c r="AL153" i="16" s="1"/>
  <c r="AN153" i="16"/>
  <c r="AO153" i="16" s="1"/>
  <c r="AV156" i="35"/>
  <c r="AZ157" i="35"/>
  <c r="AW157" i="35"/>
  <c r="AV157" i="35" s="1"/>
  <c r="E156" i="35"/>
  <c r="C95" i="49" l="1"/>
  <c r="D95" i="49" s="1"/>
  <c r="F95" i="49" s="1"/>
  <c r="E96" i="49" s="1"/>
  <c r="C96" i="49"/>
  <c r="BI195" i="16"/>
  <c r="BJ196" i="16"/>
  <c r="BI196" i="16" s="1"/>
  <c r="BM196" i="16"/>
  <c r="BQ196" i="16"/>
  <c r="M135" i="50"/>
  <c r="M166" i="50" s="1"/>
  <c r="M215" i="50" s="1"/>
  <c r="AZ158" i="35"/>
  <c r="AW158" i="35"/>
  <c r="AV158" i="35" s="1"/>
  <c r="E157" i="35"/>
  <c r="D96" i="49" l="1"/>
  <c r="F96" i="49" s="1"/>
  <c r="BM197" i="16"/>
  <c r="BQ197" i="16"/>
  <c r="BJ197" i="16"/>
  <c r="BI197" i="16" s="1"/>
  <c r="E158" i="35"/>
  <c r="AW159" i="35"/>
  <c r="AV159" i="35" s="1"/>
  <c r="AZ159" i="35"/>
  <c r="C97" i="49" l="1"/>
  <c r="D97" i="49" s="1"/>
  <c r="F97" i="49" s="1"/>
  <c r="E97" i="49"/>
  <c r="BQ198" i="16"/>
  <c r="BJ198" i="16"/>
  <c r="BI198" i="16" s="1"/>
  <c r="BM198" i="16"/>
  <c r="N58" i="38"/>
  <c r="AZ160" i="35"/>
  <c r="AW160" i="35"/>
  <c r="E159" i="35"/>
  <c r="E98" i="49" l="1"/>
  <c r="C98" i="49"/>
  <c r="D98" i="49" s="1"/>
  <c r="F98" i="49" s="1"/>
  <c r="BM199" i="16"/>
  <c r="BQ199" i="16"/>
  <c r="BJ199" i="16"/>
  <c r="BI199" i="16" s="1"/>
  <c r="J17" i="39"/>
  <c r="J23" i="39" s="1"/>
  <c r="Y7" i="39" s="1"/>
  <c r="Y65" i="39" s="1"/>
  <c r="U37" i="9"/>
  <c r="N17" i="8" s="1"/>
  <c r="N72" i="8" s="1"/>
  <c r="AV160" i="35"/>
  <c r="AZ161" i="35"/>
  <c r="AW161" i="35"/>
  <c r="AV161" i="35" s="1"/>
  <c r="E160" i="35"/>
  <c r="C99" i="49" l="1"/>
  <c r="D99" i="49" s="1"/>
  <c r="F99" i="49" s="1"/>
  <c r="E99" i="49"/>
  <c r="BQ200" i="16"/>
  <c r="BM200" i="16"/>
  <c r="BJ200" i="16"/>
  <c r="BI200" i="16" s="1"/>
  <c r="N193" i="8"/>
  <c r="N112" i="8"/>
  <c r="N230" i="8"/>
  <c r="N149" i="8"/>
  <c r="E161" i="35"/>
  <c r="AZ162" i="35"/>
  <c r="AW162" i="35"/>
  <c r="AV162" i="35" s="1"/>
  <c r="E100" i="49" l="1"/>
  <c r="C100" i="49"/>
  <c r="BQ201" i="16"/>
  <c r="BJ201" i="16"/>
  <c r="BM201" i="16"/>
  <c r="O58" i="38"/>
  <c r="AZ163" i="35"/>
  <c r="AW163" i="35"/>
  <c r="AV163" i="35" s="1"/>
  <c r="E162" i="35"/>
  <c r="D100" i="49" l="1"/>
  <c r="F100" i="49" s="1"/>
  <c r="C101" i="49"/>
  <c r="D101" i="49" s="1"/>
  <c r="F101" i="49" s="1"/>
  <c r="E101" i="49"/>
  <c r="BI201" i="16"/>
  <c r="BR190" i="16"/>
  <c r="AZ164" i="35"/>
  <c r="AW164" i="35"/>
  <c r="AV164" i="35" s="1"/>
  <c r="E163" i="35"/>
  <c r="V37" i="9"/>
  <c r="O17" i="8" s="1"/>
  <c r="O72" i="8" s="1"/>
  <c r="K17" i="39"/>
  <c r="K23" i="39" s="1"/>
  <c r="Z7" i="39" s="1"/>
  <c r="Z65" i="39" s="1"/>
  <c r="E102" i="49" l="1"/>
  <c r="C102" i="49"/>
  <c r="D102" i="49" s="1"/>
  <c r="F102" i="49" s="1"/>
  <c r="E164" i="35"/>
  <c r="AW165" i="35"/>
  <c r="AZ165" i="35"/>
  <c r="O193" i="8"/>
  <c r="O149" i="8"/>
  <c r="O112" i="8"/>
  <c r="O230" i="8"/>
  <c r="C103" i="49" l="1"/>
  <c r="D103" i="49" s="1"/>
  <c r="F103" i="49" s="1"/>
  <c r="E103" i="49"/>
  <c r="AZ166" i="35"/>
  <c r="AW166" i="35"/>
  <c r="E165" i="35"/>
  <c r="AV165" i="35"/>
  <c r="BE154" i="35"/>
  <c r="E104" i="49" l="1"/>
  <c r="C104" i="49"/>
  <c r="D104" i="49" s="1"/>
  <c r="F104" i="49" s="1"/>
  <c r="AV166" i="35"/>
  <c r="AZ167" i="35"/>
  <c r="E166" i="35"/>
  <c r="AW167" i="35"/>
  <c r="AV167" i="35" s="1"/>
  <c r="E105" i="49" l="1"/>
  <c r="C105" i="49"/>
  <c r="D105" i="49" s="1"/>
  <c r="F105" i="49" s="1"/>
  <c r="E167" i="35"/>
  <c r="AW168" i="35"/>
  <c r="AV168" i="35" s="1"/>
  <c r="AZ168" i="35"/>
  <c r="E106" i="49" l="1"/>
  <c r="C106" i="49"/>
  <c r="AZ169" i="35"/>
  <c r="AW169" i="35"/>
  <c r="E168" i="35"/>
  <c r="D106" i="49" l="1"/>
  <c r="F106" i="49" s="1"/>
  <c r="E107" i="49" s="1"/>
  <c r="AV169" i="35"/>
  <c r="AZ170" i="35"/>
  <c r="AW170" i="35"/>
  <c r="AV170" i="35" s="1"/>
  <c r="E169" i="35"/>
  <c r="C107" i="49" l="1"/>
  <c r="D107" i="49" s="1"/>
  <c r="F107" i="49" s="1"/>
  <c r="C108" i="49" s="1"/>
  <c r="E170" i="35"/>
  <c r="AW171" i="35"/>
  <c r="AV171" i="35" s="1"/>
  <c r="AZ171" i="35"/>
  <c r="D108" i="49" l="1"/>
  <c r="F108" i="49" s="1"/>
  <c r="E108" i="49"/>
  <c r="E109" i="49"/>
  <c r="C109" i="49"/>
  <c r="D109" i="49" s="1"/>
  <c r="F109" i="49" s="1"/>
  <c r="AZ172" i="35"/>
  <c r="AW172" i="35"/>
  <c r="AV172" i="35" s="1"/>
  <c r="E171" i="35"/>
  <c r="C110" i="49" l="1"/>
  <c r="D110" i="49" s="1"/>
  <c r="F110" i="49" s="1"/>
  <c r="E110" i="49"/>
  <c r="AZ173" i="35"/>
  <c r="AW173" i="35"/>
  <c r="AV173" i="35" s="1"/>
  <c r="E172" i="35"/>
  <c r="C111" i="49" l="1"/>
  <c r="D111" i="49" s="1"/>
  <c r="F111" i="49" s="1"/>
  <c r="E111" i="49"/>
  <c r="AW174" i="35"/>
  <c r="E173" i="35"/>
  <c r="AZ174" i="35"/>
  <c r="E174" i="35" s="1"/>
  <c r="C112" i="49" l="1"/>
  <c r="E112" i="49"/>
  <c r="AV174" i="35"/>
  <c r="AV178" i="35" s="1"/>
  <c r="AW178" i="35"/>
  <c r="BE166" i="35"/>
  <c r="BE178" i="35" s="1"/>
  <c r="D112" i="49" l="1"/>
  <c r="F112" i="49" s="1"/>
  <c r="E113" i="49"/>
  <c r="C113" i="49"/>
  <c r="D113" i="49" s="1"/>
  <c r="F113" i="49" s="1"/>
  <c r="C114" i="49" l="1"/>
  <c r="E114" i="49"/>
  <c r="D114" i="49" l="1"/>
  <c r="F114" i="49" s="1"/>
  <c r="C115" i="49" s="1"/>
  <c r="D115" i="49" l="1"/>
  <c r="F115" i="49" s="1"/>
  <c r="E116" i="49" s="1"/>
  <c r="E115" i="49"/>
  <c r="C116" i="49" l="1"/>
  <c r="D116" i="49" s="1"/>
  <c r="F116" i="49" s="1"/>
  <c r="C117" i="49" s="1"/>
  <c r="E117" i="49" l="1"/>
  <c r="D117" i="49" s="1"/>
  <c r="F117" i="49" s="1"/>
  <c r="C118" i="49" l="1"/>
  <c r="E118" i="49"/>
  <c r="D118" i="49"/>
  <c r="F118" i="49" s="1"/>
  <c r="C119" i="49" l="1"/>
  <c r="E119" i="49"/>
  <c r="D119" i="49" l="1"/>
  <c r="F119" i="49" s="1"/>
  <c r="E120" i="49" l="1"/>
  <c r="C120" i="49"/>
  <c r="D120" i="49" s="1"/>
  <c r="F120" i="49" s="1"/>
  <c r="C121" i="49" l="1"/>
  <c r="E121" i="49"/>
  <c r="D121" i="49" l="1"/>
  <c r="F121" i="49" s="1"/>
  <c r="E122" i="49" l="1"/>
  <c r="C122" i="49"/>
  <c r="D122" i="49" l="1"/>
  <c r="F122" i="49" s="1"/>
  <c r="E123" i="49" l="1"/>
  <c r="C123" i="49"/>
  <c r="D123" i="49" l="1"/>
  <c r="F123" i="49" s="1"/>
  <c r="E124" i="49"/>
  <c r="C124" i="49"/>
  <c r="D124" i="49" s="1"/>
  <c r="F124" i="49" s="1"/>
  <c r="C125" i="49" l="1"/>
  <c r="E125" i="49"/>
  <c r="D125" i="49" l="1"/>
  <c r="F125" i="49" s="1"/>
  <c r="E126" i="49" s="1"/>
  <c r="D126" i="49" s="1"/>
  <c r="F126" i="49" s="1"/>
  <c r="C126" i="49"/>
  <c r="E127" i="49" l="1"/>
  <c r="C127" i="49"/>
  <c r="J152" i="24"/>
  <c r="K152" i="24"/>
  <c r="L152" i="24"/>
  <c r="M152" i="24"/>
  <c r="N152" i="24"/>
  <c r="I152" i="24"/>
  <c r="P152" i="24"/>
  <c r="O152" i="24"/>
  <c r="D127" i="49" l="1"/>
  <c r="F127" i="49" s="1"/>
  <c r="O158" i="5"/>
  <c r="V158" i="5"/>
  <c r="T158" i="5"/>
  <c r="R158" i="5"/>
  <c r="P158" i="5"/>
  <c r="S158" i="5"/>
  <c r="U158" i="5"/>
  <c r="Q158" i="5"/>
  <c r="E128" i="49" l="1"/>
  <c r="C128" i="49"/>
  <c r="P49" i="38"/>
  <c r="I49" i="38"/>
  <c r="N49" i="38"/>
  <c r="O49" i="38"/>
  <c r="L49" i="38"/>
  <c r="M49" i="38"/>
  <c r="K49" i="38"/>
  <c r="J49" i="38"/>
  <c r="D128" i="49" l="1"/>
  <c r="F128" i="49" s="1"/>
  <c r="C129" i="49" l="1"/>
  <c r="E129" i="49"/>
  <c r="D129" i="49" l="1"/>
  <c r="F129" i="49" s="1"/>
  <c r="K19" i="54"/>
  <c r="L30" i="54"/>
  <c r="C130" i="49" l="1"/>
  <c r="E130" i="49"/>
  <c r="O51" i="5"/>
  <c r="D130" i="49" l="1"/>
  <c r="F130" i="49" s="1"/>
  <c r="O10" i="5"/>
  <c r="I10" i="38"/>
  <c r="I16" i="38" s="1"/>
  <c r="G12" i="29"/>
  <c r="N80" i="54"/>
  <c r="P51" i="5"/>
  <c r="O42" i="5"/>
  <c r="O70" i="5"/>
  <c r="C131" i="49" l="1"/>
  <c r="E131" i="49"/>
  <c r="G43" i="29"/>
  <c r="O80" i="54"/>
  <c r="Q51" i="5"/>
  <c r="O21" i="5"/>
  <c r="O112" i="5"/>
  <c r="I21" i="38"/>
  <c r="P10" i="5"/>
  <c r="H12" i="29"/>
  <c r="J10" i="38"/>
  <c r="J16" i="38" s="1"/>
  <c r="N128" i="54"/>
  <c r="P42" i="5" s="1"/>
  <c r="P70" i="5"/>
  <c r="D131" i="49" l="1"/>
  <c r="F131" i="49" s="1"/>
  <c r="H32" i="29"/>
  <c r="H71" i="29" s="1"/>
  <c r="G71" i="29"/>
  <c r="P80" i="54"/>
  <c r="R51" i="5"/>
  <c r="Q10" i="5"/>
  <c r="K10" i="38"/>
  <c r="K16" i="38" s="1"/>
  <c r="Q21" i="5"/>
  <c r="I12" i="29"/>
  <c r="P21" i="5"/>
  <c r="J21" i="38"/>
  <c r="P112" i="5"/>
  <c r="O128" i="54"/>
  <c r="Q42" i="5" s="1"/>
  <c r="Q70" i="5"/>
  <c r="G72" i="29" l="1"/>
  <c r="G75" i="29" s="1"/>
  <c r="AW15" i="6" s="1"/>
  <c r="AV30" i="6" s="1"/>
  <c r="G306" i="29"/>
  <c r="H73" i="29"/>
  <c r="H306" i="29"/>
  <c r="E132" i="49"/>
  <c r="C132" i="49"/>
  <c r="D132" i="49" s="1"/>
  <c r="F132" i="49" s="1"/>
  <c r="H72" i="29"/>
  <c r="I32" i="29"/>
  <c r="G73" i="29"/>
  <c r="K21" i="38"/>
  <c r="Q112" i="5"/>
  <c r="P128" i="54"/>
  <c r="R42" i="5" s="1"/>
  <c r="R70" i="5"/>
  <c r="Q80" i="54"/>
  <c r="S51" i="5"/>
  <c r="R10" i="5"/>
  <c r="J12" i="29"/>
  <c r="L10" i="38"/>
  <c r="L16" i="38" s="1"/>
  <c r="H310" i="29" l="1"/>
  <c r="G310" i="29"/>
  <c r="G76" i="29"/>
  <c r="AU15" i="6" s="1"/>
  <c r="AU78" i="6" s="1"/>
  <c r="AU79" i="6" s="1"/>
  <c r="I71" i="29"/>
  <c r="I72" i="29" s="1"/>
  <c r="J32" i="29"/>
  <c r="L21" i="38"/>
  <c r="R21" i="5"/>
  <c r="R112" i="5"/>
  <c r="R80" i="54"/>
  <c r="T51" i="5"/>
  <c r="Q128" i="54"/>
  <c r="S42" i="5" s="1"/>
  <c r="S70" i="5"/>
  <c r="S10" i="5"/>
  <c r="K12" i="29"/>
  <c r="M10" i="38"/>
  <c r="M16" i="38" s="1"/>
  <c r="G312" i="29" l="1"/>
  <c r="G313" i="29"/>
  <c r="H312" i="29"/>
  <c r="H313" i="29"/>
  <c r="AR35" i="6"/>
  <c r="AR34" i="6"/>
  <c r="AV15" i="6"/>
  <c r="BX57" i="6" s="1"/>
  <c r="AR45" i="6"/>
  <c r="AR40" i="6"/>
  <c r="AR53" i="6"/>
  <c r="I73" i="29"/>
  <c r="AR43" i="6"/>
  <c r="AR39" i="6"/>
  <c r="AR55" i="6"/>
  <c r="AR36" i="6"/>
  <c r="AR28" i="6"/>
  <c r="AR29" i="6"/>
  <c r="AR44" i="6"/>
  <c r="AR41" i="6"/>
  <c r="AR42" i="6"/>
  <c r="J71" i="29"/>
  <c r="K32" i="29"/>
  <c r="AV57" i="6"/>
  <c r="S80" i="54"/>
  <c r="U51" i="5"/>
  <c r="T10" i="5"/>
  <c r="N10" i="38"/>
  <c r="N16" i="38" s="1"/>
  <c r="L12" i="29"/>
  <c r="S21" i="5"/>
  <c r="M21" i="38"/>
  <c r="S112" i="5"/>
  <c r="R128" i="54"/>
  <c r="T42" i="5" s="1"/>
  <c r="T70" i="5"/>
  <c r="BP57" i="6" l="1"/>
  <c r="BX54" i="6"/>
  <c r="BT57" i="6"/>
  <c r="BP56" i="6"/>
  <c r="BH57" i="6"/>
  <c r="BH54" i="6"/>
  <c r="AZ57" i="6"/>
  <c r="BX56" i="6"/>
  <c r="BT54" i="6"/>
  <c r="BL56" i="6"/>
  <c r="AV28" i="6"/>
  <c r="BT56" i="6"/>
  <c r="BD57" i="6"/>
  <c r="BD54" i="6"/>
  <c r="BH56" i="6"/>
  <c r="BP54" i="6"/>
  <c r="BD56" i="6"/>
  <c r="AZ56" i="6"/>
  <c r="BL54" i="6"/>
  <c r="BL57" i="6"/>
  <c r="AZ54" i="6"/>
  <c r="AV54" i="6"/>
  <c r="AV56" i="6"/>
  <c r="AW16" i="6"/>
  <c r="AW43" i="6" s="1"/>
  <c r="AV43" i="6" s="1"/>
  <c r="AR37" i="6"/>
  <c r="K71" i="29"/>
  <c r="L32" i="29"/>
  <c r="J73" i="29"/>
  <c r="J72" i="29"/>
  <c r="T21" i="5"/>
  <c r="N21" i="38"/>
  <c r="T112" i="5"/>
  <c r="U10" i="5"/>
  <c r="O10" i="38"/>
  <c r="O16" i="38" s="1"/>
  <c r="M12" i="29"/>
  <c r="T80" i="54"/>
  <c r="U100" i="54" s="1"/>
  <c r="V51" i="5"/>
  <c r="S128" i="54"/>
  <c r="U42" i="5" s="1"/>
  <c r="U70" i="5"/>
  <c r="J19" i="54"/>
  <c r="K30" i="54"/>
  <c r="J30" i="54"/>
  <c r="AW49" i="6" l="1"/>
  <c r="AV49" i="6" s="1"/>
  <c r="AZ49" i="6" s="1"/>
  <c r="BD49" i="6" s="1"/>
  <c r="AW41" i="6"/>
  <c r="AV41" i="6" s="1"/>
  <c r="AW40" i="6"/>
  <c r="AV40" i="6" s="1"/>
  <c r="AW35" i="6"/>
  <c r="AW51" i="6"/>
  <c r="AV51" i="6" s="1"/>
  <c r="AZ51" i="6" s="1"/>
  <c r="BD51" i="6" s="1"/>
  <c r="BH51" i="6" s="1"/>
  <c r="BL51" i="6" s="1"/>
  <c r="BP51" i="6" s="1"/>
  <c r="BT51" i="6" s="1"/>
  <c r="BX51" i="6" s="1"/>
  <c r="AW48" i="6"/>
  <c r="AV48" i="6" s="1"/>
  <c r="AZ48" i="6" s="1"/>
  <c r="BD48" i="6" s="1"/>
  <c r="AW34" i="6"/>
  <c r="AV34" i="6" s="1"/>
  <c r="AW45" i="6"/>
  <c r="AV45" i="6" s="1"/>
  <c r="AW29" i="6"/>
  <c r="AW50" i="6"/>
  <c r="AV50" i="6" s="1"/>
  <c r="AZ50" i="6" s="1"/>
  <c r="BD50" i="6" s="1"/>
  <c r="AW42" i="6"/>
  <c r="AV42" i="6" s="1"/>
  <c r="AW47" i="6"/>
  <c r="AV47" i="6" s="1"/>
  <c r="AZ47" i="6" s="1"/>
  <c r="BD47" i="6" s="1"/>
  <c r="AW36" i="6"/>
  <c r="AV36" i="6" s="1"/>
  <c r="AW44" i="6"/>
  <c r="AV44" i="6" s="1"/>
  <c r="L71" i="29"/>
  <c r="M32" i="29"/>
  <c r="M71" i="29" s="1"/>
  <c r="K73" i="29"/>
  <c r="K72" i="29"/>
  <c r="O219" i="5"/>
  <c r="T128" i="54"/>
  <c r="V42" i="5" s="1"/>
  <c r="V70" i="5"/>
  <c r="U21" i="5"/>
  <c r="O21" i="38"/>
  <c r="U112" i="5"/>
  <c r="V10" i="5"/>
  <c r="P10" i="38"/>
  <c r="P16" i="38" s="1"/>
  <c r="N12" i="29"/>
  <c r="J87" i="54"/>
  <c r="O229" i="5" l="1"/>
  <c r="I135" i="24"/>
  <c r="I154" i="24" s="1"/>
  <c r="O160" i="5" s="1"/>
  <c r="AV35" i="6"/>
  <c r="G331" i="29"/>
  <c r="O228" i="5"/>
  <c r="AV29" i="6"/>
  <c r="G273" i="29"/>
  <c r="O223" i="5"/>
  <c r="O218" i="5"/>
  <c r="AW37" i="6"/>
  <c r="AV37" i="6" s="1"/>
  <c r="AW53" i="6"/>
  <c r="BH50" i="6"/>
  <c r="BH49" i="6"/>
  <c r="BH47" i="6"/>
  <c r="BH48" i="6"/>
  <c r="M72" i="29"/>
  <c r="M73" i="29"/>
  <c r="N32" i="29"/>
  <c r="L73" i="29"/>
  <c r="L72" i="29"/>
  <c r="V21" i="5"/>
  <c r="P21" i="38"/>
  <c r="V112" i="5"/>
  <c r="P16" i="9" l="1"/>
  <c r="E10" i="39" s="1"/>
  <c r="I103" i="38"/>
  <c r="G328" i="29"/>
  <c r="G327" i="29"/>
  <c r="G325" i="29"/>
  <c r="AW82" i="6" s="1"/>
  <c r="AW84" i="6" s="1"/>
  <c r="I137" i="24" s="1"/>
  <c r="G329" i="29"/>
  <c r="G326" i="29"/>
  <c r="AW83" i="6" s="1"/>
  <c r="G330" i="29"/>
  <c r="G270" i="29"/>
  <c r="G271" i="29"/>
  <c r="G269" i="29"/>
  <c r="G268" i="29"/>
  <c r="G272" i="29"/>
  <c r="G267" i="29"/>
  <c r="AW55" i="6"/>
  <c r="BL48" i="6"/>
  <c r="BL49" i="6"/>
  <c r="BL47" i="6"/>
  <c r="BL50" i="6"/>
  <c r="N71" i="29"/>
  <c r="K38" i="54"/>
  <c r="K91" i="54"/>
  <c r="I156" i="24" l="1"/>
  <c r="O162" i="5" s="1"/>
  <c r="AW58" i="6"/>
  <c r="T231" i="45" s="1"/>
  <c r="G286" i="29"/>
  <c r="T236" i="45"/>
  <c r="T238" i="45" s="1"/>
  <c r="AW70" i="6"/>
  <c r="AV70" i="6" s="1"/>
  <c r="BP47" i="6"/>
  <c r="BP48" i="6"/>
  <c r="BP50" i="6"/>
  <c r="BP49" i="6"/>
  <c r="N73" i="29"/>
  <c r="N72" i="29"/>
  <c r="K54" i="54"/>
  <c r="J109" i="54"/>
  <c r="U231" i="45" l="1"/>
  <c r="V231" i="45" s="1"/>
  <c r="I134" i="24"/>
  <c r="G285" i="29"/>
  <c r="G284" i="29"/>
  <c r="G283" i="29"/>
  <c r="G282" i="29"/>
  <c r="G281" i="29"/>
  <c r="G280" i="29"/>
  <c r="U236" i="45"/>
  <c r="V236" i="45" s="1"/>
  <c r="BT49" i="6"/>
  <c r="BT50" i="6"/>
  <c r="BT48" i="6"/>
  <c r="BT47" i="6"/>
  <c r="T250" i="45"/>
  <c r="U238" i="45"/>
  <c r="V238" i="45" s="1"/>
  <c r="K87" i="54"/>
  <c r="AW74" i="6" l="1"/>
  <c r="I153" i="24"/>
  <c r="AW78" i="6"/>
  <c r="AW75" i="6"/>
  <c r="BX48" i="6"/>
  <c r="BX49" i="6"/>
  <c r="BX47" i="6"/>
  <c r="BX50" i="6"/>
  <c r="T262" i="45"/>
  <c r="U262" i="45" s="1"/>
  <c r="V262" i="45" s="1"/>
  <c r="U250" i="45"/>
  <c r="V250" i="45" s="1"/>
  <c r="M100" i="54"/>
  <c r="S100" i="54"/>
  <c r="O100" i="54"/>
  <c r="R100" i="54"/>
  <c r="P100" i="54"/>
  <c r="T100" i="54"/>
  <c r="Q100" i="54"/>
  <c r="N100" i="54"/>
  <c r="O159" i="5" l="1"/>
  <c r="AW76" i="6"/>
  <c r="F34" i="29"/>
  <c r="F44" i="29"/>
  <c r="AW79" i="6" l="1"/>
  <c r="I136" i="24"/>
  <c r="F77" i="29"/>
  <c r="F35" i="29" s="1"/>
  <c r="AE15" i="6"/>
  <c r="H219" i="50"/>
  <c r="H179" i="24"/>
  <c r="AF51" i="6" l="1"/>
  <c r="AF35" i="6"/>
  <c r="AF53" i="6"/>
  <c r="AF28" i="6"/>
  <c r="AF34" i="6"/>
  <c r="AF55" i="6"/>
  <c r="AF37" i="6"/>
  <c r="AF29" i="6"/>
  <c r="AF36" i="6"/>
  <c r="AF50" i="6"/>
  <c r="AF49" i="6"/>
  <c r="AF48" i="6"/>
  <c r="AF47" i="6"/>
  <c r="AF44" i="6"/>
  <c r="AF41" i="6"/>
  <c r="AF40" i="6"/>
  <c r="AF45" i="6"/>
  <c r="AF42" i="6"/>
  <c r="AF43" i="6"/>
  <c r="AF39" i="6"/>
  <c r="E34" i="29" l="1"/>
  <c r="E44" i="29" l="1"/>
  <c r="O61" i="5"/>
  <c r="AB15" i="6" l="1"/>
  <c r="E77" i="29"/>
  <c r="G219" i="50"/>
  <c r="G179" i="24"/>
  <c r="I220" i="50"/>
  <c r="I180" i="24"/>
  <c r="AC29" i="6" l="1"/>
  <c r="AC34" i="6"/>
  <c r="AC36" i="6"/>
  <c r="AC37" i="6"/>
  <c r="AC35" i="6"/>
  <c r="AC40" i="6"/>
  <c r="AC52" i="6"/>
  <c r="AC53" i="6"/>
  <c r="AC47" i="6"/>
  <c r="AC26" i="6"/>
  <c r="AC25" i="6" s="1"/>
  <c r="AC44" i="6"/>
  <c r="AC48" i="6"/>
  <c r="AB10" i="6"/>
  <c r="AC41" i="6"/>
  <c r="AC49" i="6"/>
  <c r="AC43" i="6"/>
  <c r="AC39" i="6"/>
  <c r="N31" i="5"/>
  <c r="N32" i="5" s="1"/>
  <c r="M31" i="5"/>
  <c r="AC28" i="6"/>
  <c r="AC58" i="6"/>
  <c r="AC59" i="6" s="1"/>
  <c r="AC55" i="6"/>
  <c r="AC50" i="6"/>
  <c r="AC51" i="6"/>
  <c r="AC42" i="6"/>
  <c r="AC45" i="6"/>
  <c r="M128" i="5" l="1"/>
  <c r="M32" i="5"/>
  <c r="M36" i="5" s="1"/>
  <c r="M37" i="5"/>
  <c r="M35" i="5"/>
  <c r="G134" i="29"/>
  <c r="G139" i="29"/>
  <c r="F33" i="4"/>
  <c r="F24" i="4" s="1"/>
  <c r="V40" i="4" s="1"/>
  <c r="W44" i="4" s="1"/>
  <c r="AC61" i="6"/>
  <c r="F40" i="4"/>
  <c r="F25" i="4" s="1"/>
  <c r="V41" i="4" s="1"/>
  <c r="W41" i="4" s="1"/>
  <c r="N128" i="5"/>
  <c r="M127" i="5"/>
  <c r="M126" i="5"/>
  <c r="F47" i="4"/>
  <c r="F26" i="4" s="1"/>
  <c r="V42" i="4" s="1"/>
  <c r="AQ58" i="6"/>
  <c r="AR58" i="6" s="1"/>
  <c r="I202" i="50"/>
  <c r="I198" i="50"/>
  <c r="I204" i="50"/>
  <c r="I196" i="50"/>
  <c r="I207" i="50"/>
  <c r="I203" i="50"/>
  <c r="I213" i="50"/>
  <c r="I206" i="50"/>
  <c r="W40" i="4" l="1"/>
  <c r="W45" i="4"/>
  <c r="W46" i="4"/>
  <c r="M131" i="5"/>
  <c r="V45" i="4"/>
  <c r="W42" i="4"/>
  <c r="V44" i="4"/>
  <c r="AR61" i="6"/>
  <c r="AR59" i="6"/>
  <c r="I215" i="50"/>
  <c r="V46" i="4" l="1"/>
  <c r="O193" i="5"/>
  <c r="O196" i="5"/>
  <c r="I180" i="50"/>
  <c r="O199" i="5" s="1"/>
  <c r="I184" i="50"/>
  <c r="O203" i="5" s="1"/>
  <c r="I179" i="50"/>
  <c r="O198" i="5" s="1"/>
  <c r="I181" i="50"/>
  <c r="O200" i="5" s="1"/>
  <c r="I173" i="50"/>
  <c r="O192" i="5" s="1"/>
  <c r="I175" i="50"/>
  <c r="O194" i="5" s="1"/>
  <c r="I190" i="50"/>
  <c r="O209" i="5" s="1"/>
  <c r="I183" i="50"/>
  <c r="O202" i="5" s="1"/>
  <c r="I84" i="38" l="1"/>
  <c r="O251" i="5"/>
  <c r="I112" i="38" s="1"/>
  <c r="I86" i="38"/>
  <c r="I82" i="38"/>
  <c r="I80" i="38"/>
  <c r="P29" i="9"/>
  <c r="I83" i="38"/>
  <c r="P33" i="9"/>
  <c r="P31" i="9"/>
  <c r="O210" i="5"/>
  <c r="O261" i="5" s="1"/>
  <c r="P30" i="9"/>
  <c r="AU37" i="6"/>
  <c r="I192" i="50"/>
  <c r="O238" i="5"/>
  <c r="AU53" i="6"/>
  <c r="AV53" i="6" s="1"/>
  <c r="E18" i="39" l="1"/>
  <c r="E20" i="39"/>
  <c r="O211" i="5"/>
  <c r="I87" i="38"/>
  <c r="I89" i="38" s="1"/>
  <c r="I110" i="38" s="1"/>
  <c r="E19" i="39"/>
  <c r="P37" i="9"/>
  <c r="I17" i="8" s="1"/>
  <c r="I112" i="8" s="1"/>
  <c r="AU55" i="6"/>
  <c r="AV55" i="6" s="1"/>
  <c r="AU70" i="6" l="1"/>
  <c r="E23" i="39"/>
  <c r="T7" i="39" s="1"/>
  <c r="T65" i="39" s="1"/>
  <c r="I193" i="8"/>
  <c r="I149" i="8"/>
  <c r="I72" i="8"/>
  <c r="I230" i="8"/>
  <c r="M23" i="54" l="1"/>
  <c r="M26" i="54" l="1"/>
  <c r="M29" i="54"/>
  <c r="M14" i="54" s="1"/>
  <c r="M28" i="54"/>
  <c r="M13" i="54" s="1"/>
  <c r="M25" i="54"/>
  <c r="M10" i="54" s="1"/>
  <c r="O49" i="5"/>
  <c r="I8" i="38" s="1"/>
  <c r="BF10" i="54" l="1"/>
  <c r="BG10" i="54" s="1"/>
  <c r="AQ10" i="54"/>
  <c r="AR10" i="54" s="1"/>
  <c r="AB10" i="54"/>
  <c r="AB13" i="54"/>
  <c r="BF13" i="54"/>
  <c r="BG13" i="54" s="1"/>
  <c r="AQ13" i="54"/>
  <c r="AR13" i="54" s="1"/>
  <c r="M43" i="54"/>
  <c r="BF14" i="54"/>
  <c r="BG14" i="54" s="1"/>
  <c r="BH14" i="54" s="1"/>
  <c r="BI14" i="54" s="1"/>
  <c r="BJ14" i="54" s="1"/>
  <c r="BK14" i="54" s="1"/>
  <c r="BL14" i="54" s="1"/>
  <c r="BM14" i="54" s="1"/>
  <c r="BN14" i="54" s="1"/>
  <c r="BO14" i="54" s="1"/>
  <c r="BP14" i="54" s="1"/>
  <c r="BQ14" i="54" s="1"/>
  <c r="AQ14" i="54"/>
  <c r="AR14" i="54" s="1"/>
  <c r="AS14" i="54" s="1"/>
  <c r="AT14" i="54" s="1"/>
  <c r="AU14" i="54" s="1"/>
  <c r="AV14" i="54" s="1"/>
  <c r="AW14" i="54" s="1"/>
  <c r="AX14" i="54" s="1"/>
  <c r="AY14" i="54" s="1"/>
  <c r="AZ14" i="54" s="1"/>
  <c r="BA14" i="54" s="1"/>
  <c r="BB14" i="54" s="1"/>
  <c r="AB14" i="54"/>
  <c r="M42" i="54"/>
  <c r="M12" i="54"/>
  <c r="I60" i="8"/>
  <c r="F50" i="53" s="1"/>
  <c r="H4" i="4"/>
  <c r="O8" i="5"/>
  <c r="G10" i="29"/>
  <c r="I14" i="38"/>
  <c r="AB12" i="54" l="1"/>
  <c r="AB27" i="54" s="1"/>
  <c r="BF12" i="54"/>
  <c r="BF27" i="54" s="1"/>
  <c r="AQ12" i="54"/>
  <c r="AQ27" i="54" s="1"/>
  <c r="AC13" i="54"/>
  <c r="CK13" i="54"/>
  <c r="BU13" i="54"/>
  <c r="AC10" i="54"/>
  <c r="CK10" i="54"/>
  <c r="CJ10" i="54" s="1"/>
  <c r="BU10" i="54"/>
  <c r="AC14" i="54"/>
  <c r="AD14" i="54" s="1"/>
  <c r="AE14" i="54" s="1"/>
  <c r="AF14" i="54" s="1"/>
  <c r="AG14" i="54" s="1"/>
  <c r="AH14" i="54" s="1"/>
  <c r="AI14" i="54" s="1"/>
  <c r="AJ14" i="54" s="1"/>
  <c r="AK14" i="54" s="1"/>
  <c r="AL14" i="54" s="1"/>
  <c r="AM14" i="54" s="1"/>
  <c r="CK14" i="54"/>
  <c r="CJ14" i="54" s="1"/>
  <c r="BU14" i="54"/>
  <c r="AR12" i="54"/>
  <c r="AR27" i="54" s="1"/>
  <c r="AS13" i="54"/>
  <c r="AS10" i="54"/>
  <c r="BG12" i="54"/>
  <c r="BG27" i="54" s="1"/>
  <c r="BH13" i="54"/>
  <c r="BH10" i="54"/>
  <c r="G8" i="29"/>
  <c r="G28" i="29" s="1"/>
  <c r="G41" i="29"/>
  <c r="G9" i="29"/>
  <c r="G29" i="29" s="1"/>
  <c r="F52" i="53"/>
  <c r="BI13" i="54" l="1"/>
  <c r="BH12" i="54"/>
  <c r="BH27" i="54" s="1"/>
  <c r="AT13" i="54"/>
  <c r="AS12" i="54"/>
  <c r="AS27" i="54" s="1"/>
  <c r="AC12" i="54"/>
  <c r="AC27" i="54" s="1"/>
  <c r="AD13" i="54"/>
  <c r="AT10" i="54"/>
  <c r="BU29" i="54"/>
  <c r="BV14" i="54"/>
  <c r="BU28" i="54"/>
  <c r="BU12" i="54"/>
  <c r="BV13" i="54"/>
  <c r="BW13" i="54" s="1"/>
  <c r="BI10" i="54"/>
  <c r="AD10" i="54"/>
  <c r="CJ13" i="54"/>
  <c r="CK12" i="54"/>
  <c r="G40" i="29"/>
  <c r="G82" i="29"/>
  <c r="G39" i="29"/>
  <c r="AU10" i="54" l="1"/>
  <c r="AT12" i="54"/>
  <c r="AT27" i="54" s="1"/>
  <c r="AU13" i="54"/>
  <c r="BJ10" i="54"/>
  <c r="BV12" i="54"/>
  <c r="BW14" i="54"/>
  <c r="BX14" i="54" s="1"/>
  <c r="BY14" i="54" s="1"/>
  <c r="BZ14" i="54" s="1"/>
  <c r="CA14" i="54" s="1"/>
  <c r="CB14" i="54" s="1"/>
  <c r="AD12" i="54"/>
  <c r="AD27" i="54" s="1"/>
  <c r="AE13" i="54"/>
  <c r="AE10" i="54"/>
  <c r="BX13" i="54"/>
  <c r="BW12" i="54"/>
  <c r="BJ13" i="54"/>
  <c r="BI12" i="54"/>
  <c r="BI27" i="54" s="1"/>
  <c r="G91" i="29"/>
  <c r="G21" i="29" s="1"/>
  <c r="AU12" i="54" l="1"/>
  <c r="AU27" i="54" s="1"/>
  <c r="AV13" i="54"/>
  <c r="BJ12" i="54"/>
  <c r="BJ27" i="54" s="1"/>
  <c r="BK13" i="54"/>
  <c r="AF10" i="54"/>
  <c r="AE12" i="54"/>
  <c r="AE27" i="54" s="1"/>
  <c r="AF13" i="54"/>
  <c r="AV10" i="54"/>
  <c r="BY13" i="54"/>
  <c r="BX12" i="54"/>
  <c r="BK10" i="54"/>
  <c r="L19" i="54"/>
  <c r="L31" i="54"/>
  <c r="N50" i="5"/>
  <c r="AG13" i="54" l="1"/>
  <c r="AF12" i="54"/>
  <c r="AF27" i="54" s="1"/>
  <c r="BK12" i="54"/>
  <c r="BK27" i="54" s="1"/>
  <c r="BL13" i="54"/>
  <c r="BY12" i="54"/>
  <c r="BZ13" i="54"/>
  <c r="BL10" i="54"/>
  <c r="AG10" i="54"/>
  <c r="AW13" i="54"/>
  <c r="AV12" i="54"/>
  <c r="AV27" i="54" s="1"/>
  <c r="AW10" i="54"/>
  <c r="N9" i="5"/>
  <c r="H9" i="38"/>
  <c r="H64" i="8"/>
  <c r="E57" i="53" s="1"/>
  <c r="G5" i="4"/>
  <c r="F11" i="29"/>
  <c r="F88" i="29" s="1"/>
  <c r="N52" i="5"/>
  <c r="N28" i="5" s="1"/>
  <c r="CA13" i="54" l="1"/>
  <c r="BZ12" i="54"/>
  <c r="AX10" i="54"/>
  <c r="AH13" i="54"/>
  <c r="AG12" i="54"/>
  <c r="AG27" i="54" s="1"/>
  <c r="BM13" i="54"/>
  <c r="BL12" i="54"/>
  <c r="BL27" i="54" s="1"/>
  <c r="AH10" i="54"/>
  <c r="AX13" i="54"/>
  <c r="AW12" i="54"/>
  <c r="AW27" i="54" s="1"/>
  <c r="BM10" i="54"/>
  <c r="H11" i="38"/>
  <c r="H15" i="38"/>
  <c r="N53" i="5"/>
  <c r="AE12" i="6"/>
  <c r="AE10" i="6" s="1"/>
  <c r="N103" i="5"/>
  <c r="G6" i="4"/>
  <c r="F13" i="29"/>
  <c r="F89" i="29"/>
  <c r="E59" i="53"/>
  <c r="AY10" i="54" l="1"/>
  <c r="AX12" i="54"/>
  <c r="AX27" i="54" s="1"/>
  <c r="AY13" i="54"/>
  <c r="BN13" i="54"/>
  <c r="BM12" i="54"/>
  <c r="BM27" i="54" s="1"/>
  <c r="AI10" i="54"/>
  <c r="BN10" i="54"/>
  <c r="AH12" i="54"/>
  <c r="AH27" i="54" s="1"/>
  <c r="AI13" i="54"/>
  <c r="CB13" i="54"/>
  <c r="CB12" i="54" s="1"/>
  <c r="CA12" i="54"/>
  <c r="F14" i="29"/>
  <c r="F94" i="29"/>
  <c r="F24" i="29" s="1"/>
  <c r="AI12" i="54" l="1"/>
  <c r="AI27" i="54" s="1"/>
  <c r="AJ13" i="54"/>
  <c r="AZ13" i="54"/>
  <c r="AY12" i="54"/>
  <c r="AY27" i="54" s="1"/>
  <c r="BN12" i="54"/>
  <c r="BN27" i="54" s="1"/>
  <c r="BO13" i="54"/>
  <c r="AJ10" i="54"/>
  <c r="AZ10" i="54"/>
  <c r="BO10" i="54"/>
  <c r="K48" i="54"/>
  <c r="M16" i="5" s="1"/>
  <c r="K108" i="54"/>
  <c r="BP10" i="54" l="1"/>
  <c r="AK10" i="54"/>
  <c r="BA13" i="54"/>
  <c r="AZ12" i="54"/>
  <c r="AZ27" i="54" s="1"/>
  <c r="BA10" i="54"/>
  <c r="BO12" i="54"/>
  <c r="BO27" i="54" s="1"/>
  <c r="BP13" i="54"/>
  <c r="AK13" i="54"/>
  <c r="AJ12" i="54"/>
  <c r="AJ27" i="54" s="1"/>
  <c r="K64" i="54"/>
  <c r="K109" i="54"/>
  <c r="BQ13" i="54" l="1"/>
  <c r="BQ12" i="54" s="1"/>
  <c r="BP12" i="54"/>
  <c r="BP27" i="54" s="1"/>
  <c r="AL10" i="54"/>
  <c r="AL13" i="54"/>
  <c r="AK12" i="54"/>
  <c r="AK27" i="54" s="1"/>
  <c r="BB10" i="54"/>
  <c r="BB13" i="54"/>
  <c r="BB12" i="54" s="1"/>
  <c r="BA12" i="54"/>
  <c r="BA27" i="54" s="1"/>
  <c r="BQ10" i="54"/>
  <c r="O72" i="5"/>
  <c r="N78" i="54"/>
  <c r="BB27" i="54" l="1"/>
  <c r="AM10" i="54"/>
  <c r="AL12" i="54"/>
  <c r="AL27" i="54" s="1"/>
  <c r="AM13" i="54"/>
  <c r="AM12" i="54" s="1"/>
  <c r="BQ27" i="54"/>
  <c r="P72" i="5"/>
  <c r="O78" i="54"/>
  <c r="I23" i="38"/>
  <c r="O80" i="5"/>
  <c r="O88" i="5" s="1"/>
  <c r="O41" i="5"/>
  <c r="N125" i="54"/>
  <c r="AM27" i="54" l="1"/>
  <c r="O138" i="5"/>
  <c r="O96" i="5"/>
  <c r="Q72" i="5"/>
  <c r="P78" i="54"/>
  <c r="J23" i="38"/>
  <c r="P41" i="5"/>
  <c r="P114" i="5" s="1"/>
  <c r="O125" i="54"/>
  <c r="P80" i="5"/>
  <c r="P88" i="5" s="1"/>
  <c r="Q78" i="54" l="1"/>
  <c r="R72" i="5"/>
  <c r="P138" i="5"/>
  <c r="P96" i="5"/>
  <c r="K23" i="38"/>
  <c r="Q80" i="5"/>
  <c r="P125" i="54"/>
  <c r="Q41" i="5"/>
  <c r="O146" i="5"/>
  <c r="O105" i="5"/>
  <c r="R80" i="5" l="1"/>
  <c r="R88" i="5" s="1"/>
  <c r="L23" i="38"/>
  <c r="Q88" i="5"/>
  <c r="S72" i="5"/>
  <c r="R78" i="54"/>
  <c r="R41" i="5"/>
  <c r="Q125" i="54"/>
  <c r="Q114" i="5"/>
  <c r="P146" i="5"/>
  <c r="P122" i="5"/>
  <c r="P105" i="5"/>
  <c r="S41" i="5" l="1"/>
  <c r="S114" i="5" s="1"/>
  <c r="R125" i="54"/>
  <c r="R138" i="5"/>
  <c r="R96" i="5"/>
  <c r="T72" i="5"/>
  <c r="S78" i="54"/>
  <c r="Q138" i="5"/>
  <c r="Q96" i="5"/>
  <c r="S80" i="5"/>
  <c r="S88" i="5" s="1"/>
  <c r="P130" i="5"/>
  <c r="M23" i="38"/>
  <c r="R114" i="5"/>
  <c r="S138" i="5" l="1"/>
  <c r="S96" i="5"/>
  <c r="T78" i="54"/>
  <c r="U72" i="5"/>
  <c r="T80" i="5"/>
  <c r="T88" i="5" s="1"/>
  <c r="N23" i="38"/>
  <c r="R146" i="5"/>
  <c r="R122" i="5"/>
  <c r="R105" i="5"/>
  <c r="Q146" i="5"/>
  <c r="Q122" i="5"/>
  <c r="Q105" i="5"/>
  <c r="T41" i="5"/>
  <c r="T114" i="5" s="1"/>
  <c r="S125" i="54"/>
  <c r="R130" i="5" l="1"/>
  <c r="U80" i="5"/>
  <c r="U88" i="5" s="1"/>
  <c r="V72" i="5"/>
  <c r="T125" i="54"/>
  <c r="U41" i="5"/>
  <c r="U114" i="5" s="1"/>
  <c r="Q130" i="5"/>
  <c r="T138" i="5"/>
  <c r="T96" i="5"/>
  <c r="O23" i="38"/>
  <c r="S122" i="5"/>
  <c r="S146" i="5"/>
  <c r="S105" i="5"/>
  <c r="V41" i="5" l="1"/>
  <c r="V114" i="5" s="1"/>
  <c r="U138" i="5"/>
  <c r="U96" i="5"/>
  <c r="S130" i="5"/>
  <c r="P23" i="38"/>
  <c r="T146" i="5"/>
  <c r="T122" i="5"/>
  <c r="T105" i="5"/>
  <c r="V80" i="5"/>
  <c r="V88" i="5" s="1"/>
  <c r="V138" i="5" l="1"/>
  <c r="V96" i="5"/>
  <c r="T130" i="5"/>
  <c r="U146" i="5"/>
  <c r="U122" i="5"/>
  <c r="U105" i="5"/>
  <c r="U130" i="5" l="1"/>
  <c r="V146" i="5"/>
  <c r="V122" i="5"/>
  <c r="V105" i="5"/>
  <c r="V130" i="5" l="1"/>
  <c r="O124" i="54" l="1"/>
  <c r="Q40" i="5" s="1"/>
  <c r="N124" i="54"/>
  <c r="P40" i="5" s="1"/>
  <c r="P124" i="54"/>
  <c r="R40" i="5" s="1"/>
  <c r="R124" i="54"/>
  <c r="T40" i="5" s="1"/>
  <c r="Q124" i="54"/>
  <c r="S124" i="54"/>
  <c r="U40" i="5" s="1"/>
  <c r="P71" i="5"/>
  <c r="P87" i="5" s="1"/>
  <c r="T124" i="54"/>
  <c r="V40" i="5" s="1"/>
  <c r="Q71" i="5"/>
  <c r="S71" i="5"/>
  <c r="M22" i="38" s="1"/>
  <c r="R71" i="5"/>
  <c r="R87" i="5" s="1"/>
  <c r="T71" i="5"/>
  <c r="T87" i="5" s="1"/>
  <c r="O71" i="5"/>
  <c r="O87" i="5" s="1"/>
  <c r="U71" i="5"/>
  <c r="O22" i="38" s="1"/>
  <c r="M97" i="54"/>
  <c r="V71" i="5"/>
  <c r="V87" i="5" s="1"/>
  <c r="O40" i="5" l="1"/>
  <c r="O95" i="5" s="1"/>
  <c r="M117" i="54"/>
  <c r="M135" i="54" s="1"/>
  <c r="O137" i="5"/>
  <c r="V137" i="5"/>
  <c r="V95" i="5"/>
  <c r="T137" i="5"/>
  <c r="T95" i="5"/>
  <c r="R113" i="5"/>
  <c r="S87" i="5"/>
  <c r="Q113" i="5"/>
  <c r="K22" i="38"/>
  <c r="P137" i="5"/>
  <c r="P95" i="5"/>
  <c r="U87" i="5"/>
  <c r="J22" i="38"/>
  <c r="U113" i="5"/>
  <c r="P22" i="38"/>
  <c r="I22" i="38"/>
  <c r="N22" i="38"/>
  <c r="L22" i="38"/>
  <c r="V113" i="5"/>
  <c r="R137" i="5"/>
  <c r="R95" i="5"/>
  <c r="Q87" i="5"/>
  <c r="S40" i="5"/>
  <c r="P113" i="5" l="1"/>
  <c r="T145" i="5"/>
  <c r="T104" i="5"/>
  <c r="Q137" i="5"/>
  <c r="Q95" i="5"/>
  <c r="R121" i="5" s="1"/>
  <c r="T113" i="5"/>
  <c r="S113" i="5"/>
  <c r="O145" i="5"/>
  <c r="O104" i="5"/>
  <c r="R145" i="5"/>
  <c r="R104" i="5"/>
  <c r="S137" i="5"/>
  <c r="S95" i="5"/>
  <c r="T121" i="5" s="1"/>
  <c r="U137" i="5"/>
  <c r="U95" i="5"/>
  <c r="V121" i="5" s="1"/>
  <c r="P104" i="5"/>
  <c r="P145" i="5"/>
  <c r="P121" i="5"/>
  <c r="V145" i="5"/>
  <c r="V104" i="5"/>
  <c r="T129" i="5" l="1"/>
  <c r="S145" i="5"/>
  <c r="S104" i="5"/>
  <c r="S121" i="5"/>
  <c r="Q145" i="5"/>
  <c r="Q104" i="5"/>
  <c r="Q121" i="5"/>
  <c r="V129" i="5"/>
  <c r="P129" i="5"/>
  <c r="U145" i="5"/>
  <c r="U121" i="5"/>
  <c r="U104" i="5"/>
  <c r="R129" i="5"/>
  <c r="U129" i="5" l="1"/>
  <c r="S129" i="5"/>
  <c r="Q129" i="5"/>
  <c r="G83" i="29" l="1"/>
  <c r="G30" i="29"/>
  <c r="G196" i="29" l="1"/>
  <c r="G84" i="29"/>
  <c r="G92" i="29"/>
  <c r="G22" i="29" s="1"/>
  <c r="G85" i="29" l="1"/>
  <c r="G86" i="29" s="1"/>
  <c r="G93" i="29"/>
  <c r="G23" i="29" s="1"/>
  <c r="J172" i="5" l="1"/>
  <c r="C50" i="38"/>
  <c r="C52" i="38" s="1"/>
  <c r="C55" i="38" s="1"/>
  <c r="I170" i="5"/>
  <c r="I173" i="5"/>
  <c r="I263" i="5" l="1"/>
  <c r="C100" i="38"/>
  <c r="I179" i="5"/>
  <c r="I243" i="5" s="1"/>
  <c r="D53" i="38"/>
  <c r="I257" i="5"/>
  <c r="J13" i="9"/>
  <c r="C105" i="38" l="1"/>
  <c r="J180" i="5"/>
  <c r="D56" i="38"/>
  <c r="C61" i="38"/>
  <c r="J12" i="9"/>
  <c r="K12" i="9"/>
  <c r="J24" i="9"/>
  <c r="D106" i="38" l="1"/>
  <c r="C115" i="38"/>
  <c r="C69" i="38"/>
  <c r="C91" i="38" s="1"/>
  <c r="C93" i="38" s="1"/>
  <c r="D62" i="38"/>
  <c r="I245" i="5"/>
  <c r="I267" i="5"/>
  <c r="I272" i="5" s="1"/>
  <c r="I276" i="5" s="1"/>
  <c r="J283" i="5" s="1"/>
  <c r="J284" i="5" s="1"/>
  <c r="J39" i="9"/>
  <c r="C16" i="8"/>
  <c r="D116" i="38" l="1"/>
  <c r="J286" i="5"/>
  <c r="J287" i="5" s="1"/>
  <c r="J40" i="9"/>
  <c r="J54" i="9"/>
  <c r="K40" i="9"/>
  <c r="D94" i="38"/>
  <c r="D70" i="38"/>
  <c r="C229" i="8"/>
  <c r="C234" i="8" s="1"/>
  <c r="D234" i="8" s="1"/>
  <c r="C111" i="8"/>
  <c r="C116" i="8" s="1"/>
  <c r="D116" i="8" s="1"/>
  <c r="C186" i="8"/>
  <c r="C189" i="8" s="1"/>
  <c r="C192" i="8" s="1"/>
  <c r="C197" i="8" s="1"/>
  <c r="D197" i="8" s="1"/>
  <c r="C21" i="8"/>
  <c r="D21" i="8" s="1"/>
  <c r="C71" i="8"/>
  <c r="C76" i="8" s="1"/>
  <c r="D76" i="8" s="1"/>
  <c r="C148" i="8"/>
  <c r="C153" i="8" s="1"/>
  <c r="D153" i="8" s="1"/>
  <c r="J246" i="5"/>
  <c r="J296" i="5" l="1"/>
  <c r="J307" i="5" s="1"/>
  <c r="J306" i="5"/>
  <c r="J55" i="9"/>
  <c r="J56" i="9"/>
  <c r="K56" i="9" s="1"/>
  <c r="J84" i="9"/>
  <c r="J88" i="9" s="1"/>
  <c r="K55" i="9"/>
  <c r="K285" i="5"/>
  <c r="K287" i="5" s="1"/>
  <c r="J305" i="5" l="1"/>
  <c r="K296" i="5"/>
  <c r="K306" i="5"/>
  <c r="L43" i="9" s="1"/>
  <c r="L44" i="9" s="1"/>
  <c r="E18" i="8" s="1"/>
  <c r="J100" i="9"/>
  <c r="C23" i="8"/>
  <c r="K307" i="5" l="1"/>
  <c r="K305" i="5" s="1"/>
  <c r="L22" i="9"/>
  <c r="E150" i="8"/>
  <c r="E231" i="8"/>
  <c r="E113" i="8"/>
  <c r="E194" i="8"/>
  <c r="E73" i="8"/>
  <c r="L24" i="9" l="1"/>
  <c r="L39" i="9" l="1"/>
  <c r="E16" i="8"/>
  <c r="E148" i="8" l="1"/>
  <c r="E153" i="8" s="1"/>
  <c r="F153" i="8" s="1"/>
  <c r="G153" i="8" s="1"/>
  <c r="E111" i="8"/>
  <c r="E116" i="8" s="1"/>
  <c r="F116" i="8" s="1"/>
  <c r="G116" i="8" s="1"/>
  <c r="E71" i="8"/>
  <c r="E76" i="8" s="1"/>
  <c r="F76" i="8" s="1"/>
  <c r="G76" i="8" s="1"/>
  <c r="E229" i="8"/>
  <c r="E234" i="8" s="1"/>
  <c r="F234" i="8" s="1"/>
  <c r="G234" i="8" s="1"/>
  <c r="E186" i="8"/>
  <c r="E189" i="8" s="1"/>
  <c r="E192" i="8" s="1"/>
  <c r="E197" i="8" s="1"/>
  <c r="F197" i="8" s="1"/>
  <c r="G197" i="8" s="1"/>
  <c r="E21" i="8"/>
  <c r="F21" i="8" s="1"/>
  <c r="G21" i="8" s="1"/>
  <c r="L40" i="9"/>
  <c r="M40" i="9"/>
  <c r="L54" i="9"/>
  <c r="L55" i="9" l="1"/>
  <c r="M55" i="9"/>
  <c r="L84" i="9"/>
  <c r="L88" i="9" s="1"/>
  <c r="L56" i="9"/>
  <c r="M56" i="9" s="1"/>
  <c r="N56" i="9" s="1"/>
  <c r="L100" i="9" l="1"/>
  <c r="E23" i="8"/>
  <c r="M86" i="9"/>
  <c r="M88" i="9" s="1"/>
  <c r="F23" i="8" l="1"/>
  <c r="M100" i="9"/>
  <c r="N86" i="9"/>
  <c r="C59" i="39" l="1"/>
  <c r="N88" i="9"/>
  <c r="C61" i="39" l="1"/>
  <c r="C63" i="39" s="1"/>
  <c r="Q14" i="39"/>
  <c r="Q70" i="39" s="1"/>
  <c r="R68" i="39" s="1"/>
  <c r="G23" i="8"/>
  <c r="N100" i="9"/>
  <c r="O86" i="9"/>
  <c r="BG81" i="35" l="1"/>
  <c r="BH81" i="16"/>
  <c r="R10" i="39"/>
  <c r="D59" i="39"/>
  <c r="V44" i="9" l="1"/>
  <c r="O18" i="8" s="1"/>
  <c r="W44" i="9"/>
  <c r="P18" i="8" s="1"/>
  <c r="U44" i="9"/>
  <c r="N18" i="8" s="1"/>
  <c r="T44" i="9"/>
  <c r="M18" i="8" s="1"/>
  <c r="S44" i="9"/>
  <c r="L18" i="8" s="1"/>
  <c r="R44" i="9"/>
  <c r="K18" i="8" s="1"/>
  <c r="Q44" i="9"/>
  <c r="J18" i="8" s="1"/>
  <c r="N150" i="8" l="1"/>
  <c r="N73" i="8"/>
  <c r="N231" i="8"/>
  <c r="N194" i="8"/>
  <c r="N113" i="8"/>
  <c r="O73" i="8"/>
  <c r="O194" i="8"/>
  <c r="O113" i="8"/>
  <c r="O231" i="8"/>
  <c r="O150" i="8"/>
  <c r="L113" i="8"/>
  <c r="L194" i="8"/>
  <c r="L150" i="8"/>
  <c r="L231" i="8"/>
  <c r="L73" i="8"/>
  <c r="J194" i="8"/>
  <c r="J113" i="8"/>
  <c r="J150" i="8"/>
  <c r="J73" i="8"/>
  <c r="J231" i="8"/>
  <c r="M73" i="8"/>
  <c r="M231" i="8"/>
  <c r="M113" i="8"/>
  <c r="M194" i="8"/>
  <c r="M150" i="8"/>
  <c r="K231" i="8"/>
  <c r="K113" i="8"/>
  <c r="K150" i="8"/>
  <c r="K73" i="8"/>
  <c r="K194" i="8"/>
  <c r="P113" i="8"/>
  <c r="P150" i="8"/>
  <c r="P194" i="8"/>
  <c r="P73" i="8"/>
  <c r="P231" i="8"/>
  <c r="P50" i="5" l="1"/>
  <c r="J64" i="8" l="1"/>
  <c r="G57" i="53" s="1"/>
  <c r="G59" i="53" s="1"/>
  <c r="H11" i="29"/>
  <c r="H18" i="29" s="1"/>
  <c r="I5" i="4"/>
  <c r="X5" i="4" s="1"/>
  <c r="J9" i="38"/>
  <c r="Y5" i="4" l="1"/>
  <c r="H197" i="29" l="1"/>
  <c r="H154" i="29" l="1"/>
  <c r="H164" i="29" l="1"/>
  <c r="E114" i="29"/>
  <c r="E129" i="29"/>
  <c r="F107" i="29"/>
  <c r="F101" i="29" l="1"/>
  <c r="F184" i="29" l="1"/>
  <c r="F185" i="29"/>
  <c r="F122" i="29" l="1"/>
  <c r="F117" i="29" l="1"/>
  <c r="F115" i="29" s="1"/>
  <c r="F123" i="29"/>
  <c r="F215" i="29"/>
  <c r="F118" i="29" l="1"/>
  <c r="N26" i="5" l="1"/>
  <c r="N36" i="5" s="1"/>
  <c r="G121" i="29"/>
  <c r="G116" i="29" l="1"/>
  <c r="BA108" i="16" l="1"/>
  <c r="AY109" i="16" s="1"/>
  <c r="BY109" i="16" s="1"/>
  <c r="BU110" i="16" s="1"/>
  <c r="AW109" i="16" l="1"/>
  <c r="AV109" i="16" s="1"/>
  <c r="BE109" i="16"/>
  <c r="E108" i="16"/>
  <c r="BA109" i="16" l="1"/>
  <c r="AY110" i="16" s="1"/>
  <c r="BY110" i="16" s="1"/>
  <c r="BU111" i="16" s="1"/>
  <c r="E109" i="16" l="1"/>
  <c r="BE110" i="16"/>
  <c r="AW110" i="16"/>
  <c r="AV110" i="16" s="1"/>
  <c r="BA110" i="16" l="1"/>
  <c r="AY111" i="16" s="1"/>
  <c r="BY111" i="16" s="1"/>
  <c r="BU112" i="16" s="1"/>
  <c r="BE111" i="16" l="1"/>
  <c r="E110" i="16"/>
  <c r="AW111" i="16"/>
  <c r="AV111" i="16" s="1"/>
  <c r="BA111" i="16" l="1"/>
  <c r="AY112" i="16" s="1"/>
  <c r="BY112" i="16" s="1"/>
  <c r="BU113" i="16" s="1"/>
  <c r="BE112" i="16" l="1"/>
  <c r="E111" i="16"/>
  <c r="AW112" i="16"/>
  <c r="AV112" i="16" s="1"/>
  <c r="BA112" i="16" l="1"/>
  <c r="AY113" i="16" s="1"/>
  <c r="BY113" i="16" s="1"/>
  <c r="BU114" i="16" s="1"/>
  <c r="BE113" i="16" l="1"/>
  <c r="AW113" i="16"/>
  <c r="AV113" i="16" s="1"/>
  <c r="E112" i="16"/>
  <c r="BA113" i="16" l="1"/>
  <c r="AY114" i="16" s="1"/>
  <c r="BY114" i="16" s="1"/>
  <c r="BU115" i="16" s="1"/>
  <c r="BT115" i="16" l="1"/>
  <c r="AW114" i="16"/>
  <c r="AV114" i="16" s="1"/>
  <c r="E113" i="16"/>
  <c r="BE114" i="16"/>
  <c r="BA114" i="16" l="1"/>
  <c r="AY115" i="16" s="1"/>
  <c r="BY115" i="16" s="1"/>
  <c r="BU116" i="16" s="1"/>
  <c r="C14" i="36"/>
  <c r="D14" i="36" s="1"/>
  <c r="BE115" i="16" l="1"/>
  <c r="E114" i="16"/>
  <c r="AW115" i="16"/>
  <c r="AV115" i="16" s="1"/>
  <c r="BA115" i="16" l="1"/>
  <c r="AY116" i="16" s="1"/>
  <c r="BY116" i="16" s="1"/>
  <c r="BU117" i="16" s="1"/>
  <c r="BE116" i="16" l="1"/>
  <c r="E115" i="16"/>
  <c r="AW116" i="16"/>
  <c r="AV116" i="16" s="1"/>
  <c r="BA116" i="16" l="1"/>
  <c r="AY117" i="16" s="1"/>
  <c r="BY117" i="16" s="1"/>
  <c r="BU118" i="16" s="1"/>
  <c r="Q76" i="9" l="1"/>
  <c r="AW117" i="16"/>
  <c r="AV117" i="16" s="1"/>
  <c r="BE117" i="16"/>
  <c r="E116" i="16"/>
  <c r="F52" i="39" l="1"/>
  <c r="D7" i="52"/>
  <c r="BF106" i="16"/>
  <c r="Q66" i="9" s="1"/>
  <c r="BA117" i="16"/>
  <c r="AY118" i="16" s="1"/>
  <c r="BY118" i="16" s="1"/>
  <c r="BU119" i="16" s="1"/>
  <c r="C15" i="52"/>
  <c r="C16" i="52" s="1"/>
  <c r="D16" i="52" s="1"/>
  <c r="BG106" i="16"/>
  <c r="Q65" i="9" l="1"/>
  <c r="E117" i="16"/>
  <c r="BE118" i="16"/>
  <c r="AW118" i="16"/>
  <c r="AV118" i="16" s="1"/>
  <c r="F44" i="53"/>
  <c r="G44" i="53" s="1"/>
  <c r="F51" i="39" l="1"/>
  <c r="BA118" i="16"/>
  <c r="AY119" i="16" s="1"/>
  <c r="BY119" i="16" s="1"/>
  <c r="BU120" i="16" s="1"/>
  <c r="Q90" i="9"/>
  <c r="J20" i="8"/>
  <c r="U12" i="39" l="1"/>
  <c r="U69" i="39" s="1"/>
  <c r="J25" i="8"/>
  <c r="E118" i="16"/>
  <c r="BE119" i="16"/>
  <c r="AW119" i="16"/>
  <c r="AV119" i="16" s="1"/>
  <c r="BA119" i="16" l="1"/>
  <c r="AY120" i="16" s="1"/>
  <c r="BY120" i="16" s="1"/>
  <c r="BU121" i="16" s="1"/>
  <c r="J235" i="8"/>
  <c r="J154" i="8"/>
  <c r="J117" i="8"/>
  <c r="J198" i="8"/>
  <c r="J78" i="8"/>
  <c r="BE120" i="16" l="1"/>
  <c r="AW120" i="16"/>
  <c r="AV120" i="16" s="1"/>
  <c r="E119" i="16"/>
  <c r="BA120" i="16" l="1"/>
  <c r="AY121" i="16" s="1"/>
  <c r="BY121" i="16" s="1"/>
  <c r="BU122" i="16" s="1"/>
  <c r="E120" i="16" l="1"/>
  <c r="BE121" i="16"/>
  <c r="AW121" i="16"/>
  <c r="AV121" i="16" s="1"/>
  <c r="BA121" i="16" l="1"/>
  <c r="AY122" i="16" s="1"/>
  <c r="BY122" i="16" s="1"/>
  <c r="BU123" i="16" s="1"/>
  <c r="AW122" i="16" l="1"/>
  <c r="AV122" i="16" s="1"/>
  <c r="E121" i="16"/>
  <c r="BE122" i="16"/>
  <c r="BA122" i="16" l="1"/>
  <c r="AY123" i="16" s="1"/>
  <c r="BY123" i="16" s="1"/>
  <c r="BU124" i="16" s="1"/>
  <c r="BA123" i="16" l="1"/>
  <c r="AY124" i="16" s="1"/>
  <c r="BY124" i="16" s="1"/>
  <c r="BU125" i="16" s="1"/>
  <c r="BE123" i="16"/>
  <c r="AW123" i="16"/>
  <c r="AV123" i="16" s="1"/>
  <c r="E122" i="16"/>
  <c r="BA124" i="16" l="1"/>
  <c r="AY125" i="16" s="1"/>
  <c r="BY125" i="16" s="1"/>
  <c r="BU126" i="16" s="1"/>
  <c r="E123" i="16"/>
  <c r="BE124" i="16"/>
  <c r="AW124" i="16"/>
  <c r="AV124" i="16" s="1"/>
  <c r="BA125" i="16" l="1"/>
  <c r="AY126" i="16" s="1"/>
  <c r="BY126" i="16" s="1"/>
  <c r="BU127" i="16" s="1"/>
  <c r="E124" i="16"/>
  <c r="BE125" i="16"/>
  <c r="AW125" i="16"/>
  <c r="AV125" i="16" s="1"/>
  <c r="AW126" i="16" l="1"/>
  <c r="AV126" i="16" s="1"/>
  <c r="E125" i="16"/>
  <c r="BE126" i="16"/>
  <c r="BA126" i="16" l="1"/>
  <c r="AY127" i="16" s="1"/>
  <c r="BY127" i="16" s="1"/>
  <c r="BU128" i="16" s="1"/>
  <c r="C15" i="36"/>
  <c r="D15" i="36" s="1"/>
  <c r="BE127" i="16" l="1"/>
  <c r="E126" i="16"/>
  <c r="AW127" i="16"/>
  <c r="AV127" i="16" s="1"/>
  <c r="BA127" i="16" l="1"/>
  <c r="AY128" i="16" s="1"/>
  <c r="BY128" i="16" s="1"/>
  <c r="BU129" i="16" s="1"/>
  <c r="E127" i="16" l="1"/>
  <c r="BE128" i="16"/>
  <c r="AW128" i="16"/>
  <c r="AV128" i="16" s="1"/>
  <c r="BA128" i="16" l="1"/>
  <c r="AY129" i="16" s="1"/>
  <c r="BY129" i="16" s="1"/>
  <c r="BU130" i="16" s="1"/>
  <c r="R76" i="9" l="1"/>
  <c r="BE129" i="16"/>
  <c r="E128" i="16"/>
  <c r="AW129" i="16"/>
  <c r="AV129" i="16" s="1"/>
  <c r="G52" i="39" l="1"/>
  <c r="BF118" i="16"/>
  <c r="R66" i="9" s="1"/>
  <c r="BA129" i="16"/>
  <c r="AY130" i="16" s="1"/>
  <c r="BY130" i="16" s="1"/>
  <c r="BU131" i="16" s="1"/>
  <c r="BG118" i="16"/>
  <c r="R65" i="9" l="1"/>
  <c r="BE130" i="16"/>
  <c r="AW130" i="16"/>
  <c r="AV130" i="16" s="1"/>
  <c r="E129" i="16"/>
  <c r="G51" i="39" l="1"/>
  <c r="BA130" i="16"/>
  <c r="AY131" i="16" s="1"/>
  <c r="BY131" i="16" s="1"/>
  <c r="BU132" i="16" s="1"/>
  <c r="R90" i="9"/>
  <c r="K20" i="8"/>
  <c r="BE131" i="16" l="1"/>
  <c r="E130" i="16"/>
  <c r="AW131" i="16"/>
  <c r="AV131" i="16" s="1"/>
  <c r="K25" i="8"/>
  <c r="V12" i="39"/>
  <c r="V69" i="39" s="1"/>
  <c r="K198" i="8" l="1"/>
  <c r="K117" i="8"/>
  <c r="K78" i="8"/>
  <c r="K235" i="8"/>
  <c r="K154" i="8"/>
  <c r="BA131" i="16"/>
  <c r="AY132" i="16" s="1"/>
  <c r="BY132" i="16" s="1"/>
  <c r="BU133" i="16" s="1"/>
  <c r="BE132" i="16" l="1"/>
  <c r="AW132" i="16"/>
  <c r="AV132" i="16" s="1"/>
  <c r="E131" i="16"/>
  <c r="BA132" i="16" l="1"/>
  <c r="AY133" i="16" s="1"/>
  <c r="BY133" i="16" s="1"/>
  <c r="BU134" i="16" s="1"/>
  <c r="E132" i="16" l="1"/>
  <c r="BE133" i="16"/>
  <c r="AW133" i="16"/>
  <c r="AV133" i="16" s="1"/>
  <c r="BA133" i="16" l="1"/>
  <c r="AY134" i="16" s="1"/>
  <c r="BY134" i="16" s="1"/>
  <c r="BU135" i="16" s="1"/>
  <c r="E133" i="16" l="1"/>
  <c r="AW134" i="16"/>
  <c r="AV134" i="16" s="1"/>
  <c r="BE134" i="16"/>
  <c r="BA134" i="16" l="1"/>
  <c r="AY135" i="16" s="1"/>
  <c r="BY135" i="16" s="1"/>
  <c r="BY202" i="16" l="1"/>
  <c r="BU136" i="16"/>
  <c r="BU137" i="16" s="1"/>
  <c r="BU138" i="16" s="1"/>
  <c r="BU139" i="16" s="1"/>
  <c r="BU140" i="16" s="1"/>
  <c r="BU141" i="16" s="1"/>
  <c r="BU142" i="16" s="1"/>
  <c r="BU143" i="16" s="1"/>
  <c r="BU144" i="16" s="1"/>
  <c r="BU145" i="16" s="1"/>
  <c r="BU146" i="16" s="1"/>
  <c r="BU147" i="16" s="1"/>
  <c r="BU148" i="16" s="1"/>
  <c r="BU149" i="16" s="1"/>
  <c r="BU150" i="16" s="1"/>
  <c r="BU151" i="16" s="1"/>
  <c r="BU152" i="16" s="1"/>
  <c r="BU153" i="16" s="1"/>
  <c r="BU154" i="16" s="1"/>
  <c r="BU155" i="16" s="1"/>
  <c r="BU156" i="16" s="1"/>
  <c r="BU157" i="16" s="1"/>
  <c r="BU158" i="16" s="1"/>
  <c r="BU159" i="16" s="1"/>
  <c r="BU160" i="16" s="1"/>
  <c r="BU161" i="16" s="1"/>
  <c r="BU162" i="16" s="1"/>
  <c r="BU163" i="16" s="1"/>
  <c r="BU164" i="16" s="1"/>
  <c r="BU165" i="16" s="1"/>
  <c r="BU166" i="16" s="1"/>
  <c r="BU167" i="16" s="1"/>
  <c r="BU168" i="16" s="1"/>
  <c r="BU169" i="16" s="1"/>
  <c r="BU170" i="16" s="1"/>
  <c r="BU171" i="16" s="1"/>
  <c r="BU172" i="16" s="1"/>
  <c r="BU173" i="16" s="1"/>
  <c r="BU174" i="16" s="1"/>
  <c r="S76" i="9"/>
  <c r="E134" i="16"/>
  <c r="BE135" i="16"/>
  <c r="AW135" i="16"/>
  <c r="AV135" i="16" s="1"/>
  <c r="H52" i="39" l="1"/>
  <c r="BX112" i="16"/>
  <c r="T13" i="8"/>
  <c r="BX152" i="16"/>
  <c r="BX136" i="16"/>
  <c r="BX141" i="16"/>
  <c r="BX148" i="16"/>
  <c r="BX140" i="16"/>
  <c r="BX132" i="16"/>
  <c r="BX115" i="16"/>
  <c r="BX144" i="16"/>
  <c r="BX128" i="16"/>
  <c r="BX149" i="16"/>
  <c r="BX133" i="16"/>
  <c r="BX123" i="16"/>
  <c r="BX153" i="16"/>
  <c r="BX145" i="16"/>
  <c r="BX137" i="16"/>
  <c r="BX129" i="16"/>
  <c r="BX108" i="16"/>
  <c r="BX102" i="16"/>
  <c r="BX103" i="16"/>
  <c r="BX104" i="16"/>
  <c r="BX156" i="16"/>
  <c r="BX151" i="16"/>
  <c r="BX147" i="16"/>
  <c r="BX143" i="16"/>
  <c r="BX139" i="16"/>
  <c r="BX135" i="16"/>
  <c r="BX131" i="16"/>
  <c r="BX127" i="16"/>
  <c r="BX119" i="16"/>
  <c r="BX111" i="16"/>
  <c r="BX160" i="16"/>
  <c r="BX120" i="16"/>
  <c r="BX155" i="16"/>
  <c r="BX150" i="16"/>
  <c r="BX146" i="16"/>
  <c r="BX142" i="16"/>
  <c r="BX138" i="16"/>
  <c r="BX134" i="16"/>
  <c r="BX130" i="16"/>
  <c r="BX124" i="16"/>
  <c r="BX116" i="16"/>
  <c r="BX109" i="16"/>
  <c r="BX105" i="16"/>
  <c r="BX106" i="16"/>
  <c r="BX107" i="16"/>
  <c r="BX170" i="16"/>
  <c r="BX158" i="16"/>
  <c r="BX154" i="16"/>
  <c r="BX126" i="16"/>
  <c r="BX122" i="16"/>
  <c r="BX118" i="16"/>
  <c r="BX114" i="16"/>
  <c r="BX110" i="16"/>
  <c r="BX163" i="16"/>
  <c r="BX168" i="16"/>
  <c r="BX172" i="16"/>
  <c r="BX161" i="16"/>
  <c r="BX157" i="16"/>
  <c r="BX125" i="16"/>
  <c r="BX121" i="16"/>
  <c r="BX117" i="16"/>
  <c r="BX113" i="16"/>
  <c r="BX162" i="16"/>
  <c r="BX167" i="16"/>
  <c r="BX171" i="16"/>
  <c r="BX166" i="16"/>
  <c r="BX159" i="16"/>
  <c r="BX164" i="16"/>
  <c r="BX169" i="16"/>
  <c r="BX165" i="16"/>
  <c r="BU175" i="16"/>
  <c r="BX174" i="16"/>
  <c r="BX173" i="16"/>
  <c r="F76" i="9"/>
  <c r="AY202" i="16"/>
  <c r="BA135" i="16"/>
  <c r="C16" i="36"/>
  <c r="D16" i="36" s="1"/>
  <c r="D17" i="36" s="1"/>
  <c r="D18" i="36" s="1"/>
  <c r="D19" i="36" s="1"/>
  <c r="BG130" i="16"/>
  <c r="CF142" i="16" l="1"/>
  <c r="CF130" i="16"/>
  <c r="S77" i="9"/>
  <c r="R77" i="9"/>
  <c r="U77" i="9"/>
  <c r="CF106" i="16"/>
  <c r="CF118" i="16"/>
  <c r="CF154" i="16"/>
  <c r="Q77" i="9"/>
  <c r="T77" i="9"/>
  <c r="BZ102" i="16"/>
  <c r="BV102" i="16"/>
  <c r="CF94" i="16"/>
  <c r="P77" i="9"/>
  <c r="BU176" i="16"/>
  <c r="BX175" i="16"/>
  <c r="BE136" i="16"/>
  <c r="E135" i="16"/>
  <c r="AW136" i="16"/>
  <c r="AV136" i="16" s="1"/>
  <c r="BA136" i="16"/>
  <c r="S65" i="9"/>
  <c r="BG202" i="16"/>
  <c r="CD103" i="16" l="1"/>
  <c r="BW103" i="16"/>
  <c r="BZ103" i="16"/>
  <c r="P91" i="9"/>
  <c r="BU177" i="16"/>
  <c r="BX176" i="16"/>
  <c r="F65" i="9"/>
  <c r="S90" i="9"/>
  <c r="BE137" i="16"/>
  <c r="AW137" i="16"/>
  <c r="AV137" i="16" s="1"/>
  <c r="E136" i="16"/>
  <c r="BA137" i="16"/>
  <c r="CD104" i="16" l="1"/>
  <c r="BW104" i="16"/>
  <c r="BV104" i="16" s="1"/>
  <c r="BZ104" i="16"/>
  <c r="BV103" i="16"/>
  <c r="I26" i="8"/>
  <c r="Q91" i="9"/>
  <c r="BU178" i="16"/>
  <c r="BX177" i="16"/>
  <c r="BE138" i="16"/>
  <c r="E137" i="16"/>
  <c r="AW138" i="16"/>
  <c r="AV138" i="16" s="1"/>
  <c r="BA138" i="16"/>
  <c r="W12" i="39"/>
  <c r="W69" i="39" s="1"/>
  <c r="L25" i="8"/>
  <c r="T90" i="9"/>
  <c r="T13" i="39" l="1"/>
  <c r="CD105" i="16"/>
  <c r="BW105" i="16"/>
  <c r="BZ105" i="16"/>
  <c r="J26" i="8"/>
  <c r="R91" i="9"/>
  <c r="CF166" i="16"/>
  <c r="CF202" i="16" s="1"/>
  <c r="BU179" i="16"/>
  <c r="BX178" i="16"/>
  <c r="V77" i="9"/>
  <c r="AW139" i="16"/>
  <c r="AV139" i="16" s="1"/>
  <c r="E138" i="16"/>
  <c r="BA139" i="16"/>
  <c r="BE139" i="16"/>
  <c r="U90" i="9"/>
  <c r="M25" i="8"/>
  <c r="X12" i="39"/>
  <c r="X69" i="39" s="1"/>
  <c r="L154" i="8"/>
  <c r="L78" i="8"/>
  <c r="L117" i="8"/>
  <c r="L198" i="8"/>
  <c r="L235" i="8"/>
  <c r="U13" i="39" l="1"/>
  <c r="CD106" i="16"/>
  <c r="BZ106" i="16"/>
  <c r="BW106" i="16"/>
  <c r="BV106" i="16" s="1"/>
  <c r="P78" i="9"/>
  <c r="BV105" i="16"/>
  <c r="CE94" i="16"/>
  <c r="K26" i="8"/>
  <c r="S91" i="9"/>
  <c r="BU180" i="16"/>
  <c r="BX179" i="16"/>
  <c r="AW140" i="16"/>
  <c r="AV140" i="16" s="1"/>
  <c r="E139" i="16"/>
  <c r="BE140" i="16"/>
  <c r="BA140" i="16"/>
  <c r="M154" i="8"/>
  <c r="M78" i="8"/>
  <c r="M235" i="8"/>
  <c r="M198" i="8"/>
  <c r="M117" i="8"/>
  <c r="V90" i="9"/>
  <c r="Y12" i="39"/>
  <c r="Y69" i="39" s="1"/>
  <c r="N25" i="8"/>
  <c r="BU25" i="54"/>
  <c r="BV10" i="54"/>
  <c r="E53" i="39" l="1"/>
  <c r="E55" i="39" s="1"/>
  <c r="T9" i="39" s="1"/>
  <c r="T67" i="39" s="1"/>
  <c r="V13" i="39"/>
  <c r="P80" i="9"/>
  <c r="CD107" i="16"/>
  <c r="BW107" i="16"/>
  <c r="BV107" i="16" s="1"/>
  <c r="BZ107" i="16"/>
  <c r="T91" i="9"/>
  <c r="L26" i="8"/>
  <c r="BU181" i="16"/>
  <c r="BX180" i="16"/>
  <c r="BA141" i="16"/>
  <c r="E140" i="16"/>
  <c r="AW141" i="16"/>
  <c r="AV141" i="16" s="1"/>
  <c r="BE141" i="16"/>
  <c r="O25" i="8"/>
  <c r="Z12" i="39"/>
  <c r="Z69" i="39" s="1"/>
  <c r="W90" i="9"/>
  <c r="N198" i="8"/>
  <c r="N117" i="8"/>
  <c r="N235" i="8"/>
  <c r="N154" i="8"/>
  <c r="N78" i="8"/>
  <c r="BW10" i="54"/>
  <c r="W13" i="39" l="1"/>
  <c r="I22" i="8"/>
  <c r="P82" i="9"/>
  <c r="BW108" i="16"/>
  <c r="BV108" i="16" s="1"/>
  <c r="CD108" i="16"/>
  <c r="BZ108" i="16"/>
  <c r="U91" i="9"/>
  <c r="M26" i="8"/>
  <c r="BX181" i="16"/>
  <c r="BU182" i="16"/>
  <c r="P25" i="8"/>
  <c r="AA12" i="39"/>
  <c r="AA69" i="39" s="1"/>
  <c r="BF130" i="16"/>
  <c r="O154" i="8"/>
  <c r="O235" i="8"/>
  <c r="O78" i="8"/>
  <c r="O198" i="8"/>
  <c r="O117" i="8"/>
  <c r="BE142" i="16"/>
  <c r="E141" i="16"/>
  <c r="BA142" i="16"/>
  <c r="AW142" i="16"/>
  <c r="AV142" i="16" s="1"/>
  <c r="BX10" i="54"/>
  <c r="X13" i="39" l="1"/>
  <c r="I113" i="38"/>
  <c r="I108" i="38"/>
  <c r="I161" i="50"/>
  <c r="I165" i="50" s="1"/>
  <c r="I135" i="50"/>
  <c r="BZ109" i="16"/>
  <c r="BW109" i="16"/>
  <c r="BV109" i="16" s="1"/>
  <c r="CD109" i="16"/>
  <c r="I233" i="8"/>
  <c r="I115" i="8" s="1"/>
  <c r="I196" i="8"/>
  <c r="I75" i="8"/>
  <c r="I152" i="8"/>
  <c r="N26" i="8"/>
  <c r="V91" i="9"/>
  <c r="O26" i="8" s="1"/>
  <c r="BU183" i="16"/>
  <c r="BX182" i="16"/>
  <c r="S66" i="9"/>
  <c r="E142" i="16"/>
  <c r="BA143" i="16"/>
  <c r="BE143" i="16"/>
  <c r="AW143" i="16"/>
  <c r="AV143" i="16" s="1"/>
  <c r="P154" i="8"/>
  <c r="P78" i="8"/>
  <c r="P117" i="8"/>
  <c r="P235" i="8"/>
  <c r="P198" i="8"/>
  <c r="BY10" i="54"/>
  <c r="Z13" i="39" l="1"/>
  <c r="H51" i="39"/>
  <c r="Y13" i="39"/>
  <c r="BW110" i="16"/>
  <c r="BV110" i="16" s="1"/>
  <c r="BZ110" i="16"/>
  <c r="CD110" i="16"/>
  <c r="I166" i="50"/>
  <c r="BU184" i="16"/>
  <c r="BX183" i="16"/>
  <c r="E143" i="16"/>
  <c r="AW144" i="16"/>
  <c r="AV144" i="16" s="1"/>
  <c r="BA144" i="16"/>
  <c r="BE144" i="16"/>
  <c r="I44" i="53"/>
  <c r="J44" i="53" s="1"/>
  <c r="K44" i="53" s="1"/>
  <c r="L20" i="8"/>
  <c r="BZ10" i="54"/>
  <c r="CD111" i="16" l="1"/>
  <c r="BW111" i="16"/>
  <c r="BV111" i="16" s="1"/>
  <c r="BZ111" i="16"/>
  <c r="BX184" i="16"/>
  <c r="BU185" i="16"/>
  <c r="AW145" i="16"/>
  <c r="AV145" i="16" s="1"/>
  <c r="BA145" i="16"/>
  <c r="E144" i="16"/>
  <c r="BE145" i="16"/>
  <c r="CA10" i="54"/>
  <c r="BW112" i="16" l="1"/>
  <c r="BV112" i="16" s="1"/>
  <c r="BZ112" i="16"/>
  <c r="CD112" i="16"/>
  <c r="BU186" i="16"/>
  <c r="BX185" i="16"/>
  <c r="BE146" i="16"/>
  <c r="E145" i="16"/>
  <c r="AW146" i="16"/>
  <c r="AV146" i="16" s="1"/>
  <c r="BA146" i="16"/>
  <c r="CB10" i="54"/>
  <c r="CD113" i="16" l="1"/>
  <c r="BW113" i="16"/>
  <c r="BV113" i="16" s="1"/>
  <c r="BZ113" i="16"/>
  <c r="BU187" i="16"/>
  <c r="BX186" i="16"/>
  <c r="E146" i="16"/>
  <c r="BA147" i="16"/>
  <c r="AW147" i="16"/>
  <c r="AV147" i="16" s="1"/>
  <c r="BE147" i="16"/>
  <c r="BW114" i="16" l="1"/>
  <c r="BV114" i="16" s="1"/>
  <c r="BZ114" i="16"/>
  <c r="CD114" i="16"/>
  <c r="BX187" i="16"/>
  <c r="BU188" i="16"/>
  <c r="E147" i="16"/>
  <c r="BE148" i="16"/>
  <c r="AW148" i="16"/>
  <c r="AV148" i="16" s="1"/>
  <c r="BA148" i="16"/>
  <c r="CD115" i="16" l="1"/>
  <c r="BW115" i="16"/>
  <c r="BZ115" i="16"/>
  <c r="BU189" i="16"/>
  <c r="BX188" i="16"/>
  <c r="AW149" i="16"/>
  <c r="AV149" i="16" s="1"/>
  <c r="BA149" i="16"/>
  <c r="E148" i="16"/>
  <c r="BE149" i="16"/>
  <c r="CD116" i="16" l="1"/>
  <c r="BW116" i="16"/>
  <c r="BV116" i="16" s="1"/>
  <c r="BZ116" i="16"/>
  <c r="BV115" i="16"/>
  <c r="BX189" i="16"/>
  <c r="BU190" i="16"/>
  <c r="BA150" i="16"/>
  <c r="BE150" i="16"/>
  <c r="E149" i="16"/>
  <c r="AW150" i="16"/>
  <c r="AV150" i="16" s="1"/>
  <c r="BZ117" i="16" l="1"/>
  <c r="BW117" i="16"/>
  <c r="CD117" i="16"/>
  <c r="BU191" i="16"/>
  <c r="BX190" i="16"/>
  <c r="W77" i="9" s="1"/>
  <c r="E150" i="16"/>
  <c r="BA151" i="16"/>
  <c r="BE151" i="16"/>
  <c r="AW151" i="16"/>
  <c r="AV151" i="16" s="1"/>
  <c r="CL10" i="54"/>
  <c r="CM10" i="54" s="1"/>
  <c r="L53" i="39" l="1"/>
  <c r="L55" i="39" s="1"/>
  <c r="AA9" i="39" s="1"/>
  <c r="AA67" i="39" s="1"/>
  <c r="BV117" i="16"/>
  <c r="Q78" i="9"/>
  <c r="J71" i="24" s="1"/>
  <c r="J157" i="24" s="1"/>
  <c r="P163" i="5" s="1"/>
  <c r="P254" i="5" s="1"/>
  <c r="CE106" i="16"/>
  <c r="CD118" i="16"/>
  <c r="BZ118" i="16"/>
  <c r="BW118" i="16"/>
  <c r="BV118" i="16" s="1"/>
  <c r="W80" i="9"/>
  <c r="P22" i="8" s="1"/>
  <c r="F77" i="9"/>
  <c r="W91" i="9"/>
  <c r="P26" i="8" s="1"/>
  <c r="BU192" i="16"/>
  <c r="BX191" i="16"/>
  <c r="BE152" i="16"/>
  <c r="BA152" i="16"/>
  <c r="E151" i="16"/>
  <c r="AW152" i="16"/>
  <c r="AV152" i="16" s="1"/>
  <c r="CN10" i="54"/>
  <c r="Q19" i="9" l="1"/>
  <c r="J59" i="38"/>
  <c r="AA13" i="39"/>
  <c r="Q80" i="9"/>
  <c r="F53" i="39"/>
  <c r="F55" i="39" s="1"/>
  <c r="U9" i="39" s="1"/>
  <c r="U67" i="39" s="1"/>
  <c r="BZ119" i="16"/>
  <c r="BW119" i="16"/>
  <c r="BV119" i="16" s="1"/>
  <c r="CD119" i="16"/>
  <c r="P196" i="8"/>
  <c r="P75" i="8"/>
  <c r="P152" i="8"/>
  <c r="P233" i="8"/>
  <c r="P115" i="8" s="1"/>
  <c r="BU193" i="16"/>
  <c r="BX192" i="16"/>
  <c r="BE153" i="16"/>
  <c r="BE202" i="16" s="1"/>
  <c r="BA153" i="16"/>
  <c r="E153" i="16" s="1"/>
  <c r="E152" i="16"/>
  <c r="AW153" i="16"/>
  <c r="AV153" i="16" s="1"/>
  <c r="CO10" i="54"/>
  <c r="CD120" i="16" l="1"/>
  <c r="BW120" i="16"/>
  <c r="BV120" i="16" s="1"/>
  <c r="BZ120" i="16"/>
  <c r="J22" i="8"/>
  <c r="Q82" i="9"/>
  <c r="BX193" i="16"/>
  <c r="BU194" i="16"/>
  <c r="AV202" i="16"/>
  <c r="AW202" i="16"/>
  <c r="BF142" i="16"/>
  <c r="CJ25" i="54"/>
  <c r="CK25" i="54"/>
  <c r="CP10" i="54"/>
  <c r="J113" i="38" l="1"/>
  <c r="J108" i="38"/>
  <c r="J196" i="8"/>
  <c r="J75" i="8"/>
  <c r="J152" i="8"/>
  <c r="J233" i="8"/>
  <c r="J115" i="8" s="1"/>
  <c r="J161" i="50"/>
  <c r="J165" i="50" s="1"/>
  <c r="J135" i="50"/>
  <c r="CD121" i="16"/>
  <c r="BW121" i="16"/>
  <c r="BV121" i="16" s="1"/>
  <c r="BZ121" i="16"/>
  <c r="BU195" i="16"/>
  <c r="BX194" i="16"/>
  <c r="T66" i="9"/>
  <c r="BF202" i="16"/>
  <c r="CQ10" i="54"/>
  <c r="I51" i="39" l="1"/>
  <c r="J166" i="50"/>
  <c r="CD122" i="16"/>
  <c r="BZ122" i="16"/>
  <c r="BW122" i="16"/>
  <c r="BV122" i="16" s="1"/>
  <c r="BU196" i="16"/>
  <c r="BX195" i="16"/>
  <c r="M20" i="8"/>
  <c r="F66" i="9"/>
  <c r="BW123" i="16" l="1"/>
  <c r="BV123" i="16" s="1"/>
  <c r="BZ123" i="16"/>
  <c r="CD123" i="16"/>
  <c r="BU197" i="16"/>
  <c r="BX196" i="16"/>
  <c r="BW124" i="16" l="1"/>
  <c r="BV124" i="16" s="1"/>
  <c r="CD124" i="16"/>
  <c r="BZ124" i="16"/>
  <c r="BU198" i="16"/>
  <c r="BX197" i="16"/>
  <c r="BW125" i="16" l="1"/>
  <c r="BV125" i="16" s="1"/>
  <c r="BZ125" i="16"/>
  <c r="CD125" i="16"/>
  <c r="BU199" i="16"/>
  <c r="BX198" i="16"/>
  <c r="CL13" i="54"/>
  <c r="CM13" i="54" s="1"/>
  <c r="BW126" i="16" l="1"/>
  <c r="BV126" i="16" s="1"/>
  <c r="CD126" i="16"/>
  <c r="BZ126" i="16"/>
  <c r="BU200" i="16"/>
  <c r="BX199" i="16"/>
  <c r="CN13" i="54"/>
  <c r="CD127" i="16" l="1"/>
  <c r="BW127" i="16"/>
  <c r="BZ127" i="16"/>
  <c r="BU201" i="16"/>
  <c r="BX201" i="16" s="1"/>
  <c r="BX200" i="16"/>
  <c r="CO13" i="54"/>
  <c r="BX202" i="16" l="1"/>
  <c r="BW128" i="16"/>
  <c r="CD128" i="16"/>
  <c r="BZ128" i="16"/>
  <c r="BV127" i="16"/>
  <c r="CK28" i="54"/>
  <c r="CJ28" i="54"/>
  <c r="CP13" i="54"/>
  <c r="BW129" i="16" l="1"/>
  <c r="BZ129" i="16"/>
  <c r="CD129" i="16"/>
  <c r="BV128" i="16"/>
  <c r="R78" i="9"/>
  <c r="K71" i="24" s="1"/>
  <c r="K157" i="24" s="1"/>
  <c r="Q163" i="5" s="1"/>
  <c r="Q254" i="5" s="1"/>
  <c r="CQ13" i="54"/>
  <c r="CL14" i="54"/>
  <c r="CL12" i="54" s="1"/>
  <c r="R19" i="9" l="1"/>
  <c r="K59" i="38"/>
  <c r="G53" i="39"/>
  <c r="G55" i="39" s="1"/>
  <c r="V9" i="39" s="1"/>
  <c r="V67" i="39" s="1"/>
  <c r="CD130" i="16"/>
  <c r="BZ130" i="16"/>
  <c r="BW130" i="16"/>
  <c r="BV130" i="16" s="1"/>
  <c r="R80" i="9"/>
  <c r="BV129" i="16"/>
  <c r="CE118" i="16"/>
  <c r="CM14" i="54"/>
  <c r="CD131" i="16" l="1"/>
  <c r="BW131" i="16"/>
  <c r="BV131" i="16" s="1"/>
  <c r="BZ131" i="16"/>
  <c r="R82" i="9"/>
  <c r="K22" i="8"/>
  <c r="CN14" i="54"/>
  <c r="CM12" i="54"/>
  <c r="K113" i="38" l="1"/>
  <c r="K108" i="38"/>
  <c r="CD132" i="16"/>
  <c r="BZ132" i="16"/>
  <c r="BW132" i="16"/>
  <c r="BV132" i="16" s="1"/>
  <c r="K75" i="8"/>
  <c r="K152" i="8"/>
  <c r="K233" i="8"/>
  <c r="K115" i="8" s="1"/>
  <c r="K196" i="8"/>
  <c r="CN12" i="54"/>
  <c r="CO14" i="54"/>
  <c r="CD133" i="16" l="1"/>
  <c r="BW133" i="16"/>
  <c r="BV133" i="16" s="1"/>
  <c r="BZ133" i="16"/>
  <c r="CK29" i="54"/>
  <c r="CJ12" i="54"/>
  <c r="CJ29" i="54"/>
  <c r="CO12" i="54"/>
  <c r="CP14" i="54"/>
  <c r="BW134" i="16" l="1"/>
  <c r="BV134" i="16" s="1"/>
  <c r="CD134" i="16"/>
  <c r="BZ134" i="16"/>
  <c r="CP12" i="54"/>
  <c r="CQ14" i="54"/>
  <c r="CQ12" i="54" s="1"/>
  <c r="M19" i="54"/>
  <c r="M31" i="54"/>
  <c r="O50" i="5"/>
  <c r="G11" i="29" s="1"/>
  <c r="G42" i="29" l="1"/>
  <c r="G197" i="29" s="1"/>
  <c r="BW135" i="16"/>
  <c r="BV135" i="16" s="1"/>
  <c r="CD135" i="16"/>
  <c r="BZ135" i="16"/>
  <c r="G13" i="29"/>
  <c r="O9" i="5"/>
  <c r="H5" i="4"/>
  <c r="P9" i="5"/>
  <c r="O52" i="5"/>
  <c r="I9" i="38"/>
  <c r="I64" i="8"/>
  <c r="F57" i="53" s="1"/>
  <c r="G229" i="29" l="1"/>
  <c r="G230" i="29"/>
  <c r="CD136" i="16"/>
  <c r="BW136" i="16"/>
  <c r="BV136" i="16" s="1"/>
  <c r="BZ136" i="16"/>
  <c r="O53" i="5"/>
  <c r="AH12" i="6"/>
  <c r="H6" i="4"/>
  <c r="G14" i="29"/>
  <c r="F59" i="53"/>
  <c r="G34" i="29"/>
  <c r="G87" i="29"/>
  <c r="J15" i="38"/>
  <c r="I15" i="38"/>
  <c r="I11" i="38"/>
  <c r="G210" i="29" l="1"/>
  <c r="G140" i="29" s="1"/>
  <c r="G141" i="29" s="1"/>
  <c r="G209" i="29"/>
  <c r="G135" i="29" s="1"/>
  <c r="G136" i="29" s="1"/>
  <c r="BW137" i="16"/>
  <c r="BV137" i="16" s="1"/>
  <c r="CD137" i="16"/>
  <c r="BZ137" i="16"/>
  <c r="G44" i="29"/>
  <c r="G77" i="29" s="1"/>
  <c r="G35" i="29" s="1"/>
  <c r="G94" i="29"/>
  <c r="G24" i="29" s="1"/>
  <c r="G89" i="29"/>
  <c r="H134" i="29" l="1"/>
  <c r="O31" i="5"/>
  <c r="H139" i="29"/>
  <c r="O32" i="5"/>
  <c r="CD138" i="16"/>
  <c r="BZ138" i="16"/>
  <c r="BW138" i="16"/>
  <c r="BV138" i="16" s="1"/>
  <c r="I219" i="50"/>
  <c r="I179" i="24"/>
  <c r="AH15" i="6" s="1"/>
  <c r="G198" i="29"/>
  <c r="G200" i="29" s="1"/>
  <c r="G154" i="29"/>
  <c r="O249" i="5" l="1"/>
  <c r="AI37" i="6"/>
  <c r="AI50" i="6"/>
  <c r="AL50" i="6" s="1"/>
  <c r="AI45" i="6"/>
  <c r="AI41" i="6"/>
  <c r="AI42" i="6"/>
  <c r="AI36" i="6"/>
  <c r="AI55" i="6"/>
  <c r="AI49" i="6"/>
  <c r="AL49" i="6" s="1"/>
  <c r="AI44" i="6"/>
  <c r="AI40" i="6"/>
  <c r="AI34" i="6"/>
  <c r="AI35" i="6"/>
  <c r="AI29" i="6"/>
  <c r="AI53" i="6"/>
  <c r="AI48" i="6"/>
  <c r="AL48" i="6" s="1"/>
  <c r="AI43" i="6"/>
  <c r="AI39" i="6"/>
  <c r="AI51" i="6"/>
  <c r="AL51" i="6" s="1"/>
  <c r="AO51" i="6" s="1"/>
  <c r="AI47" i="6"/>
  <c r="AL47" i="6" s="1"/>
  <c r="AI28" i="6"/>
  <c r="G172" i="29"/>
  <c r="G171" i="29"/>
  <c r="G181" i="29"/>
  <c r="G180" i="29"/>
  <c r="CD139" i="16"/>
  <c r="BZ139" i="16"/>
  <c r="BW139" i="16"/>
  <c r="BV139" i="16" s="1"/>
  <c r="G164" i="29"/>
  <c r="G201" i="29"/>
  <c r="I102" i="38" l="1"/>
  <c r="O252" i="5"/>
  <c r="O269" i="5" s="1"/>
  <c r="G189" i="29"/>
  <c r="G175" i="29"/>
  <c r="G176" i="29"/>
  <c r="CD140" i="16"/>
  <c r="BZ140" i="16"/>
  <c r="BW140" i="16"/>
  <c r="AH53" i="6"/>
  <c r="BV140" i="16" l="1"/>
  <c r="CD141" i="16"/>
  <c r="BZ141" i="16"/>
  <c r="BW141" i="16"/>
  <c r="BV141" i="16" s="1"/>
  <c r="AH55" i="6"/>
  <c r="S78" i="9" l="1"/>
  <c r="L71" i="24" s="1"/>
  <c r="L157" i="24" s="1"/>
  <c r="R163" i="5" s="1"/>
  <c r="CE130" i="16"/>
  <c r="BZ142" i="16"/>
  <c r="BW142" i="16"/>
  <c r="BV142" i="16" s="1"/>
  <c r="CD142" i="16"/>
  <c r="AH70" i="6"/>
  <c r="S19" i="9" l="1"/>
  <c r="R254" i="5"/>
  <c r="S80" i="9"/>
  <c r="L22" i="8" s="1"/>
  <c r="H53" i="39"/>
  <c r="H55" i="39" s="1"/>
  <c r="W9" i="39" s="1"/>
  <c r="W67" i="39" s="1"/>
  <c r="L59" i="38"/>
  <c r="CD143" i="16"/>
  <c r="BZ143" i="16"/>
  <c r="BW143" i="16"/>
  <c r="BV143" i="16" s="1"/>
  <c r="G205" i="29"/>
  <c r="G223" i="29"/>
  <c r="S82" i="9" l="1"/>
  <c r="L113" i="38"/>
  <c r="L108" i="38"/>
  <c r="BW144" i="16"/>
  <c r="BV144" i="16" s="1"/>
  <c r="BZ144" i="16"/>
  <c r="CD144" i="16"/>
  <c r="L196" i="8"/>
  <c r="L152" i="8"/>
  <c r="L75" i="8"/>
  <c r="L233" i="8"/>
  <c r="L115" i="8" s="1"/>
  <c r="G184" i="29"/>
  <c r="G185" i="29"/>
  <c r="BZ145" i="16" l="1"/>
  <c r="BW145" i="16"/>
  <c r="BV145" i="16" s="1"/>
  <c r="CD145" i="16"/>
  <c r="G215" i="29"/>
  <c r="BZ146" i="16" l="1"/>
  <c r="BW146" i="16"/>
  <c r="BV146" i="16" s="1"/>
  <c r="CD146" i="16"/>
  <c r="BW147" i="16" l="1"/>
  <c r="BV147" i="16" s="1"/>
  <c r="BZ147" i="16"/>
  <c r="CD147" i="16"/>
  <c r="G349" i="29" l="1"/>
  <c r="G348" i="29"/>
  <c r="CD148" i="16"/>
  <c r="BZ148" i="16"/>
  <c r="BW148" i="16"/>
  <c r="BV148" i="16" s="1"/>
  <c r="BW149" i="16" l="1"/>
  <c r="BV149" i="16" s="1"/>
  <c r="CD149" i="16"/>
  <c r="BZ149" i="16"/>
  <c r="CD150" i="16" l="1"/>
  <c r="BW150" i="16"/>
  <c r="BV150" i="16" s="1"/>
  <c r="BZ150" i="16"/>
  <c r="BW151" i="16" l="1"/>
  <c r="CD151" i="16"/>
  <c r="BZ151" i="16"/>
  <c r="BZ152" i="16" l="1"/>
  <c r="CD152" i="16"/>
  <c r="BW152" i="16"/>
  <c r="BV152" i="16" s="1"/>
  <c r="BV151" i="16"/>
  <c r="BW153" i="16" l="1"/>
  <c r="BV153" i="16" s="1"/>
  <c r="CD153" i="16"/>
  <c r="BZ153" i="16"/>
  <c r="T78" i="9" l="1"/>
  <c r="M71" i="24" s="1"/>
  <c r="M157" i="24" s="1"/>
  <c r="S163" i="5" s="1"/>
  <c r="S254" i="5" s="1"/>
  <c r="CD154" i="16"/>
  <c r="BZ154" i="16"/>
  <c r="BW154" i="16"/>
  <c r="BV154" i="16" s="1"/>
  <c r="CE142" i="16"/>
  <c r="T19" i="9" l="1"/>
  <c r="M59" i="38"/>
  <c r="I53" i="39"/>
  <c r="I55" i="39" s="1"/>
  <c r="X9" i="39" s="1"/>
  <c r="X67" i="39" s="1"/>
  <c r="BW155" i="16"/>
  <c r="BV155" i="16" s="1"/>
  <c r="CD155" i="16"/>
  <c r="BZ155" i="16"/>
  <c r="T80" i="9"/>
  <c r="T82" i="9" l="1"/>
  <c r="M22" i="8"/>
  <c r="BZ156" i="16"/>
  <c r="BW156" i="16"/>
  <c r="BV156" i="16" s="1"/>
  <c r="CD156" i="16"/>
  <c r="M113" i="38" l="1"/>
  <c r="M108" i="38"/>
  <c r="BW157" i="16"/>
  <c r="BV157" i="16" s="1"/>
  <c r="CD157" i="16"/>
  <c r="BZ157" i="16"/>
  <c r="M233" i="8"/>
  <c r="M115" i="8" s="1"/>
  <c r="M152" i="8"/>
  <c r="M196" i="8"/>
  <c r="M75" i="8"/>
  <c r="BW158" i="16" l="1"/>
  <c r="BV158" i="16" s="1"/>
  <c r="CD158" i="16"/>
  <c r="BZ158" i="16"/>
  <c r="BW159" i="16" l="1"/>
  <c r="BV159" i="16" s="1"/>
  <c r="CD159" i="16"/>
  <c r="BZ159" i="16"/>
  <c r="BW160" i="16" l="1"/>
  <c r="BV160" i="16" s="1"/>
  <c r="BZ160" i="16"/>
  <c r="CD160" i="16"/>
  <c r="BZ161" i="16" l="1"/>
  <c r="BW161" i="16"/>
  <c r="BV161" i="16" s="1"/>
  <c r="CD161" i="16"/>
  <c r="S50" i="5"/>
  <c r="K11" i="29" s="1"/>
  <c r="T50" i="5"/>
  <c r="L11" i="29" s="1"/>
  <c r="U50" i="5"/>
  <c r="O64" i="8" s="1"/>
  <c r="L57" i="53" s="1"/>
  <c r="L59" i="53" s="1"/>
  <c r="Q50" i="5"/>
  <c r="V50" i="5"/>
  <c r="N11" i="29" s="1"/>
  <c r="R50" i="5"/>
  <c r="L64" i="8" s="1"/>
  <c r="I57" i="53" s="1"/>
  <c r="I59" i="53" s="1"/>
  <c r="N31" i="29" l="1"/>
  <c r="N63" i="29" s="1"/>
  <c r="N309" i="29" s="1"/>
  <c r="K31" i="29"/>
  <c r="K63" i="29" s="1"/>
  <c r="K309" i="29" s="1"/>
  <c r="L31" i="29"/>
  <c r="L63" i="29" s="1"/>
  <c r="L309" i="29" s="1"/>
  <c r="CD162" i="16"/>
  <c r="BZ162" i="16"/>
  <c r="BW162" i="16"/>
  <c r="BV162" i="16" s="1"/>
  <c r="P64" i="8"/>
  <c r="M57" i="53" s="1"/>
  <c r="M59" i="53" s="1"/>
  <c r="J5" i="4"/>
  <c r="K9" i="38"/>
  <c r="Q9" i="5"/>
  <c r="Q20" i="5"/>
  <c r="I11" i="29"/>
  <c r="I18" i="29" s="1"/>
  <c r="J18" i="29" s="1"/>
  <c r="K64" i="8"/>
  <c r="H57" i="53" s="1"/>
  <c r="J11" i="29"/>
  <c r="L9" i="38"/>
  <c r="K5" i="4"/>
  <c r="R9" i="5"/>
  <c r="P9" i="38"/>
  <c r="O5" i="4"/>
  <c r="V9" i="5"/>
  <c r="U9" i="5"/>
  <c r="O9" i="38"/>
  <c r="N5" i="4"/>
  <c r="M11" i="29"/>
  <c r="T9" i="5"/>
  <c r="M5" i="4"/>
  <c r="N9" i="38"/>
  <c r="S9" i="5"/>
  <c r="L5" i="4"/>
  <c r="M9" i="38"/>
  <c r="M64" i="8"/>
  <c r="J57" i="53" s="1"/>
  <c r="J59" i="53" s="1"/>
  <c r="N64" i="8"/>
  <c r="K57" i="53" s="1"/>
  <c r="K59" i="53" s="1"/>
  <c r="L260" i="29" l="1"/>
  <c r="K260" i="29"/>
  <c r="N260" i="29"/>
  <c r="L65" i="29"/>
  <c r="L64" i="29"/>
  <c r="K65" i="29"/>
  <c r="K64" i="29"/>
  <c r="N65" i="29"/>
  <c r="N64" i="29"/>
  <c r="M31" i="29"/>
  <c r="M63" i="29" s="1"/>
  <c r="M309" i="29" s="1"/>
  <c r="I31" i="29"/>
  <c r="J31" i="29"/>
  <c r="J63" i="29" s="1"/>
  <c r="J309" i="29" s="1"/>
  <c r="BW163" i="16"/>
  <c r="BV163" i="16" s="1"/>
  <c r="BZ163" i="16"/>
  <c r="CD163" i="16"/>
  <c r="M15" i="38"/>
  <c r="O15" i="38"/>
  <c r="P15" i="38"/>
  <c r="K197" i="29"/>
  <c r="Q5" i="4"/>
  <c r="Z5" i="4"/>
  <c r="L15" i="38"/>
  <c r="N57" i="53"/>
  <c r="H59" i="53"/>
  <c r="N15" i="38"/>
  <c r="K15" i="38"/>
  <c r="K245" i="29" l="1"/>
  <c r="J260" i="29"/>
  <c r="N245" i="29"/>
  <c r="L245" i="29"/>
  <c r="M260" i="29"/>
  <c r="M65" i="29"/>
  <c r="M64" i="29"/>
  <c r="J65" i="29"/>
  <c r="J64" i="29"/>
  <c r="N197" i="29"/>
  <c r="CD164" i="16"/>
  <c r="BZ164" i="16"/>
  <c r="BW164" i="16"/>
  <c r="L197" i="29"/>
  <c r="AA5" i="4"/>
  <c r="N59" i="53"/>
  <c r="M245" i="29" l="1"/>
  <c r="J245" i="29"/>
  <c r="BV164" i="16"/>
  <c r="BW165" i="16"/>
  <c r="BV165" i="16" s="1"/>
  <c r="BZ165" i="16"/>
  <c r="CD165" i="16"/>
  <c r="L154" i="29"/>
  <c r="K154" i="29"/>
  <c r="I197" i="29"/>
  <c r="N154" i="29"/>
  <c r="I229" i="29" l="1"/>
  <c r="I230" i="29"/>
  <c r="CE154" i="16"/>
  <c r="U78" i="9"/>
  <c r="N71" i="24" s="1"/>
  <c r="N157" i="24" s="1"/>
  <c r="T163" i="5" s="1"/>
  <c r="T254" i="5" s="1"/>
  <c r="BZ166" i="16"/>
  <c r="CD166" i="16"/>
  <c r="BW166" i="16"/>
  <c r="BV166" i="16" s="1"/>
  <c r="J197" i="29"/>
  <c r="N164" i="29"/>
  <c r="M197" i="29"/>
  <c r="L164" i="29"/>
  <c r="K164" i="29"/>
  <c r="U19" i="9" l="1"/>
  <c r="N59" i="38"/>
  <c r="I209" i="29"/>
  <c r="I210" i="29"/>
  <c r="I172" i="29"/>
  <c r="I171" i="29"/>
  <c r="J53" i="39"/>
  <c r="J55" i="39" s="1"/>
  <c r="Y9" i="39" s="1"/>
  <c r="Y67" i="39" s="1"/>
  <c r="CD167" i="16"/>
  <c r="BZ167" i="16"/>
  <c r="BW167" i="16"/>
  <c r="BV167" i="16" s="1"/>
  <c r="U80" i="9"/>
  <c r="I154" i="29"/>
  <c r="I164" i="29" l="1"/>
  <c r="BW168" i="16"/>
  <c r="BV168" i="16" s="1"/>
  <c r="CD168" i="16"/>
  <c r="BZ168" i="16"/>
  <c r="N22" i="8"/>
  <c r="U82" i="9"/>
  <c r="M154" i="29"/>
  <c r="J154" i="29"/>
  <c r="N113" i="38" l="1"/>
  <c r="N108" i="38"/>
  <c r="N152" i="8"/>
  <c r="N75" i="8"/>
  <c r="N233" i="8"/>
  <c r="N115" i="8" s="1"/>
  <c r="N196" i="8"/>
  <c r="BZ169" i="16"/>
  <c r="CD169" i="16"/>
  <c r="BW169" i="16"/>
  <c r="BV169" i="16" s="1"/>
  <c r="J164" i="29"/>
  <c r="M164" i="29"/>
  <c r="CD170" i="16" l="1"/>
  <c r="BW170" i="16"/>
  <c r="BV170" i="16" s="1"/>
  <c r="BZ170" i="16"/>
  <c r="CD171" i="16" l="1"/>
  <c r="BW171" i="16"/>
  <c r="BV171" i="16" s="1"/>
  <c r="BZ171" i="16"/>
  <c r="BZ172" i="16" l="1"/>
  <c r="BW172" i="16"/>
  <c r="BV172" i="16" s="1"/>
  <c r="CD172" i="16"/>
  <c r="CD173" i="16" l="1"/>
  <c r="BZ173" i="16"/>
  <c r="BW173" i="16"/>
  <c r="BV173" i="16" s="1"/>
  <c r="BZ174" i="16" l="1"/>
  <c r="CD174" i="16"/>
  <c r="BW174" i="16"/>
  <c r="BV174" i="16" s="1"/>
  <c r="CD175" i="16" l="1"/>
  <c r="BW175" i="16"/>
  <c r="BV175" i="16" s="1"/>
  <c r="BZ175" i="16"/>
  <c r="CD176" i="16" l="1"/>
  <c r="BZ176" i="16"/>
  <c r="BW176" i="16"/>
  <c r="BV176" i="16" l="1"/>
  <c r="BZ177" i="16"/>
  <c r="BW177" i="16"/>
  <c r="BV177" i="16" s="1"/>
  <c r="BV202" i="16" s="1"/>
  <c r="CD177" i="16"/>
  <c r="CD202" i="16" s="1"/>
  <c r="BW202" i="16" l="1"/>
  <c r="CE166" i="16"/>
  <c r="CE202" i="16" s="1"/>
  <c r="V78" i="9"/>
  <c r="O71" i="24" s="1"/>
  <c r="O157" i="24" s="1"/>
  <c r="U163" i="5" s="1"/>
  <c r="U254" i="5" s="1"/>
  <c r="P193" i="5"/>
  <c r="P196" i="5"/>
  <c r="V19" i="9" l="1"/>
  <c r="O59" i="38"/>
  <c r="K53" i="39"/>
  <c r="K55" i="39" s="1"/>
  <c r="Z9" i="39" s="1"/>
  <c r="Z67" i="39" s="1"/>
  <c r="F78" i="9"/>
  <c r="V80" i="9"/>
  <c r="O22" i="8" l="1"/>
  <c r="F80" i="9"/>
  <c r="V82" i="9"/>
  <c r="W82" i="9" s="1"/>
  <c r="O113" i="38" l="1"/>
  <c r="O108" i="38"/>
  <c r="O196" i="8"/>
  <c r="O152" i="8"/>
  <c r="O75" i="8"/>
  <c r="O233" i="8"/>
  <c r="O115" i="8" s="1"/>
  <c r="S236" i="45" l="1"/>
  <c r="S238" i="45" s="1"/>
  <c r="S250" i="45" s="1"/>
  <c r="S262" i="45" s="1"/>
  <c r="P44" i="9"/>
  <c r="I18" i="8" s="1"/>
  <c r="L90" i="54"/>
  <c r="L37" i="54"/>
  <c r="L53" i="54" s="1"/>
  <c r="N68" i="5"/>
  <c r="I113" i="8" l="1"/>
  <c r="I194" i="8"/>
  <c r="I231" i="8"/>
  <c r="I73" i="8"/>
  <c r="I150" i="8"/>
  <c r="G9" i="4"/>
  <c r="G29" i="4" s="1"/>
  <c r="N19" i="5"/>
  <c r="N273" i="5" s="1"/>
  <c r="H19" i="38"/>
  <c r="N84" i="5"/>
  <c r="N13" i="5"/>
  <c r="N12" i="5" s="1"/>
  <c r="N134" i="5" l="1"/>
  <c r="G14" i="4"/>
  <c r="G30" i="4" s="1"/>
  <c r="O290" i="5"/>
  <c r="O291" i="5" s="1"/>
  <c r="O293" i="5" l="1"/>
  <c r="P292" i="5" s="1"/>
  <c r="O294" i="5" l="1"/>
  <c r="L95" i="54"/>
  <c r="L143" i="54"/>
  <c r="L42" i="54"/>
  <c r="L58" i="54" l="1"/>
  <c r="M58" i="54"/>
  <c r="N42" i="54"/>
  <c r="O42" i="54" l="1"/>
  <c r="M95" i="54"/>
  <c r="P42" i="54" l="1"/>
  <c r="Q42" i="54" l="1"/>
  <c r="R42" i="54" l="1"/>
  <c r="S42" i="54" l="1"/>
  <c r="T42" i="54" l="1"/>
  <c r="L96" i="54" l="1"/>
  <c r="L144" i="54"/>
  <c r="L74" i="54"/>
  <c r="L43" i="54"/>
  <c r="M59" i="54" s="1"/>
  <c r="L59" i="54" l="1"/>
  <c r="L142" i="54"/>
  <c r="L94" i="54"/>
  <c r="L41" i="54"/>
  <c r="L57" i="54" s="1"/>
  <c r="L38" i="54"/>
  <c r="L91" i="54"/>
  <c r="N43" i="54" l="1"/>
  <c r="L54" i="54"/>
  <c r="O43" i="54" l="1"/>
  <c r="M96" i="54"/>
  <c r="M121" i="54"/>
  <c r="M118" i="54" s="1"/>
  <c r="M139" i="54" s="1"/>
  <c r="M74" i="54"/>
  <c r="P43" i="54" l="1"/>
  <c r="M142" i="54"/>
  <c r="M94" i="54"/>
  <c r="Q43" i="54" l="1"/>
  <c r="R43" i="54" l="1"/>
  <c r="S43" i="54" l="1"/>
  <c r="T43" i="54" l="1"/>
  <c r="L101" i="54" l="1"/>
  <c r="L87" i="54"/>
  <c r="L45" i="54"/>
  <c r="M61" i="54" s="1"/>
  <c r="N69" i="5"/>
  <c r="N85" i="5" s="1"/>
  <c r="N89" i="5" s="1"/>
  <c r="L61" i="54" l="1"/>
  <c r="N14" i="5"/>
  <c r="N90" i="5"/>
  <c r="N135" i="5"/>
  <c r="G15" i="4"/>
  <c r="G37" i="4" s="1"/>
  <c r="G16" i="4"/>
  <c r="G44" i="4" s="1"/>
  <c r="N20" i="5"/>
  <c r="G11" i="4"/>
  <c r="G43" i="4" s="1"/>
  <c r="N73" i="5"/>
  <c r="G10" i="4"/>
  <c r="G36" i="4" s="1"/>
  <c r="H20" i="38"/>
  <c r="H24" i="38" s="1"/>
  <c r="N43" i="5"/>
  <c r="H41" i="38" l="1"/>
  <c r="G38" i="4"/>
  <c r="N111" i="5"/>
  <c r="H25" i="38"/>
  <c r="H36" i="38"/>
  <c r="H37" i="38" s="1"/>
  <c r="H29" i="38"/>
  <c r="N74" i="5"/>
  <c r="N93" i="5"/>
  <c r="N139" i="5"/>
  <c r="H30" i="38" l="1"/>
  <c r="N143" i="5"/>
  <c r="N127" i="5"/>
  <c r="N119" i="5"/>
  <c r="G20" i="4"/>
  <c r="G39" i="4" s="1"/>
  <c r="G40" i="4" s="1"/>
  <c r="G25" i="4" s="1"/>
  <c r="N102" i="5"/>
  <c r="H65" i="8" l="1"/>
  <c r="E60" i="53" l="1"/>
  <c r="E61" i="53" s="1"/>
  <c r="L108" i="54" l="1"/>
  <c r="M108" i="54" s="1"/>
  <c r="M84" i="54" s="1"/>
  <c r="M48" i="54" s="1"/>
  <c r="M64" i="54" s="1"/>
  <c r="L48" i="54"/>
  <c r="O16" i="5" l="1"/>
  <c r="N48" i="54"/>
  <c r="L64" i="54"/>
  <c r="N16" i="5"/>
  <c r="L109" i="54"/>
  <c r="N108" i="54"/>
  <c r="O108" i="54" s="1"/>
  <c r="P108" i="54" s="1"/>
  <c r="Q108" i="54" s="1"/>
  <c r="R108" i="54" s="1"/>
  <c r="S108" i="54" s="1"/>
  <c r="T108" i="54" s="1"/>
  <c r="P16" i="5" l="1"/>
  <c r="N45" i="54"/>
  <c r="O48" i="54"/>
  <c r="Q16" i="5" l="1"/>
  <c r="O45" i="54"/>
  <c r="P48" i="54"/>
  <c r="N61" i="54"/>
  <c r="P14" i="5"/>
  <c r="N81" i="54"/>
  <c r="O14" i="5"/>
  <c r="M101" i="54" l="1"/>
  <c r="O69" i="5"/>
  <c r="R16" i="5"/>
  <c r="Q48" i="54"/>
  <c r="P45" i="54"/>
  <c r="N101" i="54"/>
  <c r="N84" i="54"/>
  <c r="N129" i="54"/>
  <c r="P43" i="5" s="1"/>
  <c r="P69" i="5"/>
  <c r="O61" i="54"/>
  <c r="Q14" i="5"/>
  <c r="O81" i="54"/>
  <c r="O43" i="5" l="1"/>
  <c r="O111" i="5" s="1"/>
  <c r="O20" i="5"/>
  <c r="H10" i="4"/>
  <c r="H36" i="4" s="1"/>
  <c r="I20" i="38"/>
  <c r="O101" i="54"/>
  <c r="O84" i="54"/>
  <c r="O129" i="54"/>
  <c r="Q43" i="5" s="1"/>
  <c r="Q69" i="5"/>
  <c r="I10" i="4"/>
  <c r="P20" i="5"/>
  <c r="J20" i="38"/>
  <c r="R14" i="5"/>
  <c r="P61" i="54"/>
  <c r="P81" i="54"/>
  <c r="J41" i="38"/>
  <c r="I38" i="4"/>
  <c r="S16" i="5"/>
  <c r="R48" i="54"/>
  <c r="Q45" i="54"/>
  <c r="P111" i="5" l="1"/>
  <c r="H38" i="4"/>
  <c r="I41" i="38"/>
  <c r="I36" i="4"/>
  <c r="X14" i="4"/>
  <c r="Q111" i="5"/>
  <c r="J10" i="4"/>
  <c r="J36" i="4" s="1"/>
  <c r="K20" i="38"/>
  <c r="S14" i="5"/>
  <c r="Q61" i="54"/>
  <c r="Q81" i="54"/>
  <c r="J38" i="4"/>
  <c r="K41" i="38"/>
  <c r="T16" i="5"/>
  <c r="R45" i="54"/>
  <c r="S48" i="54"/>
  <c r="P101" i="54"/>
  <c r="P84" i="54"/>
  <c r="P129" i="54"/>
  <c r="R43" i="5" s="1"/>
  <c r="R69" i="5"/>
  <c r="K38" i="4" l="1"/>
  <c r="L41" i="38"/>
  <c r="U16" i="5"/>
  <c r="S45" i="54"/>
  <c r="T48" i="54"/>
  <c r="U48" i="54" s="1"/>
  <c r="Y14" i="4"/>
  <c r="R61" i="54"/>
  <c r="T14" i="5"/>
  <c r="R81" i="54"/>
  <c r="Q101" i="54"/>
  <c r="Q84" i="54"/>
  <c r="Q129" i="54"/>
  <c r="S43" i="5" s="1"/>
  <c r="S69" i="5"/>
  <c r="R20" i="5"/>
  <c r="R111" i="5"/>
  <c r="K10" i="4"/>
  <c r="K36" i="4" s="1"/>
  <c r="L20" i="38"/>
  <c r="U45" i="54" l="1"/>
  <c r="V48" i="54"/>
  <c r="S20" i="5"/>
  <c r="S111" i="5"/>
  <c r="L10" i="4"/>
  <c r="L36" i="4" s="1"/>
  <c r="M20" i="38"/>
  <c r="L38" i="4"/>
  <c r="M41" i="38"/>
  <c r="V16" i="5"/>
  <c r="T45" i="54"/>
  <c r="R84" i="54"/>
  <c r="R101" i="54"/>
  <c r="R129" i="54"/>
  <c r="T43" i="5" s="1"/>
  <c r="T69" i="5"/>
  <c r="S61" i="54"/>
  <c r="U14" i="5"/>
  <c r="S81" i="54"/>
  <c r="V45" i="54" l="1"/>
  <c r="W48" i="54"/>
  <c r="U61" i="54"/>
  <c r="U81" i="54"/>
  <c r="S101" i="54"/>
  <c r="S84" i="54"/>
  <c r="S129" i="54"/>
  <c r="U43" i="5" s="1"/>
  <c r="U69" i="5"/>
  <c r="N41" i="38"/>
  <c r="M38" i="4"/>
  <c r="V14" i="5"/>
  <c r="T61" i="54"/>
  <c r="T81" i="54"/>
  <c r="T20" i="5"/>
  <c r="M10" i="4"/>
  <c r="M36" i="4" s="1"/>
  <c r="T111" i="5"/>
  <c r="N20" i="38"/>
  <c r="U101" i="54" l="1"/>
  <c r="U84" i="54"/>
  <c r="U87" i="54"/>
  <c r="W45" i="54"/>
  <c r="X48" i="54"/>
  <c r="X45" i="54" s="1"/>
  <c r="V61" i="54"/>
  <c r="V81" i="54"/>
  <c r="U20" i="5"/>
  <c r="N10" i="4"/>
  <c r="N36" i="4" s="1"/>
  <c r="U111" i="5"/>
  <c r="O20" i="38"/>
  <c r="O41" i="38"/>
  <c r="N38" i="4"/>
  <c r="T101" i="54"/>
  <c r="T84" i="54"/>
  <c r="T129" i="54"/>
  <c r="V43" i="5" s="1"/>
  <c r="V69" i="5"/>
  <c r="W81" i="54" l="1"/>
  <c r="W61" i="54"/>
  <c r="V87" i="54"/>
  <c r="V101" i="54"/>
  <c r="V84" i="54"/>
  <c r="X81" i="54"/>
  <c r="X61" i="54"/>
  <c r="V20" i="5"/>
  <c r="O10" i="4"/>
  <c r="V111" i="5"/>
  <c r="P20" i="38"/>
  <c r="P41" i="38"/>
  <c r="O38" i="4"/>
  <c r="X84" i="54" l="1"/>
  <c r="X87" i="54"/>
  <c r="X101" i="54"/>
  <c r="W84" i="54"/>
  <c r="W101" i="54"/>
  <c r="W87" i="54"/>
  <c r="Q38" i="4"/>
  <c r="Q10" i="4"/>
  <c r="Z14" i="4"/>
  <c r="O36" i="4"/>
  <c r="Q36" i="4" s="1"/>
  <c r="AA14" i="4" l="1"/>
  <c r="L93" i="54" l="1"/>
  <c r="L92" i="54"/>
  <c r="L40" i="54"/>
  <c r="L56" i="54" s="1"/>
  <c r="L55" i="54"/>
  <c r="M90" i="54" l="1"/>
  <c r="M37" i="54"/>
  <c r="O68" i="5"/>
  <c r="M138" i="54"/>
  <c r="M126" i="54"/>
  <c r="M147" i="54" s="1"/>
  <c r="O39" i="5"/>
  <c r="I40" i="38" l="1"/>
  <c r="H31" i="4"/>
  <c r="H45" i="4" s="1"/>
  <c r="O44" i="5"/>
  <c r="I42" i="38" s="1"/>
  <c r="H9" i="4"/>
  <c r="H29" i="4" s="1"/>
  <c r="H11" i="4"/>
  <c r="H43" i="4" s="1"/>
  <c r="O19" i="5"/>
  <c r="O273" i="5" s="1"/>
  <c r="O73" i="5"/>
  <c r="I19" i="38"/>
  <c r="I24" i="38" s="1"/>
  <c r="M53" i="54"/>
  <c r="O13" i="5"/>
  <c r="O12" i="5" s="1"/>
  <c r="I25" i="38" l="1"/>
  <c r="O74" i="5"/>
  <c r="P290" i="5"/>
  <c r="P291" i="5" s="1"/>
  <c r="P293" i="5" l="1"/>
  <c r="Q292" i="5" s="1"/>
  <c r="P294" i="5" l="1"/>
  <c r="L146" i="54" l="1"/>
  <c r="N41" i="5"/>
  <c r="O114" i="5" s="1"/>
  <c r="N40" i="5"/>
  <c r="N113" i="5" s="1"/>
  <c r="L145" i="54"/>
  <c r="L117" i="54"/>
  <c r="L118" i="54" s="1"/>
  <c r="L139" i="54" s="1"/>
  <c r="N139" i="54" s="1"/>
  <c r="O139" i="54" l="1"/>
  <c r="L135" i="54"/>
  <c r="L126" i="54"/>
  <c r="L147" i="54" s="1"/>
  <c r="L138" i="54"/>
  <c r="N39" i="5"/>
  <c r="N96" i="5"/>
  <c r="N114" i="5"/>
  <c r="O113" i="5"/>
  <c r="N95" i="5"/>
  <c r="O122" i="5" l="1"/>
  <c r="O130" i="5" s="1"/>
  <c r="N105" i="5"/>
  <c r="N146" i="5"/>
  <c r="N122" i="5"/>
  <c r="N130" i="5" s="1"/>
  <c r="N104" i="5"/>
  <c r="N145" i="5"/>
  <c r="N121" i="5"/>
  <c r="N129" i="5" s="1"/>
  <c r="O121" i="5"/>
  <c r="O129" i="5" s="1"/>
  <c r="H40" i="38"/>
  <c r="G31" i="4"/>
  <c r="G45" i="4" s="1"/>
  <c r="O110" i="5"/>
  <c r="O115" i="5" s="1"/>
  <c r="N110" i="5"/>
  <c r="N115" i="5" s="1"/>
  <c r="N92" i="5"/>
  <c r="N44" i="5"/>
  <c r="P139" i="54"/>
  <c r="Q139" i="54" l="1"/>
  <c r="H42" i="38"/>
  <c r="H44" i="38" s="1"/>
  <c r="H55" i="38" s="1"/>
  <c r="N173" i="5"/>
  <c r="N142" i="5"/>
  <c r="N126" i="5"/>
  <c r="N131" i="5" s="1"/>
  <c r="N101" i="5"/>
  <c r="N97" i="5"/>
  <c r="G21" i="4"/>
  <c r="G46" i="4" s="1"/>
  <c r="G47" i="4" s="1"/>
  <c r="G26" i="4" s="1"/>
  <c r="N118" i="5"/>
  <c r="N123" i="5" s="1"/>
  <c r="G19" i="4"/>
  <c r="G32" i="4" s="1"/>
  <c r="G33" i="4" s="1"/>
  <c r="G24" i="4" s="1"/>
  <c r="H56" i="38" l="1"/>
  <c r="H61" i="38"/>
  <c r="H100" i="38"/>
  <c r="H105" i="38" s="1"/>
  <c r="N147" i="5"/>
  <c r="N98" i="5"/>
  <c r="R139" i="54"/>
  <c r="N106" i="5"/>
  <c r="H61" i="8"/>
  <c r="N179" i="5"/>
  <c r="O13" i="9"/>
  <c r="N180" i="5" l="1"/>
  <c r="N243" i="5"/>
  <c r="H115" i="38"/>
  <c r="H106" i="38"/>
  <c r="N263" i="5"/>
  <c r="N257" i="5"/>
  <c r="H62" i="38"/>
  <c r="H69" i="38"/>
  <c r="H68" i="8"/>
  <c r="E53" i="53"/>
  <c r="E54" i="53" s="1"/>
  <c r="O12" i="9"/>
  <c r="D8" i="39"/>
  <c r="N107" i="5"/>
  <c r="E63" i="53" l="1"/>
  <c r="N245" i="5"/>
  <c r="N267" i="5"/>
  <c r="N272" i="5" s="1"/>
  <c r="N276" i="5" s="1"/>
  <c r="H91" i="38"/>
  <c r="H93" i="38" s="1"/>
  <c r="H70" i="38"/>
  <c r="H116" i="38"/>
  <c r="O274" i="5" l="1"/>
  <c r="O283" i="5"/>
  <c r="O284" i="5" s="1"/>
  <c r="N246" i="5"/>
  <c r="H94" i="38"/>
  <c r="O286" i="5" l="1"/>
  <c r="P285" i="5" s="1"/>
  <c r="O287" i="5" l="1"/>
  <c r="O306" i="5" s="1"/>
  <c r="O296" i="5" l="1"/>
  <c r="O307" i="5" s="1"/>
  <c r="O305" i="5" s="1"/>
  <c r="P22" i="9" l="1"/>
  <c r="E13" i="39" s="1"/>
  <c r="M41" i="54" l="1"/>
  <c r="M27" i="54"/>
  <c r="M57" i="54" l="1"/>
  <c r="M11" i="54"/>
  <c r="M9" i="54" l="1"/>
  <c r="BF11" i="54"/>
  <c r="BG11" i="54" s="1"/>
  <c r="AQ11" i="54"/>
  <c r="AR11" i="54" s="1"/>
  <c r="AB11" i="54"/>
  <c r="M24" i="54"/>
  <c r="AS11" i="54" l="1"/>
  <c r="AR9" i="54"/>
  <c r="AC11" i="54"/>
  <c r="CK11" i="54"/>
  <c r="BU11" i="54"/>
  <c r="BH11" i="54"/>
  <c r="BG9" i="54"/>
  <c r="BG24" i="54" s="1"/>
  <c r="AB9" i="54"/>
  <c r="AB24" i="54" s="1"/>
  <c r="BF9" i="54"/>
  <c r="BF24" i="54" s="1"/>
  <c r="AQ9" i="54"/>
  <c r="AQ24" i="54" s="1"/>
  <c r="AD11" i="54" l="1"/>
  <c r="AC9" i="54"/>
  <c r="AC24" i="54" s="1"/>
  <c r="BI11" i="54"/>
  <c r="BH9" i="54"/>
  <c r="BH24" i="54" s="1"/>
  <c r="AR24" i="54"/>
  <c r="CJ11" i="54"/>
  <c r="CK9" i="54"/>
  <c r="CK8" i="54" s="1"/>
  <c r="CL11" i="54"/>
  <c r="CK26" i="54"/>
  <c r="BV11" i="54"/>
  <c r="BU9" i="54"/>
  <c r="BU8" i="54" s="1"/>
  <c r="BU26" i="54"/>
  <c r="AT11" i="54"/>
  <c r="AS9" i="54"/>
  <c r="AS24" i="54" s="1"/>
  <c r="BJ11" i="54" l="1"/>
  <c r="BI9" i="54"/>
  <c r="BI24" i="54" s="1"/>
  <c r="CM11" i="54"/>
  <c r="CL9" i="54"/>
  <c r="CL8" i="54" s="1"/>
  <c r="BV9" i="54"/>
  <c r="BV8" i="54" s="1"/>
  <c r="BW11" i="54"/>
  <c r="CJ9" i="54"/>
  <c r="CJ8" i="54" s="1"/>
  <c r="CJ26" i="54"/>
  <c r="AU11" i="54"/>
  <c r="AT9" i="54"/>
  <c r="AT24" i="54" s="1"/>
  <c r="AE11" i="54"/>
  <c r="AD9" i="54"/>
  <c r="AD24" i="54" s="1"/>
  <c r="N9" i="54"/>
  <c r="J64" i="24"/>
  <c r="J165" i="24" s="1"/>
  <c r="P170" i="5" s="1"/>
  <c r="N12" i="54"/>
  <c r="N27" i="54" s="1"/>
  <c r="N75" i="54"/>
  <c r="N76" i="54"/>
  <c r="N24" i="54" l="1"/>
  <c r="N8" i="54"/>
  <c r="CN11" i="54"/>
  <c r="CM9" i="54"/>
  <c r="CM8" i="54" s="1"/>
  <c r="BX11" i="54"/>
  <c r="BW9" i="54"/>
  <c r="BW8" i="54" s="1"/>
  <c r="AF11" i="54"/>
  <c r="AE9" i="54"/>
  <c r="AE24" i="54" s="1"/>
  <c r="AV11" i="54"/>
  <c r="AU9" i="54"/>
  <c r="AU24" i="54" s="1"/>
  <c r="BK11" i="54"/>
  <c r="BJ9" i="54"/>
  <c r="BJ24" i="54" s="1"/>
  <c r="O76" i="54"/>
  <c r="K64" i="24"/>
  <c r="K165" i="24" s="1"/>
  <c r="Q170" i="5" s="1"/>
  <c r="O12" i="54"/>
  <c r="O27" i="54" s="1"/>
  <c r="O75" i="54"/>
  <c r="N96" i="54"/>
  <c r="N123" i="54"/>
  <c r="N122" i="54"/>
  <c r="N95" i="54"/>
  <c r="N74" i="54"/>
  <c r="O9" i="54"/>
  <c r="N23" i="54" l="1"/>
  <c r="N19" i="54"/>
  <c r="P49" i="5"/>
  <c r="O24" i="54"/>
  <c r="O8" i="54"/>
  <c r="AW11" i="54"/>
  <c r="AV9" i="54"/>
  <c r="AV24" i="54" s="1"/>
  <c r="BX9" i="54"/>
  <c r="BX8" i="54" s="1"/>
  <c r="BY11" i="54"/>
  <c r="BL11" i="54"/>
  <c r="BK9" i="54"/>
  <c r="BK24" i="54" s="1"/>
  <c r="AG11" i="54"/>
  <c r="AF9" i="54"/>
  <c r="AF24" i="54" s="1"/>
  <c r="CN9" i="54"/>
  <c r="CN8" i="54" s="1"/>
  <c r="CO11" i="54"/>
  <c r="P9" i="54"/>
  <c r="P76" i="54"/>
  <c r="L64" i="24"/>
  <c r="L165" i="24" s="1"/>
  <c r="R170" i="5" s="1"/>
  <c r="P12" i="54"/>
  <c r="P27" i="54" s="1"/>
  <c r="P75" i="54"/>
  <c r="N94" i="54"/>
  <c r="N41" i="54"/>
  <c r="N57" i="54" s="1"/>
  <c r="O122" i="54"/>
  <c r="O95" i="54"/>
  <c r="O74" i="54"/>
  <c r="N121" i="54"/>
  <c r="N142" i="54" s="1"/>
  <c r="O96" i="54"/>
  <c r="O123" i="54"/>
  <c r="P24" i="54" l="1"/>
  <c r="P8" i="54"/>
  <c r="P52" i="5"/>
  <c r="J60" i="8"/>
  <c r="G50" i="53" s="1"/>
  <c r="G52" i="53" s="1"/>
  <c r="I4" i="4"/>
  <c r="X4" i="4" s="1"/>
  <c r="Y4" i="4" s="1"/>
  <c r="H10" i="29"/>
  <c r="P8" i="5"/>
  <c r="J8" i="38"/>
  <c r="Q49" i="5"/>
  <c r="O23" i="54"/>
  <c r="O19" i="54"/>
  <c r="N26" i="54"/>
  <c r="N29" i="54"/>
  <c r="N25" i="54"/>
  <c r="N28" i="54"/>
  <c r="BZ11" i="54"/>
  <c r="BY9" i="54"/>
  <c r="BY8" i="54" s="1"/>
  <c r="AH11" i="54"/>
  <c r="AG9" i="54"/>
  <c r="AG24" i="54" s="1"/>
  <c r="CP11" i="54"/>
  <c r="CO9" i="54"/>
  <c r="CO8" i="54" s="1"/>
  <c r="BM11" i="54"/>
  <c r="BL9" i="54"/>
  <c r="BL24" i="54" s="1"/>
  <c r="AX11" i="54"/>
  <c r="AW9" i="54"/>
  <c r="AW24" i="54" s="1"/>
  <c r="M64" i="24"/>
  <c r="M165" i="24" s="1"/>
  <c r="S170" i="5" s="1"/>
  <c r="Q12" i="54"/>
  <c r="Q27" i="54" s="1"/>
  <c r="Q75" i="54"/>
  <c r="Q76" i="54"/>
  <c r="O94" i="54"/>
  <c r="O41" i="54"/>
  <c r="O57" i="54" s="1"/>
  <c r="Q9" i="54"/>
  <c r="P95" i="54"/>
  <c r="P122" i="54"/>
  <c r="P74" i="54"/>
  <c r="O121" i="54"/>
  <c r="O142" i="54" s="1"/>
  <c r="P123" i="54"/>
  <c r="P96" i="54"/>
  <c r="Q24" i="54" l="1"/>
  <c r="Q8" i="54"/>
  <c r="J14" i="38"/>
  <c r="J11" i="38"/>
  <c r="O26" i="54"/>
  <c r="O29" i="54"/>
  <c r="O25" i="54"/>
  <c r="O28" i="54"/>
  <c r="H13" i="29"/>
  <c r="H14" i="29" s="1"/>
  <c r="H8" i="29"/>
  <c r="H16" i="29" s="1"/>
  <c r="I16" i="29" s="1"/>
  <c r="H9" i="29"/>
  <c r="H17" i="29" s="1"/>
  <c r="I17" i="29" s="1"/>
  <c r="P23" i="54"/>
  <c r="P19" i="54"/>
  <c r="R49" i="5"/>
  <c r="P53" i="5"/>
  <c r="AK12" i="6"/>
  <c r="I6" i="4"/>
  <c r="X6" i="4" s="1"/>
  <c r="Q8" i="5"/>
  <c r="I10" i="29"/>
  <c r="Q52" i="5"/>
  <c r="K8" i="38"/>
  <c r="K60" i="8"/>
  <c r="H50" i="53" s="1"/>
  <c r="H52" i="53" s="1"/>
  <c r="J4" i="4"/>
  <c r="BN11" i="54"/>
  <c r="BM9" i="54"/>
  <c r="BM24" i="54" s="1"/>
  <c r="AI11" i="54"/>
  <c r="AH9" i="54"/>
  <c r="AH24" i="54" s="1"/>
  <c r="AY11" i="54"/>
  <c r="AX9" i="54"/>
  <c r="AX24" i="54" s="1"/>
  <c r="CP9" i="54"/>
  <c r="CP8" i="54" s="1"/>
  <c r="CQ11" i="54"/>
  <c r="CQ9" i="54" s="1"/>
  <c r="CQ8" i="54" s="1"/>
  <c r="CA11" i="54"/>
  <c r="BZ9" i="54"/>
  <c r="BZ8" i="54" s="1"/>
  <c r="N64" i="24"/>
  <c r="N165" i="24" s="1"/>
  <c r="T170" i="5" s="1"/>
  <c r="R12" i="54"/>
  <c r="R27" i="54" s="1"/>
  <c r="R75" i="54"/>
  <c r="R76" i="54"/>
  <c r="P41" i="54"/>
  <c r="P57" i="54" s="1"/>
  <c r="P94" i="54"/>
  <c r="Q95" i="54"/>
  <c r="Q74" i="54"/>
  <c r="Q122" i="54"/>
  <c r="P121" i="54"/>
  <c r="P142" i="54" s="1"/>
  <c r="R9" i="54"/>
  <c r="Q96" i="54"/>
  <c r="Q123" i="54"/>
  <c r="Q53" i="5" l="1"/>
  <c r="J6" i="4"/>
  <c r="P25" i="54"/>
  <c r="P29" i="54"/>
  <c r="P28" i="54"/>
  <c r="P26" i="54"/>
  <c r="I9" i="29"/>
  <c r="I13" i="29"/>
  <c r="I14" i="29" s="1"/>
  <c r="I8" i="29"/>
  <c r="R52" i="5"/>
  <c r="R8" i="5"/>
  <c r="L8" i="38"/>
  <c r="L60" i="8"/>
  <c r="I50" i="53" s="1"/>
  <c r="I52" i="53" s="1"/>
  <c r="J10" i="29"/>
  <c r="K4" i="4"/>
  <c r="Q23" i="54"/>
  <c r="S49" i="5"/>
  <c r="Q19" i="54"/>
  <c r="R24" i="54"/>
  <c r="R8" i="54"/>
  <c r="K11" i="38"/>
  <c r="K14" i="38"/>
  <c r="X8" i="4"/>
  <c r="X9" i="4"/>
  <c r="Y6" i="4"/>
  <c r="AJ11" i="54"/>
  <c r="AI9" i="54"/>
  <c r="AI24" i="54" s="1"/>
  <c r="CB11" i="54"/>
  <c r="CB9" i="54" s="1"/>
  <c r="CB8" i="54" s="1"/>
  <c r="CA9" i="54"/>
  <c r="CA8" i="54" s="1"/>
  <c r="AZ11" i="54"/>
  <c r="AY9" i="54"/>
  <c r="AY24" i="54" s="1"/>
  <c r="BO11" i="54"/>
  <c r="BN9" i="54"/>
  <c r="BN24" i="54" s="1"/>
  <c r="O64" i="24"/>
  <c r="O165" i="24" s="1"/>
  <c r="U170" i="5" s="1"/>
  <c r="S12" i="54"/>
  <c r="S27" i="54" s="1"/>
  <c r="S75" i="54"/>
  <c r="R96" i="54"/>
  <c r="R123" i="54"/>
  <c r="R74" i="54"/>
  <c r="R122" i="54"/>
  <c r="R95" i="54"/>
  <c r="S9" i="54"/>
  <c r="Q121" i="54"/>
  <c r="Q142" i="54" s="1"/>
  <c r="Q94" i="54"/>
  <c r="Q41" i="54"/>
  <c r="Q57" i="54" s="1"/>
  <c r="S76" i="54"/>
  <c r="R121" i="54" l="1"/>
  <c r="R142" i="54" s="1"/>
  <c r="X10" i="4"/>
  <c r="R19" i="54"/>
  <c r="T49" i="5"/>
  <c r="R23" i="54"/>
  <c r="Q25" i="54"/>
  <c r="Q28" i="54"/>
  <c r="Q29" i="54"/>
  <c r="Q26" i="54"/>
  <c r="L11" i="38"/>
  <c r="L14" i="38"/>
  <c r="S24" i="54"/>
  <c r="S8" i="54"/>
  <c r="J9" i="29"/>
  <c r="J29" i="29" s="1"/>
  <c r="J55" i="29" s="1"/>
  <c r="J13" i="29"/>
  <c r="J14" i="29" s="1"/>
  <c r="J8" i="29"/>
  <c r="J28" i="29" s="1"/>
  <c r="K6" i="4"/>
  <c r="R53" i="5"/>
  <c r="S52" i="5"/>
  <c r="S8" i="5"/>
  <c r="M60" i="8"/>
  <c r="J50" i="53" s="1"/>
  <c r="J52" i="53" s="1"/>
  <c r="L4" i="4"/>
  <c r="M8" i="38"/>
  <c r="K10" i="29"/>
  <c r="BA11" i="54"/>
  <c r="AZ9" i="54"/>
  <c r="AZ24" i="54" s="1"/>
  <c r="BP11" i="54"/>
  <c r="BO9" i="54"/>
  <c r="BO24" i="54" s="1"/>
  <c r="AK11" i="54"/>
  <c r="AJ9" i="54"/>
  <c r="AJ24" i="54" s="1"/>
  <c r="T76" i="54"/>
  <c r="U96" i="54" s="1"/>
  <c r="P64" i="24"/>
  <c r="P165" i="24" s="1"/>
  <c r="V170" i="5" s="1"/>
  <c r="T75" i="54"/>
  <c r="U95" i="54" s="1"/>
  <c r="T12" i="54"/>
  <c r="T27" i="54" s="1"/>
  <c r="R94" i="54"/>
  <c r="R41" i="54"/>
  <c r="R57" i="54" s="1"/>
  <c r="S122" i="54"/>
  <c r="S74" i="54"/>
  <c r="S95" i="54"/>
  <c r="S96" i="54"/>
  <c r="S123" i="54"/>
  <c r="T9" i="54"/>
  <c r="J230" i="29"/>
  <c r="J229" i="29"/>
  <c r="J181" i="50"/>
  <c r="P200" i="5" s="1"/>
  <c r="J175" i="50"/>
  <c r="P194" i="5" s="1"/>
  <c r="J179" i="50"/>
  <c r="P198" i="5" s="1"/>
  <c r="J183" i="50"/>
  <c r="P202" i="5" s="1"/>
  <c r="J180" i="50"/>
  <c r="P199" i="5" s="1"/>
  <c r="J184" i="50"/>
  <c r="P203" i="5" s="1"/>
  <c r="J190" i="50"/>
  <c r="P209" i="5" s="1"/>
  <c r="J173" i="50"/>
  <c r="I198" i="29"/>
  <c r="I201" i="29" s="1"/>
  <c r="J219" i="50"/>
  <c r="J179" i="24"/>
  <c r="AK15" i="6" s="1"/>
  <c r="J44" i="29"/>
  <c r="J213" i="50"/>
  <c r="J203" i="50"/>
  <c r="J206" i="50"/>
  <c r="J204" i="50"/>
  <c r="J207" i="50"/>
  <c r="J202" i="50"/>
  <c r="J198" i="50"/>
  <c r="J196" i="50"/>
  <c r="K179" i="24"/>
  <c r="AN15" i="6" s="1"/>
  <c r="S19" i="54" l="1"/>
  <c r="S23" i="54"/>
  <c r="U49" i="5"/>
  <c r="R28" i="54"/>
  <c r="R26" i="54"/>
  <c r="R29" i="54"/>
  <c r="R25" i="54"/>
  <c r="K9" i="29"/>
  <c r="K29" i="29" s="1"/>
  <c r="K55" i="29" s="1"/>
  <c r="K13" i="29"/>
  <c r="K14" i="29" s="1"/>
  <c r="K8" i="29"/>
  <c r="K28" i="29" s="1"/>
  <c r="J50" i="29"/>
  <c r="J30" i="29"/>
  <c r="J34" i="29" s="1"/>
  <c r="L10" i="29"/>
  <c r="N60" i="8"/>
  <c r="K50" i="53" s="1"/>
  <c r="K52" i="53" s="1"/>
  <c r="T52" i="5"/>
  <c r="T8" i="5"/>
  <c r="N8" i="38"/>
  <c r="M4" i="4"/>
  <c r="M14" i="38"/>
  <c r="M11" i="38"/>
  <c r="L6" i="4"/>
  <c r="AN12" i="6"/>
  <c r="S53" i="5"/>
  <c r="T24" i="54"/>
  <c r="T8" i="54"/>
  <c r="BQ11" i="54"/>
  <c r="BQ9" i="54" s="1"/>
  <c r="BQ24" i="54" s="1"/>
  <c r="BP9" i="54"/>
  <c r="BP24" i="54" s="1"/>
  <c r="AL11" i="54"/>
  <c r="AK9" i="54"/>
  <c r="AK24" i="54" s="1"/>
  <c r="BB11" i="54"/>
  <c r="BB9" i="54" s="1"/>
  <c r="BB24" i="54" s="1"/>
  <c r="BA9" i="54"/>
  <c r="BA24" i="54" s="1"/>
  <c r="U12" i="54"/>
  <c r="S41" i="54"/>
  <c r="S57" i="54" s="1"/>
  <c r="S94" i="54"/>
  <c r="U9" i="54"/>
  <c r="U38" i="54" s="1"/>
  <c r="S121" i="54"/>
  <c r="S142" i="54" s="1"/>
  <c r="T95" i="54"/>
  <c r="T74" i="54"/>
  <c r="U94" i="54" s="1"/>
  <c r="T122" i="54"/>
  <c r="T123" i="54"/>
  <c r="T96" i="54"/>
  <c r="AN10" i="6"/>
  <c r="AO37" i="6"/>
  <c r="AO29" i="6"/>
  <c r="AO36" i="6"/>
  <c r="AO28" i="6"/>
  <c r="AO35" i="6"/>
  <c r="AO34" i="6"/>
  <c r="AL37" i="6"/>
  <c r="AL39" i="6"/>
  <c r="AL43" i="6"/>
  <c r="AL36" i="6"/>
  <c r="AL29" i="6"/>
  <c r="AL40" i="6"/>
  <c r="AL44" i="6"/>
  <c r="AL34" i="6"/>
  <c r="AL35" i="6"/>
  <c r="AL28" i="6"/>
  <c r="AL41" i="6"/>
  <c r="AL45" i="6"/>
  <c r="AL42" i="6"/>
  <c r="J210" i="29"/>
  <c r="J209" i="29"/>
  <c r="K229" i="29"/>
  <c r="K230" i="29"/>
  <c r="J181" i="29"/>
  <c r="J180" i="29"/>
  <c r="J171" i="29"/>
  <c r="J175" i="29" s="1"/>
  <c r="J172" i="29"/>
  <c r="AN40" i="6"/>
  <c r="AO40" i="6" s="1"/>
  <c r="AN41" i="6"/>
  <c r="AO41" i="6" s="1"/>
  <c r="AN42" i="6"/>
  <c r="AO42" i="6" s="1"/>
  <c r="AN43" i="6"/>
  <c r="AO43" i="6" s="1"/>
  <c r="AN39" i="6"/>
  <c r="AN45" i="6"/>
  <c r="AO45" i="6" s="1"/>
  <c r="AN44" i="6"/>
  <c r="AO44" i="6" s="1"/>
  <c r="K44" i="29"/>
  <c r="J215" i="50"/>
  <c r="L179" i="24"/>
  <c r="I200" i="29"/>
  <c r="J192" i="50"/>
  <c r="P192" i="5"/>
  <c r="J86" i="38"/>
  <c r="P251" i="5"/>
  <c r="J112" i="38" s="1"/>
  <c r="Q30" i="9"/>
  <c r="J82" i="38"/>
  <c r="L196" i="29"/>
  <c r="J83" i="38"/>
  <c r="Q29" i="9"/>
  <c r="J198" i="29"/>
  <c r="J201" i="29" s="1"/>
  <c r="Q31" i="9"/>
  <c r="J84" i="38"/>
  <c r="U27" i="54" l="1"/>
  <c r="U41" i="54"/>
  <c r="U24" i="54"/>
  <c r="U8" i="54"/>
  <c r="U37" i="54" s="1"/>
  <c r="T53" i="5"/>
  <c r="M6" i="4"/>
  <c r="J306" i="29"/>
  <c r="J56" i="29"/>
  <c r="J75" i="29" s="1"/>
  <c r="J57" i="29"/>
  <c r="U52" i="5"/>
  <c r="O60" i="8"/>
  <c r="L50" i="53" s="1"/>
  <c r="U8" i="5"/>
  <c r="M10" i="29"/>
  <c r="N4" i="4"/>
  <c r="O8" i="38"/>
  <c r="K30" i="29"/>
  <c r="K34" i="29" s="1"/>
  <c r="K50" i="29"/>
  <c r="S29" i="54"/>
  <c r="S28" i="54"/>
  <c r="S26" i="54"/>
  <c r="S25" i="54"/>
  <c r="V49" i="5"/>
  <c r="T23" i="54"/>
  <c r="T19" i="54"/>
  <c r="N14" i="38"/>
  <c r="N11" i="38"/>
  <c r="L13" i="29"/>
  <c r="L14" i="29" s="1"/>
  <c r="L8" i="29"/>
  <c r="L28" i="29" s="1"/>
  <c r="L9" i="29"/>
  <c r="L29" i="29" s="1"/>
  <c r="L55" i="29" s="1"/>
  <c r="AM11" i="54"/>
  <c r="AM9" i="54" s="1"/>
  <c r="AM24" i="54" s="1"/>
  <c r="AL9" i="54"/>
  <c r="AL24" i="54" s="1"/>
  <c r="T121" i="54"/>
  <c r="T142" i="54" s="1"/>
  <c r="T94" i="54"/>
  <c r="T41" i="54"/>
  <c r="T57" i="54" s="1"/>
  <c r="V9" i="54"/>
  <c r="V38" i="54" s="1"/>
  <c r="V54" i="54" s="1"/>
  <c r="V12" i="54"/>
  <c r="K210" i="29"/>
  <c r="K209" i="29"/>
  <c r="L229" i="29"/>
  <c r="L230" i="29"/>
  <c r="J176" i="29"/>
  <c r="J189" i="29"/>
  <c r="K172" i="29"/>
  <c r="K181" i="29"/>
  <c r="K180" i="29"/>
  <c r="K171" i="29"/>
  <c r="J200" i="29"/>
  <c r="F19" i="39"/>
  <c r="AY37" i="6"/>
  <c r="P210" i="5"/>
  <c r="Q33" i="9"/>
  <c r="F20" i="39" s="1"/>
  <c r="J80" i="38"/>
  <c r="L44" i="29"/>
  <c r="K198" i="29"/>
  <c r="K201" i="29" s="1"/>
  <c r="AO39" i="6"/>
  <c r="F18" i="39"/>
  <c r="M196" i="29"/>
  <c r="M179" i="24"/>
  <c r="U57" i="54" l="1"/>
  <c r="V27" i="54"/>
  <c r="V41" i="54"/>
  <c r="V57" i="54" s="1"/>
  <c r="O11" i="38"/>
  <c r="O14" i="38"/>
  <c r="O4" i="4"/>
  <c r="V8" i="5"/>
  <c r="N10" i="29"/>
  <c r="P8" i="38"/>
  <c r="V52" i="5"/>
  <c r="P60" i="8"/>
  <c r="M50" i="53" s="1"/>
  <c r="M52" i="53" s="1"/>
  <c r="U53" i="5"/>
  <c r="N6" i="4"/>
  <c r="M13" i="29"/>
  <c r="M14" i="29" s="1"/>
  <c r="M9" i="29"/>
  <c r="M29" i="29" s="1"/>
  <c r="M55" i="29" s="1"/>
  <c r="M8" i="29"/>
  <c r="M28" i="29" s="1"/>
  <c r="J196" i="29"/>
  <c r="J76" i="29"/>
  <c r="K306" i="29"/>
  <c r="K57" i="29"/>
  <c r="K56" i="29"/>
  <c r="K75" i="29" s="1"/>
  <c r="L50" i="29"/>
  <c r="L306" i="29" s="1"/>
  <c r="L30" i="29"/>
  <c r="L34" i="29" s="1"/>
  <c r="BI15" i="6"/>
  <c r="R61" i="5"/>
  <c r="L220" i="50"/>
  <c r="L180" i="24"/>
  <c r="U19" i="54"/>
  <c r="U23" i="54"/>
  <c r="V24" i="54"/>
  <c r="V8" i="54"/>
  <c r="V37" i="54" s="1"/>
  <c r="V53" i="54" s="1"/>
  <c r="T25" i="54"/>
  <c r="T29" i="54"/>
  <c r="T28" i="54"/>
  <c r="T26" i="54"/>
  <c r="L52" i="53"/>
  <c r="J310" i="29"/>
  <c r="J313" i="29" s="1"/>
  <c r="X9" i="54"/>
  <c r="X38" i="54" s="1"/>
  <c r="W9" i="54"/>
  <c r="W38" i="54" s="1"/>
  <c r="W54" i="54" s="1"/>
  <c r="X12" i="54"/>
  <c r="X41" i="54" s="1"/>
  <c r="W12" i="54"/>
  <c r="L209" i="29"/>
  <c r="L210" i="29"/>
  <c r="K175" i="29"/>
  <c r="M229" i="29"/>
  <c r="M230" i="29"/>
  <c r="L171" i="29"/>
  <c r="L175" i="29" s="1"/>
  <c r="L172" i="29"/>
  <c r="L181" i="29"/>
  <c r="L180" i="29"/>
  <c r="K176" i="29"/>
  <c r="K189" i="29"/>
  <c r="F23" i="39"/>
  <c r="U7" i="39" s="1"/>
  <c r="U65" i="39" s="1"/>
  <c r="Q37" i="9"/>
  <c r="J17" i="8" s="1"/>
  <c r="J112" i="8" s="1"/>
  <c r="L198" i="29"/>
  <c r="L201" i="29" s="1"/>
  <c r="J87" i="38"/>
  <c r="J89" i="38" s="1"/>
  <c r="J110" i="38" s="1"/>
  <c r="P261" i="5"/>
  <c r="P211" i="5"/>
  <c r="D8" i="52"/>
  <c r="D9" i="52" s="1"/>
  <c r="M44" i="29"/>
  <c r="K200" i="29"/>
  <c r="N179" i="24"/>
  <c r="X54" i="54" l="1"/>
  <c r="W27" i="54"/>
  <c r="W41" i="54"/>
  <c r="W57" i="54" s="1"/>
  <c r="N52" i="53"/>
  <c r="N50" i="53"/>
  <c r="L310" i="29"/>
  <c r="L313" i="29" s="1"/>
  <c r="W24" i="54"/>
  <c r="W8" i="54"/>
  <c r="W37" i="54" s="1"/>
  <c r="W53" i="54" s="1"/>
  <c r="U28" i="54"/>
  <c r="U26" i="54"/>
  <c r="U25" i="54"/>
  <c r="U29" i="54"/>
  <c r="BH30" i="6"/>
  <c r="BM15" i="6"/>
  <c r="M220" i="50"/>
  <c r="S61" i="5"/>
  <c r="M180" i="24"/>
  <c r="BG15" i="6"/>
  <c r="J77" i="29"/>
  <c r="J35" i="29" s="1"/>
  <c r="V53" i="5"/>
  <c r="O6" i="4"/>
  <c r="Q4" i="4"/>
  <c r="Z4" i="4"/>
  <c r="AA4" i="4" s="1"/>
  <c r="X8" i="54"/>
  <c r="X37" i="54" s="1"/>
  <c r="X53" i="54" s="1"/>
  <c r="J312" i="29"/>
  <c r="V23" i="54"/>
  <c r="V19" i="54"/>
  <c r="K196" i="29"/>
  <c r="K76" i="29"/>
  <c r="P14" i="38"/>
  <c r="P11" i="38"/>
  <c r="L57" i="29"/>
  <c r="L76" i="29" s="1"/>
  <c r="L56" i="29"/>
  <c r="L75" i="29" s="1"/>
  <c r="K310" i="29"/>
  <c r="K313" i="29" s="1"/>
  <c r="M50" i="29"/>
  <c r="M30" i="29"/>
  <c r="M34" i="29" s="1"/>
  <c r="N13" i="29"/>
  <c r="N14" i="29" s="1"/>
  <c r="N9" i="29"/>
  <c r="N29" i="29" s="1"/>
  <c r="N55" i="29" s="1"/>
  <c r="N8" i="29"/>
  <c r="N28" i="29" s="1"/>
  <c r="X27" i="54"/>
  <c r="X24" i="54"/>
  <c r="M209" i="29"/>
  <c r="M210" i="29"/>
  <c r="L176" i="29"/>
  <c r="L189" i="29"/>
  <c r="N229" i="29"/>
  <c r="N230" i="29"/>
  <c r="M171" i="29"/>
  <c r="M175" i="29" s="1"/>
  <c r="M172" i="29"/>
  <c r="M181" i="29"/>
  <c r="M180" i="29"/>
  <c r="J149" i="8"/>
  <c r="J193" i="8"/>
  <c r="J230" i="8"/>
  <c r="J72" i="8"/>
  <c r="L200" i="29"/>
  <c r="N44" i="29"/>
  <c r="M198" i="29"/>
  <c r="M201" i="29" s="1"/>
  <c r="O179" i="24"/>
  <c r="X57" i="54" l="1"/>
  <c r="L312" i="29"/>
  <c r="K312" i="29"/>
  <c r="W23" i="54"/>
  <c r="W19" i="54"/>
  <c r="V29" i="54"/>
  <c r="V25" i="54"/>
  <c r="V26" i="54"/>
  <c r="V28" i="54"/>
  <c r="BG78" i="6"/>
  <c r="BG79" i="6" s="1"/>
  <c r="BM8" i="6"/>
  <c r="BL30" i="6"/>
  <c r="BK19" i="6"/>
  <c r="BQ15" i="6"/>
  <c r="N180" i="24"/>
  <c r="N220" i="50"/>
  <c r="T61" i="5"/>
  <c r="BK15" i="6"/>
  <c r="K77" i="29"/>
  <c r="K35" i="29" s="1"/>
  <c r="Q6" i="4"/>
  <c r="Z6" i="4"/>
  <c r="BH15" i="6"/>
  <c r="BH28" i="6" s="1"/>
  <c r="N50" i="29"/>
  <c r="N306" i="29" s="1"/>
  <c r="N30" i="29"/>
  <c r="N34" i="29" s="1"/>
  <c r="M306" i="29"/>
  <c r="M56" i="29"/>
  <c r="M75" i="29" s="1"/>
  <c r="M57" i="29"/>
  <c r="M76" i="29" s="1"/>
  <c r="BO15" i="6"/>
  <c r="L77" i="29"/>
  <c r="L35" i="29" s="1"/>
  <c r="X23" i="54"/>
  <c r="X19" i="54"/>
  <c r="N210" i="29"/>
  <c r="N209" i="29"/>
  <c r="M176" i="29"/>
  <c r="M189" i="29"/>
  <c r="N181" i="29"/>
  <c r="N171" i="29"/>
  <c r="N175" i="29" s="1"/>
  <c r="N172" i="29"/>
  <c r="N180" i="29"/>
  <c r="N198" i="29"/>
  <c r="N201" i="29" s="1"/>
  <c r="P179" i="24"/>
  <c r="M200" i="29"/>
  <c r="BO78" i="6" l="1"/>
  <c r="BO79" i="6" s="1"/>
  <c r="BS15" i="6"/>
  <c r="M77" i="29"/>
  <c r="M35" i="29" s="1"/>
  <c r="N56" i="29"/>
  <c r="N75" i="29" s="1"/>
  <c r="N57" i="29"/>
  <c r="BG50" i="6"/>
  <c r="X25" i="54"/>
  <c r="X29" i="54"/>
  <c r="X28" i="54"/>
  <c r="X26" i="54"/>
  <c r="BK78" i="6"/>
  <c r="BK79" i="6" s="1"/>
  <c r="BO19" i="6"/>
  <c r="BQ8" i="6"/>
  <c r="BP30" i="6"/>
  <c r="BP15" i="6"/>
  <c r="BO50" i="6" s="1"/>
  <c r="BG49" i="6"/>
  <c r="W26" i="54"/>
  <c r="W28" i="54"/>
  <c r="W29" i="54"/>
  <c r="W25" i="54"/>
  <c r="BU15" i="6"/>
  <c r="O220" i="50"/>
  <c r="U61" i="5"/>
  <c r="O180" i="24"/>
  <c r="M310" i="29"/>
  <c r="M313" i="29" s="1"/>
  <c r="Z8" i="4"/>
  <c r="Z9" i="4"/>
  <c r="AA6" i="4"/>
  <c r="BL15" i="6"/>
  <c r="BM16" i="6" s="1"/>
  <c r="BG48" i="6"/>
  <c r="BI16" i="6"/>
  <c r="BG47" i="6"/>
  <c r="N310" i="29"/>
  <c r="N313" i="29" s="1"/>
  <c r="N176" i="29"/>
  <c r="N189" i="29"/>
  <c r="N200" i="29"/>
  <c r="N312" i="29" l="1"/>
  <c r="BI48" i="6"/>
  <c r="BL28" i="6"/>
  <c r="BI47" i="6"/>
  <c r="BK49" i="6"/>
  <c r="BM49" i="6" s="1"/>
  <c r="BK47" i="6"/>
  <c r="BM47" i="6" s="1"/>
  <c r="BI50" i="6"/>
  <c r="BM42" i="6"/>
  <c r="BL42" i="6" s="1"/>
  <c r="BM41" i="6"/>
  <c r="BL41" i="6" s="1"/>
  <c r="BM36" i="6"/>
  <c r="BL36" i="6" s="1"/>
  <c r="BM45" i="6"/>
  <c r="BL45" i="6" s="1"/>
  <c r="BM29" i="6"/>
  <c r="BM35" i="6"/>
  <c r="BM44" i="6"/>
  <c r="BL44" i="6" s="1"/>
  <c r="BM40" i="6"/>
  <c r="BL40" i="6" s="1"/>
  <c r="BM43" i="6"/>
  <c r="BL43" i="6" s="1"/>
  <c r="BM34" i="6"/>
  <c r="M312" i="29"/>
  <c r="BK48" i="6"/>
  <c r="BM48" i="6" s="1"/>
  <c r="BO47" i="6"/>
  <c r="BS78" i="6"/>
  <c r="BS79" i="6" s="1"/>
  <c r="BO48" i="6"/>
  <c r="BT30" i="6"/>
  <c r="BS19" i="6"/>
  <c r="BU8" i="6"/>
  <c r="BT15" i="6"/>
  <c r="BS47" i="6" s="1"/>
  <c r="BI29" i="6"/>
  <c r="BI40" i="6"/>
  <c r="BH40" i="6" s="1"/>
  <c r="BI41" i="6"/>
  <c r="BH41" i="6" s="1"/>
  <c r="BI44" i="6"/>
  <c r="BH44" i="6" s="1"/>
  <c r="BI36" i="6"/>
  <c r="BH36" i="6" s="1"/>
  <c r="BI42" i="6"/>
  <c r="BH42" i="6" s="1"/>
  <c r="BI45" i="6"/>
  <c r="BH45" i="6" s="1"/>
  <c r="BI34" i="6"/>
  <c r="BI43" i="6"/>
  <c r="BH43" i="6" s="1"/>
  <c r="BI35" i="6"/>
  <c r="Z10" i="4"/>
  <c r="BI49" i="6"/>
  <c r="BK50" i="6"/>
  <c r="BM50" i="6" s="1"/>
  <c r="N196" i="29"/>
  <c r="N76" i="29"/>
  <c r="BQ16" i="6"/>
  <c r="BO49" i="6"/>
  <c r="BY15" i="6"/>
  <c r="P220" i="50"/>
  <c r="P180" i="24"/>
  <c r="V61" i="5"/>
  <c r="BP28" i="6"/>
  <c r="BQ43" i="6" l="1"/>
  <c r="BP43" i="6" s="1"/>
  <c r="BQ45" i="6"/>
  <c r="BP45" i="6" s="1"/>
  <c r="BQ41" i="6"/>
  <c r="BP41" i="6" s="1"/>
  <c r="BQ34" i="6"/>
  <c r="BQ44" i="6"/>
  <c r="BP44" i="6" s="1"/>
  <c r="BQ36" i="6"/>
  <c r="BP36" i="6" s="1"/>
  <c r="BQ42" i="6"/>
  <c r="BP42" i="6" s="1"/>
  <c r="BQ40" i="6"/>
  <c r="BP40" i="6" s="1"/>
  <c r="BQ35" i="6"/>
  <c r="BQ29" i="6"/>
  <c r="BH34" i="6"/>
  <c r="BI37" i="6"/>
  <c r="BH37" i="6" s="1"/>
  <c r="BQ48" i="6"/>
  <c r="BW15" i="6"/>
  <c r="N77" i="29"/>
  <c r="N35" i="29" s="1"/>
  <c r="BU16" i="6"/>
  <c r="BU47" i="6" s="1"/>
  <c r="BT28" i="6"/>
  <c r="M135" i="24"/>
  <c r="M154" i="24" s="1"/>
  <c r="S160" i="5" s="1"/>
  <c r="K331" i="29"/>
  <c r="BL35" i="6"/>
  <c r="BX30" i="6"/>
  <c r="BY8" i="6"/>
  <c r="BW19" i="6"/>
  <c r="BX15" i="6"/>
  <c r="BX28" i="6" s="1"/>
  <c r="BH35" i="6"/>
  <c r="J331" i="29"/>
  <c r="L135" i="24"/>
  <c r="L154" i="24" s="1"/>
  <c r="R160" i="5" s="1"/>
  <c r="BS48" i="6"/>
  <c r="BU48" i="6" s="1"/>
  <c r="BL34" i="6"/>
  <c r="BM37" i="6"/>
  <c r="BL37" i="6" s="1"/>
  <c r="BQ49" i="6"/>
  <c r="BH29" i="6"/>
  <c r="J273" i="29"/>
  <c r="BS49" i="6"/>
  <c r="BQ47" i="6"/>
  <c r="K273" i="29"/>
  <c r="BL29" i="6"/>
  <c r="BS50" i="6"/>
  <c r="BQ50" i="6"/>
  <c r="BU50" i="6" l="1"/>
  <c r="BU49" i="6"/>
  <c r="J272" i="29"/>
  <c r="J268" i="29"/>
  <c r="J271" i="29"/>
  <c r="J267" i="29"/>
  <c r="J269" i="29"/>
  <c r="J270" i="29"/>
  <c r="L331" i="29"/>
  <c r="BP35" i="6"/>
  <c r="N135" i="24"/>
  <c r="N154" i="24" s="1"/>
  <c r="T160" i="5" s="1"/>
  <c r="K269" i="29"/>
  <c r="K270" i="29"/>
  <c r="K271" i="29"/>
  <c r="K272" i="29"/>
  <c r="K267" i="29"/>
  <c r="K268" i="29"/>
  <c r="BU29" i="6"/>
  <c r="BU41" i="6"/>
  <c r="BT41" i="6" s="1"/>
  <c r="BU45" i="6"/>
  <c r="BT45" i="6" s="1"/>
  <c r="BU44" i="6"/>
  <c r="BT44" i="6" s="1"/>
  <c r="BU43" i="6"/>
  <c r="BT43" i="6" s="1"/>
  <c r="BU36" i="6"/>
  <c r="BT36" i="6" s="1"/>
  <c r="BU40" i="6"/>
  <c r="BT40" i="6" s="1"/>
  <c r="BU42" i="6"/>
  <c r="BT42" i="6" s="1"/>
  <c r="BU34" i="6"/>
  <c r="BU35" i="6"/>
  <c r="BP34" i="6"/>
  <c r="BQ37" i="6"/>
  <c r="BP37" i="6" s="1"/>
  <c r="L103" i="38"/>
  <c r="S16" i="9"/>
  <c r="H10" i="39" s="1"/>
  <c r="K328" i="29"/>
  <c r="K326" i="29"/>
  <c r="K325" i="29"/>
  <c r="K330" i="29"/>
  <c r="K329" i="29"/>
  <c r="K327" i="29"/>
  <c r="M103" i="38"/>
  <c r="T16" i="9"/>
  <c r="I10" i="39" s="1"/>
  <c r="BW78" i="6"/>
  <c r="BW79" i="6" s="1"/>
  <c r="BY16" i="6"/>
  <c r="BW50" i="6"/>
  <c r="BW48" i="6"/>
  <c r="BY48" i="6" s="1"/>
  <c r="BW47" i="6"/>
  <c r="BW49" i="6"/>
  <c r="BP29" i="6"/>
  <c r="L273" i="29"/>
  <c r="J326" i="29"/>
  <c r="J330" i="29"/>
  <c r="J327" i="29"/>
  <c r="J325" i="29"/>
  <c r="J328" i="29"/>
  <c r="J329" i="29"/>
  <c r="M92" i="54"/>
  <c r="M93" i="54"/>
  <c r="M91" i="54"/>
  <c r="M38" i="54"/>
  <c r="M54" i="54" s="1"/>
  <c r="M40" i="54"/>
  <c r="M39" i="54"/>
  <c r="BI82" i="6" l="1"/>
  <c r="BM83" i="6"/>
  <c r="BI83" i="6"/>
  <c r="BI84" i="6" s="1"/>
  <c r="L137" i="24" s="1"/>
  <c r="BM84" i="6"/>
  <c r="M137" i="24" s="1"/>
  <c r="BY49" i="6"/>
  <c r="J135" i="29"/>
  <c r="L268" i="29"/>
  <c r="L271" i="29"/>
  <c r="L267" i="29"/>
  <c r="L269" i="29"/>
  <c r="L272" i="29"/>
  <c r="L270" i="29"/>
  <c r="BT35" i="6"/>
  <c r="O135" i="24"/>
  <c r="O154" i="24" s="1"/>
  <c r="U160" i="5" s="1"/>
  <c r="M331" i="29"/>
  <c r="BY50" i="6"/>
  <c r="K135" i="29"/>
  <c r="BT34" i="6"/>
  <c r="BU37" i="6"/>
  <c r="BT37" i="6" s="1"/>
  <c r="BT29" i="6"/>
  <c r="M273" i="29"/>
  <c r="L326" i="29"/>
  <c r="L330" i="29"/>
  <c r="L325" i="29"/>
  <c r="L328" i="29"/>
  <c r="L329" i="29"/>
  <c r="L327" i="29"/>
  <c r="BY36" i="6"/>
  <c r="BX36" i="6" s="1"/>
  <c r="BY42" i="6"/>
  <c r="BX42" i="6" s="1"/>
  <c r="BY45" i="6"/>
  <c r="BX45" i="6" s="1"/>
  <c r="BY35" i="6"/>
  <c r="BY34" i="6"/>
  <c r="BY44" i="6"/>
  <c r="BX44" i="6" s="1"/>
  <c r="BY41" i="6"/>
  <c r="BX41" i="6" s="1"/>
  <c r="BY43" i="6"/>
  <c r="BX43" i="6" s="1"/>
  <c r="BY29" i="6"/>
  <c r="BY40" i="6"/>
  <c r="BX40" i="6" s="1"/>
  <c r="J140" i="29"/>
  <c r="BY47" i="6"/>
  <c r="K140" i="29"/>
  <c r="U16" i="9"/>
  <c r="J10" i="39" s="1"/>
  <c r="N103" i="38"/>
  <c r="N40" i="54"/>
  <c r="O40" i="54" s="1"/>
  <c r="M56" i="54"/>
  <c r="N39" i="54"/>
  <c r="N72" i="54" s="1"/>
  <c r="M55" i="54"/>
  <c r="N73" i="54"/>
  <c r="N93" i="54" s="1"/>
  <c r="BQ83" i="6" l="1"/>
  <c r="BQ82" i="6"/>
  <c r="BQ84" i="6" s="1"/>
  <c r="N137" i="24" s="1"/>
  <c r="L156" i="24"/>
  <c r="R162" i="5" s="1"/>
  <c r="M156" i="24"/>
  <c r="S162" i="5" s="1"/>
  <c r="V16" i="9"/>
  <c r="K10" i="39" s="1"/>
  <c r="O103" i="38"/>
  <c r="L140" i="29"/>
  <c r="M272" i="29"/>
  <c r="M271" i="29"/>
  <c r="M270" i="29"/>
  <c r="M269" i="29"/>
  <c r="M268" i="29"/>
  <c r="M267" i="29"/>
  <c r="BX29" i="6"/>
  <c r="N273" i="29"/>
  <c r="BX34" i="6"/>
  <c r="BY37" i="6"/>
  <c r="BX37" i="6" s="1"/>
  <c r="L135" i="29"/>
  <c r="P135" i="24"/>
  <c r="P154" i="24" s="1"/>
  <c r="V160" i="5" s="1"/>
  <c r="BX35" i="6"/>
  <c r="N331" i="29"/>
  <c r="M330" i="29"/>
  <c r="M327" i="29"/>
  <c r="M325" i="29"/>
  <c r="M326" i="29"/>
  <c r="M329" i="29"/>
  <c r="M328" i="29"/>
  <c r="O39" i="54"/>
  <c r="P39" i="54" s="1"/>
  <c r="O73" i="54"/>
  <c r="O93" i="54" s="1"/>
  <c r="P40" i="54"/>
  <c r="N92" i="54"/>
  <c r="N71" i="54"/>
  <c r="BU83" i="6" l="1"/>
  <c r="N156" i="24"/>
  <c r="T162" i="5" s="1"/>
  <c r="BU82" i="6"/>
  <c r="BU84" i="6" s="1"/>
  <c r="O137" i="24" s="1"/>
  <c r="M140" i="29"/>
  <c r="N327" i="29"/>
  <c r="N325" i="29"/>
  <c r="N328" i="29"/>
  <c r="N330" i="29"/>
  <c r="N326" i="29"/>
  <c r="N329" i="29"/>
  <c r="M135" i="29"/>
  <c r="P103" i="38"/>
  <c r="W16" i="9"/>
  <c r="L10" i="39" s="1"/>
  <c r="N269" i="29"/>
  <c r="N268" i="29"/>
  <c r="N271" i="29"/>
  <c r="N272" i="29"/>
  <c r="N267" i="29"/>
  <c r="N270" i="29"/>
  <c r="O72" i="54"/>
  <c r="O92" i="54" s="1"/>
  <c r="P72" i="54"/>
  <c r="Q39" i="54"/>
  <c r="N38" i="54"/>
  <c r="N54" i="54" s="1"/>
  <c r="N91" i="54"/>
  <c r="N118" i="54"/>
  <c r="N117" i="54" s="1"/>
  <c r="N70" i="54"/>
  <c r="P73" i="54"/>
  <c r="P93" i="54" s="1"/>
  <c r="Q40" i="54"/>
  <c r="O156" i="24" l="1"/>
  <c r="U162" i="5" s="1"/>
  <c r="BY82" i="6"/>
  <c r="BY83" i="6"/>
  <c r="N135" i="29"/>
  <c r="N140" i="29"/>
  <c r="O71" i="54"/>
  <c r="O118" i="54" s="1"/>
  <c r="O117" i="54" s="1"/>
  <c r="N135" i="54"/>
  <c r="P39" i="5"/>
  <c r="N138" i="54"/>
  <c r="N126" i="54"/>
  <c r="N147" i="54" s="1"/>
  <c r="N87" i="54"/>
  <c r="N90" i="54"/>
  <c r="N37" i="54"/>
  <c r="P68" i="5"/>
  <c r="Q73" i="54"/>
  <c r="Q93" i="54" s="1"/>
  <c r="R40" i="54"/>
  <c r="R39" i="54"/>
  <c r="Q72" i="54"/>
  <c r="P92" i="54"/>
  <c r="P71" i="54"/>
  <c r="BY84" i="6" l="1"/>
  <c r="P137" i="24" s="1"/>
  <c r="O91" i="54"/>
  <c r="O70" i="54"/>
  <c r="O87" i="54" s="1"/>
  <c r="O38" i="54"/>
  <c r="O54" i="54" s="1"/>
  <c r="Q92" i="54"/>
  <c r="Q71" i="54"/>
  <c r="O90" i="54"/>
  <c r="P110" i="5"/>
  <c r="P115" i="5" s="1"/>
  <c r="I11" i="4"/>
  <c r="P73" i="5"/>
  <c r="P19" i="5"/>
  <c r="P273" i="5" s="1"/>
  <c r="I9" i="4"/>
  <c r="J19" i="38"/>
  <c r="J24" i="38" s="1"/>
  <c r="S39" i="54"/>
  <c r="R72" i="54"/>
  <c r="O135" i="54"/>
  <c r="O126" i="54"/>
  <c r="Q39" i="5"/>
  <c r="P13" i="5"/>
  <c r="P12" i="5" s="1"/>
  <c r="N53" i="54"/>
  <c r="P91" i="54"/>
  <c r="P118" i="54"/>
  <c r="P117" i="54" s="1"/>
  <c r="P70" i="54"/>
  <c r="P38" i="54"/>
  <c r="P54" i="54" s="1"/>
  <c r="S40" i="54"/>
  <c r="R73" i="54"/>
  <c r="R93" i="54" s="1"/>
  <c r="P44" i="5"/>
  <c r="J42" i="38" s="1"/>
  <c r="J40" i="38"/>
  <c r="I31" i="4"/>
  <c r="I45" i="4" s="1"/>
  <c r="P156" i="24" l="1"/>
  <c r="V162" i="5" s="1"/>
  <c r="O147" i="54"/>
  <c r="O138" i="54"/>
  <c r="O37" i="54"/>
  <c r="Q13" i="5" s="1"/>
  <c r="Q12" i="5" s="1"/>
  <c r="Q68" i="5"/>
  <c r="J9" i="4" s="1"/>
  <c r="J29" i="4" s="1"/>
  <c r="I43" i="4"/>
  <c r="X15" i="4"/>
  <c r="P138" i="54"/>
  <c r="P126" i="54"/>
  <c r="P147" i="54" s="1"/>
  <c r="P135" i="54"/>
  <c r="R39" i="5"/>
  <c r="K40" i="38"/>
  <c r="J31" i="4"/>
  <c r="J45" i="4" s="1"/>
  <c r="Q44" i="5"/>
  <c r="K42" i="38" s="1"/>
  <c r="R92" i="54"/>
  <c r="R71" i="54"/>
  <c r="I29" i="4"/>
  <c r="X13" i="4"/>
  <c r="P90" i="54"/>
  <c r="P87" i="54"/>
  <c r="R68" i="5"/>
  <c r="P37" i="54"/>
  <c r="T40" i="54"/>
  <c r="T73" i="54" s="1"/>
  <c r="U93" i="54" s="1"/>
  <c r="S73" i="54"/>
  <c r="S93" i="54" s="1"/>
  <c r="T39" i="54"/>
  <c r="T72" i="54" s="1"/>
  <c r="U92" i="54" s="1"/>
  <c r="S72" i="54"/>
  <c r="Q290" i="5"/>
  <c r="Q291" i="5" s="1"/>
  <c r="Q38" i="54"/>
  <c r="Q54" i="54" s="1"/>
  <c r="Q91" i="54"/>
  <c r="Q118" i="54"/>
  <c r="Q117" i="54" s="1"/>
  <c r="Q70" i="54"/>
  <c r="J25" i="38"/>
  <c r="P74" i="5"/>
  <c r="F41" i="53"/>
  <c r="G41" i="53" s="1"/>
  <c r="O53" i="54" l="1"/>
  <c r="K19" i="38"/>
  <c r="K24" i="38" s="1"/>
  <c r="K25" i="38" s="1"/>
  <c r="Q19" i="5"/>
  <c r="Q273" i="5" s="1"/>
  <c r="R290" i="5" s="1"/>
  <c r="R291" i="5" s="1"/>
  <c r="Q73" i="5"/>
  <c r="Q74" i="5" s="1"/>
  <c r="J11" i="4"/>
  <c r="J43" i="4" s="1"/>
  <c r="Q110" i="5"/>
  <c r="Q115" i="5" s="1"/>
  <c r="K9" i="4"/>
  <c r="K29" i="4" s="1"/>
  <c r="R19" i="5"/>
  <c r="K11" i="4"/>
  <c r="K43" i="4" s="1"/>
  <c r="R73" i="5"/>
  <c r="R110" i="5"/>
  <c r="R115" i="5" s="1"/>
  <c r="L19" i="38"/>
  <c r="L24" i="38" s="1"/>
  <c r="Q87" i="54"/>
  <c r="Q37" i="54"/>
  <c r="Q90" i="54"/>
  <c r="S68" i="5"/>
  <c r="Q293" i="5"/>
  <c r="R292" i="5" s="1"/>
  <c r="T93" i="54"/>
  <c r="R38" i="54"/>
  <c r="R54" i="54" s="1"/>
  <c r="R91" i="54"/>
  <c r="R118" i="54"/>
  <c r="R117" i="54" s="1"/>
  <c r="R70" i="54"/>
  <c r="Q135" i="54"/>
  <c r="Q126" i="54"/>
  <c r="Q147" i="54" s="1"/>
  <c r="Q138" i="54"/>
  <c r="S39" i="5"/>
  <c r="S92" i="54"/>
  <c r="S71" i="54"/>
  <c r="K31" i="4"/>
  <c r="K45" i="4" s="1"/>
  <c r="L40" i="38"/>
  <c r="R44" i="5"/>
  <c r="L42" i="38" s="1"/>
  <c r="Y15" i="4"/>
  <c r="X18" i="4"/>
  <c r="T92" i="54"/>
  <c r="T71" i="54"/>
  <c r="U91" i="54" s="1"/>
  <c r="P53" i="54"/>
  <c r="R13" i="5"/>
  <c r="R12" i="5" s="1"/>
  <c r="Y13" i="4"/>
  <c r="X17" i="4"/>
  <c r="R273" i="5" l="1"/>
  <c r="S290" i="5" s="1"/>
  <c r="S291" i="5" s="1"/>
  <c r="R74" i="5"/>
  <c r="Q294" i="5"/>
  <c r="X19" i="4"/>
  <c r="R293" i="5"/>
  <c r="S292" i="5" s="1"/>
  <c r="S91" i="54"/>
  <c r="S38" i="54"/>
  <c r="S54" i="54" s="1"/>
  <c r="S118" i="54"/>
  <c r="S117" i="54" s="1"/>
  <c r="S70" i="54"/>
  <c r="L25" i="38"/>
  <c r="S73" i="5"/>
  <c r="S74" i="5" s="1"/>
  <c r="S110" i="5"/>
  <c r="S115" i="5" s="1"/>
  <c r="L11" i="4"/>
  <c r="L43" i="4" s="1"/>
  <c r="S19" i="5"/>
  <c r="L9" i="4"/>
  <c r="L29" i="4" s="1"/>
  <c r="M19" i="38"/>
  <c r="M24" i="38" s="1"/>
  <c r="S44" i="5"/>
  <c r="M42" i="38" s="1"/>
  <c r="M40" i="38"/>
  <c r="L31" i="4"/>
  <c r="L45" i="4" s="1"/>
  <c r="R87" i="54"/>
  <c r="R90" i="54"/>
  <c r="T68" i="5"/>
  <c r="R37" i="54"/>
  <c r="Q53" i="54"/>
  <c r="S13" i="5"/>
  <c r="S12" i="5" s="1"/>
  <c r="T38" i="54"/>
  <c r="U54" i="54" s="1"/>
  <c r="T91" i="54"/>
  <c r="T118" i="54"/>
  <c r="T117" i="54" s="1"/>
  <c r="T70" i="54"/>
  <c r="U90" i="54" s="1"/>
  <c r="R135" i="54"/>
  <c r="T39" i="5"/>
  <c r="R138" i="54"/>
  <c r="R126" i="54"/>
  <c r="R147" i="54" s="1"/>
  <c r="S273" i="5" l="1"/>
  <c r="T54" i="54"/>
  <c r="R294" i="5"/>
  <c r="S293" i="5"/>
  <c r="T292" i="5" s="1"/>
  <c r="R53" i="54"/>
  <c r="T13" i="5"/>
  <c r="T12" i="5" s="1"/>
  <c r="M25" i="38"/>
  <c r="U39" i="5"/>
  <c r="S126" i="54"/>
  <c r="S147" i="54" s="1"/>
  <c r="S138" i="54"/>
  <c r="S135" i="54"/>
  <c r="S90" i="54"/>
  <c r="S87" i="54"/>
  <c r="S37" i="54"/>
  <c r="U68" i="5"/>
  <c r="T44" i="5"/>
  <c r="N42" i="38" s="1"/>
  <c r="N40" i="38"/>
  <c r="M31" i="4"/>
  <c r="M45" i="4" s="1"/>
  <c r="T90" i="54"/>
  <c r="T37" i="54"/>
  <c r="U53" i="54" s="1"/>
  <c r="T87" i="54"/>
  <c r="V68" i="5"/>
  <c r="M11" i="4"/>
  <c r="M43" i="4" s="1"/>
  <c r="T19" i="5"/>
  <c r="M9" i="4"/>
  <c r="M29" i="4" s="1"/>
  <c r="T73" i="5"/>
  <c r="T110" i="5"/>
  <c r="T115" i="5" s="1"/>
  <c r="N19" i="38"/>
  <c r="N24" i="38" s="1"/>
  <c r="T290" i="5"/>
  <c r="T291" i="5" s="1"/>
  <c r="T126" i="54"/>
  <c r="T147" i="54" s="1"/>
  <c r="T138" i="54"/>
  <c r="T135" i="54"/>
  <c r="V39" i="5"/>
  <c r="T273" i="5" l="1"/>
  <c r="U290" i="5" s="1"/>
  <c r="U291" i="5" s="1"/>
  <c r="S294" i="5"/>
  <c r="U73" i="5"/>
  <c r="U74" i="5" s="1"/>
  <c r="U19" i="5"/>
  <c r="U110" i="5"/>
  <c r="U115" i="5" s="1"/>
  <c r="N11" i="4"/>
  <c r="N43" i="4" s="1"/>
  <c r="N9" i="4"/>
  <c r="N29" i="4" s="1"/>
  <c r="O19" i="38"/>
  <c r="O24" i="38" s="1"/>
  <c r="N25" i="38"/>
  <c r="V19" i="5"/>
  <c r="V110" i="5"/>
  <c r="V115" i="5" s="1"/>
  <c r="V73" i="5"/>
  <c r="O11" i="4"/>
  <c r="P19" i="38"/>
  <c r="P24" i="38" s="1"/>
  <c r="O9" i="4"/>
  <c r="U13" i="5"/>
  <c r="U12" i="5" s="1"/>
  <c r="S53" i="54"/>
  <c r="V44" i="5"/>
  <c r="P42" i="38" s="1"/>
  <c r="P40" i="38"/>
  <c r="O31" i="4"/>
  <c r="T293" i="5"/>
  <c r="U292" i="5" s="1"/>
  <c r="T74" i="5"/>
  <c r="T53" i="54"/>
  <c r="V13" i="5"/>
  <c r="N31" i="4"/>
  <c r="N45" i="4" s="1"/>
  <c r="O40" i="38"/>
  <c r="U44" i="5"/>
  <c r="O42" i="38" s="1"/>
  <c r="U273" i="5" l="1"/>
  <c r="V273" i="5" s="1"/>
  <c r="V12" i="5"/>
  <c r="T294" i="5"/>
  <c r="V74" i="5"/>
  <c r="I41" i="53"/>
  <c r="J41" i="53" s="1"/>
  <c r="K41" i="53" s="1"/>
  <c r="U293" i="5"/>
  <c r="V292" i="5" s="1"/>
  <c r="O25" i="38"/>
  <c r="Q31" i="4"/>
  <c r="O45" i="4"/>
  <c r="Q45" i="4" s="1"/>
  <c r="Q11" i="4"/>
  <c r="Z15" i="4"/>
  <c r="O43" i="4"/>
  <c r="Q43" i="4" s="1"/>
  <c r="P25" i="38"/>
  <c r="O29" i="4"/>
  <c r="Q29" i="4" s="1"/>
  <c r="Q9" i="4"/>
  <c r="Z13" i="4"/>
  <c r="V290" i="5" l="1"/>
  <c r="V291" i="5" s="1"/>
  <c r="V293" i="5" s="1"/>
  <c r="V294" i="5" s="1"/>
  <c r="AA15" i="4"/>
  <c r="Z18" i="4"/>
  <c r="AA13" i="4"/>
  <c r="Z17" i="4"/>
  <c r="U294" i="5"/>
  <c r="F149" i="29"/>
  <c r="G149" i="29" s="1"/>
  <c r="G240" i="29" s="1"/>
  <c r="F108" i="29"/>
  <c r="F102" i="29" s="1"/>
  <c r="F150" i="29"/>
  <c r="F165" i="29"/>
  <c r="G255" i="29" l="1"/>
  <c r="AV74" i="6" s="1"/>
  <c r="G256" i="29"/>
  <c r="AV75" i="6" s="1"/>
  <c r="H240" i="29"/>
  <c r="G257" i="29"/>
  <c r="AV78" i="6" s="1"/>
  <c r="F157" i="29"/>
  <c r="F158" i="29"/>
  <c r="F192" i="29"/>
  <c r="F155" i="29"/>
  <c r="F151" i="29"/>
  <c r="Z19" i="4"/>
  <c r="H149" i="29"/>
  <c r="I149" i="29" s="1"/>
  <c r="J149" i="29" s="1"/>
  <c r="K149" i="29" s="1"/>
  <c r="L149" i="29" s="1"/>
  <c r="M149" i="29" s="1"/>
  <c r="N149" i="29" s="1"/>
  <c r="G150" i="29"/>
  <c r="F167" i="29"/>
  <c r="F168" i="29"/>
  <c r="AE26" i="6"/>
  <c r="AF26" i="6" s="1"/>
  <c r="F114" i="29"/>
  <c r="F109" i="29"/>
  <c r="F214" i="29"/>
  <c r="F103" i="29" l="1"/>
  <c r="F111" i="29"/>
  <c r="G241" i="29"/>
  <c r="G261" i="29"/>
  <c r="G263" i="29" s="1"/>
  <c r="G338" i="29"/>
  <c r="H255" i="29"/>
  <c r="AZ74" i="6" s="1"/>
  <c r="H256" i="29"/>
  <c r="AZ75" i="6" s="1"/>
  <c r="I240" i="29"/>
  <c r="H257" i="29"/>
  <c r="G163" i="29"/>
  <c r="G188" i="29" s="1"/>
  <c r="AF25" i="6"/>
  <c r="AE58" i="6"/>
  <c r="AF58" i="6" s="1"/>
  <c r="I150" i="29"/>
  <c r="F193" i="29"/>
  <c r="F216" i="29"/>
  <c r="AZ76" i="6" l="1"/>
  <c r="H261" i="29"/>
  <c r="H264" i="29" s="1"/>
  <c r="AZ78" i="6"/>
  <c r="G249" i="29"/>
  <c r="G248" i="29"/>
  <c r="AV26" i="6" s="1"/>
  <c r="G242" i="29"/>
  <c r="I255" i="29"/>
  <c r="BD74" i="6" s="1"/>
  <c r="I256" i="29"/>
  <c r="BD75" i="6" s="1"/>
  <c r="J240" i="29"/>
  <c r="G264" i="29"/>
  <c r="G246" i="29"/>
  <c r="G204" i="29"/>
  <c r="G219" i="29"/>
  <c r="I163" i="29"/>
  <c r="G165" i="29"/>
  <c r="G107" i="29"/>
  <c r="N25" i="5"/>
  <c r="N27" i="5"/>
  <c r="N37" i="5" s="1"/>
  <c r="J150" i="29"/>
  <c r="AF59" i="6"/>
  <c r="BD76" i="6" l="1"/>
  <c r="AZ79" i="6"/>
  <c r="AY26" i="6" s="1"/>
  <c r="J255" i="29"/>
  <c r="BH74" i="6" s="1"/>
  <c r="J256" i="29"/>
  <c r="BH75" i="6" s="1"/>
  <c r="K240" i="29"/>
  <c r="J257" i="29"/>
  <c r="G157" i="29"/>
  <c r="G158" i="29"/>
  <c r="AH26" i="6"/>
  <c r="AI26" i="6" s="1"/>
  <c r="G155" i="29"/>
  <c r="G151" i="29"/>
  <c r="G101" i="29"/>
  <c r="D12" i="39"/>
  <c r="D15" i="39" s="1"/>
  <c r="O24" i="9"/>
  <c r="G168" i="29"/>
  <c r="K150" i="29"/>
  <c r="G214" i="29"/>
  <c r="J163" i="29"/>
  <c r="J188" i="29" s="1"/>
  <c r="N35" i="5"/>
  <c r="N24" i="5"/>
  <c r="G167" i="29"/>
  <c r="BH76" i="6" l="1"/>
  <c r="J261" i="29"/>
  <c r="J264" i="29" s="1"/>
  <c r="BH78" i="6"/>
  <c r="K255" i="29"/>
  <c r="BL74" i="6" s="1"/>
  <c r="K256" i="29"/>
  <c r="BL75" i="6" s="1"/>
  <c r="L240" i="29"/>
  <c r="K257" i="29"/>
  <c r="J165" i="29"/>
  <c r="O39" i="9"/>
  <c r="H16" i="8"/>
  <c r="L150" i="29"/>
  <c r="D25" i="39"/>
  <c r="D33" i="39" s="1"/>
  <c r="D42" i="39" s="1"/>
  <c r="S6" i="39"/>
  <c r="K163" i="29"/>
  <c r="K188" i="29" s="1"/>
  <c r="AH58" i="6"/>
  <c r="AI58" i="6" s="1"/>
  <c r="BH79" i="6" l="1"/>
  <c r="BG26" i="6" s="1"/>
  <c r="BL76" i="6"/>
  <c r="K261" i="29"/>
  <c r="K264" i="29" s="1"/>
  <c r="BL78" i="6"/>
  <c r="L255" i="29"/>
  <c r="BP74" i="6" s="1"/>
  <c r="L256" i="29"/>
  <c r="BP75" i="6" s="1"/>
  <c r="M240" i="29"/>
  <c r="L257" i="29"/>
  <c r="J157" i="29"/>
  <c r="J158" i="29"/>
  <c r="J155" i="29"/>
  <c r="J151" i="29"/>
  <c r="K165" i="29"/>
  <c r="O40" i="9"/>
  <c r="O54" i="9"/>
  <c r="AI59" i="6"/>
  <c r="S57" i="39"/>
  <c r="S59" i="39"/>
  <c r="S64" i="39" s="1"/>
  <c r="S68" i="39" s="1"/>
  <c r="M150" i="29"/>
  <c r="N150" i="29"/>
  <c r="J168" i="29"/>
  <c r="D43" i="39"/>
  <c r="D57" i="39"/>
  <c r="D61" i="39" s="1"/>
  <c r="L163" i="29"/>
  <c r="L188" i="29" s="1"/>
  <c r="H186" i="8"/>
  <c r="H229" i="8"/>
  <c r="H234" i="8" s="1"/>
  <c r="H111" i="8"/>
  <c r="H116" i="8" s="1"/>
  <c r="H148" i="8"/>
  <c r="H153" i="8" s="1"/>
  <c r="H188" i="8"/>
  <c r="H21" i="8"/>
  <c r="H71" i="8"/>
  <c r="H76" i="8" s="1"/>
  <c r="J167" i="29"/>
  <c r="BL79" i="6" l="1"/>
  <c r="BK26" i="6" s="1"/>
  <c r="BP76" i="6"/>
  <c r="L261" i="29"/>
  <c r="L264" i="29" s="1"/>
  <c r="BP78" i="6"/>
  <c r="M255" i="29"/>
  <c r="BT74" i="6" s="1"/>
  <c r="M256" i="29"/>
  <c r="BT75" i="6" s="1"/>
  <c r="N240" i="29"/>
  <c r="M257" i="29"/>
  <c r="K157" i="29"/>
  <c r="K158" i="29"/>
  <c r="AV76" i="6"/>
  <c r="K167" i="29"/>
  <c r="K155" i="29"/>
  <c r="K151" i="29"/>
  <c r="H189" i="8"/>
  <c r="H192" i="8" s="1"/>
  <c r="H197" i="8" s="1"/>
  <c r="L165" i="29"/>
  <c r="S60" i="39"/>
  <c r="O55" i="9"/>
  <c r="O84" i="9"/>
  <c r="O88" i="9" s="1"/>
  <c r="O56" i="9"/>
  <c r="S10" i="39"/>
  <c r="E59" i="39"/>
  <c r="N163" i="29"/>
  <c r="N188" i="29" s="1"/>
  <c r="K168" i="29"/>
  <c r="M163" i="29"/>
  <c r="M188" i="29" s="1"/>
  <c r="BP79" i="6" l="1"/>
  <c r="BO26" i="6" s="1"/>
  <c r="I155" i="24"/>
  <c r="I140" i="24"/>
  <c r="BT76" i="6"/>
  <c r="AV79" i="6"/>
  <c r="AU26" i="6" s="1"/>
  <c r="AU58" i="6" s="1"/>
  <c r="M261" i="29"/>
  <c r="M264" i="29" s="1"/>
  <c r="BT78" i="6"/>
  <c r="N255" i="29"/>
  <c r="BX74" i="6" s="1"/>
  <c r="N256" i="29"/>
  <c r="BX75" i="6" s="1"/>
  <c r="N257" i="29"/>
  <c r="L157" i="29"/>
  <c r="L158" i="29"/>
  <c r="L155" i="29"/>
  <c r="L151" i="29"/>
  <c r="M165" i="29"/>
  <c r="L168" i="29"/>
  <c r="N165" i="29"/>
  <c r="D63" i="39"/>
  <c r="H23" i="8"/>
  <c r="O94" i="9"/>
  <c r="P86" i="9"/>
  <c r="L167" i="29"/>
  <c r="O161" i="5" l="1"/>
  <c r="O171" i="5" s="1"/>
  <c r="I167" i="24"/>
  <c r="I172" i="24" s="1"/>
  <c r="I173" i="24" s="1"/>
  <c r="BT79" i="6"/>
  <c r="BS26" i="6" s="1"/>
  <c r="BX76" i="6"/>
  <c r="AV58" i="6"/>
  <c r="AV59" i="6" s="1"/>
  <c r="G190" i="29"/>
  <c r="G206" i="29" s="1"/>
  <c r="G216" i="29" s="1"/>
  <c r="E12" i="39"/>
  <c r="BX78" i="6"/>
  <c r="BX79" i="6" s="1"/>
  <c r="BW26" i="6" s="1"/>
  <c r="N261" i="29"/>
  <c r="N264" i="29" s="1"/>
  <c r="N157" i="29"/>
  <c r="N158" i="29"/>
  <c r="M157" i="29"/>
  <c r="M158" i="29"/>
  <c r="M155" i="29"/>
  <c r="M151" i="29"/>
  <c r="N167" i="29"/>
  <c r="N155" i="29"/>
  <c r="N151" i="29"/>
  <c r="H27" i="8"/>
  <c r="H79" i="8" s="1"/>
  <c r="O12" i="36"/>
  <c r="BG93" i="35"/>
  <c r="BH93" i="16"/>
  <c r="M168" i="29"/>
  <c r="N168" i="29"/>
  <c r="M167" i="29"/>
  <c r="G192" i="29" l="1"/>
  <c r="O172" i="5"/>
  <c r="I50" i="38"/>
  <c r="I52" i="38" s="1"/>
  <c r="I53" i="38" s="1"/>
  <c r="G193" i="29"/>
  <c r="AV61" i="6"/>
  <c r="I165" i="29" l="1"/>
  <c r="I157" i="29" l="1"/>
  <c r="AO26" i="6" s="1"/>
  <c r="I158" i="29"/>
  <c r="AN26" i="6"/>
  <c r="I155" i="29"/>
  <c r="I151" i="29"/>
  <c r="I167" i="29"/>
  <c r="I168" i="29"/>
  <c r="H31" i="29" l="1"/>
  <c r="H87" i="29" l="1"/>
  <c r="H94" i="29" l="1"/>
  <c r="H24" i="29" s="1"/>
  <c r="H89" i="29"/>
  <c r="I87" i="29"/>
  <c r="I94" i="29" l="1"/>
  <c r="I24" i="29" s="1"/>
  <c r="I89" i="29"/>
  <c r="J87" i="29"/>
  <c r="J94" i="29" l="1"/>
  <c r="J24" i="29" s="1"/>
  <c r="J89" i="29"/>
  <c r="K87" i="29"/>
  <c r="K89" i="29" l="1"/>
  <c r="L87" i="29"/>
  <c r="K94" i="29"/>
  <c r="K24" i="29" s="1"/>
  <c r="L89" i="29" l="1"/>
  <c r="M87" i="29"/>
  <c r="L94" i="29"/>
  <c r="L24" i="29" s="1"/>
  <c r="M89" i="29" l="1"/>
  <c r="N87" i="29"/>
  <c r="M94" i="29"/>
  <c r="M24" i="29" s="1"/>
  <c r="N89" i="29" l="1"/>
  <c r="N94" i="29"/>
  <c r="N24" i="29" s="1"/>
  <c r="H196" i="29" l="1"/>
  <c r="H229" i="29" l="1"/>
  <c r="H230" i="29"/>
  <c r="H198" i="29"/>
  <c r="H201" i="29" s="1"/>
  <c r="H150" i="29"/>
  <c r="H29" i="29"/>
  <c r="H209" i="29" l="1"/>
  <c r="H210" i="29"/>
  <c r="H200" i="29"/>
  <c r="H171" i="29"/>
  <c r="H172" i="29"/>
  <c r="H163" i="29"/>
  <c r="H83" i="29"/>
  <c r="H165" i="29" l="1"/>
  <c r="H92" i="29"/>
  <c r="H22" i="29" s="1"/>
  <c r="H167" i="29" l="1"/>
  <c r="H158" i="29"/>
  <c r="H157" i="29"/>
  <c r="AL26" i="6" s="1"/>
  <c r="H155" i="29"/>
  <c r="H168" i="29"/>
  <c r="AK26" i="6"/>
  <c r="H151" i="29"/>
  <c r="H56" i="29"/>
  <c r="H75" i="29" s="1"/>
  <c r="H28" i="29"/>
  <c r="H57" i="29"/>
  <c r="H76" i="29" s="1"/>
  <c r="H82" i="29" l="1"/>
  <c r="H30" i="29"/>
  <c r="H77" i="29"/>
  <c r="H35" i="29" s="1"/>
  <c r="AY15" i="6"/>
  <c r="AY78" i="6" s="1"/>
  <c r="AY79" i="6" s="1"/>
  <c r="J220" i="50"/>
  <c r="BA15" i="6"/>
  <c r="AZ30" i="6" s="1"/>
  <c r="P61" i="5"/>
  <c r="J180" i="24"/>
  <c r="H91" i="29" l="1"/>
  <c r="H21" i="29" s="1"/>
  <c r="AY19" i="6"/>
  <c r="AZ15" i="6"/>
  <c r="BA16" i="6" s="1"/>
  <c r="AH10" i="6"/>
  <c r="H34" i="29"/>
  <c r="H84" i="29"/>
  <c r="H85" i="29" l="1"/>
  <c r="AY50" i="6"/>
  <c r="BA50" i="6" s="1"/>
  <c r="AY48" i="6"/>
  <c r="BA48" i="6" s="1"/>
  <c r="AY47" i="6"/>
  <c r="AY51" i="6"/>
  <c r="BC51" i="6" s="1"/>
  <c r="BG51" i="6" s="1"/>
  <c r="AY49" i="6"/>
  <c r="BA49" i="6" s="1"/>
  <c r="AZ28" i="6"/>
  <c r="H93" i="29"/>
  <c r="H23" i="29" s="1"/>
  <c r="H86" i="29"/>
  <c r="BA40" i="6"/>
  <c r="AZ40" i="6" s="1"/>
  <c r="BA42" i="6"/>
  <c r="AZ42" i="6" s="1"/>
  <c r="BA45" i="6"/>
  <c r="AZ45" i="6" s="1"/>
  <c r="BA36" i="6"/>
  <c r="AZ36" i="6" s="1"/>
  <c r="BA44" i="6"/>
  <c r="AZ44" i="6" s="1"/>
  <c r="BA29" i="6"/>
  <c r="BA41" i="6"/>
  <c r="AZ41" i="6" s="1"/>
  <c r="BA34" i="6"/>
  <c r="AZ34" i="6" s="1"/>
  <c r="BA35" i="6"/>
  <c r="BA43" i="6"/>
  <c r="AZ43" i="6" s="1"/>
  <c r="J135" i="24" l="1"/>
  <c r="J154" i="24" s="1"/>
  <c r="P160" i="5" s="1"/>
  <c r="Q16" i="9" s="1"/>
  <c r="F10" i="39" s="1"/>
  <c r="AZ35" i="6"/>
  <c r="H331" i="29"/>
  <c r="AZ29" i="6"/>
  <c r="H273" i="29"/>
  <c r="AY53" i="6"/>
  <c r="AY55" i="6" s="1"/>
  <c r="BA51" i="6"/>
  <c r="BA47" i="6"/>
  <c r="BK51" i="6"/>
  <c r="BI51" i="6"/>
  <c r="BI53" i="6" s="1"/>
  <c r="BG53" i="6"/>
  <c r="BG55" i="6" s="1"/>
  <c r="BA37" i="6"/>
  <c r="AZ37" i="6" s="1"/>
  <c r="J103" i="38" l="1"/>
  <c r="H325" i="29"/>
  <c r="H329" i="29"/>
  <c r="H326" i="29"/>
  <c r="H330" i="29"/>
  <c r="H328" i="29"/>
  <c r="H327" i="29"/>
  <c r="H269" i="29"/>
  <c r="H272" i="29"/>
  <c r="H271" i="29"/>
  <c r="H267" i="29"/>
  <c r="H268" i="29"/>
  <c r="H270" i="29"/>
  <c r="BA53" i="6"/>
  <c r="AZ53" i="6" s="1"/>
  <c r="BH53" i="6"/>
  <c r="BI55" i="6"/>
  <c r="BH55" i="6" s="1"/>
  <c r="BO51" i="6"/>
  <c r="BM51" i="6"/>
  <c r="BM53" i="6" s="1"/>
  <c r="BK53" i="6"/>
  <c r="BK55" i="6" s="1"/>
  <c r="BG70" i="6"/>
  <c r="BG58" i="6"/>
  <c r="J190" i="29" s="1"/>
  <c r="J206" i="29" s="1"/>
  <c r="AY70" i="6"/>
  <c r="AY58" i="6"/>
  <c r="BA83" i="6" l="1"/>
  <c r="BA82" i="6"/>
  <c r="H140" i="29"/>
  <c r="H141" i="29" s="1"/>
  <c r="H135" i="29"/>
  <c r="H136" i="29" s="1"/>
  <c r="J286" i="29"/>
  <c r="BA55" i="6"/>
  <c r="AZ55" i="6" s="1"/>
  <c r="BL53" i="6"/>
  <c r="BM55" i="6"/>
  <c r="K286" i="29" s="1"/>
  <c r="BS51" i="6"/>
  <c r="BQ51" i="6"/>
  <c r="BQ53" i="6" s="1"/>
  <c r="BO53" i="6"/>
  <c r="BO55" i="6" s="1"/>
  <c r="J205" i="29"/>
  <c r="J204" i="29"/>
  <c r="BI70" i="6"/>
  <c r="BH70" i="6" s="1"/>
  <c r="BI58" i="6"/>
  <c r="L134" i="24" s="1"/>
  <c r="BG59" i="6"/>
  <c r="H12" i="39"/>
  <c r="BK70" i="6"/>
  <c r="BK58" i="6"/>
  <c r="K190" i="29" s="1"/>
  <c r="K206" i="29" s="1"/>
  <c r="BA84" i="6" l="1"/>
  <c r="J137" i="24" s="1"/>
  <c r="J156" i="24"/>
  <c r="P162" i="5" s="1"/>
  <c r="I134" i="29"/>
  <c r="P31" i="5"/>
  <c r="I139" i="29"/>
  <c r="P32" i="5"/>
  <c r="BA70" i="6"/>
  <c r="AZ70" i="6" s="1"/>
  <c r="H286" i="29"/>
  <c r="K285" i="29"/>
  <c r="K297" i="29" s="1"/>
  <c r="K321" i="29" s="1"/>
  <c r="K284" i="29"/>
  <c r="K296" i="29" s="1"/>
  <c r="K320" i="29" s="1"/>
  <c r="K283" i="29"/>
  <c r="K282" i="29"/>
  <c r="K281" i="29"/>
  <c r="K280" i="29"/>
  <c r="J283" i="29"/>
  <c r="J280" i="29"/>
  <c r="J281" i="29"/>
  <c r="J285" i="29"/>
  <c r="J297" i="29" s="1"/>
  <c r="J321" i="29" s="1"/>
  <c r="J284" i="29"/>
  <c r="J296" i="29" s="1"/>
  <c r="J320" i="29" s="1"/>
  <c r="J282" i="29"/>
  <c r="BA58" i="6"/>
  <c r="BH58" i="6"/>
  <c r="J184" i="29"/>
  <c r="BO70" i="6"/>
  <c r="BO58" i="6"/>
  <c r="L190" i="29" s="1"/>
  <c r="L206" i="29" s="1"/>
  <c r="J185" i="29"/>
  <c r="BP53" i="6"/>
  <c r="BQ55" i="6"/>
  <c r="L286" i="29" s="1"/>
  <c r="I12" i="39"/>
  <c r="K216" i="29"/>
  <c r="L153" i="24"/>
  <c r="BW51" i="6"/>
  <c r="BU51" i="6"/>
  <c r="BU53" i="6" s="1"/>
  <c r="BS53" i="6"/>
  <c r="BS55" i="6" s="1"/>
  <c r="BL55" i="6"/>
  <c r="BM70" i="6"/>
  <c r="BL70" i="6" s="1"/>
  <c r="BM58" i="6"/>
  <c r="M134" i="24" s="1"/>
  <c r="K204" i="29"/>
  <c r="K205" i="29"/>
  <c r="P249" i="5" l="1"/>
  <c r="AZ58" i="6"/>
  <c r="AZ59" i="6" s="1"/>
  <c r="J134" i="24"/>
  <c r="J153" i="24" s="1"/>
  <c r="BM74" i="6"/>
  <c r="L285" i="29"/>
  <c r="L297" i="29" s="1"/>
  <c r="L321" i="29" s="1"/>
  <c r="L284" i="29"/>
  <c r="L296" i="29" s="1"/>
  <c r="L320" i="29" s="1"/>
  <c r="L283" i="29"/>
  <c r="L282" i="29"/>
  <c r="L281" i="29"/>
  <c r="L280" i="29"/>
  <c r="BI75" i="6"/>
  <c r="J293" i="29"/>
  <c r="J317" i="29" s="1"/>
  <c r="BM75" i="6"/>
  <c r="K293" i="29"/>
  <c r="K317" i="29" s="1"/>
  <c r="BI78" i="6"/>
  <c r="J294" i="29"/>
  <c r="J318" i="29" s="1"/>
  <c r="BI74" i="6"/>
  <c r="BM78" i="6"/>
  <c r="K294" i="29"/>
  <c r="K318" i="29" s="1"/>
  <c r="H285" i="29"/>
  <c r="H297" i="29" s="1"/>
  <c r="H321" i="29" s="1"/>
  <c r="H284" i="29"/>
  <c r="H296" i="29" s="1"/>
  <c r="H320" i="29" s="1"/>
  <c r="H283" i="29"/>
  <c r="H282" i="29"/>
  <c r="H281" i="29"/>
  <c r="H280" i="29"/>
  <c r="BH61" i="6"/>
  <c r="K185" i="29"/>
  <c r="J193" i="29"/>
  <c r="L216" i="29"/>
  <c r="J12" i="39"/>
  <c r="K184" i="29"/>
  <c r="BS70" i="6"/>
  <c r="BS58" i="6"/>
  <c r="M190" i="29" s="1"/>
  <c r="M206" i="29" s="1"/>
  <c r="BL58" i="6"/>
  <c r="L204" i="29"/>
  <c r="L205" i="29"/>
  <c r="M153" i="24"/>
  <c r="BT53" i="6"/>
  <c r="BU55" i="6"/>
  <c r="M286" i="29" s="1"/>
  <c r="R159" i="5"/>
  <c r="BP55" i="6"/>
  <c r="BQ70" i="6"/>
  <c r="BP70" i="6" s="1"/>
  <c r="BQ58" i="6"/>
  <c r="N134" i="24" s="1"/>
  <c r="J192" i="29"/>
  <c r="BY51" i="6"/>
  <c r="BY53" i="6" s="1"/>
  <c r="BW53" i="6"/>
  <c r="BW55" i="6" s="1"/>
  <c r="J102" i="38" l="1"/>
  <c r="P252" i="5"/>
  <c r="P269" i="5" s="1"/>
  <c r="AZ61" i="6"/>
  <c r="BI76" i="6"/>
  <c r="L136" i="24" s="1"/>
  <c r="BM76" i="6"/>
  <c r="M136" i="24" s="1"/>
  <c r="BA74" i="6"/>
  <c r="BQ74" i="6"/>
  <c r="M285" i="29"/>
  <c r="M297" i="29" s="1"/>
  <c r="M321" i="29" s="1"/>
  <c r="M284" i="29"/>
  <c r="M296" i="29" s="1"/>
  <c r="M320" i="29" s="1"/>
  <c r="M283" i="29"/>
  <c r="M282" i="29"/>
  <c r="M281" i="29"/>
  <c r="M280" i="29"/>
  <c r="H294" i="29"/>
  <c r="H318" i="29" s="1"/>
  <c r="BA78" i="6"/>
  <c r="BQ78" i="6"/>
  <c r="L294" i="29"/>
  <c r="L318" i="29" s="1"/>
  <c r="BA75" i="6"/>
  <c r="H293" i="29"/>
  <c r="H317" i="29" s="1"/>
  <c r="BQ75" i="6"/>
  <c r="L293" i="29"/>
  <c r="L317" i="29" s="1"/>
  <c r="P159" i="5"/>
  <c r="BW70" i="6"/>
  <c r="BW58" i="6"/>
  <c r="N190" i="29" s="1"/>
  <c r="N206" i="29" s="1"/>
  <c r="M216" i="29"/>
  <c r="K12" i="39"/>
  <c r="S159" i="5"/>
  <c r="L185" i="29"/>
  <c r="M204" i="29"/>
  <c r="M205" i="29"/>
  <c r="BP58" i="6"/>
  <c r="K215" i="29"/>
  <c r="K193" i="29"/>
  <c r="BX53" i="6"/>
  <c r="BY55" i="6"/>
  <c r="N286" i="29" s="1"/>
  <c r="N153" i="24"/>
  <c r="BT55" i="6"/>
  <c r="BU70" i="6"/>
  <c r="BT70" i="6" s="1"/>
  <c r="BU58" i="6"/>
  <c r="O134" i="24" s="1"/>
  <c r="L184" i="29"/>
  <c r="K214" i="29"/>
  <c r="K192" i="29"/>
  <c r="BL59" i="6"/>
  <c r="BL61" i="6"/>
  <c r="BI79" i="6" l="1"/>
  <c r="BM79" i="6"/>
  <c r="M140" i="24"/>
  <c r="BQ76" i="6"/>
  <c r="N136" i="24" s="1"/>
  <c r="BA76" i="6"/>
  <c r="J136" i="24" s="1"/>
  <c r="BU74" i="6"/>
  <c r="N284" i="29"/>
  <c r="N296" i="29" s="1"/>
  <c r="N320" i="29" s="1"/>
  <c r="N281" i="29"/>
  <c r="N285" i="29"/>
  <c r="N297" i="29" s="1"/>
  <c r="N321" i="29" s="1"/>
  <c r="N283" i="29"/>
  <c r="N282" i="29"/>
  <c r="N280" i="29"/>
  <c r="BU78" i="6"/>
  <c r="M294" i="29"/>
  <c r="M318" i="29" s="1"/>
  <c r="BU75" i="6"/>
  <c r="M293" i="29"/>
  <c r="M317" i="29" s="1"/>
  <c r="BP59" i="6"/>
  <c r="BP61" i="6"/>
  <c r="M184" i="29"/>
  <c r="L214" i="29"/>
  <c r="L192" i="29"/>
  <c r="L215" i="29"/>
  <c r="L193" i="29"/>
  <c r="BT58" i="6"/>
  <c r="T159" i="5"/>
  <c r="L12" i="39"/>
  <c r="N216" i="29"/>
  <c r="O153" i="24"/>
  <c r="BX55" i="6"/>
  <c r="BY70" i="6"/>
  <c r="BX70" i="6" s="1"/>
  <c r="BY58" i="6"/>
  <c r="P134" i="24" s="1"/>
  <c r="M185" i="29"/>
  <c r="N205" i="29"/>
  <c r="N204" i="29"/>
  <c r="M155" i="24" l="1"/>
  <c r="S161" i="5" s="1"/>
  <c r="S171" i="5" s="1"/>
  <c r="BQ79" i="6"/>
  <c r="L155" i="24"/>
  <c r="L140" i="24"/>
  <c r="BA79" i="6"/>
  <c r="BU76" i="6"/>
  <c r="O136" i="24" s="1"/>
  <c r="BY74" i="6"/>
  <c r="BY75" i="6"/>
  <c r="N293" i="29"/>
  <c r="N317" i="29" s="1"/>
  <c r="BY78" i="6"/>
  <c r="N294" i="29"/>
  <c r="N318" i="29" s="1"/>
  <c r="U159" i="5"/>
  <c r="M215" i="29"/>
  <c r="M193" i="29"/>
  <c r="N184" i="29"/>
  <c r="P153" i="24"/>
  <c r="N155" i="24"/>
  <c r="N140" i="24"/>
  <c r="N185" i="29"/>
  <c r="BX58" i="6"/>
  <c r="BT59" i="6"/>
  <c r="BT61" i="6"/>
  <c r="M214" i="29"/>
  <c r="M192" i="29"/>
  <c r="M167" i="24" l="1"/>
  <c r="M172" i="24" s="1"/>
  <c r="M173" i="24" s="1"/>
  <c r="R161" i="5"/>
  <c r="R171" i="5" s="1"/>
  <c r="L50" i="38" s="1"/>
  <c r="L52" i="38" s="1"/>
  <c r="L167" i="24"/>
  <c r="L172" i="24" s="1"/>
  <c r="L173" i="24" s="1"/>
  <c r="BU79" i="6"/>
  <c r="O155" i="24"/>
  <c r="J155" i="24"/>
  <c r="J140" i="24"/>
  <c r="BY76" i="6"/>
  <c r="P136" i="24" s="1"/>
  <c r="V159" i="5"/>
  <c r="T161" i="5"/>
  <c r="T171" i="5" s="1"/>
  <c r="N167" i="24"/>
  <c r="N172" i="24" s="1"/>
  <c r="N173" i="24" s="1"/>
  <c r="N214" i="29"/>
  <c r="N192" i="29"/>
  <c r="N215" i="29"/>
  <c r="N193" i="29"/>
  <c r="BX59" i="6"/>
  <c r="BX61" i="6"/>
  <c r="M50" i="38"/>
  <c r="M52" i="38" s="1"/>
  <c r="O140" i="24" l="1"/>
  <c r="S172" i="5"/>
  <c r="M53" i="38"/>
  <c r="BY79" i="6"/>
  <c r="P155" i="24"/>
  <c r="P161" i="5"/>
  <c r="P171" i="5" s="1"/>
  <c r="J167" i="24"/>
  <c r="J172" i="24" s="1"/>
  <c r="J173" i="24" s="1"/>
  <c r="U161" i="5"/>
  <c r="U171" i="5" s="1"/>
  <c r="O167" i="24"/>
  <c r="O172" i="24" s="1"/>
  <c r="N50" i="38"/>
  <c r="N52" i="38" s="1"/>
  <c r="N53" i="38" s="1"/>
  <c r="T172" i="5"/>
  <c r="O173" i="24" l="1"/>
  <c r="P140" i="24"/>
  <c r="F43" i="53"/>
  <c r="G43" i="53" s="1"/>
  <c r="P172" i="5"/>
  <c r="J50" i="38"/>
  <c r="J52" i="38" s="1"/>
  <c r="J53" i="38" s="1"/>
  <c r="V161" i="5"/>
  <c r="V171" i="5" s="1"/>
  <c r="P167" i="24"/>
  <c r="P172" i="24" s="1"/>
  <c r="U172" i="5"/>
  <c r="O50" i="38"/>
  <c r="O52" i="38" s="1"/>
  <c r="O53" i="38" s="1"/>
  <c r="P173" i="24" l="1"/>
  <c r="P50" i="38"/>
  <c r="P52" i="38" s="1"/>
  <c r="P53" i="38" s="1"/>
  <c r="V172" i="5"/>
  <c r="I29" i="29" l="1"/>
  <c r="I55" i="29" s="1"/>
  <c r="I28" i="29"/>
  <c r="I82" i="29" s="1"/>
  <c r="I91" i="29" s="1"/>
  <c r="I21" i="29" s="1"/>
  <c r="I50" i="29" l="1"/>
  <c r="I30" i="29"/>
  <c r="J82" i="29"/>
  <c r="I83" i="29"/>
  <c r="I57" i="29" l="1"/>
  <c r="I76" i="29" s="1"/>
  <c r="I77" i="29" s="1"/>
  <c r="I35" i="29" s="1"/>
  <c r="I306" i="29"/>
  <c r="I56" i="29"/>
  <c r="I75" i="29" s="1"/>
  <c r="K220" i="50" s="1"/>
  <c r="I34" i="29"/>
  <c r="I84" i="29"/>
  <c r="K82" i="29"/>
  <c r="J91" i="29"/>
  <c r="J21" i="29" s="1"/>
  <c r="I92" i="29"/>
  <c r="I22" i="29" s="1"/>
  <c r="J83" i="29"/>
  <c r="I85" i="29" l="1"/>
  <c r="BC15" i="6"/>
  <c r="BC78" i="6" s="1"/>
  <c r="BC79" i="6" s="1"/>
  <c r="I257" i="29"/>
  <c r="BD78" i="6" s="1"/>
  <c r="BD79" i="6" s="1"/>
  <c r="BC26" i="6" s="1"/>
  <c r="I310" i="29"/>
  <c r="I313" i="29" s="1"/>
  <c r="Q61" i="5"/>
  <c r="K180" i="24"/>
  <c r="BE15" i="6"/>
  <c r="I93" i="29"/>
  <c r="I23" i="29" s="1"/>
  <c r="I86" i="29"/>
  <c r="J84" i="29"/>
  <c r="K83" i="29"/>
  <c r="J92" i="29"/>
  <c r="J22" i="29" s="1"/>
  <c r="L82" i="29"/>
  <c r="K91" i="29"/>
  <c r="K21" i="29" s="1"/>
  <c r="J85" i="29" l="1"/>
  <c r="J86" i="29" s="1"/>
  <c r="BG19" i="6"/>
  <c r="BD30" i="6"/>
  <c r="AK10" i="6"/>
  <c r="I312" i="29"/>
  <c r="I261" i="29"/>
  <c r="I264" i="29" s="1"/>
  <c r="BC19" i="6"/>
  <c r="BD15" i="6"/>
  <c r="K84" i="29"/>
  <c r="J93" i="29"/>
  <c r="J23" i="29" s="1"/>
  <c r="L91" i="29"/>
  <c r="L21" i="29" s="1"/>
  <c r="M82" i="29"/>
  <c r="K92" i="29"/>
  <c r="K22" i="29" s="1"/>
  <c r="L83" i="29"/>
  <c r="K85" i="29" l="1"/>
  <c r="BC50" i="6"/>
  <c r="BC48" i="6"/>
  <c r="BC49" i="6"/>
  <c r="BC47" i="6"/>
  <c r="BD28" i="6"/>
  <c r="BE16" i="6"/>
  <c r="K93" i="29"/>
  <c r="K23" i="29" s="1"/>
  <c r="K86" i="29"/>
  <c r="L84" i="29"/>
  <c r="M83" i="29"/>
  <c r="L92" i="29"/>
  <c r="L22" i="29" s="1"/>
  <c r="N82" i="29"/>
  <c r="N91" i="29" s="1"/>
  <c r="N21" i="29" s="1"/>
  <c r="M91" i="29"/>
  <c r="M21" i="29" s="1"/>
  <c r="L85" i="29" l="1"/>
  <c r="L86" i="29" s="1"/>
  <c r="BE47" i="6"/>
  <c r="BE48" i="6"/>
  <c r="BC53" i="6"/>
  <c r="BC55" i="6" s="1"/>
  <c r="BE42" i="6"/>
  <c r="BD42" i="6" s="1"/>
  <c r="BE49" i="6"/>
  <c r="BE50" i="6"/>
  <c r="BE44" i="6"/>
  <c r="BD44" i="6" s="1"/>
  <c r="BE40" i="6"/>
  <c r="BD40" i="6" s="1"/>
  <c r="BE51" i="6"/>
  <c r="BE35" i="6"/>
  <c r="BE29" i="6"/>
  <c r="BE45" i="6"/>
  <c r="BD45" i="6" s="1"/>
  <c r="BE41" i="6"/>
  <c r="BD41" i="6" s="1"/>
  <c r="BE36" i="6"/>
  <c r="BD36" i="6" s="1"/>
  <c r="BE34" i="6"/>
  <c r="BD34" i="6" s="1"/>
  <c r="BE43" i="6"/>
  <c r="BD43" i="6" s="1"/>
  <c r="M84" i="29"/>
  <c r="M85" i="29" s="1"/>
  <c r="L93" i="29"/>
  <c r="L23" i="29" s="1"/>
  <c r="M92" i="29"/>
  <c r="M22" i="29" s="1"/>
  <c r="N83" i="29"/>
  <c r="N92" i="29" s="1"/>
  <c r="N22" i="29" s="1"/>
  <c r="K135" i="24" l="1"/>
  <c r="K154" i="24" s="1"/>
  <c r="Q160" i="5" s="1"/>
  <c r="BD35" i="6"/>
  <c r="I331" i="29"/>
  <c r="BD29" i="6"/>
  <c r="I273" i="29"/>
  <c r="BC70" i="6"/>
  <c r="BC58" i="6"/>
  <c r="BE53" i="6"/>
  <c r="BD53" i="6" s="1"/>
  <c r="BE37" i="6"/>
  <c r="BD37" i="6" s="1"/>
  <c r="M86" i="29"/>
  <c r="N84" i="29"/>
  <c r="N85" i="29" s="1"/>
  <c r="M93" i="29"/>
  <c r="M23" i="29" s="1"/>
  <c r="K103" i="38" l="1"/>
  <c r="R16" i="9"/>
  <c r="G10" i="39" s="1"/>
  <c r="I326" i="29"/>
  <c r="I330" i="29"/>
  <c r="I327" i="29"/>
  <c r="I325" i="29"/>
  <c r="I329" i="29"/>
  <c r="I328" i="29"/>
  <c r="I272" i="29"/>
  <c r="I269" i="29"/>
  <c r="I268" i="29"/>
  <c r="I271" i="29"/>
  <c r="I267" i="29"/>
  <c r="I270" i="29"/>
  <c r="BE55" i="6"/>
  <c r="I286" i="29" s="1"/>
  <c r="N86" i="29"/>
  <c r="N93" i="29"/>
  <c r="N23" i="29" s="1"/>
  <c r="BE82" i="6" l="1"/>
  <c r="BE83" i="6"/>
  <c r="I140" i="29"/>
  <c r="I141" i="29" s="1"/>
  <c r="J139" i="29" s="1"/>
  <c r="J141" i="29" s="1"/>
  <c r="I135" i="29"/>
  <c r="I136" i="29" s="1"/>
  <c r="I285" i="29"/>
  <c r="I297" i="29" s="1"/>
  <c r="I321" i="29" s="1"/>
  <c r="I284" i="29"/>
  <c r="I296" i="29" s="1"/>
  <c r="I320" i="29" s="1"/>
  <c r="I283" i="29"/>
  <c r="I282" i="29"/>
  <c r="I294" i="29" s="1"/>
  <c r="I318" i="29" s="1"/>
  <c r="I281" i="29"/>
  <c r="I293" i="29" s="1"/>
  <c r="I317" i="29" s="1"/>
  <c r="I280" i="29"/>
  <c r="BD55" i="6"/>
  <c r="BE70" i="6"/>
  <c r="BD70" i="6" s="1"/>
  <c r="BE58" i="6"/>
  <c r="BE84" i="6" l="1"/>
  <c r="K137" i="24" s="1"/>
  <c r="K156" i="24"/>
  <c r="Q162" i="5" s="1"/>
  <c r="Q32" i="5"/>
  <c r="J134" i="29"/>
  <c r="J136" i="29" s="1"/>
  <c r="Q31" i="5"/>
  <c r="K139" i="29"/>
  <c r="K141" i="29" s="1"/>
  <c r="R32" i="5"/>
  <c r="BD58" i="6"/>
  <c r="K134" i="24"/>
  <c r="BE78" i="6"/>
  <c r="BE74" i="6"/>
  <c r="BE75" i="6"/>
  <c r="Q249" i="5" l="1"/>
  <c r="L139" i="29"/>
  <c r="L141" i="29" s="1"/>
  <c r="S32" i="5"/>
  <c r="K134" i="29"/>
  <c r="K136" i="29" s="1"/>
  <c r="R31" i="5"/>
  <c r="BE76" i="6"/>
  <c r="K136" i="24" s="1"/>
  <c r="I175" i="29"/>
  <c r="BD66" i="6"/>
  <c r="BD61" i="6"/>
  <c r="BH59" i="6"/>
  <c r="BD59" i="6"/>
  <c r="K153" i="24"/>
  <c r="R249" i="5" l="1"/>
  <c r="K102" i="38"/>
  <c r="Q252" i="5"/>
  <c r="Q269" i="5" s="1"/>
  <c r="BE79" i="6"/>
  <c r="K155" i="24"/>
  <c r="Q161" i="5" s="1"/>
  <c r="L134" i="29"/>
  <c r="L136" i="29" s="1"/>
  <c r="S31" i="5"/>
  <c r="M139" i="29"/>
  <c r="M141" i="29" s="1"/>
  <c r="T32" i="5"/>
  <c r="K140" i="24"/>
  <c r="Q159" i="5"/>
  <c r="S249" i="5" l="1"/>
  <c r="L102" i="38"/>
  <c r="R252" i="5"/>
  <c r="R269" i="5" s="1"/>
  <c r="K167" i="24"/>
  <c r="K172" i="24" s="1"/>
  <c r="K173" i="24" s="1"/>
  <c r="Q171" i="5"/>
  <c r="K50" i="38" s="1"/>
  <c r="K52" i="38" s="1"/>
  <c r="N139" i="29"/>
  <c r="N141" i="29" s="1"/>
  <c r="V32" i="5" s="1"/>
  <c r="U32" i="5"/>
  <c r="M134" i="29"/>
  <c r="M136" i="29" s="1"/>
  <c r="T31" i="5"/>
  <c r="T249" i="5" l="1"/>
  <c r="M102" i="38"/>
  <c r="S252" i="5"/>
  <c r="S269" i="5" s="1"/>
  <c r="T269" i="5" s="1"/>
  <c r="U269" i="5" s="1"/>
  <c r="V269" i="5" s="1"/>
  <c r="R172" i="5"/>
  <c r="Q172" i="5"/>
  <c r="I43" i="53"/>
  <c r="J43" i="53" s="1"/>
  <c r="K43" i="53" s="1"/>
  <c r="N134" i="29"/>
  <c r="N136" i="29" s="1"/>
  <c r="V31" i="5" s="1"/>
  <c r="U31" i="5"/>
  <c r="L53" i="38"/>
  <c r="K53" i="38"/>
  <c r="V249" i="5" l="1"/>
  <c r="U249" i="5"/>
  <c r="N102" i="38"/>
  <c r="T252" i="5"/>
  <c r="H175" i="29"/>
  <c r="H176" i="29"/>
  <c r="O102" i="38" l="1"/>
  <c r="U252" i="5"/>
  <c r="P102" i="38"/>
  <c r="V252" i="5"/>
  <c r="I176" i="29"/>
  <c r="H348" i="29" l="1"/>
  <c r="H349" i="29"/>
  <c r="I348" i="29" l="1"/>
  <c r="I349" i="29"/>
  <c r="J349" i="29" l="1"/>
  <c r="J348" i="29"/>
  <c r="K349" i="29" l="1"/>
  <c r="K348" i="29"/>
  <c r="L349" i="29" l="1"/>
  <c r="L348" i="29"/>
  <c r="M348" i="29" l="1"/>
  <c r="M349" i="29"/>
  <c r="N348" i="29" l="1"/>
  <c r="N349" i="29" l="1"/>
  <c r="F338" i="29" l="1"/>
  <c r="F334" i="29" l="1"/>
  <c r="F335" i="29" l="1"/>
  <c r="F333" i="29"/>
  <c r="I263" i="29"/>
  <c r="I246" i="29"/>
  <c r="K248" i="29"/>
  <c r="BL26" i="6" s="1"/>
  <c r="K249" i="29"/>
  <c r="M248" i="29"/>
  <c r="BT26" i="6" s="1"/>
  <c r="J248" i="29"/>
  <c r="BH26" i="6" s="1"/>
  <c r="J263" i="29"/>
  <c r="J246" i="29"/>
  <c r="L246" i="29"/>
  <c r="L263" i="29"/>
  <c r="N241" i="29"/>
  <c r="N263" i="29"/>
  <c r="J241" i="29"/>
  <c r="J242" i="29" s="1"/>
  <c r="H263" i="29"/>
  <c r="M241" i="29"/>
  <c r="M242" i="29" s="1"/>
  <c r="I241" i="29"/>
  <c r="I242" i="29" s="1"/>
  <c r="K241" i="29"/>
  <c r="K242" i="29" s="1"/>
  <c r="H241" i="29"/>
  <c r="L241" i="29"/>
  <c r="L242" i="29" s="1"/>
  <c r="N242" i="29" l="1"/>
  <c r="K246" i="29"/>
  <c r="I248" i="29"/>
  <c r="BD26" i="6" s="1"/>
  <c r="K263" i="29"/>
  <c r="I249" i="29"/>
  <c r="H248" i="29"/>
  <c r="AZ26" i="6" s="1"/>
  <c r="N246" i="29"/>
  <c r="H249" i="29"/>
  <c r="N249" i="29"/>
  <c r="N248" i="29"/>
  <c r="BX26" i="6" s="1"/>
  <c r="J249" i="29"/>
  <c r="M263" i="29"/>
  <c r="M246" i="29"/>
  <c r="L248" i="29"/>
  <c r="BP26" i="6" s="1"/>
  <c r="H242" i="29"/>
  <c r="M249" i="29"/>
  <c r="H246" i="29"/>
  <c r="L249" i="29"/>
  <c r="H276" i="29" l="1"/>
  <c r="G275" i="29"/>
  <c r="G276" i="29"/>
  <c r="I276" i="29" l="1"/>
  <c r="H275" i="29"/>
  <c r="J276" i="29" l="1"/>
  <c r="I275" i="29"/>
  <c r="K276" i="29" l="1"/>
  <c r="J275" i="29"/>
  <c r="L276" i="29" l="1"/>
  <c r="K275" i="29"/>
  <c r="L275" i="29" l="1"/>
  <c r="M276" i="29"/>
  <c r="N276" i="29" l="1"/>
  <c r="M275" i="29"/>
  <c r="N275" i="29" l="1"/>
  <c r="H295" i="29"/>
  <c r="H319" i="29" s="1"/>
  <c r="N289" i="29"/>
  <c r="J289" i="29"/>
  <c r="M295" i="29"/>
  <c r="K295" i="29"/>
  <c r="H292" i="29"/>
  <c r="H316" i="29" s="1"/>
  <c r="I289" i="29"/>
  <c r="L288" i="29"/>
  <c r="L295" i="29"/>
  <c r="I292" i="29"/>
  <c r="I316" i="29" s="1"/>
  <c r="K288" i="29"/>
  <c r="J292" i="29"/>
  <c r="M288" i="29"/>
  <c r="N288" i="29"/>
  <c r="K319" i="29" l="1"/>
  <c r="K122" i="29"/>
  <c r="K117" i="29" s="1"/>
  <c r="L319" i="29"/>
  <c r="L122" i="29"/>
  <c r="L117" i="29" s="1"/>
  <c r="J316" i="29"/>
  <c r="J108" i="29"/>
  <c r="J102" i="29" s="1"/>
  <c r="M319" i="29"/>
  <c r="M122" i="29"/>
  <c r="M117" i="29" s="1"/>
  <c r="L292" i="29"/>
  <c r="J295" i="29"/>
  <c r="N292" i="29"/>
  <c r="H289" i="29"/>
  <c r="H298" i="29"/>
  <c r="H322" i="29" s="1"/>
  <c r="K289" i="29"/>
  <c r="J288" i="29"/>
  <c r="M289" i="29"/>
  <c r="L289" i="29"/>
  <c r="N295" i="29"/>
  <c r="H288" i="29"/>
  <c r="I288" i="29"/>
  <c r="M292" i="29"/>
  <c r="M108" i="29" s="1"/>
  <c r="M102" i="29" s="1"/>
  <c r="K292" i="29"/>
  <c r="K108" i="29" s="1"/>
  <c r="K102" i="29" s="1"/>
  <c r="I295" i="29"/>
  <c r="L334" i="29" l="1"/>
  <c r="N319" i="29"/>
  <c r="N122" i="29"/>
  <c r="N117" i="29" s="1"/>
  <c r="N316" i="29"/>
  <c r="N108" i="29"/>
  <c r="N102" i="29" s="1"/>
  <c r="J319" i="29"/>
  <c r="K334" i="29" s="1"/>
  <c r="J122" i="29"/>
  <c r="J117" i="29" s="1"/>
  <c r="L316" i="29"/>
  <c r="L108" i="29"/>
  <c r="L102" i="29" s="1"/>
  <c r="M298" i="29"/>
  <c r="M322" i="29" s="1"/>
  <c r="M316" i="29"/>
  <c r="K298" i="29"/>
  <c r="K322" i="29" s="1"/>
  <c r="K316" i="29"/>
  <c r="K333" i="29" s="1"/>
  <c r="J298" i="29"/>
  <c r="J322" i="29" s="1"/>
  <c r="I298" i="29"/>
  <c r="I322" i="29" s="1"/>
  <c r="I335" i="29" s="1"/>
  <c r="I319" i="29"/>
  <c r="I334" i="29" s="1"/>
  <c r="J333" i="29"/>
  <c r="L298" i="29"/>
  <c r="H301" i="29"/>
  <c r="N298" i="29"/>
  <c r="N322" i="29" s="1"/>
  <c r="H300" i="29"/>
  <c r="M334" i="29"/>
  <c r="N334" i="29"/>
  <c r="I333" i="29"/>
  <c r="J300" i="29" l="1"/>
  <c r="M333" i="29"/>
  <c r="I301" i="29"/>
  <c r="J301" i="29"/>
  <c r="I300" i="29"/>
  <c r="N300" i="29"/>
  <c r="K300" i="29"/>
  <c r="N301" i="29"/>
  <c r="L300" i="29"/>
  <c r="L322" i="29"/>
  <c r="L301" i="29"/>
  <c r="N333" i="29"/>
  <c r="J334" i="29"/>
  <c r="M301" i="29"/>
  <c r="J335" i="29"/>
  <c r="L333" i="29"/>
  <c r="M300" i="29"/>
  <c r="K301" i="29"/>
  <c r="K335" i="29" l="1"/>
  <c r="L335" i="29"/>
  <c r="M335" i="29"/>
  <c r="N335" i="29"/>
  <c r="G288" i="29"/>
  <c r="G342" i="29"/>
  <c r="G289" i="29"/>
  <c r="G292" i="29"/>
  <c r="G297" i="29"/>
  <c r="G296" i="29"/>
  <c r="G320" i="29" s="1"/>
  <c r="G295" i="29"/>
  <c r="G294" i="29"/>
  <c r="G293" i="29"/>
  <c r="G317" i="29" s="1"/>
  <c r="G318" i="29" l="1"/>
  <c r="G108" i="29"/>
  <c r="G102" i="29" s="1"/>
  <c r="G321" i="29"/>
  <c r="G122" i="29"/>
  <c r="G117" i="29" s="1"/>
  <c r="G316" i="29"/>
  <c r="H333" i="29" s="1"/>
  <c r="G319" i="29"/>
  <c r="H334" i="29" s="1"/>
  <c r="G298" i="29"/>
  <c r="G322" i="29" s="1"/>
  <c r="G333" i="29" l="1"/>
  <c r="G123" i="29"/>
  <c r="G118" i="29" s="1"/>
  <c r="G109" i="29"/>
  <c r="G103" i="29" s="1"/>
  <c r="G334" i="29"/>
  <c r="G300" i="29"/>
  <c r="G301" i="29"/>
  <c r="G335" i="29"/>
  <c r="H335" i="29"/>
  <c r="AO48" i="6"/>
  <c r="AN48" i="6" s="1"/>
  <c r="AO49" i="6"/>
  <c r="AN49" i="6" s="1"/>
  <c r="AO50" i="6"/>
  <c r="AN50" i="6" s="1"/>
  <c r="AK48" i="6"/>
  <c r="AK49" i="6"/>
  <c r="AK50" i="6"/>
  <c r="AO47" i="6"/>
  <c r="AN47" i="6" s="1"/>
  <c r="AK47" i="6"/>
  <c r="O27" i="5" l="1"/>
  <c r="O25" i="5"/>
  <c r="G110" i="29"/>
  <c r="O26" i="5"/>
  <c r="G124" i="29"/>
  <c r="AK53" i="6"/>
  <c r="AL53" i="6" s="1"/>
  <c r="AN53" i="6"/>
  <c r="AO53" i="6" s="1"/>
  <c r="G126" i="29" l="1"/>
  <c r="G112" i="29"/>
  <c r="O35" i="5"/>
  <c r="O24" i="5"/>
  <c r="O76" i="5"/>
  <c r="AK55" i="6"/>
  <c r="O36" i="5"/>
  <c r="O77" i="5"/>
  <c r="O85" i="5" s="1"/>
  <c r="O37" i="5"/>
  <c r="O78" i="5"/>
  <c r="O86" i="5" s="1"/>
  <c r="AN55" i="6"/>
  <c r="AN70" i="6" s="1"/>
  <c r="H121" i="29" l="1"/>
  <c r="H116" i="29" s="1"/>
  <c r="G119" i="29"/>
  <c r="G104" i="29"/>
  <c r="H107" i="29"/>
  <c r="H101" i="29" s="1"/>
  <c r="AN58" i="6"/>
  <c r="I182" i="29"/>
  <c r="I181" i="29" s="1"/>
  <c r="AO55" i="6"/>
  <c r="O136" i="5"/>
  <c r="O94" i="5"/>
  <c r="H182" i="29"/>
  <c r="AK58" i="6"/>
  <c r="AK70" i="6"/>
  <c r="O84" i="5"/>
  <c r="E11" i="39"/>
  <c r="O28" i="5"/>
  <c r="O81" i="5"/>
  <c r="O135" i="5"/>
  <c r="H15" i="4"/>
  <c r="H37" i="4" s="1"/>
  <c r="O93" i="5"/>
  <c r="AL55" i="6"/>
  <c r="G12" i="39"/>
  <c r="AO58" i="6"/>
  <c r="I180" i="29" l="1"/>
  <c r="I184" i="29" s="1"/>
  <c r="H20" i="4"/>
  <c r="H39" i="4" s="1"/>
  <c r="H40" i="4" s="1"/>
  <c r="H25" i="4" s="1"/>
  <c r="O102" i="5"/>
  <c r="I65" i="8" s="1"/>
  <c r="F60" i="53" s="1"/>
  <c r="F61" i="53" s="1"/>
  <c r="O143" i="5"/>
  <c r="O127" i="5"/>
  <c r="O119" i="5"/>
  <c r="AL58" i="6"/>
  <c r="AL59" i="6" s="1"/>
  <c r="F12" i="39"/>
  <c r="H180" i="29"/>
  <c r="H181" i="29"/>
  <c r="O134" i="5"/>
  <c r="O92" i="5"/>
  <c r="H14" i="4"/>
  <c r="H30" i="4" s="1"/>
  <c r="H16" i="4"/>
  <c r="H44" i="4" s="1"/>
  <c r="O89" i="5"/>
  <c r="O120" i="5"/>
  <c r="O103" i="5"/>
  <c r="O128" i="5"/>
  <c r="O144" i="5"/>
  <c r="I27" i="38"/>
  <c r="O82" i="5"/>
  <c r="I185" i="29"/>
  <c r="I189" i="29"/>
  <c r="I122" i="29" s="1"/>
  <c r="I117" i="29" s="1"/>
  <c r="I188" i="29" l="1"/>
  <c r="I108" i="29" s="1"/>
  <c r="I102" i="29" s="1"/>
  <c r="I36" i="38"/>
  <c r="I37" i="38" s="1"/>
  <c r="I29" i="38"/>
  <c r="O142" i="5"/>
  <c r="H21" i="4"/>
  <c r="H46" i="4" s="1"/>
  <c r="H47" i="4" s="1"/>
  <c r="H26" i="4" s="1"/>
  <c r="O118" i="5"/>
  <c r="O123" i="5" s="1"/>
  <c r="O101" i="5"/>
  <c r="O97" i="5"/>
  <c r="H19" i="4"/>
  <c r="H32" i="4" s="1"/>
  <c r="H33" i="4" s="1"/>
  <c r="H24" i="4" s="1"/>
  <c r="O126" i="5"/>
  <c r="O131" i="5" s="1"/>
  <c r="O139" i="5"/>
  <c r="O90" i="5"/>
  <c r="O173" i="5"/>
  <c r="H189" i="29"/>
  <c r="H185" i="29"/>
  <c r="H188" i="29"/>
  <c r="H184" i="29"/>
  <c r="AO59" i="6"/>
  <c r="I205" i="29"/>
  <c r="I190" i="29"/>
  <c r="I206" i="29" s="1"/>
  <c r="I204" i="29" l="1"/>
  <c r="J214" i="29" s="1"/>
  <c r="H108" i="29"/>
  <c r="H102" i="29" s="1"/>
  <c r="H204" i="29"/>
  <c r="H214" i="29" s="1"/>
  <c r="H190" i="29"/>
  <c r="H206" i="29" s="1"/>
  <c r="H216" i="29" s="1"/>
  <c r="O147" i="5"/>
  <c r="O98" i="5"/>
  <c r="O179" i="5"/>
  <c r="P13" i="9"/>
  <c r="O106" i="5"/>
  <c r="O107" i="5" s="1"/>
  <c r="I61" i="8"/>
  <c r="I30" i="38"/>
  <c r="I44" i="38"/>
  <c r="I55" i="38" s="1"/>
  <c r="H122" i="29"/>
  <c r="H117" i="29" s="1"/>
  <c r="H205" i="29"/>
  <c r="H215" i="29" s="1"/>
  <c r="I216" i="29"/>
  <c r="J216" i="29"/>
  <c r="I193" i="29"/>
  <c r="I214" i="29"/>
  <c r="I192" i="29"/>
  <c r="J215" i="29"/>
  <c r="I215" i="29" l="1"/>
  <c r="H193" i="29"/>
  <c r="H192" i="29"/>
  <c r="O243" i="5"/>
  <c r="O180" i="5"/>
  <c r="F53" i="53"/>
  <c r="F54" i="53" s="1"/>
  <c r="F63" i="53" s="1"/>
  <c r="I68" i="8"/>
  <c r="O257" i="5"/>
  <c r="O263" i="5"/>
  <c r="H123" i="29"/>
  <c r="H118" i="29" s="1"/>
  <c r="I100" i="38"/>
  <c r="I105" i="38" s="1"/>
  <c r="I61" i="38"/>
  <c r="I56" i="38"/>
  <c r="P12" i="9"/>
  <c r="E8" i="39"/>
  <c r="E15" i="39" s="1"/>
  <c r="P24" i="9"/>
  <c r="H109" i="29"/>
  <c r="H103" i="29" s="1"/>
  <c r="P27" i="5" l="1"/>
  <c r="H110" i="29"/>
  <c r="P25" i="5"/>
  <c r="H124" i="29"/>
  <c r="H126" i="29" s="1"/>
  <c r="P26" i="5"/>
  <c r="I16" i="8"/>
  <c r="P39" i="9"/>
  <c r="I69" i="38"/>
  <c r="I62" i="38"/>
  <c r="T6" i="39"/>
  <c r="E25" i="39"/>
  <c r="E33" i="39" s="1"/>
  <c r="E42" i="39" s="1"/>
  <c r="I106" i="38"/>
  <c r="I115" i="38"/>
  <c r="I116" i="38" s="1"/>
  <c r="O267" i="5"/>
  <c r="O272" i="5" s="1"/>
  <c r="O276" i="5" s="1"/>
  <c r="O245" i="5"/>
  <c r="O246" i="5" s="1"/>
  <c r="I121" i="29" l="1"/>
  <c r="I116" i="29" s="1"/>
  <c r="H119" i="29"/>
  <c r="H112" i="29"/>
  <c r="P283" i="5"/>
  <c r="P284" i="5" s="1"/>
  <c r="P274" i="5"/>
  <c r="T57" i="39"/>
  <c r="T59" i="39"/>
  <c r="T64" i="39" s="1"/>
  <c r="T68" i="39" s="1"/>
  <c r="I186" i="8"/>
  <c r="I21" i="8"/>
  <c r="I229" i="8"/>
  <c r="I234" i="8" s="1"/>
  <c r="I111" i="8"/>
  <c r="I116" i="8" s="1"/>
  <c r="I148" i="8"/>
  <c r="I153" i="8" s="1"/>
  <c r="I188" i="8"/>
  <c r="I71" i="8"/>
  <c r="I76" i="8" s="1"/>
  <c r="P35" i="5"/>
  <c r="P24" i="5"/>
  <c r="P76" i="5"/>
  <c r="P36" i="5"/>
  <c r="P77" i="5"/>
  <c r="P85" i="5" s="1"/>
  <c r="I91" i="38"/>
  <c r="I93" i="38" s="1"/>
  <c r="I94" i="38" s="1"/>
  <c r="I70" i="38"/>
  <c r="P37" i="5"/>
  <c r="P78" i="5"/>
  <c r="P86" i="5" s="1"/>
  <c r="E57" i="39"/>
  <c r="E61" i="39" s="1"/>
  <c r="E43" i="39"/>
  <c r="P40" i="9"/>
  <c r="P54" i="9"/>
  <c r="I123" i="29" l="1"/>
  <c r="H104" i="29"/>
  <c r="I107" i="29"/>
  <c r="I101" i="29" s="1"/>
  <c r="P55" i="9"/>
  <c r="P84" i="9"/>
  <c r="P88" i="9" s="1"/>
  <c r="P56" i="9"/>
  <c r="T60" i="39"/>
  <c r="P84" i="5"/>
  <c r="P28" i="5"/>
  <c r="F11" i="39"/>
  <c r="P81" i="5"/>
  <c r="P136" i="5"/>
  <c r="P94" i="5"/>
  <c r="P93" i="5"/>
  <c r="P135" i="5"/>
  <c r="I15" i="4"/>
  <c r="F59" i="39"/>
  <c r="T10" i="39"/>
  <c r="I189" i="8"/>
  <c r="I192" i="8" s="1"/>
  <c r="I197" i="8" s="1"/>
  <c r="P286" i="5"/>
  <c r="Q285" i="5" s="1"/>
  <c r="I118" i="29" l="1"/>
  <c r="Q26" i="5" s="1"/>
  <c r="I109" i="29"/>
  <c r="I103" i="29" s="1"/>
  <c r="P287" i="5"/>
  <c r="P306" i="5" s="1"/>
  <c r="I20" i="4"/>
  <c r="P119" i="5"/>
  <c r="P143" i="5"/>
  <c r="P127" i="5"/>
  <c r="P102" i="5"/>
  <c r="J65" i="8" s="1"/>
  <c r="G60" i="53" s="1"/>
  <c r="G61" i="53" s="1"/>
  <c r="J27" i="38"/>
  <c r="P82" i="5"/>
  <c r="P120" i="5"/>
  <c r="P128" i="5"/>
  <c r="P103" i="5"/>
  <c r="P144" i="5"/>
  <c r="P94" i="9"/>
  <c r="Q86" i="9"/>
  <c r="I23" i="8"/>
  <c r="E63" i="39"/>
  <c r="I37" i="4"/>
  <c r="X23" i="4"/>
  <c r="I14" i="4"/>
  <c r="I16" i="4"/>
  <c r="P92" i="5"/>
  <c r="P134" i="5"/>
  <c r="P89" i="5"/>
  <c r="I124" i="29" l="1"/>
  <c r="I126" i="29" s="1"/>
  <c r="I119" i="29" s="1"/>
  <c r="Q36" i="5"/>
  <c r="Q77" i="5"/>
  <c r="Q85" i="5" s="1"/>
  <c r="Q135" i="5" s="1"/>
  <c r="P296" i="5"/>
  <c r="Q22" i="9" s="1"/>
  <c r="F13" i="39" s="1"/>
  <c r="Q25" i="5"/>
  <c r="Q27" i="5"/>
  <c r="Q37" i="5" s="1"/>
  <c r="P173" i="5"/>
  <c r="P256" i="5" s="1"/>
  <c r="P139" i="5"/>
  <c r="P90" i="5"/>
  <c r="I30" i="4"/>
  <c r="X22" i="4"/>
  <c r="I27" i="8"/>
  <c r="I79" i="8" s="1"/>
  <c r="O13" i="36"/>
  <c r="BG105" i="35"/>
  <c r="BH105" i="16"/>
  <c r="Y23" i="4"/>
  <c r="Y27" i="4"/>
  <c r="I21" i="4"/>
  <c r="P142" i="5"/>
  <c r="P118" i="5"/>
  <c r="P123" i="5" s="1"/>
  <c r="P126" i="5"/>
  <c r="P131" i="5" s="1"/>
  <c r="I19" i="4"/>
  <c r="P97" i="5"/>
  <c r="P101" i="5"/>
  <c r="J36" i="38"/>
  <c r="J37" i="38" s="1"/>
  <c r="J29" i="38"/>
  <c r="I44" i="4"/>
  <c r="X24" i="4"/>
  <c r="I39" i="4"/>
  <c r="I40" i="4" s="1"/>
  <c r="I25" i="4" s="1"/>
  <c r="X41" i="4" s="1"/>
  <c r="X32" i="4"/>
  <c r="Q93" i="5" l="1"/>
  <c r="Q127" i="5" s="1"/>
  <c r="J121" i="29"/>
  <c r="J116" i="29" s="1"/>
  <c r="P307" i="5"/>
  <c r="P305" i="5" s="1"/>
  <c r="J15" i="4"/>
  <c r="J37" i="4" s="1"/>
  <c r="Q76" i="5"/>
  <c r="Q84" i="5" s="1"/>
  <c r="Q35" i="5"/>
  <c r="Q24" i="5"/>
  <c r="I110" i="29"/>
  <c r="I112" i="29" s="1"/>
  <c r="J123" i="29"/>
  <c r="J20" i="4"/>
  <c r="J39" i="4" s="1"/>
  <c r="J40" i="4" s="1"/>
  <c r="J25" i="4" s="1"/>
  <c r="Q78" i="5"/>
  <c r="G11" i="39"/>
  <c r="X27" i="4"/>
  <c r="Y24" i="4"/>
  <c r="Y28" i="4"/>
  <c r="P106" i="5"/>
  <c r="J61" i="8"/>
  <c r="P147" i="5"/>
  <c r="P98" i="5"/>
  <c r="Y36" i="4"/>
  <c r="Y32" i="4"/>
  <c r="J30" i="38"/>
  <c r="J44" i="38"/>
  <c r="J55" i="38" s="1"/>
  <c r="X31" i="4"/>
  <c r="I32" i="4"/>
  <c r="I33" i="4" s="1"/>
  <c r="I24" i="4" s="1"/>
  <c r="X40" i="4" s="1"/>
  <c r="X33" i="4"/>
  <c r="I46" i="4"/>
  <c r="I47" i="4" s="1"/>
  <c r="I26" i="4" s="1"/>
  <c r="X42" i="4" s="1"/>
  <c r="X45" i="4" s="1"/>
  <c r="Y45" i="4"/>
  <c r="Y41" i="4"/>
  <c r="Y22" i="4"/>
  <c r="Y26" i="4"/>
  <c r="X26" i="4"/>
  <c r="P179" i="5"/>
  <c r="Q13" i="9"/>
  <c r="Q143" i="5" l="1"/>
  <c r="Q119" i="5"/>
  <c r="Q28" i="5"/>
  <c r="Q102" i="5"/>
  <c r="K65" i="8" s="1"/>
  <c r="H60" i="53" s="1"/>
  <c r="H61" i="53" s="1"/>
  <c r="J107" i="29"/>
  <c r="J101" i="29" s="1"/>
  <c r="I104" i="29"/>
  <c r="J14" i="4"/>
  <c r="J30" i="4" s="1"/>
  <c r="Q134" i="5"/>
  <c r="Q92" i="5"/>
  <c r="J118" i="29"/>
  <c r="J124" i="29" s="1"/>
  <c r="J126" i="29" s="1"/>
  <c r="K121" i="29" s="1"/>
  <c r="K116" i="29" s="1"/>
  <c r="Q86" i="5"/>
  <c r="Q89" i="5" s="1"/>
  <c r="J109" i="29"/>
  <c r="J103" i="29" s="1"/>
  <c r="Q81" i="5"/>
  <c r="K27" i="38" s="1"/>
  <c r="X28" i="4"/>
  <c r="Q24" i="9"/>
  <c r="F8" i="39"/>
  <c r="F15" i="39" s="1"/>
  <c r="Q12" i="9"/>
  <c r="Y31" i="4"/>
  <c r="Y35" i="4"/>
  <c r="X35" i="4"/>
  <c r="P107" i="5"/>
  <c r="F42" i="53"/>
  <c r="G42" i="53" s="1"/>
  <c r="P180" i="5"/>
  <c r="P243" i="5"/>
  <c r="Y46" i="4"/>
  <c r="Y42" i="4"/>
  <c r="J61" i="38"/>
  <c r="J56" i="38"/>
  <c r="J100" i="38"/>
  <c r="J105" i="38" s="1"/>
  <c r="P263" i="5"/>
  <c r="P257" i="5"/>
  <c r="X36" i="4"/>
  <c r="Y37" i="4"/>
  <c r="Y33" i="4"/>
  <c r="Y40" i="4"/>
  <c r="X44" i="4"/>
  <c r="X46" i="4" s="1"/>
  <c r="Y44" i="4"/>
  <c r="J68" i="8"/>
  <c r="G53" i="53"/>
  <c r="G54" i="53" s="1"/>
  <c r="G63" i="53" s="1"/>
  <c r="H11" i="39"/>
  <c r="R26" i="5" l="1"/>
  <c r="R36" i="5" s="1"/>
  <c r="R25" i="5"/>
  <c r="Q142" i="5"/>
  <c r="Q118" i="5"/>
  <c r="Q126" i="5"/>
  <c r="Q101" i="5"/>
  <c r="K61" i="8" s="1"/>
  <c r="J19" i="4"/>
  <c r="J32" i="4" s="1"/>
  <c r="J33" i="4" s="1"/>
  <c r="J24" i="4" s="1"/>
  <c r="J16" i="4"/>
  <c r="J44" i="4" s="1"/>
  <c r="K123" i="29"/>
  <c r="K118" i="29" s="1"/>
  <c r="K124" i="29" s="1"/>
  <c r="K126" i="29" s="1"/>
  <c r="J119" i="29"/>
  <c r="Q136" i="5"/>
  <c r="Q94" i="5"/>
  <c r="Q120" i="5" s="1"/>
  <c r="Q123" i="5" s="1"/>
  <c r="J110" i="29"/>
  <c r="J112" i="29" s="1"/>
  <c r="J104" i="29" s="1"/>
  <c r="R27" i="5"/>
  <c r="R37" i="5" s="1"/>
  <c r="R77" i="5"/>
  <c r="R85" i="5" s="1"/>
  <c r="K15" i="4" s="1"/>
  <c r="K37" i="4" s="1"/>
  <c r="Q82" i="5"/>
  <c r="Q173" i="5"/>
  <c r="Q256" i="5" s="1"/>
  <c r="Q139" i="5"/>
  <c r="Q90" i="5"/>
  <c r="K29" i="38"/>
  <c r="K36" i="38"/>
  <c r="K37" i="38" s="1"/>
  <c r="J115" i="38"/>
  <c r="J116" i="38" s="1"/>
  <c r="J106" i="38"/>
  <c r="P245" i="5"/>
  <c r="P246" i="5" s="1"/>
  <c r="P267" i="5"/>
  <c r="P272" i="5" s="1"/>
  <c r="P276" i="5" s="1"/>
  <c r="X37" i="4"/>
  <c r="U6" i="39"/>
  <c r="F25" i="39"/>
  <c r="F33" i="39" s="1"/>
  <c r="F42" i="39" s="1"/>
  <c r="J69" i="38"/>
  <c r="J62" i="38"/>
  <c r="Q39" i="9"/>
  <c r="J16" i="8"/>
  <c r="S26" i="5"/>
  <c r="S36" i="5" s="1"/>
  <c r="K68" i="8"/>
  <c r="H53" i="53"/>
  <c r="H54" i="53" s="1"/>
  <c r="Q144" i="5" l="1"/>
  <c r="R35" i="5"/>
  <c r="R24" i="5"/>
  <c r="R76" i="5"/>
  <c r="Q97" i="5"/>
  <c r="Q98" i="5" s="1"/>
  <c r="Q128" i="5"/>
  <c r="Q131" i="5" s="1"/>
  <c r="Q103" i="5"/>
  <c r="Q106" i="5" s="1"/>
  <c r="Q107" i="5" s="1"/>
  <c r="J21" i="4"/>
  <c r="J46" i="4" s="1"/>
  <c r="J47" i="4" s="1"/>
  <c r="J26" i="4" s="1"/>
  <c r="R78" i="5"/>
  <c r="R86" i="5" s="1"/>
  <c r="R94" i="5" s="1"/>
  <c r="K107" i="29"/>
  <c r="K101" i="29" s="1"/>
  <c r="R135" i="5"/>
  <c r="R93" i="5"/>
  <c r="L121" i="29"/>
  <c r="L116" i="29" s="1"/>
  <c r="K119" i="29"/>
  <c r="R84" i="5"/>
  <c r="K30" i="38"/>
  <c r="K44" i="38"/>
  <c r="K55" i="38" s="1"/>
  <c r="Q147" i="5"/>
  <c r="Q179" i="5"/>
  <c r="R13" i="9"/>
  <c r="J229" i="8"/>
  <c r="J234" i="8" s="1"/>
  <c r="J186" i="8"/>
  <c r="J188" i="8"/>
  <c r="J21" i="8"/>
  <c r="J111" i="8"/>
  <c r="J116" i="8" s="1"/>
  <c r="J148" i="8"/>
  <c r="J153" i="8" s="1"/>
  <c r="J71" i="8"/>
  <c r="J76" i="8" s="1"/>
  <c r="D17" i="52"/>
  <c r="D19" i="52" s="1"/>
  <c r="D21" i="52" s="1"/>
  <c r="F57" i="39"/>
  <c r="F61" i="39" s="1"/>
  <c r="F43" i="39"/>
  <c r="J70" i="38"/>
  <c r="J91" i="38"/>
  <c r="J93" i="38" s="1"/>
  <c r="J94" i="38" s="1"/>
  <c r="Q274" i="5"/>
  <c r="Q283" i="5"/>
  <c r="Q284" i="5" s="1"/>
  <c r="Q286" i="5" s="1"/>
  <c r="R285" i="5" s="1"/>
  <c r="Q40" i="9"/>
  <c r="Q54" i="9"/>
  <c r="U59" i="39"/>
  <c r="U64" i="39" s="1"/>
  <c r="U68" i="39" s="1"/>
  <c r="U57" i="39"/>
  <c r="S77" i="5"/>
  <c r="S85" i="5" s="1"/>
  <c r="H63" i="53"/>
  <c r="L123" i="29"/>
  <c r="L118" i="29" s="1"/>
  <c r="K109" i="29" l="1"/>
  <c r="K103" i="29" s="1"/>
  <c r="S25" i="5" s="1"/>
  <c r="R81" i="5"/>
  <c r="R136" i="5"/>
  <c r="R28" i="5"/>
  <c r="R119" i="5"/>
  <c r="K20" i="4"/>
  <c r="K39" i="4" s="1"/>
  <c r="K40" i="4" s="1"/>
  <c r="K25" i="4" s="1"/>
  <c r="R143" i="5"/>
  <c r="R102" i="5"/>
  <c r="L65" i="8" s="1"/>
  <c r="I60" i="53" s="1"/>
  <c r="I61" i="53" s="1"/>
  <c r="R127" i="5"/>
  <c r="R103" i="5"/>
  <c r="R144" i="5"/>
  <c r="R120" i="5"/>
  <c r="R128" i="5"/>
  <c r="L27" i="38"/>
  <c r="R82" i="5"/>
  <c r="K14" i="4"/>
  <c r="K30" i="4" s="1"/>
  <c r="R89" i="5"/>
  <c r="K16" i="4"/>
  <c r="K44" i="4" s="1"/>
  <c r="R92" i="5"/>
  <c r="R134" i="5"/>
  <c r="R12" i="9"/>
  <c r="G8" i="39"/>
  <c r="Q180" i="5"/>
  <c r="Q243" i="5"/>
  <c r="K61" i="38"/>
  <c r="K56" i="38"/>
  <c r="K100" i="38"/>
  <c r="K105" i="38" s="1"/>
  <c r="Q263" i="5"/>
  <c r="Q257" i="5"/>
  <c r="Q287" i="5"/>
  <c r="Q306" i="5" s="1"/>
  <c r="Q55" i="9"/>
  <c r="Q84" i="9"/>
  <c r="Q88" i="9" s="1"/>
  <c r="Q56" i="9"/>
  <c r="U60" i="39"/>
  <c r="J189" i="8"/>
  <c r="J192" i="8" s="1"/>
  <c r="J197" i="8" s="1"/>
  <c r="U10" i="39"/>
  <c r="G59" i="39"/>
  <c r="S135" i="5"/>
  <c r="S93" i="5"/>
  <c r="L15" i="4"/>
  <c r="L37" i="4" s="1"/>
  <c r="I11" i="39"/>
  <c r="S27" i="5" l="1"/>
  <c r="K110" i="29"/>
  <c r="K112" i="29" s="1"/>
  <c r="K104" i="29" s="1"/>
  <c r="Q296" i="5"/>
  <c r="Q307" i="5" s="1"/>
  <c r="Q305" i="5" s="1"/>
  <c r="R90" i="5"/>
  <c r="R139" i="5"/>
  <c r="R173" i="5"/>
  <c r="R256" i="5" s="1"/>
  <c r="S35" i="5"/>
  <c r="S24" i="5"/>
  <c r="S76" i="5"/>
  <c r="L36" i="38"/>
  <c r="L37" i="38" s="1"/>
  <c r="L29" i="38"/>
  <c r="R142" i="5"/>
  <c r="R101" i="5"/>
  <c r="R97" i="5"/>
  <c r="K19" i="4"/>
  <c r="K32" i="4" s="1"/>
  <c r="K33" i="4" s="1"/>
  <c r="K24" i="4" s="1"/>
  <c r="R118" i="5"/>
  <c r="R123" i="5" s="1"/>
  <c r="R126" i="5"/>
  <c r="R131" i="5" s="1"/>
  <c r="K21" i="4"/>
  <c r="K46" i="4" s="1"/>
  <c r="K47" i="4" s="1"/>
  <c r="K26" i="4" s="1"/>
  <c r="S37" i="5"/>
  <c r="S78" i="5"/>
  <c r="S86" i="5" s="1"/>
  <c r="Q245" i="5"/>
  <c r="Q246" i="5" s="1"/>
  <c r="Q267" i="5"/>
  <c r="Q272" i="5" s="1"/>
  <c r="Q276" i="5" s="1"/>
  <c r="K106" i="38"/>
  <c r="K115" i="38"/>
  <c r="K116" i="38" s="1"/>
  <c r="K62" i="38"/>
  <c r="K69" i="38"/>
  <c r="Q94" i="9"/>
  <c r="R86" i="9"/>
  <c r="F63" i="39"/>
  <c r="J23" i="8"/>
  <c r="L124" i="29"/>
  <c r="L126" i="29" s="1"/>
  <c r="T26" i="5"/>
  <c r="T36" i="5" s="1"/>
  <c r="S127" i="5"/>
  <c r="S143" i="5"/>
  <c r="L20" i="4"/>
  <c r="L39" i="4" s="1"/>
  <c r="L40" i="4" s="1"/>
  <c r="L25" i="4" s="1"/>
  <c r="S102" i="5"/>
  <c r="M65" i="8" s="1"/>
  <c r="J60" i="53" s="1"/>
  <c r="J61" i="53" s="1"/>
  <c r="S119" i="5"/>
  <c r="L107" i="29" l="1"/>
  <c r="L109" i="29" s="1"/>
  <c r="L103" i="29" s="1"/>
  <c r="R22" i="9"/>
  <c r="G13" i="39" s="1"/>
  <c r="G15" i="39" s="1"/>
  <c r="V6" i="39" s="1"/>
  <c r="M121" i="29"/>
  <c r="M116" i="29" s="1"/>
  <c r="L119" i="29"/>
  <c r="S94" i="5"/>
  <c r="S136" i="5"/>
  <c r="L30" i="38"/>
  <c r="L44" i="38"/>
  <c r="L55" i="38" s="1"/>
  <c r="R179" i="5"/>
  <c r="S13" i="9"/>
  <c r="R98" i="5"/>
  <c r="R147" i="5"/>
  <c r="R106" i="5"/>
  <c r="R107" i="5" s="1"/>
  <c r="L61" i="8"/>
  <c r="S84" i="5"/>
  <c r="S81" i="5"/>
  <c r="S28" i="5"/>
  <c r="K70" i="38"/>
  <c r="K91" i="38"/>
  <c r="K93" i="38" s="1"/>
  <c r="K94" i="38" s="1"/>
  <c r="R274" i="5"/>
  <c r="R283" i="5"/>
  <c r="R284" i="5" s="1"/>
  <c r="R286" i="5" s="1"/>
  <c r="S285" i="5" s="1"/>
  <c r="BG117" i="35"/>
  <c r="J27" i="8"/>
  <c r="J79" i="8" s="1"/>
  <c r="BH117" i="16"/>
  <c r="O14" i="36"/>
  <c r="T77" i="5"/>
  <c r="T85" i="5" s="1"/>
  <c r="L101" i="29" l="1"/>
  <c r="M123" i="29"/>
  <c r="M118" i="29" s="1"/>
  <c r="G25" i="39"/>
  <c r="G33" i="39" s="1"/>
  <c r="G42" i="39" s="1"/>
  <c r="G43" i="39" s="1"/>
  <c r="R24" i="9"/>
  <c r="K16" i="8" s="1"/>
  <c r="K229" i="8" s="1"/>
  <c r="K234" i="8" s="1"/>
  <c r="S12" i="9"/>
  <c r="H8" i="39"/>
  <c r="S82" i="5"/>
  <c r="M27" i="38"/>
  <c r="R243" i="5"/>
  <c r="R180" i="5"/>
  <c r="T27" i="5"/>
  <c r="T25" i="5"/>
  <c r="L110" i="29"/>
  <c r="L112" i="29" s="1"/>
  <c r="S134" i="5"/>
  <c r="S89" i="5"/>
  <c r="S92" i="5"/>
  <c r="L16" i="4"/>
  <c r="L44" i="4" s="1"/>
  <c r="L14" i="4"/>
  <c r="L30" i="4" s="1"/>
  <c r="L56" i="38"/>
  <c r="L100" i="38"/>
  <c r="L105" i="38" s="1"/>
  <c r="L61" i="38"/>
  <c r="L68" i="8"/>
  <c r="I53" i="53"/>
  <c r="I54" i="53" s="1"/>
  <c r="I63" i="53" s="1"/>
  <c r="R257" i="5"/>
  <c r="R263" i="5"/>
  <c r="S128" i="5"/>
  <c r="S120" i="5"/>
  <c r="S144" i="5"/>
  <c r="S103" i="5"/>
  <c r="R287" i="5"/>
  <c r="R306" i="5" s="1"/>
  <c r="V57" i="39"/>
  <c r="V59" i="39"/>
  <c r="V64" i="39" s="1"/>
  <c r="V68" i="39" s="1"/>
  <c r="T135" i="5"/>
  <c r="M15" i="4"/>
  <c r="M37" i="4" s="1"/>
  <c r="T93" i="5"/>
  <c r="J11" i="39"/>
  <c r="G57" i="39" l="1"/>
  <c r="G61" i="39" s="1"/>
  <c r="V10" i="39" s="1"/>
  <c r="K188" i="8"/>
  <c r="R39" i="9"/>
  <c r="R40" i="9" s="1"/>
  <c r="K111" i="8"/>
  <c r="K116" i="8" s="1"/>
  <c r="K148" i="8"/>
  <c r="K153" i="8" s="1"/>
  <c r="K21" i="8"/>
  <c r="K186" i="8"/>
  <c r="K71" i="8"/>
  <c r="K76" i="8" s="1"/>
  <c r="L104" i="29"/>
  <c r="S126" i="5"/>
  <c r="S131" i="5" s="1"/>
  <c r="S97" i="5"/>
  <c r="S101" i="5"/>
  <c r="S142" i="5"/>
  <c r="L21" i="4"/>
  <c r="L46" i="4" s="1"/>
  <c r="L47" i="4" s="1"/>
  <c r="L26" i="4" s="1"/>
  <c r="S118" i="5"/>
  <c r="S123" i="5" s="1"/>
  <c r="L19" i="4"/>
  <c r="L32" i="4" s="1"/>
  <c r="L33" i="4" s="1"/>
  <c r="L24" i="4" s="1"/>
  <c r="S90" i="5"/>
  <c r="S173" i="5"/>
  <c r="S256" i="5" s="1"/>
  <c r="S139" i="5"/>
  <c r="T37" i="5"/>
  <c r="T78" i="5"/>
  <c r="T86" i="5" s="1"/>
  <c r="T35" i="5"/>
  <c r="T76" i="5"/>
  <c r="T24" i="5"/>
  <c r="L115" i="38"/>
  <c r="L116" i="38" s="1"/>
  <c r="L106" i="38"/>
  <c r="M29" i="38"/>
  <c r="M36" i="38"/>
  <c r="M37" i="38" s="1"/>
  <c r="L62" i="38"/>
  <c r="L69" i="38"/>
  <c r="M107" i="29"/>
  <c r="R245" i="5"/>
  <c r="R246" i="5" s="1"/>
  <c r="R267" i="5"/>
  <c r="R272" i="5" s="1"/>
  <c r="R276" i="5" s="1"/>
  <c r="R296" i="5"/>
  <c r="R307" i="5" s="1"/>
  <c r="R305" i="5" s="1"/>
  <c r="V60" i="39"/>
  <c r="M124" i="29"/>
  <c r="M126" i="29" s="1"/>
  <c r="U26" i="5"/>
  <c r="U36" i="5" s="1"/>
  <c r="T143" i="5"/>
  <c r="T127" i="5"/>
  <c r="T119" i="5"/>
  <c r="T102" i="5"/>
  <c r="N65" i="8" s="1"/>
  <c r="K60" i="53" s="1"/>
  <c r="K61" i="53" s="1"/>
  <c r="M20" i="4"/>
  <c r="M39" i="4" s="1"/>
  <c r="M40" i="4" s="1"/>
  <c r="M25" i="4" s="1"/>
  <c r="R54" i="9" l="1"/>
  <c r="R56" i="9" s="1"/>
  <c r="H59" i="39"/>
  <c r="K189" i="8"/>
  <c r="K192" i="8" s="1"/>
  <c r="K197" i="8" s="1"/>
  <c r="N121" i="29"/>
  <c r="N116" i="29" s="1"/>
  <c r="M119" i="29"/>
  <c r="T136" i="5"/>
  <c r="T94" i="5"/>
  <c r="M61" i="8"/>
  <c r="S106" i="5"/>
  <c r="S107" i="5" s="1"/>
  <c r="S274" i="5"/>
  <c r="S283" i="5"/>
  <c r="S284" i="5" s="1"/>
  <c r="S286" i="5" s="1"/>
  <c r="T285" i="5" s="1"/>
  <c r="M109" i="29"/>
  <c r="M103" i="29" s="1"/>
  <c r="M101" i="29"/>
  <c r="M30" i="38"/>
  <c r="M44" i="38"/>
  <c r="M55" i="38" s="1"/>
  <c r="T81" i="5"/>
  <c r="T84" i="5"/>
  <c r="T28" i="5"/>
  <c r="S147" i="5"/>
  <c r="S98" i="5"/>
  <c r="L70" i="38"/>
  <c r="L91" i="38"/>
  <c r="L93" i="38" s="1"/>
  <c r="L94" i="38" s="1"/>
  <c r="S179" i="5"/>
  <c r="T13" i="9"/>
  <c r="R84" i="9"/>
  <c r="R88" i="9" s="1"/>
  <c r="S86" i="9" s="1"/>
  <c r="S22" i="9"/>
  <c r="U77" i="5"/>
  <c r="U85" i="5" s="1"/>
  <c r="R55" i="9" l="1"/>
  <c r="N123" i="29"/>
  <c r="N118" i="29" s="1"/>
  <c r="S287" i="5"/>
  <c r="S296" i="5" s="1"/>
  <c r="S263" i="5"/>
  <c r="S257" i="5"/>
  <c r="T134" i="5"/>
  <c r="M14" i="4"/>
  <c r="M30" i="4" s="1"/>
  <c r="T89" i="5"/>
  <c r="M16" i="4"/>
  <c r="M44" i="4" s="1"/>
  <c r="T92" i="5"/>
  <c r="I8" i="39"/>
  <c r="T12" i="9"/>
  <c r="T82" i="5"/>
  <c r="N27" i="38"/>
  <c r="U27" i="5"/>
  <c r="M110" i="29"/>
  <c r="M112" i="29" s="1"/>
  <c r="U25" i="5"/>
  <c r="J53" i="53"/>
  <c r="J54" i="53" s="1"/>
  <c r="J63" i="53" s="1"/>
  <c r="M68" i="8"/>
  <c r="S243" i="5"/>
  <c r="S180" i="5"/>
  <c r="M56" i="38"/>
  <c r="M100" i="38"/>
  <c r="M105" i="38" s="1"/>
  <c r="M61" i="38"/>
  <c r="T103" i="5"/>
  <c r="T128" i="5"/>
  <c r="T144" i="5"/>
  <c r="T120" i="5"/>
  <c r="K23" i="8"/>
  <c r="K27" i="8" s="1"/>
  <c r="K79" i="8" s="1"/>
  <c r="R94" i="9"/>
  <c r="G63" i="39"/>
  <c r="S24" i="9"/>
  <c r="H13" i="39"/>
  <c r="H15" i="39" s="1"/>
  <c r="K11" i="39"/>
  <c r="S306" i="5"/>
  <c r="U135" i="5"/>
  <c r="N15" i="4"/>
  <c r="N37" i="4" s="1"/>
  <c r="U93" i="5"/>
  <c r="M104" i="29" l="1"/>
  <c r="O15" i="36"/>
  <c r="N29" i="38"/>
  <c r="N36" i="38"/>
  <c r="N37" i="38" s="1"/>
  <c r="T142" i="5"/>
  <c r="T118" i="5"/>
  <c r="T123" i="5" s="1"/>
  <c r="T97" i="5"/>
  <c r="M19" i="4"/>
  <c r="M32" i="4" s="1"/>
  <c r="M33" i="4" s="1"/>
  <c r="M24" i="4" s="1"/>
  <c r="T101" i="5"/>
  <c r="M21" i="4"/>
  <c r="M46" i="4" s="1"/>
  <c r="M47" i="4" s="1"/>
  <c r="M26" i="4" s="1"/>
  <c r="T126" i="5"/>
  <c r="T131" i="5" s="1"/>
  <c r="U35" i="5"/>
  <c r="U24" i="5"/>
  <c r="U76" i="5"/>
  <c r="M115" i="38"/>
  <c r="M116" i="38" s="1"/>
  <c r="M106" i="38"/>
  <c r="U37" i="5"/>
  <c r="U78" i="5"/>
  <c r="U86" i="5" s="1"/>
  <c r="M69" i="38"/>
  <c r="M62" i="38"/>
  <c r="S245" i="5"/>
  <c r="S246" i="5" s="1"/>
  <c r="S267" i="5"/>
  <c r="S272" i="5" s="1"/>
  <c r="S276" i="5" s="1"/>
  <c r="N107" i="29"/>
  <c r="T173" i="5"/>
  <c r="T256" i="5" s="1"/>
  <c r="T139" i="5"/>
  <c r="T90" i="5"/>
  <c r="BH129" i="16"/>
  <c r="BG129" i="35"/>
  <c r="L16" i="8"/>
  <c r="S39" i="9"/>
  <c r="H25" i="39"/>
  <c r="H33" i="39" s="1"/>
  <c r="H42" i="39" s="1"/>
  <c r="W6" i="39"/>
  <c r="U119" i="5"/>
  <c r="U143" i="5"/>
  <c r="U127" i="5"/>
  <c r="U102" i="5"/>
  <c r="O65" i="8" s="1"/>
  <c r="L60" i="53" s="1"/>
  <c r="L61" i="53" s="1"/>
  <c r="N20" i="4"/>
  <c r="N39" i="4" s="1"/>
  <c r="N40" i="4" s="1"/>
  <c r="N25" i="4" s="1"/>
  <c r="N124" i="29"/>
  <c r="N126" i="29" s="1"/>
  <c r="N119" i="29" s="1"/>
  <c r="V26" i="5"/>
  <c r="V36" i="5" s="1"/>
  <c r="S307" i="5"/>
  <c r="S305" i="5" s="1"/>
  <c r="T22" i="9"/>
  <c r="T283" i="5" l="1"/>
  <c r="T284" i="5" s="1"/>
  <c r="T286" i="5" s="1"/>
  <c r="U285" i="5" s="1"/>
  <c r="T274" i="5"/>
  <c r="U81" i="5"/>
  <c r="U28" i="5"/>
  <c r="U84" i="5"/>
  <c r="T106" i="5"/>
  <c r="T107" i="5" s="1"/>
  <c r="N61" i="8"/>
  <c r="U13" i="9"/>
  <c r="T179" i="5"/>
  <c r="U136" i="5"/>
  <c r="U94" i="5"/>
  <c r="N101" i="29"/>
  <c r="N109" i="29"/>
  <c r="N103" i="29" s="1"/>
  <c r="M70" i="38"/>
  <c r="M91" i="38"/>
  <c r="M93" i="38" s="1"/>
  <c r="M94" i="38" s="1"/>
  <c r="T147" i="5"/>
  <c r="T98" i="5"/>
  <c r="N30" i="38"/>
  <c r="N44" i="38"/>
  <c r="N55" i="38" s="1"/>
  <c r="L148" i="8"/>
  <c r="L153" i="8" s="1"/>
  <c r="L21" i="8"/>
  <c r="L111" i="8"/>
  <c r="L116" i="8" s="1"/>
  <c r="L229" i="8"/>
  <c r="L234" i="8" s="1"/>
  <c r="L71" i="8"/>
  <c r="L76" i="8" s="1"/>
  <c r="L188" i="8"/>
  <c r="L186" i="8"/>
  <c r="W57" i="39"/>
  <c r="W59" i="39"/>
  <c r="W64" i="39" s="1"/>
  <c r="W68" i="39" s="1"/>
  <c r="H57" i="39"/>
  <c r="H61" i="39" s="1"/>
  <c r="H43" i="39"/>
  <c r="S40" i="9"/>
  <c r="S54" i="9"/>
  <c r="I13" i="39"/>
  <c r="I15" i="39" s="1"/>
  <c r="T24" i="9"/>
  <c r="V77" i="5"/>
  <c r="V85" i="5" s="1"/>
  <c r="T287" i="5" l="1"/>
  <c r="T306" i="5" s="1"/>
  <c r="N100" i="38"/>
  <c r="N105" i="38" s="1"/>
  <c r="N61" i="38"/>
  <c r="N56" i="38"/>
  <c r="U144" i="5"/>
  <c r="U103" i="5"/>
  <c r="U120" i="5"/>
  <c r="U128" i="5"/>
  <c r="T257" i="5"/>
  <c r="T263" i="5"/>
  <c r="N68" i="8"/>
  <c r="K53" i="53"/>
  <c r="K54" i="53" s="1"/>
  <c r="K63" i="53" s="1"/>
  <c r="O27" i="38"/>
  <c r="U82" i="5"/>
  <c r="V25" i="5"/>
  <c r="N110" i="29"/>
  <c r="N112" i="29" s="1"/>
  <c r="V27" i="5"/>
  <c r="T180" i="5"/>
  <c r="T243" i="5"/>
  <c r="J8" i="39"/>
  <c r="U12" i="9"/>
  <c r="N16" i="4"/>
  <c r="N44" i="4" s="1"/>
  <c r="N14" i="4"/>
  <c r="N30" i="4" s="1"/>
  <c r="U89" i="5"/>
  <c r="U134" i="5"/>
  <c r="U92" i="5"/>
  <c r="L189" i="8"/>
  <c r="L192" i="8" s="1"/>
  <c r="L197" i="8" s="1"/>
  <c r="S56" i="9"/>
  <c r="S55" i="9"/>
  <c r="S84" i="9"/>
  <c r="S88" i="9" s="1"/>
  <c r="W60" i="39"/>
  <c r="I59" i="39"/>
  <c r="W10" i="39"/>
  <c r="V135" i="5"/>
  <c r="O15" i="4"/>
  <c r="V93" i="5"/>
  <c r="L11" i="39"/>
  <c r="T39" i="9"/>
  <c r="M16" i="8"/>
  <c r="I25" i="39"/>
  <c r="I33" i="39" s="1"/>
  <c r="I42" i="39" s="1"/>
  <c r="X6" i="39"/>
  <c r="T296" i="5" l="1"/>
  <c r="U22" i="9" s="1"/>
  <c r="N104" i="29"/>
  <c r="V37" i="5"/>
  <c r="V78" i="5"/>
  <c r="V86" i="5" s="1"/>
  <c r="O36" i="38"/>
  <c r="O37" i="38" s="1"/>
  <c r="O29" i="38"/>
  <c r="U90" i="5"/>
  <c r="U139" i="5"/>
  <c r="U173" i="5"/>
  <c r="U256" i="5" s="1"/>
  <c r="T245" i="5"/>
  <c r="T246" i="5" s="1"/>
  <c r="T267" i="5"/>
  <c r="T272" i="5" s="1"/>
  <c r="T276" i="5" s="1"/>
  <c r="V35" i="5"/>
  <c r="V76" i="5"/>
  <c r="V24" i="5"/>
  <c r="N69" i="38"/>
  <c r="N62" i="38"/>
  <c r="U97" i="5"/>
  <c r="N19" i="4"/>
  <c r="N32" i="4" s="1"/>
  <c r="N33" i="4" s="1"/>
  <c r="N24" i="4" s="1"/>
  <c r="U118" i="5"/>
  <c r="U123" i="5" s="1"/>
  <c r="U142" i="5"/>
  <c r="U101" i="5"/>
  <c r="N21" i="4"/>
  <c r="N46" i="4" s="1"/>
  <c r="N47" i="4" s="1"/>
  <c r="N26" i="4" s="1"/>
  <c r="U126" i="5"/>
  <c r="U131" i="5" s="1"/>
  <c r="N106" i="38"/>
  <c r="N115" i="38"/>
  <c r="N116" i="38" s="1"/>
  <c r="S94" i="9"/>
  <c r="H63" i="39"/>
  <c r="T86" i="9"/>
  <c r="L23" i="8"/>
  <c r="M229" i="8"/>
  <c r="M234" i="8" s="1"/>
  <c r="M188" i="8"/>
  <c r="M71" i="8"/>
  <c r="M76" i="8" s="1"/>
  <c r="M186" i="8"/>
  <c r="M111" i="8"/>
  <c r="M116" i="8" s="1"/>
  <c r="M148" i="8"/>
  <c r="M153" i="8" s="1"/>
  <c r="M21" i="8"/>
  <c r="Q15" i="4"/>
  <c r="O37" i="4"/>
  <c r="Q37" i="4" s="1"/>
  <c r="Z23" i="4"/>
  <c r="I57" i="39"/>
  <c r="I61" i="39" s="1"/>
  <c r="I43" i="39"/>
  <c r="T40" i="9"/>
  <c r="T54" i="9"/>
  <c r="X57" i="39"/>
  <c r="X59" i="39"/>
  <c r="X64" i="39" s="1"/>
  <c r="X68" i="39" s="1"/>
  <c r="V143" i="5"/>
  <c r="V127" i="5"/>
  <c r="O20" i="4"/>
  <c r="V102" i="5"/>
  <c r="P65" i="8" s="1"/>
  <c r="M60" i="53" s="1"/>
  <c r="M61" i="53" s="1"/>
  <c r="N61" i="53" s="1"/>
  <c r="V119" i="5"/>
  <c r="T307" i="5" l="1"/>
  <c r="T305" i="5" s="1"/>
  <c r="O61" i="8"/>
  <c r="U106" i="5"/>
  <c r="U107" i="5" s="1"/>
  <c r="U98" i="5"/>
  <c r="U147" i="5"/>
  <c r="V84" i="5"/>
  <c r="V81" i="5"/>
  <c r="V28" i="5"/>
  <c r="U179" i="5"/>
  <c r="V13" i="9"/>
  <c r="O30" i="38"/>
  <c r="O44" i="38"/>
  <c r="O55" i="38" s="1"/>
  <c r="V94" i="5"/>
  <c r="V136" i="5"/>
  <c r="N91" i="38"/>
  <c r="N93" i="38" s="1"/>
  <c r="N94" i="38" s="1"/>
  <c r="N70" i="38"/>
  <c r="U274" i="5"/>
  <c r="U283" i="5"/>
  <c r="U284" i="5" s="1"/>
  <c r="U286" i="5" s="1"/>
  <c r="V285" i="5" s="1"/>
  <c r="BH141" i="16"/>
  <c r="L27" i="8"/>
  <c r="L79" i="8" s="1"/>
  <c r="BG141" i="35"/>
  <c r="O16" i="36"/>
  <c r="X60" i="39"/>
  <c r="T55" i="9"/>
  <c r="T84" i="9"/>
  <c r="T88" i="9" s="1"/>
  <c r="T56" i="9"/>
  <c r="J59" i="39"/>
  <c r="X10" i="39"/>
  <c r="Z32" i="4"/>
  <c r="Q20" i="4"/>
  <c r="O39" i="4"/>
  <c r="AA27" i="4"/>
  <c r="AA23" i="4"/>
  <c r="M189" i="8"/>
  <c r="M192" i="8" s="1"/>
  <c r="M197" i="8" s="1"/>
  <c r="J13" i="39"/>
  <c r="J15" i="39" s="1"/>
  <c r="U24" i="9"/>
  <c r="U287" i="5" l="1"/>
  <c r="U306" i="5" s="1"/>
  <c r="U243" i="5"/>
  <c r="U180" i="5"/>
  <c r="U257" i="5"/>
  <c r="U263" i="5"/>
  <c r="V82" i="5"/>
  <c r="P27" i="38"/>
  <c r="O100" i="38"/>
  <c r="O105" i="38" s="1"/>
  <c r="O56" i="38"/>
  <c r="O61" i="38"/>
  <c r="V144" i="5"/>
  <c r="V103" i="5"/>
  <c r="V120" i="5"/>
  <c r="V128" i="5"/>
  <c r="K8" i="39"/>
  <c r="V12" i="9"/>
  <c r="V134" i="5"/>
  <c r="V92" i="5"/>
  <c r="O14" i="4"/>
  <c r="V89" i="5"/>
  <c r="O16" i="4"/>
  <c r="L53" i="53"/>
  <c r="L54" i="53" s="1"/>
  <c r="L63" i="53" s="1"/>
  <c r="O68" i="8"/>
  <c r="U39" i="9"/>
  <c r="U54" i="9" s="1"/>
  <c r="N16" i="8"/>
  <c r="AA36" i="4"/>
  <c r="AA32" i="4"/>
  <c r="Q39" i="4"/>
  <c r="O40" i="4"/>
  <c r="U86" i="9"/>
  <c r="I63" i="39"/>
  <c r="T98" i="9"/>
  <c r="X98" i="9" s="1"/>
  <c r="M23" i="8"/>
  <c r="J25" i="39"/>
  <c r="J33" i="39" s="1"/>
  <c r="J42" i="39" s="1"/>
  <c r="Y6" i="39"/>
  <c r="U296" i="5" l="1"/>
  <c r="V22" i="9" s="1"/>
  <c r="Z24" i="4"/>
  <c r="O44" i="4"/>
  <c r="Q44" i="4" s="1"/>
  <c r="Q16" i="4"/>
  <c r="V173" i="5"/>
  <c r="V256" i="5" s="1"/>
  <c r="V139" i="5"/>
  <c r="V90" i="5"/>
  <c r="O106" i="38"/>
  <c r="O115" i="38"/>
  <c r="O116" i="38" s="1"/>
  <c r="Z22" i="4"/>
  <c r="O30" i="4"/>
  <c r="Q30" i="4" s="1"/>
  <c r="Q14" i="4"/>
  <c r="P29" i="38"/>
  <c r="P36" i="38"/>
  <c r="P37" i="38" s="1"/>
  <c r="V118" i="5"/>
  <c r="V123" i="5" s="1"/>
  <c r="V101" i="5"/>
  <c r="V126" i="5"/>
  <c r="V131" i="5" s="1"/>
  <c r="V97" i="5"/>
  <c r="V142" i="5"/>
  <c r="O21" i="4"/>
  <c r="O19" i="4"/>
  <c r="O62" i="38"/>
  <c r="O69" i="38"/>
  <c r="U245" i="5"/>
  <c r="U246" i="5" s="1"/>
  <c r="U267" i="5"/>
  <c r="U272" i="5" s="1"/>
  <c r="U276" i="5" s="1"/>
  <c r="BG153" i="35"/>
  <c r="BH153" i="16"/>
  <c r="O17" i="36"/>
  <c r="M27" i="8"/>
  <c r="M79" i="8" s="1"/>
  <c r="Q40" i="4"/>
  <c r="O25" i="4"/>
  <c r="Y57" i="39"/>
  <c r="Y59" i="39"/>
  <c r="Y64" i="39" s="1"/>
  <c r="Y68" i="39" s="1"/>
  <c r="N188" i="8"/>
  <c r="N71" i="8"/>
  <c r="N76" i="8" s="1"/>
  <c r="N148" i="8"/>
  <c r="N153" i="8" s="1"/>
  <c r="N186" i="8"/>
  <c r="N229" i="8"/>
  <c r="N234" i="8" s="1"/>
  <c r="N111" i="8"/>
  <c r="N116" i="8" s="1"/>
  <c r="U13" i="8"/>
  <c r="V13" i="8" s="1"/>
  <c r="U24" i="8"/>
  <c r="N21" i="8"/>
  <c r="J57" i="39"/>
  <c r="J61" i="39" s="1"/>
  <c r="J43" i="39"/>
  <c r="U55" i="9"/>
  <c r="U84" i="9"/>
  <c r="U88" i="9" s="1"/>
  <c r="U307" i="5" l="1"/>
  <c r="U305" i="5" s="1"/>
  <c r="V274" i="5"/>
  <c r="V283" i="5"/>
  <c r="V284" i="5" s="1"/>
  <c r="V286" i="5" s="1"/>
  <c r="V287" i="5" s="1"/>
  <c r="V296" i="5" s="1"/>
  <c r="Z33" i="4"/>
  <c r="Q21" i="4"/>
  <c r="O46" i="4"/>
  <c r="V106" i="5"/>
  <c r="P61" i="8"/>
  <c r="W13" i="9"/>
  <c r="V179" i="5"/>
  <c r="O91" i="38"/>
  <c r="O93" i="38" s="1"/>
  <c r="O94" i="38" s="1"/>
  <c r="O70" i="38"/>
  <c r="Q19" i="4"/>
  <c r="Z31" i="4"/>
  <c r="O32" i="4"/>
  <c r="P30" i="38"/>
  <c r="P44" i="38"/>
  <c r="P55" i="38" s="1"/>
  <c r="V98" i="5"/>
  <c r="V147" i="5"/>
  <c r="Z26" i="4"/>
  <c r="AA26" i="4"/>
  <c r="AA22" i="4"/>
  <c r="Z27" i="4"/>
  <c r="AA24" i="4"/>
  <c r="AA28" i="4"/>
  <c r="Y60" i="39"/>
  <c r="Z41" i="4"/>
  <c r="Q25" i="4"/>
  <c r="J63" i="39"/>
  <c r="N23" i="8"/>
  <c r="V86" i="9"/>
  <c r="K13" i="39"/>
  <c r="K15" i="39" s="1"/>
  <c r="V24" i="9"/>
  <c r="K59" i="39"/>
  <c r="Y10" i="39"/>
  <c r="N189" i="8"/>
  <c r="N192" i="8" s="1"/>
  <c r="N197" i="8" s="1"/>
  <c r="Z28" i="4" l="1"/>
  <c r="V306" i="5"/>
  <c r="Q32" i="4"/>
  <c r="O33" i="4"/>
  <c r="P68" i="8"/>
  <c r="M53" i="53"/>
  <c r="M54" i="53" s="1"/>
  <c r="AA37" i="4"/>
  <c r="Z36" i="4"/>
  <c r="AA33" i="4"/>
  <c r="L8" i="39"/>
  <c r="W12" i="9"/>
  <c r="AA35" i="4"/>
  <c r="Z35" i="4"/>
  <c r="AA31" i="4"/>
  <c r="V257" i="5"/>
  <c r="V263" i="5"/>
  <c r="I42" i="53"/>
  <c r="J42" i="53" s="1"/>
  <c r="K42" i="53" s="1"/>
  <c r="V107" i="5"/>
  <c r="P61" i="38"/>
  <c r="P56" i="38"/>
  <c r="P100" i="38"/>
  <c r="P105" i="38" s="1"/>
  <c r="V243" i="5"/>
  <c r="V180" i="5"/>
  <c r="O47" i="4"/>
  <c r="Q46" i="4"/>
  <c r="O16" i="8"/>
  <c r="V39" i="9"/>
  <c r="V54" i="9" s="1"/>
  <c r="AA45" i="4"/>
  <c r="AA41" i="4"/>
  <c r="Z6" i="39"/>
  <c r="K25" i="39"/>
  <c r="K33" i="39" s="1"/>
  <c r="K42" i="39" s="1"/>
  <c r="O18" i="36"/>
  <c r="BG165" i="35"/>
  <c r="BH165" i="16"/>
  <c r="N27" i="8"/>
  <c r="N79" i="8" s="1"/>
  <c r="V307" i="5"/>
  <c r="W22" i="9"/>
  <c r="V305" i="5" l="1"/>
  <c r="Z37" i="4"/>
  <c r="V267" i="5"/>
  <c r="V272" i="5" s="1"/>
  <c r="V276" i="5" s="1"/>
  <c r="V245" i="5"/>
  <c r="V246" i="5" s="1"/>
  <c r="M63" i="53"/>
  <c r="N63" i="53" s="1"/>
  <c r="N54" i="53"/>
  <c r="P106" i="38"/>
  <c r="P115" i="38"/>
  <c r="P116" i="38" s="1"/>
  <c r="Q47" i="4"/>
  <c r="O26" i="4"/>
  <c r="Q33" i="4"/>
  <c r="O24" i="4"/>
  <c r="P69" i="38"/>
  <c r="P62" i="38"/>
  <c r="L13" i="39"/>
  <c r="L15" i="39" s="1"/>
  <c r="W24" i="9"/>
  <c r="K57" i="39"/>
  <c r="K61" i="39" s="1"/>
  <c r="K43" i="39"/>
  <c r="Z57" i="39"/>
  <c r="Z59" i="39"/>
  <c r="Z64" i="39" s="1"/>
  <c r="Z68" i="39" s="1"/>
  <c r="V55" i="9"/>
  <c r="V84" i="9"/>
  <c r="V88" i="9" s="1"/>
  <c r="O188" i="8"/>
  <c r="O71" i="8"/>
  <c r="O76" i="8" s="1"/>
  <c r="O148" i="8"/>
  <c r="O153" i="8" s="1"/>
  <c r="O186" i="8"/>
  <c r="O111" i="8"/>
  <c r="O116" i="8" s="1"/>
  <c r="O229" i="8"/>
  <c r="O234" i="8" s="1"/>
  <c r="O21" i="8"/>
  <c r="Q26" i="4" l="1"/>
  <c r="Z42" i="4"/>
  <c r="P91" i="38"/>
  <c r="P93" i="38" s="1"/>
  <c r="P94" i="38" s="1"/>
  <c r="P70" i="38"/>
  <c r="Z40" i="4"/>
  <c r="Q24" i="4"/>
  <c r="O189" i="8"/>
  <c r="O192" i="8" s="1"/>
  <c r="O197" i="8" s="1"/>
  <c r="L59" i="39"/>
  <c r="Z10" i="39"/>
  <c r="Z60" i="39"/>
  <c r="P16" i="8"/>
  <c r="W39" i="9"/>
  <c r="W54" i="9" s="1"/>
  <c r="K63" i="39"/>
  <c r="W86" i="9"/>
  <c r="O23" i="8"/>
  <c r="L25" i="39"/>
  <c r="L33" i="39" s="1"/>
  <c r="L42" i="39" s="1"/>
  <c r="L57" i="39" s="1"/>
  <c r="AA6" i="39"/>
  <c r="Z45" i="4" l="1"/>
  <c r="AA46" i="4"/>
  <c r="AA42" i="4"/>
  <c r="AA44" i="4"/>
  <c r="AA40" i="4"/>
  <c r="Z44" i="4"/>
  <c r="L43" i="39"/>
  <c r="W55" i="9"/>
  <c r="W84" i="9"/>
  <c r="W88" i="9" s="1"/>
  <c r="BH177" i="16"/>
  <c r="O27" i="8"/>
  <c r="O79" i="8" s="1"/>
  <c r="BG177" i="35"/>
  <c r="AA57" i="39"/>
  <c r="AA59" i="39"/>
  <c r="AA64" i="39" s="1"/>
  <c r="AA68" i="39" s="1"/>
  <c r="P229" i="8"/>
  <c r="P234" i="8" s="1"/>
  <c r="P71" i="8"/>
  <c r="P76" i="8" s="1"/>
  <c r="P111" i="8"/>
  <c r="P116" i="8" s="1"/>
  <c r="P188" i="8"/>
  <c r="P148" i="8"/>
  <c r="P153" i="8" s="1"/>
  <c r="P186" i="8"/>
  <c r="L61" i="39"/>
  <c r="AA10" i="39" s="1"/>
  <c r="P21" i="8"/>
  <c r="Z46" i="4" l="1"/>
  <c r="AA60" i="39"/>
  <c r="L63" i="39"/>
  <c r="P23" i="8"/>
  <c r="P189" i="8"/>
  <c r="P192" i="8" s="1"/>
  <c r="P197" i="8" s="1"/>
  <c r="P27" i="8" l="1"/>
  <c r="P79" i="8" s="1"/>
  <c r="W13" i="8"/>
</calcChain>
</file>

<file path=xl/comments1.xml><?xml version="1.0" encoding="utf-8"?>
<comments xmlns="http://schemas.openxmlformats.org/spreadsheetml/2006/main">
  <authors>
    <author>Martin Sun</author>
  </authors>
  <commentList>
    <comment ref="F12" authorId="0" shapeId="0">
      <text>
        <r>
          <rPr>
            <sz val="9"/>
            <color indexed="81"/>
            <rFont val="Tahoma"/>
            <family val="2"/>
          </rPr>
          <t xml:space="preserve">
ATTENDING TO (1)TRANSFER 1 SHARE FROM MR. YK LAI TO FORTUNE HOLDING BVI, EXCLUDING STAMP DUTY, (2)AMENTMENT OF ARTICLE OF ASSOCIATION, (3) RESIGNATION OF DIRECTOR</t>
        </r>
      </text>
    </comment>
    <comment ref="I23" authorId="0" shapeId="0">
      <text>
        <r>
          <rPr>
            <sz val="9"/>
            <color indexed="81"/>
            <rFont val="Tahoma"/>
            <family val="2"/>
          </rPr>
          <t xml:space="preserve">
Capex Budget 21/22</t>
        </r>
      </text>
    </comment>
  </commentList>
</comments>
</file>

<file path=xl/comments2.xml><?xml version="1.0" encoding="utf-8"?>
<comments xmlns="http://schemas.openxmlformats.org/spreadsheetml/2006/main">
  <authors>
    <author>Chris Chiu</author>
    <author>Ken Lam</author>
    <author>Jet Designer1</author>
    <author>Cacci Siu</author>
    <author>Vincent Ng</author>
  </authors>
  <commentList>
    <comment ref="S15" authorId="0" shapeId="0">
      <text>
        <r>
          <rPr>
            <b/>
            <sz val="9"/>
            <color indexed="81"/>
            <rFont val="Tahoma"/>
            <charset val="1"/>
          </rPr>
          <t>Should link to Manu sheet</t>
        </r>
      </text>
    </comment>
    <comment ref="S21" authorId="0" shapeId="0">
      <text>
        <r>
          <rPr>
            <b/>
            <sz val="9"/>
            <color indexed="81"/>
            <rFont val="Tahoma"/>
            <charset val="1"/>
          </rPr>
          <t>Use 20/21 figure estimate</t>
        </r>
      </text>
    </comment>
    <comment ref="F48" authorId="1" shapeId="0">
      <text>
        <r>
          <rPr>
            <b/>
            <sz val="9"/>
            <color indexed="81"/>
            <rFont val="Tahoma"/>
            <family val="2"/>
          </rPr>
          <t>Dept 8121</t>
        </r>
      </text>
    </comment>
    <comment ref="F49" authorId="1" shapeId="0">
      <text>
        <r>
          <rPr>
            <b/>
            <sz val="9"/>
            <color indexed="81"/>
            <rFont val="Tahoma"/>
            <family val="2"/>
          </rPr>
          <t>Dept8131</t>
        </r>
      </text>
    </comment>
    <comment ref="F51" authorId="1" shapeId="0">
      <text>
        <r>
          <rPr>
            <b/>
            <sz val="9"/>
            <color indexed="81"/>
            <rFont val="Tahoma"/>
            <family val="2"/>
          </rPr>
          <t xml:space="preserve">Dept 5311,
Dept 8211-8213
</t>
        </r>
      </text>
    </comment>
    <comment ref="P51" authorId="2" shapeId="0">
      <text>
        <r>
          <rPr>
            <b/>
            <sz val="9"/>
            <color indexed="81"/>
            <rFont val="Tahoma"/>
            <family val="2"/>
          </rPr>
          <t>Jet Designer1:</t>
        </r>
        <r>
          <rPr>
            <sz val="9"/>
            <color indexed="81"/>
            <rFont val="Tahoma"/>
            <family val="2"/>
          </rPr>
          <t xml:space="preserve">
Write off A1001.18V1 due to quality issue</t>
        </r>
      </text>
    </comment>
    <comment ref="AF51" authorId="2" shapeId="0">
      <text>
        <r>
          <rPr>
            <b/>
            <sz val="9"/>
            <color indexed="81"/>
            <rFont val="Tahoma"/>
            <family val="2"/>
          </rPr>
          <t>Jet Designer1:</t>
        </r>
        <r>
          <rPr>
            <sz val="9"/>
            <color indexed="81"/>
            <rFont val="Tahoma"/>
            <family val="2"/>
          </rPr>
          <t xml:space="preserve">
Write off A1001.18V1 due to quality issue</t>
        </r>
      </text>
    </comment>
    <comment ref="AT51" authorId="2" shapeId="0">
      <text>
        <r>
          <rPr>
            <b/>
            <sz val="9"/>
            <color indexed="81"/>
            <rFont val="Tahoma"/>
            <family val="2"/>
          </rPr>
          <t>Jet Designer1:</t>
        </r>
        <r>
          <rPr>
            <sz val="9"/>
            <color indexed="81"/>
            <rFont val="Tahoma"/>
            <family val="2"/>
          </rPr>
          <t xml:space="preserve">
Write off A1001.18V1 due to quality issue</t>
        </r>
      </text>
    </comment>
    <comment ref="BJ51" authorId="2" shapeId="0">
      <text>
        <r>
          <rPr>
            <b/>
            <sz val="9"/>
            <color indexed="81"/>
            <rFont val="Tahoma"/>
            <family val="2"/>
          </rPr>
          <t>Jet Designer1:</t>
        </r>
        <r>
          <rPr>
            <sz val="9"/>
            <color indexed="81"/>
            <rFont val="Tahoma"/>
            <family val="2"/>
          </rPr>
          <t xml:space="preserve">
Write off A1001.18V1 due to quality issue</t>
        </r>
      </text>
    </comment>
    <comment ref="BX51" authorId="2" shapeId="0">
      <text>
        <r>
          <rPr>
            <b/>
            <sz val="9"/>
            <color indexed="81"/>
            <rFont val="Tahoma"/>
            <family val="2"/>
          </rPr>
          <t>Jet Designer1:</t>
        </r>
        <r>
          <rPr>
            <sz val="9"/>
            <color indexed="81"/>
            <rFont val="Tahoma"/>
            <family val="2"/>
          </rPr>
          <t xml:space="preserve">
Write off A1001.18V1 due to quality issue</t>
        </r>
      </text>
    </comment>
    <comment ref="CN51" authorId="2" shapeId="0">
      <text>
        <r>
          <rPr>
            <b/>
            <sz val="9"/>
            <color indexed="81"/>
            <rFont val="Tahoma"/>
            <family val="2"/>
          </rPr>
          <t>Jet Designer1:</t>
        </r>
        <r>
          <rPr>
            <sz val="9"/>
            <color indexed="81"/>
            <rFont val="Tahoma"/>
            <family val="2"/>
          </rPr>
          <t xml:space="preserve">
Write off A1001.18V1 due to quality issue</t>
        </r>
      </text>
    </comment>
    <comment ref="DE51" authorId="2" shapeId="0">
      <text>
        <r>
          <rPr>
            <b/>
            <sz val="9"/>
            <color indexed="81"/>
            <rFont val="Tahoma"/>
            <family val="2"/>
          </rPr>
          <t>Jet Designer1:</t>
        </r>
        <r>
          <rPr>
            <sz val="9"/>
            <color indexed="81"/>
            <rFont val="Tahoma"/>
            <family val="2"/>
          </rPr>
          <t xml:space="preserve">
Write off A1001.18V1 due to quality issue</t>
        </r>
      </text>
    </comment>
    <comment ref="DS51" authorId="2" shapeId="0">
      <text>
        <r>
          <rPr>
            <b/>
            <sz val="9"/>
            <color indexed="81"/>
            <rFont val="Tahoma"/>
            <family val="2"/>
          </rPr>
          <t>Jet Designer1:</t>
        </r>
        <r>
          <rPr>
            <sz val="9"/>
            <color indexed="81"/>
            <rFont val="Tahoma"/>
            <family val="2"/>
          </rPr>
          <t xml:space="preserve">
Write off A1001.18V1 due to quality issue</t>
        </r>
      </text>
    </comment>
    <comment ref="F52" authorId="1" shapeId="0">
      <text>
        <r>
          <rPr>
            <b/>
            <sz val="9"/>
            <color indexed="81"/>
            <rFont val="Tahoma"/>
            <family val="2"/>
          </rPr>
          <t>Dept 8411-8413
Dept 8311-8313</t>
        </r>
      </text>
    </comment>
    <comment ref="S89" authorId="3" shapeId="0">
      <text>
        <r>
          <rPr>
            <b/>
            <sz val="9"/>
            <color indexed="81"/>
            <rFont val="Tahoma"/>
            <family val="2"/>
          </rPr>
          <t>$4.5m 保就業資助
$970K BUD Fund</t>
        </r>
      </text>
    </comment>
    <comment ref="S101" authorId="3" shapeId="0">
      <text>
        <r>
          <rPr>
            <b/>
            <i/>
            <sz val="9"/>
            <color indexed="81"/>
            <rFont val="Tahoma"/>
            <family val="2"/>
          </rPr>
          <t>1 JUN 2022 VERSION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05" authorId="3" shapeId="0">
      <text>
        <r>
          <rPr>
            <b/>
            <sz val="9"/>
            <color indexed="81"/>
            <rFont val="Tahoma"/>
            <family val="2"/>
          </rPr>
          <t>1 JUN 2022 VERSION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09" authorId="3" shapeId="0">
      <text>
        <r>
          <rPr>
            <b/>
            <sz val="9"/>
            <color indexed="81"/>
            <rFont val="Tahoma"/>
            <family val="2"/>
          </rPr>
          <t>1 JUN 2022 VERSION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18" authorId="3" shapeId="0">
      <text>
        <r>
          <rPr>
            <b/>
            <sz val="9"/>
            <color indexed="81"/>
            <rFont val="Tahoma"/>
            <family val="2"/>
          </rPr>
          <t>Use 21/22 actual % to allocation GMP/Corp</t>
        </r>
      </text>
    </comment>
    <comment ref="S119" authorId="3" shapeId="0">
      <text>
        <r>
          <rPr>
            <b/>
            <sz val="9"/>
            <color indexed="81"/>
            <rFont val="Tahoma"/>
            <family val="2"/>
          </rPr>
          <t>Use 21/22 actual % to allocation GMP/Corp</t>
        </r>
      </text>
    </comment>
    <comment ref="S167" authorId="4" shapeId="0">
      <text>
        <r>
          <rPr>
            <b/>
            <sz val="9"/>
            <color indexed="81"/>
            <rFont val="Tahoma"/>
            <family val="2"/>
          </rPr>
          <t>Suggest to cut $800k for BE cost in R&amp;MA for the likely delay in payment
Suggest to cut $500k for consultant fee for ISP case in view of the slow progress of the case</t>
        </r>
      </text>
    </comment>
    <comment ref="S168" authorId="4" shapeId="0">
      <text>
        <r>
          <rPr>
            <b/>
            <sz val="9"/>
            <color indexed="81"/>
            <rFont val="Tahoma"/>
            <family val="2"/>
          </rPr>
          <t>Suggest cut ISP legal fee: -1m in view of the slow progress on litigation and arbiration case</t>
        </r>
      </text>
    </comment>
    <comment ref="S169" authorId="4" shapeId="0">
      <text>
        <r>
          <rPr>
            <b/>
            <sz val="9"/>
            <color indexed="81"/>
            <rFont val="Tahoma"/>
            <family val="2"/>
          </rPr>
          <t>Suggest to further cut $300k for R&amp;D 1091 CRO cost for this year with expected delay in payment</t>
        </r>
      </text>
    </comment>
    <comment ref="S171" authorId="4" shapeId="0">
      <text>
        <r>
          <rPr>
            <b/>
            <sz val="9"/>
            <color indexed="81"/>
            <rFont val="Tahoma"/>
            <family val="2"/>
          </rPr>
          <t>Bank interest re-calculation, reduce by $4m by referring last quarter actual interest rate</t>
        </r>
      </text>
    </comment>
    <comment ref="S173" authorId="3" shapeId="0">
      <text>
        <r>
          <rPr>
            <b/>
            <sz val="9"/>
            <color indexed="81"/>
            <rFont val="Tahoma"/>
            <family val="2"/>
          </rPr>
          <t xml:space="preserve">Non GMP 
Total sum </t>
        </r>
      </text>
    </comment>
    <comment ref="S192" authorId="4" shapeId="0">
      <text>
        <r>
          <rPr>
            <b/>
            <sz val="9"/>
            <color indexed="81"/>
            <rFont val="Tahoma"/>
            <family val="2"/>
          </rPr>
          <t>HK A&amp;P reduction</t>
        </r>
      </text>
    </comment>
    <comment ref="T244" authorId="0" shapeId="0">
      <text>
        <r>
          <rPr>
            <b/>
            <sz val="9"/>
            <color indexed="81"/>
            <rFont val="Tahoma"/>
            <charset val="1"/>
          </rPr>
          <t xml:space="preserve">shld link to COGM
</t>
        </r>
      </text>
    </comment>
  </commentList>
</comments>
</file>

<file path=xl/comments3.xml><?xml version="1.0" encoding="utf-8"?>
<comments xmlns="http://schemas.openxmlformats.org/spreadsheetml/2006/main">
  <authors>
    <author>Joyce Fong</author>
    <author>Chris Chiu</author>
  </authors>
  <commentList>
    <comment ref="F15" authorId="0" shapeId="0">
      <text>
        <r>
          <rPr>
            <b/>
            <sz val="9"/>
            <color indexed="81"/>
            <rFont val="Tahoma"/>
            <family val="2"/>
          </rPr>
          <t>2/3 for directors</t>
        </r>
      </text>
    </comment>
    <comment ref="J16" authorId="0" shapeId="0">
      <text>
        <r>
          <rPr>
            <b/>
            <sz val="9"/>
            <color indexed="81"/>
            <rFont val="Tahoma"/>
            <family val="2"/>
          </rPr>
          <t xml:space="preserve">Reduced staff by 30%
</t>
        </r>
      </text>
    </comment>
    <comment ref="F18" authorId="0" shapeId="0">
      <text>
        <r>
          <rPr>
            <sz val="9"/>
            <color indexed="81"/>
            <rFont val="Tahoma"/>
            <family val="2"/>
          </rPr>
          <t>2/3 for directors</t>
        </r>
      </text>
    </comment>
    <comment ref="F34" authorId="0" shapeId="0">
      <text>
        <r>
          <rPr>
            <b/>
            <sz val="9"/>
            <color indexed="81"/>
            <rFont val="Tahoma"/>
            <family val="2"/>
          </rPr>
          <t>$880K is from directors</t>
        </r>
      </text>
    </comment>
    <comment ref="F35" authorId="0" shapeId="0">
      <text>
        <r>
          <rPr>
            <b/>
            <sz val="9"/>
            <color indexed="81"/>
            <rFont val="Tahoma"/>
            <family val="2"/>
          </rPr>
          <t xml:space="preserve">Mainly for directors
</t>
        </r>
      </text>
    </comment>
    <comment ref="G42" authorId="0" shapeId="0">
      <text>
        <r>
          <rPr>
            <b/>
            <sz val="9"/>
            <color indexed="81"/>
            <rFont val="Tahoma"/>
            <family val="2"/>
          </rPr>
          <t>Save from IT</t>
        </r>
      </text>
    </comment>
    <comment ref="H55" authorId="0" shapeId="0">
      <text>
        <r>
          <rPr>
            <b/>
            <sz val="9"/>
            <color indexed="81"/>
            <rFont val="Tahoma"/>
            <family val="2"/>
          </rPr>
          <t>After revamp</t>
        </r>
      </text>
    </comment>
    <comment ref="I55" authorId="0" shapeId="0">
      <text>
        <r>
          <rPr>
            <b/>
            <sz val="9"/>
            <color indexed="81"/>
            <rFont val="Tahoma"/>
            <family val="2"/>
          </rPr>
          <t>After revamp</t>
        </r>
      </text>
    </comment>
    <comment ref="D59" authorId="0" shapeId="0">
      <text>
        <r>
          <rPr>
            <b/>
            <sz val="9"/>
            <color indexed="81"/>
            <rFont val="Tahoma"/>
            <family val="2"/>
          </rPr>
          <t>Organic, not include new business</t>
        </r>
      </text>
    </comment>
    <comment ref="K59" authorId="1" shapeId="0">
      <text>
        <r>
          <rPr>
            <b/>
            <sz val="9"/>
            <color indexed="81"/>
            <rFont val="Tahoma"/>
            <family val="2"/>
          </rPr>
          <t>General Provision</t>
        </r>
      </text>
    </comment>
    <comment ref="F63" authorId="0" shapeId="0">
      <text>
        <r>
          <rPr>
            <b/>
            <sz val="9"/>
            <color indexed="81"/>
            <rFont val="Tahoma"/>
            <family val="2"/>
          </rPr>
          <t>OTCHK $136K - for revamp art work &amp; sample
NPD $1m - cost of obtaining market info</t>
        </r>
      </text>
    </comment>
    <comment ref="J63" authorId="1" shapeId="0">
      <text>
        <r>
          <rPr>
            <b/>
            <sz val="9"/>
            <color indexed="81"/>
            <rFont val="Tahoma"/>
            <family val="2"/>
          </rPr>
          <t>Core Revamp</t>
        </r>
      </text>
    </comment>
    <comment ref="J68" authorId="1" shapeId="0">
      <text>
        <r>
          <rPr>
            <b/>
            <sz val="9"/>
            <color indexed="81"/>
            <rFont val="Tahoma"/>
            <family val="2"/>
          </rPr>
          <t>ISP Legal Fee</t>
        </r>
      </text>
    </comment>
    <comment ref="K68" authorId="1" shapeId="0">
      <text>
        <r>
          <rPr>
            <b/>
            <sz val="9"/>
            <color indexed="81"/>
            <rFont val="Tahoma"/>
            <family val="2"/>
          </rPr>
          <t>ISP Legal Fee</t>
        </r>
      </text>
    </comment>
    <comment ref="F69" authorId="0" shapeId="0">
      <text>
        <r>
          <rPr>
            <b/>
            <sz val="9"/>
            <color indexed="81"/>
            <rFont val="Tahoma"/>
            <family val="2"/>
          </rPr>
          <t>HR&amp;IT One off report customizations
NPD one-off consultation</t>
        </r>
      </text>
    </comment>
    <comment ref="G69" authorId="0" shapeId="0">
      <text>
        <r>
          <rPr>
            <b/>
            <sz val="9"/>
            <color indexed="81"/>
            <rFont val="Tahoma"/>
            <family val="2"/>
          </rPr>
          <t>Oracle &amp; HCMS Carry fwd from 1920</t>
        </r>
      </text>
    </comment>
    <comment ref="G74" authorId="0" shapeId="0">
      <text>
        <r>
          <rPr>
            <b/>
            <sz val="9"/>
            <color indexed="81"/>
            <rFont val="Tahoma"/>
            <family val="2"/>
          </rPr>
          <t>Assume YL office capitalized from Oct-20</t>
        </r>
      </text>
    </comment>
    <comment ref="I136" authorId="1" shapeId="0">
      <text>
        <r>
          <rPr>
            <b/>
            <sz val="9"/>
            <color indexed="81"/>
            <rFont val="Tahoma"/>
            <charset val="1"/>
          </rPr>
          <t xml:space="preserve">Budget: 37,487,902
</t>
        </r>
      </text>
    </comment>
    <comment ref="J136" authorId="1" shapeId="0">
      <text>
        <r>
          <rPr>
            <b/>
            <sz val="9"/>
            <color indexed="81"/>
            <rFont val="Tahoma"/>
            <family val="2"/>
          </rPr>
          <t>49% of material for EG, matching budget formula</t>
        </r>
      </text>
    </comment>
    <comment ref="K136" authorId="1" shapeId="0">
      <text>
        <r>
          <rPr>
            <b/>
            <sz val="9"/>
            <color indexed="81"/>
            <rFont val="Tahoma"/>
            <family val="2"/>
          </rPr>
          <t>49% of material for EG, matching budget formula</t>
        </r>
      </text>
    </comment>
    <comment ref="L136" authorId="1" shapeId="0">
      <text>
        <r>
          <rPr>
            <b/>
            <sz val="9"/>
            <color indexed="81"/>
            <rFont val="Tahoma"/>
            <family val="2"/>
          </rPr>
          <t>49% of material for EG, matching budget formula</t>
        </r>
      </text>
    </comment>
    <comment ref="F158" authorId="0" shapeId="0">
      <text>
        <r>
          <rPr>
            <b/>
            <sz val="9"/>
            <color indexed="81"/>
            <rFont val="Tahoma"/>
            <family val="2"/>
          </rPr>
          <t>From Personnel cost &amp; incentive bonus</t>
        </r>
      </text>
    </comment>
    <comment ref="F159" authorId="0" shapeId="0">
      <text>
        <r>
          <rPr>
            <b/>
            <sz val="9"/>
            <color indexed="81"/>
            <rFont val="Tahoma"/>
            <family val="2"/>
          </rPr>
          <t>NPD BE Study
HRIS &amp; Oracle customization</t>
        </r>
      </text>
    </comment>
    <comment ref="G159" authorId="0" shapeId="0">
      <text>
        <r>
          <rPr>
            <b/>
            <sz val="9"/>
            <color indexed="81"/>
            <rFont val="Tahoma"/>
            <family val="2"/>
          </rPr>
          <t>Oracle &amp; HCMS Carry fwd from 1920</t>
        </r>
      </text>
    </comment>
    <comment ref="F160" authorId="0" shapeId="0">
      <text>
        <r>
          <rPr>
            <b/>
            <sz val="9"/>
            <color indexed="81"/>
            <rFont val="Tahoma"/>
            <family val="2"/>
          </rPr>
          <t>GZ Pharm 1405
Kerry 425
Asia One 1838</t>
        </r>
      </text>
    </comment>
    <comment ref="F161" authorId="0" shapeId="0">
      <text>
        <r>
          <rPr>
            <b/>
            <sz val="9"/>
            <color indexed="81"/>
            <rFont val="Tahoma"/>
            <family val="2"/>
          </rPr>
          <t>$1718 &amp; $615 - for R&amp;D testing batches</t>
        </r>
      </text>
    </comment>
    <comment ref="G161" authorId="0" shapeId="0">
      <text>
        <r>
          <rPr>
            <b/>
            <sz val="9"/>
            <color indexed="81"/>
            <rFont val="Tahoma"/>
            <family val="2"/>
          </rPr>
          <t>Similar to 19/20</t>
        </r>
      </text>
    </comment>
    <comment ref="G163" authorId="0" shapeId="0">
      <text>
        <r>
          <rPr>
            <b/>
            <sz val="9"/>
            <color indexed="81"/>
            <rFont val="Tahoma"/>
            <family val="2"/>
          </rPr>
          <t>Assume will occupy production capacity for 1 quarter</t>
        </r>
      </text>
    </comment>
    <comment ref="I176" authorId="1" shapeId="0">
      <text>
        <r>
          <rPr>
            <b/>
            <sz val="9"/>
            <color indexed="81"/>
            <rFont val="Tahoma"/>
            <family val="2"/>
          </rPr>
          <t>$4.5m 保就業資助
$970K BUD Fund</t>
        </r>
      </text>
    </comment>
    <comment ref="B179" authorId="0" shapeId="0">
      <text>
        <r>
          <rPr>
            <b/>
            <sz val="9"/>
            <color indexed="81"/>
            <rFont val="Tahoma"/>
            <family val="2"/>
          </rPr>
          <t>12Years Production Tablet File</t>
        </r>
      </text>
    </comment>
    <comment ref="G196" authorId="0" shapeId="0">
      <text>
        <r>
          <rPr>
            <sz val="9"/>
            <color indexed="81"/>
            <rFont val="Tahoma"/>
            <family val="2"/>
          </rPr>
          <t xml:space="preserve">Rent till May20
</t>
        </r>
      </text>
    </comment>
    <comment ref="G197" authorId="0" shapeId="0">
      <text>
        <r>
          <rPr>
            <sz val="9"/>
            <color indexed="81"/>
            <rFont val="Tahoma"/>
            <family val="2"/>
          </rPr>
          <t xml:space="preserve">Finance - Apr-May20
Directors Office - Jun20-Mar21
</t>
        </r>
      </text>
    </comment>
    <comment ref="G199" authorId="0" shapeId="0">
      <text>
        <r>
          <rPr>
            <b/>
            <sz val="9"/>
            <color indexed="81"/>
            <rFont val="Tahoma"/>
            <family val="2"/>
          </rPr>
          <t>9/F Safety Godown
$3,197,250
Upto Dec20 Only</t>
        </r>
      </text>
    </comment>
    <comment ref="G200" authorId="0" shapeId="0">
      <text>
        <r>
          <rPr>
            <b/>
            <sz val="9"/>
            <color indexed="81"/>
            <rFont val="Tahoma"/>
            <family val="2"/>
          </rPr>
          <t>5/F &amp; 10/F Rent Free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01" authorId="0" shapeId="0">
      <text>
        <r>
          <rPr>
            <b/>
            <sz val="9"/>
            <color indexed="81"/>
            <rFont val="Tahoma"/>
            <family val="2"/>
          </rPr>
          <t>Upto Sep-22
(update as at 21/9/20)</t>
        </r>
      </text>
    </comment>
    <comment ref="G203" authorId="0" shapeId="0">
      <text>
        <r>
          <rPr>
            <b/>
            <sz val="9"/>
            <color indexed="81"/>
            <rFont val="Tahoma"/>
            <family val="2"/>
          </rPr>
          <t>No stock up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Chris Chiu</author>
    <author>Joyce Fong</author>
    <author>Work</author>
  </authors>
  <commentList>
    <comment ref="J4" authorId="0" shapeId="0">
      <text>
        <r>
          <rPr>
            <b/>
            <sz val="9"/>
            <color indexed="81"/>
            <rFont val="Tahoma"/>
            <family val="2"/>
          </rPr>
          <t>RDTS</t>
        </r>
      </text>
    </comment>
    <comment ref="J6" authorId="0" shapeId="0">
      <text>
        <r>
          <rPr>
            <b/>
            <sz val="9"/>
            <color indexed="81"/>
            <rFont val="Tahoma"/>
            <family val="2"/>
          </rPr>
          <t>YL GMP</t>
        </r>
      </text>
    </comment>
    <comment ref="J8" authorId="0" shapeId="0">
      <text>
        <r>
          <rPr>
            <b/>
            <sz val="9"/>
            <color indexed="81"/>
            <rFont val="Tahoma"/>
            <family val="2"/>
          </rPr>
          <t>RDTS: 43,905
YL GMP: 1,432,646</t>
        </r>
      </text>
    </comment>
    <comment ref="J10" authorId="0" shapeId="0">
      <text>
        <r>
          <rPr>
            <b/>
            <sz val="9"/>
            <color indexed="81"/>
            <rFont val="Tahoma"/>
            <family val="2"/>
          </rPr>
          <t xml:space="preserve">YL GMP
</t>
        </r>
      </text>
    </comment>
    <comment ref="J12" authorId="0" shapeId="0">
      <text>
        <r>
          <rPr>
            <b/>
            <sz val="9"/>
            <color indexed="81"/>
            <rFont val="Tahoma"/>
            <family val="2"/>
          </rPr>
          <t xml:space="preserve">GMP: 2,699,286
RDTS: 77,366
</t>
        </r>
      </text>
    </comment>
    <comment ref="F15" authorId="1" shapeId="0">
      <text>
        <r>
          <rPr>
            <b/>
            <sz val="9"/>
            <color indexed="81"/>
            <rFont val="Tahoma"/>
            <family val="2"/>
          </rPr>
          <t>2/3 for directors</t>
        </r>
      </text>
    </comment>
    <comment ref="J16" authorId="1" shapeId="0">
      <text>
        <r>
          <rPr>
            <b/>
            <sz val="9"/>
            <color indexed="81"/>
            <rFont val="Tahoma"/>
            <family val="2"/>
          </rPr>
          <t xml:space="preserve">Reduced staff by 30%
</t>
        </r>
      </text>
    </comment>
    <comment ref="F18" authorId="1" shapeId="0">
      <text>
        <r>
          <rPr>
            <sz val="9"/>
            <color indexed="81"/>
            <rFont val="Tahoma"/>
            <family val="2"/>
          </rPr>
          <t>2/3 for directors</t>
        </r>
      </text>
    </comment>
    <comment ref="H28" authorId="0" shapeId="0">
      <text>
        <r>
          <rPr>
            <b/>
            <sz val="9"/>
            <color indexed="81"/>
            <rFont val="Tahoma"/>
            <family val="2"/>
          </rPr>
          <t>One-off Rates Refund from Gov</t>
        </r>
      </text>
    </comment>
    <comment ref="I28" authorId="0" shapeId="0">
      <text>
        <r>
          <rPr>
            <b/>
            <sz val="9"/>
            <color indexed="81"/>
            <rFont val="Tahoma"/>
            <family val="2"/>
          </rPr>
          <t>One-off Rates Refund from Gov</t>
        </r>
      </text>
    </comment>
    <comment ref="F34" authorId="1" shapeId="0">
      <text>
        <r>
          <rPr>
            <b/>
            <sz val="9"/>
            <color indexed="81"/>
            <rFont val="Tahoma"/>
            <family val="2"/>
          </rPr>
          <t>$880K is from directors</t>
        </r>
      </text>
    </comment>
    <comment ref="F35" authorId="1" shapeId="0">
      <text>
        <r>
          <rPr>
            <b/>
            <sz val="9"/>
            <color indexed="81"/>
            <rFont val="Tahoma"/>
            <family val="2"/>
          </rPr>
          <t xml:space="preserve">Mainly for directors
</t>
        </r>
      </text>
    </comment>
    <comment ref="G42" authorId="1" shapeId="0">
      <text>
        <r>
          <rPr>
            <b/>
            <sz val="9"/>
            <color indexed="81"/>
            <rFont val="Tahoma"/>
            <family val="2"/>
          </rPr>
          <t>Save from IT</t>
        </r>
      </text>
    </comment>
    <comment ref="H51" authorId="0" shapeId="0">
      <text>
        <r>
          <rPr>
            <b/>
            <sz val="9"/>
            <color indexed="81"/>
            <rFont val="Tahoma"/>
            <family val="2"/>
          </rPr>
          <t>One-off Deep Clean</t>
        </r>
      </text>
    </comment>
    <comment ref="I51" authorId="0" shapeId="0">
      <text>
        <r>
          <rPr>
            <b/>
            <sz val="9"/>
            <color indexed="81"/>
            <rFont val="Tahoma"/>
            <family val="2"/>
          </rPr>
          <t>One-off Deep Clean</t>
        </r>
      </text>
    </comment>
    <comment ref="H55" authorId="1" shapeId="0">
      <text>
        <r>
          <rPr>
            <b/>
            <sz val="9"/>
            <color indexed="81"/>
            <rFont val="Tahoma"/>
            <family val="2"/>
          </rPr>
          <t>After revamp</t>
        </r>
      </text>
    </comment>
    <comment ref="I55" authorId="1" shapeId="0">
      <text>
        <r>
          <rPr>
            <b/>
            <sz val="9"/>
            <color indexed="81"/>
            <rFont val="Tahoma"/>
            <family val="2"/>
          </rPr>
          <t>After revamp</t>
        </r>
      </text>
    </comment>
    <comment ref="D58" authorId="1" shapeId="0">
      <text>
        <r>
          <rPr>
            <b/>
            <sz val="9"/>
            <color indexed="81"/>
            <rFont val="Tahoma"/>
            <family val="2"/>
          </rPr>
          <t>Organic, not include new business</t>
        </r>
      </text>
    </comment>
    <comment ref="F62" authorId="1" shapeId="0">
      <text>
        <r>
          <rPr>
            <b/>
            <sz val="9"/>
            <color indexed="81"/>
            <rFont val="Tahoma"/>
            <family val="2"/>
          </rPr>
          <t>OTCHK $136K - for revamp art work &amp; sample
NPD $1m - cost of obtaining market info</t>
        </r>
      </text>
    </comment>
    <comment ref="F68" authorId="1" shapeId="0">
      <text>
        <r>
          <rPr>
            <b/>
            <sz val="9"/>
            <color indexed="81"/>
            <rFont val="Tahoma"/>
            <family val="2"/>
          </rPr>
          <t>HR&amp;IT One off report customizations
NPD one-off consultation</t>
        </r>
      </text>
    </comment>
    <comment ref="G68" authorId="1" shapeId="0">
      <text>
        <r>
          <rPr>
            <b/>
            <sz val="9"/>
            <color indexed="81"/>
            <rFont val="Tahoma"/>
            <family val="2"/>
          </rPr>
          <t>Oracle &amp; HCMS Carry fwd from 1920</t>
        </r>
      </text>
    </comment>
    <comment ref="G73" authorId="1" shapeId="0">
      <text>
        <r>
          <rPr>
            <b/>
            <sz val="9"/>
            <color indexed="81"/>
            <rFont val="Tahoma"/>
            <family val="2"/>
          </rPr>
          <t>Assume YL office capitalized from Oct-20</t>
        </r>
      </text>
    </comment>
    <comment ref="H73" authorId="1" shapeId="0">
      <text>
        <r>
          <rPr>
            <b/>
            <sz val="9"/>
            <color indexed="81"/>
            <rFont val="Tahoma"/>
            <family val="2"/>
          </rPr>
          <t>Assume all R&amp;D remaining assets starts depr in 21/22</t>
        </r>
      </text>
    </comment>
    <comment ref="I73" authorId="1" shapeId="0">
      <text>
        <r>
          <rPr>
            <b/>
            <sz val="9"/>
            <color indexed="81"/>
            <rFont val="Tahoma"/>
            <family val="2"/>
          </rPr>
          <t>Assume all R&amp;D remaining assets starts depr in 21/22</t>
        </r>
      </text>
    </comment>
    <comment ref="F151" authorId="1" shapeId="0">
      <text>
        <r>
          <rPr>
            <b/>
            <sz val="9"/>
            <color indexed="81"/>
            <rFont val="Tahoma"/>
            <family val="2"/>
          </rPr>
          <t>From Personnel cost &amp; incentive bonus</t>
        </r>
      </text>
    </comment>
    <comment ref="F152" authorId="1" shapeId="0">
      <text>
        <r>
          <rPr>
            <b/>
            <sz val="9"/>
            <color indexed="81"/>
            <rFont val="Tahoma"/>
            <family val="2"/>
          </rPr>
          <t>NPD BE Study
HRIS &amp; Oracle customization</t>
        </r>
      </text>
    </comment>
    <comment ref="G152" authorId="1" shapeId="0">
      <text>
        <r>
          <rPr>
            <b/>
            <sz val="9"/>
            <color indexed="81"/>
            <rFont val="Tahoma"/>
            <family val="2"/>
          </rPr>
          <t>Oracle &amp; HCMS Carry fwd from 1920</t>
        </r>
      </text>
    </comment>
    <comment ref="F154" authorId="1" shapeId="0">
      <text>
        <r>
          <rPr>
            <b/>
            <sz val="9"/>
            <color indexed="81"/>
            <rFont val="Tahoma"/>
            <family val="2"/>
          </rPr>
          <t>$1718 &amp; $615 - for R&amp;D testing batches</t>
        </r>
      </text>
    </comment>
    <comment ref="G154" authorId="1" shapeId="0">
      <text>
        <r>
          <rPr>
            <b/>
            <sz val="9"/>
            <color indexed="81"/>
            <rFont val="Tahoma"/>
            <family val="2"/>
          </rPr>
          <t>Similar to 19/20</t>
        </r>
      </text>
    </comment>
    <comment ref="G156" authorId="1" shapeId="0">
      <text>
        <r>
          <rPr>
            <b/>
            <sz val="9"/>
            <color indexed="81"/>
            <rFont val="Tahoma"/>
            <family val="2"/>
          </rPr>
          <t>Assume will occupy production capacity for 1 quarter</t>
        </r>
      </text>
    </comment>
    <comment ref="H172" authorId="0" shapeId="0">
      <text>
        <r>
          <rPr>
            <b/>
            <sz val="9"/>
            <color indexed="81"/>
            <rFont val="Tahoma"/>
            <family val="2"/>
          </rPr>
          <t>RDTS 100% P&amp;L</t>
        </r>
      </text>
    </comment>
    <comment ref="I174" authorId="0" shapeId="0">
      <text>
        <r>
          <rPr>
            <b/>
            <sz val="9"/>
            <color indexed="81"/>
            <rFont val="Tahoma"/>
            <family val="2"/>
          </rPr>
          <t>RDTS 43,238</t>
        </r>
      </text>
    </comment>
    <comment ref="J174" authorId="0" shapeId="0">
      <text>
        <r>
          <rPr>
            <b/>
            <sz val="9"/>
            <color indexed="81"/>
            <rFont val="Tahoma"/>
            <family val="2"/>
          </rPr>
          <t>RDTS 43,905</t>
        </r>
      </text>
    </comment>
    <comment ref="I176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J176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I177" authorId="0" shapeId="0">
      <text>
        <r>
          <rPr>
            <b/>
            <sz val="9"/>
            <color indexed="81"/>
            <rFont val="Tahoma"/>
            <family val="2"/>
          </rPr>
          <t>RDTS 75,112</t>
        </r>
      </text>
    </comment>
    <comment ref="J177" authorId="0" shapeId="0">
      <text>
        <r>
          <rPr>
            <b/>
            <sz val="9"/>
            <color indexed="81"/>
            <rFont val="Tahoma"/>
            <family val="2"/>
          </rPr>
          <t>RDTS 77,366</t>
        </r>
      </text>
    </comment>
    <comment ref="I178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J178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I182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J182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I185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J185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I186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J186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I187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J187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I188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J188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I189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J189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I195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J195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I197" authorId="0" shapeId="0">
      <text>
        <r>
          <rPr>
            <b/>
            <sz val="9"/>
            <color indexed="81"/>
            <rFont val="Tahoma"/>
            <family val="2"/>
          </rPr>
          <t>RDTS 43,238</t>
        </r>
      </text>
    </comment>
    <comment ref="J197" authorId="0" shapeId="0">
      <text>
        <r>
          <rPr>
            <b/>
            <sz val="9"/>
            <color indexed="81"/>
            <rFont val="Tahoma"/>
            <family val="2"/>
          </rPr>
          <t>RDTS 43,905</t>
        </r>
      </text>
    </comment>
    <comment ref="I199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J199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I200" authorId="0" shapeId="0">
      <text>
        <r>
          <rPr>
            <b/>
            <sz val="9"/>
            <color indexed="81"/>
            <rFont val="Tahoma"/>
            <family val="2"/>
          </rPr>
          <t>RDTS 75,112</t>
        </r>
      </text>
    </comment>
    <comment ref="J200" authorId="0" shapeId="0">
      <text>
        <r>
          <rPr>
            <b/>
            <sz val="9"/>
            <color indexed="81"/>
            <rFont val="Tahoma"/>
            <family val="2"/>
          </rPr>
          <t>RDTS 77,366</t>
        </r>
      </text>
    </comment>
    <comment ref="I201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J201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I205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J205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I208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J208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I209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J209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I210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J210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I211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J211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I212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J212" authorId="2" shapeId="0">
      <text>
        <r>
          <rPr>
            <b/>
            <sz val="9"/>
            <color indexed="81"/>
            <rFont val="Tahoma"/>
            <family val="2"/>
          </rPr>
          <t xml:space="preserve">100% P&amp;L CF
</t>
        </r>
      </text>
    </comment>
    <comment ref="B219" authorId="1" shapeId="0">
      <text>
        <r>
          <rPr>
            <b/>
            <sz val="9"/>
            <color indexed="81"/>
            <rFont val="Tahoma"/>
            <family val="2"/>
          </rPr>
          <t>12Years Production Tablet File</t>
        </r>
      </text>
    </comment>
    <comment ref="G236" authorId="1" shapeId="0">
      <text>
        <r>
          <rPr>
            <sz val="9"/>
            <color indexed="81"/>
            <rFont val="Tahoma"/>
            <family val="2"/>
          </rPr>
          <t xml:space="preserve">Rent till May20
</t>
        </r>
      </text>
    </comment>
    <comment ref="G237" authorId="1" shapeId="0">
      <text>
        <r>
          <rPr>
            <sz val="9"/>
            <color indexed="81"/>
            <rFont val="Tahoma"/>
            <family val="2"/>
          </rPr>
          <t xml:space="preserve">Finance - Apr-May20
Directors Office - Jun20-Mar21
</t>
        </r>
      </text>
    </comment>
    <comment ref="G239" authorId="1" shapeId="0">
      <text>
        <r>
          <rPr>
            <b/>
            <sz val="9"/>
            <color indexed="81"/>
            <rFont val="Tahoma"/>
            <family val="2"/>
          </rPr>
          <t>9/F Safety Godown
$3,197,250
Upto Dec20 Only</t>
        </r>
      </text>
    </comment>
    <comment ref="G240" authorId="1" shapeId="0">
      <text>
        <r>
          <rPr>
            <b/>
            <sz val="9"/>
            <color indexed="81"/>
            <rFont val="Tahoma"/>
            <family val="2"/>
          </rPr>
          <t>5/F &amp; 10/F Rent Free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41" authorId="1" shapeId="0">
      <text>
        <r>
          <rPr>
            <b/>
            <sz val="9"/>
            <color indexed="81"/>
            <rFont val="Tahoma"/>
            <family val="2"/>
          </rPr>
          <t>Upto Sep-22
(update as at 21/9/20)</t>
        </r>
      </text>
    </comment>
    <comment ref="G243" authorId="1" shapeId="0">
      <text>
        <r>
          <rPr>
            <b/>
            <sz val="9"/>
            <color indexed="81"/>
            <rFont val="Tahoma"/>
            <family val="2"/>
          </rPr>
          <t>No stock up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Joyce Fong</author>
    <author>Vincent Ng</author>
    <author>Jet Designer1</author>
    <author>Chris Chiu</author>
    <author>Work</author>
  </authors>
  <commentList>
    <comment ref="Q9" authorId="0" shapeId="0">
      <text>
        <r>
          <rPr>
            <b/>
            <sz val="9"/>
            <color indexed="81"/>
            <rFont val="Tahoma"/>
            <family val="2"/>
          </rPr>
          <t>adjust to match china 12yrs tablet</t>
        </r>
      </text>
    </comment>
    <comment ref="R9" authorId="0" shapeId="0">
      <text>
        <r>
          <rPr>
            <b/>
            <sz val="9"/>
            <color indexed="81"/>
            <rFont val="Tahoma"/>
            <family val="2"/>
          </rPr>
          <t>adjust to match china 12yrs tablet</t>
        </r>
      </text>
    </comment>
    <comment ref="T9" authorId="0" shapeId="0">
      <text>
        <r>
          <rPr>
            <b/>
            <sz val="9"/>
            <color indexed="81"/>
            <rFont val="Tahoma"/>
            <family val="2"/>
          </rPr>
          <t>adjust to match china 12yrs tablet</t>
        </r>
      </text>
    </comment>
    <comment ref="U9" authorId="0" shapeId="0">
      <text>
        <r>
          <rPr>
            <b/>
            <sz val="9"/>
            <color indexed="81"/>
            <rFont val="Tahoma"/>
            <family val="2"/>
          </rPr>
          <t>adjust to match china 12yrs tablet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14" authorId="1" shapeId="0">
      <text>
        <r>
          <rPr>
            <b/>
            <sz val="9"/>
            <color indexed="81"/>
            <rFont val="Tahoma"/>
            <family val="2"/>
          </rPr>
          <t>Assume 8% price increase for every five years</t>
        </r>
      </text>
    </comment>
    <comment ref="M16" authorId="2" shapeId="0">
      <text>
        <r>
          <rPr>
            <b/>
            <sz val="9"/>
            <color indexed="81"/>
            <rFont val="Tahoma"/>
            <family val="2"/>
          </rPr>
          <t>RMB16.96/EA</t>
        </r>
      </text>
    </comment>
    <comment ref="P16" authorId="2" shapeId="0">
      <text>
        <r>
          <rPr>
            <b/>
            <sz val="9"/>
            <color indexed="81"/>
            <rFont val="Tahoma"/>
            <family val="2"/>
          </rPr>
          <t>Assume 15% price increase for every three years</t>
        </r>
      </text>
    </comment>
    <comment ref="S16" authorId="2" shapeId="0">
      <text>
        <r>
          <rPr>
            <b/>
            <sz val="9"/>
            <color indexed="81"/>
            <rFont val="Tahoma"/>
            <family val="2"/>
          </rPr>
          <t>Assume 15% price increase for every three years</t>
        </r>
      </text>
    </comment>
    <comment ref="V16" authorId="2" shapeId="0">
      <text>
        <r>
          <rPr>
            <b/>
            <sz val="9"/>
            <color indexed="81"/>
            <rFont val="Tahoma"/>
            <family val="2"/>
          </rPr>
          <t>Assume 15% price increase for every three years</t>
        </r>
      </text>
    </comment>
    <comment ref="N25" authorId="3" shapeId="0">
      <text>
        <r>
          <rPr>
            <b/>
            <sz val="9"/>
            <color indexed="81"/>
            <rFont val="Tahoma"/>
            <family val="2"/>
          </rPr>
          <t>HK Prod = only 25% of Total Prod.
Cost per SKU increase</t>
        </r>
      </text>
    </comment>
    <comment ref="G43" authorId="1" shapeId="0">
      <text>
        <r>
          <rPr>
            <b/>
            <sz val="9"/>
            <color indexed="81"/>
            <rFont val="Tahoma"/>
            <family val="2"/>
          </rPr>
          <t>Adjusted for prior year under-provision of $28.9m</t>
        </r>
      </text>
    </comment>
    <comment ref="L150" authorId="0" shapeId="0">
      <text>
        <r>
          <rPr>
            <b/>
            <sz val="9"/>
            <color indexed="81"/>
            <rFont val="Tahoma"/>
            <family val="2"/>
          </rPr>
          <t>$2,461m for prior yr YE Bonus provision</t>
        </r>
      </text>
    </comment>
    <comment ref="O150" authorId="3" shapeId="0">
      <text>
        <r>
          <rPr>
            <b/>
            <sz val="9"/>
            <color indexed="81"/>
            <rFont val="Tahoma"/>
            <family val="2"/>
          </rPr>
          <t>minus RTDS</t>
        </r>
      </text>
    </comment>
    <comment ref="P150" authorId="3" shapeId="0">
      <text>
        <r>
          <rPr>
            <b/>
            <sz val="9"/>
            <color indexed="81"/>
            <rFont val="Tahoma"/>
            <family val="2"/>
          </rPr>
          <t>minus RTDS</t>
        </r>
      </text>
    </comment>
    <comment ref="Q150" authorId="3" shapeId="0">
      <text>
        <r>
          <rPr>
            <b/>
            <sz val="9"/>
            <color indexed="81"/>
            <rFont val="Tahoma"/>
            <family val="2"/>
          </rPr>
          <t>minus RTDS</t>
        </r>
      </text>
    </comment>
    <comment ref="R150" authorId="3" shapeId="0">
      <text>
        <r>
          <rPr>
            <b/>
            <sz val="9"/>
            <color indexed="81"/>
            <rFont val="Tahoma"/>
            <family val="2"/>
          </rPr>
          <t>minus RTDS</t>
        </r>
      </text>
    </comment>
    <comment ref="S150" authorId="3" shapeId="0">
      <text>
        <r>
          <rPr>
            <b/>
            <sz val="9"/>
            <color indexed="81"/>
            <rFont val="Tahoma"/>
            <family val="2"/>
          </rPr>
          <t>minus RTDS</t>
        </r>
      </text>
    </comment>
    <comment ref="T150" authorId="3" shapeId="0">
      <text>
        <r>
          <rPr>
            <b/>
            <sz val="9"/>
            <color indexed="81"/>
            <rFont val="Tahoma"/>
            <family val="2"/>
          </rPr>
          <t>minus RTDS</t>
        </r>
      </text>
    </comment>
    <comment ref="U150" authorId="3" shapeId="0">
      <text>
        <r>
          <rPr>
            <b/>
            <sz val="9"/>
            <color indexed="81"/>
            <rFont val="Tahoma"/>
            <family val="2"/>
          </rPr>
          <t>minus RTDS</t>
        </r>
      </text>
    </comment>
    <comment ref="V150" authorId="3" shapeId="0">
      <text>
        <r>
          <rPr>
            <b/>
            <sz val="9"/>
            <color indexed="81"/>
            <rFont val="Tahoma"/>
            <family val="2"/>
          </rPr>
          <t>minus RTDS</t>
        </r>
      </text>
    </comment>
    <comment ref="I152" authorId="1" shapeId="0">
      <text>
        <r>
          <rPr>
            <b/>
            <sz val="9"/>
            <color indexed="81"/>
            <rFont val="Tahoma"/>
            <family val="2"/>
          </rPr>
          <t>Reclassify TP bonus: 1,228,268</t>
        </r>
      </text>
    </comment>
    <comment ref="L152" authorId="0" shapeId="0">
      <text>
        <r>
          <rPr>
            <b/>
            <sz val="9"/>
            <color indexed="81"/>
            <rFont val="Tahoma"/>
            <family val="2"/>
          </rPr>
          <t>$3,979 for prior yr Incentive Bonus provision</t>
        </r>
      </text>
    </comment>
    <comment ref="M154" authorId="0" shapeId="0">
      <text>
        <r>
          <rPr>
            <b/>
            <sz val="9"/>
            <color indexed="81"/>
            <rFont val="Tahoma"/>
            <family val="2"/>
          </rPr>
          <t>9/F
TW
12/F for 2 months
Room 402 for 2 months
Asia one for 2 months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154" authorId="1" shapeId="0">
      <text>
        <r>
          <rPr>
            <b/>
            <sz val="9"/>
            <color indexed="81"/>
            <rFont val="Tahoma"/>
            <family val="2"/>
          </rPr>
          <t>Rent free of 10/F &amp; 5/F is all booked under opex</t>
        </r>
      </text>
    </comment>
    <comment ref="I155" authorId="4" shapeId="0">
      <text>
        <r>
          <rPr>
            <b/>
            <sz val="9"/>
            <color indexed="81"/>
            <rFont val="Tahoma"/>
            <family val="2"/>
          </rPr>
          <t xml:space="preserve">Included in Other costs
</t>
        </r>
      </text>
    </comment>
    <comment ref="J155" authorId="4" shapeId="0">
      <text>
        <r>
          <rPr>
            <b/>
            <sz val="9"/>
            <color indexed="81"/>
            <rFont val="Tahoma"/>
            <family val="2"/>
          </rPr>
          <t xml:space="preserve">Included in Other costs
</t>
        </r>
      </text>
    </comment>
    <comment ref="K155" authorId="4" shapeId="0">
      <text>
        <r>
          <rPr>
            <b/>
            <sz val="9"/>
            <color indexed="81"/>
            <rFont val="Tahoma"/>
            <family val="2"/>
          </rPr>
          <t xml:space="preserve">Included in Other costs
</t>
        </r>
      </text>
    </comment>
    <comment ref="I156" authorId="4" shapeId="0">
      <text>
        <r>
          <rPr>
            <b/>
            <sz val="9"/>
            <color indexed="81"/>
            <rFont val="Tahoma"/>
            <family val="2"/>
          </rPr>
          <t xml:space="preserve">Included in Other costs
</t>
        </r>
      </text>
    </comment>
    <comment ref="J156" authorId="4" shapeId="0">
      <text>
        <r>
          <rPr>
            <b/>
            <sz val="9"/>
            <color indexed="81"/>
            <rFont val="Tahoma"/>
            <family val="2"/>
          </rPr>
          <t xml:space="preserve">Included in Other costs
</t>
        </r>
      </text>
    </comment>
    <comment ref="K156" authorId="4" shapeId="0">
      <text>
        <r>
          <rPr>
            <b/>
            <sz val="9"/>
            <color indexed="81"/>
            <rFont val="Tahoma"/>
            <family val="2"/>
          </rPr>
          <t xml:space="preserve">Included in Other costs
</t>
        </r>
      </text>
    </comment>
    <comment ref="N163" authorId="3" shapeId="0">
      <text>
        <r>
          <rPr>
            <b/>
            <sz val="9"/>
            <color indexed="81"/>
            <rFont val="Tahoma"/>
            <family val="2"/>
          </rPr>
          <t xml:space="preserve">Interests prior to 22/23 is capitalized
</t>
        </r>
      </text>
    </comment>
    <comment ref="L164" authorId="0" shapeId="0">
      <text>
        <r>
          <rPr>
            <b/>
            <sz val="9"/>
            <color indexed="81"/>
            <rFont val="Tahoma"/>
            <family val="2"/>
          </rPr>
          <t>From Personnel cost &amp; incentive bonus</t>
        </r>
      </text>
    </comment>
    <comment ref="L165" authorId="0" shapeId="0">
      <text>
        <r>
          <rPr>
            <b/>
            <sz val="9"/>
            <color indexed="81"/>
            <rFont val="Tahoma"/>
            <family val="2"/>
          </rPr>
          <t>Oracle &amp; HRIS customizations
NPD BE study</t>
        </r>
      </text>
    </comment>
    <comment ref="M165" authorId="0" shapeId="0">
      <text>
        <r>
          <rPr>
            <b/>
            <sz val="9"/>
            <color indexed="81"/>
            <rFont val="Tahoma"/>
            <family val="2"/>
          </rPr>
          <t xml:space="preserve">Oracle $500K &amp; HCMS$100K Carry fwd
</t>
        </r>
      </text>
    </comment>
    <comment ref="L166" authorId="0" shapeId="0">
      <text>
        <r>
          <rPr>
            <b/>
            <sz val="9"/>
            <color indexed="81"/>
            <rFont val="Tahoma"/>
            <family val="2"/>
          </rPr>
          <t>GZ Pharm 1405
Kerry 425
Asia One 1838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66" authorId="0" shapeId="0">
      <text>
        <r>
          <rPr>
            <b/>
            <sz val="9"/>
            <color indexed="81"/>
            <rFont val="Tahoma"/>
            <family val="2"/>
          </rPr>
          <t xml:space="preserve"> - GZ Pharm 800K
 - Asia One 2 month 260 K</t>
        </r>
      </text>
    </comment>
    <comment ref="L167" authorId="0" shapeId="0">
      <text>
        <r>
          <rPr>
            <b/>
            <sz val="9"/>
            <color indexed="81"/>
            <rFont val="Tahoma"/>
            <family val="2"/>
          </rPr>
          <t>RDTS
  -Raw Material Consumption
  -Lab Expenses</t>
        </r>
      </text>
    </comment>
    <comment ref="O177" authorId="3" shapeId="0">
      <text>
        <r>
          <rPr>
            <b/>
            <sz val="9"/>
            <color indexed="81"/>
            <rFont val="Tahoma"/>
            <family val="2"/>
          </rPr>
          <t>$4.5m 保就業資助
$970K BUD Fund</t>
        </r>
      </text>
    </comment>
    <comment ref="G191" authorId="4" shapeId="0">
      <text>
        <r>
          <rPr>
            <b/>
            <sz val="9"/>
            <color indexed="81"/>
            <rFont val="Tahoma"/>
            <family val="2"/>
          </rPr>
          <t xml:space="preserve">Include MPF &amp; bonus
</t>
        </r>
      </text>
    </comment>
    <comment ref="H191" authorId="4" shapeId="0">
      <text>
        <r>
          <rPr>
            <b/>
            <sz val="9"/>
            <color indexed="81"/>
            <rFont val="Tahoma"/>
            <family val="2"/>
          </rPr>
          <t xml:space="preserve">Include MPF &amp; bonus
</t>
        </r>
      </text>
    </comment>
    <comment ref="G198" authorId="4" shapeId="0">
      <text>
        <r>
          <rPr>
            <b/>
            <sz val="9"/>
            <color indexed="81"/>
            <rFont val="Tahoma"/>
            <family val="2"/>
          </rPr>
          <t>YL Rate $1.50M + YL Mgt Fee $0.65M + Rm401 R,R,Mgt $0.32M</t>
        </r>
      </text>
    </comment>
    <comment ref="G201" authorId="4" shapeId="0">
      <text>
        <r>
          <rPr>
            <b/>
            <sz val="9"/>
            <color indexed="81"/>
            <rFont val="Tahoma"/>
            <family val="2"/>
          </rPr>
          <t xml:space="preserve">Consultant Fee $485,437 + Professional fee - FPPSL $3,600,000
</t>
        </r>
      </text>
    </comment>
    <comment ref="H201" authorId="4" shapeId="0">
      <text>
        <r>
          <rPr>
            <b/>
            <sz val="9"/>
            <color indexed="81"/>
            <rFont val="Tahoma"/>
            <family val="2"/>
          </rPr>
          <t xml:space="preserve">Consultant Fee $38,952 + Legal fee for bank loan $560,860 + Professional Fee FPPSL $3,746,600
</t>
        </r>
      </text>
    </comment>
    <comment ref="G209" authorId="4" shapeId="0">
      <text>
        <r>
          <rPr>
            <b/>
            <sz val="9"/>
            <color indexed="81"/>
            <rFont val="Tahoma"/>
            <family val="2"/>
          </rPr>
          <t>Other Cost $504,925 + Nami Proj $1,285,000</t>
        </r>
      </text>
    </comment>
    <comment ref="H209" authorId="4" shapeId="0">
      <text>
        <r>
          <rPr>
            <b/>
            <sz val="9"/>
            <color indexed="81"/>
            <rFont val="Tahoma"/>
            <family val="2"/>
          </rPr>
          <t>Other Cost $979,143 + Nami Proj $2,419,282</t>
        </r>
      </text>
    </comment>
    <comment ref="K216" authorId="1" shapeId="0">
      <text>
        <r>
          <rPr>
            <b/>
            <sz val="9"/>
            <color indexed="81"/>
            <rFont val="Tahoma"/>
            <family val="2"/>
          </rPr>
          <t>Represents MPF, incentive bonus for YL staff</t>
        </r>
      </text>
    </comment>
    <comment ref="N216" authorId="1" shapeId="0">
      <text>
        <r>
          <rPr>
            <b/>
            <sz val="9"/>
            <color indexed="81"/>
            <rFont val="Tahoma"/>
            <family val="2"/>
          </rPr>
          <t>Base on 19/20 ratio to salary</t>
        </r>
      </text>
    </comment>
    <comment ref="O216" authorId="1" shapeId="0">
      <text>
        <r>
          <rPr>
            <b/>
            <sz val="9"/>
            <color indexed="81"/>
            <rFont val="Tahoma"/>
            <family val="2"/>
          </rPr>
          <t>Half year Cost to P&amp;L</t>
        </r>
      </text>
    </comment>
    <comment ref="P216" authorId="1" shapeId="0">
      <text>
        <r>
          <rPr>
            <b/>
            <sz val="9"/>
            <color indexed="81"/>
            <rFont val="Tahoma"/>
            <family val="2"/>
          </rPr>
          <t>Base on 19/20 ratio to salary</t>
        </r>
      </text>
    </comment>
    <comment ref="N218" authorId="1" shapeId="0">
      <text>
        <r>
          <rPr>
            <b/>
            <sz val="9"/>
            <color indexed="81"/>
            <rFont val="Tahoma"/>
            <family val="2"/>
          </rPr>
          <t xml:space="preserve">Counted to YL manufacturing OH
</t>
        </r>
      </text>
    </comment>
    <comment ref="O218" authorId="1" shapeId="0">
      <text>
        <r>
          <rPr>
            <b/>
            <sz val="9"/>
            <color indexed="81"/>
            <rFont val="Tahoma"/>
            <family val="2"/>
          </rPr>
          <t>Half year Cost to P&amp;L</t>
        </r>
      </text>
    </comment>
    <comment ref="P218" authorId="1" shapeId="0">
      <text>
        <r>
          <rPr>
            <b/>
            <sz val="9"/>
            <color indexed="81"/>
            <rFont val="Tahoma"/>
            <family val="2"/>
          </rPr>
          <t xml:space="preserve">Counted to YL manufacturing OH
</t>
        </r>
      </text>
    </comment>
    <comment ref="Q218" authorId="1" shapeId="0">
      <text>
        <r>
          <rPr>
            <b/>
            <sz val="9"/>
            <color indexed="81"/>
            <rFont val="Tahoma"/>
            <family val="2"/>
          </rPr>
          <t xml:space="preserve">Counted to YL manufacturing OH
</t>
        </r>
      </text>
    </comment>
    <comment ref="R218" authorId="1" shapeId="0">
      <text>
        <r>
          <rPr>
            <b/>
            <sz val="9"/>
            <color indexed="81"/>
            <rFont val="Tahoma"/>
            <family val="2"/>
          </rPr>
          <t xml:space="preserve">Counted to YL manufacturing OH
</t>
        </r>
      </text>
    </comment>
    <comment ref="S218" authorId="1" shapeId="0">
      <text>
        <r>
          <rPr>
            <b/>
            <sz val="9"/>
            <color indexed="81"/>
            <rFont val="Tahoma"/>
            <family val="2"/>
          </rPr>
          <t xml:space="preserve">Counted to YL manufacturing OH
</t>
        </r>
      </text>
    </comment>
    <comment ref="N219" authorId="1" shapeId="0">
      <text>
        <r>
          <rPr>
            <b/>
            <sz val="9"/>
            <color indexed="81"/>
            <rFont val="Tahoma"/>
            <family val="2"/>
          </rPr>
          <t xml:space="preserve">Counted to YL manufacturing OH
</t>
        </r>
      </text>
    </comment>
    <comment ref="O219" authorId="1" shapeId="0">
      <text>
        <r>
          <rPr>
            <b/>
            <sz val="9"/>
            <color indexed="81"/>
            <rFont val="Tahoma"/>
            <family val="2"/>
          </rPr>
          <t>Half year Cost to P&amp;L</t>
        </r>
      </text>
    </comment>
    <comment ref="P219" authorId="1" shapeId="0">
      <text>
        <r>
          <rPr>
            <b/>
            <sz val="9"/>
            <color indexed="81"/>
            <rFont val="Tahoma"/>
            <family val="2"/>
          </rPr>
          <t xml:space="preserve">Counted to YL manufacturing OH
</t>
        </r>
      </text>
    </comment>
    <comment ref="Q219" authorId="1" shapeId="0">
      <text>
        <r>
          <rPr>
            <b/>
            <sz val="9"/>
            <color indexed="81"/>
            <rFont val="Tahoma"/>
            <family val="2"/>
          </rPr>
          <t xml:space="preserve">Counted to YL manufacturing OH
</t>
        </r>
      </text>
    </comment>
    <comment ref="R219" authorId="1" shapeId="0">
      <text>
        <r>
          <rPr>
            <b/>
            <sz val="9"/>
            <color indexed="81"/>
            <rFont val="Tahoma"/>
            <family val="2"/>
          </rPr>
          <t xml:space="preserve">Counted to YL manufacturing OH
</t>
        </r>
      </text>
    </comment>
    <comment ref="S219" authorId="1" shapeId="0">
      <text>
        <r>
          <rPr>
            <b/>
            <sz val="9"/>
            <color indexed="81"/>
            <rFont val="Tahoma"/>
            <family val="2"/>
          </rPr>
          <t xml:space="preserve">Counted to YL manufacturing OH
</t>
        </r>
      </text>
    </comment>
    <comment ref="N223" authorId="0" shapeId="0">
      <text>
        <r>
          <rPr>
            <b/>
            <sz val="9"/>
            <color indexed="81"/>
            <rFont val="Tahoma"/>
            <family val="2"/>
          </rPr>
          <t>Most of the operating cost should booked into OH when YL plant starts operate in 21/22</t>
        </r>
      </text>
    </comment>
    <comment ref="O223" authorId="0" shapeId="0">
      <text>
        <r>
          <rPr>
            <b/>
            <sz val="9"/>
            <color indexed="81"/>
            <rFont val="Tahoma"/>
            <family val="2"/>
          </rPr>
          <t>Half year Cost to P&amp;L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24" authorId="0" shapeId="0">
      <text>
        <r>
          <rPr>
            <b/>
            <sz val="9"/>
            <color indexed="81"/>
            <rFont val="Tahoma"/>
            <family val="2"/>
          </rPr>
          <t>$1064K - Office Relocation
$32K - Technical training after machine installation</t>
        </r>
      </text>
    </comment>
    <comment ref="M224" authorId="0" shapeId="0">
      <text>
        <r>
          <rPr>
            <b/>
            <sz val="9"/>
            <color indexed="81"/>
            <rFont val="Tahoma"/>
            <family val="2"/>
          </rPr>
          <t xml:space="preserve">$1011K - Office Relocation
</t>
        </r>
      </text>
    </comment>
    <comment ref="N225" authorId="0" shapeId="0">
      <text>
        <r>
          <rPr>
            <b/>
            <sz val="9"/>
            <color indexed="81"/>
            <rFont val="Tahoma"/>
            <family val="2"/>
          </rPr>
          <t>Assume starts depr from Jul-21</t>
        </r>
      </text>
    </comment>
    <comment ref="O225" authorId="0" shapeId="0">
      <text>
        <r>
          <rPr>
            <b/>
            <sz val="9"/>
            <color indexed="81"/>
            <rFont val="Tahoma"/>
            <family val="2"/>
          </rPr>
          <t>half yr depr charge non-core opex
half yr depr cap as inventory cost</t>
        </r>
      </text>
    </comment>
    <comment ref="L227" authorId="0" shapeId="0">
      <text>
        <r>
          <rPr>
            <b/>
            <sz val="9"/>
            <color indexed="81"/>
            <rFont val="Tahoma"/>
            <family val="2"/>
          </rPr>
          <t>FAT material</t>
        </r>
      </text>
    </comment>
    <comment ref="M227" authorId="0" shapeId="0">
      <text>
        <r>
          <rPr>
            <b/>
            <sz val="9"/>
            <color indexed="81"/>
            <rFont val="Tahoma"/>
            <family val="2"/>
          </rPr>
          <t>FAT material</t>
        </r>
      </text>
    </comment>
    <comment ref="N227" authorId="0" shapeId="0">
      <text>
        <r>
          <rPr>
            <b/>
            <sz val="9"/>
            <color indexed="81"/>
            <rFont val="Tahoma"/>
            <family val="2"/>
          </rPr>
          <t xml:space="preserve">$3m Pilot &amp; Eng Batch Material
</t>
        </r>
      </text>
    </comment>
    <comment ref="O227" authorId="0" shapeId="0">
      <text>
        <r>
          <rPr>
            <b/>
            <sz val="9"/>
            <color indexed="81"/>
            <rFont val="Tahoma"/>
            <family val="2"/>
          </rPr>
          <t>$7m Pilot &amp; Eng Batch Material</t>
        </r>
      </text>
    </comment>
    <comment ref="O228" authorId="0" shapeId="0">
      <text>
        <r>
          <rPr>
            <b/>
            <sz val="9"/>
            <color indexed="81"/>
            <rFont val="Tahoma"/>
            <family val="2"/>
          </rPr>
          <t>Half year Cost to P&amp;L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229" authorId="0" shapeId="0">
      <text>
        <r>
          <rPr>
            <b/>
            <sz val="9"/>
            <color indexed="81"/>
            <rFont val="Tahoma"/>
            <family val="2"/>
          </rPr>
          <t>Half year Cost to P&amp;L</t>
        </r>
      </text>
    </comment>
    <comment ref="K234" authorId="1" shapeId="0">
      <text>
        <r>
          <rPr>
            <b/>
            <sz val="9"/>
            <color indexed="81"/>
            <rFont val="Tahoma"/>
            <family val="2"/>
          </rPr>
          <t xml:space="preserve">Include
CRO development: $5.9m
China BE - 1411: $3m
CRO for China registration: $1m
</t>
        </r>
        <r>
          <rPr>
            <sz val="9"/>
            <color indexed="81"/>
            <rFont val="Tahoma"/>
            <family val="2"/>
          </rPr>
          <t xml:space="preserve">
$2m belongs to manpower consultancy cost (QC, validation), so move back to other cost</t>
        </r>
      </text>
    </comment>
    <comment ref="N251" authorId="3" shapeId="0">
      <text>
        <r>
          <rPr>
            <b/>
            <sz val="9"/>
            <color indexed="81"/>
            <rFont val="Tahoma"/>
            <charset val="1"/>
          </rPr>
          <t>Actual 17m</t>
        </r>
      </text>
    </comment>
    <comment ref="M291" authorId="3" shapeId="0">
      <text>
        <r>
          <rPr>
            <b/>
            <sz val="9"/>
            <color indexed="81"/>
            <rFont val="Tahoma"/>
            <family val="2"/>
          </rPr>
          <t xml:space="preserve">1st 2M 8.25% 
Remaining 16.5%
- 20k tax reduction
</t>
        </r>
      </text>
    </comment>
  </commentList>
</comments>
</file>

<file path=xl/comments6.xml><?xml version="1.0" encoding="utf-8"?>
<comments xmlns="http://schemas.openxmlformats.org/spreadsheetml/2006/main">
  <authors>
    <author>Chris Chiu</author>
  </authors>
  <commentList>
    <comment ref="K1" authorId="0" shapeId="0">
      <text>
        <r>
          <rPr>
            <b/>
            <sz val="9"/>
            <color indexed="81"/>
            <rFont val="Tahoma"/>
            <family val="2"/>
          </rPr>
          <t xml:space="preserve">21-22
</t>
        </r>
      </text>
    </comment>
    <comment ref="K48" authorId="0" shapeId="0">
      <text>
        <r>
          <rPr>
            <b/>
            <sz val="9"/>
            <color indexed="81"/>
            <rFont val="Tahoma"/>
            <family val="2"/>
          </rPr>
          <t>Deducted 返利</t>
        </r>
      </text>
    </comment>
    <comment ref="L48" authorId="0" shapeId="0">
      <text>
        <r>
          <rPr>
            <b/>
            <sz val="9"/>
            <color indexed="81"/>
            <rFont val="Tahoma"/>
            <family val="2"/>
          </rPr>
          <t>Deducted 返利</t>
        </r>
      </text>
    </comment>
    <comment ref="M48" authorId="0" shapeId="0">
      <text>
        <r>
          <rPr>
            <b/>
            <sz val="9"/>
            <color indexed="81"/>
            <rFont val="Tahoma"/>
            <family val="2"/>
          </rPr>
          <t>Deducted 返利</t>
        </r>
      </text>
    </comment>
    <comment ref="M61" authorId="0" shapeId="0">
      <text>
        <r>
          <rPr>
            <b/>
            <sz val="9"/>
            <color indexed="81"/>
            <rFont val="Tahoma"/>
            <family val="2"/>
          </rPr>
          <t>make sense?</t>
        </r>
      </text>
    </comment>
    <comment ref="K84" authorId="0" shapeId="0">
      <text>
        <r>
          <rPr>
            <b/>
            <sz val="9"/>
            <color indexed="81"/>
            <rFont val="Tahoma"/>
            <family val="2"/>
          </rPr>
          <t>Deducted 返利</t>
        </r>
      </text>
    </comment>
    <comment ref="L84" authorId="0" shapeId="0">
      <text>
        <r>
          <rPr>
            <b/>
            <sz val="9"/>
            <color indexed="81"/>
            <rFont val="Tahoma"/>
            <family val="2"/>
          </rPr>
          <t>not actual 
should Deducted 返利</t>
        </r>
      </text>
    </comment>
    <comment ref="L123" authorId="0" shapeId="0">
      <text>
        <r>
          <rPr>
            <b/>
            <sz val="9"/>
            <color indexed="81"/>
            <rFont val="Tahoma"/>
            <family val="2"/>
          </rPr>
          <t xml:space="preserve">From Sales Forecast 12 years 20220736 by Angel
</t>
        </r>
      </text>
    </comment>
    <comment ref="M123" authorId="0" shapeId="0">
      <text>
        <r>
          <rPr>
            <b/>
            <sz val="9"/>
            <color indexed="81"/>
            <rFont val="Tahoma"/>
            <family val="2"/>
          </rPr>
          <t xml:space="preserve">From Sales Forecast 12 years 20220736 by Angel
</t>
        </r>
      </text>
    </comment>
    <comment ref="L124" authorId="0" shapeId="0">
      <text>
        <r>
          <rPr>
            <b/>
            <sz val="9"/>
            <color indexed="81"/>
            <rFont val="Tahoma"/>
            <charset val="1"/>
          </rPr>
          <t xml:space="preserve">From Sales Forecast 12 years 20220736 by Angel
</t>
        </r>
      </text>
    </comment>
    <comment ref="M124" authorId="0" shapeId="0">
      <text>
        <r>
          <rPr>
            <b/>
            <sz val="9"/>
            <color indexed="81"/>
            <rFont val="Tahoma"/>
            <family val="2"/>
          </rPr>
          <t xml:space="preserve">From Sales Forecast 12 years 20220736 by Angel
</t>
        </r>
      </text>
    </comment>
    <comment ref="L125" authorId="0" shapeId="0">
      <text>
        <r>
          <rPr>
            <b/>
            <sz val="9"/>
            <color indexed="81"/>
            <rFont val="Tahoma"/>
            <family val="2"/>
          </rPr>
          <t xml:space="preserve">From Sales Forecast 12 years 20220736 by Angel
</t>
        </r>
      </text>
    </comment>
    <comment ref="M125" authorId="0" shapeId="0">
      <text>
        <r>
          <rPr>
            <b/>
            <sz val="9"/>
            <color indexed="81"/>
            <rFont val="Tahoma"/>
            <family val="2"/>
          </rPr>
          <t xml:space="preserve">From Sales Forecast 12 years 20220736 by Angel
</t>
        </r>
      </text>
    </comment>
    <comment ref="N127" authorId="0" shapeId="0">
      <text>
        <r>
          <rPr>
            <b/>
            <sz val="9"/>
            <color indexed="81"/>
            <rFont val="Tahoma"/>
            <family val="2"/>
          </rPr>
          <t>New Launch of FortoHot, DuACT, Elements, Hot Rem (Inhouse)</t>
        </r>
      </text>
    </comment>
  </commentList>
</comments>
</file>

<file path=xl/comments7.xml><?xml version="1.0" encoding="utf-8"?>
<comments xmlns="http://schemas.openxmlformats.org/spreadsheetml/2006/main">
  <authors>
    <author>Chris Chiu</author>
    <author>Work</author>
    <author>Joyce Fong</author>
    <author>Vincent Ng</author>
  </authors>
  <commentList>
    <comment ref="AS12" authorId="0" shapeId="0">
      <text>
        <r>
          <rPr>
            <b/>
            <sz val="9"/>
            <color indexed="81"/>
            <rFont val="Tahoma"/>
            <family val="2"/>
          </rPr>
          <t>Material cost -&gt; R&amp;D
No Labour n Overhead</t>
        </r>
      </text>
    </comment>
    <comment ref="AW12" authorId="0" shapeId="0">
      <text>
        <r>
          <rPr>
            <b/>
            <sz val="9"/>
            <color indexed="81"/>
            <rFont val="Tahoma"/>
            <family val="2"/>
          </rPr>
          <t>Material cost -&gt; R&amp;D
No Labour n Overhead</t>
        </r>
      </text>
    </comment>
    <comment ref="BA12" authorId="0" shapeId="0">
      <text>
        <r>
          <rPr>
            <b/>
            <sz val="9"/>
            <color indexed="81"/>
            <rFont val="Tahoma"/>
            <family val="2"/>
          </rPr>
          <t>Material cost -&gt; R&amp;D
No Labour n Overhead</t>
        </r>
      </text>
    </comment>
    <comment ref="BE12" authorId="0" shapeId="0">
      <text>
        <r>
          <rPr>
            <b/>
            <sz val="9"/>
            <color indexed="81"/>
            <rFont val="Tahoma"/>
            <family val="2"/>
          </rPr>
          <t>Material cost -&gt; R&amp;D
No Labour n Overhead</t>
        </r>
      </text>
    </comment>
    <comment ref="BI12" authorId="0" shapeId="0">
      <text>
        <r>
          <rPr>
            <b/>
            <sz val="9"/>
            <color indexed="81"/>
            <rFont val="Tahoma"/>
            <family val="2"/>
          </rPr>
          <t>Material cost -&gt; R&amp;D
No Labour n Overhead</t>
        </r>
      </text>
    </comment>
    <comment ref="BM12" authorId="0" shapeId="0">
      <text>
        <r>
          <rPr>
            <b/>
            <sz val="9"/>
            <color indexed="81"/>
            <rFont val="Tahoma"/>
            <family val="2"/>
          </rPr>
          <t>Material cost -&gt; R&amp;D
No Labour n Overhead</t>
        </r>
      </text>
    </comment>
    <comment ref="BQ12" authorId="0" shapeId="0">
      <text>
        <r>
          <rPr>
            <b/>
            <sz val="9"/>
            <color indexed="81"/>
            <rFont val="Tahoma"/>
            <family val="2"/>
          </rPr>
          <t>Material cost -&gt; R&amp;D
No Labour n Overhead</t>
        </r>
      </text>
    </comment>
    <comment ref="BU12" authorId="0" shapeId="0">
      <text>
        <r>
          <rPr>
            <b/>
            <sz val="9"/>
            <color indexed="81"/>
            <rFont val="Tahoma"/>
            <family val="2"/>
          </rPr>
          <t>Material cost -&gt; R&amp;D
No Labour n Overhead</t>
        </r>
      </text>
    </comment>
    <comment ref="BY12" authorId="0" shapeId="0">
      <text>
        <r>
          <rPr>
            <b/>
            <sz val="9"/>
            <color indexed="81"/>
            <rFont val="Tahoma"/>
            <family val="2"/>
          </rPr>
          <t>Material cost -&gt; R&amp;D
No Labour n Overhead</t>
        </r>
      </text>
    </comment>
    <comment ref="AQ14" authorId="0" shapeId="0">
      <text>
        <r>
          <rPr>
            <b/>
            <sz val="9"/>
            <color indexed="81"/>
            <rFont val="Tahoma"/>
            <family val="2"/>
          </rPr>
          <t>Saleable PV, Normal Production</t>
        </r>
      </text>
    </comment>
    <comment ref="AR14" authorId="0" shapeId="0">
      <text>
        <r>
          <rPr>
            <b/>
            <sz val="9"/>
            <color indexed="81"/>
            <rFont val="Tahoma"/>
            <family val="2"/>
          </rPr>
          <t xml:space="preserve">Demo, EG, Unsaleable PV
</t>
        </r>
      </text>
    </comment>
    <comment ref="AS14" authorId="0" shapeId="0">
      <text>
        <r>
          <rPr>
            <b/>
            <sz val="9"/>
            <color indexed="81"/>
            <rFont val="Tahoma"/>
            <family val="2"/>
          </rPr>
          <t>Incl. pilot, demo, EG, all PV, normal prod.</t>
        </r>
      </text>
    </comment>
    <comment ref="AU14" authorId="0" shapeId="0">
      <text>
        <r>
          <rPr>
            <b/>
            <sz val="9"/>
            <color indexed="81"/>
            <rFont val="Tahoma"/>
            <family val="2"/>
          </rPr>
          <t>Saleable PV, Normal Production</t>
        </r>
      </text>
    </comment>
    <comment ref="AV14" authorId="0" shapeId="0">
      <text>
        <r>
          <rPr>
            <b/>
            <sz val="9"/>
            <color indexed="81"/>
            <rFont val="Tahoma"/>
            <family val="2"/>
          </rPr>
          <t xml:space="preserve">Demo, EG, Unsaleable PV
</t>
        </r>
      </text>
    </comment>
    <comment ref="AW14" authorId="0" shapeId="0">
      <text>
        <r>
          <rPr>
            <b/>
            <sz val="9"/>
            <color indexed="81"/>
            <rFont val="Tahoma"/>
            <family val="2"/>
          </rPr>
          <t>Incl. pilot, demo, EG, all PV, normal prod.</t>
        </r>
      </text>
    </comment>
    <comment ref="AY14" authorId="0" shapeId="0">
      <text>
        <r>
          <rPr>
            <b/>
            <sz val="9"/>
            <color indexed="81"/>
            <rFont val="Tahoma"/>
            <family val="2"/>
          </rPr>
          <t>Saleable PV, Normal Production</t>
        </r>
      </text>
    </comment>
    <comment ref="AZ14" authorId="0" shapeId="0">
      <text>
        <r>
          <rPr>
            <b/>
            <sz val="9"/>
            <color indexed="81"/>
            <rFont val="Tahoma"/>
            <family val="2"/>
          </rPr>
          <t xml:space="preserve">Demo, EG, Unsaleable PV
</t>
        </r>
      </text>
    </comment>
    <comment ref="BA14" authorId="0" shapeId="0">
      <text>
        <r>
          <rPr>
            <b/>
            <sz val="9"/>
            <color indexed="81"/>
            <rFont val="Tahoma"/>
            <family val="2"/>
          </rPr>
          <t>Incl. pilot, demo, EG, all PV, normal prod.</t>
        </r>
      </text>
    </comment>
    <comment ref="BC14" authorId="0" shapeId="0">
      <text>
        <r>
          <rPr>
            <b/>
            <sz val="9"/>
            <color indexed="81"/>
            <rFont val="Tahoma"/>
            <family val="2"/>
          </rPr>
          <t>Saleable PV, Normal Production</t>
        </r>
      </text>
    </comment>
    <comment ref="BD14" authorId="0" shapeId="0">
      <text>
        <r>
          <rPr>
            <b/>
            <sz val="9"/>
            <color indexed="81"/>
            <rFont val="Tahoma"/>
            <family val="2"/>
          </rPr>
          <t xml:space="preserve">Demo, EG, Unsaleable PV
</t>
        </r>
      </text>
    </comment>
    <comment ref="BE14" authorId="0" shapeId="0">
      <text>
        <r>
          <rPr>
            <b/>
            <sz val="9"/>
            <color indexed="81"/>
            <rFont val="Tahoma"/>
            <family val="2"/>
          </rPr>
          <t>Incl. pilot, demo, EG, all PV, normal prod.</t>
        </r>
      </text>
    </comment>
    <comment ref="BG14" authorId="0" shapeId="0">
      <text>
        <r>
          <rPr>
            <b/>
            <sz val="9"/>
            <color indexed="81"/>
            <rFont val="Tahoma"/>
            <family val="2"/>
          </rPr>
          <t>Saleable PV, Normal Production</t>
        </r>
      </text>
    </comment>
    <comment ref="BH14" authorId="0" shapeId="0">
      <text>
        <r>
          <rPr>
            <b/>
            <sz val="9"/>
            <color indexed="81"/>
            <rFont val="Tahoma"/>
            <family val="2"/>
          </rPr>
          <t xml:space="preserve">Demo, EG, Unsaleable PV
</t>
        </r>
      </text>
    </comment>
    <comment ref="BI14" authorId="0" shapeId="0">
      <text>
        <r>
          <rPr>
            <b/>
            <sz val="9"/>
            <color indexed="81"/>
            <rFont val="Tahoma"/>
            <family val="2"/>
          </rPr>
          <t>Incl. pilot, demo, EG, all PV, normal prod.</t>
        </r>
      </text>
    </comment>
    <comment ref="BK14" authorId="0" shapeId="0">
      <text>
        <r>
          <rPr>
            <b/>
            <sz val="9"/>
            <color indexed="81"/>
            <rFont val="Tahoma"/>
            <family val="2"/>
          </rPr>
          <t>Saleable PV, Normal Production</t>
        </r>
      </text>
    </comment>
    <comment ref="BL14" authorId="0" shapeId="0">
      <text>
        <r>
          <rPr>
            <b/>
            <sz val="9"/>
            <color indexed="81"/>
            <rFont val="Tahoma"/>
            <family val="2"/>
          </rPr>
          <t xml:space="preserve">Demo, EG, Unsaleable PV
</t>
        </r>
      </text>
    </comment>
    <comment ref="BM14" authorId="0" shapeId="0">
      <text>
        <r>
          <rPr>
            <b/>
            <sz val="9"/>
            <color indexed="81"/>
            <rFont val="Tahoma"/>
            <family val="2"/>
          </rPr>
          <t>Incl. pilot, demo, EG, all PV, normal prod.</t>
        </r>
      </text>
    </comment>
    <comment ref="BO14" authorId="0" shapeId="0">
      <text>
        <r>
          <rPr>
            <b/>
            <sz val="9"/>
            <color indexed="81"/>
            <rFont val="Tahoma"/>
            <family val="2"/>
          </rPr>
          <t>Saleable PV, Normal Production</t>
        </r>
      </text>
    </comment>
    <comment ref="BP14" authorId="0" shapeId="0">
      <text>
        <r>
          <rPr>
            <b/>
            <sz val="9"/>
            <color indexed="81"/>
            <rFont val="Tahoma"/>
            <family val="2"/>
          </rPr>
          <t xml:space="preserve">Demo, EG, Unsaleable PV
</t>
        </r>
      </text>
    </comment>
    <comment ref="BQ14" authorId="0" shapeId="0">
      <text>
        <r>
          <rPr>
            <b/>
            <sz val="9"/>
            <color indexed="81"/>
            <rFont val="Tahoma"/>
            <family val="2"/>
          </rPr>
          <t>Incl. pilot, demo, EG, all PV, normal prod.</t>
        </r>
      </text>
    </comment>
    <comment ref="BS14" authorId="0" shapeId="0">
      <text>
        <r>
          <rPr>
            <b/>
            <sz val="9"/>
            <color indexed="81"/>
            <rFont val="Tahoma"/>
            <family val="2"/>
          </rPr>
          <t>Saleable PV, Normal Production</t>
        </r>
      </text>
    </comment>
    <comment ref="BT14" authorId="0" shapeId="0">
      <text>
        <r>
          <rPr>
            <b/>
            <sz val="9"/>
            <color indexed="81"/>
            <rFont val="Tahoma"/>
            <family val="2"/>
          </rPr>
          <t xml:space="preserve">Demo, EG, Unsaleable PV
</t>
        </r>
      </text>
    </comment>
    <comment ref="BU14" authorId="0" shapeId="0">
      <text>
        <r>
          <rPr>
            <b/>
            <sz val="9"/>
            <color indexed="81"/>
            <rFont val="Tahoma"/>
            <family val="2"/>
          </rPr>
          <t>Incl. pilot, demo, EG, all PV, normal prod.</t>
        </r>
      </text>
    </comment>
    <comment ref="BW14" authorId="0" shapeId="0">
      <text>
        <r>
          <rPr>
            <b/>
            <sz val="9"/>
            <color indexed="81"/>
            <rFont val="Tahoma"/>
            <family val="2"/>
          </rPr>
          <t>Saleable PV, Normal Production</t>
        </r>
      </text>
    </comment>
    <comment ref="BX14" authorId="0" shapeId="0">
      <text>
        <r>
          <rPr>
            <b/>
            <sz val="9"/>
            <color indexed="81"/>
            <rFont val="Tahoma"/>
            <family val="2"/>
          </rPr>
          <t xml:space="preserve">Demo, EG, Unsaleable PV
</t>
        </r>
      </text>
    </comment>
    <comment ref="BY14" authorId="0" shapeId="0">
      <text>
        <r>
          <rPr>
            <b/>
            <sz val="9"/>
            <color indexed="81"/>
            <rFont val="Tahoma"/>
            <family val="2"/>
          </rPr>
          <t>Incl. pilot, demo, EG, all PV, normal prod.</t>
        </r>
      </text>
    </comment>
    <comment ref="BA15" authorId="1" shapeId="0">
      <text>
        <r>
          <rPr>
            <b/>
            <sz val="9"/>
            <color indexed="81"/>
            <rFont val="Tahoma"/>
            <family val="2"/>
          </rPr>
          <t xml:space="preserve">Total Output incl. pilot, EG, Unsaleable PV
</t>
        </r>
      </text>
    </comment>
    <comment ref="BE15" authorId="1" shapeId="0">
      <text>
        <r>
          <rPr>
            <b/>
            <sz val="9"/>
            <color indexed="81"/>
            <rFont val="Tahoma"/>
            <family val="2"/>
          </rPr>
          <t xml:space="preserve">Total Output incl. pilot, EG, Unsaleable PV
</t>
        </r>
      </text>
    </comment>
    <comment ref="BI15" authorId="1" shapeId="0">
      <text>
        <r>
          <rPr>
            <b/>
            <sz val="9"/>
            <color indexed="81"/>
            <rFont val="Tahoma"/>
            <family val="2"/>
          </rPr>
          <t xml:space="preserve">Total Output incl. pilot, EG, Unsaleable PV
</t>
        </r>
      </text>
    </comment>
    <comment ref="BM15" authorId="1" shapeId="0">
      <text>
        <r>
          <rPr>
            <b/>
            <sz val="9"/>
            <color indexed="81"/>
            <rFont val="Tahoma"/>
            <family val="2"/>
          </rPr>
          <t xml:space="preserve">Total Output incl. pilot, EG, Unsaleable PV
</t>
        </r>
      </text>
    </comment>
    <comment ref="BQ15" authorId="1" shapeId="0">
      <text>
        <r>
          <rPr>
            <b/>
            <sz val="9"/>
            <color indexed="81"/>
            <rFont val="Tahoma"/>
            <family val="2"/>
          </rPr>
          <t xml:space="preserve">Total Output incl. pilot, EG, Unsaleable PV
</t>
        </r>
      </text>
    </comment>
    <comment ref="BU15" authorId="1" shapeId="0">
      <text>
        <r>
          <rPr>
            <b/>
            <sz val="9"/>
            <color indexed="81"/>
            <rFont val="Tahoma"/>
            <family val="2"/>
          </rPr>
          <t xml:space="preserve">Total Output incl. pilot, EG, Unsaleable PV
</t>
        </r>
      </text>
    </comment>
    <comment ref="BY15" authorId="1" shapeId="0">
      <text>
        <r>
          <rPr>
            <b/>
            <sz val="9"/>
            <color indexed="81"/>
            <rFont val="Tahoma"/>
            <family val="2"/>
          </rPr>
          <t xml:space="preserve">Total Output incl. pilot, EG, Unsaleable PV
</t>
        </r>
      </text>
    </comment>
    <comment ref="AN18" authorId="0" shapeId="0">
      <text>
        <r>
          <rPr>
            <b/>
            <sz val="9"/>
            <color indexed="81"/>
            <rFont val="Tahoma"/>
            <family val="2"/>
          </rPr>
          <t xml:space="preserve">Til Sep24
</t>
        </r>
      </text>
    </comment>
    <comment ref="AB26" authorId="1" shapeId="0">
      <text>
        <r>
          <rPr>
            <b/>
            <sz val="9"/>
            <color indexed="81"/>
            <rFont val="Tahoma"/>
            <family val="2"/>
          </rPr>
          <t>13333655, 16216663</t>
        </r>
      </text>
    </comment>
    <comment ref="AV26" authorId="0" shapeId="0">
      <text>
        <r>
          <rPr>
            <b/>
            <sz val="9"/>
            <color indexed="81"/>
            <rFont val="Tahoma"/>
            <family val="2"/>
          </rPr>
          <t>Lower due to Demo &amp; EG batch only cost 49% of Material cost</t>
        </r>
      </text>
    </comment>
    <comment ref="AW26" authorId="0" shapeId="0">
      <text>
        <r>
          <rPr>
            <b/>
            <sz val="9"/>
            <color indexed="81"/>
            <rFont val="Tahoma"/>
            <family val="2"/>
          </rPr>
          <t>Excl. from Redundancy Cost</t>
        </r>
      </text>
    </comment>
    <comment ref="AZ26" authorId="0" shapeId="0">
      <text>
        <r>
          <rPr>
            <b/>
            <sz val="9"/>
            <color indexed="81"/>
            <rFont val="Tahoma"/>
            <family val="2"/>
          </rPr>
          <t>Lower due to Demo &amp; EG batch only cost 49% of Material cost</t>
        </r>
      </text>
    </comment>
    <comment ref="BA26" authorId="0" shapeId="0">
      <text>
        <r>
          <rPr>
            <b/>
            <sz val="9"/>
            <color indexed="81"/>
            <rFont val="Tahoma"/>
            <family val="2"/>
          </rPr>
          <t>Excl. from Redundancy Cost</t>
        </r>
      </text>
    </comment>
    <comment ref="BD26" authorId="0" shapeId="0">
      <text>
        <r>
          <rPr>
            <b/>
            <sz val="9"/>
            <color indexed="81"/>
            <rFont val="Tahoma"/>
            <family val="2"/>
          </rPr>
          <t>Lower due to Demo &amp; EG batch only cost 49% of Material cost</t>
        </r>
      </text>
    </comment>
    <comment ref="BE26" authorId="0" shapeId="0">
      <text>
        <r>
          <rPr>
            <b/>
            <sz val="9"/>
            <color indexed="81"/>
            <rFont val="Tahoma"/>
            <family val="2"/>
          </rPr>
          <t>Excl. from Redundancy Cost</t>
        </r>
      </text>
    </comment>
    <comment ref="BI26" authorId="0" shapeId="0">
      <text>
        <r>
          <rPr>
            <b/>
            <sz val="9"/>
            <color indexed="81"/>
            <rFont val="Tahoma"/>
            <family val="2"/>
          </rPr>
          <t>Excl. from Redundancy Cost</t>
        </r>
      </text>
    </comment>
    <comment ref="BM26" authorId="0" shapeId="0">
      <text>
        <r>
          <rPr>
            <b/>
            <sz val="9"/>
            <color indexed="81"/>
            <rFont val="Tahoma"/>
            <family val="2"/>
          </rPr>
          <t>Excl. from Redundancy Cost</t>
        </r>
      </text>
    </comment>
    <comment ref="BQ26" authorId="0" shapeId="0">
      <text>
        <r>
          <rPr>
            <b/>
            <sz val="9"/>
            <color indexed="81"/>
            <rFont val="Tahoma"/>
            <family val="2"/>
          </rPr>
          <t>Excl. from Redundancy Cost</t>
        </r>
      </text>
    </comment>
    <comment ref="BU26" authorId="0" shapeId="0">
      <text>
        <r>
          <rPr>
            <b/>
            <sz val="9"/>
            <color indexed="81"/>
            <rFont val="Tahoma"/>
            <family val="2"/>
          </rPr>
          <t>Excl. from Redundancy Cost</t>
        </r>
      </text>
    </comment>
    <comment ref="BY26" authorId="0" shapeId="0">
      <text>
        <r>
          <rPr>
            <b/>
            <sz val="9"/>
            <color indexed="81"/>
            <rFont val="Tahoma"/>
            <family val="2"/>
          </rPr>
          <t>Excl. from Redundancy Cost</t>
        </r>
      </text>
    </comment>
    <comment ref="A28" authorId="0" shapeId="0">
      <text>
        <r>
          <rPr>
            <b/>
            <sz val="9"/>
            <color indexed="81"/>
            <rFont val="Tahoma"/>
            <family val="2"/>
          </rPr>
          <t xml:space="preserve">Direct Wages: 
MPF: 
Incentive bonus: 
YE bonus: </t>
        </r>
      </text>
    </comment>
    <comment ref="AB28" authorId="2" shapeId="0">
      <text>
        <r>
          <rPr>
            <b/>
            <sz val="9"/>
            <color indexed="81"/>
            <rFont val="Tahoma"/>
            <family val="2"/>
          </rPr>
          <t>Wages: 19,206,149
MPF: 875,761
Incentive bonus: 261,824
YE bonus: 1,600,512</t>
        </r>
      </text>
    </comment>
    <comment ref="AE28" authorId="2" shapeId="0">
      <text>
        <r>
          <rPr>
            <b/>
            <sz val="9"/>
            <color indexed="81"/>
            <rFont val="Tahoma"/>
            <family val="2"/>
          </rPr>
          <t>Wages: 14,908,140
MPF: 696,615
Incentive bonus: 523,648
YE bonus: 1,135,413</t>
        </r>
      </text>
    </comment>
    <comment ref="AH28" authorId="0" shapeId="0">
      <text>
        <r>
          <rPr>
            <b/>
            <sz val="9"/>
            <color indexed="81"/>
            <rFont val="Tahoma"/>
            <family val="2"/>
          </rPr>
          <t xml:space="preserve">Direct Wages: 
MPF: 
Incentive bonus: 
YE bonus: </t>
        </r>
      </text>
    </comment>
    <comment ref="AW28" authorId="0" shapeId="0">
      <text>
        <r>
          <rPr>
            <b/>
            <sz val="9"/>
            <color indexed="81"/>
            <rFont val="Tahoma"/>
            <family val="2"/>
          </rPr>
          <t>Excl. from Redundancy Cost</t>
        </r>
      </text>
    </comment>
    <comment ref="BA28" authorId="0" shapeId="0">
      <text>
        <r>
          <rPr>
            <b/>
            <sz val="9"/>
            <color indexed="81"/>
            <rFont val="Tahoma"/>
            <family val="2"/>
          </rPr>
          <t>Excl. from Redundancy Cost</t>
        </r>
      </text>
    </comment>
    <comment ref="BE28" authorId="0" shapeId="0">
      <text>
        <r>
          <rPr>
            <b/>
            <sz val="9"/>
            <color indexed="81"/>
            <rFont val="Tahoma"/>
            <family val="2"/>
          </rPr>
          <t>Excl. from Redundancy Cost</t>
        </r>
      </text>
    </comment>
    <comment ref="BI28" authorId="0" shapeId="0">
      <text>
        <r>
          <rPr>
            <b/>
            <sz val="9"/>
            <color indexed="81"/>
            <rFont val="Tahoma"/>
            <family val="2"/>
          </rPr>
          <t>Excl. from Redundancy Cost</t>
        </r>
      </text>
    </comment>
    <comment ref="BM28" authorId="0" shapeId="0">
      <text>
        <r>
          <rPr>
            <b/>
            <sz val="9"/>
            <color indexed="81"/>
            <rFont val="Tahoma"/>
            <family val="2"/>
          </rPr>
          <t>Excl. from Redundancy Cost</t>
        </r>
      </text>
    </comment>
    <comment ref="BQ28" authorId="0" shapeId="0">
      <text>
        <r>
          <rPr>
            <b/>
            <sz val="9"/>
            <color indexed="81"/>
            <rFont val="Tahoma"/>
            <family val="2"/>
          </rPr>
          <t>Excl. from Redundancy Cost</t>
        </r>
      </text>
    </comment>
    <comment ref="BU28" authorId="0" shapeId="0">
      <text>
        <r>
          <rPr>
            <b/>
            <sz val="9"/>
            <color indexed="81"/>
            <rFont val="Tahoma"/>
            <family val="2"/>
          </rPr>
          <t>Excl. from Redundancy Cost</t>
        </r>
      </text>
    </comment>
    <comment ref="BY28" authorId="0" shapeId="0">
      <text>
        <r>
          <rPr>
            <b/>
            <sz val="9"/>
            <color indexed="81"/>
            <rFont val="Tahoma"/>
            <family val="2"/>
          </rPr>
          <t>Excl. from Redundancy Cost</t>
        </r>
      </text>
    </comment>
    <comment ref="A29" authorId="0" shapeId="0">
      <text>
        <r>
          <rPr>
            <b/>
            <sz val="9"/>
            <color indexed="81"/>
            <rFont val="Tahoma"/>
            <family val="2"/>
          </rPr>
          <t xml:space="preserve">Indirect Labour
</t>
        </r>
      </text>
    </comment>
    <comment ref="S29" authorId="2" shapeId="0">
      <text>
        <r>
          <rPr>
            <b/>
            <sz val="9"/>
            <color indexed="81"/>
            <rFont val="Tahoma"/>
            <family val="2"/>
          </rPr>
          <t>Joyce Fong:</t>
        </r>
        <r>
          <rPr>
            <sz val="9"/>
            <color indexed="81"/>
            <rFont val="Tahoma"/>
            <family val="2"/>
          </rPr>
          <t xml:space="preserve">
24 hours shift (11 mth of additional labour)</t>
        </r>
      </text>
    </comment>
    <comment ref="V29" authorId="2" shapeId="0">
      <text>
        <r>
          <rPr>
            <b/>
            <sz val="9"/>
            <color indexed="81"/>
            <rFont val="Tahoma"/>
            <family val="2"/>
          </rPr>
          <t>Joyce Fong:</t>
        </r>
        <r>
          <rPr>
            <sz val="9"/>
            <color indexed="81"/>
            <rFont val="Tahoma"/>
            <family val="2"/>
          </rPr>
          <t xml:space="preserve">
24 hours shift (11 mth of additional labour)</t>
        </r>
      </text>
    </comment>
    <comment ref="Y29" authorId="2" shapeId="0">
      <text>
        <r>
          <rPr>
            <b/>
            <sz val="9"/>
            <color indexed="81"/>
            <rFont val="Tahoma"/>
            <family val="2"/>
          </rPr>
          <t>Joyce Fong:</t>
        </r>
        <r>
          <rPr>
            <sz val="9"/>
            <color indexed="81"/>
            <rFont val="Tahoma"/>
            <family val="2"/>
          </rPr>
          <t xml:space="preserve">
24 hours shift (7 mth of additional labour)</t>
        </r>
      </text>
    </comment>
    <comment ref="AB29" authorId="3" shapeId="0">
      <text>
        <r>
          <rPr>
            <b/>
            <sz val="9"/>
            <color indexed="81"/>
            <rFont val="Tahoma"/>
            <family val="2"/>
          </rPr>
          <t>Labour share to R&amp;D: -1,576,982
Labour share to non-production: -3,479,442</t>
        </r>
      </text>
    </comment>
    <comment ref="AH29" authorId="0" shapeId="0">
      <text>
        <r>
          <rPr>
            <b/>
            <sz val="9"/>
            <color indexed="81"/>
            <rFont val="Tahoma"/>
            <family val="2"/>
          </rPr>
          <t>1 shift + 2hr from Jul 2022 to Mar 2023</t>
        </r>
      </text>
    </comment>
    <comment ref="AY30" authorId="3" shapeId="0">
      <text>
        <r>
          <rPr>
            <b/>
            <sz val="9"/>
            <color indexed="81"/>
            <rFont val="Tahoma"/>
            <family val="2"/>
          </rPr>
          <t>Per HR</t>
        </r>
      </text>
    </comment>
    <comment ref="BC30" authorId="3" shapeId="0">
      <text>
        <r>
          <rPr>
            <b/>
            <sz val="9"/>
            <color indexed="81"/>
            <rFont val="Tahoma"/>
            <family val="2"/>
          </rPr>
          <t>Per HR
YL GMP: 34,332,484
CW GMP for 2nd half 2024/25: 4,762,875</t>
        </r>
      </text>
    </comment>
    <comment ref="BG30" authorId="3" shapeId="0">
      <text>
        <r>
          <rPr>
            <b/>
            <sz val="9"/>
            <color indexed="81"/>
            <rFont val="Tahoma"/>
            <family val="2"/>
          </rPr>
          <t>Per HR
Salary: 39,521,032
MPF: 1,725,381
YE Bonus: 3,203,022
Worker incentive: 258,000</t>
        </r>
      </text>
    </comment>
    <comment ref="BK30" authorId="3" shapeId="0">
      <text>
        <r>
          <rPr>
            <b/>
            <sz val="9"/>
            <color indexed="81"/>
            <rFont val="Tahoma"/>
            <family val="2"/>
          </rPr>
          <t>Per HR
Salary: 42,208,112
MPF: 1,836,564
YE Bonus: 3,418,814
Worker incentive: 286,000</t>
        </r>
      </text>
    </comment>
    <comment ref="BO30" authorId="3" shapeId="0">
      <text>
        <r>
          <rPr>
            <b/>
            <sz val="9"/>
            <color indexed="81"/>
            <rFont val="Tahoma"/>
            <family val="2"/>
          </rPr>
          <t>Per HR
Salary: 43,458,336
MPF: 1,868,388
YE Bonus: 3,518,228
Worker incentive: 286,000</t>
        </r>
      </text>
    </comment>
    <comment ref="BS30" authorId="3" shapeId="0">
      <text>
        <r>
          <rPr>
            <b/>
            <sz val="9"/>
            <color indexed="81"/>
            <rFont val="Tahoma"/>
            <family val="2"/>
          </rPr>
          <t>Per HR
Salary: 44,746,066
MPF: 1,898,712
YE Bonus: 3,620,625
Worker incentive: 286,000</t>
        </r>
      </text>
    </comment>
    <comment ref="BW30" authorId="3" shapeId="0">
      <text>
        <r>
          <rPr>
            <b/>
            <sz val="9"/>
            <color indexed="81"/>
            <rFont val="Tahoma"/>
            <family val="2"/>
          </rPr>
          <t>Per HR
Salary: 46,072,427
MPF: 1,927,662
YE Bonus: 3,726,094
Worker incentive: 286,000</t>
        </r>
      </text>
    </comment>
    <comment ref="AB34" authorId="0" shapeId="0">
      <text>
        <r>
          <rPr>
            <b/>
            <sz val="9"/>
            <color indexed="81"/>
            <rFont val="Tahoma"/>
            <family val="2"/>
          </rPr>
          <t xml:space="preserve">10/F &amp; 5/F Rent Free ($6M)
</t>
        </r>
      </text>
    </comment>
    <comment ref="AE34" authorId="0" shapeId="0">
      <text>
        <r>
          <rPr>
            <b/>
            <sz val="9"/>
            <color indexed="81"/>
            <rFont val="Tahoma"/>
            <family val="2"/>
          </rPr>
          <t xml:space="preserve">10/F &amp; 5/F Rent Free ($6M)
</t>
        </r>
      </text>
    </comment>
    <comment ref="AH34" authorId="0" shapeId="0">
      <text>
        <r>
          <rPr>
            <b/>
            <sz val="9"/>
            <color indexed="81"/>
            <rFont val="Tahoma"/>
            <family val="2"/>
          </rPr>
          <t xml:space="preserve">10/F &amp; 5/F Rent Free ($6M)
</t>
        </r>
      </text>
    </comment>
    <comment ref="AK34" authorId="0" shapeId="0">
      <text>
        <r>
          <rPr>
            <b/>
            <sz val="9"/>
            <color indexed="81"/>
            <rFont val="Tahoma"/>
            <family val="2"/>
          </rPr>
          <t xml:space="preserve">10/F &amp; 5/F Rent Free ($6M)
</t>
        </r>
      </text>
    </comment>
    <comment ref="AN34" authorId="0" shapeId="0">
      <text>
        <r>
          <rPr>
            <b/>
            <sz val="9"/>
            <color indexed="81"/>
            <rFont val="Tahoma"/>
            <family val="2"/>
          </rPr>
          <t xml:space="preserve">10/F &amp; 5/F Rent Free ($6M)
</t>
        </r>
      </text>
    </comment>
    <comment ref="AU35" authorId="0" shapeId="0">
      <text>
        <r>
          <rPr>
            <b/>
            <sz val="9"/>
            <color indexed="81"/>
            <rFont val="Tahoma"/>
            <family val="2"/>
          </rPr>
          <t xml:space="preserve">Need to update
</t>
        </r>
      </text>
    </comment>
    <comment ref="AY35" authorId="0" shapeId="0">
      <text>
        <r>
          <rPr>
            <b/>
            <sz val="9"/>
            <color indexed="81"/>
            <rFont val="Tahoma"/>
            <family val="2"/>
          </rPr>
          <t xml:space="preserve">Need to update
</t>
        </r>
      </text>
    </comment>
    <comment ref="BC35" authorId="0" shapeId="0">
      <text>
        <r>
          <rPr>
            <b/>
            <sz val="9"/>
            <color indexed="81"/>
            <rFont val="Tahoma"/>
            <family val="2"/>
          </rPr>
          <t xml:space="preserve">Need to update
</t>
        </r>
      </text>
    </comment>
    <comment ref="BG35" authorId="0" shapeId="0">
      <text>
        <r>
          <rPr>
            <b/>
            <sz val="9"/>
            <color indexed="81"/>
            <rFont val="Tahoma"/>
            <family val="2"/>
          </rPr>
          <t xml:space="preserve">Need to update
</t>
        </r>
      </text>
    </comment>
    <comment ref="BK35" authorId="0" shapeId="0">
      <text>
        <r>
          <rPr>
            <b/>
            <sz val="9"/>
            <color indexed="81"/>
            <rFont val="Tahoma"/>
            <family val="2"/>
          </rPr>
          <t xml:space="preserve">Need to update
</t>
        </r>
      </text>
    </comment>
    <comment ref="BO35" authorId="0" shapeId="0">
      <text>
        <r>
          <rPr>
            <b/>
            <sz val="9"/>
            <color indexed="81"/>
            <rFont val="Tahoma"/>
            <family val="2"/>
          </rPr>
          <t xml:space="preserve">Need to update
</t>
        </r>
      </text>
    </comment>
    <comment ref="BS35" authorId="0" shapeId="0">
      <text>
        <r>
          <rPr>
            <b/>
            <sz val="9"/>
            <color indexed="81"/>
            <rFont val="Tahoma"/>
            <family val="2"/>
          </rPr>
          <t xml:space="preserve">Need to update
</t>
        </r>
      </text>
    </comment>
    <comment ref="BW35" authorId="0" shapeId="0">
      <text>
        <r>
          <rPr>
            <b/>
            <sz val="9"/>
            <color indexed="81"/>
            <rFont val="Tahoma"/>
            <family val="2"/>
          </rPr>
          <t xml:space="preserve">Need to update
</t>
        </r>
      </text>
    </comment>
    <comment ref="AB36" authorId="3" shapeId="0">
      <text>
        <r>
          <rPr>
            <b/>
            <sz val="9"/>
            <color indexed="81"/>
            <rFont val="Tahoma"/>
            <family val="2"/>
          </rPr>
          <t>P&amp;M: 6,056,176
FF: 1,159,438</t>
        </r>
      </text>
    </comment>
    <comment ref="AE36" authorId="3" shapeId="0">
      <text>
        <r>
          <rPr>
            <b/>
            <sz val="9"/>
            <color indexed="81"/>
            <rFont val="Tahoma"/>
            <family val="2"/>
          </rPr>
          <t xml:space="preserve">P&amp;M: 6,056,176
FF: 1,159,696
</t>
        </r>
      </text>
    </comment>
    <comment ref="AK36" authorId="0" shapeId="0">
      <text>
        <r>
          <rPr>
            <b/>
            <sz val="9"/>
            <color indexed="81"/>
            <rFont val="Tahoma"/>
            <family val="2"/>
          </rPr>
          <t>TBC</t>
        </r>
      </text>
    </comment>
    <comment ref="AN36" authorId="0" shapeId="0">
      <text>
        <r>
          <rPr>
            <b/>
            <sz val="9"/>
            <color indexed="81"/>
            <rFont val="Tahoma"/>
            <family val="2"/>
          </rPr>
          <t xml:space="preserve">TBC
----
23/24 one-off written off
</t>
        </r>
      </text>
    </comment>
    <comment ref="AU36" authorId="0" shapeId="0">
      <text>
        <r>
          <rPr>
            <b/>
            <sz val="9"/>
            <color indexed="81"/>
            <rFont val="Tahoma"/>
            <family val="2"/>
          </rPr>
          <t xml:space="preserve">Need to update
</t>
        </r>
      </text>
    </comment>
    <comment ref="AY36" authorId="0" shapeId="0">
      <text>
        <r>
          <rPr>
            <b/>
            <sz val="9"/>
            <color indexed="81"/>
            <rFont val="Tahoma"/>
            <family val="2"/>
          </rPr>
          <t xml:space="preserve">Need to update
</t>
        </r>
      </text>
    </comment>
    <comment ref="BC36" authorId="0" shapeId="0">
      <text>
        <r>
          <rPr>
            <b/>
            <sz val="9"/>
            <color indexed="81"/>
            <rFont val="Tahoma"/>
            <family val="2"/>
          </rPr>
          <t xml:space="preserve">Need to update
</t>
        </r>
      </text>
    </comment>
    <comment ref="BG36" authorId="0" shapeId="0">
      <text>
        <r>
          <rPr>
            <b/>
            <sz val="9"/>
            <color indexed="81"/>
            <rFont val="Tahoma"/>
            <family val="2"/>
          </rPr>
          <t xml:space="preserve">Need to update
</t>
        </r>
      </text>
    </comment>
    <comment ref="BK36" authorId="0" shapeId="0">
      <text>
        <r>
          <rPr>
            <b/>
            <sz val="9"/>
            <color indexed="81"/>
            <rFont val="Tahoma"/>
            <family val="2"/>
          </rPr>
          <t xml:space="preserve">Need to update
</t>
        </r>
      </text>
    </comment>
    <comment ref="BO36" authorId="0" shapeId="0">
      <text>
        <r>
          <rPr>
            <b/>
            <sz val="9"/>
            <color indexed="81"/>
            <rFont val="Tahoma"/>
            <family val="2"/>
          </rPr>
          <t xml:space="preserve">Need to update
</t>
        </r>
      </text>
    </comment>
    <comment ref="BS36" authorId="0" shapeId="0">
      <text>
        <r>
          <rPr>
            <b/>
            <sz val="9"/>
            <color indexed="81"/>
            <rFont val="Tahoma"/>
            <family val="2"/>
          </rPr>
          <t xml:space="preserve">Need to update
</t>
        </r>
      </text>
    </comment>
    <comment ref="BW36" authorId="0" shapeId="0">
      <text>
        <r>
          <rPr>
            <b/>
            <sz val="9"/>
            <color indexed="81"/>
            <rFont val="Tahoma"/>
            <family val="2"/>
          </rPr>
          <t xml:space="preserve">Need to update
</t>
        </r>
      </text>
    </comment>
    <comment ref="AQ39" authorId="3" shapeId="0">
      <text>
        <r>
          <rPr>
            <b/>
            <sz val="9"/>
            <color indexed="81"/>
            <rFont val="Tahoma"/>
            <family val="2"/>
          </rPr>
          <t>Rough estimate</t>
        </r>
      </text>
    </comment>
    <comment ref="AQ40" authorId="3" shapeId="0">
      <text>
        <r>
          <rPr>
            <b/>
            <sz val="9"/>
            <color indexed="81"/>
            <rFont val="Tahoma"/>
            <family val="2"/>
          </rPr>
          <t>Estimate by Project Team</t>
        </r>
      </text>
    </comment>
    <comment ref="AS40" authorId="3" shapeId="0">
      <text>
        <r>
          <rPr>
            <b/>
            <sz val="9"/>
            <color indexed="81"/>
            <rFont val="Tahoma"/>
            <family val="2"/>
          </rPr>
          <t>Estimate utility as follows
Gross Utility:                                   25M
Less: Fit income on solar panel: -6M
Net Utility:                                         19M
Possibly $2M reduction (TBC)</t>
        </r>
      </text>
    </comment>
    <comment ref="AQ41" authorId="3" shapeId="0">
      <text>
        <r>
          <rPr>
            <b/>
            <sz val="9"/>
            <color indexed="81"/>
            <rFont val="Tahoma"/>
            <family val="2"/>
          </rPr>
          <t>Assume $10m according the discussion with Jan Tang</t>
        </r>
      </text>
    </comment>
    <comment ref="AB42" authorId="3" shapeId="0">
      <text>
        <r>
          <rPr>
            <b/>
            <sz val="9"/>
            <color indexed="81"/>
            <rFont val="Tahoma"/>
            <family val="2"/>
          </rPr>
          <t>Transportation: 144,760
Travelling: 1,691</t>
        </r>
      </text>
    </comment>
    <comment ref="AE42" authorId="3" shapeId="0">
      <text>
        <r>
          <rPr>
            <b/>
            <sz val="9"/>
            <color indexed="81"/>
            <rFont val="Tahoma"/>
            <family val="2"/>
          </rPr>
          <t>Transportation: 118.996
Travelling: 2.426</t>
        </r>
      </text>
    </comment>
    <comment ref="AQ42" authorId="3" shapeId="0">
      <text>
        <r>
          <rPr>
            <b/>
            <sz val="9"/>
            <color indexed="81"/>
            <rFont val="Tahoma"/>
            <family val="2"/>
          </rPr>
          <t>X2 of CW</t>
        </r>
      </text>
    </comment>
    <comment ref="AQ43" authorId="3" shapeId="0">
      <text>
        <r>
          <rPr>
            <b/>
            <sz val="9"/>
            <color indexed="81"/>
            <rFont val="Tahoma"/>
            <family val="2"/>
          </rPr>
          <t>X2 of CW</t>
        </r>
      </text>
    </comment>
    <comment ref="AQ44" authorId="3" shapeId="0">
      <text>
        <r>
          <rPr>
            <b/>
            <sz val="9"/>
            <color indexed="81"/>
            <rFont val="Tahoma"/>
            <family val="2"/>
          </rPr>
          <t>X4 of CW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>Medical + Other Insurance</t>
        </r>
      </text>
    </comment>
    <comment ref="AB45" authorId="3" shapeId="0">
      <text>
        <r>
          <rPr>
            <b/>
            <sz val="9"/>
            <color indexed="81"/>
            <rFont val="Tahoma"/>
            <family val="2"/>
          </rPr>
          <t>Medical: 302,970
Other insurance: 10,245</t>
        </r>
      </text>
    </comment>
    <comment ref="AE45" authorId="3" shapeId="0">
      <text>
        <r>
          <rPr>
            <b/>
            <sz val="9"/>
            <color indexed="81"/>
            <rFont val="Tahoma"/>
            <family val="2"/>
          </rPr>
          <t>Medical: 241,638
Other insurance: 157,739</t>
        </r>
      </text>
    </comment>
    <comment ref="AH45" authorId="0" shapeId="0">
      <text>
        <r>
          <rPr>
            <b/>
            <sz val="9"/>
            <color indexed="81"/>
            <rFont val="Tahoma"/>
            <family val="2"/>
          </rPr>
          <t>Medical + Other Insurance</t>
        </r>
      </text>
    </comment>
    <comment ref="AQ45" authorId="3" shapeId="0">
      <text>
        <r>
          <rPr>
            <b/>
            <sz val="9"/>
            <color indexed="81"/>
            <rFont val="Tahoma"/>
            <family val="2"/>
          </rPr>
          <t>X1.2 of CW</t>
        </r>
      </text>
    </comment>
    <comment ref="AB47" authorId="3" shapeId="0">
      <text>
        <r>
          <rPr>
            <b/>
            <sz val="9"/>
            <color indexed="81"/>
            <rFont val="Tahoma"/>
            <family val="2"/>
          </rPr>
          <t>Packaging supplies: -6,905
Consumable: 121,314
Cleaning: 6,264</t>
        </r>
      </text>
    </comment>
    <comment ref="AE47" authorId="3" shapeId="0">
      <text>
        <r>
          <rPr>
            <b/>
            <sz val="9"/>
            <color indexed="81"/>
            <rFont val="Tahoma"/>
            <family val="2"/>
          </rPr>
          <t>Packaging supplies: 400
Consumable: 142,996
Cleaning: 5,740</t>
        </r>
      </text>
    </comment>
    <comment ref="AQ47" authorId="3" shapeId="0">
      <text>
        <r>
          <rPr>
            <b/>
            <sz val="9"/>
            <color indexed="81"/>
            <rFont val="Tahoma"/>
            <family val="2"/>
          </rPr>
          <t>X1.2 of CW</t>
        </r>
      </text>
    </comment>
    <comment ref="AQ48" authorId="3" shapeId="0">
      <text>
        <r>
          <rPr>
            <b/>
            <sz val="9"/>
            <color indexed="81"/>
            <rFont val="Tahoma"/>
            <family val="2"/>
          </rPr>
          <t>X2 of CW</t>
        </r>
      </text>
    </comment>
    <comment ref="AU48" authorId="0" shapeId="0">
      <text>
        <r>
          <rPr>
            <b/>
            <sz val="9"/>
            <color indexed="81"/>
            <rFont val="Tahoma"/>
            <family val="2"/>
          </rPr>
          <t>100000</t>
        </r>
      </text>
    </comment>
    <comment ref="B50" authorId="0" shapeId="0">
      <text>
        <r>
          <rPr>
            <b/>
            <sz val="9"/>
            <color indexed="81"/>
            <rFont val="Tahoma"/>
            <family val="2"/>
          </rPr>
          <t xml:space="preserve">Lab testing:
Microbio Lab: </t>
        </r>
      </text>
    </comment>
    <comment ref="AB50" authorId="3" shapeId="0">
      <text>
        <r>
          <rPr>
            <b/>
            <sz val="9"/>
            <color indexed="81"/>
            <rFont val="Tahoma"/>
            <family val="2"/>
          </rPr>
          <t>Lab testing: 216,045
Microbio Lab: 281,699</t>
        </r>
      </text>
    </comment>
    <comment ref="AE50" authorId="3" shapeId="0">
      <text>
        <r>
          <rPr>
            <b/>
            <sz val="9"/>
            <color indexed="81"/>
            <rFont val="Tahoma"/>
            <family val="2"/>
          </rPr>
          <t>Lab testing: 223,534
Microbio Lab: 280,000</t>
        </r>
      </text>
    </comment>
    <comment ref="AH51" authorId="0" shapeId="0">
      <text>
        <r>
          <rPr>
            <b/>
            <sz val="9"/>
            <color indexed="81"/>
            <rFont val="Tahoma"/>
            <family val="2"/>
          </rPr>
          <t>Buffer from 2022-23 Group PL Budget (To BOD) CW!J25</t>
        </r>
      </text>
    </comment>
    <comment ref="AB52" authorId="3" shapeId="0">
      <text>
        <r>
          <rPr>
            <b/>
            <sz val="9"/>
            <color indexed="81"/>
            <rFont val="Tahoma"/>
            <family val="2"/>
          </rPr>
          <t>Share to R&amp;D: -1,201,425
Share to non-production: -2,635,136
R&amp;D and Non-production working days = 24% of Whole Year</t>
        </r>
      </text>
    </comment>
  </commentList>
</comments>
</file>

<file path=xl/comments8.xml><?xml version="1.0" encoding="utf-8"?>
<comments xmlns="http://schemas.openxmlformats.org/spreadsheetml/2006/main">
  <authors>
    <author>Chris Chiu</author>
    <author>Joyce Fong</author>
  </authors>
  <commentList>
    <comment ref="F3" authorId="0" shapeId="0">
      <text>
        <r>
          <rPr>
            <b/>
            <sz val="9"/>
            <color indexed="81"/>
            <rFont val="Tahoma"/>
            <family val="2"/>
          </rPr>
          <t>Not done</t>
        </r>
      </text>
    </comment>
    <comment ref="E18" authorId="1" shapeId="0">
      <text>
        <r>
          <rPr>
            <b/>
            <sz val="9"/>
            <color indexed="81"/>
            <rFont val="Tahoma"/>
            <family val="2"/>
          </rPr>
          <t xml:space="preserve">Max 18batches / mth
Oct20 to Jan21
--&gt;69m (72 batches X 960k)
Uncertainty R&amp;D Nov-Dec 20 -&gt; 10 working days
--&gt;utilize 10 days after cny to produce China goods also
</t>
        </r>
      </text>
    </comment>
    <comment ref="F40" authorId="0" shapeId="0">
      <text>
        <r>
          <rPr>
            <b/>
            <sz val="9"/>
            <color indexed="81"/>
            <rFont val="Tahoma"/>
            <family val="2"/>
          </rPr>
          <t>(120M*0.3 - overseas)*0.17 =HK Star prod.</t>
        </r>
      </text>
    </comment>
    <comment ref="F41" authorId="0" shapeId="0">
      <text>
        <r>
          <rPr>
            <b/>
            <sz val="9"/>
            <color indexed="81"/>
            <rFont val="Tahoma"/>
            <family val="2"/>
          </rPr>
          <t xml:space="preserve">Find out
</t>
        </r>
      </text>
    </comment>
    <comment ref="G41" authorId="0" shapeId="0">
      <text>
        <r>
          <rPr>
            <b/>
            <sz val="9"/>
            <color indexed="81"/>
            <rFont val="Tahoma"/>
            <family val="2"/>
          </rPr>
          <t xml:space="preserve">= sales forecast 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 xml:space="preserve">Til Sep 24
</t>
        </r>
      </text>
    </comment>
    <comment ref="F44" authorId="1" shapeId="0">
      <text>
        <r>
          <rPr>
            <b/>
            <sz val="9"/>
            <color indexed="81"/>
            <rFont val="Tahoma"/>
            <family val="2"/>
          </rPr>
          <t>Based on 2017/18 GMP manpower cost
(1shift + OT)</t>
        </r>
      </text>
    </comment>
    <comment ref="G49" authorId="0" shapeId="0">
      <text>
        <r>
          <rPr>
            <b/>
            <sz val="9"/>
            <color indexed="81"/>
            <rFont val="Tahoma"/>
            <family val="2"/>
          </rPr>
          <t>Can only be sold in 23/24 after revamp, not Saleable in 22/23
2021-06 update:
Saleable PV Qty by Terry</t>
        </r>
      </text>
    </comment>
    <comment ref="G50" authorId="0" shapeId="0">
      <text>
        <r>
          <rPr>
            <b/>
            <sz val="9"/>
            <color indexed="81"/>
            <rFont val="Tahoma"/>
            <family val="2"/>
          </rPr>
          <t>From BOD file</t>
        </r>
      </text>
    </comment>
    <comment ref="H50" authorId="0" shapeId="0">
      <text>
        <r>
          <rPr>
            <b/>
            <sz val="9"/>
            <color indexed="81"/>
            <rFont val="Tahoma"/>
            <family val="2"/>
          </rPr>
          <t>To BOD file 21,780,000</t>
        </r>
      </text>
    </comment>
    <comment ref="G55" authorId="0" shapeId="0">
      <text>
        <r>
          <rPr>
            <b/>
            <sz val="9"/>
            <color indexed="81"/>
            <rFont val="Tahoma"/>
            <family val="2"/>
          </rPr>
          <t>From BOD file</t>
        </r>
      </text>
    </comment>
    <comment ref="H55" authorId="0" shapeId="0">
      <text>
        <r>
          <rPr>
            <b/>
            <sz val="9"/>
            <color indexed="81"/>
            <rFont val="Tahoma"/>
            <family val="2"/>
          </rPr>
          <t>To BOD file 0</t>
        </r>
      </text>
    </comment>
    <comment ref="F56" authorId="1" shapeId="0">
      <text>
        <r>
          <rPr>
            <b/>
            <sz val="9"/>
            <color indexed="81"/>
            <rFont val="Tahoma"/>
            <family val="2"/>
          </rPr>
          <t>Star PV batch
(Based on Product Trf Milestone)</t>
        </r>
      </text>
    </comment>
    <comment ref="G57" authorId="0" shapeId="0">
      <text>
        <r>
          <rPr>
            <b/>
            <sz val="9"/>
            <color indexed="81"/>
            <rFont val="Tahoma"/>
            <family val="2"/>
          </rPr>
          <t>Core Saleable PV cannot be sold before revamp</t>
        </r>
      </text>
    </comment>
    <comment ref="F75" authorId="1" shapeId="0">
      <text>
        <r>
          <rPr>
            <b/>
            <sz val="9"/>
            <color indexed="81"/>
            <rFont val="Tahoma"/>
            <family val="2"/>
          </rPr>
          <t>Star PV batch
(Based on Product Trf Milestone)</t>
        </r>
      </text>
    </comment>
    <comment ref="E84" authorId="0" shapeId="0">
      <text>
        <r>
          <rPr>
            <b/>
            <sz val="9"/>
            <color indexed="81"/>
            <rFont val="Tahoma"/>
            <family val="2"/>
          </rPr>
          <t xml:space="preserve">Last Version 66,627,685 , but from 2022-23 Group PL Budget (To BOD), COGM!B5, it is 66,058,904 (not including Overseas)
</t>
        </r>
      </text>
    </comment>
    <comment ref="F84" authorId="0" shapeId="0">
      <text>
        <r>
          <rPr>
            <b/>
            <sz val="9"/>
            <color indexed="81"/>
            <rFont val="Tahoma"/>
            <family val="2"/>
          </rPr>
          <t>From BOD file</t>
        </r>
      </text>
    </comment>
    <comment ref="G84" authorId="0" shapeId="0">
      <text>
        <r>
          <rPr>
            <b/>
            <sz val="9"/>
            <color indexed="81"/>
            <rFont val="Tahoma"/>
            <family val="2"/>
          </rPr>
          <t>Different from BOD due to stock up</t>
        </r>
      </text>
    </comment>
    <comment ref="F85" authorId="0" shapeId="0">
      <text>
        <r>
          <rPr>
            <b/>
            <sz val="9"/>
            <color indexed="81"/>
            <rFont val="Tahoma"/>
            <family val="2"/>
          </rPr>
          <t>Make Sense?</t>
        </r>
      </text>
    </comment>
    <comment ref="D87" authorId="1" shapeId="0">
      <text>
        <r>
          <rPr>
            <b/>
            <sz val="9"/>
            <color indexed="81"/>
            <rFont val="Tahoma"/>
            <family val="2"/>
          </rPr>
          <t>Incl 保稅倉</t>
        </r>
      </text>
    </comment>
    <comment ref="E87" authorId="0" shapeId="0">
      <text>
        <r>
          <rPr>
            <b/>
            <sz val="9"/>
            <color indexed="81"/>
            <rFont val="Tahoma"/>
            <family val="2"/>
          </rPr>
          <t xml:space="preserve">Last Version 54,462,320, but from 2022-23 Group PL Budget (To BOD), COGM!B6, it is 4,599,396
</t>
        </r>
      </text>
    </comment>
    <comment ref="F87" authorId="0" shapeId="0">
      <text>
        <r>
          <rPr>
            <b/>
            <sz val="9"/>
            <color indexed="81"/>
            <rFont val="Tahoma"/>
            <family val="2"/>
          </rPr>
          <t>From BOD</t>
        </r>
      </text>
    </comment>
    <comment ref="F88" authorId="0" shapeId="0">
      <text>
        <r>
          <rPr>
            <b/>
            <sz val="9"/>
            <color indexed="81"/>
            <rFont val="Tahoma"/>
            <family val="2"/>
          </rPr>
          <t>Make Sense?</t>
        </r>
      </text>
    </comment>
    <comment ref="F104" authorId="0" shapeId="0">
      <text>
        <r>
          <rPr>
            <b/>
            <sz val="9"/>
            <color indexed="81"/>
            <rFont val="Tahoma"/>
            <family val="2"/>
          </rPr>
          <t>Same as BOD</t>
        </r>
      </text>
    </comment>
    <comment ref="E112" authorId="0" shapeId="0">
      <text>
        <r>
          <rPr>
            <b/>
            <sz val="9"/>
            <color indexed="81"/>
            <rFont val="Tahoma"/>
            <family val="2"/>
          </rPr>
          <t xml:space="preserve">Last Version 25,671,449, but from 2022-23 Group PL Budget (To BOD), COGM!C5, it is 25,708,712 (not including Overseas)
</t>
        </r>
      </text>
    </comment>
    <comment ref="F112" authorId="0" shapeId="0">
      <text>
        <r>
          <rPr>
            <b/>
            <sz val="9"/>
            <color indexed="81"/>
            <rFont val="Tahoma"/>
            <family val="2"/>
          </rPr>
          <t>From BOD: 3,527,602</t>
        </r>
      </text>
    </comment>
    <comment ref="E126" authorId="0" shapeId="0">
      <text>
        <r>
          <rPr>
            <b/>
            <sz val="9"/>
            <color indexed="81"/>
            <rFont val="Tahoma"/>
            <family val="2"/>
          </rPr>
          <t xml:space="preserve">Last Version 14,635,454, but from 2022-23 Group PL Budget (To BOD), COGM!C6, it is 1,226,874 (not including Overseas)
</t>
        </r>
      </text>
    </comment>
    <comment ref="F126" authorId="0" shapeId="0">
      <text>
        <r>
          <rPr>
            <b/>
            <sz val="9"/>
            <color indexed="81"/>
            <rFont val="Tahoma"/>
            <family val="2"/>
          </rPr>
          <t>From BOD: 6,514,121</t>
        </r>
      </text>
    </comment>
    <comment ref="F171" authorId="0" shapeId="0">
      <text>
        <r>
          <rPr>
            <b/>
            <sz val="9"/>
            <color indexed="81"/>
            <rFont val="Tahoma"/>
            <family val="2"/>
          </rPr>
          <t>From BOD</t>
        </r>
      </text>
    </comment>
    <comment ref="F172" authorId="0" shapeId="0">
      <text>
        <r>
          <rPr>
            <b/>
            <sz val="9"/>
            <color indexed="81"/>
            <rFont val="Tahoma"/>
            <family val="2"/>
          </rPr>
          <t>From BOD</t>
        </r>
      </text>
    </comment>
    <comment ref="F180" authorId="0" shapeId="0">
      <text>
        <r>
          <rPr>
            <b/>
            <sz val="9"/>
            <color indexed="81"/>
            <rFont val="Tahoma"/>
            <family val="2"/>
          </rPr>
          <t>From BOD</t>
        </r>
      </text>
    </comment>
    <comment ref="F181" authorId="0" shapeId="0">
      <text>
        <r>
          <rPr>
            <b/>
            <sz val="9"/>
            <color indexed="81"/>
            <rFont val="Tahoma"/>
            <family val="2"/>
          </rPr>
          <t>From BOD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90" authorId="0" shapeId="0">
      <text>
        <r>
          <rPr>
            <b/>
            <sz val="9"/>
            <color indexed="81"/>
            <rFont val="Tahoma"/>
            <family val="2"/>
          </rPr>
          <t>CW YL?</t>
        </r>
      </text>
    </comment>
    <comment ref="G219" authorId="0" shapeId="0">
      <text>
        <r>
          <rPr>
            <b/>
            <sz val="9"/>
            <color indexed="81"/>
            <rFont val="Tahoma"/>
            <family val="2"/>
          </rPr>
          <t>Same coz dictated by inflation entereted in row148</t>
        </r>
      </text>
    </comment>
    <comment ref="G338" authorId="0" shapeId="0">
      <text>
        <r>
          <rPr>
            <b/>
            <sz val="9"/>
            <color indexed="81"/>
            <rFont val="Tahoma"/>
            <family val="2"/>
          </rPr>
          <t>Same coz dictated by inflation entereted in row148</t>
        </r>
      </text>
    </comment>
  </commentList>
</comments>
</file>

<file path=xl/comments9.xml><?xml version="1.0" encoding="utf-8"?>
<comments xmlns="http://schemas.openxmlformats.org/spreadsheetml/2006/main">
  <authors>
    <author>Joyce Fong</author>
    <author>Vincent Ng</author>
    <author>Work</author>
  </authors>
  <commentList>
    <comment ref="M17" authorId="0" shapeId="0">
      <text>
        <r>
          <rPr>
            <b/>
            <sz val="9"/>
            <color indexed="81"/>
            <rFont val="Tahoma"/>
            <family val="2"/>
          </rPr>
          <t>FPCL + FPHL - URP</t>
        </r>
      </text>
    </comment>
    <comment ref="N17" authorId="0" shapeId="0">
      <text>
        <r>
          <rPr>
            <b/>
            <sz val="9"/>
            <color indexed="81"/>
            <rFont val="Tahoma"/>
            <family val="2"/>
          </rPr>
          <t>OEM, XEPA, Material  Inventory Movement</t>
        </r>
      </text>
    </comment>
    <comment ref="J21" authorId="1" shapeId="0">
      <text>
        <r>
          <rPr>
            <b/>
            <sz val="9"/>
            <color indexed="81"/>
            <rFont val="Tahoma"/>
            <family val="2"/>
          </rPr>
          <t>Balancing figure for actual cash balance</t>
        </r>
      </text>
    </comment>
    <comment ref="K21" authorId="1" shapeId="0">
      <text>
        <r>
          <rPr>
            <b/>
            <sz val="9"/>
            <color indexed="81"/>
            <rFont val="Tahoma"/>
            <family val="2"/>
          </rPr>
          <t>Balancing figure for actual cash balance</t>
        </r>
      </text>
    </comment>
    <comment ref="N21" authorId="0" shapeId="0">
      <text>
        <r>
          <rPr>
            <b/>
            <sz val="9"/>
            <color indexed="81"/>
            <rFont val="Tahoma"/>
            <family val="2"/>
          </rPr>
          <t>Apr 20 AR - Jan 21 AR
+ Feb &amp; Mar Sales</t>
        </r>
      </text>
    </comment>
    <comment ref="I22" authorId="1" shapeId="0">
      <text>
        <r>
          <rPr>
            <b/>
            <sz val="9"/>
            <color indexed="81"/>
            <rFont val="Tahoma"/>
            <family val="2"/>
          </rPr>
          <t>Per actual tax notice</t>
        </r>
      </text>
    </comment>
    <comment ref="J22" authorId="1" shapeId="0">
      <text>
        <r>
          <rPr>
            <b/>
            <sz val="9"/>
            <color indexed="81"/>
            <rFont val="Tahoma"/>
            <family val="2"/>
          </rPr>
          <t>FPCL: Tax refund 8,725,821
FPHL: Estimate tax payment: -1,778,223</t>
        </r>
      </text>
    </comment>
    <comment ref="K22" authorId="1" shapeId="0">
      <text>
        <r>
          <rPr>
            <b/>
            <sz val="9"/>
            <color indexed="81"/>
            <rFont val="Tahoma"/>
            <family val="2"/>
          </rPr>
          <t>FPHL: Payment $1,826,365
FPCL: Refund $5,881,345</t>
        </r>
      </text>
    </comment>
    <comment ref="I29" authorId="2" shapeId="0">
      <text>
        <r>
          <rPr>
            <b/>
            <sz val="9"/>
            <color indexed="81"/>
            <rFont val="Tahoma"/>
            <family val="2"/>
          </rPr>
          <t xml:space="preserve">Nami Project
</t>
        </r>
      </text>
    </comment>
    <comment ref="K48" authorId="1" shapeId="0">
      <text>
        <r>
          <rPr>
            <b/>
            <sz val="9"/>
            <color indexed="81"/>
            <rFont val="Tahoma"/>
            <family val="2"/>
          </rPr>
          <t>Capex $7.4m
FE55 - 60% partal payment: -$4,645K</t>
        </r>
      </text>
    </comment>
    <comment ref="L48" authorId="1" shapeId="0">
      <text>
        <r>
          <rPr>
            <b/>
            <sz val="9"/>
            <color indexed="81"/>
            <rFont val="Tahoma"/>
            <family val="2"/>
          </rPr>
          <t xml:space="preserve">2018-19 annual capex:       $23,229,550
Less: RDTS equipments
  to be paid in 2019/20:      ($4,800,000)
Add: Remaining bal for
  FE55 (40%)                        $3,096,690
</t>
        </r>
        <r>
          <rPr>
            <b/>
            <sz val="11"/>
            <color indexed="81"/>
            <rFont val="Tahoma"/>
            <family val="2"/>
          </rPr>
          <t>Total                                $21,526,240</t>
        </r>
      </text>
    </comment>
    <comment ref="M48" authorId="1" shapeId="0">
      <text>
        <r>
          <rPr>
            <b/>
            <sz val="9"/>
            <color indexed="81"/>
            <rFont val="Tahoma"/>
            <family val="2"/>
          </rPr>
          <t>Per Ken working</t>
        </r>
      </text>
    </comment>
    <comment ref="N48" authorId="1" shapeId="0">
      <text>
        <r>
          <rPr>
            <b/>
            <sz val="9"/>
            <color indexed="81"/>
            <rFont val="Tahoma"/>
            <family val="2"/>
          </rPr>
          <t>2021 utilized capex
(Exclude 9.4m logistic hub and Solar Panel project)</t>
        </r>
      </text>
    </comment>
    <comment ref="O48" authorId="1" shapeId="0">
      <text>
        <r>
          <rPr>
            <b/>
            <sz val="9"/>
            <color indexed="81"/>
            <rFont val="Tahoma"/>
            <family val="2"/>
          </rPr>
          <t>2021-22 approved capex budget: 3,615K</t>
        </r>
      </text>
    </comment>
    <comment ref="M49" authorId="0" shapeId="0">
      <text>
        <r>
          <rPr>
            <b/>
            <sz val="9"/>
            <color indexed="81"/>
            <rFont val="Tahoma"/>
            <family val="2"/>
          </rPr>
          <t xml:space="preserve">YL CIP capex payment per Ken working: 204,736,850
Less: 23,663,446 interest capitalization
Less: 29,190,000 retention money received back from ISP
= 151,883,404
</t>
        </r>
      </text>
    </comment>
    <comment ref="N66" authorId="0" shapeId="0">
      <text>
        <r>
          <rPr>
            <b/>
            <sz val="9"/>
            <color indexed="81"/>
            <rFont val="Tahoma"/>
            <family val="2"/>
          </rPr>
          <t>Jan-21 YTD + 2 months forecast
refer to Jan-21 flash report</t>
        </r>
      </text>
    </comment>
    <comment ref="N89" authorId="0" shapeId="0">
      <text>
        <r>
          <rPr>
            <b/>
            <sz val="9"/>
            <color indexed="81"/>
            <rFont val="Tahoma"/>
            <family val="2"/>
          </rPr>
          <t>Actual @ 31 Mar 2021</t>
        </r>
      </text>
    </comment>
  </commentList>
</comments>
</file>

<file path=xl/comments10.xml><?xml version="1.0" encoding="utf-8"?>
<comments xmlns="http://schemas.openxmlformats.org/spreadsheetml/2006/main">
  <authors>
    <author>Work</author>
    <author>Chris Chiu</author>
  </authors>
  <commentList>
    <comment ref="J16" authorId="0" shapeId="0">
      <text>
        <r>
          <rPr>
            <b/>
            <sz val="9"/>
            <color indexed="81"/>
            <rFont val="Tahoma"/>
            <family val="2"/>
          </rPr>
          <t xml:space="preserve">China Stock Up for CW discont. in 24/25
</t>
        </r>
      </text>
    </comment>
    <comment ref="K16" authorId="0" shapeId="0">
      <text>
        <r>
          <rPr>
            <b/>
            <sz val="9"/>
            <color indexed="81"/>
            <rFont val="Tahoma"/>
            <family val="2"/>
          </rPr>
          <t xml:space="preserve">CW discont.
</t>
        </r>
      </text>
    </comment>
    <comment ref="N21" authorId="1" shapeId="0">
      <text>
        <r>
          <rPr>
            <b/>
            <sz val="9"/>
            <color indexed="81"/>
            <rFont val="Tahoma"/>
            <family val="2"/>
          </rPr>
          <t>Not 100% accurate due to tax</t>
        </r>
      </text>
    </comment>
    <comment ref="O21" authorId="1" shapeId="0">
      <text>
        <r>
          <rPr>
            <b/>
            <sz val="9"/>
            <color indexed="81"/>
            <rFont val="Tahoma"/>
            <family val="2"/>
          </rPr>
          <t>Not 100% accurate due to tax</t>
        </r>
      </text>
    </comment>
    <comment ref="P21" authorId="1" shapeId="0">
      <text>
        <r>
          <rPr>
            <b/>
            <sz val="9"/>
            <color indexed="81"/>
            <rFont val="Tahoma"/>
            <family val="2"/>
          </rPr>
          <t>Not 100% accurate due to tax</t>
        </r>
      </text>
    </comment>
  </commentList>
</comments>
</file>

<file path=xl/comments11.xml><?xml version="1.0" encoding="utf-8"?>
<comments xmlns="http://schemas.openxmlformats.org/spreadsheetml/2006/main">
  <authors>
    <author>Vincent Ng</author>
  </authors>
  <commentList>
    <comment ref="CA90" authorId="0" shapeId="0">
      <text>
        <r>
          <rPr>
            <b/>
            <sz val="9"/>
            <color indexed="81"/>
            <rFont val="Tahoma"/>
            <family val="2"/>
          </rPr>
          <t>Add 0.9% as interest buffer for rate increase</t>
        </r>
      </text>
    </comment>
  </commentList>
</comments>
</file>

<file path=xl/comments12.xml><?xml version="1.0" encoding="utf-8"?>
<comments xmlns="http://schemas.openxmlformats.org/spreadsheetml/2006/main">
  <authors>
    <author>Joyce Fong</author>
  </authors>
  <commentList>
    <comment ref="H59" authorId="0" shapeId="0">
      <text>
        <r>
          <rPr>
            <b/>
            <sz val="9"/>
            <color indexed="81"/>
            <rFont val="Tahoma"/>
            <family val="2"/>
          </rPr>
          <t xml:space="preserve">Interests prior to 22/23 is capitalized
</t>
        </r>
      </text>
    </comment>
  </commentList>
</comments>
</file>

<file path=xl/sharedStrings.xml><?xml version="1.0" encoding="utf-8"?>
<sst xmlns="http://schemas.openxmlformats.org/spreadsheetml/2006/main" count="6535" uniqueCount="1851">
  <si>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</si>
  <si>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</si>
  <si>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</si>
  <si>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</si>
  <si>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</si>
  <si>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</si>
  <si>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</si>
  <si>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</si>
  <si>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CAGR</t>
  </si>
  <si>
    <t>Yuen Long Production Basis</t>
  </si>
  <si>
    <t>HKD'000</t>
  </si>
  <si>
    <t>HK OTC sales</t>
  </si>
  <si>
    <t>HK$'000</t>
  </si>
  <si>
    <t>2023-24</t>
  </si>
  <si>
    <t>2024-25</t>
  </si>
  <si>
    <t>2025-26</t>
  </si>
  <si>
    <t>2026-27</t>
  </si>
  <si>
    <t>2027-28</t>
  </si>
  <si>
    <t>2028-29</t>
  </si>
  <si>
    <t>2029-30</t>
  </si>
  <si>
    <t>Sales</t>
  </si>
  <si>
    <t>Gross Profit</t>
  </si>
  <si>
    <t>A&amp;P</t>
  </si>
  <si>
    <t>Marketing cost</t>
  </si>
  <si>
    <t>Overseas OTC</t>
  </si>
  <si>
    <t>XEPA</t>
  </si>
  <si>
    <t>Sales Tablet'000</t>
  </si>
  <si>
    <t>2029/30</t>
  </si>
  <si>
    <t>HK OTC</t>
  </si>
  <si>
    <t>CN OTC sales</t>
  </si>
  <si>
    <t>China OTC</t>
  </si>
  <si>
    <t>Total OTC sales</t>
  </si>
  <si>
    <t>Total OTC</t>
  </si>
  <si>
    <t>Weighting %</t>
  </si>
  <si>
    <t>Net Sales HK$'000</t>
  </si>
  <si>
    <t>Gross Profit HK$'000</t>
  </si>
  <si>
    <t>GP less Marketing cost HK$'000</t>
  </si>
  <si>
    <t>GP HK$'000</t>
  </si>
  <si>
    <t>Cash GP less Marketing cost HK$'000</t>
  </si>
  <si>
    <t>Margin %</t>
  </si>
  <si>
    <t>HK OTC HK$'000</t>
  </si>
  <si>
    <t>Net Sales</t>
  </si>
  <si>
    <t>GP less A&amp;P HK$'000</t>
  </si>
  <si>
    <t>GP less marketing cost</t>
  </si>
  <si>
    <t>Cash GP less marketing cost</t>
  </si>
  <si>
    <t>CN OTC HK$'000</t>
  </si>
  <si>
    <t>Cash GP less A&amp;P HK$'000</t>
  </si>
  <si>
    <t>Total OTC sales HK$'000</t>
  </si>
  <si>
    <t>HK growth sensitivity</t>
    <phoneticPr fontId="0" type="noConversion"/>
  </si>
  <si>
    <t>China growth sensitivity</t>
    <phoneticPr fontId="0" type="noConversion"/>
  </si>
  <si>
    <t>Adjusted</t>
    <phoneticPr fontId="0" type="noConversion"/>
  </si>
  <si>
    <t>Actual</t>
  </si>
  <si>
    <t>Budget</t>
  </si>
  <si>
    <t>Forecast</t>
  </si>
  <si>
    <t>Total</t>
  </si>
  <si>
    <t>2014-15</t>
    <phoneticPr fontId="0" type="noConversion"/>
  </si>
  <si>
    <t>2015-16</t>
    <phoneticPr fontId="0" type="noConversion"/>
  </si>
  <si>
    <t>2016-17</t>
    <phoneticPr fontId="0" type="noConversion"/>
  </si>
  <si>
    <t>2017-18</t>
    <phoneticPr fontId="0" type="noConversion"/>
  </si>
  <si>
    <t>2019-20</t>
    <phoneticPr fontId="0" type="noConversion"/>
  </si>
  <si>
    <t>Sales tablet growths</t>
    <phoneticPr fontId="0" type="noConversion"/>
  </si>
  <si>
    <t>HK market sales qty  growth rate</t>
    <phoneticPr fontId="0" type="noConversion"/>
  </si>
  <si>
    <t>China market sales qty growth rate</t>
    <phoneticPr fontId="0" type="noConversion"/>
  </si>
  <si>
    <t>Overseas market sales qty growth rate</t>
    <phoneticPr fontId="0" type="noConversion"/>
  </si>
  <si>
    <t>HK price adjustment</t>
  </si>
  <si>
    <t>Average net sales/tablet for HK market</t>
    <phoneticPr fontId="0" type="noConversion"/>
  </si>
  <si>
    <t>Average net sales/tablet for China market</t>
    <phoneticPr fontId="0" type="noConversion"/>
  </si>
  <si>
    <t>Average net sales/tablet for overseas market</t>
    <phoneticPr fontId="0" type="noConversion"/>
  </si>
  <si>
    <t>Sales $ growth rate</t>
    <phoneticPr fontId="0" type="noConversion"/>
  </si>
  <si>
    <t xml:space="preserve">HK market </t>
    <phoneticPr fontId="0" type="noConversion"/>
  </si>
  <si>
    <t xml:space="preserve"> </t>
    <phoneticPr fontId="0" type="noConversion"/>
  </si>
  <si>
    <t>China market sales</t>
    <phoneticPr fontId="0" type="noConversion"/>
  </si>
  <si>
    <t xml:space="preserve">Overseas market </t>
    <phoneticPr fontId="0" type="noConversion"/>
  </si>
  <si>
    <t>Annual cost adjustment</t>
    <phoneticPr fontId="0" type="noConversion"/>
  </si>
  <si>
    <t>Adjusted cash cost per tablet</t>
  </si>
  <si>
    <t>HK Tablet</t>
  </si>
  <si>
    <t>China Tablet</t>
  </si>
  <si>
    <t>Overseas Tablet</t>
  </si>
  <si>
    <t xml:space="preserve"> </t>
  </si>
  <si>
    <t>HK marketing cost (OEM)</t>
  </si>
  <si>
    <t>Promotion cost for XEPA</t>
    <phoneticPr fontId="0" type="noConversion"/>
  </si>
  <si>
    <t>Overseas marketing cost</t>
  </si>
  <si>
    <t>China marketing cost</t>
    <phoneticPr fontId="0" type="noConversion"/>
  </si>
  <si>
    <t>Annual operating cost increment</t>
    <phoneticPr fontId="0" type="noConversion"/>
  </si>
  <si>
    <t>Sales in tablet</t>
    <phoneticPr fontId="0" type="noConversion"/>
  </si>
  <si>
    <t>HK market</t>
    <phoneticPr fontId="0" type="noConversion"/>
  </si>
  <si>
    <t>China market</t>
    <phoneticPr fontId="0" type="noConversion"/>
  </si>
  <si>
    <t>Overseas market</t>
    <phoneticPr fontId="0" type="noConversion"/>
  </si>
  <si>
    <t>Total</t>
    <phoneticPr fontId="0" type="noConversion"/>
  </si>
  <si>
    <t>Expected Financials</t>
    <phoneticPr fontId="0" type="noConversion"/>
  </si>
  <si>
    <t>Sales (HKD)</t>
    <phoneticPr fontId="0" type="noConversion"/>
  </si>
  <si>
    <t>OEM</t>
  </si>
  <si>
    <t>Xepa</t>
    <phoneticPr fontId="0" type="noConversion"/>
  </si>
  <si>
    <t>Cost of sales (HKD)</t>
    <phoneticPr fontId="0" type="noConversion"/>
  </si>
  <si>
    <t>55% on sales</t>
  </si>
  <si>
    <t>Gross profit margin (HKD)</t>
    <phoneticPr fontId="0" type="noConversion"/>
  </si>
  <si>
    <t>CMO</t>
  </si>
  <si>
    <t>Gross profit less marketing cost (HKD)</t>
  </si>
  <si>
    <t>Incremental net sales less marketing cost (HKD)</t>
  </si>
  <si>
    <t>Incremental gross profit less marketing cost (HKD)</t>
  </si>
  <si>
    <t>Incremental cash GP less marketing cost (HKD)</t>
  </si>
  <si>
    <t>Gross margin less marketing cost (%)</t>
    <phoneticPr fontId="0" type="noConversion"/>
  </si>
  <si>
    <t>Personnel cost</t>
    <phoneticPr fontId="0" type="noConversion"/>
  </si>
  <si>
    <t>MPF</t>
  </si>
  <si>
    <t>Incentive bonus</t>
  </si>
  <si>
    <t>Directors' cost</t>
    <phoneticPr fontId="0" type="noConversion"/>
  </si>
  <si>
    <t>Rent, rate &amp; management fee</t>
    <phoneticPr fontId="0" type="noConversion"/>
  </si>
  <si>
    <t>Professional and consultancy fee</t>
    <phoneticPr fontId="0" type="noConversion"/>
  </si>
  <si>
    <t>Depreciation</t>
    <phoneticPr fontId="0" type="noConversion"/>
  </si>
  <si>
    <t>Other costs</t>
  </si>
  <si>
    <t>FX and other income</t>
  </si>
  <si>
    <t>Projects costs</t>
    <phoneticPr fontId="0" type="noConversion"/>
  </si>
  <si>
    <t>YL new plants</t>
    <phoneticPr fontId="0" type="noConversion"/>
  </si>
  <si>
    <t>Staff cost &amp; MPF &amp; Bonus</t>
  </si>
  <si>
    <t>Professional fee - FPPSL</t>
    <phoneticPr fontId="0" type="noConversion"/>
  </si>
  <si>
    <t>Rate for YL</t>
    <phoneticPr fontId="0" type="noConversion"/>
  </si>
  <si>
    <t>Management fee for YL</t>
    <phoneticPr fontId="0" type="noConversion"/>
  </si>
  <si>
    <t>Rent for Rm401</t>
    <phoneticPr fontId="0" type="noConversion"/>
  </si>
  <si>
    <t>+10% per 2 yrs</t>
    <phoneticPr fontId="0" type="noConversion"/>
  </si>
  <si>
    <t>Rate &amp; M fee for Rm401</t>
    <phoneticPr fontId="0" type="noConversion"/>
  </si>
  <si>
    <t>Consultant fee</t>
    <phoneticPr fontId="0" type="noConversion"/>
  </si>
  <si>
    <t>Other costs</t>
    <phoneticPr fontId="0" type="noConversion"/>
  </si>
  <si>
    <t>One-off cost</t>
  </si>
  <si>
    <t>YL PV operation mode</t>
  </si>
  <si>
    <t>Materials</t>
  </si>
  <si>
    <t>Utilities</t>
  </si>
  <si>
    <t>Repair &amp; maintenance</t>
  </si>
  <si>
    <t>Two NAMI projects</t>
    <phoneticPr fontId="0" type="noConversion"/>
  </si>
  <si>
    <t>QC - CRO method development</t>
  </si>
  <si>
    <t>QC - extra cost for PIC/s: vendor, method &amp; computer validations</t>
  </si>
  <si>
    <t>CRO development cost &amp; BA/BE</t>
  </si>
  <si>
    <t>Transitional period manpower cost</t>
  </si>
  <si>
    <t>Retention bonus</t>
  </si>
  <si>
    <t>Legal fee for bank loan</t>
  </si>
  <si>
    <t>Total projects costs</t>
    <phoneticPr fontId="0" type="noConversion"/>
  </si>
  <si>
    <t>Less: Prior year adjustments</t>
  </si>
  <si>
    <t>Profit before tax for the year</t>
    <phoneticPr fontId="0" type="noConversion"/>
  </si>
  <si>
    <t>Profit after tax for the year</t>
    <phoneticPr fontId="0" type="noConversion"/>
  </si>
  <si>
    <t>Total depreciation in P&amp;L</t>
  </si>
  <si>
    <t>COGS</t>
  </si>
  <si>
    <t>EBITDA from core operation</t>
  </si>
  <si>
    <t>Core EBITDA margin to sales</t>
  </si>
  <si>
    <t>Donation, FX and other income</t>
  </si>
  <si>
    <t>Project and transitional non-operating cost</t>
  </si>
  <si>
    <t>EBITDA for the year</t>
  </si>
  <si>
    <t>Estimate cash flow tax payment</t>
  </si>
  <si>
    <t>Add: Depreciation</t>
  </si>
  <si>
    <t>Less: Tax Dep allowance</t>
  </si>
  <si>
    <t>For 2016/17</t>
  </si>
  <si>
    <t>For 2017/18</t>
  </si>
  <si>
    <t>For 2018/19</t>
  </si>
  <si>
    <t>For 2019/20</t>
  </si>
  <si>
    <t>For 2020/21</t>
  </si>
  <si>
    <t>For 2021/22</t>
  </si>
  <si>
    <t>For 2022/23</t>
  </si>
  <si>
    <t>For 2023/24</t>
  </si>
  <si>
    <t>For 2024/25</t>
  </si>
  <si>
    <t>For 2025/26</t>
  </si>
  <si>
    <t>Fortune Pharmacal Co Ltd</t>
  </si>
  <si>
    <t>Final assessment</t>
  </si>
  <si>
    <t>Tax thereon (16.5%)</t>
  </si>
  <si>
    <t>Less: provisional tax paid</t>
  </si>
  <si>
    <t>Add: provisional tax for following year</t>
  </si>
  <si>
    <t>Net tax payable (refundable)</t>
  </si>
  <si>
    <t>FP Healthcare Ltd</t>
  </si>
  <si>
    <t>Manufacturing cost analysis</t>
    <phoneticPr fontId="0" type="noConversion"/>
  </si>
  <si>
    <t>(Updated on 1 June 2016)</t>
  </si>
  <si>
    <t>Actual</t>
    <phoneticPr fontId="0" type="noConversion"/>
  </si>
  <si>
    <t>2014-15</t>
    <phoneticPr fontId="0" type="noConversion"/>
  </si>
  <si>
    <t>Cost per tablet</t>
    <phoneticPr fontId="0" type="noConversion"/>
  </si>
  <si>
    <t>Cost per tablet</t>
    <phoneticPr fontId="0" type="noConversion"/>
  </si>
  <si>
    <t>Budget sales tablet</t>
    <phoneticPr fontId="0" type="noConversion"/>
  </si>
  <si>
    <t>Buffer stock % to be built</t>
    <phoneticPr fontId="0" type="noConversion"/>
  </si>
  <si>
    <t>Production units required</t>
    <phoneticPr fontId="0" type="noConversion"/>
  </si>
  <si>
    <t>Production Output</t>
  </si>
  <si>
    <t>Material cost growth rate</t>
    <phoneticPr fontId="0" type="noConversion"/>
  </si>
  <si>
    <t>Fixed Labour cost growth rate</t>
  </si>
  <si>
    <t>Variable OH growth rate</t>
    <phoneticPr fontId="0" type="noConversion"/>
  </si>
  <si>
    <t>HKD</t>
    <phoneticPr fontId="0" type="noConversion"/>
  </si>
  <si>
    <t>Variable cost</t>
    <phoneticPr fontId="0" type="noConversion"/>
  </si>
  <si>
    <t>Material cost</t>
    <phoneticPr fontId="0" type="noConversion"/>
  </si>
  <si>
    <t>Direct labour cost (Fixed portion)</t>
  </si>
  <si>
    <t>Direct labour cost (Variable - for OT)</t>
  </si>
  <si>
    <t>Manufacturing overhead</t>
    <phoneticPr fontId="0" type="noConversion"/>
  </si>
  <si>
    <t>Fixed nature</t>
    <phoneticPr fontId="0" type="noConversion"/>
  </si>
  <si>
    <t>Rent &amp; rate</t>
    <phoneticPr fontId="0" type="noConversion"/>
  </si>
  <si>
    <t>Depreciation - land &amp; building</t>
    <phoneticPr fontId="0" type="noConversion"/>
  </si>
  <si>
    <t>Variable nature (inflation)</t>
  </si>
  <si>
    <t>Building management fee</t>
    <phoneticPr fontId="0" type="noConversion"/>
  </si>
  <si>
    <t>Water &amp; electricity</t>
    <phoneticPr fontId="0" type="noConversion"/>
  </si>
  <si>
    <t>(+8% for CW)</t>
  </si>
  <si>
    <t>Repair &amp; maintenance</t>
    <phoneticPr fontId="0" type="noConversion"/>
  </si>
  <si>
    <t>Sundry - MFG</t>
    <phoneticPr fontId="0" type="noConversion"/>
  </si>
  <si>
    <t>Insurance - MFG</t>
    <phoneticPr fontId="0" type="noConversion"/>
  </si>
  <si>
    <t>Medical insurance - MFG</t>
    <phoneticPr fontId="0" type="noConversion"/>
  </si>
  <si>
    <t>Variable nature (production volume variable)</t>
  </si>
  <si>
    <t>Laboratory expenses (QC)</t>
    <phoneticPr fontId="0" type="noConversion"/>
  </si>
  <si>
    <t>Testing expenses (QC by external)</t>
    <phoneticPr fontId="0" type="noConversion"/>
  </si>
  <si>
    <t>Opening WIP OH</t>
  </si>
  <si>
    <t>Total manufacturing overhead</t>
    <phoneticPr fontId="0" type="noConversion"/>
  </si>
  <si>
    <t>TOTAL PRODUCTION COST</t>
    <phoneticPr fontId="0" type="noConversion"/>
  </si>
  <si>
    <t>Chai Wan basis</t>
    <phoneticPr fontId="0" type="noConversion"/>
  </si>
  <si>
    <t>Vs 2020-21</t>
  </si>
  <si>
    <t>Prediction sensitivity</t>
    <phoneticPr fontId="0" type="noConversion"/>
  </si>
  <si>
    <t>HK growth rate</t>
    <phoneticPr fontId="0" type="noConversion"/>
  </si>
  <si>
    <t>China growth rate</t>
    <phoneticPr fontId="0" type="noConversion"/>
  </si>
  <si>
    <t>Cashflow trend</t>
  </si>
  <si>
    <t>Based Case (3 Mar 17)</t>
  </si>
  <si>
    <t>Net cash inflow from core operation</t>
  </si>
  <si>
    <t>Cashflow for non-operating &amp; project opex</t>
  </si>
  <si>
    <t>Payment for Yuen Long Capex</t>
  </si>
  <si>
    <t>Net banking financing</t>
  </si>
  <si>
    <t>Bank balance</t>
  </si>
  <si>
    <t>Loan balance</t>
  </si>
  <si>
    <t>Based Case</t>
  </si>
  <si>
    <t>Sensitive Analysis: +1% interest rate from base case</t>
  </si>
  <si>
    <t>Sensitive Analysis: -5% on Operating Cash Inflow from base case</t>
  </si>
  <si>
    <t>Sensitive Analysis: -5% on Operating Cash Inflow; interest +1%</t>
  </si>
  <si>
    <t>Cashflow forecast</t>
  </si>
  <si>
    <t>Fortune Pharmacal and FP Healthcare</t>
    <phoneticPr fontId="0" type="noConversion"/>
  </si>
  <si>
    <t>Chai Wan Production</t>
    <phoneticPr fontId="0" type="noConversion"/>
  </si>
  <si>
    <t>Yuen Long Production</t>
    <phoneticPr fontId="0" type="noConversion"/>
  </si>
  <si>
    <t>2015-16</t>
    <phoneticPr fontId="0" type="noConversion"/>
  </si>
  <si>
    <t>2016-17</t>
    <phoneticPr fontId="0" type="noConversion"/>
  </si>
  <si>
    <t>2017-18</t>
    <phoneticPr fontId="0" type="noConversion"/>
  </si>
  <si>
    <t>2018-19</t>
    <phoneticPr fontId="0" type="noConversion"/>
  </si>
  <si>
    <t>2019-20</t>
    <phoneticPr fontId="0" type="noConversion"/>
  </si>
  <si>
    <t>2020-21</t>
    <phoneticPr fontId="0" type="noConversion"/>
  </si>
  <si>
    <t>2021-22</t>
    <phoneticPr fontId="0" type="noConversion"/>
  </si>
  <si>
    <t>2022-23</t>
    <phoneticPr fontId="0" type="noConversion"/>
  </si>
  <si>
    <t>2023-24</t>
    <phoneticPr fontId="0" type="noConversion"/>
  </si>
  <si>
    <t>2024-25</t>
    <phoneticPr fontId="0" type="noConversion"/>
  </si>
  <si>
    <t>2025-26</t>
    <phoneticPr fontId="0" type="noConversion"/>
  </si>
  <si>
    <t>2026-27</t>
    <phoneticPr fontId="0" type="noConversion"/>
  </si>
  <si>
    <t>Year</t>
    <phoneticPr fontId="0" type="noConversion"/>
  </si>
  <si>
    <t>Overall annual operating cashflow growth (2023 onward)</t>
    <phoneticPr fontId="0" type="noConversion"/>
  </si>
  <si>
    <t>Cashflow from operating activities</t>
    <phoneticPr fontId="0" type="noConversion"/>
  </si>
  <si>
    <t>Profit before taxation from core operation</t>
    <phoneticPr fontId="0" type="noConversion"/>
  </si>
  <si>
    <t>Add: Depreciation (manufacturing) in COGS</t>
    <phoneticPr fontId="0" type="noConversion"/>
  </si>
  <si>
    <t>Add: Depreciation (non-manufacturing)</t>
    <phoneticPr fontId="0" type="noConversion"/>
  </si>
  <si>
    <t xml:space="preserve"> </t>
    <phoneticPr fontId="0" type="noConversion"/>
  </si>
  <si>
    <t>Less: profit tax payment</t>
    <phoneticPr fontId="0" type="noConversion"/>
  </si>
  <si>
    <t>Net cash inflow from core operating activities</t>
    <phoneticPr fontId="0" type="noConversion"/>
  </si>
  <si>
    <t>Non core operating items</t>
  </si>
  <si>
    <t>Less: Yuen Long Project costs</t>
  </si>
  <si>
    <t>Less: Operating cost for trial run &amp; PV</t>
  </si>
  <si>
    <t>Less: Transitional period manpower cost</t>
  </si>
  <si>
    <t>Total non-core operating cash flow</t>
  </si>
  <si>
    <t>Net cashflow from operating activities</t>
    <phoneticPr fontId="0" type="noConversion"/>
  </si>
  <si>
    <t>Investing activities</t>
    <phoneticPr fontId="0" type="noConversion"/>
  </si>
  <si>
    <t>New capex</t>
    <phoneticPr fontId="0" type="noConversion"/>
  </si>
  <si>
    <t>Payment for Project Capex</t>
  </si>
  <si>
    <t>Net cash outflow from investing activities</t>
    <phoneticPr fontId="0" type="noConversion"/>
  </si>
  <si>
    <t>Net cash flow before Financing Activities</t>
    <phoneticPr fontId="0" type="noConversion"/>
  </si>
  <si>
    <t>Cumulative net cash flow before Financing Activities (2015 onward)</t>
    <phoneticPr fontId="0" type="noConversion"/>
  </si>
  <si>
    <t>Total loans to be drawn down</t>
    <phoneticPr fontId="0" type="noConversion"/>
  </si>
  <si>
    <t>Years for settlement (&lt;10 years)</t>
    <phoneticPr fontId="0" type="noConversion"/>
  </si>
  <si>
    <t>Annual interest rate</t>
    <phoneticPr fontId="0" type="noConversion"/>
  </si>
  <si>
    <t>H+1.15%</t>
    <phoneticPr fontId="0" type="noConversion"/>
  </si>
  <si>
    <t>Cash flow on loan drawdown</t>
    <phoneticPr fontId="0" type="noConversion"/>
  </si>
  <si>
    <t>Loan repayment</t>
    <phoneticPr fontId="0" type="noConversion"/>
  </si>
  <si>
    <t>Interest payments</t>
    <phoneticPr fontId="0" type="noConversion"/>
  </si>
  <si>
    <t>Net cash flow from Financing Activities</t>
    <phoneticPr fontId="0" type="noConversion"/>
  </si>
  <si>
    <t>Cumulative cash flow for Financing Activities</t>
    <phoneticPr fontId="0" type="noConversion"/>
  </si>
  <si>
    <t>Net cash flow of the Company for the year</t>
    <phoneticPr fontId="0" type="noConversion"/>
  </si>
  <si>
    <t>Cash balance at the beginning of the year</t>
  </si>
  <si>
    <t>Cash balance at the end of the year</t>
  </si>
  <si>
    <t>Sensitivity</t>
    <phoneticPr fontId="0" type="noConversion"/>
  </si>
  <si>
    <t>HK</t>
    <phoneticPr fontId="0" type="noConversion"/>
  </si>
  <si>
    <t>China</t>
    <phoneticPr fontId="0" type="noConversion"/>
  </si>
  <si>
    <t>Cashflow update items</t>
  </si>
  <si>
    <t>Retention Bonus 123 (net of tax)</t>
  </si>
  <si>
    <t>Saving in R&amp;D CRO development cost (net of tax)</t>
  </si>
  <si>
    <t>R&amp;D equipments</t>
  </si>
  <si>
    <t>Project Vos</t>
  </si>
  <si>
    <t>Relocation of canteen &amp; office expansion (withdraw)</t>
  </si>
  <si>
    <t>Builder &amp; E&amp;M (additional V-blender)</t>
  </si>
  <si>
    <t>Additional Stability Chamber &amp; Sample Retention Room</t>
  </si>
  <si>
    <t>V-Blender &amp; Roller Compactor Facility</t>
  </si>
  <si>
    <t xml:space="preserve">  - R&amp;D Lab Scale</t>
  </si>
  <si>
    <t xml:space="preserve">  - R&amp;D Scale up processing lab</t>
  </si>
  <si>
    <t xml:space="preserve">  - Production</t>
  </si>
  <si>
    <t>Total net cash flows</t>
  </si>
  <si>
    <t>(HKD'000)</t>
  </si>
  <si>
    <t>Auto+Hide+Lock</t>
  </si>
  <si>
    <t>Fortune Group</t>
  </si>
  <si>
    <t>CORE OPERATIONS</t>
  </si>
  <si>
    <t>Fortune Pharm|FPHealthcare</t>
  </si>
  <si>
    <t>BGT Name</t>
  </si>
  <si>
    <t>%Var</t>
  </si>
  <si>
    <t>Adjustments</t>
  </si>
  <si>
    <t>2016/17
Actual</t>
  </si>
  <si>
    <t>% Var</t>
  </si>
  <si>
    <t>2015/16
Actual</t>
  </si>
  <si>
    <t>NO. OF TABLET PRODUCED</t>
  </si>
  <si>
    <t>SALES - NO. OF TABLETS</t>
  </si>
  <si>
    <t>SALES PER TABLET</t>
  </si>
  <si>
    <t>COST PER TABLET</t>
  </si>
  <si>
    <t>SALES</t>
  </si>
  <si>
    <t>FPHealthcare</t>
  </si>
  <si>
    <t>302*</t>
  </si>
  <si>
    <t>TOTAL NET SALES</t>
  </si>
  <si>
    <t>35000010|33000520|45000010|45000030|45000040</t>
  </si>
  <si>
    <t>TOTAL COST OF SALES</t>
  </si>
  <si>
    <t>GROSS PROFIT</t>
  </si>
  <si>
    <t xml:space="preserve"> - HK</t>
  </si>
  <si>
    <t xml:space="preserve"> - CHINA</t>
  </si>
  <si>
    <t xml:space="preserve"> - OVERSEAS</t>
  </si>
  <si>
    <t>OTC</t>
  </si>
  <si>
    <t>TOTAL GROSS PROFIT</t>
  </si>
  <si>
    <t>RATIO FOR FCST PERIOD</t>
  </si>
  <si>
    <t>OTHER INCOME</t>
  </si>
  <si>
    <t>Int</t>
  </si>
  <si>
    <t>Others</t>
  </si>
  <si>
    <t>Exchg</t>
  </si>
  <si>
    <t>Div</t>
  </si>
  <si>
    <t>OPERATING EXPENSES</t>
  </si>
  <si>
    <t>OVSTRA</t>
  </si>
  <si>
    <t>STAFTRA</t>
  </si>
  <si>
    <t>ORG DEV</t>
  </si>
  <si>
    <t>CERT</t>
  </si>
  <si>
    <t>CERT./ LICENCE / REGISTRATION FEE</t>
  </si>
  <si>
    <t>DirectorFee</t>
  </si>
  <si>
    <t>DirectorQ</t>
  </si>
  <si>
    <t>Donation</t>
  </si>
  <si>
    <t>R&amp;M</t>
  </si>
  <si>
    <t>Depreciation</t>
  </si>
  <si>
    <t>ADVHK</t>
  </si>
  <si>
    <t>ADVSOV</t>
  </si>
  <si>
    <t>OTHERS</t>
  </si>
  <si>
    <t>TOTAL OPERATING EXPENSE</t>
  </si>
  <si>
    <r>
      <t xml:space="preserve">NET PROFIT / (LOSS) ON </t>
    </r>
    <r>
      <rPr>
        <b/>
        <sz val="11"/>
        <color rgb="FFFF0000"/>
        <rFont val="Arial"/>
        <family val="2"/>
      </rPr>
      <t>CORE OPERATIONS</t>
    </r>
  </si>
  <si>
    <t>Non-Core Expenses</t>
  </si>
  <si>
    <t>COMMISSION PAID</t>
  </si>
  <si>
    <t>MOTOR VEHICLE EXP</t>
  </si>
  <si>
    <t>*</t>
  </si>
  <si>
    <t>SALARIES - PROJECT RELATED</t>
  </si>
  <si>
    <t>SALARIES - TRANSITION PERIOD</t>
  </si>
  <si>
    <t>STAFF WELFARE</t>
  </si>
  <si>
    <t>ENTERTAINMENT</t>
  </si>
  <si>
    <t>PRINTING &amp; STATIONERY</t>
  </si>
  <si>
    <t>INTERNET, FAX &amp; POSTAGE</t>
  </si>
  <si>
    <t>SUBSCRIPTION FEE</t>
  </si>
  <si>
    <t>BANK CHARGES</t>
  </si>
  <si>
    <t>TELEPHONE CHARGES</t>
  </si>
  <si>
    <t>AUDIT FEE</t>
  </si>
  <si>
    <t>PROFESSIONAL &amp; SECRETARIAL CHARGES</t>
  </si>
  <si>
    <t>LEGAL FEE</t>
  </si>
  <si>
    <t>BAD DEBTS</t>
  </si>
  <si>
    <t>DONATION</t>
  </si>
  <si>
    <t>DIRECTOR FEE</t>
  </si>
  <si>
    <t>TRADE MARK EXPENSES</t>
  </si>
  <si>
    <t>ROYALTY FEE</t>
  </si>
  <si>
    <t>DESIGN FEE</t>
  </si>
  <si>
    <t>CONSULTANT FEE</t>
  </si>
  <si>
    <t>MANAGEMENT FEE</t>
  </si>
  <si>
    <t>SAMPLE EXPENSES - OPR</t>
  </si>
  <si>
    <t>R&amp;D LABORATORY EXPENSES</t>
  </si>
  <si>
    <t>OTHER MARKETING EXPENSES</t>
  </si>
  <si>
    <t>MERCHANDISING FEE</t>
  </si>
  <si>
    <t>ADV-CHINA MARKETING</t>
  </si>
  <si>
    <t>ADV-OVERSEAS</t>
  </si>
  <si>
    <t>Total Normalized Expenses</t>
  </si>
  <si>
    <t>Professional fee - FPPSL</t>
  </si>
  <si>
    <t>Rate for YL</t>
  </si>
  <si>
    <t>Management fee for YL</t>
  </si>
  <si>
    <t>Rent for Rm401</t>
  </si>
  <si>
    <t>Rate &amp; M fee for Rm401</t>
  </si>
  <si>
    <t>Consultant fee</t>
  </si>
  <si>
    <t>CRO</t>
  </si>
  <si>
    <t>Professional and consultancy fee</t>
  </si>
  <si>
    <t>2017/18
 Actual</t>
  </si>
  <si>
    <t>OEM SALES</t>
  </si>
  <si>
    <t>LESS: COST OF SALES-OEM</t>
  </si>
  <si>
    <t>Personnel cost</t>
  </si>
  <si>
    <t>Directors' cost</t>
  </si>
  <si>
    <t>Rent, rate &amp; management fee</t>
  </si>
  <si>
    <t>RMB/ Tablet for China Market</t>
  </si>
  <si>
    <t>(Amount = HKD)</t>
  </si>
  <si>
    <t>PAID</t>
  </si>
  <si>
    <t>TOTAL</t>
  </si>
  <si>
    <t>MateriaLab (Asbestos Investigation)</t>
  </si>
  <si>
    <t>David Au   (G.I.)</t>
  </si>
  <si>
    <t>AECOM   (Environmental Consultant)</t>
  </si>
  <si>
    <t>Albert Liu   (Feasibility Study)</t>
  </si>
  <si>
    <t>Synertec-Automation Concept Study</t>
  </si>
  <si>
    <t>Jacobs-Site Master Planning Engineering Services</t>
  </si>
  <si>
    <t>Jacobs-CD &amp; BD Consultancy Services (Phase 1)</t>
  </si>
  <si>
    <t>PharmOut-Validation &amp; Qualification Assessment</t>
  </si>
  <si>
    <t>PharmOut-Doc for GMP Compliance Assessment</t>
  </si>
  <si>
    <t>PharmOut-CD Deliverables Review &amp; DH Presentation</t>
  </si>
  <si>
    <t>PharmOut-Ongoing QMS &amp; Validation Support - 2015</t>
  </si>
  <si>
    <t>PharmOut-Design review of new facility</t>
  </si>
  <si>
    <t>Jacobs- DD&amp;EP</t>
  </si>
  <si>
    <t>ARUP (VO for 3rd Party review on Planning Design)</t>
  </si>
  <si>
    <t>Time-based Consulting -IT, Automation, Other</t>
  </si>
  <si>
    <t>BD Submission</t>
  </si>
  <si>
    <t>Office furniture</t>
  </si>
  <si>
    <t>Block D E&amp;M office &amp; workshop</t>
  </si>
  <si>
    <t>Temp Site Office</t>
  </si>
  <si>
    <t xml:space="preserve">GI </t>
  </si>
  <si>
    <t xml:space="preserve">Demolition </t>
  </si>
  <si>
    <t>CCTV Survey</t>
  </si>
  <si>
    <t>Insurance</t>
  </si>
  <si>
    <t>MC Bill No.1-Preliminaries</t>
  </si>
  <si>
    <t>MC Bill No.3-Block A</t>
  </si>
  <si>
    <t>MC Bill No.4-Block B&amp;C (QC Lab)</t>
  </si>
  <si>
    <t>MC Bill No.5-Block B&amp;C (Production)</t>
  </si>
  <si>
    <t>MC Bill No.6-Block B&amp;C (Warehouse)</t>
  </si>
  <si>
    <t>MC Bill No.7-Block B&amp;C (Loading &amp; Unloading)</t>
  </si>
  <si>
    <t>MC Bill No.8-Block B&amp;C (Office)</t>
  </si>
  <si>
    <t>MC Bill No.9-Block B2</t>
  </si>
  <si>
    <t>MC Bill No.10-Block D</t>
  </si>
  <si>
    <t>MC Bill No.11-Underground Drainage</t>
  </si>
  <si>
    <t>MC Bill No.12-Building Services Installation</t>
  </si>
  <si>
    <t>MC Bill No.13-External Works</t>
  </si>
  <si>
    <t>MC Bill No.14-Prime Cost &amp; Provisional Sum</t>
  </si>
  <si>
    <t>MC - Provision of BIM Services</t>
  </si>
  <si>
    <t>MC - VO</t>
  </si>
  <si>
    <t>Pest Control</t>
  </si>
  <si>
    <t>Office</t>
  </si>
  <si>
    <t>Clean Room System including HVAC</t>
  </si>
  <si>
    <t>Clean Room Products</t>
  </si>
  <si>
    <t>Dispensing</t>
  </si>
  <si>
    <t>Pre-blending</t>
  </si>
  <si>
    <t>Material Handling</t>
  </si>
  <si>
    <t>Granulation</t>
  </si>
  <si>
    <t>IBC Blending</t>
  </si>
  <si>
    <t>Tabletting</t>
  </si>
  <si>
    <t>Coating</t>
  </si>
  <si>
    <t>Capsule Filling</t>
  </si>
  <si>
    <t>Washing</t>
  </si>
  <si>
    <t>Blister</t>
  </si>
  <si>
    <t>Strip packing</t>
  </si>
  <si>
    <t>Handpack</t>
  </si>
  <si>
    <t>Dust Vacuum</t>
  </si>
  <si>
    <t>Packaging</t>
  </si>
  <si>
    <t>Additional</t>
  </si>
  <si>
    <t>Utililies-Purified Water System</t>
  </si>
  <si>
    <t>Utililies-Compressed air system</t>
  </si>
  <si>
    <t>Utililies-Waste water treatment system</t>
  </si>
  <si>
    <t xml:space="preserve">Utililies-Ancillary Equipment </t>
  </si>
  <si>
    <t>UTILITIES</t>
  </si>
  <si>
    <t>Laboratories-QC Stability Chambers</t>
  </si>
  <si>
    <t>Laboratories-QC lab module - equipments</t>
  </si>
  <si>
    <t>Laboratories-QC lab module - furniture</t>
  </si>
  <si>
    <t xml:space="preserve">Laboratories-Microbial laboratory </t>
  </si>
  <si>
    <t>Laboratories-In-process testing instruments for OSD</t>
  </si>
  <si>
    <t>Laboratories-Pilot plant</t>
  </si>
  <si>
    <t>Process Scale Up Lab- FBD</t>
  </si>
  <si>
    <t>Process Scale Up Lab- HSM</t>
  </si>
  <si>
    <t>Process Scale Up Lab- Tablet</t>
  </si>
  <si>
    <t>Process Scale Up Lab- Sachet</t>
  </si>
  <si>
    <t>Process Scale Up Lab- Capsule</t>
  </si>
  <si>
    <t>Process Scale Up Lab- Coating</t>
  </si>
  <si>
    <t>Process Scale Up Lab- Blending</t>
  </si>
  <si>
    <t>Process Scale Up Lab- Blister</t>
  </si>
  <si>
    <t>Process Scale Up Lab- R&amp;D Equipment</t>
  </si>
  <si>
    <t xml:space="preserve">Warehouse-Automatic warehouse </t>
  </si>
  <si>
    <t>Warehouse-Warehouse equipment</t>
  </si>
  <si>
    <t>Warehouse-Sampling booth (3 sets)</t>
  </si>
  <si>
    <t>Warehouse-Pneumatic tube transportation sys</t>
  </si>
  <si>
    <t>Automation-Server room</t>
  </si>
  <si>
    <t>Automation-Manufacturing Execution Sys (MES)</t>
  </si>
  <si>
    <t>Automation-Warehouse Management Sys (WMS)</t>
  </si>
  <si>
    <t>Automation-Track &amp; Trace Sys (RFID/ bar code/ 2D code)</t>
  </si>
  <si>
    <t>Automation-ERP</t>
  </si>
  <si>
    <t>Automation-Electronic Quality Mgt Sys (EQMS)</t>
  </si>
  <si>
    <t>Automation-Laboratory Info Mgt Sys (LIMS)</t>
  </si>
  <si>
    <t>Miscellaneous</t>
  </si>
  <si>
    <t xml:space="preserve">*Excl. Land   </t>
  </si>
  <si>
    <t>Annual depreciation</t>
  </si>
  <si>
    <t>Commercial Building Allowance</t>
  </si>
  <si>
    <t>Loan repayment and interest schedule</t>
  </si>
  <si>
    <t>Loan 1</t>
  </si>
  <si>
    <t>Loan 2</t>
  </si>
  <si>
    <t>Loan 3</t>
  </si>
  <si>
    <t>BOC - Proposal 1</t>
  </si>
  <si>
    <t>BOC - Proposal 2</t>
  </si>
  <si>
    <t>HSB + HSBC Loans</t>
  </si>
  <si>
    <t>Loan amt</t>
  </si>
  <si>
    <t>Repayment period</t>
  </si>
  <si>
    <t>HIBRO +1.6%</t>
  </si>
  <si>
    <t>Interest p.m.</t>
  </si>
  <si>
    <t>Monthly instalment</t>
  </si>
  <si>
    <t>Loan period</t>
  </si>
  <si>
    <t>Interest rate</t>
  </si>
  <si>
    <t>1 Mth HIBOR</t>
  </si>
  <si>
    <t>+ interest margin</t>
  </si>
  <si>
    <t>Current interest rate</t>
  </si>
  <si>
    <t>120 months</t>
  </si>
  <si>
    <t>H + 1.15%</t>
  </si>
  <si>
    <t>Summary for year</t>
  </si>
  <si>
    <t>Summary for all loans</t>
  </si>
  <si>
    <t>Installment payment %</t>
  </si>
  <si>
    <t>Total loan balance outstanding</t>
  </si>
  <si>
    <t>Month</t>
  </si>
  <si>
    <t>Monthly payment</t>
  </si>
  <si>
    <t>Interest payment</t>
  </si>
  <si>
    <t>Principal repayment</t>
  </si>
  <si>
    <t>Outstanding balance</t>
  </si>
  <si>
    <t>Year</t>
  </si>
  <si>
    <t>Total interest payment</t>
  </si>
  <si>
    <t>Total principal payment</t>
  </si>
  <si>
    <t>% of term loan repayment</t>
  </si>
  <si>
    <t>New principal</t>
  </si>
  <si>
    <t>Outstanding Principal</t>
  </si>
  <si>
    <t>Interest rate applicable</t>
  </si>
  <si>
    <t>New loan proceed / (loan repayment)</t>
  </si>
  <si>
    <t>0</t>
  </si>
  <si>
    <t>April</t>
  </si>
  <si>
    <t>May</t>
  </si>
  <si>
    <t>June</t>
  </si>
  <si>
    <t>July</t>
  </si>
  <si>
    <t>Aug</t>
  </si>
  <si>
    <t>Sept</t>
  </si>
  <si>
    <t>Oct</t>
  </si>
  <si>
    <t>Nov</t>
  </si>
  <si>
    <t>Dec</t>
  </si>
  <si>
    <t xml:space="preserve">Jan </t>
  </si>
  <si>
    <t>Feb</t>
  </si>
  <si>
    <t>Mar</t>
  </si>
  <si>
    <t>Fortune Pharm|XEPA|FPHealthcare</t>
  </si>
  <si>
    <t>INTEREST RECEIVED</t>
  </si>
  <si>
    <t>RENTAL INCOME</t>
  </si>
  <si>
    <t>SUNDRY INCOME</t>
  </si>
  <si>
    <t>REC MANAGEMENT FEE</t>
  </si>
  <si>
    <t>REALIZED GAIN ON AVAILABLE-FOR-SALE INVESTMENTS</t>
  </si>
  <si>
    <t>2018/19</t>
  </si>
  <si>
    <t>2019/20</t>
  </si>
  <si>
    <t>2020/21</t>
  </si>
  <si>
    <t>2021/22</t>
  </si>
  <si>
    <t>2022/23</t>
  </si>
  <si>
    <t>2023/24</t>
  </si>
  <si>
    <t>2024/25</t>
  </si>
  <si>
    <t>2025/26</t>
  </si>
  <si>
    <t>2026/27</t>
  </si>
  <si>
    <t>2027/28</t>
  </si>
  <si>
    <t>2028/29</t>
  </si>
  <si>
    <t>Y</t>
  </si>
  <si>
    <t>N</t>
  </si>
  <si>
    <t>Other Costs</t>
  </si>
  <si>
    <t>Capitalized</t>
    <phoneticPr fontId="0" type="noConversion"/>
  </si>
  <si>
    <t>As Plant &amp; machinery</t>
    <phoneticPr fontId="0" type="noConversion"/>
  </si>
  <si>
    <t>For 2026/27</t>
  </si>
  <si>
    <t>For 2027/28</t>
  </si>
  <si>
    <t>For 2028/29</t>
  </si>
  <si>
    <t>TOTAL NET TAX PAYMENT FOR GROUP</t>
  </si>
  <si>
    <t>Less: provisional tax paid of last year</t>
  </si>
  <si>
    <t>Add: provisional tax</t>
  </si>
  <si>
    <t>Net tax payable in the year</t>
  </si>
  <si>
    <t>Less: new products / business development (CRO)</t>
  </si>
  <si>
    <t>Cash gross profit less marketing cost (HKD)</t>
  </si>
  <si>
    <t>Profit before tax (Organic)</t>
  </si>
  <si>
    <t>2030/31</t>
  </si>
  <si>
    <t>2032/33</t>
  </si>
  <si>
    <t>Less: non-taxable income/expenses</t>
  </si>
  <si>
    <t>Assessable profit (loss C/F) - FPCL</t>
  </si>
  <si>
    <t>Taxable profit for FPHL</t>
  </si>
  <si>
    <t>Assessable profit (loss) for the year (Group)</t>
  </si>
  <si>
    <t>Tax loss - b/f (FPCL)</t>
  </si>
  <si>
    <t>Inorganic Tax effect</t>
  </si>
  <si>
    <t>Tax cost impact for the year</t>
  </si>
  <si>
    <t>Inorganic tax credit b/f</t>
  </si>
  <si>
    <t>Inorganic tax credit c/f / tax payment</t>
  </si>
  <si>
    <t>Analysed by</t>
  </si>
  <si>
    <t>Organic businesses</t>
  </si>
  <si>
    <t>Inorganic businesses</t>
  </si>
  <si>
    <t>Total tax payment</t>
  </si>
  <si>
    <t>Inorganic cashflow included in the above operating cashflow</t>
  </si>
  <si>
    <t>Net operating cashflow before tax</t>
  </si>
  <si>
    <t>Inorganic tax cashflow</t>
  </si>
  <si>
    <t>Total inorganic cashflow</t>
  </si>
  <si>
    <t>Net cash inflow from inorganic businesses</t>
  </si>
  <si>
    <t>IRR</t>
  </si>
  <si>
    <t>2031/32</t>
  </si>
  <si>
    <t>Tablet</t>
  </si>
  <si>
    <t>Capsule</t>
  </si>
  <si>
    <t>Sachet</t>
  </si>
  <si>
    <t>REFERENCE BOOK / ONLINE DATA</t>
  </si>
  <si>
    <t>Cost Center:</t>
    <phoneticPr fontId="0" type="noConversion"/>
  </si>
  <si>
    <t>*</t>
    <phoneticPr fontId="0" type="noConversion"/>
  </si>
  <si>
    <t>$</t>
    <phoneticPr fontId="0" type="noConversion"/>
  </si>
  <si>
    <t>Gain/Loss FA</t>
  </si>
  <si>
    <t>FA Exp</t>
  </si>
  <si>
    <t>A&amp;P-KA</t>
  </si>
  <si>
    <t>A&amp;P CN</t>
  </si>
  <si>
    <t>A&amp;P OVS</t>
  </si>
  <si>
    <t>Manpower</t>
  </si>
  <si>
    <t>Bank Balance</t>
  </si>
  <si>
    <t>12 years sales forecast</t>
  </si>
  <si>
    <t>Refinancing</t>
  </si>
  <si>
    <t>Sensitivity on interest rate increase</t>
  </si>
  <si>
    <t>Extra interest sensitivity</t>
  </si>
  <si>
    <t>$</t>
  </si>
  <si>
    <t>SALARY</t>
  </si>
  <si>
    <t>YE.BONUS</t>
  </si>
  <si>
    <t>STAFF - YEAR END BONUS</t>
  </si>
  <si>
    <t>BONUS</t>
  </si>
  <si>
    <t>R.BONUS</t>
  </si>
  <si>
    <t>RECRUIT</t>
  </si>
  <si>
    <t>STAFF MEDI</t>
  </si>
  <si>
    <t>STAFF - MEDICAL INSURANCE</t>
  </si>
  <si>
    <t>STAFF - WELFARE</t>
  </si>
  <si>
    <t>STAFF TRAVEL</t>
  </si>
  <si>
    <t>MGT FEE</t>
  </si>
  <si>
    <t>RENT</t>
  </si>
  <si>
    <t>RENT &amp; RATES</t>
  </si>
  <si>
    <t>LOGISTICS</t>
  </si>
  <si>
    <t>ENT</t>
  </si>
  <si>
    <t>REF BOOK</t>
  </si>
  <si>
    <t>R&amp;D LAB</t>
  </si>
  <si>
    <t>R&amp;D OH</t>
  </si>
  <si>
    <t>R&amp;D SHARED EXPENSE</t>
  </si>
  <si>
    <t>PRO FEE</t>
  </si>
  <si>
    <t>LEGAL</t>
  </si>
  <si>
    <t>CONSULT</t>
  </si>
  <si>
    <t>FA</t>
  </si>
  <si>
    <t>ADVCN</t>
  </si>
  <si>
    <t>RELOCATE</t>
  </si>
  <si>
    <t>INTER CO MANAGEMENT FEE</t>
  </si>
  <si>
    <t>EXCHG DIFFERENCE - UNREALIZED GAIN/LOSS</t>
  </si>
  <si>
    <t>EXCHG DIFFERENCE - REALIZED GAIN/LOSS</t>
  </si>
  <si>
    <t>DIVIDEND RECEIVED</t>
  </si>
  <si>
    <t>SALARIES - GENERAL</t>
  </si>
  <si>
    <t>SALARIES – STAFF RECRUITMENT BONUS</t>
  </si>
  <si>
    <t>STAFF - MANDATORY PROFIDENT FUND</t>
  </si>
  <si>
    <t>STAFF - LONG SERVICE PAYMENT</t>
  </si>
  <si>
    <t>STAFF - INCENTIVE BONUS</t>
  </si>
  <si>
    <t>STAFF - PROVISION FOR RETENTION BONUS</t>
  </si>
  <si>
    <t>STAFF - QUARTER EXPENSES</t>
  </si>
  <si>
    <t>STAFF - RECRUITMENT COSTS</t>
  </si>
  <si>
    <t>STAFF - MESSING</t>
  </si>
  <si>
    <t>STAFF - LOCAL TRAVELLING EXPENSES</t>
  </si>
  <si>
    <t>STAFF - OVERSEAS TRAVELLING EXPENSES</t>
  </si>
  <si>
    <t>STAFF - OVERSEAS TRANING FEE</t>
  </si>
  <si>
    <t>STAFF - STAFF USAGE (FG)</t>
  </si>
  <si>
    <t>STAFF - OTHER INSURANCE</t>
  </si>
  <si>
    <t>STAFF - TRAINING FEE</t>
  </si>
  <si>
    <t>STAFF - ORGANIZATION DEVELOPMENT FEE</t>
  </si>
  <si>
    <t>DIRECTOR QUARTER EXPENSES</t>
  </si>
  <si>
    <t>BLDG MANAGEMENT FEE</t>
  </si>
  <si>
    <t>ELECTRICITY</t>
  </si>
  <si>
    <t>WATER</t>
  </si>
  <si>
    <t>OPR - TRANSPORTATION</t>
  </si>
  <si>
    <t>OPR - LOGISTICS SUPPORT</t>
  </si>
  <si>
    <t>OPR - SUNDRY EXPENSES</t>
  </si>
  <si>
    <t>OPR - REPAIR &amp; MAINTENANCE</t>
  </si>
  <si>
    <t>IT SUPPLIES</t>
  </si>
  <si>
    <t>IT CLOUD SERVICE</t>
  </si>
  <si>
    <t>INSURANCE</t>
  </si>
  <si>
    <t>DISCOUNT TAKEN FROM PURCHASE</t>
  </si>
  <si>
    <t>CHEMICAL LABORATORY EXPENSES &amp; WASTAGE</t>
  </si>
  <si>
    <t>RAW MATERIAL CONSUMPTION</t>
  </si>
  <si>
    <t>LABORATORY TESTING EXPENSES - OPR</t>
  </si>
  <si>
    <t>BANK INTEREST</t>
  </si>
  <si>
    <t>DEPR - INVESTMENT PROPERTIES</t>
  </si>
  <si>
    <t>DEPR - LAND &amp; BUILDING</t>
  </si>
  <si>
    <t>DEPR - PLANT &amp; MACHINERY</t>
  </si>
  <si>
    <t>DEPR - FURNITURE, FIXTURE &amp; OFFICE EQUIPMENT</t>
  </si>
  <si>
    <t>DEPR - EDP</t>
  </si>
  <si>
    <t>DEPR - MOTOR VEHICLE</t>
  </si>
  <si>
    <t>AMORTIZATION - INTANGIBLE ASSET</t>
  </si>
  <si>
    <t>IMPAIRMENT - INVESTMENT PROPERTIES</t>
  </si>
  <si>
    <t>IMPAIRMENT - LAND &amp; BUILDING</t>
  </si>
  <si>
    <t>IMPAIRMENT - PLANT &amp; MACHINERY</t>
  </si>
  <si>
    <t>IMPAIRMENT - FURNITURE, FIXTURE &amp; OFFICE EQUIPMENT</t>
  </si>
  <si>
    <t>IMPAIRMENT - EDP</t>
  </si>
  <si>
    <t>IMPAIRMENT - MOTOR VEHICLE</t>
  </si>
  <si>
    <t>IMPAIRMENT - INTANGIBLE ASSET</t>
  </si>
  <si>
    <t>FA - OFFICE SUPPLIES</t>
  </si>
  <si>
    <t>FA - CONSUMABLE EXP</t>
  </si>
  <si>
    <t>NET GAIN/LOSS ON DISPOSAL - PROCEED OF SALE</t>
  </si>
  <si>
    <t>NET GAIN/LOSS ON DISPOSAL - COST OF REMOVAL</t>
  </si>
  <si>
    <t>ADV - TV (VIU TV)</t>
  </si>
  <si>
    <t>ADV - TV (TVB)</t>
  </si>
  <si>
    <t>ADV - TV</t>
  </si>
  <si>
    <t>ADV - TV PRODUCTION</t>
  </si>
  <si>
    <t>ADV - OUTDOOR AD</t>
  </si>
  <si>
    <t>ADV - OUTDOOR AD PRODUCTION</t>
  </si>
  <si>
    <t>ADV - PRINT</t>
  </si>
  <si>
    <t>ADV - PRINT PRODUCTION</t>
  </si>
  <si>
    <t>ADV - POSTER</t>
  </si>
  <si>
    <t>ADV - POSTER PRODUCTION</t>
  </si>
  <si>
    <t>ADV - ONLINE MEDIA</t>
  </si>
  <si>
    <t>ADV - ONLINE MEDIA PRODUCTION</t>
  </si>
  <si>
    <t>ADV - OUTDOOR TV</t>
  </si>
  <si>
    <t>ADV - OUTDOOR TV PRODUCTION</t>
  </si>
  <si>
    <t>ADV-MEDIA AGENCY</t>
  </si>
  <si>
    <t>ADV-MARKETING INFORMATION</t>
  </si>
  <si>
    <t>ADV-EVENT</t>
  </si>
  <si>
    <t>ADV - KA &amp; GT - PROMOTION GOODS - HK</t>
  </si>
  <si>
    <t>ADV - KA &amp; GT - PROMOTION MATERIAL</t>
  </si>
  <si>
    <t>ADV - GT - PROMOTION MATERIAL</t>
  </si>
  <si>
    <t>ADV - GT - PREMIUM</t>
  </si>
  <si>
    <t>ADV - GT - DISPLAY FEE</t>
  </si>
  <si>
    <t>ADV - GT - COUNTER PROMOTION</t>
  </si>
  <si>
    <t>ADV - KA - PROMOTION MATERIAL</t>
  </si>
  <si>
    <t>ADV - KA - PREMIUM</t>
  </si>
  <si>
    <t>ADV - KA - WELLCOME</t>
  </si>
  <si>
    <t>ADV - KA - MANNINGS</t>
  </si>
  <si>
    <t>ADV - KA - PARK'N</t>
  </si>
  <si>
    <t>ADV - KA - WATSON'S</t>
  </si>
  <si>
    <t>ADV - KA - CR CARE</t>
  </si>
  <si>
    <t>ADV - KA - 7-11</t>
  </si>
  <si>
    <t>ADV - KA - CIRCLE K</t>
  </si>
  <si>
    <t>ADV - PROMOTION GOODS - CN</t>
  </si>
  <si>
    <t>ADV - OTHERS - CN</t>
  </si>
  <si>
    <t>ADV -  PROMOTION GOODS - OS</t>
  </si>
  <si>
    <t>OFFICE RELOCATION</t>
  </si>
  <si>
    <t>FX</t>
  </si>
  <si>
    <t>HK Core</t>
  </si>
  <si>
    <t>HK Star</t>
  </si>
  <si>
    <t>China</t>
  </si>
  <si>
    <t>Overseas</t>
  </si>
  <si>
    <t>Multiple Site Operation</t>
  </si>
  <si>
    <t>One-Off:R&amp;D Testing Batches Expenses</t>
  </si>
  <si>
    <t>One-Off:China Storage</t>
  </si>
  <si>
    <t>One-off: Cert License Fee for China COP</t>
  </si>
  <si>
    <t>One-Off: Consultancy Fee</t>
  </si>
  <si>
    <t>Repair &amp; Maintenance</t>
  </si>
  <si>
    <t>Total Budget</t>
  </si>
  <si>
    <t xml:space="preserve">Automation- (BMS &amp; EMS) - VO (cover more area)  </t>
  </si>
  <si>
    <t>Automation-PIDS</t>
  </si>
  <si>
    <t>Core Expenses</t>
  </si>
  <si>
    <t>19/20</t>
  </si>
  <si>
    <t>20/21</t>
  </si>
  <si>
    <t>21/22</t>
  </si>
  <si>
    <t>22/23</t>
  </si>
  <si>
    <t>23/24</t>
  </si>
  <si>
    <t>24/25</t>
  </si>
  <si>
    <t>25/26</t>
  </si>
  <si>
    <t>26/27</t>
  </si>
  <si>
    <t>27/28</t>
  </si>
  <si>
    <t>28/29</t>
  </si>
  <si>
    <t>29/30</t>
  </si>
  <si>
    <t>P&amp;L Grouping</t>
  </si>
  <si>
    <t>12 Years Grouping</t>
  </si>
  <si>
    <t>Account Code</t>
  </si>
  <si>
    <t>Account Name</t>
  </si>
  <si>
    <t>Projection Assumption</t>
  </si>
  <si>
    <t>Provided by HR</t>
  </si>
  <si>
    <t>Inflation</t>
  </si>
  <si>
    <t>Actual Assumption</t>
  </si>
  <si>
    <t>Actual Rental</t>
  </si>
  <si>
    <t>One-Off:R&amp;D</t>
  </si>
  <si>
    <t>One-Off</t>
  </si>
  <si>
    <t>ADV</t>
  </si>
  <si>
    <t>N/A</t>
  </si>
  <si>
    <t>One-off R&amp;D Share</t>
  </si>
  <si>
    <t>12 Years  Summary</t>
  </si>
  <si>
    <t>Directors' cost</t>
    <phoneticPr fontId="0" type="noConversion"/>
  </si>
  <si>
    <t>Rent, rate &amp; management fee</t>
    <phoneticPr fontId="0" type="noConversion"/>
  </si>
  <si>
    <t>Professional and consultancy fee</t>
    <phoneticPr fontId="0" type="noConversion"/>
  </si>
  <si>
    <t>Depreciation</t>
    <phoneticPr fontId="0" type="noConversion"/>
  </si>
  <si>
    <t>Breakdown:</t>
  </si>
  <si>
    <t>Rent &amp; Rates</t>
  </si>
  <si>
    <t>12/F East Town</t>
  </si>
  <si>
    <t>4/F East Town</t>
  </si>
  <si>
    <t>CW Warehouse</t>
  </si>
  <si>
    <t>Tai Wai Warehouse</t>
  </si>
  <si>
    <t>Asia One (CN One Off)</t>
  </si>
  <si>
    <t>Kerry (CN One Off)</t>
  </si>
  <si>
    <t>GZ Pharm (CN One Off)</t>
  </si>
  <si>
    <t>Elect</t>
  </si>
  <si>
    <t>12/F</t>
  </si>
  <si>
    <t>4/F</t>
  </si>
  <si>
    <t>10/F</t>
  </si>
  <si>
    <t>9/F</t>
  </si>
  <si>
    <t>Asia One</t>
  </si>
  <si>
    <t>Yuen Long?</t>
  </si>
  <si>
    <t>PACKING SUPPLIES</t>
  </si>
  <si>
    <t>CONSUMABLE EXPENSES</t>
  </si>
  <si>
    <t>CLEANING EXPENSES</t>
  </si>
  <si>
    <t>Add: Utilities and R&amp;M saving opportunities</t>
  </si>
  <si>
    <t>Net Inrease / Decrease in Inventory</t>
  </si>
  <si>
    <t>Less: Depr</t>
  </si>
  <si>
    <t>COGS Outflow</t>
  </si>
  <si>
    <t>Mfg Cost Outflow Excl Depr</t>
  </si>
  <si>
    <t>Diff:</t>
  </si>
  <si>
    <t>Share to R&amp;D</t>
  </si>
  <si>
    <t>n</t>
  </si>
  <si>
    <t>CW Warehouse Mfg OH Saving</t>
  </si>
  <si>
    <t>HK marketing cost (OTC)</t>
  </si>
  <si>
    <t>CW Direct Labour</t>
  </si>
  <si>
    <t>CW Production Tablet</t>
  </si>
  <si>
    <t>YL Production Tablet</t>
  </si>
  <si>
    <t>YL Direct Labour</t>
  </si>
  <si>
    <t>CW Net Manpower Costs (Payroll + MPF + DP + Bonus)</t>
  </si>
  <si>
    <t>YL Net Manpower Costs (Payroll + MPF + DP + Bonus)</t>
  </si>
  <si>
    <t>P&amp;L Budget 2020/21</t>
  </si>
  <si>
    <t>2020/21 Budget 
vs
2019/20 Actual</t>
  </si>
  <si>
    <t>Gross margin (%)</t>
  </si>
  <si>
    <t>Ref: HK Sales Tablet presented 20190919</t>
  </si>
  <si>
    <t>Ref: HK Sales (HK) presented 20190919</t>
  </si>
  <si>
    <t>Satellite Office</t>
  </si>
  <si>
    <t>One-Off: Prior-year provision of Bonus &amp; Double Pay</t>
  </si>
  <si>
    <t>Interest</t>
  </si>
  <si>
    <r>
      <t xml:space="preserve">Scenario 3 - Mild Stock Up (2020/21-Aug23 86 HC, Sep-Dec23 50HC) -&gt; </t>
    </r>
    <r>
      <rPr>
        <b/>
        <sz val="11"/>
        <color rgb="FF00B050"/>
        <rFont val="Calibri"/>
        <family val="2"/>
        <scheme val="minor"/>
      </rPr>
      <t>Revise Sales FCST</t>
    </r>
  </si>
  <si>
    <t>Sales Forecast:</t>
  </si>
  <si>
    <t>Core</t>
  </si>
  <si>
    <t>Star</t>
  </si>
  <si>
    <t>HK</t>
  </si>
  <si>
    <t>Core - Stock up</t>
  </si>
  <si>
    <t>Star - Stock up</t>
  </si>
  <si>
    <t>China - Stock up</t>
  </si>
  <si>
    <t>Summarized Production Quantity:</t>
  </si>
  <si>
    <t>HK Total</t>
  </si>
  <si>
    <t>Add: net decrease / (increase) in inventories</t>
  </si>
  <si>
    <t>Less: Cash Manufacturing Costs</t>
  </si>
  <si>
    <t>FM</t>
  </si>
  <si>
    <t>SECURITY EXPENSES</t>
  </si>
  <si>
    <t>Tai Wai</t>
  </si>
  <si>
    <t>Sales Tablet Growth</t>
  </si>
  <si>
    <t>Cost of Sales</t>
  </si>
  <si>
    <t>Donation &amp; Other Income</t>
  </si>
  <si>
    <t>Sensitivity Analysis</t>
  </si>
  <si>
    <t>21/22 split COGM &amp; Non-Core exp</t>
  </si>
  <si>
    <t>Trf back to COGM 20200721</t>
  </si>
  <si>
    <t>Budget Scope No.</t>
  </si>
  <si>
    <t>Balance</t>
  </si>
  <si>
    <t>Contingency</t>
  </si>
  <si>
    <t>MC - Others</t>
  </si>
  <si>
    <t>CR - other contractors</t>
  </si>
  <si>
    <t>Automation- (BMS &amp; EMS)</t>
  </si>
  <si>
    <t>R&amp;D Equipment (Q4 2016 required list)</t>
  </si>
  <si>
    <t>Land cost</t>
  </si>
  <si>
    <t>Cash flow on loan drawdown (modified terms)</t>
  </si>
  <si>
    <t>Loan repayment (modified terms)</t>
  </si>
  <si>
    <t>Interest payments (modified terms)</t>
  </si>
  <si>
    <t>Loan modify</t>
  </si>
  <si>
    <t>2 years</t>
  </si>
  <si>
    <t>Extension for</t>
  </si>
  <si>
    <t>3 years</t>
  </si>
  <si>
    <t>Years extension</t>
  </si>
  <si>
    <t>Summary of proposed loan terms modification</t>
  </si>
  <si>
    <t>As of</t>
  </si>
  <si>
    <t>Loan Draw Down</t>
  </si>
  <si>
    <t>Loan Repayment</t>
  </si>
  <si>
    <t>Existing loan terms</t>
  </si>
  <si>
    <t>Proposed 3 years repayment extension</t>
  </si>
  <si>
    <t>Settlement with only 2 years repayment extension</t>
  </si>
  <si>
    <t>China Stock / month of sales</t>
  </si>
  <si>
    <t>upto 24/25</t>
  </si>
  <si>
    <t>21/22-29/30</t>
  </si>
  <si>
    <t>Saved 20200818</t>
  </si>
  <si>
    <t>Total Interest Payment</t>
  </si>
  <si>
    <r>
      <t xml:space="preserve">Additional Interest Payment </t>
    </r>
    <r>
      <rPr>
        <sz val="8"/>
        <color theme="1"/>
        <rFont val="Calibri"/>
        <family val="2"/>
        <scheme val="minor"/>
      </rPr>
      <t>(Before negotiate new rate)</t>
    </r>
  </si>
  <si>
    <t>12 years business trend summary</t>
  </si>
  <si>
    <t>Gross Profit Margin</t>
  </si>
  <si>
    <t>Less: Marketing Costs</t>
  </si>
  <si>
    <t>Gross Profit Margin After Marketing Costs</t>
  </si>
  <si>
    <t>Personnel Cost</t>
  </si>
  <si>
    <t>Rent, Rate &amp; Management Fee</t>
  </si>
  <si>
    <t>Other Costs, less Other Income</t>
  </si>
  <si>
    <t>Loan Interest</t>
  </si>
  <si>
    <t>Operating Profits before Project Costs</t>
  </si>
  <si>
    <t>Total Operating Costs</t>
  </si>
  <si>
    <t>Operating Costs other than Project Costs</t>
  </si>
  <si>
    <t>Staff Cost</t>
  </si>
  <si>
    <t>Retention Bonus</t>
  </si>
  <si>
    <t>CRO Costs</t>
  </si>
  <si>
    <t>Total Project / Non Operating Costs</t>
  </si>
  <si>
    <t>Project / Non-Operating Costs</t>
  </si>
  <si>
    <t>Profit Before Tax for the year</t>
  </si>
  <si>
    <t>Profit After Tax for the year</t>
  </si>
  <si>
    <t>12 years cashflow summary</t>
  </si>
  <si>
    <t>Cashflow from Operating Activities</t>
  </si>
  <si>
    <t>Profit before taxation from core operation</t>
  </si>
  <si>
    <t>Add: Depreciation (Non-Manufacturing)</t>
  </si>
  <si>
    <t>Net Inflow from Core Operating Activities</t>
  </si>
  <si>
    <t>Less: Profit Tax Payment</t>
  </si>
  <si>
    <t>Less: Retention Bonus</t>
  </si>
  <si>
    <t>Net Cashflow from Operating Activities</t>
  </si>
  <si>
    <t>Cashflow from Investing Activities</t>
  </si>
  <si>
    <t>New capex</t>
  </si>
  <si>
    <t>Net Cashflw from Investing Activities</t>
  </si>
  <si>
    <t>Net Cashflow before Financing Activities</t>
  </si>
  <si>
    <t>Cumulative cashflow before financing activities</t>
  </si>
  <si>
    <t>Cashflow from Financing Activities</t>
  </si>
  <si>
    <t>Net Cashflw from Financing Activities</t>
  </si>
  <si>
    <t>Net Cashflow for the company</t>
  </si>
  <si>
    <t>Cash Balance at the beginning of the year</t>
  </si>
  <si>
    <t>Cash Balance at the end of the year</t>
  </si>
  <si>
    <t>Checking</t>
  </si>
  <si>
    <t>Net Outflow from Non-Core  Activities / Projects</t>
  </si>
  <si>
    <t>Modify Loan?</t>
  </si>
  <si>
    <t>Extend 2 Yrs</t>
  </si>
  <si>
    <t>Extend 3 Yrs</t>
  </si>
  <si>
    <t>%</t>
  </si>
  <si>
    <t>2019/20
Actual</t>
  </si>
  <si>
    <t>HONG KONG - OTC</t>
  </si>
  <si>
    <t>CHINA - OTC</t>
  </si>
  <si>
    <t>OVERSEAS - OTC</t>
  </si>
  <si>
    <t>HK OEM</t>
  </si>
  <si>
    <r>
      <t>Variance
(</t>
    </r>
    <r>
      <rPr>
        <b/>
        <sz val="11"/>
        <color rgb="FF0D13FF"/>
        <rFont val="Arial"/>
        <family val="2"/>
      </rPr>
      <t>Fav</t>
    </r>
    <r>
      <rPr>
        <b/>
        <sz val="11"/>
        <color theme="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Unfav</t>
    </r>
    <r>
      <rPr>
        <b/>
        <sz val="11"/>
        <color theme="1"/>
        <rFont val="Arial"/>
        <family val="2"/>
      </rPr>
      <t>)</t>
    </r>
  </si>
  <si>
    <r>
      <rPr>
        <sz val="11"/>
        <color theme="1"/>
        <rFont val="Arial"/>
        <family val="2"/>
      </rPr>
      <t>Less:</t>
    </r>
    <r>
      <rPr>
        <b/>
        <sz val="11"/>
        <color theme="1"/>
        <rFont val="Arial"/>
        <family val="2"/>
      </rPr>
      <t xml:space="preserve"> Cost of Sales</t>
    </r>
  </si>
  <si>
    <r>
      <rPr>
        <sz val="11"/>
        <color theme="1"/>
        <rFont val="Arial"/>
        <family val="2"/>
      </rPr>
      <t>Less:</t>
    </r>
    <r>
      <rPr>
        <b/>
        <sz val="11"/>
        <color theme="1"/>
        <rFont val="Arial"/>
        <family val="2"/>
      </rPr>
      <t xml:space="preserve"> Project / Non-Operating Costs</t>
    </r>
  </si>
  <si>
    <t>Profits/ (Loss) before Tax</t>
  </si>
  <si>
    <r>
      <rPr>
        <sz val="11"/>
        <color theme="1"/>
        <rFont val="Arial"/>
        <family val="2"/>
      </rPr>
      <t xml:space="preserve">Less: </t>
    </r>
    <r>
      <rPr>
        <b/>
        <sz val="11"/>
        <color theme="1"/>
        <rFont val="Arial"/>
        <family val="2"/>
      </rPr>
      <t>Operating Costs</t>
    </r>
  </si>
  <si>
    <t>2020/21 results forecast vs 2019/20 actual</t>
  </si>
  <si>
    <t>ST8 Project</t>
  </si>
  <si>
    <t>PD</t>
  </si>
  <si>
    <t>QC</t>
  </si>
  <si>
    <t>WH</t>
  </si>
  <si>
    <t>Office FF</t>
  </si>
  <si>
    <t>ERP</t>
  </si>
  <si>
    <t>GMP Lab &amp; equipment</t>
  </si>
  <si>
    <t>R&amp;D Lab &amp; Equipment</t>
  </si>
  <si>
    <t>CAPEX FILE</t>
  </si>
  <si>
    <t>Worst case operating cashflow adjustment</t>
  </si>
  <si>
    <t>EBITDA - Before Project Costs</t>
  </si>
  <si>
    <t>EBITDA - After Project Costs</t>
  </si>
  <si>
    <r>
      <rPr>
        <sz val="11"/>
        <color theme="1"/>
        <rFont val="Arial"/>
        <family val="2"/>
      </rPr>
      <t>Add:</t>
    </r>
    <r>
      <rPr>
        <b/>
        <sz val="11"/>
        <color theme="1"/>
        <rFont val="Arial"/>
        <family val="2"/>
      </rPr>
      <t xml:space="preserve"> Government Subsidy</t>
    </r>
  </si>
  <si>
    <r>
      <t>Variance vs Last Year
(</t>
    </r>
    <r>
      <rPr>
        <b/>
        <sz val="11"/>
        <color rgb="FF0D13FF"/>
        <rFont val="Arial"/>
        <family val="2"/>
      </rPr>
      <t>Fav</t>
    </r>
    <r>
      <rPr>
        <b/>
        <sz val="11"/>
        <color theme="1"/>
        <rFont val="Arial"/>
        <family val="2"/>
      </rPr>
      <t xml:space="preserve"> / </t>
    </r>
    <r>
      <rPr>
        <b/>
        <sz val="11"/>
        <color rgb="FFFF0000"/>
        <rFont val="Arial"/>
        <family val="2"/>
      </rPr>
      <t>Unfav</t>
    </r>
    <r>
      <rPr>
        <b/>
        <sz val="11"/>
        <color theme="1"/>
        <rFont val="Arial"/>
        <family val="2"/>
      </rPr>
      <t>)</t>
    </r>
  </si>
  <si>
    <r>
      <t xml:space="preserve">2020/21
Forecast </t>
    </r>
    <r>
      <rPr>
        <b/>
        <sz val="11"/>
        <color rgb="FF00B0F0"/>
        <rFont val="Arial"/>
        <family val="2"/>
      </rPr>
      <t>(Base)</t>
    </r>
  </si>
  <si>
    <t>Sales Tablet ('000 Tablets)</t>
  </si>
  <si>
    <t>Base Case</t>
  </si>
  <si>
    <t>Sales Tablet ( tablets '000)</t>
  </si>
  <si>
    <t xml:space="preserve">       </t>
  </si>
  <si>
    <t>Add: Donation, FX and other income</t>
  </si>
  <si>
    <t>Discount on core operating cashflow</t>
  </si>
  <si>
    <t>Adjustment on Core Operating Cashflow</t>
  </si>
  <si>
    <r>
      <t xml:space="preserve">Net cash inflow from core operation </t>
    </r>
    <r>
      <rPr>
        <sz val="11"/>
        <color theme="5" tint="-0.249977111117893"/>
        <rFont val="Calibri"/>
        <family val="2"/>
        <scheme val="minor"/>
      </rPr>
      <t>(Worst)</t>
    </r>
  </si>
  <si>
    <r>
      <t xml:space="preserve">Net cash inflow from core operation </t>
    </r>
    <r>
      <rPr>
        <sz val="11"/>
        <color rgb="FF00B0F0"/>
        <rFont val="Calibri"/>
        <family val="2"/>
        <scheme val="minor"/>
      </rPr>
      <t>(Base)</t>
    </r>
  </si>
  <si>
    <r>
      <t xml:space="preserve">2020/21
Forecast </t>
    </r>
    <r>
      <rPr>
        <b/>
        <sz val="11"/>
        <color theme="5" tint="0.39997558519241921"/>
        <rFont val="Arial"/>
        <family val="2"/>
      </rPr>
      <t>(Worst)</t>
    </r>
  </si>
  <si>
    <t>Sales (HKD'000)</t>
  </si>
  <si>
    <t>Less: Cash Payment for Goods Manufacturing</t>
  </si>
  <si>
    <t>GP Margin after Marketing Costs</t>
  </si>
  <si>
    <t>EBIDA - Core Operations</t>
  </si>
  <si>
    <t>DEPRECIATION - COGM PORTION</t>
  </si>
  <si>
    <t>DEPRECIATION - OPEX PORTION</t>
  </si>
  <si>
    <t>ADD:</t>
  </si>
  <si>
    <t>67002000 - ADV -  PROMOTION GOODS - OS</t>
  </si>
  <si>
    <t>67001000 - ADV-OVERSEAS</t>
  </si>
  <si>
    <t>66003000 - ADV - OTHERS - CN</t>
  </si>
  <si>
    <t>66002000 - ADV - PROMOTION GOODS - CN</t>
  </si>
  <si>
    <t>66001000 - ADV-CHINA MARKETING</t>
  </si>
  <si>
    <t>ADV – E COMM (BOARDER) – PRODUCTION</t>
  </si>
  <si>
    <t>65312000 - ADV – E COMM (BOARDER) – PRODUCTION</t>
  </si>
  <si>
    <t>ADV – E COMM (BOARDER) – MEDIA</t>
  </si>
  <si>
    <t>65311000 - ADV – E COMM (BOARDER) – MEDIA</t>
  </si>
  <si>
    <t>ADV – E COMM (LOCAL) – PRODUCTION</t>
  </si>
  <si>
    <t>65302000 - ADV – E COMM (LOCAL) – PRODUCTION</t>
  </si>
  <si>
    <t>ADV – E COMM (LOCAL) – MEDIA</t>
  </si>
  <si>
    <t>65301000 - ADV – E COMM (LOCAL) – MEDIA</t>
  </si>
  <si>
    <t>65217000 - ADV - KA - CIRCLE K</t>
  </si>
  <si>
    <t>65216000 - ADV - KA - 7-11</t>
  </si>
  <si>
    <t>65215000 - ADV - KA - CR CARE</t>
  </si>
  <si>
    <t>65214000 - ADV - KA - WATSON'S</t>
  </si>
  <si>
    <t>65213000 - ADV - KA - PARK'N</t>
  </si>
  <si>
    <t>65212000 - ADV - KA - MANNINGS</t>
  </si>
  <si>
    <t>65211000 - ADV - KA - WELLCOME</t>
  </si>
  <si>
    <t>65202000 - ADV - KA - PREMIUM</t>
  </si>
  <si>
    <t>65201000 - ADV - KA - PROMOTION MATERIAL</t>
  </si>
  <si>
    <t>65104000 - ADV - GT - COUNTER PROMOTION</t>
  </si>
  <si>
    <t>65103000 - ADV - GT - DISPLAY FEE</t>
  </si>
  <si>
    <t>65102000 - ADV - GT - PREMIUM</t>
  </si>
  <si>
    <t>65101000 - ADV - GT - PROMOTION MATERIAL</t>
  </si>
  <si>
    <t>65002000 - ADV - KA &amp; GT - PROMOTION MATERIAL</t>
  </si>
  <si>
    <t>65001000 - ADV - KA &amp; GT - PROMOTION GOODS - HK</t>
  </si>
  <si>
    <t>63901000 - ADV-EVENT</t>
  </si>
  <si>
    <t>63801000 - ADV-MARKETING INFORMATION</t>
  </si>
  <si>
    <t>63701000 - ADV-MEDIA AGENCY</t>
  </si>
  <si>
    <t>63690000 - ADV - OUTDOOR TV PRODUCTION</t>
  </si>
  <si>
    <t>63601000 - ADV - OUTDOOR TV</t>
  </si>
  <si>
    <t>63590000 - ADV - ONLINE MEDIA PRODUCTION</t>
  </si>
  <si>
    <t>63501000 - ADV - ONLINE MEDIA</t>
  </si>
  <si>
    <t>63490000 - ADV - POSTER PRODUCTION</t>
  </si>
  <si>
    <t>63401000 - ADV - POSTER</t>
  </si>
  <si>
    <t>63390000 - ADV - PRINT PRODUCTION</t>
  </si>
  <si>
    <t>63301000 - ADV - PRINT</t>
  </si>
  <si>
    <t>63290000 - ADV - OUTDOOR AD PRODUCTION</t>
  </si>
  <si>
    <t>63201000 - ADV - OUTDOOR AD</t>
  </si>
  <si>
    <t>63190000 - ADV - TV PRODUCTION</t>
  </si>
  <si>
    <t>63103000 - ADV - TV</t>
  </si>
  <si>
    <t>63102000 - ADV - TV (TVB)</t>
  </si>
  <si>
    <t>63101000 - ADV - TV (VIU TV)</t>
  </si>
  <si>
    <t>61410000 - NET GAIN/LOSS ON DISPOSAL - COST OF REMOVAL</t>
  </si>
  <si>
    <t>61400000 - NET GAIN/LOSS ON DISPOSAL - PROCEED OF SALE</t>
  </si>
  <si>
    <t>61080000 - FA - CONSUMABLE EXP</t>
  </si>
  <si>
    <t>61070000 - FA - OFFICE SUPPLIES</t>
  </si>
  <si>
    <t>61034000 - IMPAIRMENT - INTANGIBLE ASSET</t>
  </si>
  <si>
    <t>61033500 - IMPAIRMENT - MOTOR VEHICLE</t>
  </si>
  <si>
    <t>61033400 - IMPAIRMENT - EDP</t>
  </si>
  <si>
    <t>61033300 - IMPAIRMENT - FURNITURE, FIXTURE &amp; OFFICE EQUIPMENT</t>
  </si>
  <si>
    <t>61033200 - IMPAIRMENT - PLANT &amp; MACHINERY</t>
  </si>
  <si>
    <t>61033100 - IMPAIRMENT - LAND &amp; BUILDING</t>
  </si>
  <si>
    <t>61032000 - IMPAIRMENT - INVESTMENT PROPERTIES</t>
  </si>
  <si>
    <t>61024000 - AMORTIZATION - INTANGIBLE ASSET</t>
  </si>
  <si>
    <t>61013500 - DEPR - MOTOR VEHICLE</t>
  </si>
  <si>
    <t>61013400 - DEPR - EDP</t>
  </si>
  <si>
    <t>61013300 - DEPR - FURNITURE, FIXTURE &amp; OFFICE EQUIPMENT</t>
  </si>
  <si>
    <t>61013200 - DEPR - PLANT &amp; MACHINERY</t>
  </si>
  <si>
    <t>61013100 - DEPR - LAND &amp; BUILDING</t>
  </si>
  <si>
    <t>61012000 - DEPR - INVESTMENT PROPERTIES</t>
  </si>
  <si>
    <t>60601000 - BANK INTEREST</t>
  </si>
  <si>
    <t>60506000 - MANAGEMENT FEE</t>
  </si>
  <si>
    <t>60505000 - CONSULTANT FEE</t>
  </si>
  <si>
    <t>60504000 - LEGAL FEE</t>
  </si>
  <si>
    <t>60503000 - PROFESSIONAL &amp; SECRETARIAL CHARGES</t>
  </si>
  <si>
    <t>60502000 - AUDIT FEE</t>
  </si>
  <si>
    <t>60501000 - CERT./ LICENCE / REGISTRATION FEE</t>
  </si>
  <si>
    <t>60409000 - OTHER MARKETING EXPENSES</t>
  </si>
  <si>
    <t>60408000 - MERCHANDISING FEE</t>
  </si>
  <si>
    <t>60407000 - SAMPLE EXPENSES - OPR</t>
  </si>
  <si>
    <t>60406000 - LABORATORY EXPENSES - OPR</t>
  </si>
  <si>
    <t>60405000 - RAW MATERIAL CONSUMPTION</t>
  </si>
  <si>
    <t>60404500 - CHEMICAL LABORATORY EXPENSE &amp; WASTAGE</t>
  </si>
  <si>
    <t>PRODUCT DEVELOPMENT SHARED EXPENSES</t>
  </si>
  <si>
    <t>60404200 - R&amp;D SHARED MFG EXPENSE</t>
  </si>
  <si>
    <t>60404000 - R&amp;D LABORATORY EXPENSES</t>
  </si>
  <si>
    <t>60403000 - DESIGN FEE</t>
  </si>
  <si>
    <t>60402000 - TRADE MARK EXPENSES</t>
  </si>
  <si>
    <t>60401000 - ROYALTY FEE</t>
  </si>
  <si>
    <t>60399999 - DISCOUNT TAKEN FROM PURCHASE</t>
  </si>
  <si>
    <t>60320000 - CLEANING EXPENSES</t>
  </si>
  <si>
    <t>60319000 - CONSUMABLE EXPENSES</t>
  </si>
  <si>
    <t>60318000 - PACKING SUPPLIES</t>
  </si>
  <si>
    <t>60317000 - INSURANCE</t>
  </si>
  <si>
    <t>60316000 - IT CLOUD SERVICE</t>
  </si>
  <si>
    <t>60315000 - IT SUPPLIES</t>
  </si>
  <si>
    <t>60314000 - DONATION</t>
  </si>
  <si>
    <t>60313000 - BAD DEBTS</t>
  </si>
  <si>
    <t>60312000 - BANK CHARGES</t>
  </si>
  <si>
    <t>60311000 - SUBSCRIPTION FEE</t>
  </si>
  <si>
    <t>60310000 - INTERNET, FAX &amp; POSTAGE</t>
  </si>
  <si>
    <t>60309000 - TELEPHONE CHARGES</t>
  </si>
  <si>
    <t>60308000 - OPR - REPAIR &amp; MAINTENANCE</t>
  </si>
  <si>
    <t>60307000 - OPR - SUNDRY EXPENSES</t>
  </si>
  <si>
    <t>60306000 - REFERENCE BOOK / ONLINE DATA</t>
  </si>
  <si>
    <t>60305000 - PRINTING &amp; STATIONERY</t>
  </si>
  <si>
    <t>60304000 - ENTERTAINMENT</t>
  </si>
  <si>
    <t>60303000 - MOTOR VEHICLE EXP</t>
  </si>
  <si>
    <t>60302100 - OPR - LOGISTICS SUPPORT</t>
  </si>
  <si>
    <t>60302000 - OPR - TRANSPORTATION</t>
  </si>
  <si>
    <t>60301000 - COMMISSION PAID</t>
  </si>
  <si>
    <t>SITE SECURITY</t>
  </si>
  <si>
    <t>60221000 - SITE SECURITY</t>
  </si>
  <si>
    <t>SECURITY</t>
  </si>
  <si>
    <t>60215000 - WATER</t>
  </si>
  <si>
    <t>60211000 - ELECTRICITY</t>
  </si>
  <si>
    <t>60206000 - RELOCATION</t>
  </si>
  <si>
    <t>60205000 - RENT &amp; RATES</t>
  </si>
  <si>
    <t>60201000 - BLDG MANAGEMENT FEE</t>
  </si>
  <si>
    <t>60117000 - DIRECTOR FEE</t>
  </si>
  <si>
    <t>60116000 - DIRECTOR QUARTER EXPENSES</t>
  </si>
  <si>
    <t>60115000 - STAFF - ORGANIZATION DEVELOPMENT FEE</t>
  </si>
  <si>
    <t>60114000 - STAFF - TRAINING FEE</t>
  </si>
  <si>
    <t>60113100 - STAFF - OTHER INSURANCE</t>
  </si>
  <si>
    <t>60113000 - STAFF - MEDICAL INSURANCE</t>
  </si>
  <si>
    <t>60112000 - STAFF - STAFF USAGE (FG)</t>
  </si>
  <si>
    <t>60111000 - STAFF - OVERSEAS TRANING FEE</t>
  </si>
  <si>
    <t>60110000 - STAFF - OVERSEAS TRAVELLING EXPENSES</t>
  </si>
  <si>
    <t>60109000 - STAFF - LOCAL TRAVELLING EXPENSES</t>
  </si>
  <si>
    <t>60108000 - STAFF - WELFARE</t>
  </si>
  <si>
    <t>60107000 - STAFF - MESSING</t>
  </si>
  <si>
    <t>60106000 - STAFF - RECRUITMENT COSTS</t>
  </si>
  <si>
    <t>60105000 - STAFF - QUARTER EXPENSES</t>
  </si>
  <si>
    <t>60104200 - STAFF - YEAR END BONUS</t>
  </si>
  <si>
    <t>60104100 - STAFF - PROVISION FOR RETENTION BONUS</t>
  </si>
  <si>
    <t>60104000 - STAFF - INCENTIVE BONUS</t>
  </si>
  <si>
    <t>60103000 - STAFF - LONG SERVICE PAYMENT</t>
  </si>
  <si>
    <t>60102000 - STAFF - MANDATORY PROFIDENT FUND</t>
  </si>
  <si>
    <t>60101300 - SALARIES – STAFF RECRUITMENT BONUS</t>
  </si>
  <si>
    <t>60101200 - SALARIES - TRANSITION PERIOD</t>
  </si>
  <si>
    <t>60101100 - SALARIES - PROJECT RELATED</t>
  </si>
  <si>
    <t>60101000 - SALARIES - GENERAL</t>
  </si>
  <si>
    <t>Net Gross Profit after Stock Write-Off and Adjustments</t>
  </si>
  <si>
    <t>TOTAL STOCK WRITE OFF &amp; ADJUSTMENTS</t>
  </si>
  <si>
    <t>Finished Goods</t>
  </si>
  <si>
    <t>Final Packaging</t>
  </si>
  <si>
    <t>Primary Packaging</t>
  </si>
  <si>
    <t>Raw Material</t>
  </si>
  <si>
    <t>Stock Write-off and Adjustments</t>
  </si>
  <si>
    <t>XEPA GP%</t>
  </si>
  <si>
    <t>OEM GP%</t>
  </si>
  <si>
    <t>OVERSEA GP%</t>
  </si>
  <si>
    <t>CHINA GP%</t>
  </si>
  <si>
    <t>HK GP%</t>
  </si>
  <si>
    <t>XEPA GP</t>
  </si>
  <si>
    <t>OEM GP</t>
  </si>
  <si>
    <t>OVERSEA GP</t>
  </si>
  <si>
    <t>CHINA GP</t>
  </si>
  <si>
    <t>HK GP</t>
  </si>
  <si>
    <t>XEPA SALES</t>
  </si>
  <si>
    <t>OVERSEA SALES</t>
  </si>
  <si>
    <t>CHINA SALES</t>
  </si>
  <si>
    <t>HK SALES</t>
  </si>
  <si>
    <t>2018/19
 Actual</t>
  </si>
  <si>
    <t>2020/21 vs 2019/20
$ Variance</t>
  </si>
  <si>
    <t>2019/20
FY Actual</t>
  </si>
  <si>
    <t>2020/21
 Budget</t>
  </si>
  <si>
    <t>2021/22 Budget 
vs
2020/21 Actual</t>
  </si>
  <si>
    <t>2021/22
Budget</t>
  </si>
  <si>
    <t>BGT</t>
  </si>
  <si>
    <t>ACT</t>
  </si>
  <si>
    <t>Last year</t>
  </si>
  <si>
    <t>Current Year</t>
  </si>
  <si>
    <t>Relocation of IT services from CW to YL</t>
  </si>
  <si>
    <t>Relocation</t>
  </si>
  <si>
    <t>IT Relocation</t>
  </si>
  <si>
    <t>A&amp;P - OVERSEA</t>
  </si>
  <si>
    <t>A&amp;P - CHINA</t>
  </si>
  <si>
    <t>A&amp;P - HK OTC/OEM</t>
  </si>
  <si>
    <t>Lab expenses &amp; Share costs</t>
  </si>
  <si>
    <t>Security</t>
  </si>
  <si>
    <t>Staff costs</t>
  </si>
  <si>
    <t>Other income</t>
  </si>
  <si>
    <t>SUSTAINABILITY PROJECT</t>
  </si>
  <si>
    <t>Non Core</t>
  </si>
  <si>
    <t>Building Mgt</t>
  </si>
  <si>
    <t xml:space="preserve"> Yuen Long New Factory Development Project   </t>
  </si>
  <si>
    <t xml:space="preserve">Committed Cost </t>
  </si>
  <si>
    <t>Budget Spent</t>
  </si>
  <si>
    <t>( % )</t>
  </si>
  <si>
    <t>Available Budget</t>
  </si>
  <si>
    <t>R11</t>
  </si>
  <si>
    <t>upto ML Day 1</t>
  </si>
  <si>
    <t>(I) Professional Fee</t>
  </si>
  <si>
    <t>Professional Fees</t>
  </si>
  <si>
    <t>WSP (Project Manager)</t>
  </si>
  <si>
    <t>WCWP (Architect)</t>
  </si>
  <si>
    <t>Meinhardt (Structural Engineer)</t>
  </si>
  <si>
    <t>ARUP (MEP)</t>
  </si>
  <si>
    <t>RLB (QS)</t>
  </si>
  <si>
    <t>RLB (QS - Cleanroom Contract)</t>
  </si>
  <si>
    <t>Jacobs (Cleanroom Construction Management)</t>
  </si>
  <si>
    <t>Professional Fee Sub-Total</t>
  </si>
  <si>
    <t xml:space="preserve">(II) Building </t>
  </si>
  <si>
    <t xml:space="preserve">Main Contract - ISP </t>
  </si>
  <si>
    <t>Cleanroom Contract - K-Thorn</t>
  </si>
  <si>
    <t>CR - Others</t>
  </si>
  <si>
    <t>New YL Office</t>
  </si>
  <si>
    <t>AL Design - Office</t>
  </si>
  <si>
    <t>Building - Others</t>
  </si>
  <si>
    <t>Building Sub-Total</t>
  </si>
  <si>
    <t>(III) Process - Machinery, Plant &amp; Equipment</t>
  </si>
  <si>
    <t>Dispensing to Final Blending</t>
  </si>
  <si>
    <t>Packaging Line</t>
  </si>
  <si>
    <t>Process - Machinery, Plant &amp; Equipment Sub-Total</t>
  </si>
  <si>
    <t>(IV) Utilities &amp; Lab - Machinery, Plant &amp; Equipment</t>
  </si>
  <si>
    <t>Utililies</t>
  </si>
  <si>
    <t>QC lab equipment &amp; furniture</t>
  </si>
  <si>
    <t>Process Scale Up Lab equipment &amp; furniture</t>
  </si>
  <si>
    <t>Utilites &amp; Lab Sub-Total</t>
  </si>
  <si>
    <t xml:space="preserve">(V) Warehouse &amp; Automation </t>
  </si>
  <si>
    <t>Warehouse-Automatic warehouse &amp; equipment</t>
  </si>
  <si>
    <t>Automation-MES &amp; WMS</t>
  </si>
  <si>
    <t>Automation-MES-Werum</t>
  </si>
  <si>
    <t>Warehouse &amp; Automation Sub-Total</t>
  </si>
  <si>
    <t>(VI) Miscellaneous</t>
  </si>
  <si>
    <t>Miscellaneous Sub-Total</t>
  </si>
  <si>
    <t>(VII) Land</t>
  </si>
  <si>
    <t xml:space="preserve">Land Cost &amp; other cost </t>
  </si>
  <si>
    <t>Land Cost &amp; other cost Sub-Total</t>
  </si>
  <si>
    <t>TOTAL (I) to (VII):</t>
  </si>
  <si>
    <t>(VIII) 18M additional GMP budget</t>
  </si>
  <si>
    <t>(IX) Logistic Hub</t>
  </si>
  <si>
    <t>Total project completion cost</t>
  </si>
  <si>
    <t>Last version: HK Tab</t>
  </si>
  <si>
    <t>Last version: China Tab</t>
  </si>
  <si>
    <t>48101000 - INTEREST RECEIVED</t>
  </si>
  <si>
    <t>48102000 - RENTAL INCOME</t>
  </si>
  <si>
    <t>48103000 - SUNDRY INCOME</t>
  </si>
  <si>
    <t>48103500 - SUSTAINABILITY PROJECT</t>
  </si>
  <si>
    <t>48104000 - REC MANAGEMENT FEE</t>
  </si>
  <si>
    <t>48104100 - INTER CO MANAGEMENT FEE</t>
  </si>
  <si>
    <t>48105000 - REALIZED GAIN ON AVAILABLE-FOR-SALE INVESTMENTS</t>
  </si>
  <si>
    <t>48106000 - EXCHG DIFFERENCE - UNREALIZED GAIN/LOSS</t>
  </si>
  <si>
    <t>48107000 - EXCHG DIFFERENCE - REALIZED GAIN/LOSS</t>
  </si>
  <si>
    <t>48111000 - DIVIDEND RECEIVED</t>
  </si>
  <si>
    <t>60410000 - E COMM (DIRECT) - TRANSACTION COSTS</t>
  </si>
  <si>
    <t>E COMM (DIRECT) - TRANSACTION COSTS</t>
  </si>
  <si>
    <t>GOV</t>
  </si>
  <si>
    <t>-upto Mar 2021</t>
  </si>
  <si>
    <t>C001</t>
  </si>
  <si>
    <t>Exclud land</t>
  </si>
  <si>
    <t xml:space="preserve"> - HK SALES</t>
    <phoneticPr fontId="26" type="noConversion"/>
  </si>
  <si>
    <t xml:space="preserve"> - CHINA SALES</t>
    <phoneticPr fontId="26" type="noConversion"/>
  </si>
  <si>
    <t xml:space="preserve"> - OVERSEAS SALES</t>
    <phoneticPr fontId="26" type="noConversion"/>
  </si>
  <si>
    <t>OTC SALES</t>
    <phoneticPr fontId="26" type="noConversion"/>
  </si>
  <si>
    <t>301*10</t>
    <phoneticPr fontId="26" type="noConversion"/>
  </si>
  <si>
    <t>303*</t>
    <phoneticPr fontId="26" type="noConversion"/>
  </si>
  <si>
    <t>301*20</t>
    <phoneticPr fontId="26" type="noConversion"/>
  </si>
  <si>
    <t>COST OF SALES</t>
    <phoneticPr fontId="26" type="noConversion"/>
  </si>
  <si>
    <t xml:space="preserve"> - COST OF SALES-HK</t>
    <phoneticPr fontId="26" type="noConversion"/>
  </si>
  <si>
    <t xml:space="preserve"> - COST OF SALES - CHINA</t>
    <phoneticPr fontId="26" type="noConversion"/>
  </si>
  <si>
    <t xml:space="preserve"> - COST OF SALES - OVERSEAS</t>
    <phoneticPr fontId="26" type="noConversion"/>
  </si>
  <si>
    <t>LESS: COST OF SALES-OTC</t>
    <phoneticPr fontId="26" type="noConversion"/>
  </si>
  <si>
    <t>LESS: COST OF SALES-XEPA</t>
    <phoneticPr fontId="26" type="noConversion"/>
  </si>
  <si>
    <t>GP Ratio</t>
    <phoneticPr fontId="26" type="noConversion"/>
  </si>
  <si>
    <t>GP Margin by market</t>
    <phoneticPr fontId="26" type="noConversion"/>
  </si>
  <si>
    <t xml:space="preserve"> - HK</t>
    <phoneticPr fontId="26" type="noConversion"/>
  </si>
  <si>
    <t xml:space="preserve"> - China</t>
    <phoneticPr fontId="26" type="noConversion"/>
  </si>
  <si>
    <t xml:space="preserve"> - Overseas</t>
    <phoneticPr fontId="26" type="noConversion"/>
  </si>
  <si>
    <t>OTC</t>
    <phoneticPr fontId="26" type="noConversion"/>
  </si>
  <si>
    <t>XEPA</t>
    <phoneticPr fontId="26" type="noConversion"/>
  </si>
  <si>
    <t>2020/21
Actual</t>
  </si>
  <si>
    <t>Bank interest</t>
  </si>
  <si>
    <t>Chemical wastage</t>
  </si>
  <si>
    <t>Packing supplies, consumable and cleaning</t>
  </si>
  <si>
    <t>Transportation and travelling</t>
  </si>
  <si>
    <t>Savings</t>
  </si>
  <si>
    <t>Total YL Capex</t>
  </si>
  <si>
    <t>Value</t>
  </si>
  <si>
    <t>From 1 April 2021</t>
  </si>
  <si>
    <t>Building %</t>
  </si>
  <si>
    <t>As Land</t>
  </si>
  <si>
    <t>As Building</t>
  </si>
  <si>
    <t>Depreciation lives (years)</t>
  </si>
  <si>
    <t>GMP System &amp; IT</t>
  </si>
  <si>
    <t>Corp IT</t>
  </si>
  <si>
    <t>Sub-total</t>
  </si>
  <si>
    <t>Manufcturing OH</t>
  </si>
  <si>
    <t>Operating Cost</t>
  </si>
  <si>
    <t>Green loan</t>
  </si>
  <si>
    <t>Summary of terms of loan</t>
  </si>
  <si>
    <t>Terms of loan (years)</t>
  </si>
  <si>
    <t>Monthly installment</t>
  </si>
  <si>
    <t>Outstanding loan</t>
  </si>
  <si>
    <t>Oct 2021</t>
  </si>
  <si>
    <t>Oct 2023</t>
  </si>
  <si>
    <t>Oct 2024</t>
  </si>
  <si>
    <t>Oct 2025</t>
  </si>
  <si>
    <t>Nov 2021</t>
  </si>
  <si>
    <t>Dec 2021</t>
  </si>
  <si>
    <t>Jan 2022</t>
  </si>
  <si>
    <t>Feb 2022</t>
  </si>
  <si>
    <t>Mar 2022</t>
  </si>
  <si>
    <t>Apr 2022</t>
  </si>
  <si>
    <t>May 2022</t>
  </si>
  <si>
    <t>June 2022</t>
  </si>
  <si>
    <t>July 2022</t>
  </si>
  <si>
    <t>Aug 2022</t>
  </si>
  <si>
    <t>Sept 2022</t>
  </si>
  <si>
    <t>Oct 2022</t>
  </si>
  <si>
    <t>Nov 2022</t>
  </si>
  <si>
    <t>Dec 2022</t>
  </si>
  <si>
    <t>Jan 2023</t>
  </si>
  <si>
    <t>Feb 2023</t>
  </si>
  <si>
    <t>Mar 2023</t>
  </si>
  <si>
    <t>Apr 2023</t>
  </si>
  <si>
    <t>May 2023</t>
  </si>
  <si>
    <t>June 2023</t>
  </si>
  <si>
    <t>July 2023</t>
  </si>
  <si>
    <t>Aug 2023</t>
  </si>
  <si>
    <t>Sept 2023</t>
  </si>
  <si>
    <t>Nov 2023</t>
  </si>
  <si>
    <t>Dec 2023</t>
  </si>
  <si>
    <t>Jan 2024</t>
  </si>
  <si>
    <t>Feb 2024</t>
  </si>
  <si>
    <t>Mar 2024</t>
  </si>
  <si>
    <t>Apr 2024</t>
  </si>
  <si>
    <t>May 2024</t>
  </si>
  <si>
    <t>June 2024</t>
  </si>
  <si>
    <t>July 2024</t>
  </si>
  <si>
    <t>Aug 2024</t>
  </si>
  <si>
    <t>Sept 2024</t>
  </si>
  <si>
    <t>Nov 2024</t>
  </si>
  <si>
    <t>Dec 2024</t>
  </si>
  <si>
    <t>Jan 2025</t>
  </si>
  <si>
    <t>Feb 2025</t>
  </si>
  <si>
    <t>Mar 2025</t>
  </si>
  <si>
    <t>Apr 2025</t>
  </si>
  <si>
    <t>May 2025</t>
  </si>
  <si>
    <t>June 2025</t>
  </si>
  <si>
    <t>July 2025</t>
  </si>
  <si>
    <t>Aug 2025</t>
  </si>
  <si>
    <t>Sept 2025</t>
  </si>
  <si>
    <t>Nov 2025</t>
  </si>
  <si>
    <t>Dec 2025</t>
  </si>
  <si>
    <t>Jan 2026</t>
  </si>
  <si>
    <t>Feb 2026</t>
  </si>
  <si>
    <t>Mar 2026</t>
  </si>
  <si>
    <t>Apr 2026</t>
  </si>
  <si>
    <t>May 2026</t>
  </si>
  <si>
    <t>June 2026</t>
  </si>
  <si>
    <t>July 2026</t>
  </si>
  <si>
    <t>Aug 2026</t>
  </si>
  <si>
    <t>Sept 2026</t>
  </si>
  <si>
    <t>Capitalized interest</t>
  </si>
  <si>
    <t>Solar Panel Capex</t>
  </si>
  <si>
    <t>(X) Solar Panel</t>
  </si>
  <si>
    <t>Shareholder Loan Blance</t>
  </si>
  <si>
    <t>Club Loan balance</t>
  </si>
  <si>
    <t>Outstanding shareholders balance</t>
  </si>
  <si>
    <t>Outstanding club loan balance</t>
  </si>
  <si>
    <t>Refinancing: new shareholders loans</t>
  </si>
  <si>
    <t>Refinancing: shareholders loans repayment</t>
  </si>
  <si>
    <t>Refinancing: shareholders loan interests</t>
  </si>
  <si>
    <t>Profit before non-core operations</t>
    <phoneticPr fontId="0" type="noConversion"/>
  </si>
  <si>
    <t>Core Operating cost</t>
    <phoneticPr fontId="0" type="noConversion"/>
  </si>
  <si>
    <t xml:space="preserve">Total core operating costs </t>
    <phoneticPr fontId="0" type="noConversion"/>
  </si>
  <si>
    <t>Personnel cost - General</t>
  </si>
  <si>
    <t>Personnel cost - General</t>
    <phoneticPr fontId="0" type="noConversion"/>
  </si>
  <si>
    <t>Personnel cost - Transitional</t>
    <phoneticPr fontId="0" type="noConversion"/>
  </si>
  <si>
    <t>Personnel cost - General</t>
    <phoneticPr fontId="0" type="noConversion"/>
  </si>
  <si>
    <t>Personnel cost - Transitional</t>
    <phoneticPr fontId="0" type="noConversion"/>
  </si>
  <si>
    <t>Retention bonus</t>
    <phoneticPr fontId="301" type="noConversion"/>
  </si>
  <si>
    <t>Retention bonus</t>
    <phoneticPr fontId="301" type="noConversion"/>
  </si>
  <si>
    <t>Personnel cost - Transitional</t>
    <phoneticPr fontId="301" type="noConversion"/>
  </si>
  <si>
    <t>m=60405000 U=60211000 (shld also add 60215000) R&amp;M=60308000</t>
    <phoneticPr fontId="301" type="noConversion"/>
  </si>
  <si>
    <t>Utilities</t>
    <phoneticPr fontId="301" type="noConversion"/>
  </si>
  <si>
    <t>Utilities</t>
    <phoneticPr fontId="301" type="noConversion"/>
  </si>
  <si>
    <t>Repair &amp; maintenance</t>
    <phoneticPr fontId="301" type="noConversion"/>
  </si>
  <si>
    <t>Utilities</t>
    <phoneticPr fontId="0" type="noConversion"/>
  </si>
  <si>
    <t>Repair &amp; maintenance</t>
    <phoneticPr fontId="301" type="noConversion"/>
  </si>
  <si>
    <t>Non-core operating cost</t>
    <phoneticPr fontId="0" type="noConversion"/>
  </si>
  <si>
    <t xml:space="preserve">Total non-core operating costs </t>
    <phoneticPr fontId="0" type="noConversion"/>
  </si>
  <si>
    <t>CRO</t>
    <phoneticPr fontId="301" type="noConversion"/>
  </si>
  <si>
    <t>CRO</t>
    <phoneticPr fontId="301" type="noConversion"/>
  </si>
  <si>
    <t>CRO</t>
    <phoneticPr fontId="301" type="noConversion"/>
  </si>
  <si>
    <t>Raw Material Consumption</t>
  </si>
  <si>
    <t>Raw Material Consumption</t>
    <phoneticPr fontId="301" type="noConversion"/>
  </si>
  <si>
    <t>Bank Interest</t>
  </si>
  <si>
    <t>Bank Interest</t>
    <phoneticPr fontId="301" type="noConversion"/>
  </si>
  <si>
    <t>checking</t>
    <phoneticPr fontId="301" type="noConversion"/>
  </si>
  <si>
    <t>Less: Retention Bonus Payout</t>
  </si>
  <si>
    <t>Add: Tax impact on Retention Bonus Payout</t>
  </si>
  <si>
    <t>Core %:</t>
  </si>
  <si>
    <t xml:space="preserve">CW - Production Quantity </t>
  </si>
  <si>
    <t>YL - Production Quantity</t>
  </si>
  <si>
    <t>Depreciation - plant &amp; machinery &amp; F&amp;F &amp; IT</t>
  </si>
  <si>
    <t>Other</t>
  </si>
  <si>
    <t>Base Net cash inflow from core operation</t>
  </si>
  <si>
    <t>Sensitive Analysis: Adjusting Operating Cash Inflow from base case</t>
  </si>
  <si>
    <t>Adjusted Net cash inflow from core operation</t>
  </si>
  <si>
    <t>Discount on core operating cash inflow</t>
  </si>
  <si>
    <t>Net banking financing w/o refinancing</t>
  </si>
  <si>
    <t>Bank balance w/o refinancing</t>
  </si>
  <si>
    <t>Sensitive Analysis: Adjusting Operating Cash Inflow to - HK Tablet pessimistic case</t>
  </si>
  <si>
    <t>HK Tablet - Base Case</t>
  </si>
  <si>
    <t>HK Tablet - Pessimistic Case</t>
  </si>
  <si>
    <t>Avg cash GP less marketing cost</t>
  </si>
  <si>
    <t>Reduction in Cash GP</t>
  </si>
  <si>
    <t>Trial run &amp; PV</t>
    <phoneticPr fontId="301" type="noConversion"/>
  </si>
  <si>
    <t>Cashflow categorization</t>
    <phoneticPr fontId="301" type="noConversion"/>
  </si>
  <si>
    <t>Yuen Long Project costs</t>
  </si>
  <si>
    <t>Less: Manpower cost</t>
    <phoneticPr fontId="301" type="noConversion"/>
  </si>
  <si>
    <t>Manpower cost</t>
  </si>
  <si>
    <t>Non-core expense allocating to P&amp;L</t>
    <phoneticPr fontId="301" type="noConversion"/>
  </si>
  <si>
    <t>Non-core expense allocating to Manufacturing</t>
    <phoneticPr fontId="301" type="noConversion"/>
  </si>
  <si>
    <t>Non-core expense allocating to P&amp;L, CF</t>
    <phoneticPr fontId="301" type="noConversion"/>
  </si>
  <si>
    <t>22/23, 23/24 Transitional Period</t>
    <phoneticPr fontId="301" type="noConversion"/>
  </si>
  <si>
    <t>-</t>
    <phoneticPr fontId="301" type="noConversion"/>
  </si>
  <si>
    <t>Production Output Growth rate (incl. Unsaleable EG)</t>
    <phoneticPr fontId="301" type="noConversion"/>
  </si>
  <si>
    <t>Growth rate</t>
    <phoneticPr fontId="301" type="noConversion"/>
  </si>
  <si>
    <t>HK &amp; Overseas stock at end of year exclude writen off</t>
  </si>
  <si>
    <t>China stock at end of year exclude writen off</t>
  </si>
  <si>
    <t>China stock at end of year</t>
  </si>
  <si>
    <t>HK &amp; Overseas stock at end of year</t>
  </si>
  <si>
    <t>??</t>
  </si>
  <si>
    <t>-</t>
  </si>
  <si>
    <t>Core operating cost</t>
  </si>
  <si>
    <t>Non-core</t>
  </si>
  <si>
    <t>CN Tablet - Base Case</t>
  </si>
  <si>
    <t>CN Tablet - Pessimistic Case</t>
  </si>
  <si>
    <t>Total Loan</t>
  </si>
  <si>
    <t>Club Loan Cashflows</t>
  </si>
  <si>
    <t>Shareholder Loan Cashflows</t>
  </si>
  <si>
    <t>Shareholder Loan Balance</t>
  </si>
  <si>
    <t>Club Loan Balance</t>
  </si>
  <si>
    <t>Bridging Loan Cashflows</t>
  </si>
  <si>
    <t>Bridging Loan Balance</t>
  </si>
  <si>
    <t>Balance at 1 April 2021</t>
  </si>
  <si>
    <t>Sept - Dec 2021 - new loan/(repayment)</t>
  </si>
  <si>
    <t>Jan -Dec 2022- new loan/(repayment)</t>
  </si>
  <si>
    <t>Jan - Sept 2023 - new loan/(repayment)</t>
  </si>
  <si>
    <t>Oct - Dec 2023 - Club loan restructure (extension for 5 years)</t>
  </si>
  <si>
    <t>Bridging loan settlement by shareholders own funds - Sept 2021 - Dec 2023</t>
  </si>
  <si>
    <t>Club Loan settlements by operating cashflows in 5 years</t>
  </si>
  <si>
    <t>Shareholder loan settlement by operating cashflows post fully settlement of Club Loan</t>
  </si>
  <si>
    <t>Loan interest (up to March 2024)</t>
  </si>
  <si>
    <t>Non-core opex (up to March 2024) - 10 years</t>
  </si>
  <si>
    <t>Total YL Project Cost</t>
  </si>
  <si>
    <t>Funding by</t>
  </si>
  <si>
    <t>Bank loans - Gross</t>
  </si>
  <si>
    <t>Core operating cash inflow 2015-2024</t>
  </si>
  <si>
    <t>Opening bank @ April 2015</t>
  </si>
  <si>
    <t>Less: loans repayments (up to Mar 2024)</t>
  </si>
  <si>
    <t>Net bank borrowing @ Mar 2024</t>
  </si>
  <si>
    <t>Bank Loans</t>
  </si>
  <si>
    <t>HK$'M</t>
  </si>
  <si>
    <t>Total funds provided</t>
  </si>
  <si>
    <t>Project capex - Budget R11</t>
  </si>
  <si>
    <t>Less: expected project saving</t>
  </si>
  <si>
    <t>Net Project capex</t>
  </si>
  <si>
    <t>Shareholder loan on land acquisition</t>
  </si>
  <si>
    <t>Shortage of Funds</t>
  </si>
  <si>
    <t>Version presented on 30 July 2019</t>
  </si>
  <si>
    <t>Current version</t>
  </si>
  <si>
    <t>July 2019 version</t>
  </si>
  <si>
    <t>July 2021 version</t>
  </si>
  <si>
    <t>2018 - 2024 (6 years total)</t>
  </si>
  <si>
    <t>Variance (+ fav / - unfav)</t>
  </si>
  <si>
    <t>2025 - 2030 (6 years total)</t>
  </si>
  <si>
    <t>Total Club loan interests</t>
  </si>
  <si>
    <t>Total Sales</t>
  </si>
  <si>
    <t>Profit &amp; Loss</t>
  </si>
  <si>
    <t xml:space="preserve">Cashflow  </t>
  </si>
  <si>
    <t xml:space="preserve">   Sub-total</t>
  </si>
  <si>
    <t>12 years</t>
  </si>
  <si>
    <t>Sensitivity on business</t>
  </si>
  <si>
    <t>Hong Kong</t>
  </si>
  <si>
    <t>Tablet sales under base case ('000)</t>
  </si>
  <si>
    <t>Tablet sales under pessimistic case ('000)</t>
  </si>
  <si>
    <t>Sensitivity on drop in tablet sales</t>
  </si>
  <si>
    <t>Est. Cash GP less marketing cost per tablet ($)</t>
  </si>
  <si>
    <t>Total non-shareholder loan</t>
  </si>
  <si>
    <t>Sensitivity on cashflow impact (HK$'000)</t>
  </si>
  <si>
    <t>TOTAL (HK$'000)</t>
  </si>
  <si>
    <t>Sales &amp; AnP</t>
  </si>
  <si>
    <t>Sales in Tablet</t>
  </si>
  <si>
    <t>Growth Rate</t>
  </si>
  <si>
    <t xml:space="preserve"> Overseas</t>
  </si>
  <si>
    <t>Sales (Tab)</t>
  </si>
  <si>
    <t>Growth Rate (%)</t>
  </si>
  <si>
    <t>Tablet Avg. Selling Price</t>
  </si>
  <si>
    <t>Avg. Selling Price (HKD)</t>
  </si>
  <si>
    <t xml:space="preserve"> China (HKD)</t>
  </si>
  <si>
    <t xml:space="preserve"> China (RMB)</t>
  </si>
  <si>
    <t>Sales (HKD)</t>
  </si>
  <si>
    <t>China FX Rate</t>
  </si>
  <si>
    <t>Change (%)</t>
  </si>
  <si>
    <t xml:space="preserve"> HK Total</t>
  </si>
  <si>
    <t xml:space="preserve"> Grand Total</t>
  </si>
  <si>
    <t>AnP</t>
  </si>
  <si>
    <t>Marketing Cost (HKD)</t>
  </si>
  <si>
    <t xml:space="preserve"> Inorganic</t>
  </si>
  <si>
    <t xml:space="preserve"> Overseas </t>
  </si>
  <si>
    <t xml:space="preserve"> OEM</t>
  </si>
  <si>
    <t xml:space="preserve"> XEPA</t>
  </si>
  <si>
    <t xml:space="preserve"> China Total</t>
  </si>
  <si>
    <t xml:space="preserve">   HK Ecom Total</t>
  </si>
  <si>
    <t xml:space="preserve">   - HK OTC KA</t>
  </si>
  <si>
    <t xml:space="preserve">   - HK OTC GT</t>
  </si>
  <si>
    <t xml:space="preserve">   - HK Ecom (Direct)</t>
  </si>
  <si>
    <t xml:space="preserve">   - HK Ecom (Indirect)</t>
  </si>
  <si>
    <t xml:space="preserve">  - 華南</t>
  </si>
  <si>
    <t xml:space="preserve">  - Others</t>
  </si>
  <si>
    <t xml:space="preserve">   HK Local OTC Total</t>
  </si>
  <si>
    <r>
      <t>Marketing Cost (</t>
    </r>
    <r>
      <rPr>
        <b/>
        <u/>
        <sz val="9.35"/>
        <color theme="1"/>
        <rFont val="Calibri"/>
        <family val="2"/>
      </rPr>
      <t>% of Sales</t>
    </r>
    <r>
      <rPr>
        <u/>
        <sz val="11"/>
        <color theme="1"/>
        <rFont val="Calibri"/>
        <family val="2"/>
        <charset val="136"/>
        <scheme val="minor"/>
      </rPr>
      <t>)</t>
    </r>
  </si>
  <si>
    <t>Reference</t>
  </si>
  <si>
    <t>HK &amp; Overseas Core</t>
  </si>
  <si>
    <t>HK &amp; Overseas Star</t>
  </si>
  <si>
    <t>HK Core - Normal Production</t>
  </si>
  <si>
    <t>HK Star - Normal Production</t>
  </si>
  <si>
    <t>HK &amp; Overseas Stock / month of sales</t>
  </si>
  <si>
    <t>HK &amp; Overseas Core Stock / month of sales</t>
  </si>
  <si>
    <t>HK &amp; Overseas Star Stock / month of sales</t>
  </si>
  <si>
    <t xml:space="preserve"> HK Total (include OEM)</t>
  </si>
  <si>
    <t>Operating Months</t>
  </si>
  <si>
    <t>Year end bonus</t>
  </si>
  <si>
    <t>Remarks</t>
  </si>
  <si>
    <t>PayBack</t>
  </si>
  <si>
    <t>Avg. Margin
(Excl. init. Invest. &amp; Manpower)</t>
  </si>
  <si>
    <t>01 - Sales (Net Net)</t>
  </si>
  <si>
    <t>01a - Sales (Net)</t>
  </si>
  <si>
    <t>01b - Billed Back</t>
  </si>
  <si>
    <t>02 - COGS</t>
  </si>
  <si>
    <t>03 - AnP</t>
  </si>
  <si>
    <t>03a - Advertising</t>
  </si>
  <si>
    <t>03b - Promotion (Customer)</t>
  </si>
  <si>
    <t>03c - Promotion (Consumer)</t>
  </si>
  <si>
    <t>03d - Promoter</t>
  </si>
  <si>
    <t>03e - Ecommerce</t>
  </si>
  <si>
    <t>03f - Listing</t>
  </si>
  <si>
    <t>03g - KA Display</t>
  </si>
  <si>
    <t>03h - AnP Buffer 1</t>
  </si>
  <si>
    <t>03i - AnP Buffer 2</t>
  </si>
  <si>
    <t>04 - Manpower</t>
  </si>
  <si>
    <t>04a - Sales Force</t>
  </si>
  <si>
    <t>04b - Supporting Staff</t>
  </si>
  <si>
    <t>04c - Temp. Manpower M</t>
  </si>
  <si>
    <t>04d - Temp. Manpower S</t>
  </si>
  <si>
    <t>04e - Temp. Manpower P</t>
  </si>
  <si>
    <t>04f - Buffer 1</t>
  </si>
  <si>
    <t>04g - Buffer 2</t>
  </si>
  <si>
    <t>05 - Other Recurring Cost</t>
  </si>
  <si>
    <t>05a - Logistic</t>
  </si>
  <si>
    <t>05b - Buffer 1</t>
  </si>
  <si>
    <t>05c - Buffer 2</t>
  </si>
  <si>
    <t>06 - BA/ BE</t>
  </si>
  <si>
    <t>07 - Prod. Dev &amp; Upfront</t>
  </si>
  <si>
    <t>08 - Other Non-recurring Cost</t>
  </si>
  <si>
    <t>09 - CRO</t>
  </si>
  <si>
    <t>10 - Buffer 1</t>
  </si>
  <si>
    <t>11 - Buffer 2</t>
  </si>
  <si>
    <t>12 - Net Profit</t>
  </si>
  <si>
    <t>13 - NP Margin</t>
  </si>
  <si>
    <t>14 - Cum. Profit</t>
  </si>
  <si>
    <t>Incremental Cost</t>
  </si>
  <si>
    <t>YL-Tablet</t>
  </si>
  <si>
    <t>YL-Capsule</t>
  </si>
  <si>
    <t>YL-Sachet</t>
  </si>
  <si>
    <t>CF-Total-Inorganic</t>
  </si>
  <si>
    <t/>
  </si>
  <si>
    <t>YL-Production Capacity-Inorganic</t>
  </si>
  <si>
    <t>Inorganic</t>
  </si>
  <si>
    <t>Subtotal</t>
  </si>
  <si>
    <t>Marketing</t>
  </si>
  <si>
    <t>Product Dev. &amp; Upfront</t>
  </si>
  <si>
    <t>Profit from inorganic operations</t>
  </si>
  <si>
    <t>Inorganic Operations</t>
  </si>
  <si>
    <t>Profit before tax (Inorganic)</t>
  </si>
  <si>
    <t>Cashflow from Inorganic Operation</t>
  </si>
  <si>
    <t>Volume from Inorganic Business (Inhouse)</t>
  </si>
  <si>
    <r>
      <t xml:space="preserve">12 Years Production Plan - </t>
    </r>
    <r>
      <rPr>
        <b/>
        <u/>
        <sz val="11"/>
        <color theme="1"/>
        <rFont val="Calibri"/>
        <family val="2"/>
        <scheme val="minor"/>
      </rPr>
      <t>Orgnaic ONLY</t>
    </r>
  </si>
  <si>
    <t>YL Production (Organic &amp; Inorganic &amp; Unsaleable)</t>
  </si>
  <si>
    <t>HK &amp; Overseas stock writen off</t>
  </si>
  <si>
    <t>China stock writen off</t>
  </si>
  <si>
    <t>Tax Allowance:</t>
  </si>
  <si>
    <t>Nil</t>
  </si>
  <si>
    <t>Provisional Profit</t>
  </si>
  <si>
    <t>Loss c/f</t>
  </si>
  <si>
    <t>Adjusted gain/(loss)</t>
  </si>
  <si>
    <t>Dividend</t>
  </si>
  <si>
    <t>Dividend Income</t>
  </si>
  <si>
    <t>Exempted Bank Interest Income</t>
  </si>
  <si>
    <t>Disposal FA</t>
  </si>
  <si>
    <t>Additions to Computers(Oracle)</t>
  </si>
  <si>
    <t>Additions to Computers</t>
  </si>
  <si>
    <t>20% Pooling(Specified Capital Expenditure)</t>
  </si>
  <si>
    <t>PFA(CIP)</t>
  </si>
  <si>
    <t>Building Refurbishment</t>
  </si>
  <si>
    <t>Industrial Building Allowance</t>
  </si>
  <si>
    <t>Depreciation Allowances</t>
  </si>
  <si>
    <t>Less:</t>
  </si>
  <si>
    <t>Legal and Professional Fee</t>
  </si>
  <si>
    <t>Depr</t>
  </si>
  <si>
    <t>Depreciation(grouped)</t>
  </si>
  <si>
    <t>Add:</t>
  </si>
  <si>
    <t>Gain/(Loss) before taxation</t>
  </si>
  <si>
    <t>Loss b/f</t>
  </si>
  <si>
    <t>HK$</t>
  </si>
  <si>
    <t>2021/2022</t>
  </si>
  <si>
    <t>2020/2021</t>
  </si>
  <si>
    <t>2019/2020</t>
  </si>
  <si>
    <t>Year of assessment:</t>
  </si>
  <si>
    <t>Tax Computation Summary</t>
  </si>
  <si>
    <t>Hong Kong &amp; Overseas</t>
  </si>
  <si>
    <t>Opening Stock</t>
  </si>
  <si>
    <t>Manufactured</t>
  </si>
  <si>
    <t>Write off</t>
  </si>
  <si>
    <t>Closing</t>
  </si>
  <si>
    <t>Average tab cost (Opening stock)</t>
  </si>
  <si>
    <t>Average tab cost (Opening stock+Manufactured)</t>
  </si>
  <si>
    <t>Average tab cost (Manufactured)</t>
  </si>
  <si>
    <t>CN</t>
  </si>
  <si>
    <t>Tab</t>
  </si>
  <si>
    <t>Saleable Production Quantity by SITE</t>
  </si>
  <si>
    <t>Opening stock+Manufactured</t>
  </si>
  <si>
    <t>Raw Mat.</t>
  </si>
  <si>
    <t>Overheads</t>
  </si>
  <si>
    <t>HK &amp; O</t>
  </si>
  <si>
    <t>Total M Cost</t>
  </si>
  <si>
    <t>Average M Cost</t>
  </si>
  <si>
    <t>Raw Mat Constant</t>
  </si>
  <si>
    <t>Overhead Constant</t>
  </si>
  <si>
    <r>
      <t>RMC</t>
    </r>
    <r>
      <rPr>
        <vertAlign val="subscript"/>
        <sz val="14"/>
        <color theme="1"/>
        <rFont val="Calibri"/>
        <family val="2"/>
      </rPr>
      <t>20/21</t>
    </r>
    <r>
      <rPr>
        <sz val="14"/>
        <color theme="1"/>
        <rFont val="Calibri"/>
        <family val="2"/>
        <scheme val="minor"/>
      </rPr>
      <t xml:space="preserve"> =</t>
    </r>
  </si>
  <si>
    <r>
      <t>OHC</t>
    </r>
    <r>
      <rPr>
        <vertAlign val="subscript"/>
        <sz val="14"/>
        <color theme="1"/>
        <rFont val="Calibri"/>
        <family val="2"/>
      </rPr>
      <t>20/21</t>
    </r>
    <r>
      <rPr>
        <sz val="14"/>
        <color theme="1"/>
        <rFont val="Calibri"/>
        <family val="2"/>
        <scheme val="minor"/>
      </rPr>
      <t xml:space="preserve"> =</t>
    </r>
  </si>
  <si>
    <t>Constant Used</t>
    <phoneticPr fontId="301" type="noConversion"/>
  </si>
  <si>
    <t>RM</t>
  </si>
  <si>
    <t>OH</t>
  </si>
  <si>
    <t>RM  HK:CN Ratio</t>
  </si>
  <si>
    <t xml:space="preserve"> OH HK:CN Ratio</t>
  </si>
  <si>
    <t>Total OH &amp; Labour</t>
  </si>
  <si>
    <t>CN Raw Mat. per tab</t>
  </si>
  <si>
    <t>HK &amp; O Raw Mat. per tab</t>
  </si>
  <si>
    <t>YTD 31 Aug 2021</t>
  </si>
  <si>
    <t>Updated Total Budget</t>
  </si>
  <si>
    <t xml:space="preserve">Amount paid </t>
  </si>
  <si>
    <t>YTD 31 March 2021</t>
  </si>
  <si>
    <t>2021-09</t>
  </si>
  <si>
    <t>Amount to spend</t>
  </si>
  <si>
    <t>for completion</t>
  </si>
  <si>
    <t>Actual spent</t>
  </si>
  <si>
    <t>Further spent</t>
  </si>
  <si>
    <t xml:space="preserve">Spending for </t>
  </si>
  <si>
    <t>1 Apr - 31 Aug 21</t>
  </si>
  <si>
    <t>1 Sep 21 - 31 Mar 22</t>
  </si>
  <si>
    <t>2020/21 actual vs 2019/20 actual</t>
  </si>
  <si>
    <t>Inorganic Operation</t>
  </si>
  <si>
    <t>Mkting, Manpower &amp; Other Costs</t>
  </si>
  <si>
    <t>Total Inorganic Operation</t>
  </si>
  <si>
    <t>Shareholder loan</t>
  </si>
  <si>
    <t>New Bank Loan</t>
  </si>
  <si>
    <t>New Bank Loan repayment</t>
  </si>
  <si>
    <t>New Bank Loan interests</t>
  </si>
  <si>
    <t>Shareholder Loan</t>
  </si>
  <si>
    <t>Net banking financing w/o Shareholder Loan</t>
  </si>
  <si>
    <t>Bank balance w/o Shareholder Loan</t>
  </si>
  <si>
    <t>New Bank Loan Balance</t>
  </si>
  <si>
    <t>Outstanding new bank loan balance</t>
  </si>
  <si>
    <t>Green Loan repayment</t>
  </si>
  <si>
    <t>Green Loan interests</t>
  </si>
  <si>
    <r>
      <rPr>
        <sz val="11"/>
        <color theme="1"/>
        <rFont val="Arial"/>
        <family val="2"/>
      </rPr>
      <t>Add:</t>
    </r>
    <r>
      <rPr>
        <b/>
        <sz val="11"/>
        <color theme="1"/>
        <rFont val="Arial"/>
        <family val="2"/>
      </rPr>
      <t xml:space="preserve"> Donation &amp; Other Income</t>
    </r>
  </si>
  <si>
    <t>Original Budget (O.B.)</t>
  </si>
  <si>
    <t>HK: 80%</t>
  </si>
  <si>
    <t>CN: 85%</t>
  </si>
  <si>
    <t>HK: 100%</t>
  </si>
  <si>
    <t>CN: 100%</t>
  </si>
  <si>
    <t>Scenario HK-C</t>
  </si>
  <si>
    <t>24/25 = O.B. 22/23</t>
  </si>
  <si>
    <t>25/26 = O.B. 24/25 = 25/26 catch up 18/19</t>
  </si>
  <si>
    <t>Scenario HK-D</t>
  </si>
  <si>
    <t>24/25 = O.B. 24/25 = 24/25 catch up 18/19</t>
  </si>
  <si>
    <t>same as OB but with 21/22 drop</t>
  </si>
  <si>
    <t>same as 23/24 = OB 22/23</t>
  </si>
  <si>
    <t>Scenario CN-C</t>
  </si>
  <si>
    <t>OB</t>
  </si>
  <si>
    <t>C</t>
  </si>
  <si>
    <t>D</t>
  </si>
  <si>
    <t>C2021-22</t>
  </si>
  <si>
    <t>C2022-23</t>
  </si>
  <si>
    <t>C2023-24</t>
  </si>
  <si>
    <t>C2024-25</t>
  </si>
  <si>
    <t>C2025-26</t>
  </si>
  <si>
    <t>C2026-27</t>
  </si>
  <si>
    <t>C2027-28</t>
  </si>
  <si>
    <t>C2028-29</t>
  </si>
  <si>
    <t>C2029-30</t>
  </si>
  <si>
    <t>D2021-22</t>
  </si>
  <si>
    <t>D2022-23</t>
  </si>
  <si>
    <t>D2023-24</t>
  </si>
  <si>
    <t>D2024-25</t>
  </si>
  <si>
    <t>D2025-26</t>
  </si>
  <si>
    <t>D2026-27</t>
  </si>
  <si>
    <t>D2027-28</t>
  </si>
  <si>
    <t>D2028-29</t>
  </si>
  <si>
    <t>D2029-30</t>
  </si>
  <si>
    <t>Scenarios</t>
  </si>
  <si>
    <t>Option</t>
  </si>
  <si>
    <t>Timing</t>
  </si>
  <si>
    <t>Refinancing (HK$'M)</t>
  </si>
  <si>
    <t>23-28 cashflow (HK$'M)</t>
  </si>
  <si>
    <t>% of refinancing</t>
  </si>
  <si>
    <t>Max financial Gap (HK$'M)</t>
  </si>
  <si>
    <t>No refinancing</t>
  </si>
  <si>
    <t>Original Pricipal Repayment</t>
  </si>
  <si>
    <t>New Principal repayment</t>
  </si>
  <si>
    <r>
      <t xml:space="preserve">Refinancing timing for BASE scenario </t>
    </r>
    <r>
      <rPr>
        <b/>
        <u/>
        <sz val="11"/>
        <rFont val="Calibri"/>
        <family val="2"/>
      </rPr>
      <t>(HK 23/24=18/19; CN 23/24 = OB 19/20)</t>
    </r>
  </si>
  <si>
    <t>Refinancing Timing:</t>
  </si>
  <si>
    <t>R&amp;M, Mgt, Utility &amp; Maintenance</t>
  </si>
  <si>
    <t>Add: COGS (OTC) in P&amp;L</t>
  </si>
  <si>
    <t>HK &amp; Overseas</t>
  </si>
  <si>
    <t>EBITDA - Core Operation</t>
  </si>
  <si>
    <t>EBITDA - Company Total</t>
  </si>
  <si>
    <t>Add: Depreciation - Core Operation</t>
  </si>
  <si>
    <t>Operating Profits before Other Income and Interest</t>
  </si>
  <si>
    <t>Add: Interest</t>
  </si>
  <si>
    <t>Proceeds of Green Loan</t>
  </si>
  <si>
    <t>Proceeds of New Bank Loan</t>
  </si>
  <si>
    <t>Proceeds of Club Loan</t>
  </si>
  <si>
    <t>Repayment &amp; Interest of Shareholder Loans</t>
  </si>
  <si>
    <t>Repayment &amp; Interest of Green Loan</t>
  </si>
  <si>
    <t>Repayment &amp; Interest of Club Loan</t>
  </si>
  <si>
    <t>Repayment &amp; Interest of New Bank Loan</t>
  </si>
  <si>
    <t>Add: Depreciation - COGS</t>
  </si>
  <si>
    <t>Add: Depreciation - Non-Core</t>
  </si>
  <si>
    <t>Less: Inorganic</t>
  </si>
  <si>
    <t>Less: Project / Non-Operating Cost</t>
  </si>
  <si>
    <t>Less: Other Income &amp; Expense</t>
  </si>
  <si>
    <t>Proceed of Shareholder Loans</t>
  </si>
  <si>
    <t>Untility, Repair and Maintenance</t>
  </si>
  <si>
    <t>Raw Material for Product Transfer</t>
  </si>
  <si>
    <t>2021/22
Actual</t>
  </si>
  <si>
    <t>2022/23
Budget</t>
  </si>
  <si>
    <t>2022/23 Budget 
vs
2021/22 Actual</t>
  </si>
  <si>
    <t>60404300 - NON PRODUCTION OVERHEAD</t>
  </si>
  <si>
    <t>NON PRODUCTION OVERHEAD</t>
  </si>
  <si>
    <t>DEPRECIATION - OPEX PORTION (YL)</t>
  </si>
  <si>
    <t>DEPRECIATION - Redundancy cost/product tranfer</t>
  </si>
  <si>
    <t>EBITDA - Total Company</t>
  </si>
  <si>
    <t>Redundancy</t>
  </si>
  <si>
    <t>Redundancy cost of YL production</t>
    <phoneticPr fontId="233" type="noConversion"/>
  </si>
  <si>
    <t>W/O</t>
  </si>
  <si>
    <t>New product development costs</t>
  </si>
  <si>
    <t>ADD: Non-Core</t>
  </si>
  <si>
    <t>MINUS: Non-Core</t>
  </si>
  <si>
    <t>Non-Core Normalized Expenses</t>
  </si>
  <si>
    <t>???</t>
  </si>
  <si>
    <t>2030-31</t>
  </si>
  <si>
    <t>2031-32</t>
  </si>
  <si>
    <t>2032-33</t>
  </si>
  <si>
    <t>2033-34</t>
  </si>
  <si>
    <t>HK Core - Pilot</t>
  </si>
  <si>
    <t>HK Core - EG and Demo batch (Up to tablet)</t>
  </si>
  <si>
    <t>HK Core - Unsaleable PV batch (Up to full packaging)</t>
  </si>
  <si>
    <t>HK Core - Saleable PV (Up to full packaging)</t>
  </si>
  <si>
    <t>HK Star - Pilot</t>
  </si>
  <si>
    <t>HK Star - EG and Demo batch (Up to tablet)</t>
  </si>
  <si>
    <t>HK Star - Unsaleable PV batch (Up to full packaging)</t>
  </si>
  <si>
    <t>HK Star - Saleable PV (Up to full packaging)</t>
  </si>
  <si>
    <t>China - Pilot</t>
  </si>
  <si>
    <t>China - EG and Demo batch (Up to tablet)</t>
  </si>
  <si>
    <t>China - Unsaleable PV batch (Up to full packaging)</t>
  </si>
  <si>
    <t>China - Saleable PV (Up to full packaging)</t>
  </si>
  <si>
    <t>China - Normal Commercial Production (For Finance to fill in)</t>
  </si>
  <si>
    <t>Total HK</t>
  </si>
  <si>
    <t>Total HK Saleable</t>
  </si>
  <si>
    <t>Total China</t>
  </si>
  <si>
    <t>Total China Saleable</t>
  </si>
  <si>
    <t>Overseas - Pilot</t>
  </si>
  <si>
    <t>Overseas - EG and Demo batch (Up to tablet)</t>
  </si>
  <si>
    <t>Overseas - Unsaleable PV batch (Up to full packaging)</t>
  </si>
  <si>
    <t>Overseas - Saleable PV (Up to full packaging)</t>
  </si>
  <si>
    <t>Overseas - Normal Commercial Production (For Finance to fill in)</t>
  </si>
  <si>
    <t>Total Overseas</t>
  </si>
  <si>
    <t>Total Overseas Saleable</t>
  </si>
  <si>
    <t>Total YL</t>
  </si>
  <si>
    <t>Total YL Saleable</t>
  </si>
  <si>
    <t>Total CW &amp; YL Saleable</t>
  </si>
  <si>
    <t>HK Core - Normal Commercial Production</t>
  </si>
  <si>
    <t>HK Star - Normal Commercial Production</t>
  </si>
  <si>
    <t>Raw Mat. Per tab growth</t>
  </si>
  <si>
    <t>CW ONLY!</t>
  </si>
  <si>
    <t>Total YL Output</t>
  </si>
  <si>
    <t>Pilot Output</t>
  </si>
  <si>
    <t>Saleable</t>
  </si>
  <si>
    <t>Unsaleable</t>
  </si>
  <si>
    <t>YL Redundancy %</t>
  </si>
  <si>
    <t>Max Capacity</t>
  </si>
  <si>
    <t>Cost per tablet (excl. Redundancy)</t>
  </si>
  <si>
    <t>YL ONLY!</t>
  </si>
  <si>
    <t>Labour</t>
  </si>
  <si>
    <t>BD</t>
  </si>
  <si>
    <t>Days</t>
  </si>
  <si>
    <t>Green Loan 2</t>
  </si>
  <si>
    <t>H + 1.4%</t>
  </si>
  <si>
    <t>Monthly payment (Green Loan 1+2)</t>
  </si>
  <si>
    <t>Oct 2026</t>
  </si>
  <si>
    <t>Nov 2026</t>
  </si>
  <si>
    <t>Dec 2026</t>
  </si>
  <si>
    <t>Jan 2027</t>
  </si>
  <si>
    <t>Feb 2027</t>
  </si>
  <si>
    <t>Mar 2027</t>
  </si>
  <si>
    <t>Apr 2027</t>
  </si>
  <si>
    <t>May 2027</t>
  </si>
  <si>
    <t>June 2027</t>
  </si>
  <si>
    <t>July 2027</t>
  </si>
  <si>
    <t>Aug 2027</t>
  </si>
  <si>
    <t>Sept 2027</t>
  </si>
  <si>
    <t>Oct 2027</t>
  </si>
  <si>
    <t>Nov 2027</t>
  </si>
  <si>
    <t>Dec 2027</t>
  </si>
  <si>
    <t>Written off of demo &amp; Engineering batch</t>
  </si>
  <si>
    <t>Written off of  demo &amp; Engineering batch</t>
  </si>
  <si>
    <t>Add: Bank Interest</t>
  </si>
  <si>
    <t>Unsaleable PV</t>
  </si>
  <si>
    <t>Qty</t>
  </si>
  <si>
    <t>Material</t>
  </si>
  <si>
    <t>Labour &amp; OH</t>
  </si>
  <si>
    <t>Total Raw Mat. Per Tab</t>
  </si>
  <si>
    <t>Total Raw Mat. $</t>
  </si>
  <si>
    <t>CN Raw Mat. $</t>
  </si>
  <si>
    <t>HK &amp; O Raw Mat. $</t>
  </si>
  <si>
    <t>20/21 L + OH!</t>
  </si>
  <si>
    <t>HK &amp; O - Demo &amp; EG (49% Raw Mat)</t>
  </si>
  <si>
    <t>HK &amp; O - Unsaleable PV</t>
  </si>
  <si>
    <t>HK &amp; O - Saleable PV &amp; Normal Production</t>
  </si>
  <si>
    <t>CN - Demo &amp; EG (49% Raw Mat)</t>
  </si>
  <si>
    <t>CN - Unsaleable PV</t>
  </si>
  <si>
    <t>CN - Saleable PV &amp; Normal Production</t>
  </si>
  <si>
    <t>HK &amp; O - Demo &amp; EG</t>
  </si>
  <si>
    <t>CN - Demo &amp; EG</t>
  </si>
  <si>
    <t>Total Raw Mat. Per Tab (Saleable)</t>
  </si>
  <si>
    <t>Total Raw Mat. $ (Saleable)</t>
  </si>
  <si>
    <t>Material ($)</t>
  </si>
  <si>
    <t>OH &amp; L ($)</t>
  </si>
  <si>
    <t>Qty (Tab)</t>
  </si>
  <si>
    <t>Saleable PV &amp; Normal Production</t>
  </si>
  <si>
    <t>Total (Write off)</t>
  </si>
  <si>
    <t>Demo and EG Batch (use 49% material)</t>
  </si>
  <si>
    <t>Add: working capital changes (excl. inventories)</t>
  </si>
  <si>
    <t xml:space="preserve">  Depreciation per tab (Opening)</t>
  </si>
  <si>
    <t xml:space="preserve">  Depreciation per tab (Manufactured)</t>
  </si>
  <si>
    <t xml:space="preserve">  Depreciation per tab (weighted average)</t>
  </si>
  <si>
    <t>Redundancy cost of YL production (Depreciation)</t>
  </si>
  <si>
    <t>Manufacturing depreciation cost per tablet - HK &amp; O</t>
  </si>
  <si>
    <t>Manufacturing depreciation cost per tablet - CN</t>
  </si>
  <si>
    <t>HK market (with write off)</t>
  </si>
  <si>
    <t>Total Labour cost</t>
  </si>
  <si>
    <t>Saleable ONLY!</t>
  </si>
  <si>
    <t xml:space="preserve">Average cost per tablet - HK </t>
  </si>
  <si>
    <t xml:space="preserve">Average cost per tablet - China </t>
  </si>
  <si>
    <t xml:space="preserve">Average cost per tablet - overseas </t>
  </si>
  <si>
    <t xml:space="preserve">Average cost per tablet - total </t>
  </si>
  <si>
    <t>Sundry Income</t>
  </si>
  <si>
    <t>Other Income</t>
  </si>
  <si>
    <t>Average tab cost (Closing stock)</t>
  </si>
  <si>
    <t>Scenario HK-Base</t>
  </si>
  <si>
    <t>Base2021-22</t>
  </si>
  <si>
    <t>Base2030-31</t>
  </si>
  <si>
    <t>Base2031-32</t>
  </si>
  <si>
    <t>Base2032-33</t>
  </si>
  <si>
    <t>Base2033-34</t>
  </si>
  <si>
    <t>Base2022-23</t>
  </si>
  <si>
    <t>Base2023-24</t>
  </si>
  <si>
    <t>Base2024-25</t>
  </si>
  <si>
    <t>Base2025-26</t>
  </si>
  <si>
    <t>Base2026-27</t>
  </si>
  <si>
    <t>Base2027-28</t>
  </si>
  <si>
    <t>Base2028-29</t>
  </si>
  <si>
    <t>Base2029-30</t>
  </si>
  <si>
    <t>Scenario CN-Base</t>
  </si>
  <si>
    <t>Scenario HK-Opt.A</t>
  </si>
  <si>
    <t>Opt.A2021-22</t>
  </si>
  <si>
    <t>Opt.A2022-23</t>
  </si>
  <si>
    <t>Opt.A2023-24</t>
  </si>
  <si>
    <t>Opt.A2024-25</t>
  </si>
  <si>
    <t>Opt.A2025-26</t>
  </si>
  <si>
    <t>Opt.A2026-27</t>
  </si>
  <si>
    <t>Opt.A2027-28</t>
  </si>
  <si>
    <t>Opt.A2028-29</t>
  </si>
  <si>
    <t>Opt.A2029-30</t>
  </si>
  <si>
    <t>Opt.A2030-31</t>
  </si>
  <si>
    <t>Opt.A2031-32</t>
  </si>
  <si>
    <t>Opt.A2032-33</t>
  </si>
  <si>
    <t>Opt.A2033-34</t>
  </si>
  <si>
    <t>Scenario CN-Opt.A</t>
  </si>
  <si>
    <t>Scenario HK-Opt.B</t>
  </si>
  <si>
    <t>Opt.B2021-22</t>
  </si>
  <si>
    <t>Opt.B2022-23</t>
  </si>
  <si>
    <t>Opt.B2023-24</t>
  </si>
  <si>
    <t>Opt.B2024-25</t>
  </si>
  <si>
    <t>Opt.B2025-26</t>
  </si>
  <si>
    <t>Opt.B2026-27</t>
  </si>
  <si>
    <t>Opt.B2027-28</t>
  </si>
  <si>
    <t>Opt.B2028-29</t>
  </si>
  <si>
    <t>Opt.B2029-30</t>
  </si>
  <si>
    <t>Opt.B2030-31</t>
  </si>
  <si>
    <t>Opt.B2031-32</t>
  </si>
  <si>
    <t>Opt.B2032-33</t>
  </si>
  <si>
    <t>Opt.B2033-34</t>
  </si>
  <si>
    <t>Scenario CN-Opt.B</t>
  </si>
  <si>
    <t>Base</t>
  </si>
  <si>
    <t>Opt.A</t>
  </si>
  <si>
    <t>CN-Base</t>
  </si>
  <si>
    <t>CN-Opt.A</t>
  </si>
  <si>
    <t>HK&amp;O-Base</t>
  </si>
  <si>
    <t>HK&amp;O-Opt.A</t>
  </si>
  <si>
    <t>HK&amp;O</t>
  </si>
  <si>
    <t>Demo and EG Batch (use 49% material) (Depre)</t>
  </si>
  <si>
    <t>Unsaleable PV (Depre)</t>
  </si>
  <si>
    <t>Total Depre (Write off)</t>
  </si>
  <si>
    <t>Written off of demo &amp; Engineering batch (Depreciation)</t>
  </si>
  <si>
    <t>Written off of  demo &amp; Engineering batch (Depreciation)</t>
  </si>
  <si>
    <t>Bank Interest (Core Operation)</t>
  </si>
  <si>
    <t>Add: Cost of Goods Sold (HK &amp; O &amp; CN)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</si>
</sst>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0">
    <numFmt numFmtId="6" formatCode="&quot;$&quot;#,##0;[Red]\-&quot;$&quot;#,##0"/>
    <numFmt numFmtId="8" formatCode="&quot;$&quot;#,##0.00;[Red]\-&quot;$&quot;#,##0.00"/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_);_(* \(#,##0\);_(* &quot;-&quot;_);_(@_)"/>
    <numFmt numFmtId="165" formatCode="_(&quot;HK$&quot;* #,##0.00_);_(&quot;HK$&quot;* \(#,##0.00\);_(&quot;HK$&quot;* &quot;-&quot;??_);_(@_)"/>
    <numFmt numFmtId="166" formatCode="_(* #,##0.00_);_(* \(#,##0.00\);_(* &quot;-&quot;??_);_(@_)"/>
    <numFmt numFmtId="167" formatCode="&quot;$&quot;#,##0_);[Red]\(&quot;$&quot;#,##0\)"/>
    <numFmt numFmtId="168" formatCode="&quot;$&quot;#,##0.00_);[Red]\(&quot;$&quot;#,##0.00\)"/>
    <numFmt numFmtId="169" formatCode="_(&quot;$&quot;* #,##0_);_(&quot;$&quot;* \(#,##0\);_(&quot;$&quot;* &quot;-&quot;_);_(@_)"/>
    <numFmt numFmtId="170" formatCode="_(&quot;$&quot;* #,##0.00_);_(&quot;$&quot;* \(#,##0.00\);_(&quot;$&quot;* &quot;-&quot;??_);_(@_)"/>
    <numFmt numFmtId="171" formatCode="_-&quot;£&quot;* #,##0_-;\-&quot;£&quot;* #,##0_-;_-&quot;£&quot;* &quot;-&quot;_-;_-@_-"/>
    <numFmt numFmtId="172" formatCode="_-&quot;£&quot;* #,##0.00_-;\-&quot;£&quot;* #,##0.00_-;_-&quot;£&quot;* &quot;-&quot;??_-;_-@_-"/>
    <numFmt numFmtId="173" formatCode="#,##0;\(#,##0\);\ \ \-\ \ "/>
    <numFmt numFmtId="174" formatCode="0.0%"/>
    <numFmt numFmtId="175" formatCode="[Blue]\+0.0%;[Red]\-0.0%;\ \ \-\ \ "/>
    <numFmt numFmtId="176" formatCode="[Blue]\+\ 0.0%;[Red]\-\ 0.0%;\ \ \-\ \ "/>
    <numFmt numFmtId="177" formatCode="[Blue]\+\ 0%;[Red]\-\ 0%;\ \ \-\ \ "/>
    <numFmt numFmtId="178" formatCode="#,##0.0000;\(#,##0.0000\);\ \ \-\ \ "/>
    <numFmt numFmtId="179" formatCode="[Blue]\+\ 0.00%;[Red]\-\ 0.00%;\ \ \-\ \ "/>
    <numFmt numFmtId="180" formatCode="#,##0.000;\(#,##0.000\);\ \ \-\ \ "/>
    <numFmt numFmtId="181" formatCode="[Blue]\+#,##0;[Red]\-#,##0;\ \ \-\ \ "/>
    <numFmt numFmtId="182" formatCode="[Blue]0.0%;[Red]\-0.0%;\ \ \-\ \ "/>
    <numFmt numFmtId="183" formatCode="#,##0;\-#,##0;\ \ \-\ \ "/>
    <numFmt numFmtId="184" formatCode="[Blue]\+0%;[Red]\-0%;\ \ \-\ \ "/>
    <numFmt numFmtId="185" formatCode="0.0000%"/>
    <numFmt numFmtId="186" formatCode="_-&quot;HK$&quot;* #,##0.00_-;\-&quot;HK$&quot;* #,##0.00_-;_-&quot;HK$&quot;* &quot;-&quot;??_-;_-@_-"/>
    <numFmt numFmtId="187" formatCode="0.000&quot;  &quot;"/>
    <numFmt numFmtId="188" formatCode="_ &quot;HK$&quot;* #,##0_ ;_ &quot;HK$&quot;* \-#,##0_ ;_ &quot;HK$&quot;* &quot;-&quot;_ ;_ @_ "/>
    <numFmt numFmtId="189" formatCode="General_)"/>
    <numFmt numFmtId="190" formatCode="#,##0.00_);\(#,##0.0\)"/>
    <numFmt numFmtId="191" formatCode="#,###.##"/>
    <numFmt numFmtId="192" formatCode="00\-000_)"/>
    <numFmt numFmtId="193" formatCode="_ * #,##0_ ;_ * \-#,##0_ ;_ * &quot;-&quot;_ ;_ @_ "/>
    <numFmt numFmtId="194" formatCode="_ * #,##0.00_ ;_ * \-#,##0.00_ ;_ * &quot;-&quot;??_ ;_ @_ "/>
    <numFmt numFmtId="195" formatCode="#,##0;\-#,##0;&quot;-&quot;"/>
    <numFmt numFmtId="196" formatCode="#,##0.0_);\(#,##0.0\)"/>
    <numFmt numFmtId="197" formatCode="_(* #,##0.0000_);_(* \(#,##0.0000\);_(* &quot;-&quot;??_);_(@_)"/>
    <numFmt numFmtId="198" formatCode="0.0%;[Red]\(0.0%\)"/>
    <numFmt numFmtId="199" formatCode="0%;[Red]\(0%\)"/>
    <numFmt numFmtId="200" formatCode="0.0%;\(0.0%\)"/>
    <numFmt numFmtId="201" formatCode="&quot;\&quot;#,##0;[Red]&quot;\&quot;&quot;\&quot;&quot;\&quot;&quot;\&quot;&quot;\&quot;&quot;\&quot;&quot;\&quot;\-#,##0"/>
    <numFmt numFmtId="202" formatCode="#,##0_%_);\(#,##0\)_%;#,##0_%_);@_%_)"/>
    <numFmt numFmtId="203" formatCode="#,##0_%_);\(#,##0\)_%;**;@_%_)"/>
    <numFmt numFmtId="204" formatCode="#,##0.00_%_);\(#,##0.00\)_%;#,##0.00_%_);@_%_)"/>
    <numFmt numFmtId="205" formatCode="dd/mm/yy;@"/>
    <numFmt numFmtId="206" formatCode="[$-409]mmm\-yy;@"/>
    <numFmt numFmtId="207" formatCode="???????"/>
    <numFmt numFmtId="208" formatCode="_(* #,##0_);_(* \(#,##0\);_(* &quot;-&quot;??_);_(@_)"/>
    <numFmt numFmtId="209" formatCode="&quot;$&quot;#,##0_%_);\(&quot;$&quot;#,##0\)_%;&quot;$&quot;#,##0_%_);@_%_)"/>
    <numFmt numFmtId="210" formatCode="&quot;$&quot;#,##0.00_%_);\(&quot;$&quot;#,##0.00\)_%;&quot;$&quot;#,##0.00_%_);@_%_)"/>
    <numFmt numFmtId="211" formatCode="\$#,##0\ ;\(\$#,##0\)"/>
    <numFmt numFmtId="212" formatCode="yy/mm/dd"/>
    <numFmt numFmtId="213" formatCode="dd\ mmm\ yy"/>
    <numFmt numFmtId="214" formatCode="m/d/yy_%_)"/>
    <numFmt numFmtId="215" formatCode="000000000000"/>
    <numFmt numFmtId="216" formatCode="d\-mmm\-yy\ h:mm\ AM/PM"/>
    <numFmt numFmtId="217" formatCode="* #,##0_);* \(#,##0\);&quot;-&quot;??_);@"/>
    <numFmt numFmtId="218" formatCode="_(&quot;$&quot;#,##0_);_(&quot;$&quot;\(#,##0\);_(&quot;$&quot;&quot;-&quot;_);_(@_)"/>
    <numFmt numFmtId="219" formatCode="0_%_);\(0\)_%;0_%_);@_%_)"/>
    <numFmt numFmtId="220" formatCode="_-[$€-2]* #,##0.00_-;\-[$€-2]* #,##0.00_-;_-[$€-2]* &quot;-&quot;??_-"/>
    <numFmt numFmtId="221" formatCode=".0%;\(.0%\)"/>
    <numFmt numFmtId="222" formatCode="0.0\%_);\(0.0\%\);0.0\%_);@_%_)"/>
    <numFmt numFmtId="223" formatCode="#,##0.00&quot; $&quot;;\-#,##0.00&quot; $&quot;"/>
    <numFmt numFmtId="224" formatCode=";;;"/>
    <numFmt numFmtId="225" formatCode="0;0;"/>
    <numFmt numFmtId="226" formatCode="&quot;$&quot;#,##0\ ;\(&quot;$&quot;#,##0\)"/>
    <numFmt numFmtId="227" formatCode="&quot;Nlg&quot;\ #,##0_);\(&quot;Nlg&quot;\ #,##0\)"/>
    <numFmt numFmtId="228" formatCode="_(&quot;Ch$&quot;* #,##0_);_(&quot;Ch$&quot;* \(#,##0\);_(&quot;Ch$&quot;* &quot;-&quot;_);_(@_)"/>
    <numFmt numFmtId="229" formatCode="_(&quot;Ch$&quot;* #,##0.00_);_(&quot;Ch$&quot;* \(#,##0.00\);_(&quot;Ch$&quot;* &quot;-&quot;??_);_(@_)"/>
    <numFmt numFmtId="230" formatCode="&quot;$&quot;\ #,##0_-;&quot;$&quot;\ #,##0\-"/>
    <numFmt numFmtId="231" formatCode="0.0\x_)_);&quot;NM&quot;_x_)_);0.0\x_)_);@_%_)"/>
    <numFmt numFmtId="232" formatCode="0.00_)"/>
    <numFmt numFmtId="233" formatCode="#,##0_);\(#,##0\);0_);@"/>
    <numFmt numFmtId="234" formatCode="0%_);\(0%\)"/>
    <numFmt numFmtId="235" formatCode="0%;\(0%\)"/>
    <numFmt numFmtId="236" formatCode="&quot;   &quot;@"/>
    <numFmt numFmtId="237" formatCode="_(* #,##0_);_(* \(#,##0\);_(* &quot;-&quot;_)"/>
    <numFmt numFmtId="238" formatCode="#,_);\(#,\)"/>
    <numFmt numFmtId="239" formatCode="0\ \ ;\(0\)\ \ \ "/>
    <numFmt numFmtId="240" formatCode="&quot;\&quot;#,##0;[Red]&quot;\&quot;&quot;\&quot;\-#,##0"/>
    <numFmt numFmtId="241" formatCode="&quot;\&quot;#,##0.00;[Red]&quot;\&quot;&quot;\&quot;&quot;\&quot;&quot;\&quot;&quot;\&quot;&quot;\&quot;\-#,##0.00"/>
    <numFmt numFmtId="242" formatCode="&quot;\&quot;#,##0.00;[Red]&quot;\&quot;\-#,##0.00"/>
    <numFmt numFmtId="243" formatCode="&quot;\&quot;#,##0;[Red]&quot;\&quot;\-#,##0"/>
    <numFmt numFmtId="244" formatCode="#,###"/>
    <numFmt numFmtId="245" formatCode="mm/dd"/>
    <numFmt numFmtId="246" formatCode="&quot;¥&quot;#,##0.00;[Red]&quot;¥&quot;\-#,##0.00"/>
    <numFmt numFmtId="247" formatCode="&quot;¥&quot;#,##0;[Red]&quot;¥&quot;\-#,##0"/>
    <numFmt numFmtId="248" formatCode="&quot;$&quot;#,##0.00_);[Red]&quot;\&quot;&quot;\&quot;&quot;\&quot;&quot;\&quot;&quot;\&quot;&quot;\&quot;&quot;\&quot;&quot;\&quot;&quot;\&quot;&quot;\&quot;&quot;\&quot;&quot;\&quot;&quot;\&quot;&quot;\&quot;&quot;\&quot;&quot;\&quot;&quot;\&quot;&quot;\&quot;&quot;\&quot;&quot;\&quot;&quot;\&quot;&quot;\&quot;&quot;\&quot;\(&quot;$&quot;#,##0.00&quot;\&quot;&quot;\&quot;&quot;\&quot;&quot;\&quot;&quot;\&quot;&quot;\&quot;&quot;\&quot;&quot;\&quot;&quot;\&quot;&quot;\&quot;&quot;\&quot;&quot;\&quot;&quot;\&quot;&quot;\&quot;&quot;\&quot;&quot;\&quot;&quot;\&quot;&quot;\&quot;&quot;\&quot;&quot;\&quot;&quot;\&quot;&quot;\&quot;&quot;\&quot;\)"/>
    <numFmt numFmtId="249" formatCode="&quot;¥&quot;#,##0;[Red]&quot;¥&quot;&quot;¥&quot;\-#,##0"/>
    <numFmt numFmtId="250" formatCode="#,##0\ ;\-#,##0"/>
    <numFmt numFmtId="251" formatCode="&quot;P&quot;#,##0.00_);\(&quot;P&quot;#,##0.00\)"/>
    <numFmt numFmtId="252" formatCode="&quot;P&quot;#,##0.00_);[Red]\(&quot;P&quot;#,##0.00\)"/>
    <numFmt numFmtId="253" formatCode="[Blue]\ \+#,##0;[Red]\-#,##0;\ \ \-\ \ "/>
    <numFmt numFmtId="254" formatCode="0.0000"/>
    <numFmt numFmtId="255" formatCode="[Blue]\ \+#,##0.0000;[Red]\-#,##0.0000;\ \ \-\ \ "/>
    <numFmt numFmtId="256" formatCode="_-* #,##0_-;\-* #,##0_-;_-* &quot;-&quot;??_-;_-@_-"/>
    <numFmt numFmtId="257" formatCode="#,##0;\(#,##0\);\ \-\ \ "/>
    <numFmt numFmtId="258" formatCode="0.00000%"/>
    <numFmt numFmtId="259" formatCode="0.000%"/>
    <numFmt numFmtId="260" formatCode="0.0000000%"/>
    <numFmt numFmtId="261" formatCode="[$-809]dd\ mmm\ yyyy;@"/>
    <numFmt numFmtId="262" formatCode="\+#,##0;\-#,##0;\ \ \-\ \ "/>
    <numFmt numFmtId="263" formatCode="0.0000000000"/>
    <numFmt numFmtId="264" formatCode="_-* #,##0.000_-;\-* #,##0.000_-;_-* &quot;-&quot;??_-;_-@_-"/>
    <numFmt numFmtId="265" formatCode="#,##0;\(#,##0\);\ \ \-\ "/>
    <numFmt numFmtId="266" formatCode="#,##0.0;\(#,##0.0\);\ \ \-\ "/>
    <numFmt numFmtId="267" formatCode="#,##0_ ;\-#,##0\ "/>
    <numFmt numFmtId="268" formatCode="#,##0.000;\-#,##0.000;\ \ \-\ \ "/>
    <numFmt numFmtId="269" formatCode="\+\ 0.0%;[Red]\-\ 0.0%;\ \ \-\ \ "/>
    <numFmt numFmtId="270" formatCode="#,##0.0;[Red]\-#,##0.0"/>
    <numFmt numFmtId="271" formatCode="\+\ 0.00%;[Red]\-\ 0.00%;\ \ \-\ \ "/>
    <numFmt numFmtId="272" formatCode="_(* #,##0.000_);_(* \(#,##0.000\);_(* &quot;-&quot;??_);_(@_)"/>
    <numFmt numFmtId="273" formatCode="_-&quot;$&quot;* #,##0_-;\-&quot;$&quot;* #,##0_-;_-&quot;$&quot;* &quot;-&quot;??_-;_-@_-"/>
    <numFmt numFmtId="274" formatCode="_-&quot;$&quot;* #,##0.0000_-;\-&quot;$&quot;* #,##0.0000_-;_-&quot;$&quot;* &quot;-&quot;??_-;_-@_-"/>
    <numFmt numFmtId="275" formatCode="#,##0.000000000"/>
    <numFmt numFmtId="276" formatCode="\+\ 0%;[Red]\-\ 0%;\ \ \-\ \ "/>
    <numFmt numFmtId="281" formatCode="_-* #,##0.0000_-;\-* #,##0.0000_-;_-* &quot;-&quot;??_-;_-@_-"/>
  </numFmts>
  <fonts count="327"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sz val="9"/>
      <color theme="1"/>
      <name val="Calibri"/>
      <family val="2"/>
      <charset val="136"/>
      <scheme val="minor"/>
    </font>
    <font>
      <b/>
      <sz val="9"/>
      <color indexed="81"/>
      <name val="Tahoma"/>
      <family val="2"/>
    </font>
    <font>
      <i/>
      <sz val="10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b/>
      <sz val="11"/>
      <color theme="1"/>
      <name val="Arial"/>
      <family val="2"/>
    </font>
    <font>
      <sz val="11"/>
      <color rgb="FF0070C0"/>
      <name val="Arial"/>
      <family val="2"/>
    </font>
    <font>
      <sz val="11"/>
      <color theme="5" tint="-0.249977111117893"/>
      <name val="Arial"/>
      <family val="2"/>
    </font>
    <font>
      <i/>
      <sz val="11"/>
      <color rgb="FF0000FF"/>
      <name val="Arial"/>
      <family val="2"/>
    </font>
    <font>
      <b/>
      <sz val="11"/>
      <color rgb="FFFF0000"/>
      <name val="Arial"/>
      <family val="2"/>
    </font>
    <font>
      <i/>
      <sz val="8"/>
      <color theme="1"/>
      <name val="Arial"/>
      <family val="2"/>
    </font>
    <font>
      <sz val="11"/>
      <color rgb="FFFF0000"/>
      <name val="Arial"/>
      <family val="2"/>
    </font>
    <font>
      <b/>
      <sz val="12"/>
      <color theme="1"/>
      <name val="Arial"/>
      <family val="2"/>
    </font>
    <font>
      <sz val="11"/>
      <color theme="3" tint="0.39997558519241921"/>
      <name val="Arial"/>
      <family val="2"/>
    </font>
    <font>
      <b/>
      <sz val="11"/>
      <color theme="3" tint="0.39997558519241921"/>
      <name val="Arial"/>
      <family val="2"/>
    </font>
    <font>
      <sz val="11"/>
      <color theme="9" tint="-0.249977111117893"/>
      <name val="Arial"/>
      <family val="2"/>
    </font>
    <font>
      <u/>
      <sz val="11"/>
      <color theme="1"/>
      <name val="Arial"/>
      <family val="2"/>
    </font>
    <font>
      <sz val="11"/>
      <color indexed="8"/>
      <name val="Calibri"/>
      <family val="2"/>
      <charset val="136"/>
    </font>
    <font>
      <b/>
      <u/>
      <sz val="11"/>
      <color indexed="8"/>
      <name val="Calibri"/>
      <family val="2"/>
    </font>
    <font>
      <b/>
      <u/>
      <sz val="11"/>
      <color theme="1"/>
      <name val="Calibri"/>
      <family val="2"/>
      <scheme val="minor"/>
    </font>
    <font>
      <sz val="11"/>
      <color rgb="FFFF0000"/>
      <name val="Calibri"/>
      <family val="2"/>
      <charset val="136"/>
      <scheme val="minor"/>
    </font>
    <font>
      <sz val="11"/>
      <name val="Arial"/>
      <family val="2"/>
    </font>
    <font>
      <b/>
      <sz val="11"/>
      <name val="Arial"/>
      <family val="2"/>
    </font>
    <font>
      <i/>
      <sz val="11"/>
      <color theme="3" tint="0.39997558519241921"/>
      <name val="Arial"/>
      <family val="2"/>
    </font>
    <font>
      <b/>
      <i/>
      <sz val="11"/>
      <color theme="3" tint="0.39997558519241921"/>
      <name val="Arial"/>
      <family val="2"/>
    </font>
    <font>
      <b/>
      <sz val="13"/>
      <color theme="1"/>
      <name val="Arial"/>
      <family val="2"/>
    </font>
    <font>
      <b/>
      <sz val="13"/>
      <color rgb="FF0000FF"/>
      <name val="Arial"/>
      <family val="2"/>
    </font>
    <font>
      <b/>
      <sz val="13"/>
      <name val="Arial"/>
      <family val="2"/>
    </font>
    <font>
      <b/>
      <sz val="13"/>
      <color rgb="FFFF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2"/>
      <name val="????"/>
      <family val="1"/>
    </font>
    <font>
      <u/>
      <sz val="10"/>
      <color indexed="12"/>
      <name val="MS Sans Serif"/>
      <family val="2"/>
    </font>
    <font>
      <sz val="12"/>
      <name val="Times New Roman"/>
      <family val="1"/>
    </font>
    <font>
      <sz val="12"/>
      <name val="?¡¤????"/>
      <charset val="134"/>
    </font>
    <font>
      <sz val="12"/>
      <name val="???"/>
      <family val="3"/>
      <charset val="129"/>
    </font>
    <font>
      <u/>
      <sz val="10"/>
      <color indexed="14"/>
      <name val="MS Sans Serif"/>
      <family val="2"/>
    </font>
    <font>
      <sz val="10"/>
      <color indexed="8"/>
      <name val="Arial"/>
      <family val="2"/>
    </font>
    <font>
      <sz val="10"/>
      <name val="Helv"/>
      <family val="2"/>
    </font>
    <font>
      <sz val="10"/>
      <color indexed="8"/>
      <name val="MS Sans Serif"/>
      <family val="2"/>
    </font>
    <font>
      <sz val="9"/>
      <name val="Book Antiqua"/>
      <family val="1"/>
    </font>
    <font>
      <u/>
      <sz val="10"/>
      <color indexed="12"/>
      <name val="Footlight MT Light"/>
      <family val="1"/>
    </font>
    <font>
      <u/>
      <sz val="10"/>
      <color indexed="36"/>
      <name val="Arial"/>
      <family val="2"/>
    </font>
    <font>
      <u/>
      <sz val="7.5"/>
      <color indexed="12"/>
      <name val="Arial"/>
      <family val="2"/>
    </font>
    <font>
      <sz val="12"/>
      <name val="楷体"/>
      <family val="3"/>
    </font>
    <font>
      <sz val="11"/>
      <color indexed="8"/>
      <name val="新細明體"/>
      <family val="1"/>
      <charset val="136"/>
    </font>
    <font>
      <sz val="11"/>
      <color indexed="8"/>
      <name val="Calibri"/>
      <family val="2"/>
    </font>
    <font>
      <sz val="12"/>
      <color theme="1"/>
      <name val="Calibri"/>
      <family val="2"/>
      <charset val="136"/>
      <scheme val="minor"/>
    </font>
    <font>
      <sz val="12"/>
      <name val="Courier"/>
      <family val="3"/>
    </font>
    <font>
      <u/>
      <sz val="12"/>
      <color indexed="12"/>
      <name val="ËÎÌå"/>
      <charset val="134"/>
    </font>
    <font>
      <sz val="12"/>
      <name val="?Ia"/>
      <family val="1"/>
    </font>
    <font>
      <sz val="12"/>
      <name val="Arial"/>
      <family val="2"/>
    </font>
    <font>
      <sz val="11"/>
      <color indexed="9"/>
      <name val="新細明體"/>
      <family val="1"/>
      <charset val="136"/>
    </font>
    <font>
      <sz val="11"/>
      <color indexed="9"/>
      <name val="Calibri"/>
      <family val="2"/>
    </font>
    <font>
      <sz val="10"/>
      <name val="Courier New"/>
      <family val="3"/>
    </font>
    <font>
      <sz val="12"/>
      <name val="â·ö ¸þ"/>
      <charset val="134"/>
    </font>
    <font>
      <sz val="12"/>
      <name val="新細明體"/>
      <family val="1"/>
      <charset val="136"/>
    </font>
    <font>
      <sz val="8"/>
      <name val="Times New Roman"/>
      <family val="1"/>
    </font>
    <font>
      <sz val="11"/>
      <name val="µ¸¿ò"/>
      <family val="3"/>
      <charset val="129"/>
    </font>
    <font>
      <sz val="12"/>
      <color rgb="FF9C0006"/>
      <name val="Calibri"/>
      <family val="2"/>
      <charset val="136"/>
      <scheme val="minor"/>
    </font>
    <font>
      <sz val="11"/>
      <color indexed="20"/>
      <name val="Calibri"/>
      <family val="2"/>
    </font>
    <font>
      <sz val="12"/>
      <color indexed="20"/>
      <name val="Calibri"/>
      <family val="2"/>
      <charset val="136"/>
    </font>
    <font>
      <sz val="12"/>
      <name val="Tms Rmn"/>
      <family val="1"/>
    </font>
    <font>
      <sz val="12"/>
      <name val="¹ÙÅÁÃ¼"/>
      <family val="3"/>
      <charset val="129"/>
    </font>
    <font>
      <b/>
      <sz val="11"/>
      <color indexed="52"/>
      <name val="新細明體"/>
      <family val="1"/>
      <charset val="136"/>
    </font>
    <font>
      <b/>
      <sz val="11"/>
      <color indexed="52"/>
      <name val="Calibri"/>
      <family val="2"/>
    </font>
    <font>
      <sz val="11"/>
      <name val="華康中楷體"/>
      <family val="3"/>
      <charset val="136"/>
    </font>
    <font>
      <b/>
      <sz val="11"/>
      <color indexed="9"/>
      <name val="新細明體"/>
      <family val="1"/>
      <charset val="136"/>
    </font>
    <font>
      <b/>
      <sz val="11"/>
      <color indexed="9"/>
      <name val="Calibri"/>
      <family val="2"/>
    </font>
    <font>
      <u/>
      <sz val="10"/>
      <color indexed="12"/>
      <name val="Arial"/>
      <family val="2"/>
    </font>
    <font>
      <i/>
      <sz val="12"/>
      <name val="Times New Roman"/>
      <family val="1"/>
    </font>
    <font>
      <sz val="8"/>
      <name val="Palatino"/>
      <family val="1"/>
    </font>
    <font>
      <sz val="8"/>
      <name val="Arial"/>
      <family val="2"/>
    </font>
    <font>
      <sz val="12"/>
      <color theme="1"/>
      <name val="Calibri"/>
      <family val="1"/>
      <charset val="136"/>
      <scheme val="minor"/>
    </font>
    <font>
      <sz val="11"/>
      <color theme="1"/>
      <name val="Calibri"/>
      <family val="2"/>
      <charset val="136"/>
    </font>
    <font>
      <sz val="11"/>
      <color theme="1"/>
      <name val="Calibri"/>
      <family val="1"/>
      <charset val="136"/>
      <scheme val="minor"/>
    </font>
    <font>
      <sz val="10"/>
      <name val="Arial"/>
      <family val="2"/>
      <charset val="204"/>
    </font>
    <font>
      <sz val="11"/>
      <name val="Calibri"/>
      <family val="2"/>
      <scheme val="minor"/>
    </font>
    <font>
      <sz val="9"/>
      <name val="宋体"/>
      <family val="3"/>
      <charset val="136"/>
    </font>
    <font>
      <sz val="9"/>
      <name val="宋体"/>
      <charset val="134"/>
    </font>
    <font>
      <sz val="12"/>
      <color indexed="8"/>
      <name val="新細明體"/>
      <family val="1"/>
      <charset val="136"/>
    </font>
    <font>
      <b/>
      <sz val="9"/>
      <color indexed="81"/>
      <name val="新細明體"/>
      <family val="1"/>
      <charset val="136"/>
    </font>
    <font>
      <b/>
      <sz val="10"/>
      <name val="Arial"/>
      <family val="2"/>
    </font>
    <font>
      <sz val="10"/>
      <name val="MS Serif"/>
      <family val="1"/>
    </font>
    <font>
      <b/>
      <sz val="9"/>
      <name val="新細明體"/>
      <family val="1"/>
      <charset val="136"/>
    </font>
    <font>
      <sz val="10"/>
      <name val="Tms Rmn"/>
      <family val="1"/>
    </font>
    <font>
      <sz val="10"/>
      <name val="Times New Roman"/>
      <family val="1"/>
    </font>
    <font>
      <sz val="12"/>
      <name val="宋体"/>
      <charset val="134"/>
    </font>
    <font>
      <sz val="12"/>
      <name val="times"/>
      <family val="1"/>
    </font>
    <font>
      <sz val="10"/>
      <color indexed="16"/>
      <name val="MS Serif"/>
      <family val="1"/>
    </font>
    <font>
      <sz val="9"/>
      <name val="Times New Roman"/>
      <family val="1"/>
    </font>
    <font>
      <i/>
      <sz val="11"/>
      <color indexed="23"/>
      <name val="新細明體"/>
      <family val="1"/>
      <charset val="136"/>
    </font>
    <font>
      <i/>
      <sz val="11"/>
      <color indexed="23"/>
      <name val="Calibri"/>
      <family val="2"/>
    </font>
    <font>
      <sz val="7"/>
      <name val="Palatino"/>
      <family val="1"/>
    </font>
    <font>
      <sz val="10"/>
      <name val="Courier"/>
      <family val="3"/>
    </font>
    <font>
      <sz val="11"/>
      <color indexed="17"/>
      <name val="新細明體"/>
      <family val="1"/>
      <charset val="136"/>
    </font>
    <font>
      <sz val="11"/>
      <color indexed="17"/>
      <name val="Calibri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5"/>
      <color indexed="56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新細明體"/>
      <family val="1"/>
      <charset val="136"/>
    </font>
    <font>
      <b/>
      <sz val="13"/>
      <color indexed="56"/>
      <name val="Calibri"/>
      <family val="2"/>
    </font>
    <font>
      <b/>
      <sz val="11"/>
      <color indexed="56"/>
      <name val="新細明體"/>
      <family val="1"/>
      <charset val="136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0"/>
      <color indexed="12"/>
      <name val="Arial"/>
      <family val="2"/>
    </font>
    <font>
      <sz val="11"/>
      <color indexed="62"/>
      <name val="新細明體"/>
      <family val="1"/>
      <charset val="136"/>
    </font>
    <font>
      <sz val="11"/>
      <color indexed="62"/>
      <name val="Calibri"/>
      <family val="2"/>
    </font>
    <font>
      <sz val="12"/>
      <name val="Helv"/>
      <family val="2"/>
    </font>
    <font>
      <sz val="10"/>
      <name val="AA Condensed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sz val="11"/>
      <name val="Times New Roman"/>
      <family val="1"/>
    </font>
    <font>
      <b/>
      <sz val="14"/>
      <name val="HP-TIMES"/>
      <family val="2"/>
    </font>
    <font>
      <sz val="11"/>
      <color indexed="52"/>
      <name val="新細明體"/>
      <family val="1"/>
      <charset val="136"/>
    </font>
    <font>
      <sz val="11"/>
      <color indexed="52"/>
      <name val="Calibri"/>
      <family val="2"/>
    </font>
    <font>
      <sz val="12"/>
      <color indexed="9"/>
      <name val="Helv"/>
      <family val="2"/>
    </font>
    <font>
      <sz val="10"/>
      <name val="MS Sans Serif"/>
      <family val="2"/>
    </font>
    <font>
      <sz val="11"/>
      <color indexed="60"/>
      <name val="新細明體"/>
      <family val="1"/>
      <charset val="136"/>
    </font>
    <font>
      <sz val="11"/>
      <color indexed="60"/>
      <name val="Calibri"/>
      <family val="2"/>
    </font>
    <font>
      <sz val="7"/>
      <name val="Small Fonts"/>
      <family val="2"/>
    </font>
    <font>
      <sz val="11"/>
      <name val="Helv"/>
      <family val="2"/>
    </font>
    <font>
      <b/>
      <i/>
      <sz val="16"/>
      <name val="Helv"/>
      <family val="2"/>
    </font>
    <font>
      <sz val="12"/>
      <name val="細明體"/>
      <family val="3"/>
      <charset val="136"/>
    </font>
    <font>
      <sz val="12"/>
      <color indexed="8"/>
      <name val="Calibri"/>
      <family val="2"/>
      <charset val="136"/>
    </font>
    <font>
      <sz val="11"/>
      <name val="Calibri"/>
      <family val="1"/>
      <scheme val="minor"/>
    </font>
    <font>
      <sz val="11"/>
      <color indexed="8"/>
      <name val="Calibri"/>
      <family val="1"/>
      <charset val="136"/>
    </font>
    <font>
      <sz val="12"/>
      <color indexed="8"/>
      <name val="Calibri"/>
      <family val="1"/>
      <charset val="136"/>
    </font>
    <font>
      <b/>
      <sz val="8"/>
      <color indexed="81"/>
      <name val="Tahoma"/>
      <family val="2"/>
    </font>
    <font>
      <sz val="10"/>
      <name val="Palatino"/>
      <family val="1"/>
    </font>
    <font>
      <sz val="12"/>
      <name val="ÐÂ¼šÃ÷ów"/>
      <charset val="134"/>
    </font>
    <font>
      <sz val="12"/>
      <name val="ÐÂ¼Ã÷ów"/>
      <charset val="134"/>
    </font>
    <font>
      <u/>
      <sz val="12"/>
      <color indexed="36"/>
      <name val="ËÎÌå"/>
      <charset val="134"/>
    </font>
    <font>
      <b/>
      <sz val="11"/>
      <color indexed="63"/>
      <name val="新細明體"/>
      <family val="1"/>
      <charset val="136"/>
    </font>
    <font>
      <b/>
      <sz val="11"/>
      <color indexed="63"/>
      <name val="Calibri"/>
      <family val="2"/>
    </font>
    <font>
      <sz val="11"/>
      <color indexed="8"/>
      <name val="Times New Roman"/>
      <family val="1"/>
    </font>
    <font>
      <sz val="10"/>
      <color indexed="16"/>
      <name val="Helvetica-Black"/>
      <family val="2"/>
    </font>
    <font>
      <b/>
      <sz val="10"/>
      <name val="Times New Roman"/>
      <family val="1"/>
    </font>
    <font>
      <b/>
      <sz val="10"/>
      <color indexed="8"/>
      <name val="Arial Narrow"/>
      <family val="2"/>
    </font>
    <font>
      <b/>
      <sz val="10"/>
      <name val="MS Sans Serif"/>
      <family val="2"/>
    </font>
    <font>
      <sz val="8"/>
      <name val="Wingdings"/>
      <charset val="2"/>
    </font>
    <font>
      <sz val="8"/>
      <color indexed="16"/>
      <name val="Century Schoolbook"/>
      <family val="1"/>
    </font>
    <font>
      <sz val="8"/>
      <name val="Helv"/>
      <family val="2"/>
    </font>
    <font>
      <sz val="9.5"/>
      <color indexed="23"/>
      <name val="Helvetica-Black"/>
      <family val="2"/>
    </font>
    <font>
      <b/>
      <i/>
      <sz val="10"/>
      <name val="Times New Roman"/>
      <family val="1"/>
    </font>
    <font>
      <b/>
      <sz val="14"/>
      <color indexed="9"/>
      <name val="Times New Roman"/>
      <family val="1"/>
    </font>
    <font>
      <sz val="8"/>
      <name val="MS Sans Serif"/>
      <family val="2"/>
    </font>
    <font>
      <b/>
      <sz val="10"/>
      <name val="Tms Rmn"/>
      <family val="1"/>
    </font>
    <font>
      <b/>
      <sz val="8"/>
      <color indexed="8"/>
      <name val="Helv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b/>
      <sz val="10"/>
      <name val="Palatino"/>
      <family val="1"/>
    </font>
    <font>
      <b/>
      <sz val="8"/>
      <name val="Arial"/>
      <family val="2"/>
    </font>
    <font>
      <sz val="9"/>
      <name val="Helvetica-Black"/>
      <family val="2"/>
    </font>
    <font>
      <sz val="12"/>
      <color indexed="8"/>
      <name val="Palatino"/>
      <family val="1"/>
    </font>
    <font>
      <sz val="11"/>
      <color indexed="8"/>
      <name val="Helvetica-Black"/>
      <family val="2"/>
    </font>
    <font>
      <b/>
      <sz val="10"/>
      <name val="Monotype Sorts"/>
      <family val="2"/>
    </font>
    <font>
      <b/>
      <sz val="10"/>
      <color indexed="10"/>
      <name val="Arial"/>
      <family val="2"/>
    </font>
    <font>
      <b/>
      <sz val="11"/>
      <name val="Times New Roman"/>
      <family val="1"/>
    </font>
    <font>
      <sz val="24"/>
      <color indexed="13"/>
      <name val="HP-TIMES"/>
      <family val="2"/>
    </font>
    <font>
      <b/>
      <sz val="18"/>
      <color indexed="56"/>
      <name val="新細明體"/>
      <family val="1"/>
      <charset val="136"/>
    </font>
    <font>
      <b/>
      <sz val="18"/>
      <color indexed="56"/>
      <name val="Cambria"/>
      <family val="1"/>
    </font>
    <font>
      <b/>
      <sz val="11"/>
      <color indexed="8"/>
      <name val="新細明體"/>
      <family val="1"/>
      <charset val="136"/>
    </font>
    <font>
      <b/>
      <sz val="11"/>
      <color indexed="8"/>
      <name val="Calibri"/>
      <family val="2"/>
    </font>
    <font>
      <u/>
      <sz val="8"/>
      <color indexed="8"/>
      <name val="Arial"/>
      <family val="2"/>
    </font>
    <font>
      <sz val="8"/>
      <color indexed="12"/>
      <name val="Arial"/>
      <family val="2"/>
    </font>
    <font>
      <sz val="11"/>
      <color indexed="10"/>
      <name val="新細明體"/>
      <family val="1"/>
      <charset val="136"/>
    </font>
    <font>
      <sz val="11"/>
      <color indexed="10"/>
      <name val="Calibri"/>
      <family val="2"/>
    </font>
    <font>
      <b/>
      <i/>
      <sz val="8"/>
      <name val="Helv"/>
      <family val="2"/>
    </font>
    <font>
      <sz val="11"/>
      <name val="明朝"/>
      <charset val="134"/>
    </font>
    <font>
      <sz val="12"/>
      <name val="夥鰻羹"/>
      <family val="1"/>
      <charset val="136"/>
    </font>
    <font>
      <sz val="12"/>
      <name val="冼极"/>
      <family val="1"/>
      <charset val="136"/>
    </font>
    <font>
      <b/>
      <sz val="9"/>
      <name val="細明體"/>
      <family val="3"/>
      <charset val="136"/>
    </font>
    <font>
      <b/>
      <sz val="12"/>
      <name val="Times New Roman"/>
      <family val="1"/>
    </font>
    <font>
      <sz val="11"/>
      <name val="Calibri"/>
      <family val="2"/>
    </font>
    <font>
      <sz val="11"/>
      <color theme="1"/>
      <name val="Calibri"/>
      <family val="2"/>
    </font>
    <font>
      <sz val="12"/>
      <name val="SimSun"/>
    </font>
    <font>
      <sz val="12"/>
      <color theme="1"/>
      <name val="Calibri"/>
      <family val="1"/>
      <scheme val="minor"/>
    </font>
    <font>
      <sz val="11"/>
      <color theme="1"/>
      <name val="Calibri"/>
      <family val="1"/>
      <scheme val="minor"/>
    </font>
    <font>
      <sz val="12"/>
      <color indexed="20"/>
      <name val="新細明體"/>
      <family val="1"/>
      <charset val="136"/>
    </font>
    <font>
      <sz val="12"/>
      <color indexed="17"/>
      <name val="新細明體"/>
      <family val="1"/>
      <charset val="136"/>
    </font>
    <font>
      <sz val="14"/>
      <name val="柧挬"/>
      <family val="2"/>
    </font>
    <font>
      <sz val="12"/>
      <name val="柧挬"/>
      <family val="2"/>
    </font>
    <font>
      <sz val="10"/>
      <name val="Geneva"/>
      <family val="2"/>
    </font>
    <font>
      <b/>
      <sz val="12"/>
      <color indexed="9"/>
      <name val="宋体"/>
      <charset val="134"/>
    </font>
    <font>
      <sz val="8"/>
      <name val="Century Schoolbook"/>
      <family val="1"/>
    </font>
    <font>
      <sz val="11"/>
      <color indexed="56"/>
      <name val="Times New Roman"/>
      <family val="1"/>
    </font>
    <font>
      <sz val="12"/>
      <name val="Arial MT"/>
      <family val="2"/>
    </font>
    <font>
      <sz val="12"/>
      <name val="官帕眉"/>
      <family val="2"/>
    </font>
    <font>
      <u/>
      <sz val="12"/>
      <color indexed="36"/>
      <name val="冼极"/>
      <family val="1"/>
      <charset val="136"/>
    </font>
    <font>
      <u/>
      <sz val="11"/>
      <color theme="10"/>
      <name val="Calibri"/>
      <family val="2"/>
      <charset val="136"/>
      <scheme val="minor"/>
    </font>
    <font>
      <sz val="12"/>
      <color indexed="62"/>
      <name val="宋体"/>
      <charset val="134"/>
    </font>
    <font>
      <sz val="10"/>
      <name val="奔覆眉"/>
      <family val="2"/>
    </font>
    <font>
      <u/>
      <sz val="12"/>
      <color indexed="12"/>
      <name val="冼极"/>
      <family val="1"/>
      <charset val="136"/>
    </font>
    <font>
      <u/>
      <sz val="12"/>
      <color indexed="36"/>
      <name val="新細明體"/>
      <family val="1"/>
      <charset val="136"/>
    </font>
    <font>
      <sz val="8"/>
      <color theme="3" tint="0.39997558519241921"/>
      <name val="Arial"/>
      <family val="2"/>
    </font>
    <font>
      <sz val="10"/>
      <color theme="3" tint="0.3999755851924192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indexed="8"/>
      <name val="Arial"/>
      <family val="2"/>
    </font>
    <font>
      <b/>
      <sz val="10"/>
      <color theme="0"/>
      <name val="Arial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2"/>
      <color theme="1"/>
      <name val="Calibri"/>
      <family val="2"/>
      <charset val="136"/>
    </font>
    <font>
      <sz val="10"/>
      <color theme="1"/>
      <name val="Arial Unicode MS"/>
      <family val="2"/>
      <charset val="136"/>
    </font>
    <font>
      <b/>
      <sz val="10"/>
      <color theme="1"/>
      <name val="Arial Unicode MS"/>
      <family val="2"/>
      <charset val="136"/>
    </font>
    <font>
      <sz val="10"/>
      <name val="Arial Unicode MS"/>
      <family val="2"/>
      <charset val="136"/>
    </font>
    <font>
      <b/>
      <sz val="10"/>
      <name val="Arial Unicode MS"/>
      <family val="2"/>
      <charset val="136"/>
    </font>
    <font>
      <b/>
      <sz val="12"/>
      <color theme="1"/>
      <name val="Arial Unicode MS"/>
      <family val="2"/>
      <charset val="136"/>
    </font>
    <font>
      <b/>
      <i/>
      <sz val="10"/>
      <color theme="3"/>
      <name val="Arial Unicode MS"/>
      <family val="2"/>
      <charset val="136"/>
    </font>
    <font>
      <b/>
      <sz val="10"/>
      <color theme="1"/>
      <name val="Arial Unicode MS"/>
      <family val="2"/>
    </font>
    <font>
      <b/>
      <sz val="11"/>
      <name val="Calibri"/>
      <family val="2"/>
      <scheme val="minor"/>
    </font>
    <font>
      <sz val="11"/>
      <color theme="1"/>
      <name val="Arial Unicode MS"/>
      <family val="2"/>
      <charset val="136"/>
    </font>
    <font>
      <b/>
      <sz val="11"/>
      <color theme="1"/>
      <name val="Arial Unicode MS"/>
      <family val="2"/>
      <charset val="136"/>
    </font>
    <font>
      <b/>
      <u/>
      <sz val="11"/>
      <color theme="1"/>
      <name val="Arial Unicode MS"/>
      <family val="2"/>
      <charset val="136"/>
    </font>
    <font>
      <b/>
      <sz val="11"/>
      <color indexed="81"/>
      <name val="Tahoma"/>
      <family val="2"/>
    </font>
    <font>
      <sz val="11"/>
      <name val="Calibri"/>
      <family val="2"/>
      <charset val="136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charset val="136"/>
      <scheme val="minor"/>
    </font>
    <font>
      <b/>
      <sz val="11"/>
      <color rgb="FFFF0000"/>
      <name val="Calibri"/>
      <family val="2"/>
      <scheme val="minor"/>
    </font>
    <font>
      <sz val="12"/>
      <color theme="1"/>
      <name val="Arial"/>
      <family val="2"/>
    </font>
    <font>
      <b/>
      <i/>
      <sz val="11"/>
      <color theme="6" tint="-0.249977111117893"/>
      <name val="Arial"/>
      <family val="2"/>
    </font>
    <font>
      <sz val="11"/>
      <color theme="8" tint="-0.249977111117893"/>
      <name val="Arial"/>
      <family val="2"/>
    </font>
    <font>
      <b/>
      <sz val="10"/>
      <color theme="1"/>
      <name val="Arial Unicode MS"/>
      <family val="2"/>
      <charset val="134"/>
    </font>
    <font>
      <i/>
      <sz val="11"/>
      <name val="Arial"/>
      <family val="2"/>
    </font>
    <font>
      <i/>
      <sz val="8"/>
      <name val="Arial"/>
      <family val="2"/>
    </font>
    <font>
      <sz val="12"/>
      <name val="Calibri"/>
      <family val="2"/>
      <charset val="136"/>
      <scheme val="minor"/>
    </font>
    <font>
      <sz val="10"/>
      <color theme="1"/>
      <name val="Calibri"/>
      <family val="2"/>
      <scheme val="minor"/>
    </font>
    <font>
      <sz val="11"/>
      <color theme="9" tint="-0.249977111117893"/>
      <name val="Calibri"/>
      <family val="2"/>
      <charset val="136"/>
      <scheme val="minor"/>
    </font>
    <font>
      <b/>
      <sz val="11"/>
      <color rgb="FF00B05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1"/>
      <name val="Calibri"/>
      <family val="2"/>
      <charset val="136"/>
      <scheme val="minor"/>
    </font>
    <font>
      <b/>
      <sz val="11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i/>
      <sz val="11"/>
      <name val="Calibri"/>
      <family val="2"/>
      <scheme val="minor"/>
    </font>
    <font>
      <b/>
      <sz val="10"/>
      <name val="Arial Unicode MS"/>
      <family val="2"/>
    </font>
    <font>
      <sz val="8"/>
      <color theme="1"/>
      <name val="Calibri"/>
      <family val="2"/>
      <scheme val="minor"/>
    </font>
    <font>
      <b/>
      <i/>
      <sz val="9"/>
      <color rgb="FF0070C0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b/>
      <sz val="11"/>
      <color rgb="FF0D13FF"/>
      <name val="Arial"/>
      <family val="2"/>
    </font>
    <font>
      <u/>
      <sz val="11"/>
      <color theme="1"/>
      <name val="Calibri"/>
      <family val="2"/>
      <charset val="136"/>
      <scheme val="minor"/>
    </font>
    <font>
      <sz val="12"/>
      <color theme="1"/>
      <name val="Arial Unicode MS"/>
      <family val="2"/>
      <charset val="136"/>
    </font>
    <font>
      <b/>
      <i/>
      <sz val="11"/>
      <color theme="5" tint="-0.249977111117893"/>
      <name val="Arial"/>
      <family val="2"/>
    </font>
    <font>
      <i/>
      <sz val="11"/>
      <color theme="5" tint="-0.249977111117893"/>
      <name val="Calibri"/>
      <family val="2"/>
      <charset val="136"/>
      <scheme val="minor"/>
    </font>
    <font>
      <b/>
      <i/>
      <sz val="11"/>
      <color theme="1"/>
      <name val="Arial"/>
      <family val="2"/>
    </font>
    <font>
      <b/>
      <sz val="11"/>
      <color rgb="FF00B0F0"/>
      <name val="Arial"/>
      <family val="2"/>
    </font>
    <font>
      <b/>
      <sz val="11"/>
      <color theme="5" tint="0.39997558519241921"/>
      <name val="Arial"/>
      <family val="2"/>
    </font>
    <font>
      <sz val="11"/>
      <color theme="5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0"/>
      <color rgb="FFFF0000"/>
      <name val="Arial"/>
      <family val="2"/>
    </font>
    <font>
      <i/>
      <sz val="10"/>
      <name val="Arial"/>
      <family val="2"/>
    </font>
    <font>
      <b/>
      <i/>
      <sz val="10"/>
      <name val="Arial"/>
      <family val="2"/>
    </font>
    <font>
      <sz val="10"/>
      <color theme="1"/>
      <name val="Arial Unicode MS"/>
      <family val="2"/>
    </font>
    <font>
      <i/>
      <sz val="10"/>
      <color theme="1"/>
      <name val="Arial Unicode MS"/>
      <family val="2"/>
    </font>
    <font>
      <sz val="10"/>
      <name val="Arial Unicode MS"/>
      <family val="2"/>
    </font>
    <font>
      <i/>
      <sz val="10"/>
      <name val="Arial Unicode MS"/>
      <family val="2"/>
    </font>
    <font>
      <u val="singleAccounting"/>
      <sz val="10"/>
      <name val="Arial Unicode MS"/>
      <family val="2"/>
      <charset val="136"/>
    </font>
    <font>
      <b/>
      <i/>
      <sz val="10"/>
      <color theme="3"/>
      <name val="Arial Unicode MS"/>
      <family val="2"/>
    </font>
    <font>
      <b/>
      <i/>
      <sz val="10"/>
      <color theme="1"/>
      <name val="Arial Unicode MS"/>
      <family val="2"/>
    </font>
    <font>
      <b/>
      <i/>
      <sz val="10"/>
      <name val="Arial Unicode MS"/>
      <family val="2"/>
      <charset val="136"/>
    </font>
    <font>
      <sz val="12"/>
      <name val="Arial Unicode MS"/>
      <family val="2"/>
      <charset val="136"/>
    </font>
    <font>
      <b/>
      <i/>
      <sz val="12"/>
      <color theme="1"/>
      <name val="Arial Unicode MS"/>
      <family val="2"/>
    </font>
    <font>
      <b/>
      <i/>
      <sz val="10"/>
      <color theme="4"/>
      <name val="Arial Unicode MS"/>
      <family val="2"/>
      <charset val="134"/>
    </font>
    <font>
      <b/>
      <i/>
      <sz val="12"/>
      <color theme="4"/>
      <name val="Arial Unicode MS"/>
      <family val="2"/>
      <charset val="136"/>
    </font>
    <font>
      <b/>
      <sz val="12"/>
      <color theme="1"/>
      <name val="Arial Unicode MS"/>
      <family val="2"/>
      <charset val="134"/>
    </font>
    <font>
      <sz val="9"/>
      <name val="Calibri"/>
      <family val="2"/>
      <charset val="136"/>
      <scheme val="minor"/>
    </font>
    <font>
      <i/>
      <sz val="11"/>
      <color theme="1"/>
      <name val="Arial"/>
      <family val="2"/>
    </font>
    <font>
      <b/>
      <sz val="11"/>
      <color theme="0" tint="-0.249977111117893"/>
      <name val="Arial"/>
      <family val="2"/>
    </font>
    <font>
      <sz val="11"/>
      <color theme="0" tint="-0.249977111117893"/>
      <name val="Arial"/>
      <family val="2"/>
    </font>
    <font>
      <sz val="11"/>
      <color theme="0" tint="-0.249977111117893"/>
      <name val="Calibri"/>
      <family val="2"/>
      <charset val="136"/>
      <scheme val="minor"/>
    </font>
    <font>
      <i/>
      <sz val="11"/>
      <color theme="0" tint="-0.249977111117893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1"/>
      <charset val="136"/>
      <scheme val="minor"/>
    </font>
    <font>
      <b/>
      <u/>
      <sz val="9.35"/>
      <color theme="1"/>
      <name val="Calibri"/>
      <family val="2"/>
    </font>
    <font>
      <u/>
      <sz val="11"/>
      <color rgb="FF0070C0"/>
      <name val="Arial"/>
      <family val="2"/>
    </font>
    <font>
      <sz val="11"/>
      <color rgb="FFFF0000"/>
      <name val="Calibri"/>
      <family val="2"/>
      <scheme val="minor"/>
    </font>
    <font>
      <sz val="11"/>
      <color theme="4"/>
      <name val="Arial"/>
      <family val="2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vertAlign val="subscript"/>
      <sz val="14"/>
      <color theme="1"/>
      <name val="Calibri"/>
      <family val="2"/>
    </font>
    <font>
      <b/>
      <i/>
      <sz val="10"/>
      <color theme="3"/>
      <name val="Arial"/>
      <family val="2"/>
    </font>
    <font>
      <b/>
      <u/>
      <sz val="11"/>
      <name val="Calibri"/>
      <family val="2"/>
    </font>
    <font>
      <b/>
      <sz val="9"/>
      <color indexed="81"/>
      <name val="Tahoma"/>
      <charset val="1"/>
    </font>
    <font>
      <b/>
      <i/>
      <sz val="9"/>
      <color indexed="81"/>
      <name val="Tahoma"/>
      <family val="2"/>
    </font>
    <font>
      <b/>
      <sz val="11"/>
      <color theme="1"/>
      <name val="Calibri"/>
      <family val="2"/>
    </font>
    <font>
      <i/>
      <sz val="11"/>
      <name val="Calibri"/>
      <family val="2"/>
    </font>
    <font>
      <b/>
      <i/>
      <sz val="1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theme="9"/>
      <name val="Arial"/>
      <family val="2"/>
    </font>
    <font>
      <b/>
      <u/>
      <sz val="16"/>
      <color theme="1"/>
      <name val="Calibri"/>
      <family val="2"/>
      <scheme val="minor"/>
    </font>
  </fonts>
  <fills count="9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31"/>
        <bgColor indexed="64"/>
      </patternFill>
    </fill>
    <fill>
      <patternFill patternType="solid">
        <fgColor indexed="1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54"/>
        <bgColor indexed="64"/>
      </patternFill>
    </fill>
    <fill>
      <patternFill patternType="gray0625"/>
    </fill>
    <fill>
      <patternFill patternType="solid">
        <fgColor indexed="41"/>
        <bgColor indexed="9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55"/>
        <bgColor indexed="55"/>
      </patternFill>
    </fill>
    <fill>
      <patternFill patternType="solid">
        <fgColor indexed="47"/>
        <bgColor indexed="47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EFAB4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</fills>
  <borders count="14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 style="medium">
        <color auto="1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62008">
    <xf numFmtId="0" fontId="0" fillId="0" borderId="0">
      <alignment vertical="center"/>
    </xf>
    <xf numFmtId="9" fontId="28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62" fillId="0" borderId="0"/>
    <xf numFmtId="186" fontId="63" fillId="0" borderId="0" applyFont="0" applyFill="0" applyBorder="0" applyAlignment="0" applyProtection="0"/>
    <xf numFmtId="187" fontId="62" fillId="0" borderId="0" applyFont="0" applyFill="0" applyBorder="0" applyAlignment="0" applyProtection="0"/>
    <xf numFmtId="0" fontId="64" fillId="0" borderId="0" applyNumberFormat="0" applyFill="0" applyBorder="0" applyAlignment="0" applyProtection="0"/>
    <xf numFmtId="43" fontId="63" fillId="0" borderId="0" applyFont="0" applyFill="0" applyBorder="0" applyAlignment="0" applyProtection="0"/>
    <xf numFmtId="164" fontId="65" fillId="0" borderId="0" applyFont="0" applyFill="0" applyBorder="0" applyAlignment="0" applyProtection="0"/>
    <xf numFmtId="166" fontId="65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9" fontId="66" fillId="0" borderId="0" applyFont="0" applyFill="0" applyBorder="0" applyAlignment="0" applyProtection="0"/>
    <xf numFmtId="188" fontId="63" fillId="0" borderId="0" applyFont="0" applyFill="0" applyBorder="0" applyAlignment="0" applyProtection="0"/>
    <xf numFmtId="0" fontId="67" fillId="0" borderId="0"/>
    <xf numFmtId="0" fontId="65" fillId="0" borderId="0"/>
    <xf numFmtId="0" fontId="62" fillId="0" borderId="0"/>
    <xf numFmtId="0" fontId="62" fillId="0" borderId="0"/>
    <xf numFmtId="41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0">
      <alignment vertical="top"/>
    </xf>
    <xf numFmtId="0" fontId="69" fillId="0" borderId="0">
      <alignment vertical="top"/>
    </xf>
    <xf numFmtId="0" fontId="69" fillId="0" borderId="0">
      <alignment vertical="top"/>
    </xf>
    <xf numFmtId="0" fontId="69" fillId="0" borderId="0">
      <alignment vertical="top"/>
    </xf>
    <xf numFmtId="0" fontId="70" fillId="0" borderId="0"/>
    <xf numFmtId="0" fontId="69" fillId="0" borderId="0">
      <alignment vertical="top"/>
    </xf>
    <xf numFmtId="0" fontId="70" fillId="0" borderId="0"/>
    <xf numFmtId="0" fontId="70" fillId="0" borderId="0"/>
    <xf numFmtId="0" fontId="69" fillId="0" borderId="0">
      <alignment vertical="top"/>
    </xf>
    <xf numFmtId="0" fontId="69" fillId="0" borderId="0">
      <alignment vertical="top"/>
    </xf>
    <xf numFmtId="0" fontId="69" fillId="0" borderId="0">
      <alignment vertical="top"/>
    </xf>
    <xf numFmtId="0" fontId="69" fillId="0" borderId="0">
      <alignment vertical="top"/>
    </xf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1" fillId="0" borderId="0" applyNumberFormat="0" applyFill="0" applyBorder="0" applyAlignment="0" applyProtection="0"/>
    <xf numFmtId="0" fontId="69" fillId="0" borderId="0">
      <alignment vertical="top"/>
    </xf>
    <xf numFmtId="0" fontId="62" fillId="0" borderId="0"/>
    <xf numFmtId="0" fontId="70" fillId="0" borderId="0"/>
    <xf numFmtId="0" fontId="69" fillId="0" borderId="0">
      <alignment vertical="top"/>
    </xf>
    <xf numFmtId="0" fontId="7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62" fillId="0" borderId="0"/>
    <xf numFmtId="0" fontId="70" fillId="0" borderId="0"/>
    <xf numFmtId="0" fontId="65" fillId="0" borderId="0"/>
    <xf numFmtId="0" fontId="69" fillId="0" borderId="0">
      <alignment vertical="top"/>
    </xf>
    <xf numFmtId="0" fontId="70" fillId="0" borderId="0"/>
    <xf numFmtId="0" fontId="71" fillId="0" borderId="0"/>
    <xf numFmtId="0" fontId="62" fillId="0" borderId="0"/>
    <xf numFmtId="164" fontId="72" fillId="0" borderId="0"/>
    <xf numFmtId="164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0" fontId="73" fillId="0" borderId="0" applyNumberFormat="0" applyFill="0" applyBorder="0" applyAlignment="0" applyProtection="0">
      <alignment vertical="top"/>
      <protection locked="0"/>
    </xf>
    <xf numFmtId="0" fontId="74" fillId="0" borderId="0" applyNumberFormat="0" applyFill="0" applyBorder="0" applyAlignment="0" applyProtection="0">
      <alignment vertical="top"/>
      <protection locked="0"/>
    </xf>
    <xf numFmtId="0" fontId="75" fillId="0" borderId="0" applyNumberFormat="0" applyFill="0" applyBorder="0" applyAlignment="0" applyProtection="0">
      <alignment vertical="top"/>
      <protection locked="0"/>
    </xf>
    <xf numFmtId="0" fontId="65" fillId="0" borderId="0"/>
    <xf numFmtId="164" fontId="76" fillId="0" borderId="0" applyFont="0" applyFill="0" applyBorder="0" applyAlignment="0" applyProtection="0"/>
    <xf numFmtId="0" fontId="77" fillId="14" borderId="0" applyNumberFormat="0" applyBorder="0" applyAlignment="0" applyProtection="0">
      <alignment vertical="center"/>
    </xf>
    <xf numFmtId="0" fontId="78" fillId="14" borderId="0" applyNumberFormat="0" applyBorder="0" applyAlignment="0" applyProtection="0"/>
    <xf numFmtId="0" fontId="77" fillId="15" borderId="0" applyNumberFormat="0" applyBorder="0" applyAlignment="0" applyProtection="0">
      <alignment vertical="center"/>
    </xf>
    <xf numFmtId="0" fontId="78" fillId="15" borderId="0" applyNumberFormat="0" applyBorder="0" applyAlignment="0" applyProtection="0"/>
    <xf numFmtId="0" fontId="77" fillId="16" borderId="0" applyNumberFormat="0" applyBorder="0" applyAlignment="0" applyProtection="0">
      <alignment vertical="center"/>
    </xf>
    <xf numFmtId="0" fontId="78" fillId="16" borderId="0" applyNumberFormat="0" applyBorder="0" applyAlignment="0" applyProtection="0"/>
    <xf numFmtId="0" fontId="77" fillId="17" borderId="0" applyNumberFormat="0" applyBorder="0" applyAlignment="0" applyProtection="0">
      <alignment vertical="center"/>
    </xf>
    <xf numFmtId="0" fontId="78" fillId="17" borderId="0" applyNumberFormat="0" applyBorder="0" applyAlignment="0" applyProtection="0"/>
    <xf numFmtId="0" fontId="77" fillId="18" borderId="0" applyNumberFormat="0" applyBorder="0" applyAlignment="0" applyProtection="0">
      <alignment vertical="center"/>
    </xf>
    <xf numFmtId="0" fontId="78" fillId="18" borderId="0" applyNumberFormat="0" applyBorder="0" applyAlignment="0" applyProtection="0"/>
    <xf numFmtId="0" fontId="79" fillId="4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78" fillId="19" borderId="0" applyNumberFormat="0" applyBorder="0" applyAlignment="0" applyProtection="0"/>
    <xf numFmtId="189" fontId="80" fillId="0" borderId="0"/>
    <xf numFmtId="0" fontId="81" fillId="0" borderId="0" applyNumberFormat="0" applyFill="0" applyBorder="0" applyAlignment="0" applyProtection="0">
      <alignment vertical="top"/>
      <protection locked="0"/>
    </xf>
    <xf numFmtId="0" fontId="82" fillId="0" borderId="0" applyFont="0" applyFill="0" applyBorder="0" applyAlignment="0" applyProtection="0"/>
    <xf numFmtId="0" fontId="82" fillId="0" borderId="0" applyFont="0" applyFill="0" applyBorder="0" applyAlignment="0" applyProtection="0"/>
    <xf numFmtId="0" fontId="82" fillId="0" borderId="0" applyFont="0" applyFill="0" applyBorder="0" applyAlignment="0" applyProtection="0"/>
    <xf numFmtId="42" fontId="83" fillId="0" borderId="0" applyFont="0" applyFill="0" applyBorder="0" applyAlignment="0" applyProtection="0"/>
    <xf numFmtId="44" fontId="83" fillId="0" borderId="0" applyFont="0" applyFill="0" applyBorder="0" applyAlignment="0" applyProtection="0"/>
    <xf numFmtId="0" fontId="65" fillId="0" borderId="0"/>
    <xf numFmtId="0" fontId="77" fillId="20" borderId="0" applyNumberFormat="0" applyBorder="0" applyAlignment="0" applyProtection="0">
      <alignment vertical="center"/>
    </xf>
    <xf numFmtId="0" fontId="78" fillId="20" borderId="0" applyNumberFormat="0" applyBorder="0" applyAlignment="0" applyProtection="0"/>
    <xf numFmtId="0" fontId="77" fillId="21" borderId="0" applyNumberFormat="0" applyBorder="0" applyAlignment="0" applyProtection="0">
      <alignment vertical="center"/>
    </xf>
    <xf numFmtId="0" fontId="78" fillId="21" borderId="0" applyNumberFormat="0" applyBorder="0" applyAlignment="0" applyProtection="0"/>
    <xf numFmtId="0" fontId="77" fillId="22" borderId="0" applyNumberFormat="0" applyBorder="0" applyAlignment="0" applyProtection="0">
      <alignment vertical="center"/>
    </xf>
    <xf numFmtId="0" fontId="78" fillId="22" borderId="0" applyNumberFormat="0" applyBorder="0" applyAlignment="0" applyProtection="0"/>
    <xf numFmtId="0" fontId="79" fillId="3" borderId="0" applyNumberFormat="0" applyBorder="0" applyAlignment="0" applyProtection="0">
      <alignment vertical="center"/>
    </xf>
    <xf numFmtId="0" fontId="77" fillId="17" borderId="0" applyNumberFormat="0" applyBorder="0" applyAlignment="0" applyProtection="0">
      <alignment vertical="center"/>
    </xf>
    <xf numFmtId="0" fontId="78" fillId="17" borderId="0" applyNumberFormat="0" applyBorder="0" applyAlignment="0" applyProtection="0"/>
    <xf numFmtId="0" fontId="77" fillId="20" borderId="0" applyNumberFormat="0" applyBorder="0" applyAlignment="0" applyProtection="0">
      <alignment vertical="center"/>
    </xf>
    <xf numFmtId="0" fontId="78" fillId="20" borderId="0" applyNumberFormat="0" applyBorder="0" applyAlignment="0" applyProtection="0"/>
    <xf numFmtId="0" fontId="79" fillId="5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78" fillId="23" borderId="0" applyNumberFormat="0" applyBorder="0" applyAlignment="0" applyProtection="0"/>
    <xf numFmtId="0" fontId="84" fillId="24" borderId="0" applyNumberFormat="0" applyBorder="0" applyAlignment="0" applyProtection="0">
      <alignment vertical="center"/>
    </xf>
    <xf numFmtId="0" fontId="85" fillId="24" borderId="0" applyNumberFormat="0" applyBorder="0" applyAlignment="0" applyProtection="0"/>
    <xf numFmtId="0" fontId="84" fillId="21" borderId="0" applyNumberFormat="0" applyBorder="0" applyAlignment="0" applyProtection="0">
      <alignment vertical="center"/>
    </xf>
    <xf numFmtId="0" fontId="85" fillId="21" borderId="0" applyNumberFormat="0" applyBorder="0" applyAlignment="0" applyProtection="0"/>
    <xf numFmtId="0" fontId="84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/>
    <xf numFmtId="0" fontId="84" fillId="25" borderId="0" applyNumberFormat="0" applyBorder="0" applyAlignment="0" applyProtection="0">
      <alignment vertical="center"/>
    </xf>
    <xf numFmtId="0" fontId="85" fillId="25" borderId="0" applyNumberFormat="0" applyBorder="0" applyAlignment="0" applyProtection="0"/>
    <xf numFmtId="0" fontId="84" fillId="26" borderId="0" applyNumberFormat="0" applyBorder="0" applyAlignment="0" applyProtection="0">
      <alignment vertical="center"/>
    </xf>
    <xf numFmtId="0" fontId="85" fillId="26" borderId="0" applyNumberFormat="0" applyBorder="0" applyAlignment="0" applyProtection="0"/>
    <xf numFmtId="0" fontId="84" fillId="27" borderId="0" applyNumberFormat="0" applyBorder="0" applyAlignment="0" applyProtection="0">
      <alignment vertical="center"/>
    </xf>
    <xf numFmtId="0" fontId="85" fillId="27" borderId="0" applyNumberFormat="0" applyBorder="0" applyAlignment="0" applyProtection="0"/>
    <xf numFmtId="0" fontId="70" fillId="0" borderId="0">
      <protection locked="0"/>
    </xf>
    <xf numFmtId="0" fontId="84" fillId="28" borderId="0" applyNumberFormat="0" applyBorder="0" applyAlignment="0" applyProtection="0">
      <alignment vertical="center"/>
    </xf>
    <xf numFmtId="0" fontId="85" fillId="28" borderId="0" applyNumberFormat="0" applyBorder="0" applyAlignment="0" applyProtection="0"/>
    <xf numFmtId="0" fontId="84" fillId="29" borderId="0" applyNumberFormat="0" applyBorder="0" applyAlignment="0" applyProtection="0">
      <alignment vertical="center"/>
    </xf>
    <xf numFmtId="0" fontId="85" fillId="29" borderId="0" applyNumberFormat="0" applyBorder="0" applyAlignment="0" applyProtection="0"/>
    <xf numFmtId="0" fontId="84" fillId="30" borderId="0" applyNumberFormat="0" applyBorder="0" applyAlignment="0" applyProtection="0">
      <alignment vertical="center"/>
    </xf>
    <xf numFmtId="0" fontId="85" fillId="30" borderId="0" applyNumberFormat="0" applyBorder="0" applyAlignment="0" applyProtection="0"/>
    <xf numFmtId="0" fontId="84" fillId="25" borderId="0" applyNumberFormat="0" applyBorder="0" applyAlignment="0" applyProtection="0">
      <alignment vertical="center"/>
    </xf>
    <xf numFmtId="0" fontId="85" fillId="25" borderId="0" applyNumberFormat="0" applyBorder="0" applyAlignment="0" applyProtection="0"/>
    <xf numFmtId="0" fontId="84" fillId="26" borderId="0" applyNumberFormat="0" applyBorder="0" applyAlignment="0" applyProtection="0">
      <alignment vertical="center"/>
    </xf>
    <xf numFmtId="0" fontId="85" fillId="26" borderId="0" applyNumberFormat="0" applyBorder="0" applyAlignment="0" applyProtection="0"/>
    <xf numFmtId="0" fontId="84" fillId="31" borderId="0" applyNumberFormat="0" applyBorder="0" applyAlignment="0" applyProtection="0">
      <alignment vertical="center"/>
    </xf>
    <xf numFmtId="0" fontId="85" fillId="31" borderId="0" applyNumberFormat="0" applyBorder="0" applyAlignment="0" applyProtection="0"/>
    <xf numFmtId="169" fontId="86" fillId="0" borderId="0" applyFont="0" applyFill="0" applyBorder="0" applyAlignment="0" applyProtection="0"/>
    <xf numFmtId="190" fontId="62" fillId="32" borderId="45">
      <alignment horizontal="center" vertical="center"/>
    </xf>
    <xf numFmtId="0" fontId="62" fillId="33" borderId="0" applyNumberFormat="0" applyProtection="0">
      <alignment horizontal="center"/>
      <protection locked="0" hidden="1"/>
    </xf>
    <xf numFmtId="9" fontId="87" fillId="0" borderId="0" applyFont="0" applyFill="0" applyBorder="0" applyAlignment="0" applyProtection="0"/>
    <xf numFmtId="0" fontId="88" fillId="0" borderId="0" applyFont="0" applyFill="0" applyBorder="0" applyAlignment="0" applyProtection="0"/>
    <xf numFmtId="191" fontId="62" fillId="0" borderId="0" applyFont="0" applyFill="0" applyBorder="0" applyAlignment="0" applyProtection="0"/>
    <xf numFmtId="0" fontId="88" fillId="0" borderId="0" applyFont="0" applyFill="0" applyBorder="0" applyAlignment="0" applyProtection="0"/>
    <xf numFmtId="192" fontId="62" fillId="0" borderId="0" applyFont="0" applyFill="0" applyBorder="0" applyAlignment="0" applyProtection="0"/>
    <xf numFmtId="0" fontId="74" fillId="0" borderId="0" applyNumberFormat="0" applyFill="0" applyBorder="0" applyAlignment="0" applyProtection="0">
      <alignment vertical="top"/>
      <protection locked="0"/>
    </xf>
    <xf numFmtId="0" fontId="89" fillId="0" borderId="0">
      <alignment horizontal="center" wrapText="1"/>
      <protection locked="0"/>
    </xf>
    <xf numFmtId="0" fontId="88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88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1" fillId="2" borderId="0" applyNumberFormat="0" applyBorder="0" applyAlignment="0" applyProtection="0">
      <alignment vertical="center"/>
    </xf>
    <xf numFmtId="0" fontId="92" fillId="15" borderId="0" applyNumberFormat="0" applyBorder="0" applyAlignment="0" applyProtection="0"/>
    <xf numFmtId="0" fontId="93" fillId="15" borderId="0" applyNumberFormat="0" applyBorder="0" applyAlignment="0" applyProtection="0">
      <alignment vertical="center"/>
    </xf>
    <xf numFmtId="0" fontId="94" fillId="0" borderId="0" applyNumberFormat="0" applyFill="0" applyBorder="0" applyAlignment="0" applyProtection="0"/>
    <xf numFmtId="0" fontId="88" fillId="0" borderId="0"/>
    <xf numFmtId="0" fontId="88" fillId="0" borderId="0"/>
    <xf numFmtId="0" fontId="95" fillId="0" borderId="0"/>
    <xf numFmtId="193" fontId="65" fillId="0" borderId="0" applyFont="0" applyFill="0" applyBorder="0" applyAlignment="0" applyProtection="0"/>
    <xf numFmtId="194" fontId="65" fillId="0" borderId="0" applyFont="0" applyFill="0" applyBorder="0" applyAlignment="0" applyProtection="0"/>
    <xf numFmtId="195" fontId="69" fillId="0" borderId="0" applyFill="0" applyBorder="0" applyAlignment="0"/>
    <xf numFmtId="196" fontId="70" fillId="0" borderId="0" applyFill="0" applyBorder="0" applyAlignment="0"/>
    <xf numFmtId="197" fontId="70" fillId="0" borderId="0" applyFill="0" applyBorder="0" applyAlignment="0"/>
    <xf numFmtId="198" fontId="70" fillId="0" borderId="0" applyFill="0" applyBorder="0" applyAlignment="0"/>
    <xf numFmtId="199" fontId="70" fillId="0" borderId="0" applyFill="0" applyBorder="0" applyAlignment="0"/>
    <xf numFmtId="44" fontId="70" fillId="0" borderId="0" applyFill="0" applyBorder="0" applyAlignment="0"/>
    <xf numFmtId="200" fontId="70" fillId="0" borderId="0" applyFill="0" applyBorder="0" applyAlignment="0"/>
    <xf numFmtId="196" fontId="70" fillId="0" borderId="0" applyFill="0" applyBorder="0" applyAlignment="0"/>
    <xf numFmtId="0" fontId="96" fillId="34" borderId="46" applyNumberFormat="0" applyAlignment="0" applyProtection="0">
      <alignment vertical="center"/>
    </xf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6" fillId="34" borderId="46" applyNumberFormat="0" applyAlignment="0" applyProtection="0">
      <alignment vertical="center"/>
    </xf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7" fillId="34" borderId="46" applyNumberFormat="0" applyAlignment="0" applyProtection="0"/>
    <xf numFmtId="0" fontId="98" fillId="0" borderId="0" applyFill="0" applyBorder="0" applyProtection="0"/>
    <xf numFmtId="0" fontId="99" fillId="35" borderId="47" applyNumberFormat="0" applyAlignment="0" applyProtection="0">
      <alignment vertical="center"/>
    </xf>
    <xf numFmtId="0" fontId="100" fillId="35" borderId="47" applyNumberFormat="0" applyAlignment="0" applyProtection="0"/>
    <xf numFmtId="0" fontId="101" fillId="0" borderId="0" applyNumberFormat="0" applyFill="0" applyBorder="0" applyAlignment="0" applyProtection="0">
      <alignment vertical="top"/>
      <protection locked="0"/>
    </xf>
    <xf numFmtId="0" fontId="102" fillId="0" borderId="0" applyFill="0" applyBorder="0">
      <alignment horizontal="right"/>
    </xf>
    <xf numFmtId="0" fontId="65" fillId="0" borderId="0" applyFill="0" applyBorder="0">
      <alignment horizontal="right"/>
    </xf>
    <xf numFmtId="201" fontId="62" fillId="0" borderId="0"/>
    <xf numFmtId="201" fontId="62" fillId="0" borderId="0"/>
    <xf numFmtId="201" fontId="62" fillId="0" borderId="0"/>
    <xf numFmtId="201" fontId="62" fillId="0" borderId="0"/>
    <xf numFmtId="201" fontId="62" fillId="0" borderId="0"/>
    <xf numFmtId="201" fontId="62" fillId="0" borderId="0"/>
    <xf numFmtId="201" fontId="62" fillId="0" borderId="0"/>
    <xf numFmtId="201" fontId="62" fillId="0" borderId="0"/>
    <xf numFmtId="164" fontId="65" fillId="0" borderId="0" applyFont="0" applyFill="0" applyBorder="0" applyAlignment="0" applyProtection="0">
      <alignment vertical="center"/>
    </xf>
    <xf numFmtId="164" fontId="77" fillId="0" borderId="0" applyFont="0" applyFill="0" applyBorder="0" applyAlignment="0" applyProtection="0">
      <alignment vertical="center"/>
    </xf>
    <xf numFmtId="44" fontId="70" fillId="0" borderId="0" applyFont="0" applyFill="0" applyBorder="0" applyAlignment="0" applyProtection="0"/>
    <xf numFmtId="202" fontId="103" fillId="0" borderId="0" applyFont="0" applyFill="0" applyBorder="0" applyAlignment="0" applyProtection="0">
      <alignment horizontal="right"/>
    </xf>
    <xf numFmtId="203" fontId="103" fillId="0" borderId="0" applyFont="0" applyFill="0" applyBorder="0" applyAlignment="0" applyProtection="0"/>
    <xf numFmtId="166" fontId="79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78" fillId="0" borderId="0" applyFont="0" applyFill="0" applyBorder="0" applyAlignment="0" applyProtection="0"/>
    <xf numFmtId="166" fontId="79" fillId="0" borderId="0" applyFont="0" applyFill="0" applyBorder="0" applyAlignment="0" applyProtection="0"/>
    <xf numFmtId="166" fontId="79" fillId="0" borderId="0" applyFont="0" applyFill="0" applyBorder="0" applyAlignment="0" applyProtection="0">
      <alignment vertical="center"/>
    </xf>
    <xf numFmtId="166" fontId="105" fillId="0" borderId="0" applyFont="0" applyFill="0" applyBorder="0" applyAlignment="0" applyProtection="0">
      <alignment vertical="center"/>
    </xf>
    <xf numFmtId="166" fontId="79" fillId="0" borderId="0" applyFont="0" applyFill="0" applyBorder="0" applyAlignment="0" applyProtection="0"/>
    <xf numFmtId="166" fontId="105" fillId="0" borderId="0" applyFont="0" applyFill="0" applyBorder="0" applyAlignment="0" applyProtection="0">
      <alignment vertical="center"/>
    </xf>
    <xf numFmtId="166" fontId="79" fillId="0" borderId="0" applyFont="0" applyFill="0" applyBorder="0" applyAlignment="0" applyProtection="0"/>
    <xf numFmtId="166" fontId="106" fillId="0" borderId="0" applyFont="0" applyFill="0" applyBorder="0" applyAlignment="0" applyProtection="0">
      <alignment vertical="center"/>
    </xf>
    <xf numFmtId="166" fontId="79" fillId="0" borderId="0" applyFont="0" applyFill="0" applyBorder="0" applyAlignment="0" applyProtection="0"/>
    <xf numFmtId="166" fontId="106" fillId="0" borderId="0" applyFont="0" applyFill="0" applyBorder="0" applyAlignment="0" applyProtection="0">
      <alignment vertical="center"/>
    </xf>
    <xf numFmtId="166" fontId="79" fillId="0" borderId="0" applyFont="0" applyFill="0" applyBorder="0" applyAlignment="0" applyProtection="0"/>
    <xf numFmtId="166" fontId="106" fillId="0" borderId="0" applyFont="0" applyFill="0" applyBorder="0" applyAlignment="0" applyProtection="0">
      <alignment vertical="center"/>
    </xf>
    <xf numFmtId="166" fontId="107" fillId="0" borderId="0" applyFont="0" applyFill="0" applyBorder="0" applyAlignment="0" applyProtection="0">
      <alignment vertical="center"/>
    </xf>
    <xf numFmtId="166" fontId="106" fillId="0" borderId="0" applyFont="0" applyFill="0" applyBorder="0" applyAlignment="0" applyProtection="0">
      <alignment vertical="center"/>
    </xf>
    <xf numFmtId="166" fontId="107" fillId="0" borderId="0" applyFont="0" applyFill="0" applyBorder="0" applyAlignment="0" applyProtection="0">
      <alignment vertical="center"/>
    </xf>
    <xf numFmtId="166" fontId="79" fillId="0" borderId="0" applyFont="0" applyFill="0" applyBorder="0" applyAlignment="0" applyProtection="0"/>
    <xf numFmtId="166" fontId="65" fillId="0" borderId="0" applyFont="0" applyFill="0" applyBorder="0" applyAlignment="0" applyProtection="0"/>
    <xf numFmtId="43" fontId="107" fillId="0" borderId="0" applyFont="0" applyFill="0" applyBorder="0" applyAlignment="0" applyProtection="0">
      <alignment vertical="center"/>
    </xf>
    <xf numFmtId="166" fontId="88" fillId="0" borderId="0" applyFont="0" applyFill="0" applyBorder="0" applyAlignment="0" applyProtection="0">
      <alignment vertical="center"/>
    </xf>
    <xf numFmtId="166" fontId="105" fillId="0" borderId="0" applyFont="0" applyFill="0" applyBorder="0" applyAlignment="0" applyProtection="0">
      <alignment vertical="center"/>
    </xf>
    <xf numFmtId="43" fontId="107" fillId="0" borderId="0" applyFont="0" applyFill="0" applyBorder="0" applyAlignment="0" applyProtection="0">
      <alignment vertical="center"/>
    </xf>
    <xf numFmtId="166" fontId="65" fillId="0" borderId="0" applyFont="0" applyFill="0" applyBorder="0" applyAlignment="0" applyProtection="0"/>
    <xf numFmtId="204" fontId="103" fillId="0" borderId="0" applyFont="0" applyFill="0" applyBorder="0" applyAlignment="0" applyProtection="0">
      <alignment horizontal="right"/>
    </xf>
    <xf numFmtId="43" fontId="107" fillId="0" borderId="0" applyFont="0" applyFill="0" applyBorder="0" applyAlignment="0" applyProtection="0">
      <alignment vertical="center"/>
    </xf>
    <xf numFmtId="166" fontId="62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62" fillId="0" borderId="0" applyFont="0" applyFill="0" applyBorder="0" applyAlignment="0" applyProtection="0"/>
    <xf numFmtId="166" fontId="106" fillId="0" borderId="0" applyFont="0" applyFill="0" applyBorder="0" applyAlignment="0" applyProtection="0">
      <alignment vertical="center"/>
    </xf>
    <xf numFmtId="43" fontId="62" fillId="0" borderId="0" applyFont="0" applyFill="0" applyBorder="0" applyAlignment="0" applyProtection="0"/>
    <xf numFmtId="166" fontId="62" fillId="0" borderId="0" applyFont="0" applyFill="0" applyBorder="0" applyAlignment="0" applyProtection="0"/>
    <xf numFmtId="166" fontId="106" fillId="0" borderId="0" applyFont="0" applyFill="0" applyBorder="0" applyAlignment="0" applyProtection="0">
      <alignment vertical="center"/>
    </xf>
    <xf numFmtId="166" fontId="88" fillId="0" borderId="0" applyFont="0" applyFill="0" applyBorder="0" applyAlignment="0" applyProtection="0">
      <alignment vertical="center"/>
    </xf>
    <xf numFmtId="166" fontId="62" fillId="0" borderId="0" applyFont="0" applyFill="0" applyBorder="0" applyAlignment="0" applyProtection="0"/>
    <xf numFmtId="205" fontId="108" fillId="0" borderId="0" applyFont="0" applyFill="0" applyBorder="0" applyAlignment="0" applyProtection="0"/>
    <xf numFmtId="206" fontId="108" fillId="0" borderId="0" applyFont="0" applyFill="0" applyBorder="0" applyAlignment="0" applyProtection="0"/>
    <xf numFmtId="206" fontId="108" fillId="0" borderId="0" applyFont="0" applyFill="0" applyBorder="0" applyAlignment="0" applyProtection="0"/>
    <xf numFmtId="206" fontId="108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62" fillId="0" borderId="0" applyFont="0" applyFill="0" applyBorder="0" applyAlignment="0" applyProtection="0"/>
    <xf numFmtId="166" fontId="62" fillId="0" borderId="0" applyFont="0" applyFill="0" applyBorder="0" applyAlignment="0" applyProtection="0"/>
    <xf numFmtId="166" fontId="65" fillId="0" borderId="0" applyFont="0" applyFill="0" applyBorder="0" applyAlignment="0" applyProtection="0"/>
    <xf numFmtId="166" fontId="65" fillId="0" borderId="0" applyFont="0" applyFill="0" applyBorder="0" applyAlignment="0" applyProtection="0"/>
    <xf numFmtId="166" fontId="65" fillId="0" borderId="0" applyFont="0" applyFill="0" applyBorder="0" applyAlignment="0" applyProtection="0"/>
    <xf numFmtId="166" fontId="65" fillId="0" borderId="0" applyFont="0" applyFill="0" applyBorder="0" applyAlignment="0" applyProtection="0"/>
    <xf numFmtId="166" fontId="65" fillId="0" borderId="0" applyFont="0" applyFill="0" applyBorder="0" applyAlignment="0" applyProtection="0"/>
    <xf numFmtId="166" fontId="65" fillId="0" borderId="0" applyFont="0" applyFill="0" applyBorder="0" applyAlignment="0" applyProtection="0"/>
    <xf numFmtId="166" fontId="65" fillId="0" borderId="0" applyFont="0" applyFill="0" applyBorder="0" applyAlignment="0" applyProtection="0"/>
    <xf numFmtId="166" fontId="65" fillId="0" borderId="0" applyFont="0" applyFill="0" applyBorder="0" applyAlignment="0" applyProtection="0"/>
    <xf numFmtId="166" fontId="65" fillId="0" borderId="0" applyFont="0" applyFill="0" applyBorder="0" applyAlignment="0" applyProtection="0"/>
    <xf numFmtId="166" fontId="65" fillId="0" borderId="0" applyFont="0" applyFill="0" applyBorder="0" applyAlignment="0" applyProtection="0"/>
    <xf numFmtId="166" fontId="79" fillId="0" borderId="0" applyFont="0" applyFill="0" applyBorder="0" applyAlignment="0" applyProtection="0">
      <alignment vertical="center"/>
    </xf>
    <xf numFmtId="166" fontId="105" fillId="0" borderId="0" applyFont="0" applyFill="0" applyBorder="0" applyAlignment="0" applyProtection="0">
      <alignment vertical="center"/>
    </xf>
    <xf numFmtId="166" fontId="62" fillId="0" borderId="0" applyFont="0" applyFill="0" applyBorder="0" applyAlignment="0" applyProtection="0"/>
    <xf numFmtId="166" fontId="105" fillId="0" borderId="0" applyFont="0" applyFill="0" applyBorder="0" applyAlignment="0" applyProtection="0">
      <alignment vertical="center"/>
    </xf>
    <xf numFmtId="166" fontId="62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62" fillId="0" borderId="0" applyFont="0" applyFill="0" applyBorder="0" applyAlignment="0" applyProtection="0"/>
    <xf numFmtId="166" fontId="79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166" fontId="65" fillId="0" borderId="0" applyFont="0" applyFill="0" applyBorder="0" applyAlignment="0" applyProtection="0"/>
    <xf numFmtId="166" fontId="79" fillId="0" borderId="0" applyFont="0" applyFill="0" applyBorder="0" applyAlignment="0" applyProtection="0"/>
    <xf numFmtId="43" fontId="28" fillId="0" borderId="0" applyFont="0" applyFill="0" applyBorder="0" applyAlignment="0" applyProtection="0">
      <alignment vertical="center"/>
    </xf>
    <xf numFmtId="166" fontId="88" fillId="0" borderId="0" applyFont="0" applyFill="0" applyBorder="0" applyAlignment="0" applyProtection="0">
      <alignment vertical="center"/>
    </xf>
    <xf numFmtId="166" fontId="62" fillId="0" borderId="0" applyFont="0" applyFill="0" applyBorder="0" applyAlignment="0" applyProtection="0"/>
    <xf numFmtId="166" fontId="62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62" fillId="0" borderId="0" applyFont="0" applyFill="0" applyBorder="0" applyAlignment="0" applyProtection="0"/>
    <xf numFmtId="43" fontId="109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166" fontId="26" fillId="0" borderId="0" applyFont="0" applyFill="0" applyBorder="0" applyAlignment="0" applyProtection="0"/>
    <xf numFmtId="166" fontId="107" fillId="0" borderId="0" applyFont="0" applyFill="0" applyBorder="0" applyAlignment="0" applyProtection="0">
      <alignment vertical="center"/>
    </xf>
    <xf numFmtId="166" fontId="110" fillId="0" borderId="0" applyFont="0" applyFill="0" applyBorder="0" applyAlignment="0" applyProtection="0">
      <alignment vertical="center"/>
    </xf>
    <xf numFmtId="166" fontId="111" fillId="0" borderId="0" applyFont="0" applyFill="0" applyBorder="0" applyAlignment="0" applyProtection="0">
      <alignment vertical="center"/>
    </xf>
    <xf numFmtId="166" fontId="88" fillId="0" borderId="0" applyFont="0" applyFill="0" applyBorder="0" applyAlignment="0" applyProtection="0">
      <alignment vertical="center"/>
    </xf>
    <xf numFmtId="166" fontId="106" fillId="0" borderId="0" applyFont="0" applyFill="0" applyBorder="0" applyAlignment="0" applyProtection="0">
      <alignment vertical="center"/>
    </xf>
    <xf numFmtId="166" fontId="79" fillId="0" borderId="0" applyFont="0" applyFill="0" applyBorder="0" applyAlignment="0" applyProtection="0">
      <alignment vertical="center"/>
    </xf>
    <xf numFmtId="43" fontId="107" fillId="0" borderId="0" applyFont="0" applyFill="0" applyBorder="0" applyAlignment="0" applyProtection="0">
      <alignment vertical="center"/>
    </xf>
    <xf numFmtId="207" fontId="62" fillId="0" borderId="0" applyFont="0" applyFill="0" applyBorder="0" applyAlignment="0" applyProtection="0"/>
    <xf numFmtId="166" fontId="88" fillId="0" borderId="0" applyFont="0" applyFill="0" applyBorder="0" applyAlignment="0" applyProtection="0"/>
    <xf numFmtId="166" fontId="112" fillId="0" borderId="0" applyFont="0" applyFill="0" applyBorder="0" applyAlignment="0" applyProtection="0">
      <alignment vertical="center"/>
    </xf>
    <xf numFmtId="166" fontId="113" fillId="0" borderId="0" applyFont="0" applyFill="0" applyBorder="0" applyAlignment="0" applyProtection="0"/>
    <xf numFmtId="166" fontId="78" fillId="0" borderId="0" applyFont="0" applyFill="0" applyBorder="0" applyAlignment="0" applyProtection="0"/>
    <xf numFmtId="166" fontId="65" fillId="0" borderId="0" applyFont="0" applyFill="0" applyBorder="0" applyAlignment="0" applyProtection="0"/>
    <xf numFmtId="43" fontId="107" fillId="0" borderId="0" applyFont="0" applyFill="0" applyBorder="0" applyAlignment="0" applyProtection="0">
      <alignment vertical="center"/>
    </xf>
    <xf numFmtId="166" fontId="104" fillId="0" borderId="0" applyFont="0" applyFill="0" applyBorder="0" applyAlignment="0" applyProtection="0"/>
    <xf numFmtId="166" fontId="65" fillId="0" borderId="0" applyFont="0" applyFill="0" applyBorder="0" applyAlignment="0" applyProtection="0"/>
    <xf numFmtId="166" fontId="79" fillId="0" borderId="0" applyFont="0" applyFill="0" applyBorder="0" applyAlignment="0" applyProtection="0"/>
    <xf numFmtId="166" fontId="79" fillId="0" borderId="0" applyFont="0" applyFill="0" applyBorder="0" applyAlignment="0" applyProtection="0"/>
    <xf numFmtId="43" fontId="28" fillId="0" borderId="0" applyFont="0" applyFill="0" applyBorder="0" applyAlignment="0" applyProtection="0">
      <alignment vertical="center"/>
    </xf>
    <xf numFmtId="166" fontId="104" fillId="0" borderId="0" applyFont="0" applyFill="0" applyBorder="0" applyAlignment="0" applyProtection="0"/>
    <xf numFmtId="3" fontId="88" fillId="0" borderId="0" applyFont="0" applyFill="0" applyBorder="0" applyAlignment="0" applyProtection="0"/>
    <xf numFmtId="208" fontId="114" fillId="0" borderId="0" applyFont="0" applyFill="0" applyBorder="0" applyAlignment="0" applyProtection="0"/>
    <xf numFmtId="0" fontId="115" fillId="0" borderId="0" applyNumberFormat="0" applyAlignment="0">
      <alignment horizontal="left"/>
    </xf>
    <xf numFmtId="196" fontId="70" fillId="0" borderId="0" applyFont="0" applyFill="0" applyBorder="0" applyAlignment="0" applyProtection="0"/>
    <xf numFmtId="209" fontId="103" fillId="0" borderId="0" applyFont="0" applyFill="0" applyBorder="0" applyAlignment="0" applyProtection="0">
      <alignment horizontal="right"/>
    </xf>
    <xf numFmtId="170" fontId="79" fillId="0" borderId="0" applyFont="0" applyFill="0" applyBorder="0" applyAlignment="0" applyProtection="0"/>
    <xf numFmtId="170" fontId="65" fillId="0" borderId="0" applyFont="0" applyFill="0" applyBorder="0" applyAlignment="0" applyProtection="0"/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70" fontId="113" fillId="0" borderId="0" applyFont="0" applyFill="0" applyBorder="0" applyAlignment="0" applyProtection="0"/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70" fontId="104" fillId="0" borderId="0" applyFont="0" applyFill="0" applyBorder="0" applyAlignment="0" applyProtection="0"/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70" fontId="78" fillId="0" borderId="0" applyFont="0" applyFill="0" applyBorder="0" applyAlignment="0" applyProtection="0"/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210" fontId="103" fillId="0" borderId="0" applyFont="0" applyFill="0" applyBorder="0" applyAlignment="0" applyProtection="0">
      <alignment horizontal="right"/>
    </xf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70" fontId="62" fillId="0" borderId="0" applyFont="0" applyFill="0" applyBorder="0" applyAlignment="0" applyProtection="0"/>
    <xf numFmtId="170" fontId="79" fillId="0" borderId="0" applyFont="0" applyFill="0" applyBorder="0" applyAlignment="0" applyProtection="0"/>
    <xf numFmtId="170" fontId="78" fillId="0" borderId="0" applyFont="0" applyFill="0" applyBorder="0" applyAlignment="0" applyProtection="0"/>
    <xf numFmtId="206" fontId="62" fillId="0" borderId="0" applyFont="0" applyFill="0" applyBorder="0" applyAlignment="0" applyProtection="0"/>
    <xf numFmtId="170" fontId="62" fillId="0" borderId="0" applyFont="0" applyFill="0" applyBorder="0" applyAlignment="0" applyProtection="0"/>
    <xf numFmtId="170" fontId="104" fillId="0" borderId="0" applyFont="0" applyFill="0" applyBorder="0" applyAlignment="0" applyProtection="0"/>
    <xf numFmtId="170" fontId="104" fillId="0" borderId="0" applyFont="0" applyFill="0" applyBorder="0" applyAlignment="0" applyProtection="0"/>
    <xf numFmtId="170" fontId="104" fillId="0" borderId="0" applyFont="0" applyFill="0" applyBorder="0" applyAlignment="0" applyProtection="0"/>
    <xf numFmtId="170" fontId="65" fillId="0" borderId="0" applyFont="0" applyFill="0" applyBorder="0" applyAlignment="0" applyProtection="0"/>
    <xf numFmtId="211" fontId="116" fillId="0" borderId="0" applyFont="0" applyFill="0" applyBorder="0" applyAlignment="0" applyProtection="0"/>
    <xf numFmtId="0" fontId="117" fillId="0" borderId="0"/>
    <xf numFmtId="212" fontId="118" fillId="0" borderId="0" applyFont="0" applyFill="0" applyBorder="0" applyAlignment="0" applyProtection="0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213" fontId="86" fillId="0" borderId="0" applyFont="0" applyFill="0" applyBorder="0" applyAlignment="0" applyProtection="0"/>
    <xf numFmtId="214" fontId="103" fillId="0" borderId="0" applyFont="0" applyFill="0" applyBorder="0" applyAlignment="0" applyProtection="0"/>
    <xf numFmtId="14" fontId="69" fillId="0" borderId="0" applyFill="0" applyBorder="0" applyAlignment="0"/>
    <xf numFmtId="215" fontId="119" fillId="0" borderId="0">
      <protection locked="0"/>
    </xf>
    <xf numFmtId="216" fontId="86" fillId="0" borderId="0" applyFont="0" applyFill="0" applyBorder="0" applyAlignment="0" applyProtection="0"/>
    <xf numFmtId="217" fontId="118" fillId="0" borderId="0" applyFill="0" applyBorder="0" applyProtection="0"/>
    <xf numFmtId="41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218" fontId="86" fillId="0" borderId="0" applyFont="0" applyFill="0" applyBorder="0" applyAlignment="0" applyProtection="0"/>
    <xf numFmtId="219" fontId="103" fillId="0" borderId="49" applyNumberFormat="0" applyFont="0" applyFill="0" applyAlignment="0" applyProtection="0"/>
    <xf numFmtId="0" fontId="120" fillId="0" borderId="0" applyNumberFormat="0" applyFill="0" applyBorder="0" applyAlignment="0" applyProtection="0"/>
    <xf numFmtId="44" fontId="70" fillId="0" borderId="0" applyFill="0" applyBorder="0" applyAlignment="0"/>
    <xf numFmtId="196" fontId="70" fillId="0" borderId="0" applyFill="0" applyBorder="0" applyAlignment="0"/>
    <xf numFmtId="44" fontId="70" fillId="0" borderId="0" applyFill="0" applyBorder="0" applyAlignment="0"/>
    <xf numFmtId="200" fontId="70" fillId="0" borderId="0" applyFill="0" applyBorder="0" applyAlignment="0"/>
    <xf numFmtId="196" fontId="70" fillId="0" borderId="0" applyFill="0" applyBorder="0" applyAlignment="0"/>
    <xf numFmtId="0" fontId="121" fillId="0" borderId="0" applyNumberFormat="0" applyAlignment="0">
      <alignment horizontal="left"/>
    </xf>
    <xf numFmtId="0" fontId="122" fillId="0" borderId="0">
      <alignment horizontal="left"/>
    </xf>
    <xf numFmtId="0" fontId="104" fillId="36" borderId="39"/>
    <xf numFmtId="0" fontId="104" fillId="36" borderId="39"/>
    <xf numFmtId="0" fontId="104" fillId="36" borderId="39"/>
    <xf numFmtId="0" fontId="104" fillId="36" borderId="39"/>
    <xf numFmtId="0" fontId="104" fillId="36" borderId="39"/>
    <xf numFmtId="0" fontId="104" fillId="36" borderId="39"/>
    <xf numFmtId="0" fontId="104" fillId="36" borderId="39"/>
    <xf numFmtId="0" fontId="104" fillId="36" borderId="39"/>
    <xf numFmtId="0" fontId="104" fillId="36" borderId="39"/>
    <xf numFmtId="0" fontId="104" fillId="36" borderId="39"/>
    <xf numFmtId="220" fontId="88" fillId="0" borderId="0" applyFont="0" applyFill="0" applyBorder="0" applyAlignment="0" applyProtection="0"/>
    <xf numFmtId="0" fontId="123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221" fontId="118" fillId="0" borderId="0">
      <protection locked="0"/>
    </xf>
    <xf numFmtId="221" fontId="118" fillId="0" borderId="0">
      <protection locked="0"/>
    </xf>
    <xf numFmtId="221" fontId="118" fillId="0" borderId="0">
      <protection locked="0"/>
    </xf>
    <xf numFmtId="221" fontId="118" fillId="0" borderId="0">
      <protection locked="0"/>
    </xf>
    <xf numFmtId="221" fontId="118" fillId="0" borderId="0">
      <protection locked="0"/>
    </xf>
    <xf numFmtId="221" fontId="118" fillId="0" borderId="0">
      <protection locked="0"/>
    </xf>
    <xf numFmtId="221" fontId="118" fillId="0" borderId="0">
      <protection locked="0"/>
    </xf>
    <xf numFmtId="221" fontId="118" fillId="0" borderId="0"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125" fillId="0" borderId="0" applyFill="0" applyBorder="0" applyProtection="0">
      <alignment horizontal="left"/>
    </xf>
    <xf numFmtId="12" fontId="86" fillId="0" borderId="0" applyFont="0" applyFill="0" applyBorder="0" applyAlignment="0" applyProtection="0"/>
    <xf numFmtId="0" fontId="126" fillId="0" borderId="0" applyFont="0" applyFill="0" applyBorder="0" applyProtection="0"/>
    <xf numFmtId="0" fontId="127" fillId="16" borderId="0" applyNumberFormat="0" applyBorder="0" applyAlignment="0" applyProtection="0">
      <alignment vertical="center"/>
    </xf>
    <xf numFmtId="0" fontId="128" fillId="16" borderId="0" applyNumberFormat="0" applyBorder="0" applyAlignment="0" applyProtection="0"/>
    <xf numFmtId="38" fontId="104" fillId="37" borderId="0" applyNumberFormat="0" applyBorder="0" applyAlignment="0" applyProtection="0"/>
    <xf numFmtId="222" fontId="103" fillId="0" borderId="0" applyFont="0" applyFill="0" applyBorder="0" applyAlignment="0" applyProtection="0">
      <alignment horizontal="right"/>
    </xf>
    <xf numFmtId="0" fontId="129" fillId="0" borderId="0" applyNumberFormat="0" applyFill="0" applyBorder="0" applyAlignment="0" applyProtection="0"/>
    <xf numFmtId="0" fontId="130" fillId="0" borderId="2" applyNumberFormat="0" applyAlignment="0" applyProtection="0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0" fontId="130" fillId="0" borderId="38">
      <alignment horizontal="left" vertical="center"/>
    </xf>
    <xf numFmtId="14" fontId="114" fillId="38" borderId="41">
      <alignment horizontal="center" vertical="center" wrapText="1"/>
    </xf>
    <xf numFmtId="0" fontId="131" fillId="0" borderId="50" applyNumberFormat="0" applyFill="0" applyAlignment="0" applyProtection="0">
      <alignment vertical="center"/>
    </xf>
    <xf numFmtId="0" fontId="132" fillId="0" borderId="50" applyNumberFormat="0" applyFill="0" applyAlignment="0" applyProtection="0"/>
    <xf numFmtId="0" fontId="133" fillId="0" borderId="51" applyNumberFormat="0" applyFill="0" applyAlignment="0" applyProtection="0">
      <alignment vertical="center"/>
    </xf>
    <xf numFmtId="0" fontId="134" fillId="0" borderId="51" applyNumberFormat="0" applyFill="0" applyAlignment="0" applyProtection="0"/>
    <xf numFmtId="0" fontId="135" fillId="0" borderId="52" applyNumberFormat="0" applyFill="0" applyAlignment="0" applyProtection="0">
      <alignment vertical="center"/>
    </xf>
    <xf numFmtId="0" fontId="136" fillId="0" borderId="52" applyNumberFormat="0" applyFill="0" applyAlignment="0" applyProtection="0"/>
    <xf numFmtId="0" fontId="135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/>
    <xf numFmtId="221" fontId="118" fillId="0" borderId="0">
      <protection locked="0"/>
    </xf>
    <xf numFmtId="215" fontId="119" fillId="0" borderId="0">
      <protection locked="0"/>
    </xf>
    <xf numFmtId="223" fontId="62" fillId="0" borderId="0">
      <protection locked="0"/>
    </xf>
    <xf numFmtId="221" fontId="118" fillId="0" borderId="0">
      <protection locked="0"/>
    </xf>
    <xf numFmtId="0" fontId="137" fillId="0" borderId="41">
      <alignment horizontal="center"/>
    </xf>
    <xf numFmtId="0" fontId="137" fillId="0" borderId="0">
      <alignment horizontal="center"/>
    </xf>
    <xf numFmtId="224" fontId="86" fillId="0" borderId="0" applyFont="0" applyFill="0" applyBorder="0" applyAlignment="0" applyProtection="0"/>
    <xf numFmtId="225" fontId="86" fillId="0" borderId="0" applyFont="0" applyFill="0" applyBorder="0" applyAlignment="0" applyProtection="0"/>
    <xf numFmtId="0" fontId="138" fillId="0" borderId="53" applyNumberFormat="0" applyFill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10" fontId="104" fillId="39" borderId="39" applyNumberFormat="0" applyBorder="0" applyAlignment="0" applyProtection="0"/>
    <xf numFmtId="10" fontId="104" fillId="39" borderId="39" applyNumberFormat="0" applyBorder="0" applyAlignment="0" applyProtection="0"/>
    <xf numFmtId="10" fontId="104" fillId="39" borderId="39" applyNumberFormat="0" applyBorder="0" applyAlignment="0" applyProtection="0"/>
    <xf numFmtId="10" fontId="104" fillId="39" borderId="39" applyNumberFormat="0" applyBorder="0" applyAlignment="0" applyProtection="0"/>
    <xf numFmtId="10" fontId="104" fillId="39" borderId="39" applyNumberFormat="0" applyBorder="0" applyAlignment="0" applyProtection="0"/>
    <xf numFmtId="10" fontId="104" fillId="39" borderId="39" applyNumberFormat="0" applyBorder="0" applyAlignment="0" applyProtection="0"/>
    <xf numFmtId="0" fontId="139" fillId="19" borderId="54" applyNumberFormat="0" applyAlignment="0" applyProtection="0">
      <alignment vertical="center"/>
    </xf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40" fillId="19" borderId="54" applyNumberFormat="0" applyAlignment="0" applyProtection="0"/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0" fontId="139" fillId="19" borderId="54" applyNumberFormat="0" applyAlignment="0" applyProtection="0">
      <alignment vertical="center"/>
    </xf>
    <xf numFmtId="196" fontId="141" fillId="40" borderId="0"/>
    <xf numFmtId="0" fontId="102" fillId="41" borderId="0" applyNumberFormat="0" applyFont="0" applyBorder="0" applyAlignment="0" applyProtection="0">
      <alignment horizontal="right"/>
    </xf>
    <xf numFmtId="226" fontId="142" fillId="0" borderId="0">
      <alignment horizontal="center"/>
    </xf>
    <xf numFmtId="38" fontId="143" fillId="0" borderId="0"/>
    <xf numFmtId="38" fontId="144" fillId="0" borderId="0"/>
    <xf numFmtId="38" fontId="145" fillId="0" borderId="0"/>
    <xf numFmtId="38" fontId="102" fillId="0" borderId="0"/>
    <xf numFmtId="0" fontId="146" fillId="0" borderId="0"/>
    <xf numFmtId="0" fontId="146" fillId="0" borderId="0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147" fillId="33" borderId="55"/>
    <xf numFmtId="0" fontId="65" fillId="0" borderId="0" applyFont="0" applyFill="0">
      <alignment horizontal="fill"/>
    </xf>
    <xf numFmtId="44" fontId="70" fillId="0" borderId="0" applyFill="0" applyBorder="0" applyAlignment="0"/>
    <xf numFmtId="196" fontId="70" fillId="0" borderId="0" applyFill="0" applyBorder="0" applyAlignment="0"/>
    <xf numFmtId="44" fontId="70" fillId="0" borderId="0" applyFill="0" applyBorder="0" applyAlignment="0"/>
    <xf numFmtId="200" fontId="70" fillId="0" borderId="0" applyFill="0" applyBorder="0" applyAlignment="0"/>
    <xf numFmtId="196" fontId="70" fillId="0" borderId="0" applyFill="0" applyBorder="0" applyAlignment="0"/>
    <xf numFmtId="0" fontId="148" fillId="0" borderId="56" applyNumberFormat="0" applyFill="0" applyAlignment="0" applyProtection="0">
      <alignment vertical="center"/>
    </xf>
    <xf numFmtId="0" fontId="149" fillId="0" borderId="56" applyNumberFormat="0" applyFill="0" applyAlignment="0" applyProtection="0"/>
    <xf numFmtId="196" fontId="150" fillId="42" borderId="0"/>
    <xf numFmtId="38" fontId="151" fillId="0" borderId="0" applyFont="0" applyFill="0" applyBorder="0" applyAlignment="0" applyProtection="0"/>
    <xf numFmtId="40" fontId="151" fillId="0" borderId="0" applyFont="0" applyFill="0" applyBorder="0" applyAlignment="0" applyProtection="0"/>
    <xf numFmtId="227" fontId="65" fillId="0" borderId="0" applyFont="0" applyFill="0" applyBorder="0" applyAlignment="0" applyProtection="0"/>
    <xf numFmtId="0" fontId="62" fillId="0" borderId="0" applyFont="0" applyFill="0" applyBorder="0" applyAlignment="0" applyProtection="0"/>
    <xf numFmtId="228" fontId="62" fillId="0" borderId="0" applyFont="0" applyFill="0" applyBorder="0" applyAlignment="0" applyProtection="0"/>
    <xf numFmtId="229" fontId="62" fillId="0" borderId="0" applyFont="0" applyFill="0" applyBorder="0" applyAlignment="0" applyProtection="0"/>
    <xf numFmtId="230" fontId="62" fillId="0" borderId="0" applyFont="0" applyFill="0" applyBorder="0" applyAlignment="0" applyProtection="0"/>
    <xf numFmtId="227" fontId="65" fillId="0" borderId="0" applyFont="0" applyFill="0" applyBorder="0" applyAlignment="0" applyProtection="0"/>
    <xf numFmtId="6" fontId="151" fillId="0" borderId="0" applyFont="0" applyFill="0" applyBorder="0" applyAlignment="0" applyProtection="0"/>
    <xf numFmtId="8" fontId="151" fillId="0" borderId="0" applyFont="0" applyFill="0" applyBorder="0" applyAlignment="0" applyProtection="0"/>
    <xf numFmtId="6" fontId="151" fillId="0" borderId="0" applyFont="0" applyFill="0" applyBorder="0" applyAlignment="0" applyProtection="0"/>
    <xf numFmtId="8" fontId="151" fillId="0" borderId="0" applyFont="0" applyFill="0" applyBorder="0" applyAlignment="0" applyProtection="0"/>
    <xf numFmtId="6" fontId="151" fillId="0" borderId="0" applyFont="0" applyFill="0" applyBorder="0" applyAlignment="0" applyProtection="0"/>
    <xf numFmtId="8" fontId="151" fillId="0" borderId="0" applyFont="0" applyFill="0" applyBorder="0" applyAlignment="0" applyProtection="0"/>
    <xf numFmtId="167" fontId="151" fillId="0" borderId="0" applyFont="0" applyFill="0" applyBorder="0" applyAlignment="0" applyProtection="0"/>
    <xf numFmtId="168" fontId="151" fillId="0" borderId="0" applyFont="0" applyFill="0" applyBorder="0" applyAlignment="0" applyProtection="0"/>
    <xf numFmtId="230" fontId="62" fillId="0" borderId="0" applyFont="0" applyFill="0" applyBorder="0" applyAlignment="0" applyProtection="0"/>
    <xf numFmtId="227" fontId="65" fillId="0" borderId="0" applyFont="0" applyFill="0" applyBorder="0" applyAlignment="0" applyProtection="0"/>
    <xf numFmtId="230" fontId="62" fillId="0" borderId="0" applyFont="0" applyFill="0" applyBorder="0" applyAlignment="0" applyProtection="0"/>
    <xf numFmtId="227" fontId="65" fillId="0" borderId="0" applyFont="0" applyFill="0" applyBorder="0" applyAlignment="0" applyProtection="0"/>
    <xf numFmtId="17" fontId="86" fillId="0" borderId="0" applyFont="0" applyFill="0" applyBorder="0" applyAlignment="0" applyProtection="0"/>
    <xf numFmtId="231" fontId="103" fillId="0" borderId="0" applyFont="0" applyFill="0" applyBorder="0" applyAlignment="0" applyProtection="0">
      <alignment horizontal="right"/>
    </xf>
    <xf numFmtId="0" fontId="152" fillId="43" borderId="0" applyNumberFormat="0" applyBorder="0" applyAlignment="0" applyProtection="0">
      <alignment vertical="center"/>
    </xf>
    <xf numFmtId="0" fontId="153" fillId="43" borderId="0" applyNumberFormat="0" applyBorder="0" applyAlignment="0" applyProtection="0"/>
    <xf numFmtId="37" fontId="154" fillId="0" borderId="0"/>
    <xf numFmtId="0" fontId="155" fillId="0" borderId="0"/>
    <xf numFmtId="232" fontId="156" fillId="0" borderId="0"/>
    <xf numFmtId="0" fontId="157" fillId="0" borderId="0"/>
    <xf numFmtId="0" fontId="79" fillId="0" borderId="0">
      <alignment vertical="center"/>
    </xf>
    <xf numFmtId="0" fontId="105" fillId="0" borderId="0">
      <alignment vertical="center"/>
    </xf>
    <xf numFmtId="0" fontId="157" fillId="0" borderId="0"/>
    <xf numFmtId="0" fontId="109" fillId="0" borderId="0"/>
    <xf numFmtId="0" fontId="157" fillId="0" borderId="0"/>
    <xf numFmtId="0" fontId="62" fillId="0" borderId="0"/>
    <xf numFmtId="0" fontId="65" fillId="0" borderId="0"/>
    <xf numFmtId="0" fontId="62" fillId="0" borderId="0"/>
    <xf numFmtId="0" fontId="65" fillId="0" borderId="0"/>
    <xf numFmtId="0" fontId="105" fillId="0" borderId="0">
      <alignment vertical="center"/>
    </xf>
    <xf numFmtId="0" fontId="65" fillId="0" borderId="0"/>
    <xf numFmtId="0" fontId="109" fillId="0" borderId="0"/>
    <xf numFmtId="0" fontId="65" fillId="0" borderId="0"/>
    <xf numFmtId="0" fontId="62" fillId="0" borderId="0"/>
    <xf numFmtId="0" fontId="65" fillId="0" borderId="0"/>
    <xf numFmtId="0" fontId="28" fillId="0" borderId="0">
      <alignment vertical="center"/>
    </xf>
    <xf numFmtId="0" fontId="79" fillId="0" borderId="0">
      <alignment vertical="center"/>
    </xf>
    <xf numFmtId="0" fontId="28" fillId="0" borderId="0">
      <alignment vertical="center"/>
    </xf>
    <xf numFmtId="0" fontId="158" fillId="0" borderId="0">
      <alignment vertical="center"/>
    </xf>
    <xf numFmtId="0" fontId="79" fillId="0" borderId="0">
      <alignment vertical="center"/>
    </xf>
    <xf numFmtId="0" fontId="28" fillId="0" borderId="0">
      <alignment vertical="center"/>
    </xf>
    <xf numFmtId="0" fontId="158" fillId="0" borderId="0">
      <alignment vertical="center"/>
    </xf>
    <xf numFmtId="0" fontId="107" fillId="0" borderId="0">
      <alignment vertical="center"/>
    </xf>
    <xf numFmtId="0" fontId="88" fillId="0" borderId="0"/>
    <xf numFmtId="0" fontId="159" fillId="0" borderId="0"/>
    <xf numFmtId="0" fontId="88" fillId="0" borderId="0">
      <alignment vertical="center"/>
    </xf>
    <xf numFmtId="0" fontId="107" fillId="0" borderId="0">
      <alignment vertical="center"/>
    </xf>
    <xf numFmtId="0" fontId="105" fillId="0" borderId="0">
      <alignment vertical="center"/>
    </xf>
    <xf numFmtId="0" fontId="62" fillId="0" borderId="0"/>
    <xf numFmtId="0" fontId="107" fillId="0" borderId="0">
      <alignment vertical="center"/>
    </xf>
    <xf numFmtId="0" fontId="108" fillId="0" borderId="0"/>
    <xf numFmtId="0" fontId="108" fillId="0" borderId="0"/>
    <xf numFmtId="0" fontId="62" fillId="0" borderId="0"/>
    <xf numFmtId="0" fontId="62" fillId="0" borderId="0"/>
    <xf numFmtId="0" fontId="160" fillId="0" borderId="0">
      <alignment vertical="center"/>
    </xf>
    <xf numFmtId="0" fontId="62" fillId="0" borderId="0"/>
    <xf numFmtId="0" fontId="108" fillId="0" borderId="0"/>
    <xf numFmtId="0" fontId="62" fillId="0" borderId="0"/>
    <xf numFmtId="0" fontId="108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62" fillId="0" borderId="0"/>
    <xf numFmtId="0" fontId="62" fillId="0" borderId="0"/>
    <xf numFmtId="0" fontId="107" fillId="0" borderId="0">
      <alignment vertical="center"/>
    </xf>
    <xf numFmtId="0" fontId="62" fillId="0" borderId="0"/>
    <xf numFmtId="0" fontId="160" fillId="0" borderId="0">
      <alignment vertical="center"/>
    </xf>
    <xf numFmtId="0" fontId="105" fillId="0" borderId="0">
      <alignment vertical="center"/>
    </xf>
    <xf numFmtId="0" fontId="104" fillId="0" borderId="0"/>
    <xf numFmtId="0" fontId="161" fillId="0" borderId="0">
      <alignment vertical="center"/>
    </xf>
    <xf numFmtId="0" fontId="88" fillId="0" borderId="0"/>
    <xf numFmtId="0" fontId="104" fillId="0" borderId="0"/>
    <xf numFmtId="0" fontId="88" fillId="0" borderId="0">
      <alignment vertical="center"/>
    </xf>
    <xf numFmtId="0" fontId="104" fillId="0" borderId="0"/>
    <xf numFmtId="0" fontId="88" fillId="0" borderId="0"/>
    <xf numFmtId="0" fontId="88" fillId="0" borderId="0"/>
    <xf numFmtId="0" fontId="159" fillId="0" borderId="0"/>
    <xf numFmtId="0" fontId="160" fillId="0" borderId="0">
      <alignment vertical="center"/>
    </xf>
    <xf numFmtId="0" fontId="79" fillId="0" borderId="0">
      <alignment vertical="center"/>
    </xf>
    <xf numFmtId="0" fontId="62" fillId="0" borderId="0"/>
    <xf numFmtId="0" fontId="158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107" fillId="0" borderId="0">
      <alignment vertical="center"/>
    </xf>
    <xf numFmtId="0" fontId="107" fillId="0" borderId="0">
      <alignment vertical="center"/>
    </xf>
    <xf numFmtId="0" fontId="79" fillId="0" borderId="0">
      <alignment vertical="center"/>
    </xf>
    <xf numFmtId="0" fontId="65" fillId="0" borderId="0"/>
    <xf numFmtId="0" fontId="65" fillId="0" borderId="0"/>
    <xf numFmtId="0" fontId="79" fillId="0" borderId="0">
      <alignment vertical="center"/>
    </xf>
    <xf numFmtId="0" fontId="79" fillId="0" borderId="0">
      <alignment vertical="center"/>
    </xf>
    <xf numFmtId="0" fontId="157" fillId="0" borderId="0"/>
    <xf numFmtId="0" fontId="28" fillId="0" borderId="0">
      <alignment vertical="center"/>
    </xf>
    <xf numFmtId="0" fontId="105" fillId="0" borderId="0">
      <alignment vertical="center"/>
    </xf>
    <xf numFmtId="0" fontId="108" fillId="0" borderId="0"/>
    <xf numFmtId="0" fontId="161" fillId="0" borderId="0">
      <alignment vertical="center"/>
    </xf>
    <xf numFmtId="0" fontId="28" fillId="0" borderId="0">
      <alignment vertical="center"/>
    </xf>
    <xf numFmtId="0" fontId="62" fillId="0" borderId="0"/>
    <xf numFmtId="0" fontId="48" fillId="0" borderId="0">
      <alignment vertical="center"/>
    </xf>
    <xf numFmtId="0" fontId="48" fillId="0" borderId="0">
      <alignment vertical="center"/>
    </xf>
    <xf numFmtId="0" fontId="157" fillId="0" borderId="0"/>
    <xf numFmtId="0" fontId="105" fillId="0" borderId="0">
      <alignment vertical="center"/>
    </xf>
    <xf numFmtId="0" fontId="62" fillId="0" borderId="0"/>
    <xf numFmtId="0" fontId="161" fillId="0" borderId="0">
      <alignment vertical="center"/>
    </xf>
    <xf numFmtId="0" fontId="157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104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104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10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78" fillId="0" borderId="0"/>
    <xf numFmtId="0" fontId="62" fillId="0" borderId="0"/>
    <xf numFmtId="0" fontId="159" fillId="0" borderId="0"/>
    <xf numFmtId="0" fontId="157" fillId="0" borderId="0"/>
    <xf numFmtId="0" fontId="159" fillId="0" borderId="0"/>
    <xf numFmtId="0" fontId="26" fillId="0" borderId="0"/>
    <xf numFmtId="0" fontId="79" fillId="0" borderId="0">
      <alignment vertical="center"/>
    </xf>
    <xf numFmtId="0" fontId="26" fillId="0" borderId="0"/>
    <xf numFmtId="0" fontId="159" fillId="0" borderId="0"/>
    <xf numFmtId="0" fontId="78" fillId="0" borderId="0"/>
    <xf numFmtId="0" fontId="158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28" fillId="0" borderId="0">
      <alignment vertical="center"/>
    </xf>
    <xf numFmtId="0" fontId="88" fillId="0" borderId="0">
      <alignment vertical="center"/>
    </xf>
    <xf numFmtId="0" fontId="157" fillId="0" borderId="0"/>
    <xf numFmtId="0" fontId="62" fillId="0" borderId="0"/>
    <xf numFmtId="0" fontId="62" fillId="0" borderId="0"/>
    <xf numFmtId="0" fontId="104" fillId="0" borderId="0"/>
    <xf numFmtId="0" fontId="104" fillId="0" borderId="0"/>
    <xf numFmtId="0" fontId="104" fillId="0" borderId="0"/>
    <xf numFmtId="0" fontId="62" fillId="0" borderId="0"/>
    <xf numFmtId="0" fontId="109" fillId="0" borderId="0"/>
    <xf numFmtId="0" fontId="88" fillId="0" borderId="0">
      <alignment vertical="center"/>
    </xf>
    <xf numFmtId="0" fontId="62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6" fillId="0" borderId="0"/>
    <xf numFmtId="0" fontId="26" fillId="0" borderId="0"/>
    <xf numFmtId="0" fontId="4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65" fillId="0" borderId="0"/>
    <xf numFmtId="0" fontId="79" fillId="0" borderId="0">
      <alignment vertical="center"/>
    </xf>
    <xf numFmtId="0" fontId="28" fillId="0" borderId="0">
      <alignment vertical="center"/>
    </xf>
    <xf numFmtId="0" fontId="158" fillId="0" borderId="0">
      <alignment vertical="center"/>
    </xf>
    <xf numFmtId="0" fontId="28" fillId="0" borderId="0">
      <alignment vertical="center"/>
    </xf>
    <xf numFmtId="0" fontId="62" fillId="0" borderId="0"/>
    <xf numFmtId="0" fontId="157" fillId="0" borderId="0"/>
    <xf numFmtId="0" fontId="62" fillId="0" borderId="0"/>
    <xf numFmtId="0" fontId="62" fillId="0" borderId="0"/>
    <xf numFmtId="0" fontId="78" fillId="0" borderId="0"/>
    <xf numFmtId="0" fontId="88" fillId="0" borderId="0"/>
    <xf numFmtId="0" fontId="62" fillId="0" borderId="0"/>
    <xf numFmtId="0" fontId="78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6" fillId="0" borderId="0"/>
    <xf numFmtId="0" fontId="26" fillId="0" borderId="0"/>
    <xf numFmtId="0" fontId="78" fillId="0" borderId="0"/>
    <xf numFmtId="0" fontId="26" fillId="0" borderId="0"/>
    <xf numFmtId="0" fontId="79" fillId="0" borderId="0">
      <alignment vertical="center"/>
    </xf>
    <xf numFmtId="0" fontId="107" fillId="0" borderId="0">
      <alignment vertical="center"/>
    </xf>
    <xf numFmtId="0" fontId="157" fillId="0" borderId="0"/>
    <xf numFmtId="0" fontId="78" fillId="0" borderId="0"/>
    <xf numFmtId="0" fontId="107" fillId="0" borderId="0">
      <alignment vertical="center"/>
    </xf>
    <xf numFmtId="0" fontId="160" fillId="0" borderId="0">
      <alignment vertical="center"/>
    </xf>
    <xf numFmtId="0" fontId="112" fillId="0" borderId="0">
      <alignment vertical="center"/>
    </xf>
    <xf numFmtId="0" fontId="157" fillId="0" borderId="0"/>
    <xf numFmtId="0" fontId="78" fillId="0" borderId="0"/>
    <xf numFmtId="0" fontId="78" fillId="0" borderId="0"/>
    <xf numFmtId="0" fontId="162" fillId="0" borderId="0"/>
    <xf numFmtId="0" fontId="162" fillId="0" borderId="0"/>
    <xf numFmtId="0" fontId="162" fillId="0" borderId="0"/>
    <xf numFmtId="0" fontId="78" fillId="0" borderId="0"/>
    <xf numFmtId="0" fontId="112" fillId="0" borderId="0">
      <alignment vertical="center"/>
    </xf>
    <xf numFmtId="0" fontId="78" fillId="0" borderId="0"/>
    <xf numFmtId="0" fontId="157" fillId="0" borderId="0"/>
    <xf numFmtId="0" fontId="107" fillId="0" borderId="0">
      <alignment vertical="center"/>
    </xf>
    <xf numFmtId="0" fontId="78" fillId="0" borderId="0"/>
    <xf numFmtId="0" fontId="160" fillId="0" borderId="0">
      <alignment vertical="center"/>
    </xf>
    <xf numFmtId="0" fontId="157" fillId="0" borderId="0"/>
    <xf numFmtId="0" fontId="78" fillId="0" borderId="0"/>
    <xf numFmtId="0" fontId="162" fillId="0" borderId="0"/>
    <xf numFmtId="0" fontId="162" fillId="0" borderId="0"/>
    <xf numFmtId="0" fontId="162" fillId="0" borderId="0"/>
    <xf numFmtId="0" fontId="78" fillId="0" borderId="0"/>
    <xf numFmtId="0" fontId="78" fillId="0" borderId="0"/>
    <xf numFmtId="0" fontId="157" fillId="0" borderId="0"/>
    <xf numFmtId="0" fontId="157" fillId="0" borderId="0"/>
    <xf numFmtId="0" fontId="28" fillId="0" borderId="0">
      <alignment vertical="center"/>
    </xf>
    <xf numFmtId="0" fontId="163" fillId="0" borderId="0"/>
    <xf numFmtId="0" fontId="71" fillId="0" borderId="0"/>
    <xf numFmtId="0" fontId="88" fillId="44" borderId="57" applyNumberFormat="0" applyFont="0" applyAlignment="0" applyProtection="0">
      <alignment vertical="center"/>
    </xf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88" fillId="44" borderId="57" applyNumberFormat="0" applyFont="0" applyAlignment="0" applyProtection="0">
      <alignment vertical="center"/>
    </xf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0" fontId="62" fillId="44" borderId="57" applyNumberFormat="0" applyFont="0" applyAlignment="0" applyProtection="0"/>
    <xf numFmtId="233" fontId="86" fillId="0" borderId="0" applyFont="0" applyFill="0" applyBorder="0" applyProtection="0"/>
    <xf numFmtId="0" fontId="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5" fillId="0" borderId="0"/>
    <xf numFmtId="0" fontId="65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65" fillId="0" borderId="0" applyFont="0" applyFill="0" applyBorder="0" applyAlignment="0" applyProtection="0"/>
    <xf numFmtId="194" fontId="62" fillId="0" borderId="0" applyFont="0" applyFill="0" applyBorder="0" applyAlignment="0" applyProtection="0"/>
    <xf numFmtId="193" fontId="62" fillId="0" borderId="0" applyFont="0" applyFill="0" applyBorder="0" applyAlignment="0" applyProtection="0"/>
    <xf numFmtId="0" fontId="89" fillId="0" borderId="0"/>
    <xf numFmtId="166" fontId="89" fillId="0" borderId="0" applyFont="0" applyFill="0" applyBorder="0" applyAlignment="0" applyProtection="0"/>
    <xf numFmtId="0" fontId="166" fillId="0" borderId="0" applyNumberFormat="0" applyFill="0" applyBorder="0" applyAlignment="0" applyProtection="0">
      <alignment vertical="top"/>
      <protection locked="0"/>
    </xf>
    <xf numFmtId="0" fontId="167" fillId="34" borderId="58" applyNumberFormat="0" applyAlignment="0" applyProtection="0">
      <alignment vertical="center"/>
    </xf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7" fillId="34" borderId="58" applyNumberFormat="0" applyAlignment="0" applyProtection="0">
      <alignment vertical="center"/>
    </xf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0" fontId="168" fillId="34" borderId="58" applyNumberFormat="0" applyAlignment="0" applyProtection="0"/>
    <xf numFmtId="40" fontId="169" fillId="45" borderId="0">
      <alignment horizontal="right"/>
    </xf>
    <xf numFmtId="1" fontId="170" fillId="0" borderId="0" applyProtection="0">
      <alignment horizontal="right" vertical="center"/>
    </xf>
    <xf numFmtId="0" fontId="171" fillId="0" borderId="0"/>
    <xf numFmtId="14" fontId="89" fillId="0" borderId="0">
      <alignment horizontal="center" wrapText="1"/>
      <protection locked="0"/>
    </xf>
    <xf numFmtId="234" fontId="62" fillId="0" borderId="0" applyFont="0" applyFill="0" applyBorder="0" applyAlignment="0" applyProtection="0"/>
    <xf numFmtId="199" fontId="70" fillId="0" borderId="0" applyFont="0" applyFill="0" applyBorder="0" applyAlignment="0" applyProtection="0"/>
    <xf numFmtId="235" fontId="62" fillId="0" borderId="0" applyFont="0" applyFill="0" applyBorder="0" applyAlignment="0" applyProtection="0"/>
    <xf numFmtId="10" fontId="62" fillId="0" borderId="0" applyFont="0" applyFill="0" applyBorder="0" applyAlignment="0" applyProtection="0"/>
    <xf numFmtId="9" fontId="28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/>
    <xf numFmtId="9" fontId="107" fillId="0" borderId="0" applyFont="0" applyFill="0" applyBorder="0" applyAlignment="0" applyProtection="0">
      <alignment vertical="center"/>
    </xf>
    <xf numFmtId="9" fontId="104" fillId="0" borderId="0" applyFont="0" applyFill="0" applyBorder="0" applyAlignment="0" applyProtection="0"/>
    <xf numFmtId="9" fontId="88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7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9" fontId="65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107" fillId="0" borderId="0" applyFont="0" applyFill="0" applyBorder="0" applyAlignment="0" applyProtection="0">
      <alignment vertical="center"/>
    </xf>
    <xf numFmtId="9" fontId="108" fillId="0" borderId="0" applyFont="0" applyFill="0" applyBorder="0" applyAlignment="0" applyProtection="0"/>
    <xf numFmtId="9" fontId="109" fillId="0" borderId="0" applyFont="0" applyFill="0" applyBorder="0" applyAlignment="0" applyProtection="0">
      <alignment vertical="center"/>
    </xf>
    <xf numFmtId="9" fontId="65" fillId="0" borderId="0" applyFont="0" applyFill="0" applyBorder="0" applyAlignment="0" applyProtection="0"/>
    <xf numFmtId="9" fontId="107" fillId="0" borderId="0" applyFont="0" applyFill="0" applyBorder="0" applyAlignment="0" applyProtection="0">
      <alignment vertical="center"/>
    </xf>
    <xf numFmtId="9" fontId="62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28" fillId="0" borderId="0" applyFont="0" applyFill="0" applyBorder="0" applyAlignment="0" applyProtection="0">
      <alignment vertical="center"/>
    </xf>
    <xf numFmtId="9" fontId="62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65" fillId="0" borderId="0" applyFont="0" applyFill="0" applyBorder="0" applyAlignment="0" applyProtection="0"/>
    <xf numFmtId="9" fontId="28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/>
    <xf numFmtId="9" fontId="28" fillId="0" borderId="0" applyFont="0" applyFill="0" applyBorder="0" applyAlignment="0" applyProtection="0">
      <alignment vertical="center"/>
    </xf>
    <xf numFmtId="9" fontId="151" fillId="0" borderId="59" applyNumberFormat="0" applyBorder="0"/>
    <xf numFmtId="13" fontId="62" fillId="0" borderId="0" applyFont="0" applyFill="0" applyProtection="0"/>
    <xf numFmtId="0" fontId="104" fillId="37" borderId="39"/>
    <xf numFmtId="0" fontId="104" fillId="37" borderId="39"/>
    <xf numFmtId="0" fontId="104" fillId="37" borderId="39"/>
    <xf numFmtId="0" fontId="104" fillId="37" borderId="39"/>
    <xf numFmtId="0" fontId="104" fillId="37" borderId="39"/>
    <xf numFmtId="0" fontId="104" fillId="37" borderId="39"/>
    <xf numFmtId="0" fontId="104" fillId="37" borderId="39"/>
    <xf numFmtId="0" fontId="104" fillId="37" borderId="39"/>
    <xf numFmtId="0" fontId="104" fillId="37" borderId="39"/>
    <xf numFmtId="44" fontId="70" fillId="0" borderId="0" applyFill="0" applyBorder="0" applyAlignment="0"/>
    <xf numFmtId="196" fontId="70" fillId="0" borderId="0" applyFill="0" applyBorder="0" applyAlignment="0"/>
    <xf numFmtId="44" fontId="70" fillId="0" borderId="0" applyFill="0" applyBorder="0" applyAlignment="0"/>
    <xf numFmtId="200" fontId="70" fillId="0" borderId="0" applyFill="0" applyBorder="0" applyAlignment="0"/>
    <xf numFmtId="196" fontId="70" fillId="0" borderId="0" applyFill="0" applyBorder="0" applyAlignment="0"/>
    <xf numFmtId="4" fontId="122" fillId="0" borderId="0">
      <alignment horizontal="right"/>
    </xf>
    <xf numFmtId="0" fontId="172" fillId="37" borderId="0"/>
    <xf numFmtId="0" fontId="151" fillId="0" borderId="0" applyNumberFormat="0" applyFont="0" applyFill="0" applyBorder="0" applyAlignment="0" applyProtection="0">
      <alignment horizontal="left"/>
    </xf>
    <xf numFmtId="15" fontId="151" fillId="0" borderId="0" applyFont="0" applyFill="0" applyBorder="0" applyAlignment="0" applyProtection="0"/>
    <xf numFmtId="4" fontId="151" fillId="0" borderId="0" applyFont="0" applyFill="0" applyBorder="0" applyAlignment="0" applyProtection="0"/>
    <xf numFmtId="0" fontId="173" fillId="0" borderId="41">
      <alignment horizontal="center"/>
    </xf>
    <xf numFmtId="3" fontId="151" fillId="0" borderId="0" applyFont="0" applyFill="0" applyBorder="0" applyAlignment="0" applyProtection="0"/>
    <xf numFmtId="0" fontId="151" fillId="46" borderId="0" applyNumberFormat="0" applyFont="0" applyBorder="0" applyAlignment="0" applyProtection="0"/>
    <xf numFmtId="0" fontId="174" fillId="47" borderId="0" applyNumberFormat="0" applyFont="0" applyBorder="0" applyAlignment="0">
      <alignment horizontal="center"/>
    </xf>
    <xf numFmtId="0" fontId="117" fillId="0" borderId="0"/>
    <xf numFmtId="4" fontId="175" fillId="0" borderId="0">
      <alignment horizontal="right"/>
    </xf>
    <xf numFmtId="14" fontId="176" fillId="0" borderId="0" applyNumberFormat="0" applyFill="0" applyBorder="0" applyAlignment="0" applyProtection="0">
      <alignment horizontal="left"/>
    </xf>
    <xf numFmtId="193" fontId="118" fillId="0" borderId="0" applyFont="0" applyFill="0" applyBorder="0" applyAlignment="0" applyProtection="0"/>
    <xf numFmtId="0" fontId="62" fillId="0" borderId="0"/>
    <xf numFmtId="0" fontId="177" fillId="0" borderId="60">
      <alignment vertical="center"/>
    </xf>
    <xf numFmtId="11" fontId="86" fillId="0" borderId="0" applyFont="0" applyFill="0" applyBorder="0" applyAlignment="0" applyProtection="0"/>
    <xf numFmtId="0" fontId="178" fillId="0" borderId="0">
      <alignment horizontal="left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4" fillId="1" borderId="38" applyNumberFormat="0" applyFont="0" applyAlignment="0">
      <alignment horizontal="center"/>
    </xf>
    <xf numFmtId="0" fontId="179" fillId="48" borderId="0" applyNumberFormat="0"/>
    <xf numFmtId="0" fontId="180" fillId="0" borderId="0" applyNumberFormat="0" applyFill="0" applyBorder="0" applyAlignment="0">
      <alignment horizontal="center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39" fontId="70" fillId="0" borderId="0"/>
    <xf numFmtId="0" fontId="86" fillId="0" borderId="0" applyFont="0" applyFill="0" applyBorder="0" applyAlignment="0" applyProtection="0"/>
    <xf numFmtId="0" fontId="70" fillId="0" borderId="0"/>
    <xf numFmtId="40" fontId="182" fillId="0" borderId="0" applyBorder="0">
      <alignment horizontal="right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62" fillId="0" borderId="0"/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17" fillId="0" borderId="48"/>
    <xf numFmtId="0" fontId="183" fillId="0" borderId="0" applyBorder="0" applyProtection="0">
      <alignment vertical="center"/>
    </xf>
    <xf numFmtId="219" fontId="183" fillId="0" borderId="4" applyBorder="0" applyProtection="0">
      <alignment horizontal="right" vertical="center"/>
    </xf>
    <xf numFmtId="219" fontId="183" fillId="0" borderId="4" applyBorder="0" applyProtection="0">
      <alignment horizontal="right" vertical="center"/>
    </xf>
    <xf numFmtId="0" fontId="184" fillId="51" borderId="0" applyBorder="0" applyProtection="0">
      <alignment horizontal="centerContinuous" vertical="center"/>
    </xf>
    <xf numFmtId="0" fontId="184" fillId="52" borderId="4" applyBorder="0" applyProtection="0">
      <alignment horizontal="centerContinuous" vertical="center"/>
    </xf>
    <xf numFmtId="0" fontId="184" fillId="52" borderId="4" applyBorder="0" applyProtection="0">
      <alignment horizontal="centerContinuous" vertical="center"/>
    </xf>
    <xf numFmtId="0" fontId="185" fillId="0" borderId="0"/>
    <xf numFmtId="0" fontId="186" fillId="0" borderId="0" applyBorder="0" applyProtection="0">
      <alignment horizontal="left"/>
    </xf>
    <xf numFmtId="0" fontId="163" fillId="0" borderId="0"/>
    <xf numFmtId="0" fontId="187" fillId="0" borderId="0" applyFill="0" applyBorder="0" applyProtection="0">
      <alignment horizontal="left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71" fillId="0" borderId="0">
      <alignment horizontal="centerContinuous"/>
    </xf>
    <xf numFmtId="0" fontId="118" fillId="0" borderId="0" applyProtection="0"/>
    <xf numFmtId="0" fontId="188" fillId="0" borderId="0"/>
    <xf numFmtId="0" fontId="189" fillId="0" borderId="0"/>
    <xf numFmtId="49" fontId="69" fillId="0" borderId="0" applyFill="0" applyBorder="0" applyAlignment="0"/>
    <xf numFmtId="236" fontId="70" fillId="0" borderId="0" applyFill="0" applyBorder="0" applyAlignment="0"/>
    <xf numFmtId="237" fontId="70" fillId="0" borderId="0" applyFill="0" applyBorder="0" applyAlignment="0"/>
    <xf numFmtId="0" fontId="118" fillId="0" borderId="0" applyProtection="0"/>
    <xf numFmtId="238" fontId="86" fillId="0" borderId="0" applyFont="0" applyFill="0" applyBorder="0" applyAlignment="0" applyProtection="0"/>
    <xf numFmtId="0" fontId="190" fillId="0" borderId="0">
      <alignment horizontal="center"/>
    </xf>
    <xf numFmtId="0" fontId="191" fillId="0" borderId="0" applyFill="0" applyBorder="0" applyProtection="0">
      <alignment horizontal="left" vertical="top"/>
    </xf>
    <xf numFmtId="18" fontId="86" fillId="0" borderId="0" applyFont="0" applyFill="0" applyBorder="0" applyAlignment="0" applyProtection="0"/>
    <xf numFmtId="40" fontId="192" fillId="0" borderId="0"/>
    <xf numFmtId="0" fontId="65" fillId="0" borderId="0">
      <alignment horizontal="left"/>
    </xf>
    <xf numFmtId="0" fontId="65" fillId="0" borderId="0">
      <alignment horizontal="left"/>
    </xf>
    <xf numFmtId="0" fontId="193" fillId="42" borderId="0"/>
    <xf numFmtId="0" fontId="194" fillId="0" borderId="0" applyNumberFormat="0" applyFill="0" applyBorder="0" applyAlignment="0" applyProtection="0">
      <alignment vertical="center"/>
    </xf>
    <xf numFmtId="0" fontId="194" fillId="0" borderId="0" applyNumberFormat="0" applyFill="0" applyBorder="0" applyAlignment="0" applyProtection="0">
      <alignment vertical="center"/>
    </xf>
    <xf numFmtId="0" fontId="194" fillId="0" borderId="0" applyNumberFormat="0" applyFill="0" applyBorder="0" applyAlignment="0" applyProtection="0">
      <alignment vertical="center"/>
    </xf>
    <xf numFmtId="0" fontId="194" fillId="0" borderId="0" applyNumberFormat="0" applyFill="0" applyBorder="0" applyAlignment="0" applyProtection="0">
      <alignment vertical="center"/>
    </xf>
    <xf numFmtId="0" fontId="194" fillId="0" borderId="0" applyNumberFormat="0" applyFill="0" applyBorder="0" applyAlignment="0" applyProtection="0">
      <alignment vertical="center"/>
    </xf>
    <xf numFmtId="0" fontId="194" fillId="0" borderId="0" applyNumberFormat="0" applyFill="0" applyBorder="0" applyAlignment="0" applyProtection="0">
      <alignment vertical="center"/>
    </xf>
    <xf numFmtId="0" fontId="194" fillId="0" borderId="0" applyNumberFormat="0" applyFill="0" applyBorder="0" applyAlignment="0" applyProtection="0">
      <alignment vertical="center"/>
    </xf>
    <xf numFmtId="0" fontId="194" fillId="0" borderId="0" applyNumberFormat="0" applyFill="0" applyBorder="0" applyAlignment="0" applyProtection="0">
      <alignment vertical="center"/>
    </xf>
    <xf numFmtId="0" fontId="194" fillId="0" borderId="0" applyNumberFormat="0" applyFill="0" applyBorder="0" applyAlignment="0" applyProtection="0">
      <alignment vertical="center"/>
    </xf>
    <xf numFmtId="0" fontId="194" fillId="0" borderId="0" applyNumberFormat="0" applyFill="0" applyBorder="0" applyAlignment="0" applyProtection="0">
      <alignment vertical="center"/>
    </xf>
    <xf numFmtId="0" fontId="195" fillId="0" borderId="0" applyNumberFormat="0" applyFill="0" applyBorder="0" applyAlignment="0" applyProtection="0"/>
    <xf numFmtId="0" fontId="194" fillId="0" borderId="0" applyNumberFormat="0" applyFill="0" applyBorder="0" applyAlignment="0" applyProtection="0">
      <alignment vertical="center"/>
    </xf>
    <xf numFmtId="0" fontId="194" fillId="0" borderId="0" applyNumberFormat="0" applyFill="0" applyBorder="0" applyAlignment="0" applyProtection="0">
      <alignment vertical="center"/>
    </xf>
    <xf numFmtId="0" fontId="194" fillId="0" borderId="0" applyNumberFormat="0" applyFill="0" applyBorder="0" applyAlignment="0" applyProtection="0">
      <alignment vertical="center"/>
    </xf>
    <xf numFmtId="0" fontId="194" fillId="0" borderId="0" applyNumberFormat="0" applyFill="0" applyBorder="0" applyAlignment="0" applyProtection="0">
      <alignment vertical="center"/>
    </xf>
    <xf numFmtId="0" fontId="194" fillId="0" borderId="0" applyNumberFormat="0" applyFill="0" applyBorder="0" applyAlignment="0" applyProtection="0">
      <alignment vertical="center"/>
    </xf>
    <xf numFmtId="0" fontId="194" fillId="0" borderId="0" applyNumberFormat="0" applyFill="0" applyBorder="0" applyAlignment="0" applyProtection="0">
      <alignment vertical="center"/>
    </xf>
    <xf numFmtId="0" fontId="194" fillId="0" borderId="0" applyNumberFormat="0" applyFill="0" applyBorder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6" fillId="0" borderId="64" applyNumberFormat="0" applyFill="0" applyAlignment="0" applyProtection="0">
      <alignment vertical="center"/>
    </xf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97" fillId="0" borderId="64" applyNumberFormat="0" applyFill="0" applyAlignment="0" applyProtection="0"/>
    <xf numFmtId="0" fontId="147" fillId="0" borderId="65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0" fontId="147" fillId="0" borderId="48"/>
    <xf numFmtId="41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0" fontId="198" fillId="0" borderId="0">
      <alignment horizontal="fill"/>
    </xf>
    <xf numFmtId="37" fontId="104" fillId="53" borderId="0" applyNumberFormat="0" applyBorder="0" applyAlignment="0" applyProtection="0"/>
    <xf numFmtId="37" fontId="104" fillId="0" borderId="0"/>
    <xf numFmtId="3" fontId="199" fillId="0" borderId="53" applyProtection="0"/>
    <xf numFmtId="42" fontId="62" fillId="0" borderId="0" applyFont="0" applyFill="0" applyBorder="0" applyAlignment="0" applyProtection="0"/>
    <xf numFmtId="44" fontId="62" fillId="0" borderId="0" applyFont="0" applyFill="0" applyBorder="0" applyAlignment="0" applyProtection="0"/>
    <xf numFmtId="171" fontId="62" fillId="0" borderId="0" applyFont="0" applyFill="0" applyBorder="0" applyAlignment="0" applyProtection="0"/>
    <xf numFmtId="172" fontId="62" fillId="0" borderId="0" applyFont="0" applyFill="0" applyBorder="0" applyAlignment="0" applyProtection="0"/>
    <xf numFmtId="0" fontId="200" fillId="0" borderId="0" applyNumberFormat="0" applyFill="0" applyBorder="0" applyAlignment="0" applyProtection="0">
      <alignment vertical="center"/>
    </xf>
    <xf numFmtId="0" fontId="201" fillId="0" borderId="0" applyNumberFormat="0" applyFill="0" applyBorder="0" applyAlignment="0" applyProtection="0"/>
    <xf numFmtId="239" fontId="202" fillId="0" borderId="4" applyBorder="0" applyProtection="0">
      <alignment horizontal="right"/>
    </xf>
    <xf numFmtId="239" fontId="202" fillId="0" borderId="4" applyBorder="0" applyProtection="0">
      <alignment horizontal="right"/>
    </xf>
    <xf numFmtId="0" fontId="86" fillId="0" borderId="0" applyFont="0" applyFill="0" applyBorder="0" applyAlignment="0" applyProtection="0"/>
    <xf numFmtId="9" fontId="203" fillId="0" borderId="0" applyFont="0" applyFill="0" applyBorder="0" applyAlignment="0" applyProtection="0"/>
    <xf numFmtId="169" fontId="62" fillId="0" borderId="0" applyFont="0" applyFill="0" applyBorder="0" applyAlignment="0" applyProtection="0"/>
    <xf numFmtId="170" fontId="62" fillId="0" borderId="0" applyFont="0" applyFill="0" applyBorder="0" applyAlignment="0" applyProtection="0"/>
    <xf numFmtId="0" fontId="62" fillId="0" borderId="0"/>
    <xf numFmtId="0" fontId="89" fillId="0" borderId="0"/>
    <xf numFmtId="0" fontId="62" fillId="0" borderId="0"/>
    <xf numFmtId="0" fontId="62" fillId="0" borderId="0"/>
    <xf numFmtId="164" fontId="89" fillId="0" borderId="0" applyFont="0" applyFill="0" applyBorder="0" applyAlignment="0" applyProtection="0"/>
    <xf numFmtId="166" fontId="89" fillId="0" borderId="0" applyFont="0" applyFill="0" applyBorder="0" applyAlignment="0" applyProtection="0"/>
    <xf numFmtId="9" fontId="65" fillId="0" borderId="0" applyFont="0" applyFill="0" applyBorder="0" applyAlignment="0" applyProtection="0"/>
    <xf numFmtId="0" fontId="204" fillId="0" borderId="0"/>
    <xf numFmtId="193" fontId="205" fillId="0" borderId="0" applyFont="0" applyFill="0" applyBorder="0" applyAlignment="0" applyProtection="0"/>
    <xf numFmtId="194" fontId="205" fillId="0" borderId="0" applyFont="0" applyFill="0" applyBorder="0" applyAlignment="0" applyProtection="0"/>
    <xf numFmtId="40" fontId="206" fillId="0" borderId="0" applyFont="0" applyFill="0" applyBorder="0" applyAlignment="0" applyProtection="0"/>
    <xf numFmtId="38" fontId="116" fillId="0" borderId="0" applyFont="0" applyFill="0" applyBorder="0" applyAlignment="0" applyProtection="0"/>
    <xf numFmtId="0" fontId="88" fillId="0" borderId="0" applyFont="0" applyFill="0" applyBorder="0" applyAlignment="0" applyProtection="0"/>
    <xf numFmtId="0" fontId="88" fillId="0" borderId="0" applyFont="0" applyFill="0" applyBorder="0" applyAlignment="0" applyProtection="0"/>
    <xf numFmtId="10" fontId="207" fillId="0" borderId="0" applyFont="0" applyFill="0" applyBorder="0" applyAlignment="0" applyProtection="0"/>
    <xf numFmtId="0" fontId="88" fillId="0" borderId="0"/>
    <xf numFmtId="164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240" fontId="116" fillId="0" borderId="0" applyFont="0" applyFill="0" applyBorder="0" applyAlignment="0" applyProtection="0"/>
    <xf numFmtId="241" fontId="116" fillId="0" borderId="0" applyFont="0" applyFill="0" applyBorder="0" applyAlignment="0" applyProtection="0"/>
    <xf numFmtId="242" fontId="116" fillId="0" borderId="0" applyFont="0" applyFill="0" applyBorder="0" applyAlignment="0" applyProtection="0"/>
    <xf numFmtId="243" fontId="116" fillId="0" borderId="0" applyFont="0" applyFill="0" applyBorder="0" applyAlignment="0" applyProtection="0"/>
    <xf numFmtId="0" fontId="88" fillId="0" borderId="0"/>
    <xf numFmtId="0" fontId="62" fillId="0" borderId="0"/>
    <xf numFmtId="0" fontId="62" fillId="0" borderId="0"/>
    <xf numFmtId="0" fontId="62" fillId="0" borderId="0"/>
    <xf numFmtId="0" fontId="88" fillId="0" borderId="0"/>
    <xf numFmtId="0" fontId="105" fillId="0" borderId="0">
      <alignment vertical="center"/>
    </xf>
    <xf numFmtId="0" fontId="109" fillId="0" borderId="0"/>
    <xf numFmtId="0" fontId="28" fillId="0" borderId="0">
      <alignment vertical="center"/>
    </xf>
    <xf numFmtId="0" fontId="208" fillId="0" borderId="0"/>
    <xf numFmtId="0" fontId="209" fillId="0" borderId="0">
      <alignment vertical="center"/>
    </xf>
    <xf numFmtId="0" fontId="109" fillId="0" borderId="0"/>
    <xf numFmtId="0" fontId="65" fillId="0" borderId="0"/>
    <xf numFmtId="0" fontId="65" fillId="0" borderId="0"/>
    <xf numFmtId="0" fontId="210" fillId="0" borderId="0"/>
    <xf numFmtId="0" fontId="210" fillId="0" borderId="0"/>
    <xf numFmtId="0" fontId="210" fillId="0" borderId="0"/>
    <xf numFmtId="0" fontId="62" fillId="0" borderId="0"/>
    <xf numFmtId="0" fontId="70" fillId="0" borderId="0"/>
    <xf numFmtId="0" fontId="106" fillId="0" borderId="0">
      <alignment vertical="center"/>
    </xf>
    <xf numFmtId="0" fontId="65" fillId="0" borderId="0"/>
    <xf numFmtId="0" fontId="48" fillId="0" borderId="0">
      <alignment vertical="center"/>
    </xf>
    <xf numFmtId="0" fontId="10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210" fillId="0" borderId="0"/>
    <xf numFmtId="0" fontId="210" fillId="0" borderId="0"/>
    <xf numFmtId="0" fontId="210" fillId="0" borderId="0"/>
    <xf numFmtId="0" fontId="88" fillId="0" borderId="0"/>
    <xf numFmtId="0" fontId="62" fillId="0" borderId="0"/>
    <xf numFmtId="0" fontId="88" fillId="0" borderId="0">
      <alignment vertical="center"/>
    </xf>
    <xf numFmtId="0" fontId="105" fillId="0" borderId="0">
      <alignment vertical="center"/>
    </xf>
    <xf numFmtId="0" fontId="79" fillId="0" borderId="0">
      <alignment vertical="center"/>
    </xf>
    <xf numFmtId="0" fontId="211" fillId="0" borderId="0">
      <alignment vertical="center"/>
    </xf>
    <xf numFmtId="0" fontId="65" fillId="0" borderId="0"/>
    <xf numFmtId="0" fontId="105" fillId="0" borderId="0">
      <alignment vertical="center"/>
    </xf>
    <xf numFmtId="0" fontId="109" fillId="0" borderId="0"/>
    <xf numFmtId="0" fontId="211" fillId="0" borderId="0">
      <alignment vertical="center"/>
    </xf>
    <xf numFmtId="0" fontId="79" fillId="0" borderId="0">
      <alignment vertical="center"/>
    </xf>
    <xf numFmtId="0" fontId="105" fillId="0" borderId="0">
      <alignment vertical="center"/>
    </xf>
    <xf numFmtId="0" fontId="28" fillId="0" borderId="0">
      <alignment vertical="center"/>
    </xf>
    <xf numFmtId="0" fontId="211" fillId="0" borderId="0">
      <alignment vertical="center"/>
    </xf>
    <xf numFmtId="0" fontId="158" fillId="0" borderId="0">
      <alignment vertical="center"/>
    </xf>
    <xf numFmtId="0" fontId="65" fillId="0" borderId="0"/>
    <xf numFmtId="0" fontId="105" fillId="0" borderId="0">
      <alignment vertical="center"/>
    </xf>
    <xf numFmtId="0" fontId="106" fillId="0" borderId="0">
      <alignment vertical="center"/>
    </xf>
    <xf numFmtId="0" fontId="211" fillId="0" borderId="0">
      <alignment vertical="center"/>
    </xf>
    <xf numFmtId="0" fontId="79" fillId="0" borderId="0">
      <alignment vertical="center"/>
    </xf>
    <xf numFmtId="0" fontId="105" fillId="0" borderId="0">
      <alignment vertical="center"/>
    </xf>
    <xf numFmtId="0" fontId="211" fillId="0" borderId="0">
      <alignment vertical="center"/>
    </xf>
    <xf numFmtId="0" fontId="158" fillId="0" borderId="0">
      <alignment vertical="center"/>
    </xf>
    <xf numFmtId="0" fontId="107" fillId="0" borderId="0">
      <alignment vertical="center"/>
    </xf>
    <xf numFmtId="0" fontId="107" fillId="0" borderId="0">
      <alignment vertical="center"/>
    </xf>
    <xf numFmtId="0" fontId="212" fillId="0" borderId="0">
      <alignment vertical="center"/>
    </xf>
    <xf numFmtId="0" fontId="160" fillId="0" borderId="0">
      <alignment vertical="center"/>
    </xf>
    <xf numFmtId="0" fontId="73" fillId="0" borderId="0" applyNumberFormat="0" applyFill="0" applyBorder="0" applyAlignment="0" applyProtection="0">
      <alignment vertical="top"/>
      <protection locked="0"/>
    </xf>
    <xf numFmtId="164" fontId="62" fillId="0" borderId="0" applyFont="0" applyFill="0" applyBorder="0" applyAlignment="0" applyProtection="0"/>
    <xf numFmtId="166" fontId="62" fillId="0" borderId="0" applyFont="0" applyFill="0" applyBorder="0" applyAlignment="0" applyProtection="0"/>
    <xf numFmtId="164" fontId="88" fillId="0" borderId="0" applyFont="0" applyFill="0" applyBorder="0" applyAlignment="0" applyProtection="0">
      <alignment vertical="center"/>
    </xf>
    <xf numFmtId="166" fontId="62" fillId="0" borderId="0" applyFont="0" applyFill="0" applyBorder="0" applyAlignment="0" applyProtection="0"/>
    <xf numFmtId="164" fontId="72" fillId="0" borderId="0"/>
    <xf numFmtId="166" fontId="62" fillId="0" borderId="0" applyFont="0" applyFill="0" applyBorder="0" applyAlignment="0" applyProtection="0"/>
    <xf numFmtId="43" fontId="106" fillId="0" borderId="0" applyFont="0" applyFill="0" applyBorder="0" applyAlignment="0" applyProtection="0">
      <alignment vertical="center"/>
    </xf>
    <xf numFmtId="166" fontId="105" fillId="0" borderId="0" applyFont="0" applyFill="0" applyBorder="0" applyAlignment="0" applyProtection="0">
      <alignment vertical="center"/>
    </xf>
    <xf numFmtId="43" fontId="106" fillId="0" borderId="0" applyFont="0" applyFill="0" applyBorder="0" applyAlignment="0" applyProtection="0">
      <alignment vertical="center"/>
    </xf>
    <xf numFmtId="43" fontId="106" fillId="0" borderId="0" applyFont="0" applyFill="0" applyBorder="0" applyAlignment="0" applyProtection="0">
      <alignment vertical="center"/>
    </xf>
    <xf numFmtId="43" fontId="106" fillId="0" borderId="0" applyFont="0" applyFill="0" applyBorder="0" applyAlignment="0" applyProtection="0">
      <alignment vertical="center"/>
    </xf>
    <xf numFmtId="166" fontId="28" fillId="0" borderId="0" applyFont="0" applyFill="0" applyBorder="0" applyAlignment="0" applyProtection="0">
      <alignment vertical="center"/>
    </xf>
    <xf numFmtId="43" fontId="106" fillId="0" borderId="0" applyFont="0" applyFill="0" applyBorder="0" applyAlignment="0" applyProtection="0">
      <alignment vertical="center"/>
    </xf>
    <xf numFmtId="43" fontId="106" fillId="0" borderId="0" applyFont="0" applyFill="0" applyBorder="0" applyAlignment="0" applyProtection="0">
      <alignment vertical="center"/>
    </xf>
    <xf numFmtId="166" fontId="105" fillId="0" borderId="0" applyFont="0" applyFill="0" applyBorder="0" applyAlignment="0" applyProtection="0">
      <alignment vertical="center"/>
    </xf>
    <xf numFmtId="166" fontId="106" fillId="0" borderId="0" applyFont="0" applyFill="0" applyBorder="0" applyAlignment="0" applyProtection="0">
      <alignment vertical="center"/>
    </xf>
    <xf numFmtId="166" fontId="106" fillId="0" borderId="0" applyFont="0" applyFill="0" applyBorder="0" applyAlignment="0" applyProtection="0">
      <alignment vertical="center"/>
    </xf>
    <xf numFmtId="166" fontId="106" fillId="0" borderId="0" applyFont="0" applyFill="0" applyBorder="0" applyAlignment="0" applyProtection="0">
      <alignment vertical="center"/>
    </xf>
    <xf numFmtId="166" fontId="106" fillId="0" borderId="0" applyFont="0" applyFill="0" applyBorder="0" applyAlignment="0" applyProtection="0">
      <alignment vertical="center"/>
    </xf>
    <xf numFmtId="166" fontId="106" fillId="0" borderId="0" applyFont="0" applyFill="0" applyBorder="0" applyAlignment="0" applyProtection="0">
      <alignment vertical="center"/>
    </xf>
    <xf numFmtId="166" fontId="106" fillId="0" borderId="0" applyFont="0" applyFill="0" applyBorder="0" applyAlignment="0" applyProtection="0">
      <alignment vertical="center"/>
    </xf>
    <xf numFmtId="166" fontId="28" fillId="0" borderId="0" applyFont="0" applyFill="0" applyBorder="0" applyAlignment="0" applyProtection="0">
      <alignment vertical="center"/>
    </xf>
    <xf numFmtId="43" fontId="209" fillId="0" borderId="0" applyFont="0" applyFill="0" applyBorder="0" applyAlignment="0" applyProtection="0">
      <alignment vertical="center"/>
    </xf>
    <xf numFmtId="43" fontId="106" fillId="0" borderId="0" applyFont="0" applyFill="0" applyBorder="0" applyAlignment="0" applyProtection="0">
      <alignment vertical="center"/>
    </xf>
    <xf numFmtId="43" fontId="106" fillId="0" borderId="0" applyFont="0" applyFill="0" applyBorder="0" applyAlignment="0" applyProtection="0">
      <alignment vertical="center"/>
    </xf>
    <xf numFmtId="166" fontId="210" fillId="0" borderId="0" applyFont="0" applyFill="0" applyBorder="0" applyAlignment="0" applyProtection="0">
      <alignment vertical="center"/>
    </xf>
    <xf numFmtId="166" fontId="210" fillId="0" borderId="0" applyFont="0" applyFill="0" applyBorder="0" applyAlignment="0" applyProtection="0">
      <alignment vertical="center"/>
    </xf>
    <xf numFmtId="166" fontId="210" fillId="0" borderId="0" applyFont="0" applyFill="0" applyBorder="0" applyAlignment="0" applyProtection="0">
      <alignment vertical="center"/>
    </xf>
    <xf numFmtId="166" fontId="62" fillId="0" borderId="0" applyFont="0" applyFill="0" applyBorder="0" applyAlignment="0" applyProtection="0"/>
    <xf numFmtId="166" fontId="88" fillId="0" borderId="0" applyFont="0" applyFill="0" applyBorder="0" applyAlignment="0" applyProtection="0"/>
    <xf numFmtId="194" fontId="70" fillId="0" borderId="0" applyFont="0" applyFill="0" applyBorder="0" applyAlignment="0" applyProtection="0"/>
    <xf numFmtId="43" fontId="106" fillId="0" borderId="0" applyFont="0" applyFill="0" applyBorder="0" applyAlignment="0" applyProtection="0">
      <alignment vertical="center"/>
    </xf>
    <xf numFmtId="43" fontId="209" fillId="0" borderId="0" applyFont="0" applyFill="0" applyBorder="0" applyAlignment="0" applyProtection="0">
      <alignment vertical="center"/>
    </xf>
    <xf numFmtId="166" fontId="105" fillId="0" borderId="0" applyFont="0" applyFill="0" applyBorder="0" applyAlignment="0" applyProtection="0">
      <alignment vertical="center"/>
    </xf>
    <xf numFmtId="166" fontId="62" fillId="0" borderId="0" applyFont="0" applyFill="0" applyBorder="0" applyAlignment="0" applyProtection="0"/>
    <xf numFmtId="166" fontId="105" fillId="0" borderId="0" applyFont="0" applyFill="0" applyBorder="0" applyAlignment="0" applyProtection="0">
      <alignment vertical="center"/>
    </xf>
    <xf numFmtId="43" fontId="209" fillId="0" borderId="0" applyFont="0" applyFill="0" applyBorder="0" applyAlignment="0" applyProtection="0">
      <alignment vertical="center"/>
    </xf>
    <xf numFmtId="166" fontId="105" fillId="0" borderId="0" applyFont="0" applyFill="0" applyBorder="0" applyAlignment="0" applyProtection="0">
      <alignment vertical="center"/>
    </xf>
    <xf numFmtId="166" fontId="28" fillId="0" borderId="0" applyFont="0" applyFill="0" applyBorder="0" applyAlignment="0" applyProtection="0">
      <alignment vertical="center"/>
    </xf>
    <xf numFmtId="166" fontId="210" fillId="0" borderId="0" applyFont="0" applyFill="0" applyBorder="0" applyAlignment="0" applyProtection="0">
      <alignment vertical="center"/>
    </xf>
    <xf numFmtId="166" fontId="210" fillId="0" borderId="0" applyFont="0" applyFill="0" applyBorder="0" applyAlignment="0" applyProtection="0">
      <alignment vertical="center"/>
    </xf>
    <xf numFmtId="166" fontId="210" fillId="0" borderId="0" applyFont="0" applyFill="0" applyBorder="0" applyAlignment="0" applyProtection="0">
      <alignment vertical="center"/>
    </xf>
    <xf numFmtId="166" fontId="88" fillId="0" borderId="0" applyFont="0" applyFill="0" applyBorder="0" applyAlignment="0" applyProtection="0">
      <alignment vertical="center"/>
    </xf>
    <xf numFmtId="166" fontId="62" fillId="0" borderId="0" applyFont="0" applyFill="0" applyBorder="0" applyAlignment="0" applyProtection="0"/>
    <xf numFmtId="166" fontId="79" fillId="0" borderId="0" applyFont="0" applyFill="0" applyBorder="0" applyAlignment="0" applyProtection="0">
      <alignment vertical="center"/>
    </xf>
    <xf numFmtId="166" fontId="88" fillId="0" borderId="0" applyFont="0" applyFill="0" applyBorder="0" applyAlignment="0" applyProtection="0">
      <alignment vertical="center"/>
    </xf>
    <xf numFmtId="166" fontId="105" fillId="0" borderId="0" applyFont="0" applyFill="0" applyBorder="0" applyAlignment="0" applyProtection="0">
      <alignment vertical="center"/>
    </xf>
    <xf numFmtId="43" fontId="109" fillId="0" borderId="0" applyFont="0" applyFill="0" applyBorder="0" applyAlignment="0" applyProtection="0">
      <alignment vertical="center"/>
    </xf>
    <xf numFmtId="166" fontId="211" fillId="0" borderId="0" applyFont="0" applyFill="0" applyBorder="0" applyAlignment="0" applyProtection="0">
      <alignment vertical="center"/>
    </xf>
    <xf numFmtId="166" fontId="65" fillId="0" borderId="0" applyFont="0" applyFill="0" applyBorder="0" applyAlignment="0" applyProtection="0"/>
    <xf numFmtId="166" fontId="107" fillId="0" borderId="0" applyFont="0" applyFill="0" applyBorder="0" applyAlignment="0" applyProtection="0">
      <alignment vertical="center"/>
    </xf>
    <xf numFmtId="166" fontId="106" fillId="0" borderId="0" applyFont="0" applyFill="0" applyBorder="0" applyAlignment="0" applyProtection="0">
      <alignment vertical="center"/>
    </xf>
    <xf numFmtId="166" fontId="212" fillId="0" borderId="0" applyFont="0" applyFill="0" applyBorder="0" applyAlignment="0" applyProtection="0">
      <alignment vertical="center"/>
    </xf>
    <xf numFmtId="166" fontId="65" fillId="0" borderId="0" applyFont="0" applyFill="0" applyBorder="0" applyAlignment="0" applyProtection="0"/>
    <xf numFmtId="166" fontId="62" fillId="0" borderId="0" applyFont="0" applyFill="0" applyBorder="0" applyAlignment="0" applyProtection="0"/>
    <xf numFmtId="166" fontId="105" fillId="0" borderId="0" applyFont="0" applyFill="0" applyBorder="0" applyAlignment="0" applyProtection="0">
      <alignment vertical="center"/>
    </xf>
    <xf numFmtId="166" fontId="88" fillId="0" borderId="0" applyFont="0" applyFill="0" applyBorder="0" applyAlignment="0" applyProtection="0">
      <alignment vertical="center"/>
    </xf>
    <xf numFmtId="166" fontId="105" fillId="0" borderId="0" applyFont="0" applyFill="0" applyBorder="0" applyAlignment="0" applyProtection="0">
      <alignment vertical="center"/>
    </xf>
    <xf numFmtId="43" fontId="106" fillId="0" borderId="0" applyFont="0" applyFill="0" applyBorder="0" applyAlignment="0" applyProtection="0">
      <alignment vertical="center"/>
    </xf>
    <xf numFmtId="166" fontId="105" fillId="0" borderId="0" applyFont="0" applyFill="0" applyBorder="0" applyAlignment="0" applyProtection="0">
      <alignment vertical="center"/>
    </xf>
    <xf numFmtId="166" fontId="62" fillId="0" borderId="0" applyFont="0" applyFill="0" applyBorder="0" applyAlignment="0" applyProtection="0"/>
    <xf numFmtId="164" fontId="65" fillId="0" borderId="0" applyFont="0" applyFill="0" applyBorder="0" applyAlignment="0" applyProtection="0">
      <alignment vertical="center"/>
    </xf>
    <xf numFmtId="164" fontId="62" fillId="0" borderId="0" applyFont="0" applyFill="0" applyBorder="0" applyAlignment="0" applyProtection="0"/>
    <xf numFmtId="0" fontId="213" fillId="54" borderId="0" applyNumberFormat="0" applyBorder="0" applyAlignment="0" applyProtection="0"/>
    <xf numFmtId="0" fontId="213" fillId="15" borderId="0" applyNumberFormat="0" applyBorder="0" applyAlignment="0" applyProtection="0">
      <alignment vertical="center"/>
    </xf>
    <xf numFmtId="0" fontId="213" fillId="15" borderId="0" applyNumberFormat="0" applyBorder="0" applyAlignment="0" applyProtection="0">
      <alignment vertical="center"/>
    </xf>
    <xf numFmtId="0" fontId="213" fillId="15" borderId="0" applyNumberFormat="0" applyBorder="0" applyAlignment="0" applyProtection="0">
      <alignment vertical="center"/>
    </xf>
    <xf numFmtId="0" fontId="213" fillId="15" borderId="0" applyNumberFormat="0" applyBorder="0" applyAlignment="0" applyProtection="0">
      <alignment vertical="center"/>
    </xf>
    <xf numFmtId="0" fontId="213" fillId="15" borderId="0" applyNumberFormat="0" applyBorder="0" applyAlignment="0" applyProtection="0">
      <alignment vertical="center"/>
    </xf>
    <xf numFmtId="0" fontId="88" fillId="0" borderId="0" applyNumberFormat="0" applyFill="0" applyBorder="0" applyAlignment="0" applyProtection="0"/>
    <xf numFmtId="0" fontId="214" fillId="55" borderId="0" applyNumberFormat="0" applyBorder="0" applyAlignment="0" applyProtection="0"/>
    <xf numFmtId="0" fontId="214" fillId="16" borderId="0" applyNumberFormat="0" applyBorder="0" applyAlignment="0" applyProtection="0">
      <alignment vertical="center"/>
    </xf>
    <xf numFmtId="0" fontId="214" fillId="16" borderId="0" applyNumberFormat="0" applyBorder="0" applyAlignment="0" applyProtection="0">
      <alignment vertical="center"/>
    </xf>
    <xf numFmtId="0" fontId="214" fillId="16" borderId="0" applyNumberFormat="0" applyBorder="0" applyAlignment="0" applyProtection="0">
      <alignment vertical="center"/>
    </xf>
    <xf numFmtId="0" fontId="214" fillId="16" borderId="0" applyNumberFormat="0" applyBorder="0" applyAlignment="0" applyProtection="0">
      <alignment vertical="center"/>
    </xf>
    <xf numFmtId="0" fontId="214" fillId="16" borderId="0" applyNumberFormat="0" applyBorder="0" applyAlignment="0" applyProtection="0">
      <alignment vertical="center"/>
    </xf>
    <xf numFmtId="40" fontId="215" fillId="0" borderId="0" applyFont="0" applyFill="0" applyBorder="0" applyAlignment="0" applyProtection="0"/>
    <xf numFmtId="38" fontId="215" fillId="0" borderId="0" applyFont="0" applyFill="0" applyBorder="0" applyAlignment="0" applyProtection="0"/>
    <xf numFmtId="9" fontId="204" fillId="0" borderId="0" applyFont="0" applyFill="0" applyBorder="0" applyAlignment="0" applyProtection="0"/>
    <xf numFmtId="244" fontId="65" fillId="0" borderId="0" applyFont="0" applyFill="0" applyBorder="0" applyAlignment="0" applyProtection="0"/>
    <xf numFmtId="245" fontId="65" fillId="0" borderId="0" applyFont="0" applyFill="0" applyBorder="0" applyAlignment="0" applyProtection="0"/>
    <xf numFmtId="0" fontId="88" fillId="0" borderId="0"/>
    <xf numFmtId="0" fontId="215" fillId="0" borderId="0" applyFont="0" applyFill="0" applyBorder="0" applyAlignment="0" applyProtection="0"/>
    <xf numFmtId="0" fontId="215" fillId="0" borderId="0" applyFont="0" applyFill="0" applyBorder="0" applyAlignment="0" applyProtection="0"/>
    <xf numFmtId="0" fontId="216" fillId="0" borderId="0"/>
    <xf numFmtId="0" fontId="118" fillId="0" borderId="0"/>
    <xf numFmtId="0" fontId="80" fillId="0" borderId="0"/>
    <xf numFmtId="4" fontId="217" fillId="0" borderId="0" applyFont="0" applyFill="0" applyBorder="0" applyAlignment="0" applyProtection="0"/>
    <xf numFmtId="193" fontId="62" fillId="0" borderId="0" applyFont="0" applyFill="0" applyBorder="0" applyAlignment="0" applyProtection="0"/>
    <xf numFmtId="0" fontId="218" fillId="56" borderId="47" applyNumberFormat="0" applyAlignment="0" applyProtection="0"/>
    <xf numFmtId="4" fontId="219" fillId="0" borderId="0">
      <alignment horizontal="right"/>
    </xf>
    <xf numFmtId="0" fontId="220" fillId="0" borderId="0">
      <alignment horizontal="center" wrapText="1"/>
    </xf>
    <xf numFmtId="0" fontId="70" fillId="0" borderId="0"/>
    <xf numFmtId="0" fontId="62" fillId="0" borderId="0" applyNumberFormat="0" applyFill="0" applyBorder="0" applyAlignment="0" applyProtection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0" fontId="221" fillId="0" borderId="0"/>
    <xf numFmtId="246" fontId="222" fillId="0" borderId="0" applyFont="0" applyFill="0" applyBorder="0" applyAlignment="0" applyProtection="0"/>
    <xf numFmtId="247" fontId="222" fillId="0" borderId="0" applyFont="0" applyFill="0" applyBorder="0" applyAlignment="0" applyProtection="0"/>
    <xf numFmtId="0" fontId="205" fillId="0" borderId="0"/>
    <xf numFmtId="9" fontId="88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9" fontId="65" fillId="0" borderId="0" applyFont="0" applyFill="0" applyBorder="0" applyAlignment="0" applyProtection="0"/>
    <xf numFmtId="9" fontId="105" fillId="0" borderId="0" applyFont="0" applyFill="0" applyBorder="0" applyAlignment="0" applyProtection="0">
      <alignment vertical="center"/>
    </xf>
    <xf numFmtId="9" fontId="109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9" fontId="65" fillId="0" borderId="0" applyFont="0" applyFill="0" applyBorder="0" applyAlignment="0" applyProtection="0"/>
    <xf numFmtId="9" fontId="28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169" fontId="89" fillId="0" borderId="0" applyFont="0" applyFill="0" applyBorder="0" applyAlignment="0" applyProtection="0"/>
    <xf numFmtId="169" fontId="62" fillId="0" borderId="0" applyFont="0" applyFill="0" applyBorder="0" applyAlignment="0" applyProtection="0"/>
    <xf numFmtId="170" fontId="89" fillId="0" borderId="0" applyFont="0" applyFill="0" applyBorder="0" applyAlignment="0" applyProtection="0"/>
    <xf numFmtId="0" fontId="223" fillId="0" borderId="0" applyNumberFormat="0" applyFill="0" applyBorder="0" applyAlignment="0" applyProtection="0">
      <alignment vertical="top"/>
      <protection locked="0"/>
    </xf>
    <xf numFmtId="0" fontId="223" fillId="0" borderId="0" applyNumberFormat="0" applyFill="0" applyBorder="0" applyAlignment="0" applyProtection="0">
      <alignment vertical="top"/>
      <protection locked="0"/>
    </xf>
    <xf numFmtId="169" fontId="62" fillId="0" borderId="0" applyFont="0" applyFill="0" applyBorder="0" applyAlignment="0" applyProtection="0"/>
    <xf numFmtId="165" fontId="88" fillId="0" borderId="0" applyFont="0" applyFill="0" applyBorder="0" applyAlignment="0" applyProtection="0">
      <alignment vertical="center"/>
    </xf>
    <xf numFmtId="172" fontId="210" fillId="0" borderId="0" applyFont="0" applyFill="0" applyBorder="0" applyAlignment="0" applyProtection="0">
      <alignment vertical="center"/>
    </xf>
    <xf numFmtId="172" fontId="210" fillId="0" borderId="0" applyFont="0" applyFill="0" applyBorder="0" applyAlignment="0" applyProtection="0">
      <alignment vertical="center"/>
    </xf>
    <xf numFmtId="172" fontId="210" fillId="0" borderId="0" applyFont="0" applyFill="0" applyBorder="0" applyAlignment="0" applyProtection="0">
      <alignment vertical="center"/>
    </xf>
    <xf numFmtId="170" fontId="65" fillId="0" borderId="0" applyFont="0" applyFill="0" applyBorder="0" applyAlignment="0" applyProtection="0"/>
    <xf numFmtId="170" fontId="65" fillId="0" borderId="0" applyFont="0" applyFill="0" applyBorder="0" applyAlignment="0" applyProtection="0"/>
    <xf numFmtId="42" fontId="62" fillId="0" borderId="0" applyFont="0" applyFill="0" applyBorder="0" applyAlignment="0" applyProtection="0"/>
    <xf numFmtId="170" fontId="62" fillId="0" borderId="0" applyFont="0" applyFill="0" applyBorder="0" applyAlignment="0" applyProtection="0"/>
    <xf numFmtId="43" fontId="62" fillId="0" borderId="39" applyNumberFormat="0"/>
    <xf numFmtId="43" fontId="62" fillId="0" borderId="39" applyNumberFormat="0"/>
    <xf numFmtId="43" fontId="62" fillId="0" borderId="39" applyNumberFormat="0"/>
    <xf numFmtId="43" fontId="62" fillId="0" borderId="39" applyNumberFormat="0"/>
    <xf numFmtId="43" fontId="62" fillId="0" borderId="39" applyNumberFormat="0"/>
    <xf numFmtId="43" fontId="62" fillId="0" borderId="39" applyNumberFormat="0"/>
    <xf numFmtId="43" fontId="62" fillId="0" borderId="39" applyNumberFormat="0"/>
    <xf numFmtId="43" fontId="62" fillId="0" borderId="39" applyNumberFormat="0"/>
    <xf numFmtId="43" fontId="62" fillId="0" borderId="39" applyNumberFormat="0"/>
    <xf numFmtId="0" fontId="224" fillId="0" borderId="0" applyNumberFormat="0" applyFill="0" applyBorder="0" applyAlignment="0" applyProtection="0">
      <alignment vertical="center"/>
    </xf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170" fontId="62" fillId="0" borderId="0" applyFont="0" applyFill="0" applyBorder="0" applyAlignment="0" applyProtection="0"/>
    <xf numFmtId="248" fontId="217" fillId="0" borderId="0" applyFont="0" applyFill="0" applyBorder="0" applyAlignment="0" applyProtection="0"/>
    <xf numFmtId="0" fontId="226" fillId="0" borderId="0"/>
    <xf numFmtId="0" fontId="227" fillId="0" borderId="0" applyNumberFormat="0" applyFill="0" applyBorder="0" applyAlignment="0" applyProtection="0">
      <alignment vertical="top"/>
      <protection locked="0"/>
    </xf>
    <xf numFmtId="0" fontId="227" fillId="0" borderId="0" applyNumberFormat="0" applyFill="0" applyBorder="0" applyAlignment="0" applyProtection="0">
      <alignment vertical="top"/>
      <protection locked="0"/>
    </xf>
    <xf numFmtId="0" fontId="228" fillId="0" borderId="0" applyNumberFormat="0" applyFill="0" applyBorder="0" applyAlignment="0" applyProtection="0">
      <alignment vertical="top"/>
      <protection locked="0"/>
    </xf>
    <xf numFmtId="0" fontId="228" fillId="0" borderId="0" applyNumberFormat="0" applyFill="0" applyBorder="0" applyAlignment="0" applyProtection="0">
      <alignment vertical="top"/>
      <protection locked="0"/>
    </xf>
    <xf numFmtId="249" fontId="62" fillId="0" borderId="0" applyFont="0" applyFill="0" applyBorder="0" applyAlignment="0" applyProtection="0"/>
    <xf numFmtId="250" fontId="65" fillId="0" borderId="0" applyFont="0" applyFill="0" applyBorder="0" applyAlignment="0" applyProtection="0"/>
    <xf numFmtId="251" fontId="65" fillId="0" borderId="0" applyFont="0" applyFill="0" applyBorder="0" applyAlignment="0" applyProtection="0"/>
    <xf numFmtId="252" fontId="65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62" fillId="0" borderId="0" applyFont="0" applyFill="0" applyBorder="0" applyAlignment="0" applyProtection="0"/>
    <xf numFmtId="166" fontId="62" fillId="0" borderId="0" applyFont="0" applyFill="0" applyBorder="0" applyAlignment="0" applyProtection="0"/>
    <xf numFmtId="166" fontId="62" fillId="0" borderId="0" applyFont="0" applyFill="0" applyBorder="0" applyAlignment="0" applyProtection="0"/>
    <xf numFmtId="166" fontId="62" fillId="0" borderId="0" applyFont="0" applyFill="0" applyBorder="0" applyAlignment="0" applyProtection="0"/>
    <xf numFmtId="166" fontId="88" fillId="0" borderId="0" applyFont="0" applyFill="0" applyBorder="0" applyAlignment="0" applyProtection="0">
      <alignment vertical="center"/>
    </xf>
    <xf numFmtId="207" fontId="62" fillId="0" borderId="0" applyFont="0" applyFill="0" applyBorder="0" applyAlignment="0" applyProtection="0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04" fillId="36" borderId="67"/>
    <xf numFmtId="0" fontId="130" fillId="0" borderId="2" applyNumberFormat="0" applyAlignment="0" applyProtection="0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0" fontId="130" fillId="0" borderId="66">
      <alignment horizontal="left" vertical="center"/>
    </xf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10" fontId="104" fillId="39" borderId="67" applyNumberFormat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8" fillId="0" borderId="0">
      <alignment vertical="center"/>
    </xf>
    <xf numFmtId="0" fontId="108" fillId="0" borderId="0"/>
    <xf numFmtId="0" fontId="28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2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8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28" fillId="0" borderId="0">
      <alignment vertical="center"/>
    </xf>
    <xf numFmtId="9" fontId="79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51" fillId="0" borderId="68" applyNumberFormat="0" applyBorder="0"/>
    <xf numFmtId="9" fontId="151" fillId="0" borderId="68" applyNumberFormat="0" applyBorder="0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04" fillId="37" borderId="67"/>
    <xf numFmtId="0" fontId="177" fillId="0" borderId="60">
      <alignment vertical="center"/>
    </xf>
    <xf numFmtId="0" fontId="177" fillId="0" borderId="60">
      <alignment vertic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49" borderId="61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81" fillId="50" borderId="62">
      <protection locked="0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25" fillId="0" borderId="63" applyFill="0" applyBorder="0" applyProtection="0">
      <alignment horizontal="left" vertical="top"/>
    </xf>
    <xf numFmtId="0" fontId="106" fillId="0" borderId="0">
      <alignment vertical="center"/>
    </xf>
    <xf numFmtId="43" fontId="106" fillId="0" borderId="0" applyFont="0" applyFill="0" applyBorder="0" applyAlignment="0" applyProtection="0">
      <alignment vertical="center"/>
    </xf>
    <xf numFmtId="166" fontId="62" fillId="0" borderId="0" applyFont="0" applyFill="0" applyBorder="0" applyAlignment="0" applyProtection="0"/>
    <xf numFmtId="9" fontId="106" fillId="0" borderId="0" applyFont="0" applyFill="0" applyBorder="0" applyAlignment="0" applyProtection="0">
      <alignment vertical="center"/>
    </xf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43" fontId="62" fillId="0" borderId="67" applyNumberFormat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0" fontId="225" fillId="57" borderId="54" applyNumberFormat="0" applyAlignment="0" applyProtection="0"/>
    <xf numFmtId="166" fontId="28" fillId="0" borderId="0" applyFont="0" applyFill="0" applyBorder="0" applyAlignment="0" applyProtection="0">
      <alignment vertical="center"/>
    </xf>
    <xf numFmtId="0" fontId="130" fillId="0" borderId="80">
      <alignment horizontal="left" vertical="center"/>
    </xf>
    <xf numFmtId="0" fontId="140" fillId="19" borderId="100" applyNumberFormat="0" applyAlignment="0" applyProtection="0"/>
    <xf numFmtId="0" fontId="78" fillId="0" borderId="0"/>
    <xf numFmtId="0" fontId="78" fillId="0" borderId="0"/>
    <xf numFmtId="0" fontId="160" fillId="0" borderId="0">
      <alignment vertical="center"/>
    </xf>
    <xf numFmtId="0" fontId="78" fillId="0" borderId="0"/>
    <xf numFmtId="0" fontId="78" fillId="0" borderId="0"/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78" fillId="0" borderId="0"/>
    <xf numFmtId="0" fontId="158" fillId="0" borderId="0">
      <alignment vertical="center"/>
    </xf>
    <xf numFmtId="0" fontId="139" fillId="19" borderId="100" applyNumberFormat="0" applyAlignment="0" applyProtection="0">
      <alignment vertical="center"/>
    </xf>
    <xf numFmtId="0" fontId="130" fillId="0" borderId="80">
      <alignment horizontal="left"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117" fillId="0" borderId="55"/>
    <xf numFmtId="0" fontId="78" fillId="0" borderId="0"/>
    <xf numFmtId="0" fontId="78" fillId="0" borderId="0"/>
    <xf numFmtId="0" fontId="117" fillId="0" borderId="55"/>
    <xf numFmtId="0" fontId="147" fillId="0" borderId="55"/>
    <xf numFmtId="0" fontId="97" fillId="34" borderId="97" applyNumberFormat="0" applyAlignment="0" applyProtection="0"/>
    <xf numFmtId="0" fontId="78" fillId="0" borderId="0"/>
    <xf numFmtId="0" fontId="97" fillId="34" borderId="97" applyNumberFormat="0" applyAlignment="0" applyProtection="0"/>
    <xf numFmtId="0" fontId="78" fillId="0" borderId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96" fillId="34" borderId="78" applyNumberFormat="0" applyAlignment="0" applyProtection="0">
      <alignment vertical="center"/>
    </xf>
    <xf numFmtId="0" fontId="4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139" fillId="19" borderId="78" applyNumberFormat="0" applyAlignment="0" applyProtection="0">
      <alignment vertical="center"/>
    </xf>
    <xf numFmtId="0" fontId="88" fillId="44" borderId="79" applyNumberFormat="0" applyFont="0" applyAlignment="0" applyProtection="0">
      <alignment vertical="center"/>
    </xf>
    <xf numFmtId="0" fontId="140" fillId="19" borderId="100" applyNumberFormat="0" applyAlignment="0" applyProtection="0"/>
    <xf numFmtId="0" fontId="117" fillId="0" borderId="98"/>
    <xf numFmtId="0" fontId="140" fillId="19" borderId="100" applyNumberFormat="0" applyAlignment="0" applyProtection="0"/>
    <xf numFmtId="0" fontId="139" fillId="19" borderId="100" applyNumberFormat="0" applyAlignment="0" applyProtection="0">
      <alignment vertical="center"/>
    </xf>
    <xf numFmtId="0" fontId="96" fillId="34" borderId="97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40" fillId="19" borderId="100" applyNumberFormat="0" applyAlignment="0" applyProtection="0"/>
    <xf numFmtId="0" fontId="139" fillId="19" borderId="100" applyNumberFormat="0" applyAlignment="0" applyProtection="0">
      <alignment vertical="center"/>
    </xf>
    <xf numFmtId="0" fontId="140" fillId="19" borderId="100" applyNumberFormat="0" applyAlignment="0" applyProtection="0"/>
    <xf numFmtId="0" fontId="78" fillId="0" borderId="0"/>
    <xf numFmtId="0" fontId="62" fillId="44" borderId="102" applyNumberFormat="0" applyFont="0" applyAlignment="0" applyProtection="0"/>
    <xf numFmtId="0" fontId="78" fillId="0" borderId="0"/>
    <xf numFmtId="0" fontId="78" fillId="0" borderId="0"/>
    <xf numFmtId="0" fontId="117" fillId="0" borderId="98"/>
    <xf numFmtId="0" fontId="78" fillId="0" borderId="0"/>
    <xf numFmtId="0" fontId="78" fillId="0" borderId="0"/>
    <xf numFmtId="0" fontId="78" fillId="0" borderId="0"/>
    <xf numFmtId="0" fontId="78" fillId="0" borderId="0"/>
    <xf numFmtId="0" fontId="130" fillId="0" borderId="80">
      <alignment horizontal="left"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78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78" fillId="0" borderId="0"/>
    <xf numFmtId="0" fontId="78" fillId="0" borderId="0"/>
    <xf numFmtId="0" fontId="140" fillId="19" borderId="100" applyNumberFormat="0" applyAlignment="0" applyProtection="0"/>
    <xf numFmtId="0" fontId="130" fillId="0" borderId="80">
      <alignment horizontal="left"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96" fillId="34" borderId="97" applyNumberFormat="0" applyAlignment="0" applyProtection="0">
      <alignment vertical="center"/>
    </xf>
    <xf numFmtId="0" fontId="97" fillId="34" borderId="97" applyNumberFormat="0" applyAlignment="0" applyProtection="0"/>
    <xf numFmtId="0" fontId="140" fillId="19" borderId="100" applyNumberFormat="0" applyAlignment="0" applyProtection="0"/>
    <xf numFmtId="0" fontId="78" fillId="0" borderId="0"/>
    <xf numFmtId="0" fontId="139" fillId="19" borderId="100" applyNumberFormat="0" applyAlignment="0" applyProtection="0">
      <alignment vertical="center"/>
    </xf>
    <xf numFmtId="0" fontId="117" fillId="0" borderId="98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39" fillId="19" borderId="100" applyNumberFormat="0" applyAlignment="0" applyProtection="0">
      <alignment vertical="center"/>
    </xf>
    <xf numFmtId="0" fontId="117" fillId="0" borderId="98"/>
    <xf numFmtId="0" fontId="78" fillId="0" borderId="0"/>
    <xf numFmtId="0" fontId="140" fillId="19" borderId="100" applyNumberFormat="0" applyAlignment="0" applyProtection="0"/>
    <xf numFmtId="0" fontId="139" fillId="19" borderId="100" applyNumberFormat="0" applyAlignment="0" applyProtection="0">
      <alignment vertical="center"/>
    </xf>
    <xf numFmtId="0" fontId="117" fillId="0" borderId="98"/>
    <xf numFmtId="0" fontId="78" fillId="0" borderId="0"/>
    <xf numFmtId="0" fontId="78" fillId="0" borderId="0"/>
    <xf numFmtId="0" fontId="140" fillId="19" borderId="100" applyNumberFormat="0" applyAlignment="0" applyProtection="0"/>
    <xf numFmtId="0" fontId="78" fillId="0" borderId="0"/>
    <xf numFmtId="0" fontId="78" fillId="0" borderId="0"/>
    <xf numFmtId="0" fontId="140" fillId="19" borderId="100" applyNumberFormat="0" applyAlignment="0" applyProtection="0"/>
    <xf numFmtId="0" fontId="158" fillId="0" borderId="0">
      <alignment vertical="center"/>
    </xf>
    <xf numFmtId="43" fontId="25" fillId="0" borderId="0" applyFont="0" applyFill="0" applyBorder="0" applyAlignment="0" applyProtection="0">
      <alignment vertical="center"/>
    </xf>
    <xf numFmtId="0" fontId="140" fillId="19" borderId="100" applyNumberFormat="0" applyAlignment="0" applyProtection="0"/>
    <xf numFmtId="0" fontId="140" fillId="19" borderId="100" applyNumberFormat="0" applyAlignment="0" applyProtection="0"/>
    <xf numFmtId="0" fontId="25" fillId="0" borderId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78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78" fillId="0" borderId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78" fillId="0" borderId="0"/>
    <xf numFmtId="0" fontId="78" fillId="0" borderId="0"/>
    <xf numFmtId="0" fontId="140" fillId="19" borderId="100" applyNumberFormat="0" applyAlignment="0" applyProtection="0"/>
    <xf numFmtId="0" fontId="78" fillId="0" borderId="0"/>
    <xf numFmtId="0" fontId="117" fillId="0" borderId="55"/>
    <xf numFmtId="0" fontId="78" fillId="0" borderId="0"/>
    <xf numFmtId="0" fontId="117" fillId="0" borderId="55"/>
    <xf numFmtId="0" fontId="147" fillId="0" borderId="55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97" fillId="34" borderId="97" applyNumberFormat="0" applyAlignment="0" applyProtection="0"/>
    <xf numFmtId="0" fontId="97" fillId="34" borderId="97" applyNumberFormat="0" applyAlignment="0" applyProtection="0"/>
    <xf numFmtId="0" fontId="97" fillId="34" borderId="97" applyNumberFormat="0" applyAlignment="0" applyProtection="0"/>
    <xf numFmtId="0" fontId="96" fillId="34" borderId="97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7" fillId="34" borderId="103" applyNumberFormat="0" applyAlignment="0" applyProtection="0">
      <alignment vertical="center"/>
    </xf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88" fillId="44" borderId="102" applyNumberFormat="0" applyFont="0" applyAlignment="0" applyProtection="0">
      <alignment vertical="center"/>
    </xf>
    <xf numFmtId="0" fontId="78" fillId="0" borderId="0"/>
    <xf numFmtId="0" fontId="78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139" fillId="19" borderId="100" applyNumberFormat="0" applyAlignment="0" applyProtection="0">
      <alignment vertical="center"/>
    </xf>
    <xf numFmtId="0" fontId="158" fillId="0" borderId="0">
      <alignment vertical="center"/>
    </xf>
    <xf numFmtId="0" fontId="147" fillId="33" borderId="101"/>
    <xf numFmtId="0" fontId="147" fillId="33" borderId="101"/>
    <xf numFmtId="0" fontId="139" fillId="19" borderId="100" applyNumberFormat="0" applyAlignment="0" applyProtection="0">
      <alignment vertical="center"/>
    </xf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30" fillId="0" borderId="80">
      <alignment horizontal="left" vertical="center"/>
    </xf>
    <xf numFmtId="0" fontId="130" fillId="0" borderId="80">
      <alignment horizontal="left" vertical="center"/>
    </xf>
    <xf numFmtId="0" fontId="130" fillId="0" borderId="80">
      <alignment horizontal="left" vertical="center"/>
    </xf>
    <xf numFmtId="0" fontId="130" fillId="0" borderId="80">
      <alignment horizontal="left" vertical="center"/>
    </xf>
    <xf numFmtId="0" fontId="130" fillId="0" borderId="80">
      <alignment horizontal="left" vertical="center"/>
    </xf>
    <xf numFmtId="0" fontId="130" fillId="0" borderId="80">
      <alignment horizontal="left" vertical="center"/>
    </xf>
    <xf numFmtId="0" fontId="130" fillId="0" borderId="80">
      <alignment horizontal="left" vertical="center"/>
    </xf>
    <xf numFmtId="0" fontId="130" fillId="0" borderId="80">
      <alignment horizontal="left" vertical="center"/>
    </xf>
    <xf numFmtId="0" fontId="104" fillId="36" borderId="99"/>
    <xf numFmtId="0" fontId="104" fillId="36" borderId="99"/>
    <xf numFmtId="0" fontId="117" fillId="0" borderId="98"/>
    <xf numFmtId="0" fontId="117" fillId="0" borderId="98"/>
    <xf numFmtId="0" fontId="117" fillId="0" borderId="98"/>
    <xf numFmtId="0" fontId="117" fillId="0" borderId="98"/>
    <xf numFmtId="0" fontId="117" fillId="0" borderId="98"/>
    <xf numFmtId="0" fontId="117" fillId="0" borderId="98"/>
    <xf numFmtId="0" fontId="117" fillId="0" borderId="98"/>
    <xf numFmtId="0" fontId="117" fillId="0" borderId="98"/>
    <xf numFmtId="0" fontId="117" fillId="0" borderId="98"/>
    <xf numFmtId="0" fontId="117" fillId="0" borderId="98"/>
    <xf numFmtId="0" fontId="117" fillId="0" borderId="98"/>
    <xf numFmtId="0" fontId="117" fillId="0" borderId="98"/>
    <xf numFmtId="0" fontId="117" fillId="0" borderId="98"/>
    <xf numFmtId="0" fontId="117" fillId="0" borderId="98"/>
    <xf numFmtId="0" fontId="117" fillId="0" borderId="98"/>
    <xf numFmtId="0" fontId="117" fillId="0" borderId="98"/>
    <xf numFmtId="0" fontId="117" fillId="0" borderId="98"/>
    <xf numFmtId="0" fontId="117" fillId="0" borderId="98"/>
    <xf numFmtId="0" fontId="117" fillId="0" borderId="98"/>
    <xf numFmtId="0" fontId="97" fillId="34" borderId="97" applyNumberFormat="0" applyAlignment="0" applyProtection="0"/>
    <xf numFmtId="0" fontId="97" fillId="34" borderId="97" applyNumberFormat="0" applyAlignment="0" applyProtection="0"/>
    <xf numFmtId="0" fontId="97" fillId="34" borderId="97" applyNumberFormat="0" applyAlignment="0" applyProtection="0"/>
    <xf numFmtId="0" fontId="97" fillId="34" borderId="97" applyNumberFormat="0" applyAlignment="0" applyProtection="0"/>
    <xf numFmtId="0" fontId="97" fillId="34" borderId="97" applyNumberFormat="0" applyAlignment="0" applyProtection="0"/>
    <xf numFmtId="0" fontId="96" fillId="34" borderId="97" applyNumberFormat="0" applyAlignment="0" applyProtection="0">
      <alignment vertical="center"/>
    </xf>
    <xf numFmtId="0" fontId="96" fillId="34" borderId="97" applyNumberFormat="0" applyAlignment="0" applyProtection="0">
      <alignment vertical="center"/>
    </xf>
    <xf numFmtId="0" fontId="96" fillId="34" borderId="97" applyNumberFormat="0" applyAlignment="0" applyProtection="0">
      <alignment vertical="center"/>
    </xf>
    <xf numFmtId="0" fontId="97" fillId="34" borderId="97" applyNumberFormat="0" applyAlignment="0" applyProtection="0"/>
    <xf numFmtId="0" fontId="97" fillId="34" borderId="97" applyNumberFormat="0" applyAlignment="0" applyProtection="0"/>
    <xf numFmtId="0" fontId="97" fillId="34" borderId="97" applyNumberFormat="0" applyAlignment="0" applyProtection="0"/>
    <xf numFmtId="0" fontId="97" fillId="34" borderId="97" applyNumberFormat="0" applyAlignment="0" applyProtection="0"/>
    <xf numFmtId="0" fontId="97" fillId="34" borderId="97" applyNumberFormat="0" applyAlignment="0" applyProtection="0"/>
    <xf numFmtId="0" fontId="97" fillId="34" borderId="97" applyNumberFormat="0" applyAlignment="0" applyProtection="0"/>
    <xf numFmtId="0" fontId="97" fillId="34" borderId="97" applyNumberFormat="0" applyAlignment="0" applyProtection="0"/>
    <xf numFmtId="0" fontId="97" fillId="34" borderId="97" applyNumberFormat="0" applyAlignment="0" applyProtection="0"/>
    <xf numFmtId="0" fontId="97" fillId="34" borderId="97" applyNumberFormat="0" applyAlignment="0" applyProtection="0"/>
    <xf numFmtId="0" fontId="97" fillId="34" borderId="97" applyNumberFormat="0" applyAlignment="0" applyProtection="0"/>
    <xf numFmtId="0" fontId="225" fillId="57" borderId="78" applyNumberFormat="0" applyAlignment="0" applyProtection="0"/>
    <xf numFmtId="0" fontId="78" fillId="0" borderId="0"/>
    <xf numFmtId="0" fontId="130" fillId="0" borderId="80">
      <alignment horizontal="left" vertical="center"/>
    </xf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88" fillId="44" borderId="102" applyNumberFormat="0" applyFont="0" applyAlignment="0" applyProtection="0">
      <alignment vertical="center"/>
    </xf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62" fillId="44" borderId="102" applyNumberFormat="0" applyFont="0" applyAlignment="0" applyProtection="0"/>
    <xf numFmtId="0" fontId="97" fillId="34" borderId="78" applyNumberFormat="0" applyAlignment="0" applyProtection="0"/>
    <xf numFmtId="0" fontId="4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140" fillId="19" borderId="78" applyNumberFormat="0" applyAlignment="0" applyProtection="0"/>
    <xf numFmtId="0" fontId="78" fillId="0" borderId="0"/>
    <xf numFmtId="0" fontId="78" fillId="0" borderId="0"/>
    <xf numFmtId="0" fontId="62" fillId="44" borderId="79" applyNumberFormat="0" applyFont="0" applyAlignment="0" applyProtection="0"/>
    <xf numFmtId="0" fontId="130" fillId="0" borderId="80">
      <alignment horizontal="left" vertical="center"/>
    </xf>
    <xf numFmtId="0" fontId="117" fillId="0" borderId="98"/>
    <xf numFmtId="0" fontId="96" fillId="34" borderId="97" applyNumberFormat="0" applyAlignment="0" applyProtection="0">
      <alignment vertical="center"/>
    </xf>
    <xf numFmtId="0" fontId="96" fillId="34" borderId="97" applyNumberFormat="0" applyAlignment="0" applyProtection="0">
      <alignment vertical="center"/>
    </xf>
    <xf numFmtId="0" fontId="78" fillId="0" borderId="0"/>
    <xf numFmtId="0" fontId="225" fillId="57" borderId="78" applyNumberFormat="0" applyAlignment="0" applyProtection="0"/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139" fillId="19" borderId="100" applyNumberFormat="0" applyAlignment="0" applyProtection="0">
      <alignment vertical="center"/>
    </xf>
    <xf numFmtId="0" fontId="117" fillId="0" borderId="98"/>
    <xf numFmtId="0" fontId="117" fillId="0" borderId="98"/>
    <xf numFmtId="0" fontId="117" fillId="0" borderId="98"/>
    <xf numFmtId="0" fontId="139" fillId="19" borderId="100" applyNumberFormat="0" applyAlignment="0" applyProtection="0">
      <alignment vertical="center"/>
    </xf>
    <xf numFmtId="0" fontId="78" fillId="0" borderId="0"/>
    <xf numFmtId="0" fontId="139" fillId="19" borderId="78" applyNumberFormat="0" applyAlignment="0" applyProtection="0">
      <alignment vertical="center"/>
    </xf>
    <xf numFmtId="0" fontId="117" fillId="0" borderId="98"/>
    <xf numFmtId="0" fontId="139" fillId="19" borderId="100" applyNumberFormat="0" applyAlignment="0" applyProtection="0">
      <alignment vertical="center"/>
    </xf>
    <xf numFmtId="0" fontId="140" fillId="19" borderId="78" applyNumberFormat="0" applyAlignment="0" applyProtection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17" fillId="0" borderId="55"/>
    <xf numFmtId="0" fontId="147" fillId="0" borderId="55"/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17" fillId="0" borderId="55"/>
    <xf numFmtId="0" fontId="96" fillId="34" borderId="78" applyNumberFormat="0" applyAlignment="0" applyProtection="0">
      <alignment vertical="center"/>
    </xf>
    <xf numFmtId="0" fontId="225" fillId="57" borderId="78" applyNumberFormat="0" applyAlignment="0" applyProtection="0"/>
    <xf numFmtId="0" fontId="97" fillId="34" borderId="78" applyNumberFormat="0" applyAlignment="0" applyProtection="0"/>
    <xf numFmtId="0" fontId="62" fillId="44" borderId="79" applyNumberFormat="0" applyFont="0" applyAlignment="0" applyProtection="0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225" fillId="57" borderId="78" applyNumberFormat="0" applyAlignment="0" applyProtection="0"/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88" fillId="44" borderId="79" applyNumberFormat="0" applyFont="0" applyAlignment="0" applyProtection="0">
      <alignment vertical="center"/>
    </xf>
    <xf numFmtId="0" fontId="139" fillId="19" borderId="78" applyNumberFormat="0" applyAlignment="0" applyProtection="0">
      <alignment vertical="center"/>
    </xf>
    <xf numFmtId="0" fontId="117" fillId="0" borderId="55"/>
    <xf numFmtId="0" fontId="147" fillId="0" borderId="55"/>
    <xf numFmtId="0" fontId="130" fillId="0" borderId="80">
      <alignment horizontal="left" vertical="center"/>
    </xf>
    <xf numFmtId="0" fontId="139" fillId="19" borderId="78" applyNumberFormat="0" applyAlignment="0" applyProtection="0">
      <alignment vertical="center"/>
    </xf>
    <xf numFmtId="0" fontId="78" fillId="0" borderId="0"/>
    <xf numFmtId="0" fontId="117" fillId="0" borderId="55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225" fillId="57" borderId="78" applyNumberFormat="0" applyAlignment="0" applyProtection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62" fillId="44" borderId="79" applyNumberFormat="0" applyFont="0" applyAlignment="0" applyProtection="0"/>
    <xf numFmtId="0" fontId="140" fillId="19" borderId="78" applyNumberFormat="0" applyAlignment="0" applyProtection="0"/>
    <xf numFmtId="0" fontId="97" fillId="34" borderId="78" applyNumberFormat="0" applyAlignment="0" applyProtection="0"/>
    <xf numFmtId="0" fontId="225" fillId="57" borderId="78" applyNumberFormat="0" applyAlignment="0" applyProtection="0"/>
    <xf numFmtId="0" fontId="130" fillId="0" borderId="80">
      <alignment horizontal="left" vertical="center"/>
    </xf>
    <xf numFmtId="0" fontId="62" fillId="44" borderId="79" applyNumberFormat="0" applyFont="0" applyAlignment="0" applyProtection="0"/>
    <xf numFmtId="0" fontId="140" fillId="19" borderId="78" applyNumberFormat="0" applyAlignment="0" applyProtection="0"/>
    <xf numFmtId="0" fontId="97" fillId="34" borderId="78" applyNumberFormat="0" applyAlignment="0" applyProtection="0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147" fillId="0" borderId="55"/>
    <xf numFmtId="0" fontId="117" fillId="0" borderId="55"/>
    <xf numFmtId="0" fontId="96" fillId="34" borderId="78" applyNumberFormat="0" applyAlignment="0" applyProtection="0">
      <alignment vertical="center"/>
    </xf>
    <xf numFmtId="0" fontId="147" fillId="0" borderId="55"/>
    <xf numFmtId="0" fontId="117" fillId="0" borderId="55"/>
    <xf numFmtId="0" fontId="117" fillId="0" borderId="55"/>
    <xf numFmtId="0" fontId="78" fillId="0" borderId="0"/>
    <xf numFmtId="0" fontId="130" fillId="0" borderId="80">
      <alignment horizontal="left" vertical="center"/>
    </xf>
    <xf numFmtId="0" fontId="88" fillId="44" borderId="79" applyNumberFormat="0" applyFont="0" applyAlignment="0" applyProtection="0">
      <alignment vertical="center"/>
    </xf>
    <xf numFmtId="0" fontId="139" fillId="19" borderId="78" applyNumberFormat="0" applyAlignment="0" applyProtection="0">
      <alignment vertical="center"/>
    </xf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117" fillId="0" borderId="55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117" fillId="0" borderId="55"/>
    <xf numFmtId="0" fontId="117" fillId="0" borderId="55"/>
    <xf numFmtId="0" fontId="147" fillId="0" borderId="55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17" fillId="0" borderId="55"/>
    <xf numFmtId="0" fontId="78" fillId="0" borderId="0"/>
    <xf numFmtId="0" fontId="117" fillId="0" borderId="55"/>
    <xf numFmtId="0" fontId="147" fillId="0" borderId="55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74" fillId="1" borderId="80" applyNumberFormat="0" applyFont="0" applyAlignment="0">
      <alignment horizontal="center"/>
    </xf>
    <xf numFmtId="0" fontId="130" fillId="0" borderId="80">
      <alignment horizontal="left"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78" fillId="0" borderId="0"/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78" fillId="0" borderId="0"/>
    <xf numFmtId="0" fontId="78" fillId="0" borderId="0"/>
    <xf numFmtId="0" fontId="160" fillId="0" borderId="0">
      <alignment vertical="center"/>
    </xf>
    <xf numFmtId="43" fontId="25" fillId="0" borderId="0" applyFont="0" applyFill="0" applyBorder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78" fillId="0" borderId="0"/>
    <xf numFmtId="0" fontId="48" fillId="0" borderId="0">
      <alignment vertical="center"/>
    </xf>
    <xf numFmtId="0" fontId="130" fillId="0" borderId="80">
      <alignment horizontal="left" vertical="center"/>
    </xf>
    <xf numFmtId="0" fontId="139" fillId="19" borderId="100" applyNumberFormat="0" applyAlignment="0" applyProtection="0">
      <alignment vertical="center"/>
    </xf>
    <xf numFmtId="0" fontId="140" fillId="19" borderId="100" applyNumberFormat="0" applyAlignment="0" applyProtection="0"/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0" fillId="0" borderId="80">
      <alignment horizontal="left" vertical="center"/>
    </xf>
    <xf numFmtId="0" fontId="117" fillId="0" borderId="55"/>
    <xf numFmtId="0" fontId="147" fillId="0" borderId="55"/>
    <xf numFmtId="0" fontId="117" fillId="0" borderId="55"/>
    <xf numFmtId="0" fontId="147" fillId="0" borderId="55"/>
    <xf numFmtId="0" fontId="117" fillId="0" borderId="55"/>
    <xf numFmtId="0" fontId="139" fillId="19" borderId="100" applyNumberFormat="0" applyAlignment="0" applyProtection="0">
      <alignment vertical="center"/>
    </xf>
    <xf numFmtId="0" fontId="158" fillId="0" borderId="0">
      <alignment vertical="center"/>
    </xf>
    <xf numFmtId="0" fontId="139" fillId="19" borderId="78" applyNumberFormat="0" applyAlignment="0" applyProtection="0">
      <alignment vertical="center"/>
    </xf>
    <xf numFmtId="0" fontId="96" fillId="34" borderId="78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78" fillId="0" borderId="0"/>
    <xf numFmtId="0" fontId="117" fillId="0" borderId="55"/>
    <xf numFmtId="0" fontId="78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17" fillId="0" borderId="55"/>
    <xf numFmtId="0" fontId="78" fillId="0" borderId="0"/>
    <xf numFmtId="0" fontId="117" fillId="0" borderId="55"/>
    <xf numFmtId="0" fontId="147" fillId="0" borderId="55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88" fillId="44" borderId="79" applyNumberFormat="0" applyFont="0" applyAlignment="0" applyProtection="0">
      <alignment vertical="center"/>
    </xf>
    <xf numFmtId="0" fontId="117" fillId="0" borderId="98"/>
    <xf numFmtId="0" fontId="117" fillId="0" borderId="55"/>
    <xf numFmtId="0" fontId="78" fillId="0" borderId="0"/>
    <xf numFmtId="0" fontId="117" fillId="0" borderId="55"/>
    <xf numFmtId="0" fontId="147" fillId="0" borderId="55"/>
    <xf numFmtId="0" fontId="139" fillId="19" borderId="100" applyNumberFormat="0" applyAlignment="0" applyProtection="0">
      <alignment vertical="center"/>
    </xf>
    <xf numFmtId="0" fontId="78" fillId="0" borderId="0"/>
    <xf numFmtId="0" fontId="225" fillId="57" borderId="78" applyNumberFormat="0" applyAlignment="0" applyProtection="0"/>
    <xf numFmtId="0" fontId="147" fillId="0" borderId="55"/>
    <xf numFmtId="0" fontId="117" fillId="0" borderId="55"/>
    <xf numFmtId="0" fontId="78" fillId="0" borderId="0"/>
    <xf numFmtId="0" fontId="117" fillId="0" borderId="55"/>
    <xf numFmtId="0" fontId="117" fillId="0" borderId="98"/>
    <xf numFmtId="0" fontId="88" fillId="44" borderId="79" applyNumberFormat="0" applyFont="0" applyAlignment="0" applyProtection="0">
      <alignment vertical="center"/>
    </xf>
    <xf numFmtId="0" fontId="139" fillId="19" borderId="78" applyNumberFormat="0" applyAlignment="0" applyProtection="0">
      <alignment vertical="center"/>
    </xf>
    <xf numFmtId="0" fontId="147" fillId="0" borderId="55"/>
    <xf numFmtId="0" fontId="117" fillId="0" borderId="55"/>
    <xf numFmtId="0" fontId="78" fillId="0" borderId="0"/>
    <xf numFmtId="0" fontId="117" fillId="0" borderId="55"/>
    <xf numFmtId="0" fontId="96" fillId="34" borderId="78" applyNumberFormat="0" applyAlignment="0" applyProtection="0">
      <alignment vertical="center"/>
    </xf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130" fillId="0" borderId="80">
      <alignment horizontal="left" vertical="center"/>
    </xf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225" fillId="57" borderId="78" applyNumberFormat="0" applyAlignment="0" applyProtection="0"/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130" fillId="0" borderId="80">
      <alignment horizontal="left" vertical="center"/>
    </xf>
    <xf numFmtId="0" fontId="117" fillId="0" borderId="98"/>
    <xf numFmtId="0" fontId="139" fillId="19" borderId="78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78" fillId="0" borderId="0"/>
    <xf numFmtId="0" fontId="130" fillId="0" borderId="80">
      <alignment horizontal="left" vertical="center"/>
    </xf>
    <xf numFmtId="0" fontId="117" fillId="0" borderId="55"/>
    <xf numFmtId="0" fontId="117" fillId="0" borderId="55"/>
    <xf numFmtId="0" fontId="147" fillId="0" borderId="55"/>
    <xf numFmtId="0" fontId="96" fillId="34" borderId="78" applyNumberFormat="0" applyAlignment="0" applyProtection="0">
      <alignment vertical="center"/>
    </xf>
    <xf numFmtId="0" fontId="139" fillId="19" borderId="78" applyNumberFormat="0" applyAlignment="0" applyProtection="0">
      <alignment vertical="center"/>
    </xf>
    <xf numFmtId="0" fontId="88" fillId="44" borderId="79" applyNumberFormat="0" applyFont="0" applyAlignment="0" applyProtection="0">
      <alignment vertical="center"/>
    </xf>
    <xf numFmtId="0" fontId="117" fillId="0" borderId="55"/>
    <xf numFmtId="0" fontId="117" fillId="0" borderId="55"/>
    <xf numFmtId="0" fontId="147" fillId="0" borderId="55"/>
    <xf numFmtId="0" fontId="181" fillId="49" borderId="81">
      <protection locked="0"/>
    </xf>
    <xf numFmtId="0" fontId="181" fillId="49" borderId="81">
      <protection locked="0"/>
    </xf>
    <xf numFmtId="0" fontId="181" fillId="49" borderId="81">
      <protection locked="0"/>
    </xf>
    <xf numFmtId="0" fontId="125" fillId="0" borderId="82" applyFill="0" applyBorder="0" applyProtection="0">
      <alignment horizontal="left" vertical="top"/>
    </xf>
    <xf numFmtId="0" fontId="125" fillId="0" borderId="82" applyFill="0" applyBorder="0" applyProtection="0">
      <alignment horizontal="left" vertical="top"/>
    </xf>
    <xf numFmtId="0" fontId="225" fillId="57" borderId="78" applyNumberFormat="0" applyAlignment="0" applyProtection="0"/>
    <xf numFmtId="0" fontId="181" fillId="49" borderId="81">
      <protection locked="0"/>
    </xf>
    <xf numFmtId="0" fontId="181" fillId="49" borderId="81">
      <protection locked="0"/>
    </xf>
    <xf numFmtId="0" fontId="125" fillId="0" borderId="82" applyFill="0" applyBorder="0" applyProtection="0">
      <alignment horizontal="left" vertical="top"/>
    </xf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125" fillId="0" borderId="82" applyFill="0" applyBorder="0" applyProtection="0">
      <alignment horizontal="left" vertical="top"/>
    </xf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225" fillId="57" borderId="78" applyNumberFormat="0" applyAlignment="0" applyProtection="0"/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181" fillId="49" borderId="81">
      <protection locked="0"/>
    </xf>
    <xf numFmtId="0" fontId="181" fillId="49" borderId="81">
      <protection locked="0"/>
    </xf>
    <xf numFmtId="0" fontId="125" fillId="0" borderId="82" applyFill="0" applyBorder="0" applyProtection="0">
      <alignment horizontal="left" vertical="top"/>
    </xf>
    <xf numFmtId="0" fontId="125" fillId="0" borderId="82" applyFill="0" applyBorder="0" applyProtection="0">
      <alignment horizontal="left" vertical="top"/>
    </xf>
    <xf numFmtId="0" fontId="139" fillId="19" borderId="78" applyNumberFormat="0" applyAlignment="0" applyProtection="0">
      <alignment vertical="center"/>
    </xf>
    <xf numFmtId="0" fontId="140" fillId="19" borderId="78" applyNumberFormat="0" applyAlignment="0" applyProtection="0"/>
    <xf numFmtId="0" fontId="97" fillId="34" borderId="78" applyNumberFormat="0" applyAlignment="0" applyProtection="0"/>
    <xf numFmtId="0" fontId="88" fillId="44" borderId="79" applyNumberFormat="0" applyFont="0" applyAlignment="0" applyProtection="0">
      <alignment vertical="center"/>
    </xf>
    <xf numFmtId="0" fontId="139" fillId="19" borderId="78" applyNumberFormat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96" fillId="34" borderId="78" applyNumberFormat="0" applyAlignment="0" applyProtection="0">
      <alignment vertical="center"/>
    </xf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225" fillId="57" borderId="78" applyNumberFormat="0" applyAlignment="0" applyProtection="0"/>
    <xf numFmtId="0" fontId="97" fillId="34" borderId="78" applyNumberFormat="0" applyAlignment="0" applyProtection="0"/>
    <xf numFmtId="0" fontId="62" fillId="44" borderId="79" applyNumberFormat="0" applyFont="0" applyAlignment="0" applyProtection="0"/>
    <xf numFmtId="0" fontId="139" fillId="19" borderId="78" applyNumberFormat="0" applyAlignment="0" applyProtection="0">
      <alignment vertical="center"/>
    </xf>
    <xf numFmtId="0" fontId="130" fillId="0" borderId="80">
      <alignment horizontal="left" vertical="center"/>
    </xf>
    <xf numFmtId="0" fontId="225" fillId="57" borderId="78" applyNumberFormat="0" applyAlignment="0" applyProtection="0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117" fillId="0" borderId="55"/>
    <xf numFmtId="0" fontId="117" fillId="0" borderId="55"/>
    <xf numFmtId="0" fontId="147" fillId="0" borderId="55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17" fillId="0" borderId="55"/>
    <xf numFmtId="0" fontId="117" fillId="0" borderId="55"/>
    <xf numFmtId="0" fontId="147" fillId="0" borderId="55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74" fillId="1" borderId="80" applyNumberFormat="0" applyFont="0" applyAlignment="0">
      <alignment horizontal="center"/>
    </xf>
    <xf numFmtId="0" fontId="130" fillId="0" borderId="80">
      <alignment horizontal="left"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17" fillId="0" borderId="55"/>
    <xf numFmtId="0" fontId="147" fillId="0" borderId="55"/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17" fillId="0" borderId="55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117" fillId="0" borderId="55"/>
    <xf numFmtId="0" fontId="147" fillId="0" borderId="55"/>
    <xf numFmtId="0" fontId="117" fillId="0" borderId="55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39" fillId="19" borderId="78" applyNumberFormat="0" applyAlignment="0" applyProtection="0">
      <alignment vertical="center"/>
    </xf>
    <xf numFmtId="0" fontId="96" fillId="34" borderId="78" applyNumberFormat="0" applyAlignment="0" applyProtection="0">
      <alignment vertical="center"/>
    </xf>
    <xf numFmtId="0" fontId="104" fillId="36" borderId="83"/>
    <xf numFmtId="10" fontId="104" fillId="39" borderId="83" applyNumberFormat="0" applyBorder="0" applyAlignment="0" applyProtection="0"/>
    <xf numFmtId="0" fontId="104" fillId="37" borderId="83"/>
    <xf numFmtId="43" fontId="62" fillId="0" borderId="83" applyNumberFormat="0"/>
    <xf numFmtId="0" fontId="88" fillId="44" borderId="79" applyNumberFormat="0" applyFont="0" applyAlignment="0" applyProtection="0">
      <alignment vertical="center"/>
    </xf>
    <xf numFmtId="0" fontId="130" fillId="0" borderId="80">
      <alignment horizontal="left" vertical="center"/>
    </xf>
    <xf numFmtId="0" fontId="225" fillId="57" borderId="78" applyNumberFormat="0" applyAlignment="0" applyProtection="0"/>
    <xf numFmtId="0" fontId="147" fillId="0" borderId="55"/>
    <xf numFmtId="0" fontId="117" fillId="0" borderId="55"/>
    <xf numFmtId="0" fontId="117" fillId="0" borderId="55"/>
    <xf numFmtId="0" fontId="88" fillId="44" borderId="79" applyNumberFormat="0" applyFont="0" applyAlignment="0" applyProtection="0">
      <alignment vertical="center"/>
    </xf>
    <xf numFmtId="0" fontId="139" fillId="19" borderId="78" applyNumberFormat="0" applyAlignment="0" applyProtection="0">
      <alignment vertical="center"/>
    </xf>
    <xf numFmtId="0" fontId="147" fillId="0" borderId="55"/>
    <xf numFmtId="0" fontId="117" fillId="0" borderId="55"/>
    <xf numFmtId="0" fontId="117" fillId="0" borderId="55"/>
    <xf numFmtId="0" fontId="96" fillId="34" borderId="78" applyNumberFormat="0" applyAlignment="0" applyProtection="0">
      <alignment vertical="center"/>
    </xf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130" fillId="0" borderId="80">
      <alignment horizontal="left" vertical="center"/>
    </xf>
    <xf numFmtId="0" fontId="117" fillId="0" borderId="98"/>
    <xf numFmtId="0" fontId="225" fillId="57" borderId="78" applyNumberFormat="0" applyAlignment="0" applyProtection="0"/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139" fillId="19" borderId="78" applyNumberFormat="0" applyAlignment="0" applyProtection="0">
      <alignment vertical="center"/>
    </xf>
    <xf numFmtId="0" fontId="117" fillId="0" borderId="55"/>
    <xf numFmtId="0" fontId="117" fillId="0" borderId="55"/>
    <xf numFmtId="0" fontId="147" fillId="0" borderId="55"/>
    <xf numFmtId="0" fontId="117" fillId="0" borderId="55"/>
    <xf numFmtId="0" fontId="78" fillId="0" borderId="0"/>
    <xf numFmtId="0" fontId="117" fillId="0" borderId="55"/>
    <xf numFmtId="0" fontId="147" fillId="0" borderId="55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174" fillId="1" borderId="80" applyNumberFormat="0" applyFont="0" applyAlignment="0">
      <alignment horizontal="center"/>
    </xf>
    <xf numFmtId="0" fontId="130" fillId="0" borderId="80">
      <alignment horizontal="left" vertical="center"/>
    </xf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139" fillId="19" borderId="78" applyNumberFormat="0" applyAlignment="0" applyProtection="0">
      <alignment vertical="center"/>
    </xf>
    <xf numFmtId="0" fontId="140" fillId="19" borderId="78" applyNumberFormat="0" applyAlignment="0" applyProtection="0"/>
    <xf numFmtId="0" fontId="97" fillId="34" borderId="78" applyNumberFormat="0" applyAlignment="0" applyProtection="0"/>
    <xf numFmtId="0" fontId="88" fillId="44" borderId="79" applyNumberFormat="0" applyFont="0" applyAlignment="0" applyProtection="0">
      <alignment vertical="center"/>
    </xf>
    <xf numFmtId="0" fontId="139" fillId="19" borderId="78" applyNumberFormat="0" applyAlignment="0" applyProtection="0">
      <alignment vertical="center"/>
    </xf>
    <xf numFmtId="0" fontId="96" fillId="34" borderId="78" applyNumberFormat="0" applyAlignment="0" applyProtection="0">
      <alignment vertical="center"/>
    </xf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117" fillId="0" borderId="98"/>
    <xf numFmtId="0" fontId="225" fillId="57" borderId="78" applyNumberFormat="0" applyAlignment="0" applyProtection="0"/>
    <xf numFmtId="0" fontId="97" fillId="34" borderId="78" applyNumberFormat="0" applyAlignment="0" applyProtection="0"/>
    <xf numFmtId="0" fontId="62" fillId="44" borderId="79" applyNumberFormat="0" applyFont="0" applyAlignment="0" applyProtection="0"/>
    <xf numFmtId="0" fontId="117" fillId="0" borderId="98"/>
    <xf numFmtId="0" fontId="139" fillId="19" borderId="78" applyNumberFormat="0" applyAlignment="0" applyProtection="0">
      <alignment vertical="center"/>
    </xf>
    <xf numFmtId="0" fontId="130" fillId="0" borderId="80">
      <alignment horizontal="left" vertical="center"/>
    </xf>
    <xf numFmtId="0" fontId="225" fillId="57" borderId="78" applyNumberFormat="0" applyAlignment="0" applyProtection="0"/>
    <xf numFmtId="0" fontId="117" fillId="0" borderId="55"/>
    <xf numFmtId="0" fontId="78" fillId="0" borderId="0"/>
    <xf numFmtId="0" fontId="117" fillId="0" borderId="55"/>
    <xf numFmtId="0" fontId="147" fillId="0" borderId="55"/>
    <xf numFmtId="0" fontId="117" fillId="0" borderId="55"/>
    <xf numFmtId="0" fontId="78" fillId="0" borderId="0"/>
    <xf numFmtId="0" fontId="117" fillId="0" borderId="55"/>
    <xf numFmtId="0" fontId="147" fillId="0" borderId="55"/>
    <xf numFmtId="0" fontId="130" fillId="0" borderId="66">
      <alignment horizontal="left" vertical="center"/>
    </xf>
    <xf numFmtId="0" fontId="174" fillId="1" borderId="66" applyNumberFormat="0" applyFont="0" applyAlignment="0">
      <alignment horizontal="center"/>
    </xf>
    <xf numFmtId="0" fontId="174" fillId="1" borderId="66" applyNumberFormat="0" applyFont="0" applyAlignment="0">
      <alignment horizontal="center"/>
    </xf>
    <xf numFmtId="0" fontId="130" fillId="0" borderId="66">
      <alignment horizontal="left" vertical="center"/>
    </xf>
    <xf numFmtId="0" fontId="117" fillId="0" borderId="55"/>
    <xf numFmtId="0" fontId="147" fillId="0" borderId="55"/>
    <xf numFmtId="0" fontId="117" fillId="0" borderId="55"/>
    <xf numFmtId="0" fontId="78" fillId="0" borderId="0"/>
    <xf numFmtId="0" fontId="78" fillId="0" borderId="0"/>
    <xf numFmtId="0" fontId="117" fillId="0" borderId="55"/>
    <xf numFmtId="0" fontId="147" fillId="0" borderId="55"/>
    <xf numFmtId="0" fontId="117" fillId="0" borderId="55"/>
    <xf numFmtId="0" fontId="130" fillId="0" borderId="66">
      <alignment horizontal="left" vertical="center"/>
    </xf>
    <xf numFmtId="0" fontId="174" fillId="1" borderId="66" applyNumberFormat="0" applyFont="0" applyAlignment="0">
      <alignment horizontal="center"/>
    </xf>
    <xf numFmtId="0" fontId="130" fillId="0" borderId="66">
      <alignment horizontal="left" vertical="center"/>
    </xf>
    <xf numFmtId="0" fontId="174" fillId="1" borderId="66" applyNumberFormat="0" applyFont="0" applyAlignment="0">
      <alignment horizontal="center"/>
    </xf>
    <xf numFmtId="0" fontId="117" fillId="0" borderId="55"/>
    <xf numFmtId="0" fontId="147" fillId="0" borderId="55"/>
    <xf numFmtId="0" fontId="117" fillId="0" borderId="55"/>
    <xf numFmtId="0" fontId="147" fillId="0" borderId="55"/>
    <xf numFmtId="0" fontId="117" fillId="0" borderId="55"/>
    <xf numFmtId="0" fontId="139" fillId="19" borderId="78" applyNumberFormat="0" applyAlignment="0" applyProtection="0">
      <alignment vertical="center"/>
    </xf>
    <xf numFmtId="0" fontId="96" fillId="34" borderId="78" applyNumberFormat="0" applyAlignment="0" applyProtection="0">
      <alignment vertical="center"/>
    </xf>
    <xf numFmtId="0" fontId="117" fillId="0" borderId="55"/>
    <xf numFmtId="0" fontId="117" fillId="0" borderId="55"/>
    <xf numFmtId="0" fontId="117" fillId="0" borderId="55"/>
    <xf numFmtId="0" fontId="147" fillId="0" borderId="55"/>
    <xf numFmtId="0" fontId="88" fillId="44" borderId="79" applyNumberFormat="0" applyFont="0" applyAlignment="0" applyProtection="0">
      <alignment vertical="center"/>
    </xf>
    <xf numFmtId="0" fontId="130" fillId="0" borderId="80">
      <alignment horizontal="left" vertical="center"/>
    </xf>
    <xf numFmtId="0" fontId="117" fillId="0" borderId="55"/>
    <xf numFmtId="0" fontId="78" fillId="0" borderId="0"/>
    <xf numFmtId="0" fontId="117" fillId="0" borderId="55"/>
    <xf numFmtId="0" fontId="147" fillId="0" borderId="55"/>
    <xf numFmtId="0" fontId="225" fillId="57" borderId="78" applyNumberFormat="0" applyAlignment="0" applyProtection="0"/>
    <xf numFmtId="0" fontId="147" fillId="0" borderId="55"/>
    <xf numFmtId="0" fontId="117" fillId="0" borderId="55"/>
    <xf numFmtId="0" fontId="117" fillId="0" borderId="55"/>
    <xf numFmtId="0" fontId="130" fillId="0" borderId="80">
      <alignment horizontal="left" vertical="center"/>
    </xf>
    <xf numFmtId="0" fontId="88" fillId="44" borderId="79" applyNumberFormat="0" applyFont="0" applyAlignment="0" applyProtection="0">
      <alignment vertical="center"/>
    </xf>
    <xf numFmtId="0" fontId="139" fillId="19" borderId="78" applyNumberFormat="0" applyAlignment="0" applyProtection="0">
      <alignment vertical="center"/>
    </xf>
    <xf numFmtId="0" fontId="147" fillId="0" borderId="55"/>
    <xf numFmtId="0" fontId="117" fillId="0" borderId="55"/>
    <xf numFmtId="0" fontId="78" fillId="0" borderId="0"/>
    <xf numFmtId="0" fontId="117" fillId="0" borderId="55"/>
    <xf numFmtId="0" fontId="96" fillId="34" borderId="78" applyNumberFormat="0" applyAlignment="0" applyProtection="0">
      <alignment vertical="center"/>
    </xf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130" fillId="0" borderId="80">
      <alignment horizontal="left" vertical="center"/>
    </xf>
    <xf numFmtId="0" fontId="225" fillId="57" borderId="78" applyNumberFormat="0" applyAlignment="0" applyProtection="0"/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139" fillId="19" borderId="78" applyNumberFormat="0" applyAlignment="0" applyProtection="0">
      <alignment vertical="center"/>
    </xf>
    <xf numFmtId="0" fontId="117" fillId="0" borderId="55"/>
    <xf numFmtId="0" fontId="117" fillId="0" borderId="55"/>
    <xf numFmtId="0" fontId="147" fillId="0" borderId="55"/>
    <xf numFmtId="0" fontId="96" fillId="34" borderId="78" applyNumberFormat="0" applyAlignment="0" applyProtection="0">
      <alignment vertical="center"/>
    </xf>
    <xf numFmtId="0" fontId="139" fillId="19" borderId="78" applyNumberFormat="0" applyAlignment="0" applyProtection="0">
      <alignment vertical="center"/>
    </xf>
    <xf numFmtId="0" fontId="88" fillId="44" borderId="79" applyNumberFormat="0" applyFont="0" applyAlignment="0" applyProtection="0">
      <alignment vertical="center"/>
    </xf>
    <xf numFmtId="0" fontId="130" fillId="0" borderId="80">
      <alignment horizontal="left" vertical="center"/>
    </xf>
    <xf numFmtId="0" fontId="117" fillId="0" borderId="98"/>
    <xf numFmtId="0" fontId="117" fillId="0" borderId="55"/>
    <xf numFmtId="0" fontId="117" fillId="0" borderId="55"/>
    <xf numFmtId="0" fontId="147" fillId="0" borderId="55"/>
    <xf numFmtId="0" fontId="225" fillId="57" borderId="78" applyNumberFormat="0" applyAlignment="0" applyProtection="0"/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225" fillId="57" borderId="78" applyNumberFormat="0" applyAlignment="0" applyProtection="0"/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130" fillId="0" borderId="80">
      <alignment horizontal="left" vertical="center"/>
    </xf>
    <xf numFmtId="0" fontId="117" fillId="0" borderId="98"/>
    <xf numFmtId="0" fontId="139" fillId="19" borderId="78" applyNumberFormat="0" applyAlignment="0" applyProtection="0">
      <alignment vertical="center"/>
    </xf>
    <xf numFmtId="0" fontId="140" fillId="19" borderId="78" applyNumberFormat="0" applyAlignment="0" applyProtection="0"/>
    <xf numFmtId="0" fontId="97" fillId="34" borderId="78" applyNumberFormat="0" applyAlignment="0" applyProtection="0"/>
    <xf numFmtId="0" fontId="88" fillId="44" borderId="79" applyNumberFormat="0" applyFont="0" applyAlignment="0" applyProtection="0">
      <alignment vertical="center"/>
    </xf>
    <xf numFmtId="0" fontId="139" fillId="19" borderId="78" applyNumberFormat="0" applyAlignment="0" applyProtection="0">
      <alignment vertical="center"/>
    </xf>
    <xf numFmtId="0" fontId="96" fillId="34" borderId="78" applyNumberFormat="0" applyAlignment="0" applyProtection="0">
      <alignment vertical="center"/>
    </xf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130" fillId="0" borderId="80">
      <alignment horizontal="left" vertical="center"/>
    </xf>
    <xf numFmtId="0" fontId="225" fillId="57" borderId="78" applyNumberFormat="0" applyAlignment="0" applyProtection="0"/>
    <xf numFmtId="0" fontId="97" fillId="34" borderId="78" applyNumberFormat="0" applyAlignment="0" applyProtection="0"/>
    <xf numFmtId="0" fontId="62" fillId="44" borderId="79" applyNumberFormat="0" applyFont="0" applyAlignment="0" applyProtection="0"/>
    <xf numFmtId="0" fontId="139" fillId="19" borderId="78" applyNumberFormat="0" applyAlignment="0" applyProtection="0">
      <alignment vertical="center"/>
    </xf>
    <xf numFmtId="0" fontId="225" fillId="57" borderId="78" applyNumberFormat="0" applyAlignment="0" applyProtection="0"/>
    <xf numFmtId="0" fontId="117" fillId="0" borderId="55"/>
    <xf numFmtId="0" fontId="78" fillId="0" borderId="0"/>
    <xf numFmtId="0" fontId="117" fillId="0" borderId="55"/>
    <xf numFmtId="0" fontId="147" fillId="0" borderId="55"/>
    <xf numFmtId="0" fontId="117" fillId="0" borderId="55"/>
    <xf numFmtId="0" fontId="117" fillId="0" borderId="55"/>
    <xf numFmtId="0" fontId="147" fillId="0" borderId="55"/>
    <xf numFmtId="0" fontId="117" fillId="0" borderId="55"/>
    <xf numFmtId="0" fontId="147" fillId="0" borderId="55"/>
    <xf numFmtId="0" fontId="117" fillId="0" borderId="55"/>
    <xf numFmtId="0" fontId="78" fillId="0" borderId="0"/>
    <xf numFmtId="0" fontId="78" fillId="0" borderId="0"/>
    <xf numFmtId="0" fontId="117" fillId="0" borderId="55"/>
    <xf numFmtId="0" fontId="147" fillId="0" borderId="55"/>
    <xf numFmtId="0" fontId="117" fillId="0" borderId="55"/>
    <xf numFmtId="0" fontId="139" fillId="19" borderId="78" applyNumberFormat="0" applyAlignment="0" applyProtection="0">
      <alignment vertical="center"/>
    </xf>
    <xf numFmtId="0" fontId="96" fillId="34" borderId="78" applyNumberFormat="0" applyAlignment="0" applyProtection="0">
      <alignment vertical="center"/>
    </xf>
    <xf numFmtId="0" fontId="104" fillId="36" borderId="83"/>
    <xf numFmtId="10" fontId="104" fillId="39" borderId="83" applyNumberFormat="0" applyBorder="0" applyAlignment="0" applyProtection="0"/>
    <xf numFmtId="0" fontId="104" fillId="37" borderId="83"/>
    <xf numFmtId="43" fontId="62" fillId="0" borderId="83" applyNumberFormat="0"/>
    <xf numFmtId="0" fontId="88" fillId="44" borderId="79" applyNumberFormat="0" applyFont="0" applyAlignment="0" applyProtection="0">
      <alignment vertical="center"/>
    </xf>
    <xf numFmtId="0" fontId="225" fillId="57" borderId="78" applyNumberFormat="0" applyAlignment="0" applyProtection="0"/>
    <xf numFmtId="0" fontId="147" fillId="0" borderId="55"/>
    <xf numFmtId="0" fontId="117" fillId="0" borderId="55"/>
    <xf numFmtId="0" fontId="117" fillId="0" borderId="55"/>
    <xf numFmtId="0" fontId="88" fillId="44" borderId="79" applyNumberFormat="0" applyFont="0" applyAlignment="0" applyProtection="0">
      <alignment vertical="center"/>
    </xf>
    <xf numFmtId="0" fontId="139" fillId="19" borderId="78" applyNumberFormat="0" applyAlignment="0" applyProtection="0">
      <alignment vertical="center"/>
    </xf>
    <xf numFmtId="0" fontId="147" fillId="0" borderId="55"/>
    <xf numFmtId="0" fontId="117" fillId="0" borderId="55"/>
    <xf numFmtId="0" fontId="78" fillId="0" borderId="0"/>
    <xf numFmtId="0" fontId="117" fillId="0" borderId="55"/>
    <xf numFmtId="0" fontId="96" fillId="34" borderId="78" applyNumberFormat="0" applyAlignment="0" applyProtection="0">
      <alignment vertical="center"/>
    </xf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130" fillId="0" borderId="80">
      <alignment horizontal="left" vertical="center"/>
    </xf>
    <xf numFmtId="0" fontId="225" fillId="57" borderId="78" applyNumberFormat="0" applyAlignment="0" applyProtection="0"/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130" fillId="0" borderId="80">
      <alignment horizontal="left" vertical="center"/>
    </xf>
    <xf numFmtId="0" fontId="139" fillId="19" borderId="78" applyNumberFormat="0" applyAlignment="0" applyProtection="0">
      <alignment vertical="center"/>
    </xf>
    <xf numFmtId="0" fontId="117" fillId="0" borderId="55"/>
    <xf numFmtId="0" fontId="78" fillId="0" borderId="0"/>
    <xf numFmtId="0" fontId="117" fillId="0" borderId="55"/>
    <xf numFmtId="0" fontId="147" fillId="0" borderId="55"/>
    <xf numFmtId="0" fontId="117" fillId="0" borderId="55"/>
    <xf numFmtId="0" fontId="78" fillId="0" borderId="0"/>
    <xf numFmtId="0" fontId="117" fillId="0" borderId="55"/>
    <xf numFmtId="0" fontId="147" fillId="0" borderId="55"/>
    <xf numFmtId="0" fontId="117" fillId="0" borderId="55"/>
    <xf numFmtId="0" fontId="78" fillId="0" borderId="0"/>
    <xf numFmtId="0" fontId="117" fillId="0" borderId="55"/>
    <xf numFmtId="0" fontId="147" fillId="0" borderId="55"/>
    <xf numFmtId="0" fontId="96" fillId="34" borderId="78" applyNumberFormat="0" applyAlignment="0" applyProtection="0">
      <alignment vertical="center"/>
    </xf>
    <xf numFmtId="0" fontId="139" fillId="19" borderId="78" applyNumberFormat="0" applyAlignment="0" applyProtection="0">
      <alignment vertical="center"/>
    </xf>
    <xf numFmtId="0" fontId="88" fillId="44" borderId="79" applyNumberFormat="0" applyFont="0" applyAlignment="0" applyProtection="0">
      <alignment vertical="center"/>
    </xf>
    <xf numFmtId="0" fontId="117" fillId="0" borderId="98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17" fillId="0" borderId="55"/>
    <xf numFmtId="0" fontId="78" fillId="0" borderId="0"/>
    <xf numFmtId="0" fontId="117" fillId="0" borderId="55"/>
    <xf numFmtId="0" fontId="147" fillId="0" borderId="55"/>
    <xf numFmtId="0" fontId="130" fillId="0" borderId="66">
      <alignment horizontal="left" vertical="center"/>
    </xf>
    <xf numFmtId="0" fontId="174" fillId="1" borderId="66" applyNumberFormat="0" applyFont="0" applyAlignment="0">
      <alignment horizontal="center"/>
    </xf>
    <xf numFmtId="0" fontId="225" fillId="57" borderId="78" applyNumberFormat="0" applyAlignment="0" applyProtection="0"/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225" fillId="57" borderId="78" applyNumberFormat="0" applyAlignment="0" applyProtection="0"/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117" fillId="0" borderId="98"/>
    <xf numFmtId="0" fontId="139" fillId="19" borderId="78" applyNumberFormat="0" applyAlignment="0" applyProtection="0">
      <alignment vertical="center"/>
    </xf>
    <xf numFmtId="0" fontId="140" fillId="19" borderId="78" applyNumberFormat="0" applyAlignment="0" applyProtection="0"/>
    <xf numFmtId="0" fontId="97" fillId="34" borderId="78" applyNumberFormat="0" applyAlignment="0" applyProtection="0"/>
    <xf numFmtId="0" fontId="88" fillId="44" borderId="79" applyNumberFormat="0" applyFont="0" applyAlignment="0" applyProtection="0">
      <alignment vertical="center"/>
    </xf>
    <xf numFmtId="0" fontId="139" fillId="19" borderId="78" applyNumberFormat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96" fillId="34" borderId="78" applyNumberFormat="0" applyAlignment="0" applyProtection="0">
      <alignment vertical="center"/>
    </xf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225" fillId="57" borderId="78" applyNumberFormat="0" applyAlignment="0" applyProtection="0"/>
    <xf numFmtId="0" fontId="97" fillId="34" borderId="78" applyNumberFormat="0" applyAlignment="0" applyProtection="0"/>
    <xf numFmtId="0" fontId="62" fillId="44" borderId="79" applyNumberFormat="0" applyFont="0" applyAlignment="0" applyProtection="0"/>
    <xf numFmtId="0" fontId="139" fillId="19" borderId="78" applyNumberFormat="0" applyAlignment="0" applyProtection="0">
      <alignment vertical="center"/>
    </xf>
    <xf numFmtId="0" fontId="225" fillId="57" borderId="78" applyNumberFormat="0" applyAlignment="0" applyProtection="0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117" fillId="0" borderId="55"/>
    <xf numFmtId="0" fontId="78" fillId="0" borderId="0"/>
    <xf numFmtId="0" fontId="117" fillId="0" borderId="55"/>
    <xf numFmtId="0" fontId="147" fillId="0" borderId="55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17" fillId="0" borderId="55"/>
    <xf numFmtId="0" fontId="78" fillId="0" borderId="0"/>
    <xf numFmtId="0" fontId="117" fillId="0" borderId="55"/>
    <xf numFmtId="0" fontId="147" fillId="0" borderId="55"/>
    <xf numFmtId="0" fontId="130" fillId="0" borderId="66">
      <alignment horizontal="left" vertical="center"/>
    </xf>
    <xf numFmtId="0" fontId="174" fillId="1" borderId="66" applyNumberFormat="0" applyFont="0" applyAlignment="0">
      <alignment horizont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74" fillId="1" borderId="66" applyNumberFormat="0" applyFont="0" applyAlignment="0">
      <alignment horizontal="center"/>
    </xf>
    <xf numFmtId="0" fontId="130" fillId="0" borderId="66">
      <alignment horizontal="left"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17" fillId="0" borderId="55"/>
    <xf numFmtId="0" fontId="147" fillId="0" borderId="55"/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17" fillId="0" borderId="55"/>
    <xf numFmtId="0" fontId="78" fillId="0" borderId="0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78" fillId="0" borderId="0"/>
    <xf numFmtId="0" fontId="117" fillId="0" borderId="55"/>
    <xf numFmtId="0" fontId="147" fillId="0" borderId="55"/>
    <xf numFmtId="0" fontId="117" fillId="0" borderId="55"/>
    <xf numFmtId="0" fontId="130" fillId="0" borderId="66">
      <alignment horizontal="left" vertical="center"/>
    </xf>
    <xf numFmtId="0" fontId="174" fillId="1" borderId="66" applyNumberFormat="0" applyFont="0" applyAlignment="0">
      <alignment horizontal="center"/>
    </xf>
    <xf numFmtId="0" fontId="130" fillId="0" borderId="66">
      <alignment horizontal="left" vertical="center"/>
    </xf>
    <xf numFmtId="0" fontId="174" fillId="1" borderId="66" applyNumberFormat="0" applyFont="0" applyAlignment="0">
      <alignment horizont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117" fillId="0" borderId="55"/>
    <xf numFmtId="0" fontId="78" fillId="0" borderId="0"/>
    <xf numFmtId="0" fontId="147" fillId="0" borderId="55"/>
    <xf numFmtId="0" fontId="117" fillId="0" borderId="55"/>
    <xf numFmtId="0" fontId="147" fillId="0" borderId="55"/>
    <xf numFmtId="0" fontId="117" fillId="0" borderId="55"/>
    <xf numFmtId="0" fontId="139" fillId="19" borderId="78" applyNumberFormat="0" applyAlignment="0" applyProtection="0">
      <alignment vertical="center"/>
    </xf>
    <xf numFmtId="0" fontId="96" fillId="34" borderId="78" applyNumberFormat="0" applyAlignment="0" applyProtection="0">
      <alignment vertical="center"/>
    </xf>
    <xf numFmtId="0" fontId="117" fillId="0" borderId="55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17" fillId="0" borderId="55"/>
    <xf numFmtId="0" fontId="117" fillId="0" borderId="55"/>
    <xf numFmtId="0" fontId="147" fillId="0" borderId="55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88" fillId="44" borderId="79" applyNumberFormat="0" applyFont="0" applyAlignment="0" applyProtection="0">
      <alignment vertical="center"/>
    </xf>
    <xf numFmtId="0" fontId="117" fillId="0" borderId="55"/>
    <xf numFmtId="0" fontId="117" fillId="0" borderId="55"/>
    <xf numFmtId="0" fontId="147" fillId="0" borderId="55"/>
    <xf numFmtId="0" fontId="225" fillId="57" borderId="78" applyNumberFormat="0" applyAlignment="0" applyProtection="0"/>
    <xf numFmtId="0" fontId="147" fillId="0" borderId="55"/>
    <xf numFmtId="0" fontId="117" fillId="0" borderId="55"/>
    <xf numFmtId="0" fontId="78" fillId="0" borderId="0"/>
    <xf numFmtId="0" fontId="117" fillId="0" borderId="55"/>
    <xf numFmtId="0" fontId="88" fillId="44" borderId="79" applyNumberFormat="0" applyFont="0" applyAlignment="0" applyProtection="0">
      <alignment vertical="center"/>
    </xf>
    <xf numFmtId="0" fontId="139" fillId="19" borderId="78" applyNumberFormat="0" applyAlignment="0" applyProtection="0">
      <alignment vertical="center"/>
    </xf>
    <xf numFmtId="0" fontId="147" fillId="0" borderId="55"/>
    <xf numFmtId="0" fontId="117" fillId="0" borderId="55"/>
    <xf numFmtId="0" fontId="117" fillId="0" borderId="55"/>
    <xf numFmtId="0" fontId="96" fillId="34" borderId="78" applyNumberFormat="0" applyAlignment="0" applyProtection="0">
      <alignment vertical="center"/>
    </xf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117" fillId="0" borderId="98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225" fillId="57" borderId="78" applyNumberFormat="0" applyAlignment="0" applyProtection="0"/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130" fillId="0" borderId="80">
      <alignment horizontal="left" vertical="center"/>
    </xf>
    <xf numFmtId="0" fontId="139" fillId="19" borderId="78" applyNumberFormat="0" applyAlignment="0" applyProtection="0">
      <alignment vertical="center"/>
    </xf>
    <xf numFmtId="0" fontId="117" fillId="0" borderId="55"/>
    <xf numFmtId="0" fontId="117" fillId="0" borderId="55"/>
    <xf numFmtId="0" fontId="147" fillId="0" borderId="55"/>
    <xf numFmtId="0" fontId="96" fillId="34" borderId="78" applyNumberFormat="0" applyAlignment="0" applyProtection="0">
      <alignment vertical="center"/>
    </xf>
    <xf numFmtId="0" fontId="139" fillId="19" borderId="78" applyNumberFormat="0" applyAlignment="0" applyProtection="0">
      <alignment vertical="center"/>
    </xf>
    <xf numFmtId="0" fontId="88" fillId="44" borderId="79" applyNumberFormat="0" applyFont="0" applyAlignment="0" applyProtection="0">
      <alignment vertical="center"/>
    </xf>
    <xf numFmtId="0" fontId="117" fillId="0" borderId="55"/>
    <xf numFmtId="0" fontId="117" fillId="0" borderId="55"/>
    <xf numFmtId="0" fontId="147" fillId="0" borderId="55"/>
    <xf numFmtId="0" fontId="225" fillId="57" borderId="78" applyNumberFormat="0" applyAlignment="0" applyProtection="0"/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130" fillId="0" borderId="80">
      <alignment horizontal="left" vertical="center"/>
    </xf>
    <xf numFmtId="0" fontId="117" fillId="0" borderId="98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225" fillId="57" borderId="78" applyNumberFormat="0" applyAlignment="0" applyProtection="0"/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139" fillId="19" borderId="78" applyNumberFormat="0" applyAlignment="0" applyProtection="0">
      <alignment vertical="center"/>
    </xf>
    <xf numFmtId="0" fontId="140" fillId="19" borderId="78" applyNumberFormat="0" applyAlignment="0" applyProtection="0"/>
    <xf numFmtId="0" fontId="97" fillId="34" borderId="78" applyNumberFormat="0" applyAlignment="0" applyProtection="0"/>
    <xf numFmtId="0" fontId="88" fillId="44" borderId="79" applyNumberFormat="0" applyFont="0" applyAlignment="0" applyProtection="0">
      <alignment vertical="center"/>
    </xf>
    <xf numFmtId="0" fontId="139" fillId="19" borderId="78" applyNumberFormat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96" fillId="34" borderId="78" applyNumberFormat="0" applyAlignment="0" applyProtection="0">
      <alignment vertical="center"/>
    </xf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225" fillId="57" borderId="78" applyNumberFormat="0" applyAlignment="0" applyProtection="0"/>
    <xf numFmtId="0" fontId="97" fillId="34" borderId="78" applyNumberFormat="0" applyAlignment="0" applyProtection="0"/>
    <xf numFmtId="0" fontId="62" fillId="44" borderId="79" applyNumberFormat="0" applyFont="0" applyAlignment="0" applyProtection="0"/>
    <xf numFmtId="0" fontId="139" fillId="19" borderId="78" applyNumberFormat="0" applyAlignment="0" applyProtection="0">
      <alignment vertical="center"/>
    </xf>
    <xf numFmtId="0" fontId="117" fillId="0" borderId="98"/>
    <xf numFmtId="0" fontId="225" fillId="57" borderId="78" applyNumberFormat="0" applyAlignment="0" applyProtection="0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117" fillId="0" borderId="55"/>
    <xf numFmtId="0" fontId="78" fillId="0" borderId="0"/>
    <xf numFmtId="0" fontId="117" fillId="0" borderId="55"/>
    <xf numFmtId="0" fontId="147" fillId="0" borderId="55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17" fillId="0" borderId="55"/>
    <xf numFmtId="0" fontId="78" fillId="0" borderId="0"/>
    <xf numFmtId="0" fontId="117" fillId="0" borderId="55"/>
    <xf numFmtId="0" fontId="147" fillId="0" borderId="55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74" fillId="1" borderId="80" applyNumberFormat="0" applyFont="0" applyAlignment="0">
      <alignment horizontal="center"/>
    </xf>
    <xf numFmtId="0" fontId="130" fillId="0" borderId="80">
      <alignment horizontal="left"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17" fillId="0" borderId="55"/>
    <xf numFmtId="0" fontId="147" fillId="0" borderId="55"/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17" fillId="0" borderId="55"/>
    <xf numFmtId="0" fontId="78" fillId="0" borderId="0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78" fillId="0" borderId="0"/>
    <xf numFmtId="0" fontId="117" fillId="0" borderId="55"/>
    <xf numFmtId="0" fontId="147" fillId="0" borderId="55"/>
    <xf numFmtId="0" fontId="117" fillId="0" borderId="55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25" fillId="0" borderId="0"/>
    <xf numFmtId="165" fontId="25" fillId="0" borderId="0" applyFont="0" applyFill="0" applyBorder="0" applyAlignment="0" applyProtection="0">
      <alignment vertical="center"/>
    </xf>
    <xf numFmtId="0" fontId="139" fillId="19" borderId="78" applyNumberFormat="0" applyAlignment="0" applyProtection="0">
      <alignment vertical="center"/>
    </xf>
    <xf numFmtId="0" fontId="96" fillId="34" borderId="78" applyNumberFormat="0" applyAlignment="0" applyProtection="0">
      <alignment vertical="center"/>
    </xf>
    <xf numFmtId="0" fontId="104" fillId="36" borderId="83"/>
    <xf numFmtId="10" fontId="104" fillId="39" borderId="83" applyNumberFormat="0" applyBorder="0" applyAlignment="0" applyProtection="0"/>
    <xf numFmtId="0" fontId="104" fillId="37" borderId="83"/>
    <xf numFmtId="43" fontId="62" fillId="0" borderId="83" applyNumberFormat="0"/>
    <xf numFmtId="0" fontId="88" fillId="44" borderId="79" applyNumberFormat="0" applyFont="0" applyAlignment="0" applyProtection="0">
      <alignment vertical="center"/>
    </xf>
    <xf numFmtId="0" fontId="225" fillId="57" borderId="78" applyNumberFormat="0" applyAlignment="0" applyProtection="0"/>
    <xf numFmtId="0" fontId="147" fillId="0" borderId="55"/>
    <xf numFmtId="0" fontId="117" fillId="0" borderId="55"/>
    <xf numFmtId="0" fontId="117" fillId="0" borderId="55"/>
    <xf numFmtId="0" fontId="117" fillId="0" borderId="98"/>
    <xf numFmtId="0" fontId="130" fillId="0" borderId="80">
      <alignment horizontal="left" vertical="center"/>
    </xf>
    <xf numFmtId="0" fontId="88" fillId="44" borderId="79" applyNumberFormat="0" applyFont="0" applyAlignment="0" applyProtection="0">
      <alignment vertical="center"/>
    </xf>
    <xf numFmtId="0" fontId="139" fillId="19" borderId="78" applyNumberFormat="0" applyAlignment="0" applyProtection="0">
      <alignment vertical="center"/>
    </xf>
    <xf numFmtId="0" fontId="147" fillId="0" borderId="55"/>
    <xf numFmtId="0" fontId="117" fillId="0" borderId="55"/>
    <xf numFmtId="0" fontId="78" fillId="0" borderId="0"/>
    <xf numFmtId="0" fontId="117" fillId="0" borderId="55"/>
    <xf numFmtId="0" fontId="96" fillId="34" borderId="78" applyNumberFormat="0" applyAlignment="0" applyProtection="0">
      <alignment vertical="center"/>
    </xf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225" fillId="57" borderId="78" applyNumberFormat="0" applyAlignment="0" applyProtection="0"/>
    <xf numFmtId="0" fontId="97" fillId="34" borderId="78" applyNumberFormat="0" applyAlignment="0" applyProtection="0"/>
    <xf numFmtId="0" fontId="140" fillId="19" borderId="78" applyNumberFormat="0" applyAlignment="0" applyProtection="0"/>
    <xf numFmtId="0" fontId="62" fillId="44" borderId="79" applyNumberFormat="0" applyFont="0" applyAlignment="0" applyProtection="0"/>
    <xf numFmtId="0" fontId="130" fillId="0" borderId="80">
      <alignment horizontal="left" vertical="center"/>
    </xf>
    <xf numFmtId="0" fontId="117" fillId="0" borderId="98"/>
    <xf numFmtId="0" fontId="139" fillId="19" borderId="78" applyNumberFormat="0" applyAlignment="0" applyProtection="0">
      <alignment vertical="center"/>
    </xf>
    <xf numFmtId="0" fontId="117" fillId="0" borderId="55"/>
    <xf numFmtId="0" fontId="78" fillId="0" borderId="0"/>
    <xf numFmtId="0" fontId="117" fillId="0" borderId="55"/>
    <xf numFmtId="0" fontId="147" fillId="0" borderId="55"/>
    <xf numFmtId="0" fontId="117" fillId="0" borderId="55"/>
    <xf numFmtId="0" fontId="78" fillId="0" borderId="0"/>
    <xf numFmtId="0" fontId="117" fillId="0" borderId="55"/>
    <xf numFmtId="0" fontId="147" fillId="0" borderId="55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174" fillId="1" borderId="80" applyNumberFormat="0" applyFont="0" applyAlignment="0">
      <alignment horizontal="center"/>
    </xf>
    <xf numFmtId="0" fontId="130" fillId="0" borderId="80">
      <alignment horizontal="left" vertical="center"/>
    </xf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97" fillId="34" borderId="91" applyNumberFormat="0" applyAlignment="0" applyProtection="0"/>
    <xf numFmtId="0" fontId="174" fillId="1" borderId="80" applyNumberFormat="0" applyFont="0" applyAlignment="0">
      <alignment horizontal="center"/>
    </xf>
    <xf numFmtId="0" fontId="88" fillId="44" borderId="86" applyNumberFormat="0" applyFont="0" applyAlignment="0" applyProtection="0">
      <alignment vertical="center"/>
    </xf>
    <xf numFmtId="0" fontId="147" fillId="33" borderId="84"/>
    <xf numFmtId="0" fontId="147" fillId="0" borderId="84"/>
    <xf numFmtId="0" fontId="147" fillId="33" borderId="84"/>
    <xf numFmtId="0" fontId="174" fillId="1" borderId="80" applyNumberFormat="0" applyFont="0" applyAlignment="0">
      <alignment horizontal="center"/>
    </xf>
    <xf numFmtId="0" fontId="130" fillId="0" borderId="80">
      <alignment horizontal="left" vertical="center"/>
    </xf>
    <xf numFmtId="0" fontId="197" fillId="0" borderId="88" applyNumberFormat="0" applyFill="0" applyAlignment="0" applyProtection="0"/>
    <xf numFmtId="0" fontId="117" fillId="0" borderId="84"/>
    <xf numFmtId="0" fontId="96" fillId="34" borderId="85" applyNumberFormat="0" applyAlignment="0" applyProtection="0">
      <alignment vertical="center"/>
    </xf>
    <xf numFmtId="0" fontId="140" fillId="19" borderId="85" applyNumberFormat="0" applyAlignment="0" applyProtection="0"/>
    <xf numFmtId="0" fontId="197" fillId="0" borderId="88" applyNumberFormat="0" applyFill="0" applyAlignment="0" applyProtection="0"/>
    <xf numFmtId="0" fontId="104" fillId="37" borderId="89"/>
    <xf numFmtId="0" fontId="196" fillId="0" borderId="88" applyNumberFormat="0" applyFill="0" applyAlignment="0" applyProtection="0">
      <alignment vertical="center"/>
    </xf>
    <xf numFmtId="0" fontId="168" fillId="34" borderId="87" applyNumberFormat="0" applyAlignment="0" applyProtection="0"/>
    <xf numFmtId="0" fontId="147" fillId="33" borderId="84"/>
    <xf numFmtId="0" fontId="139" fillId="19" borderId="85" applyNumberFormat="0" applyAlignment="0" applyProtection="0">
      <alignment vertical="center"/>
    </xf>
    <xf numFmtId="0" fontId="117" fillId="0" borderId="90"/>
    <xf numFmtId="0" fontId="62" fillId="44" borderId="92" applyNumberFormat="0" applyFont="0" applyAlignment="0" applyProtection="0"/>
    <xf numFmtId="0" fontId="174" fillId="1" borderId="80" applyNumberFormat="0" applyFont="0" applyAlignment="0">
      <alignment horizontal="center"/>
    </xf>
    <xf numFmtId="0" fontId="130" fillId="0" borderId="80">
      <alignment horizontal="left" vertical="center"/>
    </xf>
    <xf numFmtId="0" fontId="197" fillId="0" borderId="94" applyNumberFormat="0" applyFill="0" applyAlignment="0" applyProtection="0"/>
    <xf numFmtId="0" fontId="174" fillId="1" borderId="80" applyNumberFormat="0" applyFont="0" applyAlignment="0">
      <alignment horizontal="center"/>
    </xf>
    <xf numFmtId="0" fontId="130" fillId="0" borderId="80">
      <alignment horizontal="left" vertical="center"/>
    </xf>
    <xf numFmtId="0" fontId="117" fillId="0" borderId="84"/>
    <xf numFmtId="43" fontId="62" fillId="0" borderId="89" applyNumberFormat="0"/>
    <xf numFmtId="0" fontId="117" fillId="0" borderId="84"/>
    <xf numFmtId="0" fontId="25" fillId="0" borderId="0"/>
    <xf numFmtId="0" fontId="130" fillId="0" borderId="80">
      <alignment horizontal="left" vertical="center"/>
    </xf>
    <xf numFmtId="0" fontId="78" fillId="0" borderId="0"/>
    <xf numFmtId="0" fontId="130" fillId="0" borderId="80">
      <alignment horizontal="left" vertical="center"/>
    </xf>
    <xf numFmtId="0" fontId="130" fillId="0" borderId="80">
      <alignment horizontal="left" vertical="center"/>
    </xf>
    <xf numFmtId="0" fontId="147" fillId="33" borderId="84"/>
    <xf numFmtId="0" fontId="117" fillId="0" borderId="84"/>
    <xf numFmtId="0" fontId="174" fillId="1" borderId="80" applyNumberFormat="0" applyFont="0" applyAlignment="0">
      <alignment horizontal="center"/>
    </xf>
    <xf numFmtId="0" fontId="62" fillId="44" borderId="86" applyNumberFormat="0" applyFont="0" applyAlignment="0" applyProtection="0"/>
    <xf numFmtId="0" fontId="168" fillId="34" borderId="87" applyNumberFormat="0" applyAlignment="0" applyProtection="0"/>
    <xf numFmtId="0" fontId="168" fillId="34" borderId="87" applyNumberFormat="0" applyAlignment="0" applyProtection="0"/>
    <xf numFmtId="0" fontId="130" fillId="0" borderId="80">
      <alignment horizontal="left" vertical="center"/>
    </xf>
    <xf numFmtId="0" fontId="96" fillId="34" borderId="91" applyNumberFormat="0" applyAlignment="0" applyProtection="0">
      <alignment vertical="center"/>
    </xf>
    <xf numFmtId="0" fontId="168" fillId="34" borderId="93" applyNumberFormat="0" applyAlignment="0" applyProtection="0"/>
    <xf numFmtId="0" fontId="147" fillId="0" borderId="90"/>
    <xf numFmtId="0" fontId="167" fillId="34" borderId="87" applyNumberFormat="0" applyAlignment="0" applyProtection="0">
      <alignment vertical="center"/>
    </xf>
    <xf numFmtId="0" fontId="147" fillId="33" borderId="84"/>
    <xf numFmtId="0" fontId="97" fillId="34" borderId="85" applyNumberFormat="0" applyAlignment="0" applyProtection="0"/>
    <xf numFmtId="0" fontId="197" fillId="0" borderId="88" applyNumberFormat="0" applyFill="0" applyAlignment="0" applyProtection="0"/>
    <xf numFmtId="0" fontId="88" fillId="44" borderId="86" applyNumberFormat="0" applyFont="0" applyAlignment="0" applyProtection="0">
      <alignment vertical="center"/>
    </xf>
    <xf numFmtId="0" fontId="117" fillId="0" borderId="84"/>
    <xf numFmtId="0" fontId="147" fillId="33" borderId="84"/>
    <xf numFmtId="0" fontId="62" fillId="44" borderId="92" applyNumberFormat="0" applyFont="0" applyAlignment="0" applyProtection="0"/>
    <xf numFmtId="0" fontId="97" fillId="34" borderId="85" applyNumberFormat="0" applyAlignment="0" applyProtection="0"/>
    <xf numFmtId="0" fontId="117" fillId="0" borderId="90"/>
    <xf numFmtId="0" fontId="225" fillId="57" borderId="85" applyNumberFormat="0" applyAlignment="0" applyProtection="0"/>
    <xf numFmtId="10" fontId="104" fillId="39" borderId="89" applyNumberFormat="0" applyBorder="0" applyAlignment="0" applyProtection="0"/>
    <xf numFmtId="0" fontId="167" fillId="34" borderId="87" applyNumberFormat="0" applyAlignment="0" applyProtection="0">
      <alignment vertical="center"/>
    </xf>
    <xf numFmtId="0" fontId="62" fillId="44" borderId="86" applyNumberFormat="0" applyFont="0" applyAlignment="0" applyProtection="0"/>
    <xf numFmtId="0" fontId="117" fillId="0" borderId="84"/>
    <xf numFmtId="0" fontId="117" fillId="0" borderId="84"/>
    <xf numFmtId="0" fontId="147" fillId="33" borderId="84"/>
    <xf numFmtId="0" fontId="117" fillId="0" borderId="84"/>
    <xf numFmtId="0" fontId="147" fillId="0" borderId="84"/>
    <xf numFmtId="0" fontId="62" fillId="44" borderId="86" applyNumberFormat="0" applyFont="0" applyAlignment="0" applyProtection="0"/>
    <xf numFmtId="0" fontId="88" fillId="44" borderId="86" applyNumberFormat="0" applyFont="0" applyAlignment="0" applyProtection="0">
      <alignment vertical="center"/>
    </xf>
    <xf numFmtId="0" fontId="117" fillId="0" borderId="84"/>
    <xf numFmtId="0" fontId="117" fillId="0" borderId="90"/>
    <xf numFmtId="0" fontId="96" fillId="34" borderId="85" applyNumberFormat="0" applyAlignment="0" applyProtection="0">
      <alignment vertical="center"/>
    </xf>
    <xf numFmtId="0" fontId="140" fillId="19" borderId="91" applyNumberFormat="0" applyAlignment="0" applyProtection="0"/>
    <xf numFmtId="0" fontId="147" fillId="33" borderId="84"/>
    <xf numFmtId="0" fontId="197" fillId="0" borderId="88" applyNumberFormat="0" applyFill="0" applyAlignment="0" applyProtection="0"/>
    <xf numFmtId="0" fontId="139" fillId="19" borderId="85" applyNumberFormat="0" applyAlignment="0" applyProtection="0">
      <alignment vertical="center"/>
    </xf>
    <xf numFmtId="0" fontId="225" fillId="57" borderId="85" applyNumberFormat="0" applyAlignment="0" applyProtection="0"/>
    <xf numFmtId="0" fontId="130" fillId="0" borderId="80">
      <alignment horizontal="left" vertical="center"/>
    </xf>
    <xf numFmtId="0" fontId="147" fillId="33" borderId="84"/>
    <xf numFmtId="0" fontId="139" fillId="19" borderId="85" applyNumberFormat="0" applyAlignment="0" applyProtection="0">
      <alignment vertical="center"/>
    </xf>
    <xf numFmtId="0" fontId="117" fillId="0" borderId="84"/>
    <xf numFmtId="0" fontId="117" fillId="0" borderId="84"/>
    <xf numFmtId="0" fontId="147" fillId="33" borderId="84"/>
    <xf numFmtId="0" fontId="117" fillId="0" borderId="84"/>
    <xf numFmtId="0" fontId="147" fillId="33" borderId="84"/>
    <xf numFmtId="0" fontId="139" fillId="19" borderId="85" applyNumberFormat="0" applyAlignment="0" applyProtection="0">
      <alignment vertical="center"/>
    </xf>
    <xf numFmtId="0" fontId="117" fillId="0" borderId="84"/>
    <xf numFmtId="0" fontId="197" fillId="0" borderId="88" applyNumberFormat="0" applyFill="0" applyAlignment="0" applyProtection="0"/>
    <xf numFmtId="0" fontId="140" fillId="19" borderId="85" applyNumberFormat="0" applyAlignment="0" applyProtection="0"/>
    <xf numFmtId="0" fontId="117" fillId="0" borderId="84"/>
    <xf numFmtId="0" fontId="147" fillId="0" borderId="84"/>
    <xf numFmtId="0" fontId="117" fillId="0" borderId="84"/>
    <xf numFmtId="0" fontId="139" fillId="19" borderId="91" applyNumberFormat="0" applyAlignment="0" applyProtection="0">
      <alignment vertical="center"/>
    </xf>
    <xf numFmtId="0" fontId="168" fillId="34" borderId="87" applyNumberFormat="0" applyAlignment="0" applyProtection="0"/>
    <xf numFmtId="0" fontId="62" fillId="44" borderId="86" applyNumberFormat="0" applyFont="0" applyAlignment="0" applyProtection="0"/>
    <xf numFmtId="0" fontId="139" fillId="19" borderId="85" applyNumberFormat="0" applyAlignment="0" applyProtection="0">
      <alignment vertical="center"/>
    </xf>
    <xf numFmtId="0" fontId="168" fillId="34" borderId="87" applyNumberFormat="0" applyAlignment="0" applyProtection="0"/>
    <xf numFmtId="0" fontId="139" fillId="19" borderId="85" applyNumberFormat="0" applyAlignment="0" applyProtection="0">
      <alignment vertical="center"/>
    </xf>
    <xf numFmtId="0" fontId="168" fillId="34" borderId="87" applyNumberFormat="0" applyAlignment="0" applyProtection="0"/>
    <xf numFmtId="0" fontId="147" fillId="0" borderId="84"/>
    <xf numFmtId="0" fontId="139" fillId="19" borderId="85" applyNumberFormat="0" applyAlignment="0" applyProtection="0">
      <alignment vertical="center"/>
    </xf>
    <xf numFmtId="0" fontId="147" fillId="0" borderId="84"/>
    <xf numFmtId="0" fontId="139" fillId="19" borderId="85" applyNumberFormat="0" applyAlignment="0" applyProtection="0">
      <alignment vertical="center"/>
    </xf>
    <xf numFmtId="0" fontId="97" fillId="34" borderId="85" applyNumberFormat="0" applyAlignment="0" applyProtection="0"/>
    <xf numFmtId="0" fontId="97" fillId="34" borderId="85" applyNumberFormat="0" applyAlignment="0" applyProtection="0"/>
    <xf numFmtId="0" fontId="117" fillId="0" borderId="84"/>
    <xf numFmtId="0" fontId="147" fillId="0" borderId="84"/>
    <xf numFmtId="0" fontId="117" fillId="0" borderId="84"/>
    <xf numFmtId="0" fontId="225" fillId="57" borderId="85" applyNumberFormat="0" applyAlignment="0" applyProtection="0"/>
    <xf numFmtId="0" fontId="117" fillId="0" borderId="84"/>
    <xf numFmtId="0" fontId="88" fillId="44" borderId="86" applyNumberFormat="0" applyFont="0" applyAlignment="0" applyProtection="0">
      <alignment vertical="center"/>
    </xf>
    <xf numFmtId="0" fontId="174" fillId="1" borderId="80" applyNumberFormat="0" applyFont="0" applyAlignment="0">
      <alignment horizontal="center"/>
    </xf>
    <xf numFmtId="0" fontId="147" fillId="33" borderId="90"/>
    <xf numFmtId="0" fontId="174" fillId="1" borderId="80" applyNumberFormat="0" applyFont="0" applyAlignment="0">
      <alignment horizontal="center"/>
    </xf>
    <xf numFmtId="0" fontId="140" fillId="19" borderId="91" applyNumberFormat="0" applyAlignment="0" applyProtection="0"/>
    <xf numFmtId="0" fontId="147" fillId="0" borderId="84"/>
    <xf numFmtId="0" fontId="97" fillId="34" borderId="85" applyNumberFormat="0" applyAlignment="0" applyProtection="0"/>
    <xf numFmtId="0" fontId="139" fillId="19" borderId="85" applyNumberFormat="0" applyAlignment="0" applyProtection="0">
      <alignment vertical="center"/>
    </xf>
    <xf numFmtId="0" fontId="97" fillId="34" borderId="85" applyNumberFormat="0" applyAlignment="0" applyProtection="0"/>
    <xf numFmtId="0" fontId="196" fillId="0" borderId="88" applyNumberFormat="0" applyFill="0" applyAlignment="0" applyProtection="0">
      <alignment vertical="center"/>
    </xf>
    <xf numFmtId="0" fontId="117" fillId="0" borderId="84"/>
    <xf numFmtId="0" fontId="174" fillId="1" borderId="80" applyNumberFormat="0" applyFont="0" applyAlignment="0">
      <alignment horizontal="center"/>
    </xf>
    <xf numFmtId="0" fontId="140" fillId="19" borderId="85" applyNumberFormat="0" applyAlignment="0" applyProtection="0"/>
    <xf numFmtId="0" fontId="147" fillId="0" borderId="84"/>
    <xf numFmtId="0" fontId="97" fillId="34" borderId="85" applyNumberFormat="0" applyAlignment="0" applyProtection="0"/>
    <xf numFmtId="0" fontId="97" fillId="34" borderId="85" applyNumberFormat="0" applyAlignment="0" applyProtection="0"/>
    <xf numFmtId="0" fontId="140" fillId="19" borderId="85" applyNumberFormat="0" applyAlignment="0" applyProtection="0"/>
    <xf numFmtId="0" fontId="117" fillId="0" borderId="84"/>
    <xf numFmtId="0" fontId="147" fillId="33" borderId="90"/>
    <xf numFmtId="0" fontId="117" fillId="0" borderId="84"/>
    <xf numFmtId="0" fontId="197" fillId="0" borderId="88" applyNumberFormat="0" applyFill="0" applyAlignment="0" applyProtection="0"/>
    <xf numFmtId="0" fontId="196" fillId="0" borderId="88" applyNumberFormat="0" applyFill="0" applyAlignment="0" applyProtection="0">
      <alignment vertical="center"/>
    </xf>
    <xf numFmtId="0" fontId="147" fillId="0" borderId="84"/>
    <xf numFmtId="0" fontId="117" fillId="0" borderId="84"/>
    <xf numFmtId="0" fontId="147" fillId="33" borderId="84"/>
    <xf numFmtId="0" fontId="196" fillId="0" borderId="88" applyNumberFormat="0" applyFill="0" applyAlignment="0" applyProtection="0">
      <alignment vertical="center"/>
    </xf>
    <xf numFmtId="0" fontId="197" fillId="0" borderId="88" applyNumberFormat="0" applyFill="0" applyAlignment="0" applyProtection="0"/>
    <xf numFmtId="0" fontId="117" fillId="0" borderId="84"/>
    <xf numFmtId="0" fontId="140" fillId="19" borderId="85" applyNumberFormat="0" applyAlignment="0" applyProtection="0"/>
    <xf numFmtId="0" fontId="168" fillId="34" borderId="87" applyNumberFormat="0" applyAlignment="0" applyProtection="0"/>
    <xf numFmtId="0" fontId="167" fillId="34" borderId="87" applyNumberFormat="0" applyAlignment="0" applyProtection="0">
      <alignment vertical="center"/>
    </xf>
    <xf numFmtId="0" fontId="147" fillId="33" borderId="84"/>
    <xf numFmtId="0" fontId="117" fillId="0" borderId="84"/>
    <xf numFmtId="0" fontId="225" fillId="57" borderId="85" applyNumberFormat="0" applyAlignment="0" applyProtection="0"/>
    <xf numFmtId="0" fontId="78" fillId="0" borderId="0"/>
    <xf numFmtId="0" fontId="97" fillId="34" borderId="85" applyNumberFormat="0" applyAlignment="0" applyProtection="0"/>
    <xf numFmtId="0" fontId="104" fillId="36" borderId="89"/>
    <xf numFmtId="0" fontId="139" fillId="19" borderId="85" applyNumberFormat="0" applyAlignment="0" applyProtection="0">
      <alignment vertical="center"/>
    </xf>
    <xf numFmtId="0" fontId="140" fillId="19" borderId="85" applyNumberFormat="0" applyAlignment="0" applyProtection="0"/>
    <xf numFmtId="0" fontId="139" fillId="19" borderId="85" applyNumberFormat="0" applyAlignment="0" applyProtection="0">
      <alignment vertical="center"/>
    </xf>
    <xf numFmtId="0" fontId="147" fillId="0" borderId="84"/>
    <xf numFmtId="0" fontId="117" fillId="0" borderId="84"/>
    <xf numFmtId="0" fontId="147" fillId="0" borderId="84"/>
    <xf numFmtId="0" fontId="130" fillId="0" borderId="80">
      <alignment horizontal="left" vertical="center"/>
    </xf>
    <xf numFmtId="0" fontId="140" fillId="19" borderId="85" applyNumberFormat="0" applyAlignment="0" applyProtection="0"/>
    <xf numFmtId="0" fontId="62" fillId="44" borderId="86" applyNumberFormat="0" applyFont="0" applyAlignment="0" applyProtection="0"/>
    <xf numFmtId="0" fontId="117" fillId="0" borderId="84"/>
    <xf numFmtId="0" fontId="62" fillId="44" borderId="86" applyNumberFormat="0" applyFont="0" applyAlignment="0" applyProtection="0"/>
    <xf numFmtId="0" fontId="117" fillId="0" borderId="84"/>
    <xf numFmtId="0" fontId="225" fillId="57" borderId="85" applyNumberFormat="0" applyAlignment="0" applyProtection="0"/>
    <xf numFmtId="0" fontId="225" fillId="57" borderId="85" applyNumberFormat="0" applyAlignment="0" applyProtection="0"/>
    <xf numFmtId="0" fontId="147" fillId="0" borderId="84"/>
    <xf numFmtId="0" fontId="147" fillId="0" borderId="84"/>
    <xf numFmtId="0" fontId="167" fillId="34" borderId="87" applyNumberFormat="0" applyAlignment="0" applyProtection="0">
      <alignment vertical="center"/>
    </xf>
    <xf numFmtId="0" fontId="174" fillId="1" borderId="80" applyNumberFormat="0" applyFont="0" applyAlignment="0">
      <alignment horizontal="center"/>
    </xf>
    <xf numFmtId="0" fontId="88" fillId="44" borderId="92" applyNumberFormat="0" applyFont="0" applyAlignment="0" applyProtection="0">
      <alignment vertical="center"/>
    </xf>
    <xf numFmtId="0" fontId="117" fillId="0" borderId="90"/>
    <xf numFmtId="0" fontId="225" fillId="57" borderId="91" applyNumberFormat="0" applyAlignment="0" applyProtection="0"/>
    <xf numFmtId="0" fontId="130" fillId="0" borderId="80">
      <alignment horizontal="left" vertical="center"/>
    </xf>
    <xf numFmtId="0" fontId="225" fillId="57" borderId="91" applyNumberFormat="0" applyAlignment="0" applyProtection="0"/>
    <xf numFmtId="0" fontId="168" fillId="34" borderId="93" applyNumberFormat="0" applyAlignment="0" applyProtection="0"/>
    <xf numFmtId="0" fontId="117" fillId="0" borderId="84"/>
    <xf numFmtId="0" fontId="147" fillId="33" borderId="84"/>
    <xf numFmtId="0" fontId="117" fillId="0" borderId="84"/>
    <xf numFmtId="0" fontId="147" fillId="0" borderId="84"/>
    <xf numFmtId="0" fontId="96" fillId="34" borderId="85" applyNumberFormat="0" applyAlignment="0" applyProtection="0">
      <alignment vertical="center"/>
    </xf>
    <xf numFmtId="0" fontId="139" fillId="19" borderId="85" applyNumberFormat="0" applyAlignment="0" applyProtection="0">
      <alignment vertical="center"/>
    </xf>
    <xf numFmtId="0" fontId="88" fillId="44" borderId="86" applyNumberFormat="0" applyFont="0" applyAlignment="0" applyProtection="0">
      <alignment vertical="center"/>
    </xf>
    <xf numFmtId="0" fontId="167" fillId="34" borderId="87" applyNumberFormat="0" applyAlignment="0" applyProtection="0">
      <alignment vertical="center"/>
    </xf>
    <xf numFmtId="0" fontId="196" fillId="0" borderId="88" applyNumberFormat="0" applyFill="0" applyAlignment="0" applyProtection="0">
      <alignment vertical="center"/>
    </xf>
    <xf numFmtId="0" fontId="117" fillId="0" borderId="84"/>
    <xf numFmtId="0" fontId="147" fillId="33" borderId="84"/>
    <xf numFmtId="0" fontId="117" fillId="0" borderId="84"/>
    <xf numFmtId="0" fontId="117" fillId="0" borderId="84"/>
    <xf numFmtId="0" fontId="168" fillId="34" borderId="87" applyNumberFormat="0" applyAlignment="0" applyProtection="0"/>
    <xf numFmtId="0" fontId="147" fillId="0" borderId="84"/>
    <xf numFmtId="0" fontId="225" fillId="57" borderId="85" applyNumberFormat="0" applyAlignment="0" applyProtection="0"/>
    <xf numFmtId="0" fontId="117" fillId="0" borderId="84"/>
    <xf numFmtId="0" fontId="147" fillId="33" borderId="84"/>
    <xf numFmtId="0" fontId="117" fillId="0" borderId="84"/>
    <xf numFmtId="0" fontId="147" fillId="0" borderId="84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225" fillId="57" borderId="85" applyNumberFormat="0" applyAlignment="0" applyProtection="0"/>
    <xf numFmtId="0" fontId="97" fillId="34" borderId="85" applyNumberFormat="0" applyAlignment="0" applyProtection="0"/>
    <xf numFmtId="0" fontId="140" fillId="19" borderId="85" applyNumberFormat="0" applyAlignment="0" applyProtection="0"/>
    <xf numFmtId="0" fontId="62" fillId="44" borderId="86" applyNumberFormat="0" applyFont="0" applyAlignment="0" applyProtection="0"/>
    <xf numFmtId="0" fontId="168" fillId="34" borderId="87" applyNumberFormat="0" applyAlignment="0" applyProtection="0"/>
    <xf numFmtId="0" fontId="197" fillId="0" borderId="88" applyNumberFormat="0" applyFill="0" applyAlignment="0" applyProtection="0"/>
    <xf numFmtId="0" fontId="225" fillId="57" borderId="85" applyNumberFormat="0" applyAlignment="0" applyProtection="0"/>
    <xf numFmtId="0" fontId="97" fillId="34" borderId="85" applyNumberFormat="0" applyAlignment="0" applyProtection="0"/>
    <xf numFmtId="0" fontId="140" fillId="19" borderId="85" applyNumberFormat="0" applyAlignment="0" applyProtection="0"/>
    <xf numFmtId="0" fontId="62" fillId="44" borderId="86" applyNumberFormat="0" applyFont="0" applyAlignment="0" applyProtection="0"/>
    <xf numFmtId="0" fontId="168" fillId="34" borderId="87" applyNumberFormat="0" applyAlignment="0" applyProtection="0"/>
    <xf numFmtId="0" fontId="197" fillId="0" borderId="88" applyNumberFormat="0" applyFill="0" applyAlignment="0" applyProtection="0"/>
    <xf numFmtId="0" fontId="139" fillId="19" borderId="85" applyNumberFormat="0" applyAlignment="0" applyProtection="0">
      <alignment vertical="center"/>
    </xf>
    <xf numFmtId="0" fontId="140" fillId="19" borderId="85" applyNumberFormat="0" applyAlignment="0" applyProtection="0"/>
    <xf numFmtId="0" fontId="97" fillId="34" borderId="85" applyNumberFormat="0" applyAlignment="0" applyProtection="0"/>
    <xf numFmtId="0" fontId="88" fillId="44" borderId="86" applyNumberFormat="0" applyFont="0" applyAlignment="0" applyProtection="0">
      <alignment vertical="center"/>
    </xf>
    <xf numFmtId="0" fontId="139" fillId="19" borderId="85" applyNumberFormat="0" applyAlignment="0" applyProtection="0">
      <alignment vertical="center"/>
    </xf>
    <xf numFmtId="0" fontId="174" fillId="1" borderId="80" applyNumberFormat="0" applyFont="0" applyAlignment="0">
      <alignment horizontal="center"/>
    </xf>
    <xf numFmtId="0" fontId="117" fillId="0" borderId="84"/>
    <xf numFmtId="0" fontId="147" fillId="33" borderId="84"/>
    <xf numFmtId="0" fontId="168" fillId="34" borderId="87" applyNumberFormat="0" applyAlignment="0" applyProtection="0"/>
    <xf numFmtId="0" fontId="197" fillId="0" borderId="88" applyNumberFormat="0" applyFill="0" applyAlignment="0" applyProtection="0"/>
    <xf numFmtId="0" fontId="197" fillId="0" borderId="88" applyNumberFormat="0" applyFill="0" applyAlignment="0" applyProtection="0"/>
    <xf numFmtId="0" fontId="174" fillId="1" borderId="80" applyNumberFormat="0" applyFont="0" applyAlignment="0">
      <alignment horizontal="center"/>
    </xf>
    <xf numFmtId="0" fontId="96" fillId="34" borderId="85" applyNumberFormat="0" applyAlignment="0" applyProtection="0">
      <alignment vertical="center"/>
    </xf>
    <xf numFmtId="0" fontId="140" fillId="19" borderId="85" applyNumberFormat="0" applyAlignment="0" applyProtection="0"/>
    <xf numFmtId="0" fontId="62" fillId="44" borderId="86" applyNumberFormat="0" applyFont="0" applyAlignment="0" applyProtection="0"/>
    <xf numFmtId="0" fontId="168" fillId="34" borderId="87" applyNumberFormat="0" applyAlignment="0" applyProtection="0"/>
    <xf numFmtId="0" fontId="197" fillId="0" borderId="88" applyNumberFormat="0" applyFill="0" applyAlignment="0" applyProtection="0"/>
    <xf numFmtId="0" fontId="225" fillId="57" borderId="85" applyNumberFormat="0" applyAlignment="0" applyProtection="0"/>
    <xf numFmtId="0" fontId="97" fillId="34" borderId="85" applyNumberFormat="0" applyAlignment="0" applyProtection="0"/>
    <xf numFmtId="0" fontId="62" fillId="44" borderId="86" applyNumberFormat="0" applyFont="0" applyAlignment="0" applyProtection="0"/>
    <xf numFmtId="0" fontId="168" fillId="34" borderId="87" applyNumberFormat="0" applyAlignment="0" applyProtection="0"/>
    <xf numFmtId="0" fontId="197" fillId="0" borderId="88" applyNumberFormat="0" applyFill="0" applyAlignment="0" applyProtection="0"/>
    <xf numFmtId="0" fontId="139" fillId="19" borderId="85" applyNumberFormat="0" applyAlignment="0" applyProtection="0">
      <alignment vertical="center"/>
    </xf>
    <xf numFmtId="0" fontId="167" fillId="34" borderId="87" applyNumberFormat="0" applyAlignment="0" applyProtection="0">
      <alignment vertical="center"/>
    </xf>
    <xf numFmtId="0" fontId="196" fillId="0" borderId="88" applyNumberFormat="0" applyFill="0" applyAlignment="0" applyProtection="0">
      <alignment vertical="center"/>
    </xf>
    <xf numFmtId="0" fontId="225" fillId="57" borderId="85" applyNumberFormat="0" applyAlignment="0" applyProtection="0"/>
    <xf numFmtId="0" fontId="117" fillId="0" borderId="84"/>
    <xf numFmtId="0" fontId="147" fillId="33" borderId="84"/>
    <xf numFmtId="0" fontId="117" fillId="0" borderId="84"/>
    <xf numFmtId="0" fontId="147" fillId="0" borderId="84"/>
    <xf numFmtId="0" fontId="167" fillId="34" borderId="87" applyNumberFormat="0" applyAlignment="0" applyProtection="0">
      <alignment vertical="center"/>
    </xf>
    <xf numFmtId="0" fontId="225" fillId="57" borderId="85" applyNumberFormat="0" applyAlignment="0" applyProtection="0"/>
    <xf numFmtId="0" fontId="62" fillId="44" borderId="86" applyNumberFormat="0" applyFont="0" applyAlignment="0" applyProtection="0"/>
    <xf numFmtId="0" fontId="88" fillId="44" borderId="86" applyNumberFormat="0" applyFont="0" applyAlignment="0" applyProtection="0">
      <alignment vertical="center"/>
    </xf>
    <xf numFmtId="0" fontId="225" fillId="57" borderId="85" applyNumberFormat="0" applyAlignment="0" applyProtection="0"/>
    <xf numFmtId="0" fontId="147" fillId="0" borderId="84"/>
    <xf numFmtId="0" fontId="117" fillId="0" borderId="84"/>
    <xf numFmtId="0" fontId="147" fillId="33" borderId="84"/>
    <xf numFmtId="0" fontId="117" fillId="0" borderId="84"/>
    <xf numFmtId="0" fontId="147" fillId="0" borderId="84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117" fillId="0" borderId="84"/>
    <xf numFmtId="0" fontId="62" fillId="44" borderId="86" applyNumberFormat="0" applyFont="0" applyAlignment="0" applyProtection="0"/>
    <xf numFmtId="0" fontId="147" fillId="33" borderId="84"/>
    <xf numFmtId="0" fontId="168" fillId="34" borderId="87" applyNumberFormat="0" applyAlignment="0" applyProtection="0"/>
    <xf numFmtId="0" fontId="97" fillId="34" borderId="85" applyNumberFormat="0" applyAlignment="0" applyProtection="0"/>
    <xf numFmtId="0" fontId="147" fillId="33" borderId="84"/>
    <xf numFmtId="0" fontId="139" fillId="19" borderId="85" applyNumberFormat="0" applyAlignment="0" applyProtection="0">
      <alignment vertical="center"/>
    </xf>
    <xf numFmtId="0" fontId="130" fillId="0" borderId="80">
      <alignment horizontal="left" vertical="center"/>
    </xf>
    <xf numFmtId="0" fontId="62" fillId="44" borderId="86" applyNumberFormat="0" applyFont="0" applyAlignment="0" applyProtection="0"/>
    <xf numFmtId="0" fontId="117" fillId="0" borderId="84"/>
    <xf numFmtId="0" fontId="62" fillId="44" borderId="86" applyNumberFormat="0" applyFont="0" applyAlignment="0" applyProtection="0"/>
    <xf numFmtId="0" fontId="88" fillId="44" borderId="86" applyNumberFormat="0" applyFont="0" applyAlignment="0" applyProtection="0">
      <alignment vertical="center"/>
    </xf>
    <xf numFmtId="0" fontId="62" fillId="44" borderId="86" applyNumberFormat="0" applyFont="0" applyAlignment="0" applyProtection="0"/>
    <xf numFmtId="0" fontId="147" fillId="33" borderId="84"/>
    <xf numFmtId="0" fontId="174" fillId="1" borderId="80" applyNumberFormat="0" applyFont="0" applyAlignment="0">
      <alignment horizontal="center"/>
    </xf>
    <xf numFmtId="0" fontId="130" fillId="0" borderId="80">
      <alignment horizontal="left" vertical="center"/>
    </xf>
    <xf numFmtId="0" fontId="88" fillId="44" borderId="86" applyNumberFormat="0" applyFont="0" applyAlignment="0" applyProtection="0">
      <alignment vertical="center"/>
    </xf>
    <xf numFmtId="0" fontId="117" fillId="0" borderId="84"/>
    <xf numFmtId="0" fontId="88" fillId="44" borderId="86" applyNumberFormat="0" applyFont="0" applyAlignment="0" applyProtection="0">
      <alignment vertical="center"/>
    </xf>
    <xf numFmtId="0" fontId="117" fillId="0" borderId="84"/>
    <xf numFmtId="0" fontId="147" fillId="0" borderId="84"/>
    <xf numFmtId="0" fontId="225" fillId="57" borderId="85" applyNumberFormat="0" applyAlignment="0" applyProtection="0"/>
    <xf numFmtId="0" fontId="139" fillId="19" borderId="85" applyNumberFormat="0" applyAlignment="0" applyProtection="0">
      <alignment vertical="center"/>
    </xf>
    <xf numFmtId="0" fontId="96" fillId="34" borderId="85" applyNumberFormat="0" applyAlignment="0" applyProtection="0">
      <alignment vertical="center"/>
    </xf>
    <xf numFmtId="0" fontId="147" fillId="33" borderId="84"/>
    <xf numFmtId="0" fontId="117" fillId="0" borderId="84"/>
    <xf numFmtId="0" fontId="147" fillId="33" borderId="84"/>
    <xf numFmtId="0" fontId="147" fillId="33" borderId="84"/>
    <xf numFmtId="0" fontId="117" fillId="0" borderId="84"/>
    <xf numFmtId="0" fontId="147" fillId="0" borderId="84"/>
    <xf numFmtId="0" fontId="117" fillId="0" borderId="84"/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130" fillId="0" borderId="80">
      <alignment horizontal="left" vertical="center"/>
    </xf>
    <xf numFmtId="0" fontId="174" fillId="1" borderId="80" applyNumberFormat="0" applyFont="0" applyAlignment="0">
      <alignment horizontal="center"/>
    </xf>
    <xf numFmtId="0" fontId="117" fillId="0" borderId="84"/>
    <xf numFmtId="0" fontId="167" fillId="34" borderId="87" applyNumberFormat="0" applyAlignment="0" applyProtection="0">
      <alignment vertical="center"/>
    </xf>
    <xf numFmtId="0" fontId="147" fillId="33" borderId="84"/>
    <xf numFmtId="0" fontId="196" fillId="0" borderId="88" applyNumberFormat="0" applyFill="0" applyAlignment="0" applyProtection="0">
      <alignment vertical="center"/>
    </xf>
    <xf numFmtId="0" fontId="117" fillId="0" borderId="84"/>
    <xf numFmtId="0" fontId="147" fillId="0" borderId="84"/>
    <xf numFmtId="0" fontId="196" fillId="0" borderId="94" applyNumberFormat="0" applyFill="0" applyAlignment="0" applyProtection="0">
      <alignment vertical="center"/>
    </xf>
    <xf numFmtId="0" fontId="117" fillId="0" borderId="84"/>
    <xf numFmtId="0" fontId="147" fillId="33" borderId="84"/>
    <xf numFmtId="0" fontId="147" fillId="0" borderId="84"/>
    <xf numFmtId="0" fontId="117" fillId="0" borderId="84"/>
    <xf numFmtId="0" fontId="147" fillId="0" borderId="84"/>
    <xf numFmtId="0" fontId="117" fillId="0" borderId="84"/>
    <xf numFmtId="0" fontId="139" fillId="19" borderId="85" applyNumberFormat="0" applyAlignment="0" applyProtection="0">
      <alignment vertical="center"/>
    </xf>
    <xf numFmtId="0" fontId="96" fillId="34" borderId="85" applyNumberFormat="0" applyAlignment="0" applyProtection="0">
      <alignment vertical="center"/>
    </xf>
    <xf numFmtId="0" fontId="117" fillId="0" borderId="84"/>
    <xf numFmtId="0" fontId="147" fillId="33" borderId="84"/>
    <xf numFmtId="0" fontId="117" fillId="0" borderId="84"/>
    <xf numFmtId="0" fontId="225" fillId="57" borderId="85" applyNumberFormat="0" applyAlignment="0" applyProtection="0"/>
    <xf numFmtId="0" fontId="96" fillId="34" borderId="85" applyNumberFormat="0" applyAlignment="0" applyProtection="0">
      <alignment vertical="center"/>
    </xf>
    <xf numFmtId="0" fontId="140" fillId="19" borderId="85" applyNumberFormat="0" applyAlignment="0" applyProtection="0"/>
    <xf numFmtId="0" fontId="167" fillId="34" borderId="87" applyNumberFormat="0" applyAlignment="0" applyProtection="0">
      <alignment vertical="center"/>
    </xf>
    <xf numFmtId="0" fontId="147" fillId="33" borderId="84"/>
    <xf numFmtId="0" fontId="117" fillId="0" borderId="84"/>
    <xf numFmtId="0" fontId="147" fillId="33" borderId="84"/>
    <xf numFmtId="0" fontId="117" fillId="0" borderId="84"/>
    <xf numFmtId="0" fontId="147" fillId="0" borderId="84"/>
    <xf numFmtId="0" fontId="88" fillId="44" borderId="86" applyNumberFormat="0" applyFont="0" applyAlignment="0" applyProtection="0">
      <alignment vertical="center"/>
    </xf>
    <xf numFmtId="0" fontId="167" fillId="34" borderId="87" applyNumberFormat="0" applyAlignment="0" applyProtection="0">
      <alignment vertical="center"/>
    </xf>
    <xf numFmtId="0" fontId="196" fillId="0" borderId="88" applyNumberFormat="0" applyFill="0" applyAlignment="0" applyProtection="0">
      <alignment vertical="center"/>
    </xf>
    <xf numFmtId="0" fontId="117" fillId="0" borderId="84"/>
    <xf numFmtId="0" fontId="147" fillId="33" borderId="84"/>
    <xf numFmtId="0" fontId="117" fillId="0" borderId="84"/>
    <xf numFmtId="0" fontId="147" fillId="0" borderId="84"/>
    <xf numFmtId="0" fontId="225" fillId="57" borderId="85" applyNumberFormat="0" applyAlignment="0" applyProtection="0"/>
    <xf numFmtId="0" fontId="147" fillId="0" borderId="84"/>
    <xf numFmtId="0" fontId="117" fillId="0" borderId="84"/>
    <xf numFmtId="0" fontId="147" fillId="33" borderId="84"/>
    <xf numFmtId="0" fontId="117" fillId="0" borderId="84"/>
    <xf numFmtId="0" fontId="196" fillId="0" borderId="88" applyNumberFormat="0" applyFill="0" applyAlignment="0" applyProtection="0">
      <alignment vertical="center"/>
    </xf>
    <xf numFmtId="0" fontId="167" fillId="34" borderId="87" applyNumberFormat="0" applyAlignment="0" applyProtection="0">
      <alignment vertical="center"/>
    </xf>
    <xf numFmtId="0" fontId="88" fillId="44" borderId="86" applyNumberFormat="0" applyFont="0" applyAlignment="0" applyProtection="0">
      <alignment vertical="center"/>
    </xf>
    <xf numFmtId="0" fontId="139" fillId="19" borderId="85" applyNumberFormat="0" applyAlignment="0" applyProtection="0">
      <alignment vertical="center"/>
    </xf>
    <xf numFmtId="0" fontId="147" fillId="0" borderId="84"/>
    <xf numFmtId="0" fontId="117" fillId="0" borderId="84"/>
    <xf numFmtId="0" fontId="147" fillId="33" borderId="84"/>
    <xf numFmtId="0" fontId="117" fillId="0" borderId="84"/>
    <xf numFmtId="0" fontId="96" fillId="34" borderId="85" applyNumberFormat="0" applyAlignment="0" applyProtection="0">
      <alignment vertical="center"/>
    </xf>
    <xf numFmtId="0" fontId="97" fillId="34" borderId="85" applyNumberFormat="0" applyAlignment="0" applyProtection="0"/>
    <xf numFmtId="0" fontId="140" fillId="19" borderId="85" applyNumberFormat="0" applyAlignment="0" applyProtection="0"/>
    <xf numFmtId="0" fontId="62" fillId="44" borderId="86" applyNumberFormat="0" applyFont="0" applyAlignment="0" applyProtection="0"/>
    <xf numFmtId="0" fontId="168" fillId="34" borderId="87" applyNumberFormat="0" applyAlignment="0" applyProtection="0"/>
    <xf numFmtId="0" fontId="197" fillId="0" borderId="88" applyNumberFormat="0" applyFill="0" applyAlignment="0" applyProtection="0"/>
    <xf numFmtId="0" fontId="225" fillId="57" borderId="85" applyNumberFormat="0" applyAlignment="0" applyProtection="0"/>
    <xf numFmtId="0" fontId="97" fillId="34" borderId="85" applyNumberFormat="0" applyAlignment="0" applyProtection="0"/>
    <xf numFmtId="0" fontId="140" fillId="19" borderId="85" applyNumberFormat="0" applyAlignment="0" applyProtection="0"/>
    <xf numFmtId="0" fontId="62" fillId="44" borderId="86" applyNumberFormat="0" applyFont="0" applyAlignment="0" applyProtection="0"/>
    <xf numFmtId="0" fontId="168" fillId="34" borderId="87" applyNumberFormat="0" applyAlignment="0" applyProtection="0"/>
    <xf numFmtId="0" fontId="197" fillId="0" borderId="88" applyNumberFormat="0" applyFill="0" applyAlignment="0" applyProtection="0"/>
    <xf numFmtId="0" fontId="139" fillId="19" borderId="85" applyNumberFormat="0" applyAlignment="0" applyProtection="0">
      <alignment vertical="center"/>
    </xf>
    <xf numFmtId="0" fontId="117" fillId="0" borderId="84"/>
    <xf numFmtId="0" fontId="147" fillId="33" borderId="84"/>
    <xf numFmtId="0" fontId="117" fillId="0" borderId="84"/>
    <xf numFmtId="0" fontId="147" fillId="0" borderId="84"/>
    <xf numFmtId="0" fontId="96" fillId="34" borderId="85" applyNumberFormat="0" applyAlignment="0" applyProtection="0">
      <alignment vertical="center"/>
    </xf>
    <xf numFmtId="0" fontId="139" fillId="19" borderId="85" applyNumberFormat="0" applyAlignment="0" applyProtection="0">
      <alignment vertical="center"/>
    </xf>
    <xf numFmtId="0" fontId="88" fillId="44" borderId="86" applyNumberFormat="0" applyFont="0" applyAlignment="0" applyProtection="0">
      <alignment vertical="center"/>
    </xf>
    <xf numFmtId="0" fontId="167" fillId="34" borderId="87" applyNumberFormat="0" applyAlignment="0" applyProtection="0">
      <alignment vertical="center"/>
    </xf>
    <xf numFmtId="0" fontId="196" fillId="0" borderId="88" applyNumberFormat="0" applyFill="0" applyAlignment="0" applyProtection="0">
      <alignment vertical="center"/>
    </xf>
    <xf numFmtId="0" fontId="117" fillId="0" borderId="84"/>
    <xf numFmtId="0" fontId="147" fillId="33" borderId="84"/>
    <xf numFmtId="0" fontId="117" fillId="0" borderId="84"/>
    <xf numFmtId="0" fontId="147" fillId="0" borderId="84"/>
    <xf numFmtId="0" fontId="225" fillId="57" borderId="85" applyNumberFormat="0" applyAlignment="0" applyProtection="0"/>
    <xf numFmtId="0" fontId="97" fillId="34" borderId="85" applyNumberFormat="0" applyAlignment="0" applyProtection="0"/>
    <xf numFmtId="0" fontId="140" fillId="19" borderId="85" applyNumberFormat="0" applyAlignment="0" applyProtection="0"/>
    <xf numFmtId="0" fontId="62" fillId="44" borderId="86" applyNumberFormat="0" applyFont="0" applyAlignment="0" applyProtection="0"/>
    <xf numFmtId="0" fontId="168" fillId="34" borderId="87" applyNumberFormat="0" applyAlignment="0" applyProtection="0"/>
    <xf numFmtId="0" fontId="197" fillId="0" borderId="88" applyNumberFormat="0" applyFill="0" applyAlignment="0" applyProtection="0"/>
    <xf numFmtId="0" fontId="225" fillId="57" borderId="85" applyNumberFormat="0" applyAlignment="0" applyProtection="0"/>
    <xf numFmtId="0" fontId="97" fillId="34" borderId="85" applyNumberFormat="0" applyAlignment="0" applyProtection="0"/>
    <xf numFmtId="0" fontId="140" fillId="19" borderId="85" applyNumberFormat="0" applyAlignment="0" applyProtection="0"/>
    <xf numFmtId="0" fontId="62" fillId="44" borderId="86" applyNumberFormat="0" applyFont="0" applyAlignment="0" applyProtection="0"/>
    <xf numFmtId="0" fontId="168" fillId="34" borderId="87" applyNumberFormat="0" applyAlignment="0" applyProtection="0"/>
    <xf numFmtId="0" fontId="197" fillId="0" borderId="88" applyNumberFormat="0" applyFill="0" applyAlignment="0" applyProtection="0"/>
    <xf numFmtId="0" fontId="139" fillId="19" borderId="85" applyNumberFormat="0" applyAlignment="0" applyProtection="0">
      <alignment vertical="center"/>
    </xf>
    <xf numFmtId="0" fontId="140" fillId="19" borderId="85" applyNumberFormat="0" applyAlignment="0" applyProtection="0"/>
    <xf numFmtId="0" fontId="97" fillId="34" borderId="85" applyNumberFormat="0" applyAlignment="0" applyProtection="0"/>
    <xf numFmtId="0" fontId="88" fillId="44" borderId="86" applyNumberFormat="0" applyFont="0" applyAlignment="0" applyProtection="0">
      <alignment vertical="center"/>
    </xf>
    <xf numFmtId="0" fontId="139" fillId="19" borderId="85" applyNumberFormat="0" applyAlignment="0" applyProtection="0">
      <alignment vertical="center"/>
    </xf>
    <xf numFmtId="0" fontId="97" fillId="34" borderId="85" applyNumberFormat="0" applyAlignment="0" applyProtection="0"/>
    <xf numFmtId="0" fontId="117" fillId="0" borderId="84"/>
    <xf numFmtId="0" fontId="225" fillId="57" borderId="85" applyNumberFormat="0" applyAlignment="0" applyProtection="0"/>
    <xf numFmtId="0" fontId="140" fillId="19" borderId="85" applyNumberFormat="0" applyAlignment="0" applyProtection="0"/>
    <xf numFmtId="0" fontId="97" fillId="34" borderId="85" applyNumberFormat="0" applyAlignment="0" applyProtection="0"/>
    <xf numFmtId="0" fontId="174" fillId="1" borderId="80" applyNumberFormat="0" applyFont="0" applyAlignment="0">
      <alignment horizontal="center"/>
    </xf>
    <xf numFmtId="0" fontId="96" fillId="34" borderId="85" applyNumberFormat="0" applyAlignment="0" applyProtection="0">
      <alignment vertical="center"/>
    </xf>
    <xf numFmtId="0" fontId="140" fillId="19" borderId="85" applyNumberFormat="0" applyAlignment="0" applyProtection="0"/>
    <xf numFmtId="0" fontId="62" fillId="44" borderId="86" applyNumberFormat="0" applyFont="0" applyAlignment="0" applyProtection="0"/>
    <xf numFmtId="0" fontId="168" fillId="34" borderId="87" applyNumberFormat="0" applyAlignment="0" applyProtection="0"/>
    <xf numFmtId="0" fontId="197" fillId="0" borderId="88" applyNumberFormat="0" applyFill="0" applyAlignment="0" applyProtection="0"/>
    <xf numFmtId="0" fontId="225" fillId="57" borderId="85" applyNumberFormat="0" applyAlignment="0" applyProtection="0"/>
    <xf numFmtId="0" fontId="97" fillId="34" borderId="85" applyNumberFormat="0" applyAlignment="0" applyProtection="0"/>
    <xf numFmtId="0" fontId="62" fillId="44" borderId="86" applyNumberFormat="0" applyFont="0" applyAlignment="0" applyProtection="0"/>
    <xf numFmtId="0" fontId="168" fillId="34" borderId="87" applyNumberFormat="0" applyAlignment="0" applyProtection="0"/>
    <xf numFmtId="0" fontId="197" fillId="0" borderId="88" applyNumberFormat="0" applyFill="0" applyAlignment="0" applyProtection="0"/>
    <xf numFmtId="0" fontId="139" fillId="19" borderId="85" applyNumberFormat="0" applyAlignment="0" applyProtection="0">
      <alignment vertical="center"/>
    </xf>
    <xf numFmtId="0" fontId="167" fillId="34" borderId="87" applyNumberFormat="0" applyAlignment="0" applyProtection="0">
      <alignment vertical="center"/>
    </xf>
    <xf numFmtId="0" fontId="196" fillId="0" borderId="88" applyNumberFormat="0" applyFill="0" applyAlignment="0" applyProtection="0">
      <alignment vertical="center"/>
    </xf>
    <xf numFmtId="0" fontId="225" fillId="57" borderId="85" applyNumberFormat="0" applyAlignment="0" applyProtection="0"/>
    <xf numFmtId="0" fontId="117" fillId="0" borderId="84"/>
    <xf numFmtId="0" fontId="147" fillId="33" borderId="84"/>
    <xf numFmtId="0" fontId="117" fillId="0" borderId="84"/>
    <xf numFmtId="0" fontId="147" fillId="0" borderId="84"/>
    <xf numFmtId="0" fontId="196" fillId="0" borderId="88" applyNumberFormat="0" applyFill="0" applyAlignment="0" applyProtection="0">
      <alignment vertical="center"/>
    </xf>
    <xf numFmtId="0" fontId="168" fillId="34" borderId="87" applyNumberFormat="0" applyAlignment="0" applyProtection="0"/>
    <xf numFmtId="0" fontId="167" fillId="34" borderId="87" applyNumberFormat="0" applyAlignment="0" applyProtection="0">
      <alignment vertical="center"/>
    </xf>
    <xf numFmtId="0" fontId="147" fillId="0" borderId="84"/>
    <xf numFmtId="0" fontId="117" fillId="0" borderId="84"/>
    <xf numFmtId="0" fontId="117" fillId="0" borderId="84"/>
    <xf numFmtId="0" fontId="147" fillId="33" borderId="84"/>
    <xf numFmtId="0" fontId="117" fillId="0" borderId="84"/>
    <xf numFmtId="0" fontId="147" fillId="0" borderId="84"/>
    <xf numFmtId="0" fontId="117" fillId="0" borderId="84"/>
    <xf numFmtId="0" fontId="168" fillId="34" borderId="87" applyNumberFormat="0" applyAlignment="0" applyProtection="0"/>
    <xf numFmtId="0" fontId="147" fillId="0" borderId="84"/>
    <xf numFmtId="0" fontId="139" fillId="19" borderId="85" applyNumberFormat="0" applyAlignment="0" applyProtection="0">
      <alignment vertical="center"/>
    </xf>
    <xf numFmtId="0" fontId="62" fillId="44" borderId="86" applyNumberFormat="0" applyFont="0" applyAlignment="0" applyProtection="0"/>
    <xf numFmtId="0" fontId="147" fillId="33" borderId="84"/>
    <xf numFmtId="0" fontId="117" fillId="0" borderId="84"/>
    <xf numFmtId="0" fontId="147" fillId="0" borderId="84"/>
    <xf numFmtId="0" fontId="197" fillId="0" borderId="88" applyNumberFormat="0" applyFill="0" applyAlignment="0" applyProtection="0"/>
    <xf numFmtId="0" fontId="140" fillId="19" borderId="85" applyNumberFormat="0" applyAlignment="0" applyProtection="0"/>
    <xf numFmtId="0" fontId="96" fillId="34" borderId="85" applyNumberFormat="0" applyAlignment="0" applyProtection="0">
      <alignment vertical="center"/>
    </xf>
    <xf numFmtId="0" fontId="197" fillId="0" borderId="88" applyNumberFormat="0" applyFill="0" applyAlignment="0" applyProtection="0"/>
    <xf numFmtId="0" fontId="96" fillId="34" borderId="85" applyNumberFormat="0" applyAlignment="0" applyProtection="0">
      <alignment vertical="center"/>
    </xf>
    <xf numFmtId="0" fontId="197" fillId="0" borderId="88" applyNumberFormat="0" applyFill="0" applyAlignment="0" applyProtection="0"/>
    <xf numFmtId="0" fontId="117" fillId="0" borderId="84"/>
    <xf numFmtId="0" fontId="147" fillId="0" borderId="84"/>
    <xf numFmtId="0" fontId="147" fillId="0" borderId="90"/>
    <xf numFmtId="0" fontId="117" fillId="0" borderId="84"/>
    <xf numFmtId="0" fontId="96" fillId="34" borderId="85" applyNumberFormat="0" applyAlignment="0" applyProtection="0">
      <alignment vertical="center"/>
    </xf>
    <xf numFmtId="0" fontId="117" fillId="0" borderId="84"/>
    <xf numFmtId="0" fontId="147" fillId="0" borderId="84"/>
    <xf numFmtId="0" fontId="140" fillId="19" borderId="85" applyNumberFormat="0" applyAlignment="0" applyProtection="0"/>
    <xf numFmtId="0" fontId="140" fillId="19" borderId="85" applyNumberFormat="0" applyAlignment="0" applyProtection="0"/>
    <xf numFmtId="0" fontId="147" fillId="0" borderId="84"/>
    <xf numFmtId="0" fontId="117" fillId="0" borderId="84"/>
    <xf numFmtId="0" fontId="147" fillId="33" borderId="84"/>
    <xf numFmtId="0" fontId="147" fillId="33" borderId="84"/>
    <xf numFmtId="0" fontId="117" fillId="0" borderId="84"/>
    <xf numFmtId="0" fontId="147" fillId="0" borderId="84"/>
    <xf numFmtId="0" fontId="117" fillId="0" borderId="84"/>
    <xf numFmtId="0" fontId="147" fillId="0" borderId="84"/>
    <xf numFmtId="0" fontId="196" fillId="0" borderId="88" applyNumberFormat="0" applyFill="0" applyAlignment="0" applyProtection="0">
      <alignment vertical="center"/>
    </xf>
    <xf numFmtId="0" fontId="117" fillId="0" borderId="84"/>
    <xf numFmtId="0" fontId="96" fillId="34" borderId="85" applyNumberFormat="0" applyAlignment="0" applyProtection="0">
      <alignment vertical="center"/>
    </xf>
    <xf numFmtId="0" fontId="196" fillId="0" borderId="88" applyNumberFormat="0" applyFill="0" applyAlignment="0" applyProtection="0">
      <alignment vertical="center"/>
    </xf>
    <xf numFmtId="0" fontId="130" fillId="0" borderId="80">
      <alignment horizontal="left" vertical="center"/>
    </xf>
    <xf numFmtId="0" fontId="167" fillId="34" borderId="93" applyNumberFormat="0" applyAlignment="0" applyProtection="0">
      <alignment vertical="center"/>
    </xf>
    <xf numFmtId="0" fontId="139" fillId="19" borderId="85" applyNumberFormat="0" applyAlignment="0" applyProtection="0">
      <alignment vertical="center"/>
    </xf>
    <xf numFmtId="0" fontId="96" fillId="34" borderId="85" applyNumberFormat="0" applyAlignment="0" applyProtection="0">
      <alignment vertical="center"/>
    </xf>
    <xf numFmtId="0" fontId="104" fillId="36" borderId="89"/>
    <xf numFmtId="10" fontId="104" fillId="39" borderId="89" applyNumberFormat="0" applyBorder="0" applyAlignment="0" applyProtection="0"/>
    <xf numFmtId="0" fontId="104" fillId="37" borderId="89"/>
    <xf numFmtId="43" fontId="62" fillId="0" borderId="89" applyNumberFormat="0"/>
    <xf numFmtId="0" fontId="88" fillId="44" borderId="86" applyNumberFormat="0" applyFont="0" applyAlignment="0" applyProtection="0">
      <alignment vertical="center"/>
    </xf>
    <xf numFmtId="0" fontId="167" fillId="34" borderId="87" applyNumberFormat="0" applyAlignment="0" applyProtection="0">
      <alignment vertical="center"/>
    </xf>
    <xf numFmtId="0" fontId="196" fillId="0" borderId="88" applyNumberFormat="0" applyFill="0" applyAlignment="0" applyProtection="0">
      <alignment vertical="center"/>
    </xf>
    <xf numFmtId="0" fontId="225" fillId="57" borderId="85" applyNumberFormat="0" applyAlignment="0" applyProtection="0"/>
    <xf numFmtId="0" fontId="147" fillId="0" borderId="84"/>
    <xf numFmtId="0" fontId="117" fillId="0" borderId="84"/>
    <xf numFmtId="0" fontId="147" fillId="33" borderId="84"/>
    <xf numFmtId="0" fontId="117" fillId="0" borderId="84"/>
    <xf numFmtId="0" fontId="196" fillId="0" borderId="88" applyNumberFormat="0" applyFill="0" applyAlignment="0" applyProtection="0">
      <alignment vertical="center"/>
    </xf>
    <xf numFmtId="0" fontId="167" fillId="34" borderId="87" applyNumberFormat="0" applyAlignment="0" applyProtection="0">
      <alignment vertical="center"/>
    </xf>
    <xf numFmtId="0" fontId="88" fillId="44" borderId="86" applyNumberFormat="0" applyFont="0" applyAlignment="0" applyProtection="0">
      <alignment vertical="center"/>
    </xf>
    <xf numFmtId="0" fontId="139" fillId="19" borderId="85" applyNumberFormat="0" applyAlignment="0" applyProtection="0">
      <alignment vertical="center"/>
    </xf>
    <xf numFmtId="0" fontId="147" fillId="0" borderId="84"/>
    <xf numFmtId="0" fontId="117" fillId="0" borderId="84"/>
    <xf numFmtId="0" fontId="147" fillId="33" borderId="84"/>
    <xf numFmtId="0" fontId="117" fillId="0" borderId="84"/>
    <xf numFmtId="0" fontId="96" fillId="34" borderId="85" applyNumberFormat="0" applyAlignment="0" applyProtection="0">
      <alignment vertical="center"/>
    </xf>
    <xf numFmtId="0" fontId="97" fillId="34" borderId="85" applyNumberFormat="0" applyAlignment="0" applyProtection="0"/>
    <xf numFmtId="0" fontId="140" fillId="19" borderId="85" applyNumberFormat="0" applyAlignment="0" applyProtection="0"/>
    <xf numFmtId="0" fontId="62" fillId="44" borderId="86" applyNumberFormat="0" applyFont="0" applyAlignment="0" applyProtection="0"/>
    <xf numFmtId="0" fontId="168" fillId="34" borderId="87" applyNumberFormat="0" applyAlignment="0" applyProtection="0"/>
    <xf numFmtId="0" fontId="197" fillId="0" borderId="88" applyNumberFormat="0" applyFill="0" applyAlignment="0" applyProtection="0"/>
    <xf numFmtId="0" fontId="225" fillId="57" borderId="85" applyNumberFormat="0" applyAlignment="0" applyProtection="0"/>
    <xf numFmtId="0" fontId="97" fillId="34" borderId="85" applyNumberFormat="0" applyAlignment="0" applyProtection="0"/>
    <xf numFmtId="0" fontId="140" fillId="19" borderId="85" applyNumberFormat="0" applyAlignment="0" applyProtection="0"/>
    <xf numFmtId="0" fontId="62" fillId="44" borderId="86" applyNumberFormat="0" applyFont="0" applyAlignment="0" applyProtection="0"/>
    <xf numFmtId="0" fontId="168" fillId="34" borderId="87" applyNumberFormat="0" applyAlignment="0" applyProtection="0"/>
    <xf numFmtId="0" fontId="197" fillId="0" borderId="88" applyNumberFormat="0" applyFill="0" applyAlignment="0" applyProtection="0"/>
    <xf numFmtId="0" fontId="139" fillId="19" borderId="85" applyNumberFormat="0" applyAlignment="0" applyProtection="0">
      <alignment vertical="center"/>
    </xf>
    <xf numFmtId="0" fontId="117" fillId="0" borderId="84"/>
    <xf numFmtId="0" fontId="147" fillId="33" borderId="84"/>
    <xf numFmtId="0" fontId="117" fillId="0" borderId="84"/>
    <xf numFmtId="0" fontId="147" fillId="0" borderId="84"/>
    <xf numFmtId="0" fontId="117" fillId="0" borderId="84"/>
    <xf numFmtId="0" fontId="147" fillId="33" borderId="84"/>
    <xf numFmtId="0" fontId="117" fillId="0" borderId="84"/>
    <xf numFmtId="0" fontId="147" fillId="0" borderId="84"/>
    <xf numFmtId="0" fontId="97" fillId="34" borderId="91" applyNumberFormat="0" applyAlignment="0" applyProtection="0"/>
    <xf numFmtId="166" fontId="25" fillId="0" borderId="0" applyFont="0" applyFill="0" applyBorder="0" applyAlignment="0" applyProtection="0"/>
    <xf numFmtId="0" fontId="139" fillId="19" borderId="91" applyNumberFormat="0" applyAlignment="0" applyProtection="0">
      <alignment vertical="center"/>
    </xf>
    <xf numFmtId="0" fontId="197" fillId="0" borderId="94" applyNumberFormat="0" applyFill="0" applyAlignment="0" applyProtection="0"/>
    <xf numFmtId="0" fontId="139" fillId="19" borderId="100" applyNumberFormat="0" applyAlignment="0" applyProtection="0">
      <alignment vertical="center"/>
    </xf>
    <xf numFmtId="0" fontId="78" fillId="0" borderId="0"/>
    <xf numFmtId="0" fontId="78" fillId="0" borderId="0"/>
    <xf numFmtId="0" fontId="48" fillId="0" borderId="0">
      <alignment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17" fillId="0" borderId="98"/>
    <xf numFmtId="0" fontId="96" fillId="34" borderId="97" applyNumberFormat="0" applyAlignment="0" applyProtection="0">
      <alignment vertical="center"/>
    </xf>
    <xf numFmtId="0" fontId="96" fillId="34" borderId="97" applyNumberFormat="0" applyAlignment="0" applyProtection="0">
      <alignment vertical="center"/>
    </xf>
    <xf numFmtId="0" fontId="96" fillId="34" borderId="97" applyNumberFormat="0" applyAlignment="0" applyProtection="0">
      <alignment vertical="center"/>
    </xf>
    <xf numFmtId="0" fontId="96" fillId="34" borderId="97" applyNumberFormat="0" applyAlignment="0" applyProtection="0">
      <alignment vertical="center"/>
    </xf>
    <xf numFmtId="0" fontId="97" fillId="34" borderId="97" applyNumberFormat="0" applyAlignment="0" applyProtection="0"/>
    <xf numFmtId="0" fontId="130" fillId="0" borderId="80">
      <alignment horizontal="left" vertical="center"/>
    </xf>
    <xf numFmtId="0" fontId="78" fillId="0" borderId="0"/>
    <xf numFmtId="0" fontId="78" fillId="0" borderId="0"/>
    <xf numFmtId="0" fontId="78" fillId="0" borderId="0"/>
    <xf numFmtId="0" fontId="130" fillId="0" borderId="80">
      <alignment horizontal="left" vertical="center"/>
    </xf>
    <xf numFmtId="0" fontId="78" fillId="0" borderId="0"/>
    <xf numFmtId="0" fontId="97" fillId="34" borderId="97" applyNumberFormat="0" applyAlignment="0" applyProtection="0"/>
    <xf numFmtId="0" fontId="96" fillId="34" borderId="97" applyNumberFormat="0" applyAlignment="0" applyProtection="0">
      <alignment vertical="center"/>
    </xf>
    <xf numFmtId="0" fontId="78" fillId="0" borderId="0"/>
    <xf numFmtId="0" fontId="97" fillId="34" borderId="97" applyNumberFormat="0" applyAlignment="0" applyProtection="0"/>
    <xf numFmtId="0" fontId="96" fillId="34" borderId="97" applyNumberFormat="0" applyAlignment="0" applyProtection="0">
      <alignment vertical="center"/>
    </xf>
    <xf numFmtId="0" fontId="78" fillId="0" borderId="0"/>
    <xf numFmtId="0" fontId="48" fillId="0" borderId="0">
      <alignment vertical="center"/>
    </xf>
    <xf numFmtId="0" fontId="140" fillId="19" borderId="100" applyNumberFormat="0" applyAlignment="0" applyProtection="0"/>
    <xf numFmtId="0" fontId="130" fillId="0" borderId="80">
      <alignment horizontal="left" vertical="center"/>
    </xf>
    <xf numFmtId="0" fontId="96" fillId="34" borderId="97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78" fillId="0" borderId="0"/>
    <xf numFmtId="0" fontId="78" fillId="0" borderId="0"/>
    <xf numFmtId="0" fontId="78" fillId="0" borderId="0"/>
    <xf numFmtId="0" fontId="25" fillId="0" borderId="0"/>
    <xf numFmtId="0" fontId="140" fillId="19" borderId="91" applyNumberFormat="0" applyAlignment="0" applyProtection="0"/>
    <xf numFmtId="0" fontId="225" fillId="57" borderId="91" applyNumberFormat="0" applyAlignment="0" applyProtection="0"/>
    <xf numFmtId="0" fontId="225" fillId="57" borderId="91" applyNumberFormat="0" applyAlignment="0" applyProtection="0"/>
    <xf numFmtId="0" fontId="25" fillId="0" borderId="0"/>
    <xf numFmtId="0" fontId="62" fillId="44" borderId="102" applyNumberFormat="0" applyFont="0" applyAlignment="0" applyProtection="0"/>
    <xf numFmtId="0" fontId="140" fillId="19" borderId="100" applyNumberFormat="0" applyAlignment="0" applyProtection="0"/>
    <xf numFmtId="0" fontId="78" fillId="0" borderId="0"/>
    <xf numFmtId="0" fontId="78" fillId="0" borderId="0"/>
    <xf numFmtId="0" fontId="78" fillId="0" borderId="0"/>
    <xf numFmtId="0" fontId="78" fillId="0" borderId="0"/>
    <xf numFmtId="0" fontId="139" fillId="19" borderId="100" applyNumberFormat="0" applyAlignment="0" applyProtection="0">
      <alignment vertical="center"/>
    </xf>
    <xf numFmtId="0" fontId="158" fillId="0" borderId="0">
      <alignment vertical="center"/>
    </xf>
    <xf numFmtId="0" fontId="147" fillId="33" borderId="101"/>
    <xf numFmtId="0" fontId="147" fillId="33" borderId="101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161" fillId="0" borderId="0">
      <alignment vertical="center"/>
    </xf>
    <xf numFmtId="0" fontId="208" fillId="0" borderId="0"/>
    <xf numFmtId="0" fontId="161" fillId="0" borderId="0">
      <alignment vertical="center"/>
    </xf>
    <xf numFmtId="0" fontId="208" fillId="0" borderId="0"/>
    <xf numFmtId="0" fontId="158" fillId="0" borderId="0">
      <alignment vertical="center"/>
    </xf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47" fillId="33" borderId="101"/>
    <xf numFmtId="0" fontId="139" fillId="19" borderId="100" applyNumberFormat="0" applyAlignment="0" applyProtection="0">
      <alignment vertical="center"/>
    </xf>
    <xf numFmtId="0" fontId="147" fillId="33" borderId="101"/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40" fillId="19" borderId="100" applyNumberFormat="0" applyAlignment="0" applyProtection="0"/>
    <xf numFmtId="0" fontId="139" fillId="19" borderId="100" applyNumberFormat="0" applyAlignment="0" applyProtection="0">
      <alignment vertical="center"/>
    </xf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40" fillId="19" borderId="100" applyNumberFormat="0" applyAlignment="0" applyProtection="0"/>
    <xf numFmtId="0" fontId="139" fillId="19" borderId="100" applyNumberFormat="0" applyAlignment="0" applyProtection="0">
      <alignment vertical="center"/>
    </xf>
    <xf numFmtId="0" fontId="140" fillId="19" borderId="100" applyNumberFormat="0" applyAlignment="0" applyProtection="0"/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39" fillId="19" borderId="100" applyNumberFormat="0" applyAlignment="0" applyProtection="0">
      <alignment vertical="center"/>
    </xf>
    <xf numFmtId="0" fontId="140" fillId="19" borderId="100" applyNumberFormat="0" applyAlignment="0" applyProtection="0"/>
    <xf numFmtId="0" fontId="117" fillId="0" borderId="98"/>
    <xf numFmtId="0" fontId="97" fillId="34" borderId="97" applyNumberFormat="0" applyAlignment="0" applyProtection="0"/>
    <xf numFmtId="0" fontId="97" fillId="34" borderId="97" applyNumberFormat="0" applyAlignment="0" applyProtection="0"/>
    <xf numFmtId="0" fontId="96" fillId="34" borderId="97" applyNumberFormat="0" applyAlignment="0" applyProtection="0">
      <alignment vertical="center"/>
    </xf>
    <xf numFmtId="0" fontId="96" fillId="34" borderId="97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7" fillId="34" borderId="103" applyNumberFormat="0" applyAlignment="0" applyProtection="0">
      <alignment vertical="center"/>
    </xf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68" fillId="34" borderId="103" applyNumberFormat="0" applyAlignment="0" applyProtection="0"/>
    <xf numFmtId="0" fontId="104" fillId="37" borderId="99"/>
    <xf numFmtId="0" fontId="104" fillId="37" borderId="99"/>
    <xf numFmtId="0" fontId="104" fillId="37" borderId="99"/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74" fillId="1" borderId="104" applyNumberFormat="0" applyFont="0" applyAlignment="0">
      <alignment horizontal="center"/>
    </xf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17" fillId="0" borderId="101"/>
    <xf numFmtId="0" fontId="196" fillId="0" borderId="105" applyNumberFormat="0" applyFill="0" applyAlignment="0" applyProtection="0">
      <alignment vertical="center"/>
    </xf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6" fillId="0" borderId="105" applyNumberFormat="0" applyFill="0" applyAlignment="0" applyProtection="0">
      <alignment vertical="center"/>
    </xf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97" fillId="0" borderId="105" applyNumberFormat="0" applyFill="0" applyAlignment="0" applyProtection="0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0" fontId="147" fillId="0" borderId="101"/>
    <xf numFmtId="43" fontId="62" fillId="0" borderId="99" applyNumberFormat="0"/>
    <xf numFmtId="43" fontId="62" fillId="0" borderId="99" applyNumberFormat="0"/>
    <xf numFmtId="43" fontId="62" fillId="0" borderId="99" applyNumberFormat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0" fontId="225" fillId="57" borderId="100" applyNumberFormat="0" applyAlignment="0" applyProtection="0"/>
    <xf numFmtId="166" fontId="28" fillId="0" borderId="0" applyFont="0" applyFill="0" applyBorder="0" applyAlignment="0" applyProtection="0"/>
    <xf numFmtId="261" fontId="62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09" fillId="0" borderId="0" applyFont="0" applyFill="0" applyBorder="0" applyAlignment="0" applyProtection="0">
      <alignment vertical="center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09" fillId="0" borderId="0" applyFont="0" applyFill="0" applyBorder="0" applyAlignment="0" applyProtection="0">
      <alignment vertical="center"/>
    </xf>
    <xf numFmtId="166" fontId="79" fillId="0" borderId="0" applyFont="0" applyFill="0" applyBorder="0" applyAlignment="0" applyProtection="0">
      <alignment vertical="center"/>
    </xf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04" fillId="36" borderId="99"/>
    <xf numFmtId="220" fontId="130" fillId="0" borderId="2" applyNumberFormat="0" applyAlignment="0" applyProtection="0">
      <alignment horizontal="left" vertical="center"/>
    </xf>
    <xf numFmtId="220" fontId="130" fillId="0" borderId="2" applyNumberFormat="0" applyAlignment="0" applyProtection="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220" fontId="130" fillId="0" borderId="80">
      <alignment horizontal="left" vertical="center"/>
    </xf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10" fontId="104" fillId="39" borderId="99" applyNumberFormat="0" applyBorder="0" applyAlignment="0" applyProtection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88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109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8" fillId="0" borderId="0"/>
    <xf numFmtId="220" fontId="23" fillId="0" borderId="0"/>
    <xf numFmtId="220" fontId="23" fillId="0" borderId="0"/>
    <xf numFmtId="220" fontId="23" fillId="0" borderId="0"/>
    <xf numFmtId="220" fontId="23" fillId="0" borderId="0"/>
    <xf numFmtId="0" fontId="28" fillId="0" borderId="0">
      <alignment vertical="center"/>
    </xf>
    <xf numFmtId="220" fontId="23" fillId="0" borderId="0"/>
    <xf numFmtId="0" fontId="28" fillId="0" borderId="0">
      <alignment vertical="center"/>
    </xf>
    <xf numFmtId="0" fontId="23" fillId="0" borderId="0"/>
    <xf numFmtId="0" fontId="23" fillId="0" borderId="0"/>
    <xf numFmtId="22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20" fontId="79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109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9" fontId="151" fillId="0" borderId="68" applyNumberFormat="0" applyBorder="0"/>
    <xf numFmtId="9" fontId="151" fillId="0" borderId="68" applyNumberFormat="0" applyBorder="0"/>
    <xf numFmtId="9" fontId="151" fillId="0" borderId="68" applyNumberFormat="0" applyBorder="0"/>
    <xf numFmtId="9" fontId="151" fillId="0" borderId="68" applyNumberFormat="0" applyBorder="0"/>
    <xf numFmtId="9" fontId="151" fillId="0" borderId="68" applyNumberFormat="0" applyBorder="0"/>
    <xf numFmtId="9" fontId="151" fillId="0" borderId="68" applyNumberFormat="0" applyBorder="0"/>
    <xf numFmtId="9" fontId="151" fillId="0" borderId="68" applyNumberFormat="0" applyBorder="0"/>
    <xf numFmtId="9" fontId="151" fillId="0" borderId="68" applyNumberFormat="0" applyBorder="0"/>
    <xf numFmtId="9" fontId="151" fillId="0" borderId="68" applyNumberFormat="0" applyBorder="0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04" fillId="37" borderId="99"/>
    <xf numFmtId="220" fontId="177" fillId="0" borderId="60">
      <alignment vertical="center"/>
    </xf>
    <xf numFmtId="220" fontId="177" fillId="0" borderId="60">
      <alignment vertical="center"/>
    </xf>
    <xf numFmtId="220" fontId="177" fillId="0" borderId="60">
      <alignment vertical="center"/>
    </xf>
    <xf numFmtId="220" fontId="177" fillId="0" borderId="60">
      <alignment vertical="center"/>
    </xf>
    <xf numFmtId="220" fontId="177" fillId="0" borderId="60">
      <alignment vertical="center"/>
    </xf>
    <xf numFmtId="220" fontId="177" fillId="0" borderId="60">
      <alignment vertical="center"/>
    </xf>
    <xf numFmtId="220" fontId="177" fillId="0" borderId="60">
      <alignment vertical="center"/>
    </xf>
    <xf numFmtId="220" fontId="177" fillId="0" borderId="60">
      <alignment vertical="center"/>
    </xf>
    <xf numFmtId="0" fontId="177" fillId="0" borderId="60">
      <alignment vertical="center"/>
    </xf>
    <xf numFmtId="220" fontId="177" fillId="0" borderId="60">
      <alignment vertical="center"/>
    </xf>
    <xf numFmtId="220" fontId="177" fillId="0" borderId="60">
      <alignment vertical="center"/>
    </xf>
    <xf numFmtId="220" fontId="177" fillId="0" borderId="60">
      <alignment vertical="center"/>
    </xf>
    <xf numFmtId="220" fontId="177" fillId="0" borderId="60">
      <alignment vertic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74" fillId="1" borderId="80" applyNumberFormat="0" applyFont="0" applyAlignment="0">
      <alignment horizontal="center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49" borderId="111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220" fontId="181" fillId="50" borderId="116">
      <protection locked="0"/>
    </xf>
    <xf numFmtId="0" fontId="88" fillId="0" borderId="0">
      <alignment vertical="center"/>
    </xf>
    <xf numFmtId="166" fontId="62" fillId="0" borderId="0" applyFont="0" applyFill="0" applyBorder="0" applyAlignment="0" applyProtection="0"/>
    <xf numFmtId="166" fontId="62" fillId="0" borderId="0" applyFont="0" applyFill="0" applyBorder="0" applyAlignment="0" applyProtection="0"/>
    <xf numFmtId="166" fontId="65" fillId="0" borderId="0" applyFont="0" applyFill="0" applyBorder="0" applyAlignment="0" applyProtection="0"/>
    <xf numFmtId="166" fontId="105" fillId="0" borderId="0" applyFont="0" applyFill="0" applyBorder="0" applyAlignment="0" applyProtection="0">
      <alignment vertical="center"/>
    </xf>
    <xf numFmtId="220" fontId="218" fillId="56" borderId="47" applyNumberFormat="0" applyAlignment="0" applyProtection="0"/>
    <xf numFmtId="220" fontId="218" fillId="56" borderId="47" applyNumberFormat="0" applyAlignment="0" applyProtection="0"/>
    <xf numFmtId="220" fontId="218" fillId="56" borderId="47" applyNumberFormat="0" applyAlignment="0" applyProtection="0"/>
    <xf numFmtId="220" fontId="218" fillId="56" borderId="47" applyNumberFormat="0" applyAlignment="0" applyProtection="0"/>
    <xf numFmtId="9" fontId="105" fillId="0" borderId="0" applyFont="0" applyFill="0" applyBorder="0" applyAlignment="0" applyProtection="0">
      <alignment vertical="center"/>
    </xf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43" fontId="62" fillId="0" borderId="99" applyNumberFormat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220" fontId="225" fillId="57" borderId="117" applyNumberFormat="0" applyAlignment="0" applyProtection="0"/>
    <xf numFmtId="0" fontId="22" fillId="0" borderId="0"/>
    <xf numFmtId="43" fontId="22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79" fillId="0" borderId="0">
      <alignment vertical="center"/>
    </xf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2" fillId="0" borderId="0"/>
  </cellStyleXfs>
  <cellXfs count="1891">
    <xf numFmtId="0" fontId="0" fillId="0" borderId="0" xfId="0">
      <alignment vertical="center"/>
    </xf>
    <xf numFmtId="173" fontId="0" fillId="0" borderId="0" xfId="0" applyNumberFormat="1" applyAlignment="1">
      <alignment horizontal="center" vertical="center"/>
    </xf>
    <xf numFmtId="173" fontId="27" fillId="0" borderId="0" xfId="0" applyNumberFormat="1" applyFont="1" applyAlignment="1">
      <alignment horizontal="center" vertical="center"/>
    </xf>
    <xf numFmtId="173" fontId="0" fillId="0" borderId="0" xfId="0" applyNumberFormat="1">
      <alignment vertical="center"/>
    </xf>
    <xf numFmtId="174" fontId="0" fillId="0" borderId="0" xfId="1" applyNumberFormat="1" applyFont="1">
      <alignment vertical="center"/>
    </xf>
    <xf numFmtId="173" fontId="0" fillId="9" borderId="0" xfId="0" applyNumberFormat="1" applyFill="1">
      <alignment vertical="center"/>
    </xf>
    <xf numFmtId="173" fontId="27" fillId="9" borderId="0" xfId="0" applyNumberFormat="1" applyFont="1" applyFill="1">
      <alignment vertical="center"/>
    </xf>
    <xf numFmtId="173" fontId="0" fillId="7" borderId="0" xfId="0" applyNumberFormat="1" applyFill="1">
      <alignment vertical="center"/>
    </xf>
    <xf numFmtId="173" fontId="27" fillId="0" borderId="0" xfId="0" applyNumberFormat="1" applyFont="1" applyAlignment="1">
      <alignment horizontal="left" vertical="center"/>
    </xf>
    <xf numFmtId="173" fontId="0" fillId="10" borderId="0" xfId="0" applyNumberFormat="1" applyFill="1">
      <alignment vertical="center"/>
    </xf>
    <xf numFmtId="173" fontId="27" fillId="7" borderId="6" xfId="0" applyNumberFormat="1" applyFont="1" applyFill="1" applyBorder="1" applyAlignment="1">
      <alignment horizontal="left" vertical="center"/>
    </xf>
    <xf numFmtId="173" fontId="27" fillId="7" borderId="10" xfId="0" applyNumberFormat="1" applyFont="1" applyFill="1" applyBorder="1">
      <alignment vertical="center"/>
    </xf>
    <xf numFmtId="175" fontId="31" fillId="11" borderId="14" xfId="1" applyNumberFormat="1" applyFont="1" applyFill="1" applyBorder="1" applyAlignment="1">
      <alignment horizontal="center" vertical="center"/>
    </xf>
    <xf numFmtId="175" fontId="31" fillId="9" borderId="14" xfId="1" applyNumberFormat="1" applyFont="1" applyFill="1" applyBorder="1" applyAlignment="1">
      <alignment horizontal="center" vertical="center"/>
    </xf>
    <xf numFmtId="175" fontId="31" fillId="11" borderId="15" xfId="1" applyNumberFormat="1" applyFont="1" applyFill="1" applyBorder="1" applyAlignment="1">
      <alignment horizontal="center" vertical="center"/>
    </xf>
    <xf numFmtId="173" fontId="27" fillId="7" borderId="16" xfId="0" applyNumberFormat="1" applyFont="1" applyFill="1" applyBorder="1">
      <alignment vertical="center"/>
    </xf>
    <xf numFmtId="175" fontId="31" fillId="11" borderId="18" xfId="1" applyNumberFormat="1" applyFont="1" applyFill="1" applyBorder="1" applyAlignment="1">
      <alignment horizontal="center" vertical="center"/>
    </xf>
    <xf numFmtId="175" fontId="31" fillId="9" borderId="18" xfId="1" applyNumberFormat="1" applyFont="1" applyFill="1" applyBorder="1" applyAlignment="1">
      <alignment horizontal="center" vertical="center"/>
    </xf>
    <xf numFmtId="175" fontId="31" fillId="11" borderId="20" xfId="1" applyNumberFormat="1" applyFont="1" applyFill="1" applyBorder="1" applyAlignment="1">
      <alignment horizontal="center" vertical="center"/>
    </xf>
    <xf numFmtId="173" fontId="27" fillId="7" borderId="21" xfId="0" applyNumberFormat="1" applyFont="1" applyFill="1" applyBorder="1">
      <alignment vertical="center"/>
    </xf>
    <xf numFmtId="175" fontId="31" fillId="11" borderId="23" xfId="1" applyNumberFormat="1" applyFont="1" applyFill="1" applyBorder="1" applyAlignment="1">
      <alignment horizontal="center" vertical="center"/>
    </xf>
    <xf numFmtId="175" fontId="31" fillId="9" borderId="23" xfId="1" applyNumberFormat="1" applyFont="1" applyFill="1" applyBorder="1" applyAlignment="1">
      <alignment horizontal="center" vertical="center"/>
    </xf>
    <xf numFmtId="175" fontId="31" fillId="11" borderId="25" xfId="1" applyNumberFormat="1" applyFont="1" applyFill="1" applyBorder="1" applyAlignment="1">
      <alignment horizontal="center" vertical="center"/>
    </xf>
    <xf numFmtId="173" fontId="27" fillId="10" borderId="6" xfId="0" applyNumberFormat="1" applyFont="1" applyFill="1" applyBorder="1">
      <alignment vertical="center"/>
    </xf>
    <xf numFmtId="173" fontId="27" fillId="12" borderId="10" xfId="0" applyNumberFormat="1" applyFont="1" applyFill="1" applyBorder="1">
      <alignment vertical="center"/>
    </xf>
    <xf numFmtId="173" fontId="27" fillId="12" borderId="16" xfId="0" applyNumberFormat="1" applyFont="1" applyFill="1" applyBorder="1">
      <alignment vertical="center"/>
    </xf>
    <xf numFmtId="173" fontId="27" fillId="12" borderId="28" xfId="0" applyNumberFormat="1" applyFont="1" applyFill="1" applyBorder="1">
      <alignment vertical="center"/>
    </xf>
    <xf numFmtId="173" fontId="0" fillId="6" borderId="0" xfId="0" applyNumberFormat="1" applyFill="1">
      <alignment vertical="center"/>
    </xf>
    <xf numFmtId="173" fontId="27" fillId="0" borderId="0" xfId="0" applyNumberFormat="1" applyFont="1">
      <alignment vertical="center"/>
    </xf>
    <xf numFmtId="173" fontId="27" fillId="7" borderId="28" xfId="0" applyNumberFormat="1" applyFont="1" applyFill="1" applyBorder="1">
      <alignment vertical="center"/>
    </xf>
    <xf numFmtId="175" fontId="31" fillId="11" borderId="30" xfId="1" applyNumberFormat="1" applyFont="1" applyFill="1" applyBorder="1" applyAlignment="1">
      <alignment horizontal="center" vertical="center"/>
    </xf>
    <xf numFmtId="175" fontId="31" fillId="9" borderId="30" xfId="1" applyNumberFormat="1" applyFont="1" applyFill="1" applyBorder="1" applyAlignment="1">
      <alignment horizontal="center" vertical="center"/>
    </xf>
    <xf numFmtId="175" fontId="31" fillId="11" borderId="32" xfId="1" applyNumberFormat="1" applyFont="1" applyFill="1" applyBorder="1" applyAlignment="1">
      <alignment horizontal="center" vertical="center"/>
    </xf>
    <xf numFmtId="173" fontId="27" fillId="12" borderId="33" xfId="0" applyNumberFormat="1" applyFont="1" applyFill="1" applyBorder="1">
      <alignment vertical="center"/>
    </xf>
    <xf numFmtId="173" fontId="29" fillId="10" borderId="36" xfId="0" applyNumberFormat="1" applyFont="1" applyFill="1" applyBorder="1" applyAlignment="1">
      <alignment horizontal="center" vertical="center"/>
    </xf>
    <xf numFmtId="173" fontId="0" fillId="10" borderId="8" xfId="0" applyNumberFormat="1" applyFill="1" applyBorder="1" applyAlignment="1">
      <alignment horizontal="center" vertical="center"/>
    </xf>
    <xf numFmtId="173" fontId="29" fillId="10" borderId="8" xfId="0" applyNumberFormat="1" applyFont="1" applyFill="1" applyBorder="1" applyAlignment="1">
      <alignment horizontal="center" vertical="center"/>
    </xf>
    <xf numFmtId="173" fontId="0" fillId="10" borderId="9" xfId="0" applyNumberFormat="1" applyFill="1" applyBorder="1" applyAlignment="1">
      <alignment horizontal="center" vertical="center"/>
    </xf>
    <xf numFmtId="9" fontId="26" fillId="10" borderId="4" xfId="1" applyFont="1" applyFill="1" applyBorder="1" applyAlignment="1">
      <alignment horizontal="center" vertical="center"/>
    </xf>
    <xf numFmtId="9" fontId="0" fillId="8" borderId="14" xfId="1" applyFont="1" applyFill="1" applyBorder="1" applyAlignment="1">
      <alignment horizontal="center" vertical="center"/>
    </xf>
    <xf numFmtId="9" fontId="0" fillId="10" borderId="14" xfId="1" applyFont="1" applyFill="1" applyBorder="1" applyAlignment="1">
      <alignment horizontal="center" vertical="center"/>
    </xf>
    <xf numFmtId="9" fontId="0" fillId="8" borderId="15" xfId="1" applyFont="1" applyFill="1" applyBorder="1" applyAlignment="1">
      <alignment horizontal="center" vertical="center"/>
    </xf>
    <xf numFmtId="9" fontId="26" fillId="10" borderId="38" xfId="1" applyFont="1" applyFill="1" applyBorder="1" applyAlignment="1">
      <alignment horizontal="center" vertical="center"/>
    </xf>
    <xf numFmtId="9" fontId="0" fillId="8" borderId="18" xfId="1" applyFont="1" applyFill="1" applyBorder="1" applyAlignment="1">
      <alignment horizontal="center" vertical="center"/>
    </xf>
    <xf numFmtId="9" fontId="0" fillId="10" borderId="18" xfId="1" applyFont="1" applyFill="1" applyBorder="1" applyAlignment="1">
      <alignment horizontal="center" vertical="center"/>
    </xf>
    <xf numFmtId="9" fontId="0" fillId="8" borderId="20" xfId="1" applyFont="1" applyFill="1" applyBorder="1" applyAlignment="1">
      <alignment horizontal="center" vertical="center"/>
    </xf>
    <xf numFmtId="9" fontId="0" fillId="9" borderId="30" xfId="1" applyFont="1" applyFill="1" applyBorder="1" applyAlignment="1">
      <alignment horizontal="center" vertical="center"/>
    </xf>
    <xf numFmtId="9" fontId="26" fillId="10" borderId="5" xfId="1" applyFont="1" applyFill="1" applyBorder="1" applyAlignment="1">
      <alignment horizontal="center" vertical="center"/>
    </xf>
    <xf numFmtId="9" fontId="0" fillId="11" borderId="40" xfId="1" applyFont="1" applyFill="1" applyBorder="1" applyAlignment="1">
      <alignment horizontal="center" vertical="center"/>
    </xf>
    <xf numFmtId="9" fontId="0" fillId="8" borderId="30" xfId="1" applyFont="1" applyFill="1" applyBorder="1" applyAlignment="1">
      <alignment horizontal="center" vertical="center"/>
    </xf>
    <xf numFmtId="9" fontId="0" fillId="9" borderId="40" xfId="1" applyFont="1" applyFill="1" applyBorder="1" applyAlignment="1">
      <alignment horizontal="center" vertical="center"/>
    </xf>
    <xf numFmtId="9" fontId="0" fillId="10" borderId="30" xfId="1" applyFont="1" applyFill="1" applyBorder="1" applyAlignment="1">
      <alignment horizontal="center" vertical="center"/>
    </xf>
    <xf numFmtId="9" fontId="0" fillId="8" borderId="32" xfId="1" applyFont="1" applyFill="1" applyBorder="1" applyAlignment="1">
      <alignment horizontal="center" vertical="center"/>
    </xf>
    <xf numFmtId="173" fontId="32" fillId="0" borderId="0" xfId="0" applyNumberFormat="1" applyFont="1">
      <alignment vertical="center"/>
    </xf>
    <xf numFmtId="173" fontId="33" fillId="0" borderId="0" xfId="0" applyNumberFormat="1" applyFont="1">
      <alignment vertical="center"/>
    </xf>
    <xf numFmtId="173" fontId="34" fillId="0" borderId="0" xfId="0" applyNumberFormat="1" applyFont="1">
      <alignment vertical="center"/>
    </xf>
    <xf numFmtId="9" fontId="35" fillId="0" borderId="0" xfId="1" applyFont="1" applyFill="1" applyBorder="1">
      <alignment vertical="center"/>
    </xf>
    <xf numFmtId="173" fontId="36" fillId="0" borderId="0" xfId="0" applyNumberFormat="1" applyFont="1" applyAlignment="1">
      <alignment horizontal="center" vertical="center"/>
    </xf>
    <xf numFmtId="173" fontId="33" fillId="0" borderId="0" xfId="0" applyNumberFormat="1" applyFont="1" applyAlignment="1">
      <alignment horizontal="center" vertical="center"/>
    </xf>
    <xf numFmtId="173" fontId="36" fillId="0" borderId="0" xfId="0" applyNumberFormat="1" applyFont="1">
      <alignment vertical="center"/>
    </xf>
    <xf numFmtId="173" fontId="36" fillId="0" borderId="0" xfId="0" quotePrefix="1" applyNumberFormat="1" applyFont="1" applyAlignment="1">
      <alignment horizontal="center" vertical="center"/>
    </xf>
    <xf numFmtId="176" fontId="33" fillId="0" borderId="0" xfId="1" applyNumberFormat="1" applyFont="1">
      <alignment vertical="center"/>
    </xf>
    <xf numFmtId="177" fontId="33" fillId="0" borderId="0" xfId="1" applyNumberFormat="1" applyFont="1">
      <alignment vertical="center"/>
    </xf>
    <xf numFmtId="178" fontId="37" fillId="0" borderId="0" xfId="0" applyNumberFormat="1" applyFont="1">
      <alignment vertical="center"/>
    </xf>
    <xf numFmtId="173" fontId="33" fillId="0" borderId="0" xfId="0" applyNumberFormat="1" applyFont="1" applyBorder="1" applyAlignment="1">
      <alignment horizontal="center" vertical="center"/>
    </xf>
    <xf numFmtId="179" fontId="33" fillId="0" borderId="0" xfId="1" applyNumberFormat="1" applyFont="1">
      <alignment vertical="center"/>
    </xf>
    <xf numFmtId="178" fontId="38" fillId="0" borderId="0" xfId="0" applyNumberFormat="1" applyFont="1">
      <alignment vertical="center"/>
    </xf>
    <xf numFmtId="180" fontId="33" fillId="0" borderId="0" xfId="0" applyNumberFormat="1" applyFont="1">
      <alignment vertical="center"/>
    </xf>
    <xf numFmtId="173" fontId="33" fillId="0" borderId="0" xfId="0" applyNumberFormat="1" applyFont="1" applyFill="1">
      <alignment vertical="center"/>
    </xf>
    <xf numFmtId="181" fontId="33" fillId="0" borderId="0" xfId="0" applyNumberFormat="1" applyFont="1">
      <alignment vertical="center"/>
    </xf>
    <xf numFmtId="173" fontId="33" fillId="0" borderId="38" xfId="0" applyNumberFormat="1" applyFont="1" applyBorder="1">
      <alignment vertical="center"/>
    </xf>
    <xf numFmtId="173" fontId="33" fillId="0" borderId="38" xfId="0" applyNumberFormat="1" applyFont="1" applyFill="1" applyBorder="1">
      <alignment vertical="center"/>
    </xf>
    <xf numFmtId="173" fontId="33" fillId="0" borderId="0" xfId="0" applyNumberFormat="1" applyFont="1" applyBorder="1">
      <alignment vertical="center"/>
    </xf>
    <xf numFmtId="181" fontId="33" fillId="0" borderId="38" xfId="0" applyNumberFormat="1" applyFont="1" applyBorder="1">
      <alignment vertical="center"/>
    </xf>
    <xf numFmtId="177" fontId="33" fillId="0" borderId="0" xfId="1" applyNumberFormat="1" applyFont="1" applyFill="1">
      <alignment vertical="center"/>
    </xf>
    <xf numFmtId="173" fontId="33" fillId="0" borderId="5" xfId="0" applyNumberFormat="1" applyFont="1" applyBorder="1">
      <alignment vertical="center"/>
    </xf>
    <xf numFmtId="173" fontId="33" fillId="0" borderId="5" xfId="0" applyNumberFormat="1" applyFont="1" applyFill="1" applyBorder="1">
      <alignment vertical="center"/>
    </xf>
    <xf numFmtId="177" fontId="33" fillId="11" borderId="0" xfId="1" applyNumberFormat="1" applyFont="1" applyFill="1">
      <alignment vertical="center"/>
    </xf>
    <xf numFmtId="173" fontId="40" fillId="0" borderId="0" xfId="0" applyNumberFormat="1" applyFont="1">
      <alignment vertical="center"/>
    </xf>
    <xf numFmtId="174" fontId="33" fillId="0" borderId="0" xfId="1" applyNumberFormat="1" applyFont="1">
      <alignment vertical="center"/>
    </xf>
    <xf numFmtId="173" fontId="33" fillId="9" borderId="0" xfId="0" applyNumberFormat="1" applyFont="1" applyFill="1">
      <alignment vertical="center"/>
    </xf>
    <xf numFmtId="10" fontId="33" fillId="0" borderId="0" xfId="1" applyNumberFormat="1" applyFont="1">
      <alignment vertical="center"/>
    </xf>
    <xf numFmtId="176" fontId="33" fillId="11" borderId="0" xfId="1" applyNumberFormat="1" applyFont="1" applyFill="1">
      <alignment vertical="center"/>
    </xf>
    <xf numFmtId="181" fontId="33" fillId="0" borderId="0" xfId="0" applyNumberFormat="1" applyFont="1" applyBorder="1">
      <alignment vertical="center"/>
    </xf>
    <xf numFmtId="182" fontId="33" fillId="0" borderId="0" xfId="0" applyNumberFormat="1" applyFont="1">
      <alignment vertical="center"/>
    </xf>
    <xf numFmtId="182" fontId="33" fillId="0" borderId="5" xfId="0" applyNumberFormat="1" applyFont="1" applyBorder="1">
      <alignment vertical="center"/>
    </xf>
    <xf numFmtId="182" fontId="33" fillId="0" borderId="0" xfId="0" applyNumberFormat="1" applyFont="1" applyBorder="1">
      <alignment vertical="center"/>
    </xf>
    <xf numFmtId="173" fontId="33" fillId="10" borderId="0" xfId="0" applyNumberFormat="1" applyFont="1" applyFill="1">
      <alignment vertical="center"/>
    </xf>
    <xf numFmtId="176" fontId="41" fillId="0" borderId="0" xfId="1" applyNumberFormat="1" applyFont="1">
      <alignment vertical="center"/>
    </xf>
    <xf numFmtId="173" fontId="42" fillId="0" borderId="0" xfId="0" applyNumberFormat="1" applyFont="1">
      <alignment vertical="center"/>
    </xf>
    <xf numFmtId="173" fontId="42" fillId="0" borderId="0" xfId="0" applyNumberFormat="1" applyFont="1" applyFill="1">
      <alignment vertical="center"/>
    </xf>
    <xf numFmtId="173" fontId="36" fillId="0" borderId="41" xfId="0" applyNumberFormat="1" applyFont="1" applyBorder="1">
      <alignment vertical="center"/>
    </xf>
    <xf numFmtId="173" fontId="36" fillId="0" borderId="0" xfId="0" applyNumberFormat="1" applyFont="1" applyBorder="1">
      <alignment vertical="center"/>
    </xf>
    <xf numFmtId="173" fontId="39" fillId="0" borderId="0" xfId="0" applyNumberFormat="1" applyFont="1">
      <alignment vertical="center"/>
    </xf>
    <xf numFmtId="9" fontId="39" fillId="0" borderId="0" xfId="1" applyFont="1" applyBorder="1">
      <alignment vertical="center"/>
    </xf>
    <xf numFmtId="173" fontId="36" fillId="0" borderId="5" xfId="0" applyNumberFormat="1" applyFont="1" applyBorder="1">
      <alignment vertical="center"/>
    </xf>
    <xf numFmtId="173" fontId="36" fillId="7" borderId="0" xfId="0" applyNumberFormat="1" applyFont="1" applyFill="1">
      <alignment vertical="center"/>
    </xf>
    <xf numFmtId="173" fontId="33" fillId="7" borderId="0" xfId="0" applyNumberFormat="1" applyFont="1" applyFill="1">
      <alignment vertical="center"/>
    </xf>
    <xf numFmtId="173" fontId="33" fillId="0" borderId="4" xfId="0" applyNumberFormat="1" applyFont="1" applyBorder="1">
      <alignment vertical="center"/>
    </xf>
    <xf numFmtId="173" fontId="33" fillId="0" borderId="42" xfId="0" applyNumberFormat="1" applyFont="1" applyBorder="1">
      <alignment vertical="center"/>
    </xf>
    <xf numFmtId="173" fontId="43" fillId="0" borderId="0" xfId="0" applyNumberFormat="1" applyFont="1">
      <alignment vertical="center"/>
    </xf>
    <xf numFmtId="173" fontId="43" fillId="0" borderId="41" xfId="0" applyNumberFormat="1" applyFont="1" applyBorder="1">
      <alignment vertical="center"/>
    </xf>
    <xf numFmtId="173" fontId="44" fillId="0" borderId="0" xfId="0" applyNumberFormat="1" applyFont="1" applyAlignment="1">
      <alignment horizontal="center" vertical="center" wrapText="1"/>
    </xf>
    <xf numFmtId="173" fontId="44" fillId="0" borderId="0" xfId="0" applyNumberFormat="1" applyFont="1">
      <alignment vertical="center"/>
    </xf>
    <xf numFmtId="173" fontId="45" fillId="0" borderId="0" xfId="0" applyNumberFormat="1" applyFont="1">
      <alignment vertical="center"/>
    </xf>
    <xf numFmtId="173" fontId="33" fillId="0" borderId="0" xfId="0" applyNumberFormat="1" applyFont="1" applyAlignment="1">
      <alignment horizontal="right" vertical="center"/>
    </xf>
    <xf numFmtId="178" fontId="44" fillId="0" borderId="0" xfId="0" applyNumberFormat="1" applyFont="1">
      <alignment vertical="center"/>
    </xf>
    <xf numFmtId="178" fontId="46" fillId="0" borderId="0" xfId="0" applyNumberFormat="1" applyFont="1">
      <alignment vertical="center"/>
    </xf>
    <xf numFmtId="173" fontId="47" fillId="0" borderId="0" xfId="0" applyNumberFormat="1" applyFont="1">
      <alignment vertical="center"/>
    </xf>
    <xf numFmtId="178" fontId="44" fillId="0" borderId="4" xfId="0" applyNumberFormat="1" applyFont="1" applyBorder="1">
      <alignment vertical="center"/>
    </xf>
    <xf numFmtId="173" fontId="33" fillId="0" borderId="4" xfId="0" applyNumberFormat="1" applyFont="1" applyFill="1" applyBorder="1">
      <alignment vertical="center"/>
    </xf>
    <xf numFmtId="173" fontId="42" fillId="10" borderId="0" xfId="0" applyNumberFormat="1" applyFont="1" applyFill="1">
      <alignment vertical="center"/>
    </xf>
    <xf numFmtId="173" fontId="33" fillId="0" borderId="0" xfId="0" quotePrefix="1" applyNumberFormat="1" applyFont="1">
      <alignment vertical="center"/>
    </xf>
    <xf numFmtId="173" fontId="44" fillId="0" borderId="4" xfId="0" applyNumberFormat="1" applyFont="1" applyBorder="1">
      <alignment vertical="center"/>
    </xf>
    <xf numFmtId="173" fontId="33" fillId="0" borderId="41" xfId="0" applyNumberFormat="1" applyFont="1" applyBorder="1">
      <alignment vertical="center"/>
    </xf>
    <xf numFmtId="178" fontId="44" fillId="0" borderId="41" xfId="0" applyNumberFormat="1" applyFont="1" applyBorder="1">
      <alignment vertical="center"/>
    </xf>
    <xf numFmtId="178" fontId="46" fillId="0" borderId="41" xfId="0" applyNumberFormat="1" applyFont="1" applyBorder="1">
      <alignment vertical="center"/>
    </xf>
    <xf numFmtId="9" fontId="36" fillId="10" borderId="6" xfId="1" applyFont="1" applyFill="1" applyBorder="1">
      <alignment vertical="center"/>
    </xf>
    <xf numFmtId="183" fontId="27" fillId="0" borderId="0" xfId="0" applyNumberFormat="1" applyFont="1">
      <alignment vertical="center"/>
    </xf>
    <xf numFmtId="183" fontId="0" fillId="0" borderId="0" xfId="0" applyNumberFormat="1">
      <alignment vertical="center"/>
    </xf>
    <xf numFmtId="183" fontId="49" fillId="0" borderId="0" xfId="2" applyNumberFormat="1" applyFont="1">
      <alignment vertical="center"/>
    </xf>
    <xf numFmtId="183" fontId="48" fillId="0" borderId="0" xfId="2" applyNumberFormat="1">
      <alignment vertical="center"/>
    </xf>
    <xf numFmtId="183" fontId="50" fillId="13" borderId="0" xfId="0" applyNumberFormat="1" applyFont="1" applyFill="1" applyAlignment="1">
      <alignment horizontal="right" vertical="center"/>
    </xf>
    <xf numFmtId="183" fontId="27" fillId="13" borderId="0" xfId="0" quotePrefix="1" applyNumberFormat="1" applyFont="1" applyFill="1" applyAlignment="1">
      <alignment horizontal="right" vertical="center"/>
    </xf>
    <xf numFmtId="183" fontId="27" fillId="0" borderId="0" xfId="0" applyNumberFormat="1" applyFont="1" applyAlignment="1">
      <alignment horizontal="center" vertical="center"/>
    </xf>
    <xf numFmtId="183" fontId="27" fillId="9" borderId="0" xfId="0" applyNumberFormat="1" applyFont="1" applyFill="1">
      <alignment vertical="center"/>
    </xf>
    <xf numFmtId="183" fontId="0" fillId="9" borderId="0" xfId="0" applyNumberFormat="1" applyFill="1" applyAlignment="1">
      <alignment horizontal="right" vertical="center"/>
    </xf>
    <xf numFmtId="183" fontId="27" fillId="11" borderId="0" xfId="0" applyNumberFormat="1" applyFont="1" applyFill="1">
      <alignment vertical="center"/>
    </xf>
    <xf numFmtId="183" fontId="0" fillId="11" borderId="0" xfId="0" applyNumberFormat="1" applyFill="1" applyAlignment="1">
      <alignment horizontal="right" vertical="center"/>
    </xf>
    <xf numFmtId="183" fontId="27" fillId="12" borderId="0" xfId="0" applyNumberFormat="1" applyFont="1" applyFill="1">
      <alignment vertical="center"/>
    </xf>
    <xf numFmtId="183" fontId="51" fillId="12" borderId="0" xfId="0" applyNumberFormat="1" applyFont="1" applyFill="1" applyAlignment="1">
      <alignment horizontal="right" vertical="center"/>
    </xf>
    <xf numFmtId="183" fontId="50" fillId="6" borderId="0" xfId="0" applyNumberFormat="1" applyFont="1" applyFill="1">
      <alignment vertical="center"/>
    </xf>
    <xf numFmtId="183" fontId="0" fillId="6" borderId="0" xfId="0" applyNumberFormat="1" applyFill="1">
      <alignment vertical="center"/>
    </xf>
    <xf numFmtId="173" fontId="33" fillId="0" borderId="44" xfId="0" applyNumberFormat="1" applyFont="1" applyBorder="1">
      <alignment vertical="center"/>
    </xf>
    <xf numFmtId="184" fontId="33" fillId="0" borderId="0" xfId="1" applyNumberFormat="1" applyFont="1" applyAlignment="1">
      <alignment horizontal="center" vertical="center"/>
    </xf>
    <xf numFmtId="177" fontId="33" fillId="10" borderId="6" xfId="1" applyNumberFormat="1" applyFont="1" applyFill="1" applyBorder="1">
      <alignment vertical="center"/>
    </xf>
    <xf numFmtId="173" fontId="52" fillId="0" borderId="0" xfId="0" applyNumberFormat="1" applyFont="1">
      <alignment vertical="center"/>
    </xf>
    <xf numFmtId="173" fontId="45" fillId="0" borderId="38" xfId="0" applyNumberFormat="1" applyFont="1" applyBorder="1">
      <alignment vertical="center"/>
    </xf>
    <xf numFmtId="173" fontId="53" fillId="0" borderId="0" xfId="0" applyNumberFormat="1" applyFont="1">
      <alignment vertical="center"/>
    </xf>
    <xf numFmtId="173" fontId="54" fillId="0" borderId="0" xfId="0" applyNumberFormat="1" applyFont="1">
      <alignment vertical="center"/>
    </xf>
    <xf numFmtId="185" fontId="54" fillId="0" borderId="0" xfId="1" applyNumberFormat="1" applyFont="1">
      <alignment vertical="center"/>
    </xf>
    <xf numFmtId="173" fontId="52" fillId="0" borderId="0" xfId="0" applyNumberFormat="1" applyFont="1" applyFill="1">
      <alignment vertical="center"/>
    </xf>
    <xf numFmtId="173" fontId="55" fillId="0" borderId="0" xfId="0" applyNumberFormat="1" applyFont="1" applyBorder="1">
      <alignment vertical="center"/>
    </xf>
    <xf numFmtId="173" fontId="56" fillId="0" borderId="0" xfId="0" applyNumberFormat="1" applyFont="1">
      <alignment vertical="center"/>
    </xf>
    <xf numFmtId="173" fontId="56" fillId="0" borderId="5" xfId="0" applyNumberFormat="1" applyFont="1" applyBorder="1">
      <alignment vertical="center"/>
    </xf>
    <xf numFmtId="173" fontId="57" fillId="10" borderId="0" xfId="0" applyNumberFormat="1" applyFont="1" applyFill="1">
      <alignment vertical="center"/>
    </xf>
    <xf numFmtId="173" fontId="57" fillId="7" borderId="0" xfId="0" applyNumberFormat="1" applyFont="1" applyFill="1">
      <alignment vertical="center"/>
    </xf>
    <xf numFmtId="173" fontId="58" fillId="0" borderId="0" xfId="0" applyNumberFormat="1" applyFont="1">
      <alignment vertical="center"/>
    </xf>
    <xf numFmtId="173" fontId="59" fillId="0" borderId="0" xfId="0" applyNumberFormat="1" applyFont="1">
      <alignment vertical="center"/>
    </xf>
    <xf numFmtId="9" fontId="33" fillId="0" borderId="0" xfId="1" applyFont="1">
      <alignment vertical="center"/>
    </xf>
    <xf numFmtId="173" fontId="60" fillId="0" borderId="0" xfId="0" applyNumberFormat="1" applyFont="1">
      <alignment vertical="center"/>
    </xf>
    <xf numFmtId="173" fontId="61" fillId="6" borderId="0" xfId="0" quotePrefix="1" applyNumberFormat="1" applyFont="1" applyFill="1" applyAlignment="1">
      <alignment horizontal="center" vertical="center"/>
    </xf>
    <xf numFmtId="173" fontId="33" fillId="6" borderId="0" xfId="0" applyNumberFormat="1" applyFont="1" applyFill="1" applyBorder="1">
      <alignment vertical="center"/>
    </xf>
    <xf numFmtId="173" fontId="36" fillId="0" borderId="0" xfId="0" applyNumberFormat="1" applyFont="1" applyFill="1" applyAlignment="1">
      <alignment horizontal="center" vertical="center"/>
    </xf>
    <xf numFmtId="173" fontId="36" fillId="0" borderId="0" xfId="0" quotePrefix="1" applyNumberFormat="1" applyFont="1" applyFill="1" applyAlignment="1">
      <alignment horizontal="center" vertical="center"/>
    </xf>
    <xf numFmtId="166" fontId="61" fillId="0" borderId="0" xfId="347" applyFont="1">
      <alignment vertical="center"/>
    </xf>
    <xf numFmtId="166" fontId="36" fillId="0" borderId="0" xfId="347" applyFont="1">
      <alignment vertical="center"/>
    </xf>
    <xf numFmtId="166" fontId="61" fillId="0" borderId="0" xfId="347" applyFont="1" applyAlignment="1">
      <alignment horizontal="center" vertical="center"/>
    </xf>
    <xf numFmtId="166" fontId="61" fillId="0" borderId="0" xfId="347" applyFont="1" applyBorder="1">
      <alignment vertical="center"/>
    </xf>
    <xf numFmtId="166" fontId="61" fillId="0" borderId="0" xfId="347" applyFont="1" applyFill="1" applyBorder="1" applyAlignment="1">
      <alignment horizontal="center" vertical="center" wrapText="1"/>
    </xf>
    <xf numFmtId="166" fontId="61" fillId="0" borderId="43" xfId="347" applyFont="1" applyFill="1" applyBorder="1" applyAlignment="1">
      <alignment horizontal="center" vertical="center" wrapText="1"/>
    </xf>
    <xf numFmtId="166" fontId="61" fillId="0" borderId="43" xfId="347" applyFont="1" applyBorder="1">
      <alignment vertical="center"/>
    </xf>
    <xf numFmtId="208" fontId="61" fillId="0" borderId="0" xfId="347" applyNumberFormat="1" applyFont="1" applyBorder="1">
      <alignment vertical="center"/>
    </xf>
    <xf numFmtId="208" fontId="61" fillId="0" borderId="43" xfId="347" applyNumberFormat="1" applyFont="1" applyBorder="1">
      <alignment vertical="center"/>
    </xf>
    <xf numFmtId="208" fontId="60" fillId="0" borderId="0" xfId="347" applyNumberFormat="1" applyFont="1">
      <alignment vertical="center"/>
    </xf>
    <xf numFmtId="175" fontId="60" fillId="0" borderId="43" xfId="3227" applyNumberFormat="1" applyFont="1" applyBorder="1" applyAlignment="1">
      <alignment horizontal="center" vertical="center"/>
    </xf>
    <xf numFmtId="0" fontId="61" fillId="0" borderId="0" xfId="347" applyNumberFormat="1" applyFont="1" applyAlignment="1">
      <alignment horizontal="left" vertical="center"/>
    </xf>
    <xf numFmtId="175" fontId="61" fillId="0" borderId="43" xfId="3227" applyNumberFormat="1" applyFont="1" applyBorder="1" applyAlignment="1">
      <alignment horizontal="center" vertical="center"/>
    </xf>
    <xf numFmtId="208" fontId="61" fillId="0" borderId="0" xfId="347" applyNumberFormat="1" applyFont="1">
      <alignment vertical="center"/>
    </xf>
    <xf numFmtId="2" fontId="60" fillId="0" borderId="0" xfId="347" applyNumberFormat="1" applyFont="1">
      <alignment vertical="center"/>
    </xf>
    <xf numFmtId="2" fontId="61" fillId="0" borderId="0" xfId="347" applyNumberFormat="1" applyFont="1">
      <alignment vertical="center"/>
    </xf>
    <xf numFmtId="166" fontId="114" fillId="0" borderId="0" xfId="347" applyFont="1" applyFill="1" applyAlignment="1">
      <alignment horizontal="left"/>
    </xf>
    <xf numFmtId="166" fontId="61" fillId="0" borderId="0" xfId="347" applyFont="1" applyAlignment="1">
      <alignment horizontal="left" vertical="center"/>
    </xf>
    <xf numFmtId="166" fontId="60" fillId="0" borderId="0" xfId="347" applyFont="1">
      <alignment vertical="center"/>
    </xf>
    <xf numFmtId="166" fontId="60" fillId="0" borderId="0" xfId="347" applyFont="1" applyAlignment="1">
      <alignment horizontal="left" vertical="center"/>
    </xf>
    <xf numFmtId="166" fontId="60" fillId="10" borderId="0" xfId="347" applyFont="1" applyFill="1">
      <alignment vertical="center"/>
    </xf>
    <xf numFmtId="0" fontId="62" fillId="0" borderId="0" xfId="3087" applyFont="1" applyAlignment="1">
      <alignment horizontal="left"/>
    </xf>
    <xf numFmtId="208" fontId="233" fillId="0" borderId="0" xfId="347" applyNumberFormat="1" applyFont="1">
      <alignment vertical="center"/>
    </xf>
    <xf numFmtId="208" fontId="36" fillId="0" borderId="0" xfId="347" applyNumberFormat="1" applyFont="1">
      <alignment vertical="center"/>
    </xf>
    <xf numFmtId="178" fontId="38" fillId="0" borderId="0" xfId="0" applyNumberFormat="1" applyFont="1" applyFill="1">
      <alignment vertical="center"/>
    </xf>
    <xf numFmtId="0" fontId="33" fillId="0" borderId="0" xfId="0" applyFont="1">
      <alignment vertical="center"/>
    </xf>
    <xf numFmtId="0" fontId="33" fillId="0" borderId="0" xfId="0" applyFont="1" applyAlignment="1">
      <alignment horizontal="left" vertical="center"/>
    </xf>
    <xf numFmtId="0" fontId="36" fillId="0" borderId="0" xfId="0" applyFont="1">
      <alignment vertical="center"/>
    </xf>
    <xf numFmtId="0" fontId="33" fillId="0" borderId="0" xfId="0" applyFont="1" applyFill="1">
      <alignment vertical="center"/>
    </xf>
    <xf numFmtId="208" fontId="33" fillId="0" borderId="0" xfId="0" applyNumberFormat="1" applyFont="1">
      <alignment vertical="center"/>
    </xf>
    <xf numFmtId="0" fontId="60" fillId="0" borderId="0" xfId="0" applyFont="1">
      <alignment vertical="center"/>
    </xf>
    <xf numFmtId="0" fontId="60" fillId="0" borderId="0" xfId="0" applyFont="1" applyAlignment="1">
      <alignment horizontal="left" vertical="center"/>
    </xf>
    <xf numFmtId="0" fontId="61" fillId="0" borderId="0" xfId="0" applyFont="1">
      <alignment vertical="center"/>
    </xf>
    <xf numFmtId="0" fontId="60" fillId="0" borderId="0" xfId="0" applyFont="1" applyFill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60" fillId="0" borderId="0" xfId="0" applyFont="1" applyBorder="1" applyAlignment="1">
      <alignment horizontal="center" vertical="center"/>
    </xf>
    <xf numFmtId="0" fontId="60" fillId="0" borderId="0" xfId="0" applyFont="1" applyBorder="1">
      <alignment vertical="center"/>
    </xf>
    <xf numFmtId="0" fontId="60" fillId="0" borderId="0" xfId="0" applyFont="1" applyBorder="1" applyAlignment="1">
      <alignment horizontal="left" vertical="center"/>
    </xf>
    <xf numFmtId="0" fontId="61" fillId="0" borderId="0" xfId="0" applyFont="1" applyBorder="1">
      <alignment vertical="center"/>
    </xf>
    <xf numFmtId="14" fontId="229" fillId="0" borderId="0" xfId="0" applyNumberFormat="1" applyFont="1" applyBorder="1" applyAlignment="1">
      <alignment horizontal="center" vertical="center"/>
    </xf>
    <xf numFmtId="14" fontId="229" fillId="0" borderId="0" xfId="0" applyNumberFormat="1" applyFont="1" applyFill="1" applyBorder="1" applyAlignment="1">
      <alignment horizontal="center" vertical="center"/>
    </xf>
    <xf numFmtId="14" fontId="229" fillId="64" borderId="0" xfId="0" applyNumberFormat="1" applyFont="1" applyFill="1" applyBorder="1" applyAlignment="1">
      <alignment horizontal="center" vertical="center"/>
    </xf>
    <xf numFmtId="14" fontId="230" fillId="64" borderId="0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horizontal="left" vertical="center"/>
    </xf>
    <xf numFmtId="0" fontId="61" fillId="66" borderId="43" xfId="0" applyFont="1" applyFill="1" applyBorder="1" applyAlignment="1">
      <alignment horizontal="center" vertical="center" wrapText="1"/>
    </xf>
    <xf numFmtId="0" fontId="61" fillId="0" borderId="0" xfId="0" applyFont="1" applyFill="1">
      <alignment vertical="center"/>
    </xf>
    <xf numFmtId="0" fontId="61" fillId="0" borderId="0" xfId="0" applyFont="1" applyFill="1" applyAlignment="1">
      <alignment horizontal="left" vertical="center"/>
    </xf>
    <xf numFmtId="0" fontId="61" fillId="0" borderId="43" xfId="0" applyFont="1" applyFill="1" applyBorder="1" applyAlignment="1">
      <alignment horizontal="center" vertical="center" wrapText="1"/>
    </xf>
    <xf numFmtId="0" fontId="60" fillId="0" borderId="43" xfId="0" applyFont="1" applyBorder="1" applyAlignment="1">
      <alignment horizontal="left" vertical="center"/>
    </xf>
    <xf numFmtId="0" fontId="231" fillId="0" borderId="0" xfId="0" applyFont="1" applyAlignment="1">
      <alignment horizontal="left" vertical="center"/>
    </xf>
    <xf numFmtId="0" fontId="232" fillId="0" borderId="0" xfId="0" applyFont="1" applyAlignment="1">
      <alignment horizontal="left" vertical="center"/>
    </xf>
    <xf numFmtId="9" fontId="61" fillId="0" borderId="43" xfId="6374" applyFont="1" applyBorder="1" applyAlignment="1">
      <alignment horizontal="center" vertical="center"/>
    </xf>
    <xf numFmtId="9" fontId="60" fillId="0" borderId="0" xfId="6374" applyFont="1" applyAlignment="1">
      <alignment horizontal="center" vertical="center"/>
    </xf>
    <xf numFmtId="9" fontId="60" fillId="0" borderId="43" xfId="6374" applyFont="1" applyBorder="1" applyAlignment="1">
      <alignment horizontal="center" vertical="center"/>
    </xf>
    <xf numFmtId="0" fontId="60" fillId="0" borderId="0" xfId="0" applyFont="1" applyAlignment="1">
      <alignment vertical="center"/>
    </xf>
    <xf numFmtId="0" fontId="61" fillId="66" borderId="0" xfId="0" applyFont="1" applyFill="1" applyAlignment="1">
      <alignment horizontal="center" vertical="center" wrapText="1"/>
    </xf>
    <xf numFmtId="208" fontId="60" fillId="0" borderId="0" xfId="0" applyNumberFormat="1" applyFont="1" applyAlignment="1">
      <alignment horizontal="left" vertical="center"/>
    </xf>
    <xf numFmtId="208" fontId="60" fillId="0" borderId="0" xfId="0" applyNumberFormat="1" applyFont="1">
      <alignment vertical="center"/>
    </xf>
    <xf numFmtId="208" fontId="60" fillId="0" borderId="0" xfId="0" applyNumberFormat="1" applyFont="1" applyFill="1">
      <alignment vertical="center"/>
    </xf>
    <xf numFmtId="173" fontId="33" fillId="67" borderId="0" xfId="0" applyNumberFormat="1" applyFont="1" applyFill="1">
      <alignment vertical="center"/>
    </xf>
    <xf numFmtId="178" fontId="46" fillId="0" borderId="69" xfId="0" applyNumberFormat="1" applyFont="1" applyBorder="1">
      <alignment vertical="center"/>
    </xf>
    <xf numFmtId="173" fontId="0" fillId="68" borderId="0" xfId="0" applyNumberFormat="1" applyFill="1">
      <alignment vertical="center"/>
    </xf>
    <xf numFmtId="178" fontId="37" fillId="0" borderId="0" xfId="0" applyNumberFormat="1" applyFont="1" applyFill="1">
      <alignment vertical="center"/>
    </xf>
    <xf numFmtId="0" fontId="0" fillId="0" borderId="0" xfId="0" applyFill="1">
      <alignment vertical="center"/>
    </xf>
    <xf numFmtId="0" fontId="0" fillId="0" borderId="0" xfId="0">
      <alignment vertical="center"/>
    </xf>
    <xf numFmtId="9" fontId="0" fillId="0" borderId="0" xfId="1" applyFont="1">
      <alignment vertical="center"/>
    </xf>
    <xf numFmtId="0" fontId="0" fillId="0" borderId="0" xfId="0" applyAlignment="1">
      <alignment horizontal="center" vertical="center"/>
    </xf>
    <xf numFmtId="173" fontId="0" fillId="0" borderId="0" xfId="0" applyNumberFormat="1">
      <alignment vertical="center"/>
    </xf>
    <xf numFmtId="173" fontId="27" fillId="11" borderId="0" xfId="0" applyNumberFormat="1" applyFont="1" applyFill="1">
      <alignment vertical="center"/>
    </xf>
    <xf numFmtId="173" fontId="0" fillId="11" borderId="0" xfId="0" applyNumberFormat="1" applyFill="1">
      <alignment vertical="center"/>
    </xf>
    <xf numFmtId="173" fontId="0" fillId="6" borderId="0" xfId="0" applyNumberFormat="1" applyFill="1">
      <alignment vertical="center"/>
    </xf>
    <xf numFmtId="257" fontId="36" fillId="0" borderId="0" xfId="0" applyNumberFormat="1" applyFont="1" applyAlignment="1">
      <alignment horizontal="left" vertical="center"/>
    </xf>
    <xf numFmtId="257" fontId="33" fillId="0" borderId="0" xfId="0" applyNumberFormat="1" applyFont="1" applyAlignment="1">
      <alignment horizontal="left" vertical="center"/>
    </xf>
    <xf numFmtId="257" fontId="33" fillId="0" borderId="0" xfId="0" applyNumberFormat="1" applyFont="1">
      <alignment vertical="center"/>
    </xf>
    <xf numFmtId="257" fontId="33" fillId="0" borderId="0" xfId="0" applyNumberFormat="1" applyFont="1" applyAlignment="1">
      <alignment horizontal="right" vertical="center"/>
    </xf>
    <xf numFmtId="257" fontId="36" fillId="7" borderId="37" xfId="0" applyNumberFormat="1" applyFont="1" applyFill="1" applyBorder="1" applyAlignment="1">
      <alignment horizontal="center" vertical="center"/>
    </xf>
    <xf numFmtId="257" fontId="36" fillId="7" borderId="37" xfId="0" applyNumberFormat="1" applyFont="1" applyFill="1" applyBorder="1" applyAlignment="1">
      <alignment horizontal="center" vertical="center" wrapText="1"/>
    </xf>
    <xf numFmtId="257" fontId="36" fillId="7" borderId="36" xfId="0" applyNumberFormat="1" applyFont="1" applyFill="1" applyBorder="1" applyAlignment="1">
      <alignment horizontal="center" vertical="center"/>
    </xf>
    <xf numFmtId="257" fontId="36" fillId="7" borderId="8" xfId="0" applyNumberFormat="1" applyFont="1" applyFill="1" applyBorder="1" applyAlignment="1">
      <alignment horizontal="center" vertical="center" wrapText="1"/>
    </xf>
    <xf numFmtId="257" fontId="36" fillId="7" borderId="8" xfId="0" applyNumberFormat="1" applyFont="1" applyFill="1" applyBorder="1" applyAlignment="1">
      <alignment horizontal="center" vertical="center"/>
    </xf>
    <xf numFmtId="257" fontId="36" fillId="7" borderId="8" xfId="0" quotePrefix="1" applyNumberFormat="1" applyFont="1" applyFill="1" applyBorder="1" applyAlignment="1">
      <alignment horizontal="center" vertical="center" wrapText="1"/>
    </xf>
    <xf numFmtId="257" fontId="36" fillId="7" borderId="9" xfId="0" quotePrefix="1" applyNumberFormat="1" applyFont="1" applyFill="1" applyBorder="1" applyAlignment="1">
      <alignment horizontal="center" vertical="center" wrapText="1"/>
    </xf>
    <xf numFmtId="257" fontId="33" fillId="7" borderId="0" xfId="0" applyNumberFormat="1" applyFont="1" applyFill="1" applyBorder="1">
      <alignment vertical="center"/>
    </xf>
    <xf numFmtId="257" fontId="33" fillId="7" borderId="0" xfId="0" applyNumberFormat="1" applyFont="1" applyFill="1" applyBorder="1" applyAlignment="1">
      <alignment horizontal="center" vertical="center"/>
    </xf>
    <xf numFmtId="258" fontId="33" fillId="7" borderId="0" xfId="1" applyNumberFormat="1" applyFont="1" applyFill="1" applyBorder="1" applyAlignment="1">
      <alignment horizontal="center" vertical="center"/>
    </xf>
    <xf numFmtId="259" fontId="33" fillId="7" borderId="0" xfId="1" applyNumberFormat="1" applyFont="1" applyFill="1" applyBorder="1" applyAlignment="1">
      <alignment horizontal="center" vertical="center"/>
    </xf>
    <xf numFmtId="257" fontId="33" fillId="7" borderId="107" xfId="0" applyNumberFormat="1" applyFont="1" applyFill="1" applyBorder="1">
      <alignment vertical="center"/>
    </xf>
    <xf numFmtId="257" fontId="33" fillId="7" borderId="108" xfId="0" applyNumberFormat="1" applyFont="1" applyFill="1" applyBorder="1" applyAlignment="1">
      <alignment horizontal="center" vertical="center"/>
    </xf>
    <xf numFmtId="260" fontId="33" fillId="7" borderId="108" xfId="1" applyNumberFormat="1" applyFont="1" applyFill="1" applyBorder="1" applyAlignment="1">
      <alignment horizontal="center" vertical="center"/>
    </xf>
    <xf numFmtId="259" fontId="33" fillId="7" borderId="108" xfId="1" applyNumberFormat="1" applyFont="1" applyFill="1" applyBorder="1" applyAlignment="1">
      <alignment horizontal="center" vertical="center"/>
    </xf>
    <xf numFmtId="257" fontId="33" fillId="0" borderId="0" xfId="0" applyNumberFormat="1" applyFont="1" applyFill="1">
      <alignment vertical="center"/>
    </xf>
    <xf numFmtId="257" fontId="33" fillId="0" borderId="0" xfId="0" applyNumberFormat="1" applyFont="1" applyFill="1" applyAlignment="1">
      <alignment horizontal="left" vertical="center"/>
    </xf>
    <xf numFmtId="257" fontId="33" fillId="0" borderId="0" xfId="0" applyNumberFormat="1" applyFont="1" applyFill="1" applyBorder="1">
      <alignment vertical="center"/>
    </xf>
    <xf numFmtId="257" fontId="33" fillId="0" borderId="0" xfId="0" applyNumberFormat="1" applyFont="1" applyFill="1" applyBorder="1" applyAlignment="1">
      <alignment horizontal="center" vertical="center"/>
    </xf>
    <xf numFmtId="9" fontId="33" fillId="0" borderId="0" xfId="1" applyFont="1" applyFill="1" applyBorder="1" applyAlignment="1">
      <alignment horizontal="center" vertical="center"/>
    </xf>
    <xf numFmtId="259" fontId="33" fillId="0" borderId="0" xfId="1" applyNumberFormat="1" applyFont="1" applyFill="1" applyBorder="1" applyAlignment="1">
      <alignment horizontal="center" vertical="center"/>
    </xf>
    <xf numFmtId="257" fontId="33" fillId="0" borderId="0" xfId="0" applyNumberFormat="1" applyFont="1" applyAlignment="1">
      <alignment horizontal="center" vertical="center"/>
    </xf>
    <xf numFmtId="9" fontId="33" fillId="0" borderId="0" xfId="1" applyFont="1" applyAlignment="1">
      <alignment horizontal="center" vertical="center"/>
    </xf>
    <xf numFmtId="257" fontId="33" fillId="0" borderId="0" xfId="0" applyNumberFormat="1" applyFont="1" applyAlignment="1">
      <alignment vertical="center" wrapText="1"/>
    </xf>
    <xf numFmtId="257" fontId="36" fillId="0" borderId="0" xfId="0" applyNumberFormat="1" applyFont="1" applyAlignment="1">
      <alignment horizontal="center" vertical="center" wrapText="1"/>
    </xf>
    <xf numFmtId="257" fontId="33" fillId="10" borderId="99" xfId="0" applyNumberFormat="1" applyFont="1" applyFill="1" applyBorder="1" applyAlignment="1">
      <alignment horizontal="left" vertical="center" wrapText="1"/>
    </xf>
    <xf numFmtId="257" fontId="33" fillId="10" borderId="99" xfId="0" applyNumberFormat="1" applyFont="1" applyFill="1" applyBorder="1" applyAlignment="1">
      <alignment horizontal="center" vertical="center" wrapText="1"/>
    </xf>
    <xf numFmtId="257" fontId="33" fillId="10" borderId="37" xfId="0" applyNumberFormat="1" applyFont="1" applyFill="1" applyBorder="1" applyAlignment="1">
      <alignment horizontal="center" vertical="center" wrapText="1"/>
    </xf>
    <xf numFmtId="257" fontId="36" fillId="10" borderId="99" xfId="0" applyNumberFormat="1" applyFont="1" applyFill="1" applyBorder="1" applyAlignment="1">
      <alignment horizontal="center" vertical="center" wrapText="1"/>
    </xf>
    <xf numFmtId="257" fontId="33" fillId="0" borderId="99" xfId="0" quotePrefix="1" applyNumberFormat="1" applyFont="1" applyBorder="1" applyAlignment="1">
      <alignment horizontal="left" vertical="center" wrapText="1"/>
    </xf>
    <xf numFmtId="257" fontId="33" fillId="0" borderId="99" xfId="0" applyNumberFormat="1" applyFont="1" applyBorder="1" applyAlignment="1">
      <alignment horizontal="right" vertical="center" wrapText="1"/>
    </xf>
    <xf numFmtId="257" fontId="33" fillId="0" borderId="99" xfId="0" applyNumberFormat="1" applyFont="1" applyBorder="1" applyAlignment="1">
      <alignment horizontal="center" vertical="center" wrapText="1"/>
    </xf>
    <xf numFmtId="257" fontId="33" fillId="0" borderId="99" xfId="0" applyNumberFormat="1" applyFont="1" applyBorder="1" applyAlignment="1">
      <alignment vertical="center" wrapText="1"/>
    </xf>
    <xf numFmtId="257" fontId="36" fillId="0" borderId="99" xfId="0" applyNumberFormat="1" applyFont="1" applyBorder="1" applyAlignment="1">
      <alignment vertical="center" wrapText="1"/>
    </xf>
    <xf numFmtId="257" fontId="36" fillId="9" borderId="0" xfId="0" quotePrefix="1" applyNumberFormat="1" applyFont="1" applyFill="1" applyAlignment="1">
      <alignment horizontal="right" vertical="center"/>
    </xf>
    <xf numFmtId="0" fontId="36" fillId="9" borderId="0" xfId="0" quotePrefix="1" applyNumberFormat="1" applyFont="1" applyFill="1" applyAlignment="1">
      <alignment horizontal="left" vertical="center"/>
    </xf>
    <xf numFmtId="257" fontId="33" fillId="9" borderId="99" xfId="0" applyNumberFormat="1" applyFont="1" applyFill="1" applyBorder="1" applyAlignment="1">
      <alignment horizontal="left" vertical="center"/>
    </xf>
    <xf numFmtId="257" fontId="33" fillId="9" borderId="99" xfId="0" applyNumberFormat="1" applyFont="1" applyFill="1" applyBorder="1">
      <alignment vertical="center"/>
    </xf>
    <xf numFmtId="257" fontId="33" fillId="9" borderId="99" xfId="0" applyNumberFormat="1" applyFont="1" applyFill="1" applyBorder="1" applyAlignment="1">
      <alignment horizontal="right" vertical="center"/>
    </xf>
    <xf numFmtId="257" fontId="36" fillId="9" borderId="0" xfId="0" applyNumberFormat="1" applyFont="1" applyFill="1" applyAlignment="1">
      <alignment horizontal="right" vertical="center"/>
    </xf>
    <xf numFmtId="257" fontId="33" fillId="9" borderId="99" xfId="0" quotePrefix="1" applyNumberFormat="1" applyFont="1" applyFill="1" applyBorder="1" applyAlignment="1">
      <alignment horizontal="left" vertical="center"/>
    </xf>
    <xf numFmtId="258" fontId="33" fillId="9" borderId="99" xfId="1" applyNumberFormat="1" applyFont="1" applyFill="1" applyBorder="1" applyAlignment="1">
      <alignment horizontal="right" vertical="center"/>
    </xf>
    <xf numFmtId="257" fontId="36" fillId="11" borderId="0" xfId="0" applyNumberFormat="1" applyFont="1" applyFill="1" applyAlignment="1">
      <alignment horizontal="right" vertical="center"/>
    </xf>
    <xf numFmtId="0" fontId="36" fillId="11" borderId="0" xfId="0" quotePrefix="1" applyNumberFormat="1" applyFont="1" applyFill="1" applyAlignment="1">
      <alignment horizontal="left" vertical="center"/>
    </xf>
    <xf numFmtId="257" fontId="36" fillId="11" borderId="0" xfId="0" quotePrefix="1" applyNumberFormat="1" applyFont="1" applyFill="1" applyAlignment="1">
      <alignment horizontal="right" vertical="center"/>
    </xf>
    <xf numFmtId="257" fontId="33" fillId="11" borderId="99" xfId="0" applyNumberFormat="1" applyFont="1" applyFill="1" applyBorder="1" applyAlignment="1">
      <alignment horizontal="left" vertical="center"/>
    </xf>
    <xf numFmtId="257" fontId="33" fillId="11" borderId="99" xfId="0" applyNumberFormat="1" applyFont="1" applyFill="1" applyBorder="1">
      <alignment vertical="center"/>
    </xf>
    <xf numFmtId="257" fontId="33" fillId="11" borderId="99" xfId="0" applyNumberFormat="1" applyFont="1" applyFill="1" applyBorder="1" applyAlignment="1">
      <alignment horizontal="right" vertical="center"/>
    </xf>
    <xf numFmtId="258" fontId="33" fillId="11" borderId="99" xfId="1" applyNumberFormat="1" applyFont="1" applyFill="1" applyBorder="1" applyAlignment="1">
      <alignment horizontal="right" vertical="center"/>
    </xf>
    <xf numFmtId="257" fontId="37" fillId="11" borderId="99" xfId="0" applyNumberFormat="1" applyFont="1" applyFill="1" applyBorder="1">
      <alignment vertical="center"/>
    </xf>
    <xf numFmtId="257" fontId="37" fillId="11" borderId="99" xfId="0" applyNumberFormat="1" applyFont="1" applyFill="1" applyBorder="1" applyAlignment="1">
      <alignment horizontal="right" vertical="center"/>
    </xf>
    <xf numFmtId="257" fontId="33" fillId="9" borderId="110" xfId="0" applyNumberFormat="1" applyFont="1" applyFill="1" applyBorder="1" applyAlignment="1">
      <alignment horizontal="left" vertical="center"/>
    </xf>
    <xf numFmtId="257" fontId="36" fillId="0" borderId="99" xfId="0" applyNumberFormat="1" applyFont="1" applyBorder="1" applyAlignment="1">
      <alignment horizontal="left" vertical="center"/>
    </xf>
    <xf numFmtId="257" fontId="36" fillId="0" borderId="99" xfId="0" applyNumberFormat="1" applyFont="1" applyBorder="1">
      <alignment vertical="center"/>
    </xf>
    <xf numFmtId="257" fontId="33" fillId="0" borderId="99" xfId="0" applyNumberFormat="1" applyFont="1" applyBorder="1" applyAlignment="1">
      <alignment horizontal="right" vertical="center"/>
    </xf>
    <xf numFmtId="257" fontId="33" fillId="0" borderId="99" xfId="0" applyNumberFormat="1" applyFont="1" applyBorder="1">
      <alignment vertical="center"/>
    </xf>
    <xf numFmtId="257" fontId="36" fillId="7" borderId="99" xfId="0" applyNumberFormat="1" applyFont="1" applyFill="1" applyBorder="1">
      <alignment vertical="center"/>
    </xf>
    <xf numFmtId="9" fontId="36" fillId="7" borderId="99" xfId="1" applyFont="1" applyFill="1" applyBorder="1">
      <alignment vertical="center"/>
    </xf>
    <xf numFmtId="173" fontId="33" fillId="72" borderId="0" xfId="0" applyNumberFormat="1" applyFont="1" applyFill="1">
      <alignment vertical="center"/>
    </xf>
    <xf numFmtId="0" fontId="0" fillId="0" borderId="0" xfId="0" applyBorder="1" applyAlignment="1"/>
    <xf numFmtId="173" fontId="33" fillId="72" borderId="0" xfId="0" applyNumberFormat="1" applyFont="1" applyFill="1" applyBorder="1">
      <alignment vertical="center"/>
    </xf>
    <xf numFmtId="173" fontId="33" fillId="72" borderId="4" xfId="0" applyNumberFormat="1" applyFont="1" applyFill="1" applyBorder="1">
      <alignment vertical="center"/>
    </xf>
    <xf numFmtId="0" fontId="247" fillId="0" borderId="0" xfId="0" applyFont="1" applyAlignment="1">
      <alignment horizontal="center" vertical="center"/>
    </xf>
    <xf numFmtId="38" fontId="241" fillId="0" borderId="0" xfId="13963" applyNumberFormat="1" applyFont="1" applyFill="1" applyAlignment="1">
      <alignment horizontal="right" vertical="center"/>
    </xf>
    <xf numFmtId="38" fontId="241" fillId="0" borderId="0" xfId="13963" applyNumberFormat="1" applyFont="1" applyFill="1" applyBorder="1" applyAlignment="1">
      <alignment horizontal="right" vertical="center"/>
    </xf>
    <xf numFmtId="258" fontId="33" fillId="7" borderId="109" xfId="1" applyNumberFormat="1" applyFont="1" applyFill="1" applyBorder="1" applyAlignment="1">
      <alignment horizontal="center" vertical="center"/>
    </xf>
    <xf numFmtId="0" fontId="34" fillId="0" borderId="0" xfId="1" applyNumberFormat="1" applyFont="1">
      <alignment vertical="center"/>
    </xf>
    <xf numFmtId="183" fontId="50" fillId="6" borderId="0" xfId="0" applyNumberFormat="1" applyFont="1" applyFill="1" applyAlignment="1">
      <alignment vertical="center"/>
    </xf>
    <xf numFmtId="9" fontId="251" fillId="6" borderId="0" xfId="1" applyFont="1" applyFill="1">
      <alignment vertical="center"/>
    </xf>
    <xf numFmtId="9" fontId="24" fillId="6" borderId="0" xfId="1" applyFont="1" applyFill="1" applyAlignment="1">
      <alignment vertical="center"/>
    </xf>
    <xf numFmtId="208" fontId="0" fillId="0" borderId="0" xfId="13963" applyNumberFormat="1" applyFont="1" applyAlignment="1">
      <alignment vertical="center"/>
    </xf>
    <xf numFmtId="183" fontId="253" fillId="0" borderId="0" xfId="0" applyNumberFormat="1" applyFont="1">
      <alignment vertical="center"/>
    </xf>
    <xf numFmtId="183" fontId="253" fillId="0" borderId="0" xfId="0" applyNumberFormat="1" applyFont="1" applyAlignment="1">
      <alignment vertical="center" wrapText="1"/>
    </xf>
    <xf numFmtId="183" fontId="251" fillId="0" borderId="0" xfId="0" applyNumberFormat="1" applyFont="1">
      <alignment vertical="center"/>
    </xf>
    <xf numFmtId="173" fontId="43" fillId="0" borderId="0" xfId="0" applyNumberFormat="1" applyFont="1" applyBorder="1">
      <alignment vertical="center"/>
    </xf>
    <xf numFmtId="173" fontId="256" fillId="0" borderId="0" xfId="0" applyNumberFormat="1" applyFont="1">
      <alignment vertical="center"/>
    </xf>
    <xf numFmtId="173" fontId="33" fillId="0" borderId="104" xfId="0" applyNumberFormat="1" applyFont="1" applyBorder="1">
      <alignment vertical="center"/>
    </xf>
    <xf numFmtId="183" fontId="0" fillId="0" borderId="0" xfId="0" applyNumberFormat="1" applyAlignment="1">
      <alignment vertical="center" wrapText="1"/>
    </xf>
    <xf numFmtId="0" fontId="27" fillId="0" borderId="0" xfId="0" applyFont="1" applyBorder="1" applyAlignment="1"/>
    <xf numFmtId="208" fontId="0" fillId="0" borderId="0" xfId="13963" applyNumberFormat="1" applyFont="1" applyFill="1" applyAlignment="1">
      <alignment vertical="center"/>
    </xf>
    <xf numFmtId="0" fontId="27" fillId="72" borderId="0" xfId="0" applyFont="1" applyFill="1" applyBorder="1" applyAlignment="1"/>
    <xf numFmtId="0" fontId="60" fillId="0" borderId="0" xfId="0" applyFont="1" applyFill="1" applyAlignment="1">
      <alignment horizontal="left" vertical="center"/>
    </xf>
    <xf numFmtId="0" fontId="33" fillId="0" borderId="0" xfId="0" applyFont="1" applyFill="1" applyAlignment="1">
      <alignment horizontal="left" vertical="center"/>
    </xf>
    <xf numFmtId="0" fontId="40" fillId="0" borderId="0" xfId="0" applyFont="1">
      <alignment vertical="center"/>
    </xf>
    <xf numFmtId="0" fontId="60" fillId="0" borderId="0" xfId="0" applyFont="1" applyFill="1" applyAlignment="1">
      <alignment horizontal="center" vertical="center"/>
    </xf>
    <xf numFmtId="0" fontId="60" fillId="0" borderId="0" xfId="0" applyFont="1" applyFill="1" applyBorder="1" applyAlignment="1">
      <alignment horizontal="left" vertical="center"/>
    </xf>
    <xf numFmtId="0" fontId="231" fillId="0" borderId="0" xfId="0" applyFont="1" applyFill="1" applyAlignment="1">
      <alignment horizontal="left" vertical="center"/>
    </xf>
    <xf numFmtId="0" fontId="61" fillId="0" borderId="0" xfId="347" applyNumberFormat="1" applyFont="1" applyFill="1" applyAlignment="1">
      <alignment horizontal="left" vertical="center"/>
    </xf>
    <xf numFmtId="0" fontId="232" fillId="0" borderId="0" xfId="0" applyFont="1" applyFill="1" applyAlignment="1">
      <alignment horizontal="left" vertical="center"/>
    </xf>
    <xf numFmtId="0" fontId="62" fillId="0" borderId="0" xfId="3076" applyFont="1" applyFill="1" applyAlignment="1">
      <alignment horizontal="left"/>
    </xf>
    <xf numFmtId="0" fontId="114" fillId="0" borderId="0" xfId="3076" applyFont="1" applyFill="1" applyAlignment="1">
      <alignment horizontal="left"/>
    </xf>
    <xf numFmtId="166" fontId="61" fillId="0" borderId="0" xfId="347" applyFont="1" applyFill="1" applyAlignment="1">
      <alignment horizontal="left" vertical="center"/>
    </xf>
    <xf numFmtId="166" fontId="60" fillId="0" borderId="0" xfId="347" applyFont="1" applyFill="1" applyAlignment="1">
      <alignment horizontal="left" vertical="center"/>
    </xf>
    <xf numFmtId="0" fontId="114" fillId="0" borderId="0" xfId="3087" applyFont="1" applyAlignment="1">
      <alignment horizontal="left"/>
    </xf>
    <xf numFmtId="0" fontId="62" fillId="0" borderId="0" xfId="3087" applyFont="1"/>
    <xf numFmtId="0" fontId="62" fillId="0" borderId="0" xfId="3087" applyFont="1" applyFill="1"/>
    <xf numFmtId="0" fontId="62" fillId="0" borderId="0" xfId="3087" applyFont="1" applyAlignment="1">
      <alignment horizontal="left" vertical="center"/>
    </xf>
    <xf numFmtId="0" fontId="235" fillId="0" borderId="0" xfId="3087" applyFont="1" applyAlignment="1">
      <alignment horizontal="left" vertical="center"/>
    </xf>
    <xf numFmtId="0" fontId="62" fillId="0" borderId="0" xfId="3076" applyFont="1" applyFill="1" applyAlignment="1">
      <alignment horizontal="left" vertical="center"/>
    </xf>
    <xf numFmtId="0" fontId="60" fillId="0" borderId="0" xfId="0" applyFont="1" applyFill="1" applyAlignment="1">
      <alignment vertical="center"/>
    </xf>
    <xf numFmtId="0" fontId="53" fillId="0" borderId="0" xfId="3087" applyFont="1" applyAlignment="1">
      <alignment horizontal="left"/>
    </xf>
    <xf numFmtId="0" fontId="53" fillId="0" borderId="0" xfId="3087" applyFont="1"/>
    <xf numFmtId="0" fontId="53" fillId="0" borderId="0" xfId="3087" applyFont="1" applyFill="1"/>
    <xf numFmtId="0" fontId="60" fillId="0" borderId="0" xfId="0" applyFont="1" applyFill="1" applyBorder="1">
      <alignment vertical="center"/>
    </xf>
    <xf numFmtId="208" fontId="61" fillId="0" borderId="113" xfId="347" applyNumberFormat="1" applyFont="1" applyBorder="1">
      <alignment vertical="center"/>
    </xf>
    <xf numFmtId="253" fontId="61" fillId="0" borderId="114" xfId="3131" applyNumberFormat="1" applyFont="1" applyBorder="1">
      <alignment vertical="center"/>
    </xf>
    <xf numFmtId="175" fontId="61" fillId="0" borderId="115" xfId="3227" applyNumberFormat="1" applyFont="1" applyBorder="1" applyAlignment="1">
      <alignment horizontal="center" vertical="center"/>
    </xf>
    <xf numFmtId="208" fontId="61" fillId="0" borderId="114" xfId="347" applyNumberFormat="1" applyFont="1" applyBorder="1">
      <alignment vertical="center"/>
    </xf>
    <xf numFmtId="208" fontId="61" fillId="0" borderId="114" xfId="347" applyNumberFormat="1" applyFont="1" applyFill="1" applyBorder="1">
      <alignment vertical="center"/>
    </xf>
    <xf numFmtId="208" fontId="61" fillId="64" borderId="114" xfId="347" applyNumberFormat="1" applyFont="1" applyFill="1" applyBorder="1">
      <alignment vertical="center"/>
    </xf>
    <xf numFmtId="208" fontId="61" fillId="64" borderId="113" xfId="347" applyNumberFormat="1" applyFont="1" applyFill="1" applyBorder="1">
      <alignment vertical="center"/>
    </xf>
    <xf numFmtId="253" fontId="60" fillId="0" borderId="114" xfId="3131" applyNumberFormat="1" applyFont="1" applyBorder="1">
      <alignment vertical="center"/>
    </xf>
    <xf numFmtId="175" fontId="60" fillId="0" borderId="115" xfId="3227" applyNumberFormat="1" applyFont="1" applyBorder="1" applyAlignment="1">
      <alignment horizontal="center" vertical="center"/>
    </xf>
    <xf numFmtId="208" fontId="60" fillId="0" borderId="114" xfId="347" applyNumberFormat="1" applyFont="1" applyBorder="1">
      <alignment vertical="center"/>
    </xf>
    <xf numFmtId="208" fontId="60" fillId="0" borderId="114" xfId="347" applyNumberFormat="1" applyFont="1" applyFill="1" applyBorder="1">
      <alignment vertical="center"/>
    </xf>
    <xf numFmtId="208" fontId="60" fillId="64" borderId="114" xfId="347" applyNumberFormat="1" applyFont="1" applyFill="1" applyBorder="1">
      <alignment vertical="center"/>
    </xf>
    <xf numFmtId="176" fontId="33" fillId="0" borderId="0" xfId="1" applyNumberFormat="1" applyFont="1" applyFill="1">
      <alignment vertical="center"/>
    </xf>
    <xf numFmtId="257" fontId="44" fillId="9" borderId="99" xfId="0" applyNumberFormat="1" applyFont="1" applyFill="1" applyBorder="1">
      <alignment vertical="center"/>
    </xf>
    <xf numFmtId="257" fontId="44" fillId="11" borderId="99" xfId="0" applyNumberFormat="1" applyFont="1" applyFill="1" applyBorder="1">
      <alignment vertical="center"/>
    </xf>
    <xf numFmtId="258" fontId="44" fillId="11" borderId="99" xfId="1" applyNumberFormat="1" applyFont="1" applyFill="1" applyBorder="1" applyAlignment="1">
      <alignment horizontal="right" vertical="center"/>
    </xf>
    <xf numFmtId="258" fontId="44" fillId="9" borderId="99" xfId="1" applyNumberFormat="1" applyFont="1" applyFill="1" applyBorder="1" applyAlignment="1">
      <alignment horizontal="right" vertical="center"/>
    </xf>
    <xf numFmtId="257" fontId="44" fillId="9" borderId="99" xfId="0" applyNumberFormat="1" applyFont="1" applyFill="1" applyBorder="1" applyAlignment="1">
      <alignment horizontal="right" vertical="center"/>
    </xf>
    <xf numFmtId="257" fontId="44" fillId="11" borderId="99" xfId="0" applyNumberFormat="1" applyFont="1" applyFill="1" applyBorder="1" applyAlignment="1">
      <alignment horizontal="right" vertical="center"/>
    </xf>
    <xf numFmtId="257" fontId="33" fillId="9" borderId="99" xfId="0" applyNumberFormat="1" applyFont="1" applyFill="1" applyBorder="1" applyAlignment="1">
      <alignment horizontal="center" vertical="center"/>
    </xf>
    <xf numFmtId="257" fontId="33" fillId="11" borderId="99" xfId="0" applyNumberFormat="1" applyFont="1" applyFill="1" applyBorder="1" applyAlignment="1">
      <alignment horizontal="center" vertical="center"/>
    </xf>
    <xf numFmtId="257" fontId="36" fillId="11" borderId="99" xfId="0" applyNumberFormat="1" applyFont="1" applyFill="1" applyBorder="1" applyAlignment="1">
      <alignment horizontal="center" vertical="center"/>
    </xf>
    <xf numFmtId="257" fontId="33" fillId="8" borderId="37" xfId="0" applyNumberFormat="1" applyFont="1" applyFill="1" applyBorder="1" applyAlignment="1">
      <alignment horizontal="center" vertical="center" wrapText="1"/>
    </xf>
    <xf numFmtId="183" fontId="251" fillId="11" borderId="0" xfId="0" applyNumberFormat="1" applyFont="1" applyFill="1">
      <alignment vertical="center"/>
    </xf>
    <xf numFmtId="183" fontId="251" fillId="11" borderId="0" xfId="0" applyNumberFormat="1" applyFont="1" applyFill="1" applyAlignment="1">
      <alignment horizontal="center" vertical="center"/>
    </xf>
    <xf numFmtId="173" fontId="33" fillId="11" borderId="0" xfId="0" applyNumberFormat="1" applyFont="1" applyFill="1" applyAlignment="1">
      <alignment horizontal="center" vertical="center"/>
    </xf>
    <xf numFmtId="257" fontId="35" fillId="70" borderId="0" xfId="0" applyNumberFormat="1" applyFont="1" applyFill="1" applyBorder="1" applyAlignment="1">
      <alignment horizontal="center" vertical="center"/>
    </xf>
    <xf numFmtId="257" fontId="36" fillId="7" borderId="0" xfId="0" quotePrefix="1" applyNumberFormat="1" applyFont="1" applyFill="1" applyBorder="1" applyAlignment="1">
      <alignment horizontal="center" vertical="center" wrapText="1"/>
    </xf>
    <xf numFmtId="257" fontId="36" fillId="77" borderId="2" xfId="0" applyNumberFormat="1" applyFont="1" applyFill="1" applyBorder="1" applyAlignment="1">
      <alignment horizontal="center" vertical="center"/>
    </xf>
    <xf numFmtId="208" fontId="114" fillId="0" borderId="43" xfId="347" applyNumberFormat="1" applyFont="1" applyFill="1" applyBorder="1" applyAlignment="1">
      <alignment horizontal="left" vertical="center"/>
    </xf>
    <xf numFmtId="253" fontId="61" fillId="0" borderId="0" xfId="347" applyNumberFormat="1" applyFont="1" applyBorder="1">
      <alignment vertical="center"/>
    </xf>
    <xf numFmtId="253" fontId="60" fillId="0" borderId="0" xfId="3131" applyNumberFormat="1" applyFont="1" applyBorder="1">
      <alignment vertical="center"/>
    </xf>
    <xf numFmtId="208" fontId="62" fillId="0" borderId="0" xfId="3076" applyNumberFormat="1" applyFont="1" applyFill="1" applyAlignment="1">
      <alignment horizontal="left"/>
    </xf>
    <xf numFmtId="0" fontId="235" fillId="0" borderId="0" xfId="3087" applyFont="1" applyAlignment="1">
      <alignment horizontal="left"/>
    </xf>
    <xf numFmtId="166" fontId="61" fillId="78" borderId="119" xfId="347" applyFont="1" applyFill="1" applyBorder="1" applyAlignment="1">
      <alignment horizontal="center" vertical="center" wrapText="1"/>
    </xf>
    <xf numFmtId="166" fontId="61" fillId="58" borderId="119" xfId="347" applyFont="1" applyFill="1" applyBorder="1" applyAlignment="1">
      <alignment horizontal="center" vertical="center" wrapText="1"/>
    </xf>
    <xf numFmtId="166" fontId="61" fillId="0" borderId="119" xfId="347" applyFont="1" applyFill="1" applyBorder="1" applyAlignment="1">
      <alignment horizontal="center" vertical="center" wrapText="1"/>
    </xf>
    <xf numFmtId="166" fontId="61" fillId="0" borderId="119" xfId="347" applyFont="1" applyBorder="1">
      <alignment vertical="center"/>
    </xf>
    <xf numFmtId="208" fontId="60" fillId="0" borderId="118" xfId="347" applyNumberFormat="1" applyFont="1" applyBorder="1">
      <alignment vertical="center"/>
    </xf>
    <xf numFmtId="208" fontId="60" fillId="0" borderId="118" xfId="347" applyNumberFormat="1" applyFont="1" applyFill="1" applyBorder="1">
      <alignment vertical="center"/>
    </xf>
    <xf numFmtId="208" fontId="61" fillId="0" borderId="119" xfId="347" applyNumberFormat="1" applyFont="1" applyBorder="1">
      <alignment vertical="center"/>
    </xf>
    <xf numFmtId="208" fontId="60" fillId="64" borderId="118" xfId="347" applyNumberFormat="1" applyFont="1" applyFill="1" applyBorder="1">
      <alignment vertical="center"/>
    </xf>
    <xf numFmtId="208" fontId="60" fillId="0" borderId="119" xfId="347" applyNumberFormat="1" applyFont="1" applyBorder="1">
      <alignment vertical="center"/>
    </xf>
    <xf numFmtId="253" fontId="60" fillId="0" borderId="118" xfId="3131" applyNumberFormat="1" applyFont="1" applyBorder="1">
      <alignment vertical="center"/>
    </xf>
    <xf numFmtId="208" fontId="61" fillId="0" borderId="118" xfId="347" applyNumberFormat="1" applyFont="1" applyBorder="1">
      <alignment vertical="center"/>
    </xf>
    <xf numFmtId="208" fontId="233" fillId="64" borderId="118" xfId="347" applyNumberFormat="1" applyFont="1" applyFill="1" applyBorder="1">
      <alignment vertical="center"/>
    </xf>
    <xf numFmtId="253" fontId="61" fillId="0" borderId="118" xfId="3131" applyNumberFormat="1" applyFont="1" applyBorder="1">
      <alignment vertical="center"/>
    </xf>
    <xf numFmtId="208" fontId="61" fillId="64" borderId="118" xfId="347" applyNumberFormat="1" applyFont="1" applyFill="1" applyBorder="1">
      <alignment vertical="center"/>
    </xf>
    <xf numFmtId="208" fontId="61" fillId="0" borderId="118" xfId="347" applyNumberFormat="1" applyFont="1" applyBorder="1" applyAlignment="1">
      <alignment horizontal="center" vertical="center"/>
    </xf>
    <xf numFmtId="208" fontId="61" fillId="0" borderId="119" xfId="347" applyNumberFormat="1" applyFont="1" applyBorder="1" applyAlignment="1">
      <alignment horizontal="center" vertical="center"/>
    </xf>
    <xf numFmtId="254" fontId="60" fillId="0" borderId="119" xfId="347" applyNumberFormat="1" applyFont="1" applyBorder="1" applyAlignment="1">
      <alignment horizontal="center" vertical="center"/>
    </xf>
    <xf numFmtId="255" fontId="60" fillId="0" borderId="118" xfId="3131" applyNumberFormat="1" applyFont="1" applyBorder="1" applyAlignment="1">
      <alignment horizontal="center" vertical="center"/>
    </xf>
    <xf numFmtId="254" fontId="60" fillId="64" borderId="118" xfId="347" applyNumberFormat="1" applyFont="1" applyFill="1" applyBorder="1" applyAlignment="1">
      <alignment horizontal="center" vertical="center"/>
    </xf>
    <xf numFmtId="254" fontId="61" fillId="0" borderId="119" xfId="347" applyNumberFormat="1" applyFont="1" applyBorder="1" applyAlignment="1">
      <alignment horizontal="center" vertical="center"/>
    </xf>
    <xf numFmtId="255" fontId="61" fillId="0" borderId="118" xfId="3131" applyNumberFormat="1" applyFont="1" applyBorder="1" applyAlignment="1">
      <alignment horizontal="center" vertical="center"/>
    </xf>
    <xf numFmtId="254" fontId="61" fillId="64" borderId="118" xfId="347" applyNumberFormat="1" applyFont="1" applyFill="1" applyBorder="1" applyAlignment="1">
      <alignment horizontal="center" vertical="center"/>
    </xf>
    <xf numFmtId="208" fontId="69" fillId="0" borderId="119" xfId="347" applyNumberFormat="1" applyFont="1" applyBorder="1">
      <alignment vertical="center"/>
    </xf>
    <xf numFmtId="208" fontId="62" fillId="0" borderId="119" xfId="347" applyNumberFormat="1" applyFont="1" applyBorder="1">
      <alignment vertical="center"/>
    </xf>
    <xf numFmtId="253" fontId="61" fillId="0" borderId="118" xfId="347" applyNumberFormat="1" applyFont="1" applyBorder="1">
      <alignment vertical="center"/>
    </xf>
    <xf numFmtId="9" fontId="61" fillId="0" borderId="118" xfId="6374" applyFont="1" applyBorder="1" applyAlignment="1">
      <alignment horizontal="center" vertical="center"/>
    </xf>
    <xf numFmtId="9" fontId="61" fillId="0" borderId="119" xfId="6374" applyFont="1" applyBorder="1" applyAlignment="1">
      <alignment horizontal="center" vertical="center"/>
    </xf>
    <xf numFmtId="253" fontId="61" fillId="0" borderId="118" xfId="6374" applyNumberFormat="1" applyFont="1" applyBorder="1" applyAlignment="1">
      <alignment horizontal="center" vertical="center"/>
    </xf>
    <xf numFmtId="208" fontId="61" fillId="64" borderId="118" xfId="347" applyNumberFormat="1" applyFont="1" applyFill="1" applyBorder="1" applyAlignment="1">
      <alignment horizontal="center" vertical="center"/>
    </xf>
    <xf numFmtId="9" fontId="60" fillId="0" borderId="118" xfId="6374" applyFont="1" applyBorder="1" applyAlignment="1">
      <alignment horizontal="center" vertical="center"/>
    </xf>
    <xf numFmtId="9" fontId="60" fillId="0" borderId="119" xfId="6374" applyFont="1" applyBorder="1" applyAlignment="1">
      <alignment horizontal="center" vertical="center"/>
    </xf>
    <xf numFmtId="253" fontId="60" fillId="0" borderId="118" xfId="6374" applyNumberFormat="1" applyFont="1" applyBorder="1" applyAlignment="1">
      <alignment horizontal="center" vertical="center"/>
    </xf>
    <xf numFmtId="208" fontId="60" fillId="64" borderId="118" xfId="347" applyNumberFormat="1" applyFont="1" applyFill="1" applyBorder="1" applyAlignment="1">
      <alignment horizontal="center" vertical="center"/>
    </xf>
    <xf numFmtId="208" fontId="61" fillId="0" borderId="119" xfId="347" applyNumberFormat="1" applyFont="1" applyFill="1" applyBorder="1">
      <alignment vertical="center"/>
    </xf>
    <xf numFmtId="208" fontId="60" fillId="0" borderId="119" xfId="347" applyNumberFormat="1" applyFont="1" applyFill="1" applyBorder="1">
      <alignment vertical="center"/>
    </xf>
    <xf numFmtId="208" fontId="36" fillId="0" borderId="118" xfId="347" applyNumberFormat="1" applyFont="1" applyBorder="1">
      <alignment vertical="center"/>
    </xf>
    <xf numFmtId="208" fontId="36" fillId="0" borderId="118" xfId="347" applyNumberFormat="1" applyFont="1" applyFill="1" applyBorder="1">
      <alignment vertical="center"/>
    </xf>
    <xf numFmtId="208" fontId="36" fillId="0" borderId="119" xfId="347" applyNumberFormat="1" applyFont="1" applyFill="1" applyBorder="1">
      <alignment vertical="center"/>
    </xf>
    <xf numFmtId="208" fontId="36" fillId="64" borderId="118" xfId="347" applyNumberFormat="1" applyFont="1" applyFill="1" applyBorder="1">
      <alignment vertical="center"/>
    </xf>
    <xf numFmtId="208" fontId="33" fillId="0" borderId="0" xfId="13963" applyNumberFormat="1" applyFont="1" applyAlignment="1">
      <alignment vertical="center"/>
    </xf>
    <xf numFmtId="173" fontId="33" fillId="61" borderId="0" xfId="0" applyNumberFormat="1" applyFont="1" applyFill="1">
      <alignment vertical="center"/>
    </xf>
    <xf numFmtId="178" fontId="44" fillId="76" borderId="0" xfId="0" applyNumberFormat="1" applyFont="1" applyFill="1">
      <alignment vertical="center"/>
    </xf>
    <xf numFmtId="166" fontId="60" fillId="0" borderId="119" xfId="347" applyFont="1" applyBorder="1" applyAlignment="1">
      <alignment horizontal="left" vertical="center"/>
    </xf>
    <xf numFmtId="166" fontId="61" fillId="0" borderId="119" xfId="347" applyFont="1" applyBorder="1" applyAlignment="1">
      <alignment horizontal="left" vertical="center"/>
    </xf>
    <xf numFmtId="208" fontId="62" fillId="0" borderId="119" xfId="347" applyNumberFormat="1" applyFont="1" applyFill="1" applyBorder="1" applyAlignment="1">
      <alignment horizontal="left"/>
    </xf>
    <xf numFmtId="0" fontId="62" fillId="0" borderId="119" xfId="3087" applyFont="1" applyBorder="1"/>
    <xf numFmtId="0" fontId="114" fillId="0" borderId="118" xfId="3087" applyFont="1" applyBorder="1"/>
    <xf numFmtId="253" fontId="61" fillId="0" borderId="118" xfId="347" applyNumberFormat="1" applyFont="1" applyFill="1" applyBorder="1">
      <alignment vertical="center"/>
    </xf>
    <xf numFmtId="166" fontId="62" fillId="0" borderId="119" xfId="347" applyFont="1" applyFill="1" applyBorder="1" applyAlignment="1">
      <alignment horizontal="left"/>
    </xf>
    <xf numFmtId="208" fontId="60" fillId="60" borderId="118" xfId="347" applyNumberFormat="1" applyFont="1" applyFill="1" applyBorder="1">
      <alignment vertical="center"/>
    </xf>
    <xf numFmtId="0" fontId="114" fillId="0" borderId="119" xfId="3087" applyFont="1" applyBorder="1"/>
    <xf numFmtId="197" fontId="33" fillId="0" borderId="0" xfId="13963" applyNumberFormat="1" applyFont="1" applyAlignment="1">
      <alignment vertical="center"/>
    </xf>
    <xf numFmtId="258" fontId="257" fillId="11" borderId="99" xfId="1" applyNumberFormat="1" applyFont="1" applyFill="1" applyBorder="1" applyAlignment="1">
      <alignment horizontal="right" vertical="center"/>
    </xf>
    <xf numFmtId="258" fontId="257" fillId="9" borderId="99" xfId="1" applyNumberFormat="1" applyFont="1" applyFill="1" applyBorder="1" applyAlignment="1">
      <alignment horizontal="right" vertical="center"/>
    </xf>
    <xf numFmtId="257" fontId="257" fillId="11" borderId="99" xfId="0" applyNumberFormat="1" applyFont="1" applyFill="1" applyBorder="1">
      <alignment vertical="center"/>
    </xf>
    <xf numFmtId="257" fontId="257" fillId="9" borderId="99" xfId="0" applyNumberFormat="1" applyFont="1" applyFill="1" applyBorder="1">
      <alignment vertical="center"/>
    </xf>
    <xf numFmtId="208" fontId="239" fillId="9" borderId="119" xfId="13963" applyNumberFormat="1" applyFont="1" applyFill="1" applyBorder="1" applyAlignment="1">
      <alignment vertical="center"/>
    </xf>
    <xf numFmtId="208" fontId="239" fillId="9" borderId="113" xfId="13963" applyNumberFormat="1" applyFont="1" applyFill="1" applyBorder="1" applyAlignment="1">
      <alignment vertical="center"/>
    </xf>
    <xf numFmtId="178" fontId="33" fillId="0" borderId="0" xfId="0" applyNumberFormat="1" applyFont="1">
      <alignment vertical="center"/>
    </xf>
    <xf numFmtId="262" fontId="33" fillId="0" borderId="0" xfId="0" applyNumberFormat="1" applyFont="1">
      <alignment vertical="center"/>
    </xf>
    <xf numFmtId="9" fontId="33" fillId="0" borderId="0" xfId="1" applyNumberFormat="1" applyFont="1">
      <alignment vertical="center"/>
    </xf>
    <xf numFmtId="183" fontId="251" fillId="0" borderId="0" xfId="0" applyNumberFormat="1" applyFont="1" applyAlignment="1">
      <alignment horizontal="left" vertical="center"/>
    </xf>
    <xf numFmtId="0" fontId="50" fillId="0" borderId="0" xfId="61994" applyFont="1"/>
    <xf numFmtId="0" fontId="22" fillId="0" borderId="0" xfId="61994"/>
    <xf numFmtId="0" fontId="22" fillId="0" borderId="0" xfId="61994" applyAlignment="1">
      <alignment horizontal="center"/>
    </xf>
    <xf numFmtId="9" fontId="22" fillId="0" borderId="0" xfId="61994" applyNumberFormat="1" applyAlignment="1">
      <alignment horizontal="center"/>
    </xf>
    <xf numFmtId="0" fontId="27" fillId="0" borderId="0" xfId="61994" applyFont="1" applyAlignment="1">
      <alignment horizontal="center"/>
    </xf>
    <xf numFmtId="0" fontId="27" fillId="0" borderId="0" xfId="61994" quotePrefix="1" applyFont="1" applyAlignment="1">
      <alignment horizontal="center"/>
    </xf>
    <xf numFmtId="0" fontId="27" fillId="0" borderId="0" xfId="61994" applyFont="1"/>
    <xf numFmtId="0" fontId="60" fillId="0" borderId="0" xfId="61994" applyFont="1" applyAlignment="1">
      <alignment vertical="center"/>
    </xf>
    <xf numFmtId="0" fontId="60" fillId="0" borderId="0" xfId="61994" applyFont="1" applyAlignment="1">
      <alignment horizontal="left" vertical="center"/>
    </xf>
    <xf numFmtId="0" fontId="62" fillId="0" borderId="0" xfId="3087" applyFont="1" applyAlignment="1">
      <alignment horizontal="center"/>
    </xf>
    <xf numFmtId="0" fontId="62" fillId="0" borderId="0" xfId="3076" applyFont="1" applyFill="1" applyAlignment="1">
      <alignment horizontal="center"/>
    </xf>
    <xf numFmtId="256" fontId="0" fillId="0" borderId="0" xfId="61995" applyNumberFormat="1" applyFont="1"/>
    <xf numFmtId="256" fontId="0" fillId="78" borderId="0" xfId="61995" applyNumberFormat="1" applyFont="1" applyFill="1"/>
    <xf numFmtId="0" fontId="62" fillId="75" borderId="0" xfId="3076" applyFont="1" applyFill="1" applyAlignment="1">
      <alignment horizontal="center"/>
    </xf>
    <xf numFmtId="256" fontId="0" fillId="75" borderId="0" xfId="61995" applyNumberFormat="1" applyFont="1" applyFill="1"/>
    <xf numFmtId="256" fontId="0" fillId="10" borderId="0" xfId="61995" applyNumberFormat="1" applyFont="1" applyFill="1"/>
    <xf numFmtId="0" fontId="62" fillId="59" borderId="0" xfId="3076" applyFont="1" applyFill="1" applyAlignment="1">
      <alignment horizontal="center"/>
    </xf>
    <xf numFmtId="256" fontId="0" fillId="59" borderId="0" xfId="61995" applyNumberFormat="1" applyFont="1" applyFill="1"/>
    <xf numFmtId="0" fontId="60" fillId="0" borderId="0" xfId="61994" applyFont="1" applyFill="1" applyAlignment="1">
      <alignment vertical="center"/>
    </xf>
    <xf numFmtId="173" fontId="33" fillId="0" borderId="0" xfId="61994" applyNumberFormat="1" applyFont="1" applyAlignment="1">
      <alignment vertical="center"/>
    </xf>
    <xf numFmtId="0" fontId="60" fillId="0" borderId="0" xfId="61994" applyFont="1" applyFill="1" applyAlignment="1">
      <alignment horizontal="center" vertical="center"/>
    </xf>
    <xf numFmtId="256" fontId="27" fillId="0" borderId="80" xfId="61994" applyNumberFormat="1" applyFont="1" applyBorder="1"/>
    <xf numFmtId="256" fontId="27" fillId="0" borderId="80" xfId="61995" applyNumberFormat="1" applyFont="1" applyBorder="1"/>
    <xf numFmtId="256" fontId="22" fillId="0" borderId="0" xfId="61994" applyNumberFormat="1"/>
    <xf numFmtId="0" fontId="22" fillId="59" borderId="0" xfId="61994" applyFill="1"/>
    <xf numFmtId="256" fontId="0" fillId="0" borderId="80" xfId="61995" applyNumberFormat="1" applyFont="1" applyBorder="1"/>
    <xf numFmtId="256" fontId="22" fillId="0" borderId="80" xfId="61994" applyNumberFormat="1" applyBorder="1"/>
    <xf numFmtId="43" fontId="22" fillId="0" borderId="0" xfId="61994" applyNumberFormat="1" applyAlignment="1">
      <alignment horizontal="center"/>
    </xf>
    <xf numFmtId="256" fontId="0" fillId="79" borderId="0" xfId="61995" applyNumberFormat="1" applyFont="1" applyFill="1"/>
    <xf numFmtId="256" fontId="251" fillId="10" borderId="0" xfId="61995" applyNumberFormat="1" applyFont="1" applyFill="1"/>
    <xf numFmtId="256" fontId="0" fillId="0" borderId="0" xfId="61995" applyNumberFormat="1" applyFont="1" applyFill="1"/>
    <xf numFmtId="208" fontId="33" fillId="0" borderId="0" xfId="13963" applyNumberFormat="1" applyFont="1" applyFill="1" applyAlignment="1">
      <alignment horizontal="center" vertical="center"/>
    </xf>
    <xf numFmtId="197" fontId="0" fillId="0" borderId="0" xfId="13963" applyNumberFormat="1" applyFont="1" applyAlignment="1"/>
    <xf numFmtId="208" fontId="0" fillId="74" borderId="0" xfId="13963" applyNumberFormat="1" applyFont="1" applyFill="1"/>
    <xf numFmtId="256" fontId="0" fillId="74" borderId="0" xfId="61995" applyNumberFormat="1" applyFont="1" applyFill="1"/>
    <xf numFmtId="166" fontId="0" fillId="0" borderId="0" xfId="13963" applyFont="1" applyAlignment="1">
      <alignment vertical="center"/>
    </xf>
    <xf numFmtId="0" fontId="0" fillId="6" borderId="0" xfId="0" applyFill="1">
      <alignment vertical="center"/>
    </xf>
    <xf numFmtId="173" fontId="36" fillId="10" borderId="0" xfId="0" applyNumberFormat="1" applyFont="1" applyFill="1">
      <alignment vertical="center"/>
    </xf>
    <xf numFmtId="208" fontId="33" fillId="0" borderId="0" xfId="13963" applyNumberFormat="1" applyFont="1" applyFill="1" applyAlignment="1">
      <alignment vertical="center"/>
    </xf>
    <xf numFmtId="0" fontId="20" fillId="0" borderId="0" xfId="61994" applyFont="1"/>
    <xf numFmtId="173" fontId="52" fillId="0" borderId="0" xfId="0" applyNumberFormat="1" applyFont="1" applyFill="1" applyBorder="1">
      <alignment vertical="center"/>
    </xf>
    <xf numFmtId="208" fontId="251" fillId="0" borderId="0" xfId="13963" applyNumberFormat="1" applyFont="1" applyFill="1" applyBorder="1" applyAlignment="1">
      <alignment vertical="center"/>
    </xf>
    <xf numFmtId="0" fontId="251" fillId="0" borderId="0" xfId="0" applyFont="1" applyFill="1" applyBorder="1">
      <alignment vertical="center"/>
    </xf>
    <xf numFmtId="173" fontId="53" fillId="0" borderId="0" xfId="0" applyNumberFormat="1" applyFont="1" applyFill="1" applyBorder="1" applyAlignment="1">
      <alignment horizontal="center" vertical="center"/>
    </xf>
    <xf numFmtId="173" fontId="52" fillId="0" borderId="0" xfId="0" applyNumberFormat="1" applyFont="1" applyFill="1" applyBorder="1" applyAlignment="1">
      <alignment vertical="center"/>
    </xf>
    <xf numFmtId="173" fontId="52" fillId="0" borderId="0" xfId="0" applyNumberFormat="1" applyFont="1" applyFill="1" applyBorder="1" applyAlignment="1">
      <alignment horizontal="center" vertical="center"/>
    </xf>
    <xf numFmtId="173" fontId="53" fillId="0" borderId="0" xfId="0" quotePrefix="1" applyNumberFormat="1" applyFont="1" applyFill="1" applyBorder="1" applyAlignment="1">
      <alignment horizontal="center" vertical="center"/>
    </xf>
    <xf numFmtId="173" fontId="53" fillId="0" borderId="0" xfId="0" applyNumberFormat="1" applyFont="1" applyFill="1" applyBorder="1">
      <alignment vertical="center"/>
    </xf>
    <xf numFmtId="208" fontId="53" fillId="0" borderId="0" xfId="13963" applyNumberFormat="1" applyFont="1" applyFill="1" applyBorder="1" applyAlignment="1">
      <alignment vertical="center"/>
    </xf>
    <xf numFmtId="176" fontId="52" fillId="0" borderId="0" xfId="1" applyNumberFormat="1" applyFont="1" applyFill="1" applyBorder="1">
      <alignment vertical="center"/>
    </xf>
    <xf numFmtId="178" fontId="52" fillId="0" borderId="0" xfId="0" applyNumberFormat="1" applyFont="1" applyFill="1" applyBorder="1">
      <alignment vertical="center"/>
    </xf>
    <xf numFmtId="179" fontId="52" fillId="0" borderId="0" xfId="1" applyNumberFormat="1" applyFont="1" applyFill="1" applyBorder="1">
      <alignment vertical="center"/>
    </xf>
    <xf numFmtId="9" fontId="259" fillId="0" borderId="0" xfId="1" applyFont="1" applyFill="1" applyBorder="1">
      <alignment vertical="center"/>
    </xf>
    <xf numFmtId="177" fontId="52" fillId="0" borderId="0" xfId="1" applyNumberFormat="1" applyFont="1" applyFill="1" applyBorder="1">
      <alignment vertical="center"/>
    </xf>
    <xf numFmtId="174" fontId="52" fillId="0" borderId="0" xfId="1" applyNumberFormat="1" applyFont="1" applyFill="1" applyBorder="1">
      <alignment vertical="center"/>
    </xf>
    <xf numFmtId="208" fontId="52" fillId="0" borderId="0" xfId="13963" applyNumberFormat="1" applyFont="1" applyFill="1" applyBorder="1" applyAlignment="1">
      <alignment vertical="center"/>
    </xf>
    <xf numFmtId="10" fontId="52" fillId="0" borderId="0" xfId="1" applyNumberFormat="1" applyFont="1" applyFill="1" applyBorder="1">
      <alignment vertical="center"/>
    </xf>
    <xf numFmtId="208" fontId="260" fillId="0" borderId="0" xfId="13963" applyNumberFormat="1" applyFont="1" applyFill="1" applyBorder="1" applyAlignment="1">
      <alignment vertical="center"/>
    </xf>
    <xf numFmtId="0" fontId="19" fillId="0" borderId="0" xfId="61994" applyFont="1"/>
    <xf numFmtId="208" fontId="0" fillId="0" borderId="0" xfId="13963" applyNumberFormat="1" applyFont="1"/>
    <xf numFmtId="208" fontId="22" fillId="0" borderId="0" xfId="13963" applyNumberFormat="1" applyFont="1"/>
    <xf numFmtId="208" fontId="33" fillId="0" borderId="0" xfId="347" applyNumberFormat="1" applyFont="1" applyAlignment="1">
      <alignment horizontal="left" vertical="center"/>
    </xf>
    <xf numFmtId="208" fontId="234" fillId="0" borderId="119" xfId="347" applyNumberFormat="1" applyFont="1" applyBorder="1">
      <alignment vertical="center"/>
    </xf>
    <xf numFmtId="0" fontId="62" fillId="0" borderId="0" xfId="3087" applyFont="1" applyFill="1" applyAlignment="1">
      <alignment horizontal="left"/>
    </xf>
    <xf numFmtId="173" fontId="36" fillId="65" borderId="0" xfId="0" applyNumberFormat="1" applyFont="1" applyFill="1" applyAlignment="1">
      <alignment horizontal="center" vertical="center"/>
    </xf>
    <xf numFmtId="173" fontId="36" fillId="65" borderId="0" xfId="0" quotePrefix="1" applyNumberFormat="1" applyFont="1" applyFill="1" applyAlignment="1">
      <alignment horizontal="center" vertical="center"/>
    </xf>
    <xf numFmtId="9" fontId="33" fillId="0" borderId="0" xfId="1" applyFont="1" applyFill="1" applyAlignment="1">
      <alignment horizontal="center" vertical="center"/>
    </xf>
    <xf numFmtId="173" fontId="33" fillId="68" borderId="0" xfId="0" applyNumberFormat="1" applyFont="1" applyFill="1">
      <alignment vertical="center"/>
    </xf>
    <xf numFmtId="208" fontId="33" fillId="68" borderId="0" xfId="13963" applyNumberFormat="1" applyFont="1" applyFill="1" applyAlignment="1">
      <alignment vertical="center"/>
    </xf>
    <xf numFmtId="173" fontId="33" fillId="68" borderId="0" xfId="0" applyNumberFormat="1" applyFont="1" applyFill="1" applyAlignment="1">
      <alignment vertical="center"/>
    </xf>
    <xf numFmtId="0" fontId="0" fillId="68" borderId="0" xfId="0" applyFill="1">
      <alignment vertical="center"/>
    </xf>
    <xf numFmtId="208" fontId="0" fillId="68" borderId="0" xfId="13963" applyNumberFormat="1" applyFont="1" applyFill="1" applyAlignment="1">
      <alignment vertical="center"/>
    </xf>
    <xf numFmtId="208" fontId="0" fillId="0" borderId="0" xfId="0" applyNumberFormat="1">
      <alignment vertical="center"/>
    </xf>
    <xf numFmtId="257" fontId="42" fillId="9" borderId="99" xfId="0" applyNumberFormat="1" applyFont="1" applyFill="1" applyBorder="1">
      <alignment vertical="center"/>
    </xf>
    <xf numFmtId="258" fontId="42" fillId="9" borderId="99" xfId="1" applyNumberFormat="1" applyFont="1" applyFill="1" applyBorder="1" applyAlignment="1">
      <alignment horizontal="right" vertical="center"/>
    </xf>
    <xf numFmtId="173" fontId="42" fillId="7" borderId="0" xfId="0" applyNumberFormat="1" applyFont="1" applyFill="1">
      <alignment vertical="center"/>
    </xf>
    <xf numFmtId="257" fontId="42" fillId="11" borderId="99" xfId="0" applyNumberFormat="1" applyFont="1" applyFill="1" applyBorder="1">
      <alignment vertical="center"/>
    </xf>
    <xf numFmtId="173" fontId="33" fillId="0" borderId="0" xfId="0" quotePrefix="1" applyNumberFormat="1" applyFont="1" applyFill="1">
      <alignment vertical="center"/>
    </xf>
    <xf numFmtId="256" fontId="0" fillId="8" borderId="0" xfId="61995" applyNumberFormat="1" applyFont="1" applyFill="1"/>
    <xf numFmtId="256" fontId="0" fillId="8" borderId="0" xfId="61995" applyNumberFormat="1" applyFont="1" applyFill="1" applyAlignment="1">
      <alignment horizontal="center"/>
    </xf>
    <xf numFmtId="0" fontId="18" fillId="0" borderId="0" xfId="61994" applyFont="1"/>
    <xf numFmtId="10" fontId="62" fillId="78" borderId="0" xfId="1" applyNumberFormat="1" applyFont="1" applyFill="1" applyAlignment="1">
      <alignment horizontal="center"/>
    </xf>
    <xf numFmtId="10" fontId="62" fillId="74" borderId="0" xfId="1" applyNumberFormat="1" applyFont="1" applyFill="1" applyAlignment="1">
      <alignment horizontal="center"/>
    </xf>
    <xf numFmtId="166" fontId="33" fillId="0" borderId="0" xfId="13963" applyNumberFormat="1" applyFont="1" applyAlignment="1">
      <alignment vertical="center"/>
    </xf>
    <xf numFmtId="173" fontId="46" fillId="0" borderId="0" xfId="0" applyNumberFormat="1" applyFont="1">
      <alignment vertical="center"/>
    </xf>
    <xf numFmtId="208" fontId="46" fillId="0" borderId="0" xfId="13963" applyNumberFormat="1" applyFont="1" applyAlignment="1">
      <alignment vertical="center"/>
    </xf>
    <xf numFmtId="208" fontId="263" fillId="0" borderId="0" xfId="13963" applyNumberFormat="1" applyFont="1" applyAlignment="1">
      <alignment vertical="center"/>
    </xf>
    <xf numFmtId="256" fontId="0" fillId="77" borderId="0" xfId="61995" applyNumberFormat="1" applyFont="1" applyFill="1"/>
    <xf numFmtId="173" fontId="33" fillId="77" borderId="0" xfId="0" applyNumberFormat="1" applyFont="1" applyFill="1">
      <alignment vertical="center"/>
    </xf>
    <xf numFmtId="0" fontId="27" fillId="0" borderId="0" xfId="62001" applyFont="1"/>
    <xf numFmtId="0" fontId="17" fillId="0" borderId="0" xfId="62001"/>
    <xf numFmtId="0" fontId="254" fillId="0" borderId="0" xfId="62001" applyFont="1"/>
    <xf numFmtId="0" fontId="17" fillId="0" borderId="0" xfId="62001" applyAlignment="1">
      <alignment horizontal="center"/>
    </xf>
    <xf numFmtId="0" fontId="265" fillId="0" borderId="0" xfId="62001" applyFont="1"/>
    <xf numFmtId="256" fontId="265" fillId="0" borderId="0" xfId="62002" applyNumberFormat="1" applyFont="1"/>
    <xf numFmtId="256" fontId="0" fillId="0" borderId="0" xfId="62002" applyNumberFormat="1" applyFont="1"/>
    <xf numFmtId="256" fontId="0" fillId="0" borderId="123" xfId="62002" applyNumberFormat="1" applyFont="1" applyBorder="1"/>
    <xf numFmtId="256" fontId="17" fillId="0" borderId="0" xfId="62001" applyNumberFormat="1"/>
    <xf numFmtId="43" fontId="0" fillId="0" borderId="0" xfId="62002" applyFont="1"/>
    <xf numFmtId="9" fontId="17" fillId="0" borderId="0" xfId="62001" applyNumberFormat="1" applyAlignment="1">
      <alignment horizontal="center"/>
    </xf>
    <xf numFmtId="256" fontId="0" fillId="10" borderId="0" xfId="62002" applyNumberFormat="1" applyFont="1" applyFill="1"/>
    <xf numFmtId="256" fontId="0" fillId="0" borderId="0" xfId="62002" applyNumberFormat="1" applyFont="1" applyFill="1"/>
    <xf numFmtId="0" fontId="27" fillId="59" borderId="0" xfId="62001" applyFont="1" applyFill="1"/>
    <xf numFmtId="0" fontId="17" fillId="59" borderId="0" xfId="62001" applyFill="1"/>
    <xf numFmtId="256" fontId="0" fillId="59" borderId="0" xfId="62002" applyNumberFormat="1" applyFont="1" applyFill="1"/>
    <xf numFmtId="0" fontId="252" fillId="59" borderId="0" xfId="62001" applyFont="1" applyFill="1"/>
    <xf numFmtId="256" fontId="252" fillId="62" borderId="0" xfId="62002" applyNumberFormat="1" applyFont="1" applyFill="1"/>
    <xf numFmtId="256" fontId="252" fillId="65" borderId="0" xfId="62002" applyNumberFormat="1" applyFont="1" applyFill="1"/>
    <xf numFmtId="256" fontId="0" fillId="62" borderId="0" xfId="62002" applyNumberFormat="1" applyFont="1" applyFill="1"/>
    <xf numFmtId="256" fontId="0" fillId="62" borderId="69" xfId="62002" applyNumberFormat="1" applyFont="1" applyFill="1" applyBorder="1"/>
    <xf numFmtId="256" fontId="0" fillId="65" borderId="69" xfId="62002" applyNumberFormat="1" applyFont="1" applyFill="1" applyBorder="1"/>
    <xf numFmtId="256" fontId="0" fillId="65" borderId="0" xfId="62002" applyNumberFormat="1" applyFont="1" applyFill="1"/>
    <xf numFmtId="256" fontId="0" fillId="59" borderId="123" xfId="62002" applyNumberFormat="1" applyFont="1" applyFill="1" applyBorder="1"/>
    <xf numFmtId="256" fontId="0" fillId="0" borderId="0" xfId="62002" applyNumberFormat="1" applyFont="1" applyAlignment="1">
      <alignment horizontal="center"/>
    </xf>
    <xf numFmtId="43" fontId="0" fillId="0" borderId="0" xfId="62002" applyFont="1" applyAlignment="1">
      <alignment horizontal="center"/>
    </xf>
    <xf numFmtId="263" fontId="22" fillId="0" borderId="0" xfId="61994" applyNumberFormat="1"/>
    <xf numFmtId="0" fontId="62" fillId="8" borderId="0" xfId="3076" applyFont="1" applyFill="1" applyAlignment="1">
      <alignment horizontal="center"/>
    </xf>
    <xf numFmtId="0" fontId="16" fillId="0" borderId="0" xfId="61994" applyFont="1"/>
    <xf numFmtId="173" fontId="33" fillId="0" borderId="0" xfId="0" applyNumberFormat="1" applyFont="1" applyFill="1" applyAlignment="1">
      <alignment horizontal="right" vertical="center"/>
    </xf>
    <xf numFmtId="9" fontId="33" fillId="0" borderId="0" xfId="1" applyFont="1" applyFill="1">
      <alignment vertical="center"/>
    </xf>
    <xf numFmtId="0" fontId="27" fillId="0" borderId="0" xfId="0" applyFont="1">
      <alignment vertical="center"/>
    </xf>
    <xf numFmtId="197" fontId="0" fillId="0" borderId="0" xfId="13963" applyNumberFormat="1" applyFont="1" applyAlignment="1">
      <alignment vertical="center"/>
    </xf>
    <xf numFmtId="183" fontId="50" fillId="13" borderId="0" xfId="0" applyNumberFormat="1" applyFont="1" applyFill="1" applyAlignment="1">
      <alignment horizontal="left" vertical="center"/>
    </xf>
    <xf numFmtId="183" fontId="27" fillId="11" borderId="0" xfId="0" applyNumberFormat="1" applyFont="1" applyFill="1" applyAlignment="1">
      <alignment horizontal="left" vertical="center"/>
    </xf>
    <xf numFmtId="183" fontId="27" fillId="12" borderId="0" xfId="0" applyNumberFormat="1" applyFont="1" applyFill="1" applyAlignment="1">
      <alignment horizontal="left" vertical="center"/>
    </xf>
    <xf numFmtId="183" fontId="50" fillId="13" borderId="0" xfId="0" applyNumberFormat="1" applyFont="1" applyFill="1" applyAlignment="1">
      <alignment horizontal="center" vertical="center"/>
    </xf>
    <xf numFmtId="43" fontId="0" fillId="0" borderId="0" xfId="0" applyNumberFormat="1">
      <alignment vertical="center"/>
    </xf>
    <xf numFmtId="256" fontId="0" fillId="73" borderId="0" xfId="61995" applyNumberFormat="1" applyFont="1" applyFill="1"/>
    <xf numFmtId="256" fontId="0" fillId="7" borderId="0" xfId="61995" applyNumberFormat="1" applyFont="1" applyFill="1"/>
    <xf numFmtId="0" fontId="15" fillId="0" borderId="0" xfId="61994" applyFont="1"/>
    <xf numFmtId="173" fontId="33" fillId="7" borderId="4" xfId="0" applyNumberFormat="1" applyFont="1" applyFill="1" applyBorder="1">
      <alignment vertical="center"/>
    </xf>
    <xf numFmtId="173" fontId="33" fillId="0" borderId="69" xfId="0" applyNumberFormat="1" applyFont="1" applyBorder="1">
      <alignment vertical="center"/>
    </xf>
    <xf numFmtId="257" fontId="33" fillId="11" borderId="99" xfId="0" applyNumberFormat="1" applyFont="1" applyFill="1" applyBorder="1" applyAlignment="1">
      <alignment horizontal="center" vertical="center"/>
    </xf>
    <xf numFmtId="257" fontId="36" fillId="11" borderId="99" xfId="0" applyNumberFormat="1" applyFont="1" applyFill="1" applyBorder="1" applyAlignment="1">
      <alignment horizontal="center" vertical="center"/>
    </xf>
    <xf numFmtId="257" fontId="33" fillId="9" borderId="99" xfId="0" applyNumberFormat="1" applyFont="1" applyFill="1" applyBorder="1" applyAlignment="1">
      <alignment horizontal="center" vertical="center"/>
    </xf>
    <xf numFmtId="257" fontId="36" fillId="77" borderId="2" xfId="0" applyNumberFormat="1" applyFont="1" applyFill="1" applyBorder="1" applyAlignment="1">
      <alignment horizontal="center" vertical="center"/>
    </xf>
    <xf numFmtId="0" fontId="239" fillId="0" borderId="0" xfId="0" applyFont="1" applyAlignment="1">
      <alignment horizontal="center" vertical="center"/>
    </xf>
    <xf numFmtId="0" fontId="239" fillId="0" borderId="0" xfId="0" applyFont="1" applyAlignment="1">
      <alignment horizontal="right" vertical="center"/>
    </xf>
    <xf numFmtId="257" fontId="33" fillId="10" borderId="99" xfId="0" applyNumberFormat="1" applyFont="1" applyFill="1" applyBorder="1" applyAlignment="1">
      <alignment horizontal="right" vertical="center"/>
    </xf>
    <xf numFmtId="173" fontId="33" fillId="69" borderId="0" xfId="0" applyNumberFormat="1" applyFont="1" applyFill="1" applyAlignment="1">
      <alignment horizontal="center" vertical="center"/>
    </xf>
    <xf numFmtId="183" fontId="251" fillId="69" borderId="0" xfId="0" applyNumberFormat="1" applyFont="1" applyFill="1">
      <alignment vertical="center"/>
    </xf>
    <xf numFmtId="183" fontId="251" fillId="69" borderId="0" xfId="0" applyNumberFormat="1" applyFont="1" applyFill="1" applyAlignment="1">
      <alignment horizontal="center" vertical="center"/>
    </xf>
    <xf numFmtId="173" fontId="33" fillId="71" borderId="0" xfId="0" applyNumberFormat="1" applyFont="1" applyFill="1" applyAlignment="1">
      <alignment horizontal="center" vertical="center"/>
    </xf>
    <xf numFmtId="183" fontId="251" fillId="71" borderId="0" xfId="0" applyNumberFormat="1" applyFont="1" applyFill="1" applyAlignment="1">
      <alignment horizontal="center" vertical="center"/>
    </xf>
    <xf numFmtId="183" fontId="0" fillId="71" borderId="0" xfId="0" applyNumberFormat="1" applyFill="1" applyAlignment="1">
      <alignment horizontal="center" vertical="center"/>
    </xf>
    <xf numFmtId="174" fontId="36" fillId="11" borderId="0" xfId="0" quotePrefix="1" applyNumberFormat="1" applyFont="1" applyFill="1" applyBorder="1" applyAlignment="1">
      <alignment vertical="center"/>
    </xf>
    <xf numFmtId="174" fontId="36" fillId="11" borderId="6" xfId="0" quotePrefix="1" applyNumberFormat="1" applyFont="1" applyFill="1" applyBorder="1" applyAlignment="1">
      <alignment vertical="center"/>
    </xf>
    <xf numFmtId="174" fontId="36" fillId="9" borderId="0" xfId="0" quotePrefix="1" applyNumberFormat="1" applyFont="1" applyFill="1" applyBorder="1" applyAlignment="1">
      <alignment vertical="center"/>
    </xf>
    <xf numFmtId="174" fontId="36" fillId="9" borderId="6" xfId="0" quotePrefix="1" applyNumberFormat="1" applyFont="1" applyFill="1" applyBorder="1" applyAlignment="1">
      <alignment vertical="center"/>
    </xf>
    <xf numFmtId="259" fontId="36" fillId="9" borderId="0" xfId="0" quotePrefix="1" applyNumberFormat="1" applyFont="1" applyFill="1" applyBorder="1" applyAlignment="1">
      <alignment vertical="center"/>
    </xf>
    <xf numFmtId="257" fontId="36" fillId="11" borderId="6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left" vertical="center"/>
    </xf>
    <xf numFmtId="173" fontId="0" fillId="11" borderId="124" xfId="0" applyNumberFormat="1" applyFill="1" applyBorder="1">
      <alignment vertical="center"/>
    </xf>
    <xf numFmtId="173" fontId="0" fillId="9" borderId="124" xfId="0" applyNumberFormat="1" applyFill="1" applyBorder="1">
      <alignment vertical="center"/>
    </xf>
    <xf numFmtId="173" fontId="0" fillId="7" borderId="124" xfId="0" applyNumberFormat="1" applyFill="1" applyBorder="1">
      <alignment vertical="center"/>
    </xf>
    <xf numFmtId="173" fontId="0" fillId="7" borderId="129" xfId="0" applyNumberFormat="1" applyFill="1" applyBorder="1">
      <alignment vertical="center"/>
    </xf>
    <xf numFmtId="173" fontId="0" fillId="11" borderId="131" xfId="0" applyNumberFormat="1" applyFill="1" applyBorder="1">
      <alignment vertical="center"/>
    </xf>
    <xf numFmtId="173" fontId="0" fillId="9" borderId="131" xfId="0" applyNumberFormat="1" applyFill="1" applyBorder="1">
      <alignment vertical="center"/>
    </xf>
    <xf numFmtId="173" fontId="0" fillId="7" borderId="131" xfId="0" applyNumberFormat="1" applyFill="1" applyBorder="1">
      <alignment vertical="center"/>
    </xf>
    <xf numFmtId="173" fontId="0" fillId="7" borderId="132" xfId="0" applyNumberFormat="1" applyFill="1" applyBorder="1">
      <alignment vertical="center"/>
    </xf>
    <xf numFmtId="173" fontId="0" fillId="11" borderId="37" xfId="0" applyNumberFormat="1" applyFill="1" applyBorder="1">
      <alignment vertical="center"/>
    </xf>
    <xf numFmtId="173" fontId="0" fillId="9" borderId="37" xfId="0" applyNumberFormat="1" applyFill="1" applyBorder="1">
      <alignment vertical="center"/>
    </xf>
    <xf numFmtId="173" fontId="0" fillId="7" borderId="37" xfId="0" applyNumberFormat="1" applyFill="1" applyBorder="1">
      <alignment vertical="center"/>
    </xf>
    <xf numFmtId="173" fontId="0" fillId="7" borderId="75" xfId="0" applyNumberFormat="1" applyFill="1" applyBorder="1">
      <alignment vertical="center"/>
    </xf>
    <xf numFmtId="173" fontId="27" fillId="11" borderId="131" xfId="0" applyNumberFormat="1" applyFont="1" applyFill="1" applyBorder="1" applyAlignment="1">
      <alignment horizontal="center" vertical="center"/>
    </xf>
    <xf numFmtId="173" fontId="27" fillId="9" borderId="131" xfId="0" applyNumberFormat="1" applyFont="1" applyFill="1" applyBorder="1" applyAlignment="1">
      <alignment horizontal="center" vertical="center"/>
    </xf>
    <xf numFmtId="173" fontId="27" fillId="7" borderId="131" xfId="0" applyNumberFormat="1" applyFont="1" applyFill="1" applyBorder="1" applyAlignment="1">
      <alignment horizontal="center" vertical="center"/>
    </xf>
    <xf numFmtId="173" fontId="27" fillId="7" borderId="132" xfId="0" applyNumberFormat="1" applyFont="1" applyFill="1" applyBorder="1" applyAlignment="1">
      <alignment horizontal="center" vertical="center"/>
    </xf>
    <xf numFmtId="14" fontId="27" fillId="11" borderId="11" xfId="0" applyNumberFormat="1" applyFont="1" applyFill="1" applyBorder="1" applyAlignment="1">
      <alignment horizontal="left" vertical="center"/>
    </xf>
    <xf numFmtId="14" fontId="27" fillId="11" borderId="133" xfId="0" applyNumberFormat="1" applyFont="1" applyFill="1" applyBorder="1" applyAlignment="1">
      <alignment horizontal="left" vertical="center"/>
    </xf>
    <xf numFmtId="14" fontId="0" fillId="11" borderId="27" xfId="0" applyNumberFormat="1" applyFill="1" applyBorder="1" applyAlignment="1">
      <alignment horizontal="left" vertical="center"/>
    </xf>
    <xf numFmtId="14" fontId="0" fillId="11" borderId="134" xfId="0" applyNumberFormat="1" applyFill="1" applyBorder="1" applyAlignment="1">
      <alignment horizontal="left" vertical="center"/>
    </xf>
    <xf numFmtId="14" fontId="0" fillId="11" borderId="133" xfId="0" applyNumberFormat="1" applyFill="1" applyBorder="1" applyAlignment="1">
      <alignment horizontal="left" vertical="center"/>
    </xf>
    <xf numFmtId="173" fontId="27" fillId="11" borderId="130" xfId="0" applyNumberFormat="1" applyFont="1" applyFill="1" applyBorder="1" applyAlignment="1">
      <alignment horizontal="center" vertical="center"/>
    </xf>
    <xf numFmtId="173" fontId="27" fillId="11" borderId="132" xfId="0" applyNumberFormat="1" applyFont="1" applyFill="1" applyBorder="1" applyAlignment="1">
      <alignment horizontal="center" vertical="center"/>
    </xf>
    <xf numFmtId="173" fontId="0" fillId="11" borderId="74" xfId="0" applyNumberFormat="1" applyFill="1" applyBorder="1">
      <alignment vertical="center"/>
    </xf>
    <xf numFmtId="173" fontId="0" fillId="11" borderId="75" xfId="0" applyNumberFormat="1" applyFill="1" applyBorder="1">
      <alignment vertical="center"/>
    </xf>
    <xf numFmtId="173" fontId="0" fillId="11" borderId="128" xfId="0" applyNumberFormat="1" applyFill="1" applyBorder="1">
      <alignment vertical="center"/>
    </xf>
    <xf numFmtId="173" fontId="0" fillId="11" borderId="129" xfId="0" applyNumberFormat="1" applyFill="1" applyBorder="1">
      <alignment vertical="center"/>
    </xf>
    <xf numFmtId="173" fontId="0" fillId="11" borderId="130" xfId="0" applyNumberFormat="1" applyFill="1" applyBorder="1">
      <alignment vertical="center"/>
    </xf>
    <xf numFmtId="173" fontId="0" fillId="11" borderId="132" xfId="0" applyNumberFormat="1" applyFill="1" applyBorder="1">
      <alignment vertical="center"/>
    </xf>
    <xf numFmtId="173" fontId="27" fillId="9" borderId="135" xfId="0" applyNumberFormat="1" applyFont="1" applyFill="1" applyBorder="1">
      <alignment vertical="center"/>
    </xf>
    <xf numFmtId="173" fontId="27" fillId="9" borderId="136" xfId="0" applyNumberFormat="1" applyFont="1" applyFill="1" applyBorder="1">
      <alignment vertical="center"/>
    </xf>
    <xf numFmtId="173" fontId="0" fillId="9" borderId="4" xfId="0" applyNumberFormat="1" applyFill="1" applyBorder="1">
      <alignment vertical="center"/>
    </xf>
    <xf numFmtId="173" fontId="0" fillId="9" borderId="123" xfId="0" applyNumberFormat="1" applyFill="1" applyBorder="1">
      <alignment vertical="center"/>
    </xf>
    <xf numFmtId="173" fontId="0" fillId="9" borderId="136" xfId="0" applyNumberFormat="1" applyFill="1" applyBorder="1">
      <alignment vertical="center"/>
    </xf>
    <xf numFmtId="173" fontId="27" fillId="9" borderId="130" xfId="0" applyNumberFormat="1" applyFont="1" applyFill="1" applyBorder="1" applyAlignment="1">
      <alignment horizontal="center" vertical="center"/>
    </xf>
    <xf numFmtId="173" fontId="27" fillId="9" borderId="132" xfId="0" applyNumberFormat="1" applyFont="1" applyFill="1" applyBorder="1" applyAlignment="1">
      <alignment horizontal="center" vertical="center"/>
    </xf>
    <xf numFmtId="173" fontId="0" fillId="9" borderId="74" xfId="0" applyNumberFormat="1" applyFill="1" applyBorder="1">
      <alignment vertical="center"/>
    </xf>
    <xf numFmtId="173" fontId="0" fillId="9" borderId="75" xfId="0" applyNumberFormat="1" applyFill="1" applyBorder="1">
      <alignment vertical="center"/>
    </xf>
    <xf numFmtId="173" fontId="0" fillId="9" borderId="128" xfId="0" applyNumberFormat="1" applyFill="1" applyBorder="1">
      <alignment vertical="center"/>
    </xf>
    <xf numFmtId="173" fontId="0" fillId="9" borderId="129" xfId="0" applyNumberFormat="1" applyFill="1" applyBorder="1">
      <alignment vertical="center"/>
    </xf>
    <xf numFmtId="173" fontId="0" fillId="9" borderId="130" xfId="0" applyNumberFormat="1" applyFill="1" applyBorder="1">
      <alignment vertical="center"/>
    </xf>
    <xf numFmtId="173" fontId="0" fillId="9" borderId="132" xfId="0" applyNumberFormat="1" applyFill="1" applyBorder="1">
      <alignment vertical="center"/>
    </xf>
    <xf numFmtId="173" fontId="27" fillId="7" borderId="130" xfId="0" applyNumberFormat="1" applyFont="1" applyFill="1" applyBorder="1" applyAlignment="1">
      <alignment horizontal="center" vertical="center"/>
    </xf>
    <xf numFmtId="173" fontId="0" fillId="7" borderId="74" xfId="0" applyNumberFormat="1" applyFill="1" applyBorder="1">
      <alignment vertical="center"/>
    </xf>
    <xf numFmtId="173" fontId="0" fillId="7" borderId="128" xfId="0" applyNumberFormat="1" applyFill="1" applyBorder="1">
      <alignment vertical="center"/>
    </xf>
    <xf numFmtId="173" fontId="0" fillId="7" borderId="130" xfId="0" applyNumberFormat="1" applyFill="1" applyBorder="1">
      <alignment vertical="center"/>
    </xf>
    <xf numFmtId="0" fontId="269" fillId="0" borderId="0" xfId="62001" applyFont="1"/>
    <xf numFmtId="43" fontId="269" fillId="0" borderId="0" xfId="62002" applyFont="1" applyAlignment="1">
      <alignment horizontal="center"/>
    </xf>
    <xf numFmtId="256" fontId="269" fillId="0" borderId="0" xfId="62002" applyNumberFormat="1" applyFont="1" applyAlignment="1">
      <alignment horizontal="center"/>
    </xf>
    <xf numFmtId="43" fontId="269" fillId="0" borderId="0" xfId="62002" applyNumberFormat="1" applyFont="1" applyAlignment="1">
      <alignment horizontal="center"/>
    </xf>
    <xf numFmtId="256" fontId="22" fillId="73" borderId="0" xfId="61994" applyNumberFormat="1" applyFill="1"/>
    <xf numFmtId="208" fontId="22" fillId="73" borderId="0" xfId="13963" applyNumberFormat="1" applyFont="1" applyFill="1"/>
    <xf numFmtId="208" fontId="27" fillId="0" borderId="0" xfId="13963" applyNumberFormat="1" applyFont="1" applyAlignment="1">
      <alignment horizontal="center"/>
    </xf>
    <xf numFmtId="208" fontId="27" fillId="0" borderId="0" xfId="13963" applyNumberFormat="1" applyFont="1"/>
    <xf numFmtId="14" fontId="0" fillId="0" borderId="0" xfId="0" applyNumberFormat="1">
      <alignment vertical="center"/>
    </xf>
    <xf numFmtId="173" fontId="0" fillId="0" borderId="0" xfId="0" applyNumberFormat="1" applyFill="1">
      <alignment vertical="center"/>
    </xf>
    <xf numFmtId="173" fontId="27" fillId="0" borderId="0" xfId="0" applyNumberFormat="1" applyFont="1" applyFill="1" applyBorder="1" applyAlignment="1">
      <alignment horizontal="center" vertical="center"/>
    </xf>
    <xf numFmtId="173" fontId="0" fillId="0" borderId="0" xfId="0" applyNumberFormat="1" applyFill="1" applyBorder="1">
      <alignment vertical="center"/>
    </xf>
    <xf numFmtId="14" fontId="27" fillId="0" borderId="0" xfId="0" applyNumberFormat="1" applyFont="1" applyAlignment="1">
      <alignment horizontal="left" vertical="center"/>
    </xf>
    <xf numFmtId="173" fontId="27" fillId="0" borderId="0" xfId="0" applyNumberFormat="1" applyFont="1" applyFill="1">
      <alignment vertical="center"/>
    </xf>
    <xf numFmtId="173" fontId="33" fillId="69" borderId="0" xfId="0" applyNumberFormat="1" applyFont="1" applyFill="1">
      <alignment vertical="center"/>
    </xf>
    <xf numFmtId="0" fontId="27" fillId="6" borderId="0" xfId="0" applyFont="1" applyFill="1">
      <alignment vertical="center"/>
    </xf>
    <xf numFmtId="0" fontId="266" fillId="6" borderId="0" xfId="0" applyFont="1" applyFill="1">
      <alignment vertical="center"/>
    </xf>
    <xf numFmtId="173" fontId="61" fillId="6" borderId="0" xfId="0" applyNumberFormat="1" applyFont="1" applyFill="1" applyAlignment="1">
      <alignment horizontal="center" vertical="center"/>
    </xf>
    <xf numFmtId="208" fontId="0" fillId="6" borderId="0" xfId="13963" applyNumberFormat="1" applyFont="1" applyFill="1" applyAlignment="1">
      <alignment vertical="center"/>
    </xf>
    <xf numFmtId="208" fontId="27" fillId="6" borderId="123" xfId="13963" applyNumberFormat="1" applyFont="1" applyFill="1" applyBorder="1" applyAlignment="1">
      <alignment vertical="center"/>
    </xf>
    <xf numFmtId="0" fontId="252" fillId="6" borderId="0" xfId="0" applyFont="1" applyFill="1">
      <alignment vertical="center"/>
    </xf>
    <xf numFmtId="208" fontId="27" fillId="6" borderId="0" xfId="13963" applyNumberFormat="1" applyFont="1" applyFill="1" applyBorder="1" applyAlignment="1">
      <alignment vertical="center"/>
    </xf>
    <xf numFmtId="176" fontId="27" fillId="6" borderId="0" xfId="1" applyNumberFormat="1" applyFont="1" applyFill="1" applyBorder="1" applyAlignment="1">
      <alignment vertical="center"/>
    </xf>
    <xf numFmtId="0" fontId="246" fillId="6" borderId="0" xfId="0" applyFont="1" applyFill="1">
      <alignment vertical="center"/>
    </xf>
    <xf numFmtId="208" fontId="246" fillId="6" borderId="0" xfId="13963" applyNumberFormat="1" applyFont="1" applyFill="1" applyAlignment="1">
      <alignment vertical="center"/>
    </xf>
    <xf numFmtId="208" fontId="246" fillId="6" borderId="0" xfId="0" applyNumberFormat="1" applyFont="1" applyFill="1">
      <alignment vertical="center"/>
    </xf>
    <xf numFmtId="208" fontId="0" fillId="6" borderId="0" xfId="0" applyNumberFormat="1" applyFill="1">
      <alignment vertical="center"/>
    </xf>
    <xf numFmtId="0" fontId="267" fillId="6" borderId="0" xfId="0" applyFont="1" applyFill="1">
      <alignment vertical="center"/>
    </xf>
    <xf numFmtId="208" fontId="267" fillId="6" borderId="0" xfId="13963" applyNumberFormat="1" applyFont="1" applyFill="1" applyAlignment="1">
      <alignment vertical="center"/>
    </xf>
    <xf numFmtId="0" fontId="268" fillId="6" borderId="0" xfId="0" applyFont="1" applyFill="1">
      <alignment vertical="center"/>
    </xf>
    <xf numFmtId="0" fontId="0" fillId="6" borderId="68" xfId="0" applyFill="1" applyBorder="1">
      <alignment vertical="center"/>
    </xf>
    <xf numFmtId="208" fontId="0" fillId="6" borderId="68" xfId="13963" applyNumberFormat="1" applyFont="1" applyFill="1" applyBorder="1" applyAlignment="1">
      <alignment vertical="center"/>
    </xf>
    <xf numFmtId="208" fontId="27" fillId="6" borderId="80" xfId="13963" applyNumberFormat="1" applyFont="1" applyFill="1" applyBorder="1" applyAlignment="1">
      <alignment vertical="center"/>
    </xf>
    <xf numFmtId="208" fontId="267" fillId="6" borderId="41" xfId="13963" applyNumberFormat="1" applyFont="1" applyFill="1" applyBorder="1" applyAlignment="1">
      <alignment vertical="center"/>
    </xf>
    <xf numFmtId="208" fontId="0" fillId="6" borderId="80" xfId="13963" applyNumberFormat="1" applyFont="1" applyFill="1" applyBorder="1" applyAlignment="1">
      <alignment vertical="center"/>
    </xf>
    <xf numFmtId="0" fontId="14" fillId="6" borderId="0" xfId="0" applyFont="1" applyFill="1">
      <alignment vertical="center"/>
    </xf>
    <xf numFmtId="0" fontId="262" fillId="6" borderId="0" xfId="0" applyFont="1" applyFill="1">
      <alignment vertical="center"/>
    </xf>
    <xf numFmtId="173" fontId="268" fillId="6" borderId="0" xfId="0" applyNumberFormat="1" applyFont="1" applyFill="1" applyAlignment="1">
      <alignment horizontal="center" vertical="center"/>
    </xf>
    <xf numFmtId="173" fontId="268" fillId="6" borderId="0" xfId="0" quotePrefix="1" applyNumberFormat="1" applyFont="1" applyFill="1" applyAlignment="1">
      <alignment horizontal="center" vertical="center"/>
    </xf>
    <xf numFmtId="208" fontId="14" fillId="6" borderId="0" xfId="13963" applyNumberFormat="1" applyFont="1" applyFill="1" applyAlignment="1">
      <alignment vertical="center"/>
    </xf>
    <xf numFmtId="173" fontId="14" fillId="6" borderId="0" xfId="0" applyNumberFormat="1" applyFont="1" applyFill="1">
      <alignment vertical="center"/>
    </xf>
    <xf numFmtId="173" fontId="109" fillId="6" borderId="0" xfId="0" applyNumberFormat="1" applyFont="1" applyFill="1">
      <alignment vertical="center"/>
    </xf>
    <xf numFmtId="208" fontId="267" fillId="6" borderId="80" xfId="0" applyNumberFormat="1" applyFont="1" applyFill="1" applyBorder="1">
      <alignment vertical="center"/>
    </xf>
    <xf numFmtId="208" fontId="273" fillId="6" borderId="0" xfId="13963" applyNumberFormat="1" applyFont="1" applyFill="1" applyAlignment="1">
      <alignment vertical="center"/>
    </xf>
    <xf numFmtId="208" fontId="27" fillId="6" borderId="0" xfId="13963" applyNumberFormat="1" applyFont="1" applyFill="1" applyAlignment="1">
      <alignment vertical="center"/>
    </xf>
    <xf numFmtId="0" fontId="274" fillId="6" borderId="0" xfId="0" applyFont="1" applyFill="1">
      <alignment vertical="center"/>
    </xf>
    <xf numFmtId="208" fontId="274" fillId="6" borderId="0" xfId="13963" applyNumberFormat="1" applyFont="1" applyFill="1" applyAlignment="1">
      <alignment vertical="center"/>
    </xf>
    <xf numFmtId="0" fontId="14" fillId="69" borderId="0" xfId="0" applyFont="1" applyFill="1">
      <alignment vertical="center"/>
    </xf>
    <xf numFmtId="0" fontId="14" fillId="71" borderId="0" xfId="0" applyFont="1" applyFill="1">
      <alignment vertical="center"/>
    </xf>
    <xf numFmtId="0" fontId="254" fillId="6" borderId="0" xfId="0" applyFont="1" applyFill="1" applyAlignment="1">
      <alignment horizontal="center" vertical="center"/>
    </xf>
    <xf numFmtId="0" fontId="0" fillId="6" borderId="0" xfId="0" applyFont="1" applyFill="1" applyAlignment="1"/>
    <xf numFmtId="0" fontId="0" fillId="6" borderId="0" xfId="0" applyFont="1" applyFill="1">
      <alignment vertical="center"/>
    </xf>
    <xf numFmtId="3" fontId="36" fillId="6" borderId="0" xfId="33480" applyNumberFormat="1" applyFont="1" applyFill="1" applyAlignment="1">
      <alignment horizontal="left" vertical="center"/>
    </xf>
    <xf numFmtId="3" fontId="33" fillId="6" borderId="0" xfId="33480" applyNumberFormat="1" applyFont="1" applyFill="1">
      <alignment vertical="center"/>
    </xf>
    <xf numFmtId="3" fontId="36" fillId="6" borderId="0" xfId="33480" applyNumberFormat="1" applyFont="1" applyFill="1" applyAlignment="1">
      <alignment horizontal="center" vertical="center" wrapText="1"/>
    </xf>
    <xf numFmtId="175" fontId="36" fillId="6" borderId="0" xfId="33480" applyNumberFormat="1" applyFont="1" applyFill="1" applyAlignment="1">
      <alignment horizontal="center" vertical="center" wrapText="1"/>
    </xf>
    <xf numFmtId="3" fontId="36" fillId="6" borderId="0" xfId="33480" applyNumberFormat="1" applyFont="1" applyFill="1">
      <alignment vertical="center"/>
    </xf>
    <xf numFmtId="256" fontId="33" fillId="6" borderId="0" xfId="13963" applyNumberFormat="1" applyFont="1" applyFill="1" applyAlignment="1">
      <alignment horizontal="center" vertical="center" wrapText="1"/>
    </xf>
    <xf numFmtId="253" fontId="33" fillId="6" borderId="0" xfId="33480" applyNumberFormat="1" applyFont="1" applyFill="1" applyBorder="1">
      <alignment vertical="center"/>
    </xf>
    <xf numFmtId="175" fontId="33" fillId="6" borderId="0" xfId="33480" applyNumberFormat="1" applyFont="1" applyFill="1" applyBorder="1" applyAlignment="1">
      <alignment horizontal="center" vertical="center"/>
    </xf>
    <xf numFmtId="3" fontId="33" fillId="6" borderId="80" xfId="33480" applyNumberFormat="1" applyFont="1" applyFill="1" applyBorder="1">
      <alignment vertical="center"/>
    </xf>
    <xf numFmtId="253" fontId="33" fillId="6" borderId="80" xfId="33480" applyNumberFormat="1" applyFont="1" applyFill="1" applyBorder="1">
      <alignment vertical="center"/>
    </xf>
    <xf numFmtId="175" fontId="33" fillId="6" borderId="80" xfId="33480" applyNumberFormat="1" applyFont="1" applyFill="1" applyBorder="1" applyAlignment="1">
      <alignment horizontal="center" vertical="center"/>
    </xf>
    <xf numFmtId="253" fontId="33" fillId="6" borderId="0" xfId="33480" applyNumberFormat="1" applyFont="1" applyFill="1">
      <alignment vertical="center"/>
    </xf>
    <xf numFmtId="175" fontId="33" fillId="6" borderId="0" xfId="33480" applyNumberFormat="1" applyFont="1" applyFill="1" applyAlignment="1">
      <alignment horizontal="center" vertical="center"/>
    </xf>
    <xf numFmtId="208" fontId="33" fillId="6" borderId="0" xfId="13963" applyNumberFormat="1" applyFont="1" applyFill="1" applyAlignment="1">
      <alignment horizontal="center" vertical="center" wrapText="1"/>
    </xf>
    <xf numFmtId="253" fontId="33" fillId="6" borderId="4" xfId="33480" applyNumberFormat="1" applyFont="1" applyFill="1" applyBorder="1">
      <alignment vertical="center"/>
    </xf>
    <xf numFmtId="175" fontId="33" fillId="6" borderId="4" xfId="33480" applyNumberFormat="1" applyFont="1" applyFill="1" applyBorder="1" applyAlignment="1">
      <alignment horizontal="center" vertical="center"/>
    </xf>
    <xf numFmtId="208" fontId="33" fillId="6" borderId="0" xfId="33480" applyNumberFormat="1" applyFont="1" applyFill="1">
      <alignment vertical="center"/>
    </xf>
    <xf numFmtId="208" fontId="33" fillId="6" borderId="0" xfId="33480" applyNumberFormat="1" applyFont="1" applyFill="1" applyBorder="1">
      <alignment vertical="center"/>
    </xf>
    <xf numFmtId="208" fontId="36" fillId="6" borderId="0" xfId="33480" applyNumberFormat="1" applyFont="1" applyFill="1" applyBorder="1">
      <alignment vertical="center"/>
    </xf>
    <xf numFmtId="253" fontId="36" fillId="6" borderId="0" xfId="33480" applyNumberFormat="1" applyFont="1" applyFill="1" applyBorder="1">
      <alignment vertical="center"/>
    </xf>
    <xf numFmtId="175" fontId="36" fillId="6" borderId="0" xfId="33480" applyNumberFormat="1" applyFont="1" applyFill="1" applyBorder="1" applyAlignment="1">
      <alignment horizontal="center" vertical="center"/>
    </xf>
    <xf numFmtId="208" fontId="33" fillId="6" borderId="69" xfId="33480" applyNumberFormat="1" applyFont="1" applyFill="1" applyBorder="1">
      <alignment vertical="center"/>
    </xf>
    <xf numFmtId="253" fontId="33" fillId="6" borderId="69" xfId="33480" applyNumberFormat="1" applyFont="1" applyFill="1" applyBorder="1">
      <alignment vertical="center"/>
    </xf>
    <xf numFmtId="175" fontId="33" fillId="6" borderId="69" xfId="33480" applyNumberFormat="1" applyFont="1" applyFill="1" applyBorder="1" applyAlignment="1">
      <alignment horizontal="center" vertical="center"/>
    </xf>
    <xf numFmtId="208" fontId="36" fillId="6" borderId="69" xfId="33480" applyNumberFormat="1" applyFont="1" applyFill="1" applyBorder="1">
      <alignment vertical="center"/>
    </xf>
    <xf numFmtId="253" fontId="36" fillId="6" borderId="69" xfId="33480" applyNumberFormat="1" applyFont="1" applyFill="1" applyBorder="1">
      <alignment vertical="center"/>
    </xf>
    <xf numFmtId="175" fontId="36" fillId="6" borderId="69" xfId="33480" applyNumberFormat="1" applyFont="1" applyFill="1" applyBorder="1" applyAlignment="1">
      <alignment horizontal="center" vertical="center"/>
    </xf>
    <xf numFmtId="208" fontId="36" fillId="6" borderId="137" xfId="33480" applyNumberFormat="1" applyFont="1" applyFill="1" applyBorder="1">
      <alignment vertical="center"/>
    </xf>
    <xf numFmtId="253" fontId="36" fillId="6" borderId="137" xfId="33480" applyNumberFormat="1" applyFont="1" applyFill="1" applyBorder="1">
      <alignment vertical="center"/>
    </xf>
    <xf numFmtId="175" fontId="36" fillId="6" borderId="137" xfId="33480" applyNumberFormat="1" applyFont="1" applyFill="1" applyBorder="1" applyAlignment="1">
      <alignment horizontal="center" vertical="center"/>
    </xf>
    <xf numFmtId="0" fontId="277" fillId="0" borderId="0" xfId="0" applyFont="1" applyAlignment="1">
      <alignment vertical="center"/>
    </xf>
    <xf numFmtId="0" fontId="13" fillId="0" borderId="0" xfId="61994" applyFont="1"/>
    <xf numFmtId="256" fontId="0" fillId="72" borderId="0" xfId="61995" applyNumberFormat="1" applyFont="1" applyFill="1"/>
    <xf numFmtId="173" fontId="33" fillId="68" borderId="0" xfId="0" applyNumberFormat="1" applyFont="1" applyFill="1" applyBorder="1">
      <alignment vertical="center"/>
    </xf>
    <xf numFmtId="173" fontId="33" fillId="68" borderId="4" xfId="0" applyNumberFormat="1" applyFont="1" applyFill="1" applyBorder="1">
      <alignment vertical="center"/>
    </xf>
    <xf numFmtId="183" fontId="0" fillId="0" borderId="0" xfId="0" applyNumberFormat="1" applyAlignment="1">
      <alignment horizontal="right" vertical="center"/>
    </xf>
    <xf numFmtId="208" fontId="61" fillId="0" borderId="118" xfId="347" applyNumberFormat="1" applyFont="1" applyFill="1" applyBorder="1">
      <alignment vertical="center"/>
    </xf>
    <xf numFmtId="174" fontId="0" fillId="6" borderId="0" xfId="1" applyNumberFormat="1" applyFont="1" applyFill="1">
      <alignment vertical="center"/>
    </xf>
    <xf numFmtId="0" fontId="277" fillId="0" borderId="0" xfId="0" applyFont="1" applyFill="1" applyAlignment="1">
      <alignment vertical="center"/>
    </xf>
    <xf numFmtId="0" fontId="0" fillId="6" borderId="0" xfId="0" applyFont="1" applyFill="1" applyBorder="1">
      <alignment vertical="center"/>
    </xf>
    <xf numFmtId="3" fontId="36" fillId="6" borderId="68" xfId="33480" applyNumberFormat="1" applyFont="1" applyFill="1" applyBorder="1">
      <alignment vertical="center"/>
    </xf>
    <xf numFmtId="3" fontId="33" fillId="6" borderId="68" xfId="33480" applyNumberFormat="1" applyFont="1" applyFill="1" applyBorder="1">
      <alignment vertical="center"/>
    </xf>
    <xf numFmtId="208" fontId="33" fillId="6" borderId="68" xfId="33480" applyNumberFormat="1" applyFont="1" applyFill="1" applyBorder="1">
      <alignment vertical="center"/>
    </xf>
    <xf numFmtId="253" fontId="33" fillId="6" borderId="68" xfId="33480" applyNumberFormat="1" applyFont="1" applyFill="1" applyBorder="1">
      <alignment vertical="center"/>
    </xf>
    <xf numFmtId="175" fontId="33" fillId="6" borderId="68" xfId="33480" applyNumberFormat="1" applyFont="1" applyFill="1" applyBorder="1" applyAlignment="1">
      <alignment horizontal="center" vertical="center"/>
    </xf>
    <xf numFmtId="0" fontId="0" fillId="6" borderId="68" xfId="0" applyFont="1" applyFill="1" applyBorder="1">
      <alignment vertical="center"/>
    </xf>
    <xf numFmtId="208" fontId="36" fillId="6" borderId="68" xfId="33480" applyNumberFormat="1" applyFont="1" applyFill="1" applyBorder="1">
      <alignment vertical="center"/>
    </xf>
    <xf numFmtId="174" fontId="0" fillId="6" borderId="68" xfId="1" applyNumberFormat="1" applyFont="1" applyFill="1" applyBorder="1">
      <alignment vertical="center"/>
    </xf>
    <xf numFmtId="208" fontId="33" fillId="6" borderId="80" xfId="13963" applyNumberFormat="1" applyFont="1" applyFill="1" applyBorder="1" applyAlignment="1">
      <alignment vertical="center"/>
    </xf>
    <xf numFmtId="208" fontId="33" fillId="6" borderId="0" xfId="13963" applyNumberFormat="1" applyFont="1" applyFill="1" applyAlignment="1">
      <alignment vertical="center"/>
    </xf>
    <xf numFmtId="208" fontId="33" fillId="6" borderId="69" xfId="13963" applyNumberFormat="1" applyFont="1" applyFill="1" applyBorder="1" applyAlignment="1">
      <alignment vertical="center"/>
    </xf>
    <xf numFmtId="208" fontId="33" fillId="6" borderId="0" xfId="13963" applyNumberFormat="1" applyFont="1" applyFill="1" applyBorder="1" applyAlignment="1">
      <alignment vertical="center"/>
    </xf>
    <xf numFmtId="208" fontId="36" fillId="6" borderId="69" xfId="13963" applyNumberFormat="1" applyFont="1" applyFill="1" applyBorder="1" applyAlignment="1">
      <alignment vertical="center"/>
    </xf>
    <xf numFmtId="208" fontId="36" fillId="6" borderId="0" xfId="13963" applyNumberFormat="1" applyFont="1" applyFill="1" applyBorder="1" applyAlignment="1">
      <alignment vertical="center"/>
    </xf>
    <xf numFmtId="0" fontId="279" fillId="6" borderId="0" xfId="0" applyFont="1" applyFill="1">
      <alignment vertical="center"/>
    </xf>
    <xf numFmtId="3" fontId="278" fillId="6" borderId="0" xfId="33480" applyNumberFormat="1" applyFont="1" applyFill="1">
      <alignment vertical="center"/>
    </xf>
    <xf numFmtId="253" fontId="280" fillId="6" borderId="0" xfId="33480" applyNumberFormat="1" applyFont="1" applyFill="1" applyBorder="1">
      <alignment vertical="center"/>
    </xf>
    <xf numFmtId="175" fontId="280" fillId="6" borderId="0" xfId="33480" applyNumberFormat="1" applyFont="1" applyFill="1" applyBorder="1" applyAlignment="1">
      <alignment horizontal="center" vertical="center"/>
    </xf>
    <xf numFmtId="253" fontId="280" fillId="6" borderId="69" xfId="33480" applyNumberFormat="1" applyFont="1" applyFill="1" applyBorder="1">
      <alignment vertical="center"/>
    </xf>
    <xf numFmtId="175" fontId="280" fillId="6" borderId="69" xfId="33480" applyNumberFormat="1" applyFont="1" applyFill="1" applyBorder="1" applyAlignment="1">
      <alignment horizontal="center" vertical="center"/>
    </xf>
    <xf numFmtId="208" fontId="12" fillId="6" borderId="0" xfId="13963" applyNumberFormat="1" applyFont="1" applyFill="1" applyBorder="1" applyAlignment="1">
      <alignment vertical="center"/>
    </xf>
    <xf numFmtId="0" fontId="14" fillId="6" borderId="0" xfId="0" applyFont="1" applyFill="1" applyAlignment="1">
      <alignment horizontal="left" vertical="center"/>
    </xf>
    <xf numFmtId="0" fontId="262" fillId="6" borderId="0" xfId="0" applyFont="1" applyFill="1" applyAlignment="1">
      <alignment horizontal="left" vertical="center"/>
    </xf>
    <xf numFmtId="0" fontId="27" fillId="6" borderId="0" xfId="0" applyFont="1" applyFill="1" applyAlignment="1">
      <alignment horizontal="left" vertical="center"/>
    </xf>
    <xf numFmtId="0" fontId="267" fillId="6" borderId="0" xfId="0" applyFont="1" applyFill="1" applyAlignment="1">
      <alignment horizontal="left" vertical="center"/>
    </xf>
    <xf numFmtId="0" fontId="14" fillId="6" borderId="0" xfId="0" applyFont="1" applyFill="1" applyBorder="1">
      <alignment vertical="center"/>
    </xf>
    <xf numFmtId="0" fontId="14" fillId="6" borderId="41" xfId="0" applyFont="1" applyFill="1" applyBorder="1">
      <alignment vertical="center"/>
    </xf>
    <xf numFmtId="0" fontId="14" fillId="6" borderId="41" xfId="0" applyFont="1" applyFill="1" applyBorder="1" applyAlignment="1">
      <alignment horizontal="left" vertical="center"/>
    </xf>
    <xf numFmtId="208" fontId="12" fillId="6" borderId="0" xfId="13963" applyNumberFormat="1" applyFont="1" applyFill="1" applyAlignment="1">
      <alignment vertical="center"/>
    </xf>
    <xf numFmtId="208" fontId="14" fillId="6" borderId="0" xfId="0" applyNumberFormat="1" applyFont="1" applyFill="1" applyAlignment="1">
      <alignment horizontal="left" vertical="center"/>
    </xf>
    <xf numFmtId="3" fontId="36" fillId="6" borderId="0" xfId="33480" quotePrefix="1" applyNumberFormat="1" applyFont="1" applyFill="1" applyAlignment="1">
      <alignment horizontal="right" vertical="center" wrapText="1"/>
    </xf>
    <xf numFmtId="3" fontId="36" fillId="6" borderId="0" xfId="33480" applyNumberFormat="1" applyFont="1" applyFill="1" applyAlignment="1">
      <alignment horizontal="right" vertical="center" wrapText="1"/>
    </xf>
    <xf numFmtId="173" fontId="11" fillId="6" borderId="0" xfId="0" applyNumberFormat="1" applyFont="1" applyFill="1">
      <alignment vertical="center"/>
    </xf>
    <xf numFmtId="0" fontId="11" fillId="6" borderId="0" xfId="0" applyFont="1" applyFill="1" applyAlignment="1">
      <alignment horizontal="left" vertical="center"/>
    </xf>
    <xf numFmtId="0" fontId="50" fillId="6" borderId="0" xfId="0" applyFont="1" applyFill="1" applyAlignment="1">
      <alignment horizontal="left" vertical="center"/>
    </xf>
    <xf numFmtId="208" fontId="14" fillId="6" borderId="0" xfId="0" applyNumberFormat="1" applyFont="1" applyFill="1">
      <alignment vertical="center"/>
    </xf>
    <xf numFmtId="183" fontId="27" fillId="6" borderId="0" xfId="0" applyNumberFormat="1" applyFont="1" applyFill="1" applyAlignment="1">
      <alignment horizontal="left" vertical="center"/>
    </xf>
    <xf numFmtId="208" fontId="27" fillId="11" borderId="0" xfId="13963" applyNumberFormat="1" applyFont="1" applyFill="1" applyAlignment="1">
      <alignment horizontal="left" vertical="center"/>
    </xf>
    <xf numFmtId="208" fontId="27" fillId="12" borderId="0" xfId="13963" applyNumberFormat="1" applyFont="1" applyFill="1" applyAlignment="1">
      <alignment horizontal="left" vertical="center"/>
    </xf>
    <xf numFmtId="9" fontId="0" fillId="73" borderId="0" xfId="1" applyFont="1" applyFill="1">
      <alignment vertical="center"/>
    </xf>
    <xf numFmtId="183" fontId="0" fillId="6" borderId="0" xfId="0" applyNumberFormat="1" applyFill="1" applyAlignment="1">
      <alignment horizontal="left" vertical="center"/>
    </xf>
    <xf numFmtId="208" fontId="267" fillId="6" borderId="69" xfId="0" applyNumberFormat="1" applyFont="1" applyFill="1" applyBorder="1">
      <alignment vertical="center"/>
    </xf>
    <xf numFmtId="0" fontId="109" fillId="6" borderId="0" xfId="0" applyFont="1" applyFill="1">
      <alignment vertical="center"/>
    </xf>
    <xf numFmtId="183" fontId="50" fillId="6" borderId="0" xfId="0" applyNumberFormat="1" applyFont="1" applyFill="1" applyAlignment="1">
      <alignment horizontal="center" vertical="center"/>
    </xf>
    <xf numFmtId="256" fontId="278" fillId="6" borderId="0" xfId="33480" applyNumberFormat="1" applyFont="1" applyFill="1" applyBorder="1">
      <alignment vertical="center"/>
    </xf>
    <xf numFmtId="257" fontId="278" fillId="6" borderId="0" xfId="33480" applyNumberFormat="1" applyFont="1" applyFill="1" applyBorder="1">
      <alignment vertical="center"/>
    </xf>
    <xf numFmtId="0" fontId="10" fillId="6" borderId="0" xfId="0" applyFont="1" applyFill="1">
      <alignment vertical="center"/>
    </xf>
    <xf numFmtId="9" fontId="53" fillId="0" borderId="0" xfId="6374" applyFont="1" applyFill="1" applyAlignment="1">
      <alignment horizontal="center"/>
    </xf>
    <xf numFmtId="208" fontId="60" fillId="0" borderId="119" xfId="347" applyNumberFormat="1" applyFont="1" applyBorder="1" applyAlignment="1">
      <alignment horizontal="left" vertical="center"/>
    </xf>
    <xf numFmtId="166" fontId="61" fillId="0" borderId="118" xfId="347" applyFont="1" applyBorder="1">
      <alignment vertical="center"/>
    </xf>
    <xf numFmtId="208" fontId="60" fillId="0" borderId="113" xfId="347" applyNumberFormat="1" applyFont="1" applyBorder="1" applyAlignment="1">
      <alignment horizontal="left" vertical="center"/>
    </xf>
    <xf numFmtId="166" fontId="62" fillId="0" borderId="0" xfId="347" applyFont="1" applyFill="1" applyAlignment="1">
      <alignment horizontal="left" vertical="center"/>
    </xf>
    <xf numFmtId="166" fontId="285" fillId="0" borderId="0" xfId="347" applyFont="1" applyAlignment="1">
      <alignment horizontal="left"/>
    </xf>
    <xf numFmtId="208" fontId="62" fillId="0" borderId="0" xfId="347" applyNumberFormat="1" applyFont="1" applyAlignment="1">
      <alignment horizontal="left"/>
    </xf>
    <xf numFmtId="175" fontId="60" fillId="0" borderId="43" xfId="3227" applyNumberFormat="1" applyFont="1" applyFill="1" applyBorder="1" applyAlignment="1">
      <alignment horizontal="center" vertical="center"/>
    </xf>
    <xf numFmtId="253" fontId="60" fillId="0" borderId="118" xfId="3131" applyNumberFormat="1" applyFont="1" applyFill="1" applyBorder="1">
      <alignment vertical="center"/>
    </xf>
    <xf numFmtId="166" fontId="60" fillId="0" borderId="0" xfId="347" applyFont="1" applyFill="1" applyAlignment="1">
      <alignment vertical="center"/>
    </xf>
    <xf numFmtId="208" fontId="62" fillId="0" borderId="0" xfId="3076" applyNumberFormat="1" applyFont="1" applyFill="1" applyAlignment="1">
      <alignment horizontal="left" vertical="center"/>
    </xf>
    <xf numFmtId="208" fontId="114" fillId="0" borderId="118" xfId="347" applyNumberFormat="1" applyFont="1" applyFill="1" applyBorder="1" applyAlignment="1">
      <alignment vertical="center"/>
    </xf>
    <xf numFmtId="208" fontId="114" fillId="0" borderId="118" xfId="347" applyNumberFormat="1" applyFont="1" applyFill="1" applyBorder="1">
      <alignment vertical="center"/>
    </xf>
    <xf numFmtId="208" fontId="61" fillId="0" borderId="113" xfId="347" applyNumberFormat="1" applyFont="1" applyFill="1" applyBorder="1">
      <alignment vertical="center"/>
    </xf>
    <xf numFmtId="175" fontId="62" fillId="0" borderId="115" xfId="3227" applyNumberFormat="1" applyFont="1" applyFill="1" applyBorder="1" applyAlignment="1">
      <alignment horizontal="left" vertical="center"/>
    </xf>
    <xf numFmtId="208" fontId="62" fillId="0" borderId="114" xfId="347" applyNumberFormat="1" applyFont="1" applyFill="1" applyBorder="1">
      <alignment vertical="center"/>
    </xf>
    <xf numFmtId="208" fontId="61" fillId="0" borderId="43" xfId="347" applyNumberFormat="1" applyFont="1" applyFill="1" applyBorder="1">
      <alignment vertical="center"/>
    </xf>
    <xf numFmtId="166" fontId="234" fillId="0" borderId="0" xfId="347" applyFont="1">
      <alignment vertical="center"/>
    </xf>
    <xf numFmtId="208" fontId="234" fillId="0" borderId="0" xfId="347" applyNumberFormat="1" applyFont="1">
      <alignment vertical="center"/>
    </xf>
    <xf numFmtId="208" fontId="234" fillId="0" borderId="118" xfId="347" applyNumberFormat="1" applyFont="1" applyBorder="1">
      <alignment vertical="center"/>
    </xf>
    <xf numFmtId="208" fontId="234" fillId="0" borderId="118" xfId="347" applyNumberFormat="1" applyFont="1" applyFill="1" applyBorder="1">
      <alignment vertical="center"/>
    </xf>
    <xf numFmtId="166" fontId="234" fillId="0" borderId="0" xfId="347" applyFont="1" applyFill="1" applyAlignment="1">
      <alignment horizontal="left" vertical="center"/>
    </xf>
    <xf numFmtId="208" fontId="234" fillId="0" borderId="43" xfId="347" applyNumberFormat="1" applyFont="1" applyBorder="1">
      <alignment vertical="center"/>
    </xf>
    <xf numFmtId="253" fontId="234" fillId="0" borderId="118" xfId="347" applyNumberFormat="1" applyFont="1" applyBorder="1">
      <alignment vertical="center"/>
    </xf>
    <xf numFmtId="208" fontId="234" fillId="0" borderId="119" xfId="347" applyNumberFormat="1" applyFont="1" applyBorder="1" applyAlignment="1">
      <alignment horizontal="left" vertical="center"/>
    </xf>
    <xf numFmtId="208" fontId="234" fillId="64" borderId="118" xfId="347" applyNumberFormat="1" applyFont="1" applyFill="1" applyBorder="1">
      <alignment vertical="center"/>
    </xf>
    <xf numFmtId="208" fontId="234" fillId="0" borderId="118" xfId="347" applyNumberFormat="1" applyFont="1" applyBorder="1" applyAlignment="1">
      <alignment horizontal="left" vertical="center"/>
    </xf>
    <xf numFmtId="166" fontId="234" fillId="0" borderId="0" xfId="347" applyFont="1" applyAlignment="1">
      <alignment horizontal="left" vertical="center"/>
    </xf>
    <xf numFmtId="166" fontId="114" fillId="0" borderId="0" xfId="347" applyFont="1" applyFill="1" applyAlignment="1">
      <alignment horizontal="left" vertical="center"/>
    </xf>
    <xf numFmtId="208" fontId="60" fillId="0" borderId="118" xfId="347" applyNumberFormat="1" applyFont="1" applyBorder="1" applyAlignment="1">
      <alignment horizontal="left" vertical="center"/>
    </xf>
    <xf numFmtId="208" fontId="61" fillId="0" borderId="119" xfId="347" applyNumberFormat="1" applyFont="1" applyBorder="1" applyAlignment="1">
      <alignment horizontal="left" vertical="center"/>
    </xf>
    <xf numFmtId="9" fontId="114" fillId="0" borderId="0" xfId="6374" applyFont="1" applyFill="1" applyAlignment="1">
      <alignment horizontal="center" vertical="center"/>
    </xf>
    <xf numFmtId="208" fontId="69" fillId="0" borderId="118" xfId="347" applyNumberFormat="1" applyFont="1" applyBorder="1">
      <alignment vertical="center"/>
    </xf>
    <xf numFmtId="208" fontId="62" fillId="0" borderId="118" xfId="347" applyNumberFormat="1" applyFont="1" applyBorder="1">
      <alignment vertical="center"/>
    </xf>
    <xf numFmtId="208" fontId="62" fillId="0" borderId="118" xfId="347" applyNumberFormat="1" applyFont="1" applyFill="1" applyBorder="1">
      <alignment vertical="center"/>
    </xf>
    <xf numFmtId="0" fontId="114" fillId="0" borderId="0" xfId="347" applyNumberFormat="1" applyFont="1" applyFill="1" applyAlignment="1">
      <alignment horizontal="left" vertical="center"/>
    </xf>
    <xf numFmtId="166" fontId="286" fillId="0" borderId="0" xfId="347" applyFont="1" applyFill="1" applyAlignment="1">
      <alignment horizontal="left" vertical="center"/>
    </xf>
    <xf numFmtId="208" fontId="60" fillId="0" borderId="118" xfId="347" applyNumberFormat="1" applyFont="1" applyBorder="1" applyAlignment="1">
      <alignment horizontal="center" vertical="center"/>
    </xf>
    <xf numFmtId="254" fontId="61" fillId="0" borderId="118" xfId="347" applyNumberFormat="1" applyFont="1" applyBorder="1" applyAlignment="1">
      <alignment horizontal="center" vertical="center"/>
    </xf>
    <xf numFmtId="254" fontId="60" fillId="0" borderId="118" xfId="347" applyNumberFormat="1" applyFont="1" applyBorder="1" applyAlignment="1">
      <alignment horizontal="center" vertical="center"/>
    </xf>
    <xf numFmtId="254" fontId="62" fillId="0" borderId="118" xfId="347" applyNumberFormat="1" applyFont="1" applyBorder="1" applyAlignment="1">
      <alignment horizontal="center" vertical="center"/>
    </xf>
    <xf numFmtId="174" fontId="61" fillId="0" borderId="119" xfId="6374" applyNumberFormat="1" applyFont="1" applyBorder="1" applyAlignment="1">
      <alignment vertical="center"/>
    </xf>
    <xf numFmtId="174" fontId="62" fillId="0" borderId="0" xfId="6374" applyNumberFormat="1" applyFont="1" applyFill="1" applyAlignment="1">
      <alignment horizontal="left" vertical="center"/>
    </xf>
    <xf numFmtId="166" fontId="61" fillId="65" borderId="43" xfId="347" applyFont="1" applyFill="1" applyBorder="1" applyAlignment="1">
      <alignment horizontal="center" vertical="center" wrapText="1"/>
    </xf>
    <xf numFmtId="166" fontId="61" fillId="65" borderId="0" xfId="347" applyFont="1" applyFill="1" applyBorder="1" applyAlignment="1">
      <alignment horizontal="center" vertical="center" wrapText="1"/>
    </xf>
    <xf numFmtId="166" fontId="61" fillId="65" borderId="119" xfId="347" applyFont="1" applyFill="1" applyBorder="1" applyAlignment="1">
      <alignment horizontal="center" vertical="center" wrapText="1"/>
    </xf>
    <xf numFmtId="166" fontId="36" fillId="0" borderId="0" xfId="347" applyFont="1" applyFill="1">
      <alignment vertical="center"/>
    </xf>
    <xf numFmtId="9" fontId="36" fillId="0" borderId="0" xfId="6374" applyNumberFormat="1" applyFont="1" applyFill="1" applyAlignment="1">
      <alignment vertical="center"/>
    </xf>
    <xf numFmtId="166" fontId="60" fillId="0" borderId="0" xfId="347" applyFont="1" applyBorder="1">
      <alignment vertical="center"/>
    </xf>
    <xf numFmtId="253" fontId="60" fillId="0" borderId="138" xfId="3131" applyNumberFormat="1" applyFont="1" applyBorder="1">
      <alignment vertical="center"/>
    </xf>
    <xf numFmtId="208" fontId="62" fillId="74" borderId="119" xfId="347" applyNumberFormat="1" applyFont="1" applyFill="1" applyBorder="1" applyAlignment="1">
      <alignment horizontal="left"/>
    </xf>
    <xf numFmtId="166" fontId="60" fillId="0" borderId="119" xfId="347" applyFont="1" applyFill="1" applyBorder="1" applyAlignment="1">
      <alignment horizontal="left"/>
    </xf>
    <xf numFmtId="208" fontId="233" fillId="74" borderId="119" xfId="347" applyNumberFormat="1" applyFont="1" applyFill="1" applyBorder="1" applyAlignment="1">
      <alignment horizontal="left"/>
    </xf>
    <xf numFmtId="166" fontId="33" fillId="0" borderId="0" xfId="347" applyFont="1">
      <alignment vertical="center"/>
    </xf>
    <xf numFmtId="0" fontId="9" fillId="0" borderId="0" xfId="61994" applyFont="1"/>
    <xf numFmtId="173" fontId="33" fillId="79" borderId="0" xfId="0" applyNumberFormat="1" applyFont="1" applyFill="1">
      <alignment vertical="center"/>
    </xf>
    <xf numFmtId="173" fontId="33" fillId="60" borderId="0" xfId="0" applyNumberFormat="1" applyFont="1" applyFill="1">
      <alignment vertical="center"/>
    </xf>
    <xf numFmtId="0" fontId="239" fillId="0" borderId="0" xfId="0" applyFont="1" applyAlignment="1">
      <alignment vertical="center"/>
    </xf>
    <xf numFmtId="0" fontId="288" fillId="0" borderId="0" xfId="0" quotePrefix="1" applyFont="1" applyFill="1" applyAlignment="1">
      <alignment vertical="center"/>
    </xf>
    <xf numFmtId="256" fontId="241" fillId="0" borderId="0" xfId="13963" quotePrefix="1" applyNumberFormat="1" applyFont="1" applyFill="1" applyAlignment="1">
      <alignment vertical="center"/>
    </xf>
    <xf numFmtId="208" fontId="239" fillId="0" borderId="0" xfId="13963" applyNumberFormat="1" applyFont="1" applyAlignment="1">
      <alignment vertical="center"/>
    </xf>
    <xf numFmtId="0" fontId="239" fillId="0" borderId="0" xfId="0" applyFont="1" applyFill="1" applyAlignment="1">
      <alignment horizontal="center" vertical="center"/>
    </xf>
    <xf numFmtId="0" fontId="240" fillId="0" borderId="43" xfId="0" applyFont="1" applyFill="1" applyBorder="1" applyAlignment="1">
      <alignment horizontal="center" vertical="center"/>
    </xf>
    <xf numFmtId="0" fontId="240" fillId="0" borderId="0" xfId="0" applyFont="1" applyFill="1" applyAlignment="1">
      <alignment horizontal="center" vertical="center"/>
    </xf>
    <xf numFmtId="0" fontId="288" fillId="0" borderId="14" xfId="0" applyFont="1" applyFill="1" applyBorder="1" applyAlignment="1">
      <alignment horizontal="center" vertical="center"/>
    </xf>
    <xf numFmtId="0" fontId="242" fillId="0" borderId="0" xfId="0" applyFont="1" applyFill="1" applyAlignment="1">
      <alignment vertical="center"/>
    </xf>
    <xf numFmtId="38" fontId="289" fillId="0" borderId="113" xfId="0" applyNumberFormat="1" applyFont="1" applyFill="1" applyBorder="1" applyAlignment="1">
      <alignment horizontal="right" vertical="center"/>
    </xf>
    <xf numFmtId="38" fontId="241" fillId="0" borderId="0" xfId="0" applyNumberFormat="1" applyFont="1" applyFill="1" applyAlignment="1">
      <alignment horizontal="right" vertical="center"/>
    </xf>
    <xf numFmtId="0" fontId="290" fillId="0" borderId="4" xfId="0" applyFont="1" applyFill="1" applyBorder="1" applyAlignment="1">
      <alignment vertical="center"/>
    </xf>
    <xf numFmtId="38" fontId="289" fillId="0" borderId="37" xfId="0" applyNumberFormat="1" applyFont="1" applyFill="1" applyBorder="1" applyAlignment="1">
      <alignment horizontal="right" vertical="center"/>
    </xf>
    <xf numFmtId="208" fontId="239" fillId="0" borderId="37" xfId="13963" applyNumberFormat="1" applyFont="1" applyFill="1" applyBorder="1" applyAlignment="1">
      <alignment vertical="center"/>
    </xf>
    <xf numFmtId="0" fontId="239" fillId="0" borderId="0" xfId="0" applyFont="1" applyFill="1" applyAlignment="1">
      <alignment vertical="center"/>
    </xf>
    <xf numFmtId="174" fontId="239" fillId="0" borderId="0" xfId="1" applyNumberFormat="1" applyFont="1" applyFill="1" applyAlignment="1">
      <alignment vertical="center"/>
    </xf>
    <xf numFmtId="0" fontId="241" fillId="0" borderId="0" xfId="0" applyFont="1" applyFill="1" applyAlignment="1">
      <alignment vertical="center"/>
    </xf>
    <xf numFmtId="0" fontId="290" fillId="0" borderId="0" xfId="1526" applyNumberFormat="1" applyFont="1" applyFill="1" applyBorder="1" applyAlignment="1">
      <alignment horizontal="left" vertical="top"/>
    </xf>
    <xf numFmtId="256" fontId="289" fillId="0" borderId="119" xfId="13963" applyNumberFormat="1" applyFont="1" applyFill="1" applyBorder="1" applyAlignment="1">
      <alignment horizontal="right" vertical="center"/>
    </xf>
    <xf numFmtId="208" fontId="239" fillId="0" borderId="119" xfId="13963" applyNumberFormat="1" applyFont="1" applyFill="1" applyBorder="1" applyAlignment="1">
      <alignment vertical="center"/>
    </xf>
    <xf numFmtId="0" fontId="241" fillId="0" borderId="0" xfId="0" applyFont="1" applyFill="1" applyBorder="1" applyAlignment="1">
      <alignment vertical="center"/>
    </xf>
    <xf numFmtId="256" fontId="241" fillId="0" borderId="0" xfId="0" applyNumberFormat="1" applyFont="1" applyFill="1" applyAlignment="1">
      <alignment vertical="center"/>
    </xf>
    <xf numFmtId="0" fontId="290" fillId="0" borderId="0" xfId="0" applyNumberFormat="1" applyFont="1" applyFill="1" applyBorder="1" applyAlignment="1">
      <alignment vertical="center"/>
    </xf>
    <xf numFmtId="0" fontId="290" fillId="0" borderId="0" xfId="0" applyNumberFormat="1" applyFont="1" applyFill="1" applyAlignment="1">
      <alignment horizontal="left" vertical="center"/>
    </xf>
    <xf numFmtId="0" fontId="290" fillId="0" borderId="0" xfId="0" applyNumberFormat="1" applyFont="1" applyFill="1" applyAlignment="1">
      <alignment vertical="center"/>
    </xf>
    <xf numFmtId="0" fontId="290" fillId="0" borderId="0" xfId="1574" applyNumberFormat="1" applyFont="1" applyFill="1">
      <alignment vertical="center"/>
    </xf>
    <xf numFmtId="0" fontId="290" fillId="0" borderId="4" xfId="0" applyNumberFormat="1" applyFont="1" applyFill="1" applyBorder="1" applyAlignment="1">
      <alignment vertical="center"/>
    </xf>
    <xf numFmtId="256" fontId="289" fillId="0" borderId="37" xfId="13963" applyNumberFormat="1" applyFont="1" applyFill="1" applyBorder="1" applyAlignment="1">
      <alignment horizontal="right" vertical="center"/>
    </xf>
    <xf numFmtId="0" fontId="290" fillId="0" borderId="0" xfId="1526" applyNumberFormat="1" applyFont="1" applyFill="1" applyBorder="1" applyAlignment="1">
      <alignment horizontal="center" vertical="top"/>
    </xf>
    <xf numFmtId="0" fontId="289" fillId="0" borderId="119" xfId="0" applyFont="1" applyFill="1" applyBorder="1" applyAlignment="1">
      <alignment vertical="center"/>
    </xf>
    <xf numFmtId="208" fontId="245" fillId="0" borderId="119" xfId="13963" applyNumberFormat="1" applyFont="1" applyFill="1" applyBorder="1" applyAlignment="1">
      <alignment vertical="center"/>
    </xf>
    <xf numFmtId="208" fontId="289" fillId="0" borderId="119" xfId="13963" applyNumberFormat="1" applyFont="1" applyFill="1" applyBorder="1" applyAlignment="1">
      <alignment vertical="center"/>
    </xf>
    <xf numFmtId="0" fontId="290" fillId="0" borderId="0" xfId="0" applyFont="1" applyFill="1" applyAlignment="1">
      <alignment vertical="center"/>
    </xf>
    <xf numFmtId="169" fontId="290" fillId="0" borderId="0" xfId="1526" applyNumberFormat="1" applyFont="1" applyFill="1" applyBorder="1" applyAlignment="1">
      <alignment horizontal="left" vertical="top"/>
    </xf>
    <xf numFmtId="0" fontId="290" fillId="0" borderId="0" xfId="1526" applyFont="1" applyFill="1" applyBorder="1" applyAlignment="1">
      <alignment vertical="center"/>
    </xf>
    <xf numFmtId="256" fontId="241" fillId="0" borderId="0" xfId="0" applyNumberFormat="1" applyFont="1" applyFill="1" applyBorder="1" applyAlignment="1">
      <alignment vertical="center"/>
    </xf>
    <xf numFmtId="0" fontId="290" fillId="0" borderId="0" xfId="1526" applyFont="1" applyFill="1" applyBorder="1">
      <alignment vertical="center"/>
    </xf>
    <xf numFmtId="0" fontId="290" fillId="0" borderId="0" xfId="0" applyFont="1" applyFill="1" applyAlignment="1">
      <alignment horizontal="center" vertical="center"/>
    </xf>
    <xf numFmtId="38" fontId="290" fillId="0" borderId="0" xfId="13963" applyNumberFormat="1" applyFont="1" applyFill="1" applyBorder="1" applyAlignment="1">
      <alignment horizontal="right" vertical="center"/>
    </xf>
    <xf numFmtId="0" fontId="290" fillId="0" borderId="0" xfId="0" applyFont="1" applyFill="1" applyBorder="1" applyAlignment="1">
      <alignment vertical="center"/>
    </xf>
    <xf numFmtId="0" fontId="291" fillId="0" borderId="0" xfId="0" applyFont="1" applyFill="1" applyBorder="1" applyAlignment="1">
      <alignment vertical="center"/>
    </xf>
    <xf numFmtId="0" fontId="291" fillId="0" borderId="0" xfId="1526" applyFont="1" applyFill="1" applyBorder="1" applyAlignment="1"/>
    <xf numFmtId="0" fontId="290" fillId="0" borderId="0" xfId="1526" applyFont="1" applyFill="1" applyBorder="1" applyAlignment="1"/>
    <xf numFmtId="0" fontId="291" fillId="0" borderId="4" xfId="1526" applyFont="1" applyFill="1" applyBorder="1" applyAlignment="1"/>
    <xf numFmtId="38" fontId="292" fillId="0" borderId="0" xfId="13963" applyNumberFormat="1" applyFont="1" applyFill="1" applyAlignment="1">
      <alignment horizontal="right" vertical="center"/>
    </xf>
    <xf numFmtId="0" fontId="290" fillId="0" borderId="0" xfId="1526" applyFont="1" applyFill="1" applyBorder="1" applyAlignment="1">
      <alignment horizontal="center"/>
    </xf>
    <xf numFmtId="0" fontId="271" fillId="0" borderId="0" xfId="0" applyFont="1" applyFill="1" applyAlignment="1">
      <alignment vertical="center"/>
    </xf>
    <xf numFmtId="0" fontId="290" fillId="0" borderId="0" xfId="1526" applyFont="1" applyFill="1" applyBorder="1" applyAlignment="1">
      <alignment vertical="center" wrapText="1"/>
    </xf>
    <xf numFmtId="256" fontId="290" fillId="0" borderId="0" xfId="0" applyNumberFormat="1" applyFont="1" applyFill="1" applyBorder="1" applyAlignment="1">
      <alignment vertical="center"/>
    </xf>
    <xf numFmtId="0" fontId="290" fillId="0" borderId="0" xfId="1526" applyFont="1" applyFill="1" applyBorder="1" applyAlignment="1">
      <alignment horizontal="center" vertical="center"/>
    </xf>
    <xf numFmtId="38" fontId="290" fillId="0" borderId="0" xfId="13963" applyNumberFormat="1" applyFont="1" applyFill="1" applyAlignment="1">
      <alignment horizontal="right" vertical="center"/>
    </xf>
    <xf numFmtId="256" fontId="290" fillId="0" borderId="0" xfId="0" applyNumberFormat="1" applyFont="1" applyFill="1" applyAlignment="1">
      <alignment vertical="center"/>
    </xf>
    <xf numFmtId="0" fontId="290" fillId="0" borderId="4" xfId="1526" applyFont="1" applyFill="1" applyBorder="1" applyAlignment="1">
      <alignment vertical="center"/>
    </xf>
    <xf numFmtId="0" fontId="290" fillId="0" borderId="138" xfId="1526" applyFont="1" applyFill="1" applyBorder="1" applyAlignment="1">
      <alignment horizontal="center" vertical="center"/>
    </xf>
    <xf numFmtId="38" fontId="290" fillId="0" borderId="0" xfId="13963" applyNumberFormat="1" applyFont="1" applyFill="1" applyAlignment="1">
      <alignment horizontal="left" vertical="center"/>
    </xf>
    <xf numFmtId="256" fontId="290" fillId="0" borderId="138" xfId="0" applyNumberFormat="1" applyFont="1" applyFill="1" applyBorder="1" applyAlignment="1">
      <alignment horizontal="center" vertical="center"/>
    </xf>
    <xf numFmtId="256" fontId="293" fillId="0" borderId="119" xfId="13963" applyNumberFormat="1" applyFont="1" applyFill="1" applyBorder="1" applyAlignment="1">
      <alignment horizontal="right" vertical="center"/>
    </xf>
    <xf numFmtId="38" fontId="241" fillId="0" borderId="4" xfId="13963" applyNumberFormat="1" applyFont="1" applyFill="1" applyBorder="1" applyAlignment="1">
      <alignment horizontal="left" vertical="center"/>
    </xf>
    <xf numFmtId="256" fontId="241" fillId="0" borderId="138" xfId="0" applyNumberFormat="1" applyFont="1" applyFill="1" applyBorder="1" applyAlignment="1">
      <alignment horizontal="center" vertical="center"/>
    </xf>
    <xf numFmtId="0" fontId="242" fillId="0" borderId="0" xfId="0" applyFont="1" applyFill="1" applyBorder="1" applyAlignment="1">
      <alignment horizontal="center" vertical="center"/>
    </xf>
    <xf numFmtId="256" fontId="294" fillId="0" borderId="37" xfId="13963" applyNumberFormat="1" applyFont="1" applyFill="1" applyBorder="1" applyAlignment="1">
      <alignment horizontal="right" vertical="center"/>
    </xf>
    <xf numFmtId="208" fontId="245" fillId="0" borderId="37" xfId="13963" applyNumberFormat="1" applyFont="1" applyFill="1" applyBorder="1" applyAlignment="1">
      <alignment vertical="center"/>
    </xf>
    <xf numFmtId="0" fontId="295" fillId="0" borderId="0" xfId="0" applyFont="1" applyFill="1" applyAlignment="1">
      <alignment horizontal="right" vertical="center"/>
    </xf>
    <xf numFmtId="256" fontId="293" fillId="0" borderId="0" xfId="13963" applyNumberFormat="1" applyFont="1" applyFill="1" applyAlignment="1">
      <alignment horizontal="right" vertical="center"/>
    </xf>
    <xf numFmtId="208" fontId="244" fillId="0" borderId="37" xfId="13963" applyNumberFormat="1" applyFont="1" applyFill="1" applyBorder="1" applyAlignment="1">
      <alignment vertical="center"/>
    </xf>
    <xf numFmtId="208" fontId="239" fillId="0" borderId="0" xfId="13963" applyNumberFormat="1" applyFont="1" applyFill="1" applyAlignment="1">
      <alignment vertical="center"/>
    </xf>
    <xf numFmtId="0" fontId="241" fillId="81" borderId="0" xfId="0" applyFont="1" applyFill="1" applyAlignment="1">
      <alignment vertical="center"/>
    </xf>
    <xf numFmtId="0" fontId="291" fillId="81" borderId="0" xfId="0" applyFont="1" applyFill="1" applyAlignment="1">
      <alignment vertical="center"/>
    </xf>
    <xf numFmtId="208" fontId="239" fillId="81" borderId="0" xfId="13963" applyNumberFormat="1" applyFont="1" applyFill="1" applyAlignment="1">
      <alignment vertical="center"/>
    </xf>
    <xf numFmtId="0" fontId="241" fillId="0" borderId="0" xfId="0" applyFont="1" applyAlignment="1">
      <alignment vertical="center"/>
    </xf>
    <xf numFmtId="0" fontId="245" fillId="0" borderId="0" xfId="0" quotePrefix="1" applyFont="1" applyAlignment="1">
      <alignment vertical="center"/>
    </xf>
    <xf numFmtId="0" fontId="289" fillId="0" borderId="0" xfId="0" applyFont="1" applyFill="1" applyAlignment="1">
      <alignment vertical="center"/>
    </xf>
    <xf numFmtId="256" fontId="289" fillId="0" borderId="113" xfId="13963" applyNumberFormat="1" applyFont="1" applyFill="1" applyBorder="1" applyAlignment="1">
      <alignment horizontal="right" vertical="center"/>
    </xf>
    <xf numFmtId="256" fontId="289" fillId="0" borderId="99" xfId="13963" applyNumberFormat="1" applyFont="1" applyFill="1" applyBorder="1" applyAlignment="1">
      <alignment horizontal="right" vertical="center"/>
    </xf>
    <xf numFmtId="208" fontId="245" fillId="0" borderId="99" xfId="13963" applyNumberFormat="1" applyFont="1" applyFill="1" applyBorder="1" applyAlignment="1">
      <alignment horizontal="right" vertical="center"/>
    </xf>
    <xf numFmtId="0" fontId="296" fillId="0" borderId="0" xfId="0" applyFont="1" applyAlignment="1">
      <alignment vertical="center"/>
    </xf>
    <xf numFmtId="256" fontId="297" fillId="0" borderId="6" xfId="0" applyNumberFormat="1" applyFont="1" applyFill="1" applyBorder="1" applyAlignment="1">
      <alignment vertical="center"/>
    </xf>
    <xf numFmtId="208" fontId="243" fillId="0" borderId="6" xfId="0" applyNumberFormat="1" applyFont="1" applyFill="1" applyBorder="1" applyAlignment="1">
      <alignment vertical="center"/>
    </xf>
    <xf numFmtId="208" fontId="239" fillId="10" borderId="119" xfId="13963" applyNumberFormat="1" applyFont="1" applyFill="1" applyBorder="1" applyAlignment="1">
      <alignment vertical="center"/>
    </xf>
    <xf numFmtId="208" fontId="239" fillId="10" borderId="37" xfId="13963" applyNumberFormat="1" applyFont="1" applyFill="1" applyBorder="1" applyAlignment="1">
      <alignment vertical="center"/>
    </xf>
    <xf numFmtId="208" fontId="245" fillId="10" borderId="119" xfId="13963" applyNumberFormat="1" applyFont="1" applyFill="1" applyBorder="1" applyAlignment="1">
      <alignment vertical="center"/>
    </xf>
    <xf numFmtId="208" fontId="245" fillId="10" borderId="37" xfId="13963" applyNumberFormat="1" applyFont="1" applyFill="1" applyBorder="1" applyAlignment="1">
      <alignment vertical="center"/>
    </xf>
    <xf numFmtId="208" fontId="244" fillId="10" borderId="37" xfId="13963" applyNumberFormat="1" applyFont="1" applyFill="1" applyBorder="1" applyAlignment="1">
      <alignment vertical="center"/>
    </xf>
    <xf numFmtId="208" fontId="245" fillId="10" borderId="99" xfId="13963" applyNumberFormat="1" applyFont="1" applyFill="1" applyBorder="1" applyAlignment="1">
      <alignment horizontal="right" vertical="center"/>
    </xf>
    <xf numFmtId="208" fontId="243" fillId="10" borderId="6" xfId="0" applyNumberFormat="1" applyFont="1" applyFill="1" applyBorder="1" applyAlignment="1">
      <alignment vertical="center"/>
    </xf>
    <xf numFmtId="264" fontId="0" fillId="0" borderId="0" xfId="61995" applyNumberFormat="1" applyFont="1"/>
    <xf numFmtId="0" fontId="62" fillId="0" borderId="0" xfId="0" applyFont="1" applyFill="1" applyAlignment="1">
      <alignment horizontal="left" vertical="center"/>
    </xf>
    <xf numFmtId="43" fontId="36" fillId="0" borderId="0" xfId="0" applyNumberFormat="1" applyFont="1" applyFill="1" applyAlignment="1">
      <alignment horizontal="left" vertical="center"/>
    </xf>
    <xf numFmtId="0" fontId="52" fillId="0" borderId="0" xfId="0" applyFont="1" applyFill="1" applyAlignment="1">
      <alignment horizontal="left" vertical="center"/>
    </xf>
    <xf numFmtId="208" fontId="33" fillId="0" borderId="0" xfId="0" applyNumberFormat="1" applyFont="1" applyFill="1">
      <alignment vertical="center"/>
    </xf>
    <xf numFmtId="0" fontId="62" fillId="0" borderId="0" xfId="0" applyFont="1" applyFill="1" applyAlignment="1">
      <alignment horizontal="center" vertical="center"/>
    </xf>
    <xf numFmtId="0" fontId="60" fillId="0" borderId="118" xfId="0" applyFont="1" applyBorder="1" applyAlignment="1">
      <alignment horizontal="center" vertical="center"/>
    </xf>
    <xf numFmtId="0" fontId="62" fillId="0" borderId="0" xfId="0" applyFont="1" applyFill="1" applyBorder="1" applyAlignment="1">
      <alignment horizontal="left" vertical="center"/>
    </xf>
    <xf numFmtId="17" fontId="114" fillId="66" borderId="119" xfId="0" quotePrefix="1" applyNumberFormat="1" applyFont="1" applyFill="1" applyBorder="1" applyAlignment="1">
      <alignment horizontal="center" vertical="center"/>
    </xf>
    <xf numFmtId="17" fontId="61" fillId="66" borderId="119" xfId="0" quotePrefix="1" applyNumberFormat="1" applyFont="1" applyFill="1" applyBorder="1" applyAlignment="1">
      <alignment horizontal="center" vertical="center"/>
    </xf>
    <xf numFmtId="0" fontId="61" fillId="66" borderId="119" xfId="0" applyFont="1" applyFill="1" applyBorder="1" applyAlignment="1">
      <alignment horizontal="center" vertical="center" wrapText="1"/>
    </xf>
    <xf numFmtId="0" fontId="61" fillId="66" borderId="118" xfId="0" applyFont="1" applyFill="1" applyBorder="1" applyAlignment="1">
      <alignment horizontal="center" vertical="center" wrapText="1"/>
    </xf>
    <xf numFmtId="0" fontId="114" fillId="0" borderId="0" xfId="0" applyFont="1" applyFill="1" applyAlignment="1">
      <alignment horizontal="left" vertical="center"/>
    </xf>
    <xf numFmtId="17" fontId="114" fillId="60" borderId="119" xfId="0" quotePrefix="1" applyNumberFormat="1" applyFont="1" applyFill="1" applyBorder="1" applyAlignment="1">
      <alignment horizontal="center" vertical="center"/>
    </xf>
    <xf numFmtId="17" fontId="61" fillId="60" borderId="119" xfId="0" quotePrefix="1" applyNumberFormat="1" applyFont="1" applyFill="1" applyBorder="1" applyAlignment="1">
      <alignment horizontal="center" vertical="center"/>
    </xf>
    <xf numFmtId="0" fontId="61" fillId="60" borderId="119" xfId="0" applyFont="1" applyFill="1" applyBorder="1" applyAlignment="1">
      <alignment horizontal="center" vertical="center" wrapText="1"/>
    </xf>
    <xf numFmtId="17" fontId="114" fillId="78" borderId="118" xfId="0" quotePrefix="1" applyNumberFormat="1" applyFont="1" applyFill="1" applyBorder="1" applyAlignment="1">
      <alignment horizontal="center" vertical="center"/>
    </xf>
    <xf numFmtId="17" fontId="61" fillId="78" borderId="118" xfId="0" quotePrefix="1" applyNumberFormat="1" applyFont="1" applyFill="1" applyBorder="1" applyAlignment="1">
      <alignment horizontal="center" vertical="center"/>
    </xf>
    <xf numFmtId="0" fontId="61" fillId="78" borderId="118" xfId="0" applyFont="1" applyFill="1" applyBorder="1" applyAlignment="1">
      <alignment horizontal="center" vertical="center" wrapText="1"/>
    </xf>
    <xf numFmtId="0" fontId="61" fillId="78" borderId="43" xfId="0" applyFont="1" applyFill="1" applyBorder="1" applyAlignment="1">
      <alignment horizontal="center" vertical="center" wrapText="1"/>
    </xf>
    <xf numFmtId="17" fontId="114" fillId="65" borderId="118" xfId="0" quotePrefix="1" applyNumberFormat="1" applyFont="1" applyFill="1" applyBorder="1" applyAlignment="1">
      <alignment horizontal="center" vertical="center"/>
    </xf>
    <xf numFmtId="17" fontId="61" fillId="65" borderId="118" xfId="0" quotePrefix="1" applyNumberFormat="1" applyFont="1" applyFill="1" applyBorder="1" applyAlignment="1">
      <alignment horizontal="center" vertical="center"/>
    </xf>
    <xf numFmtId="17" fontId="61" fillId="64" borderId="118" xfId="0" quotePrefix="1" applyNumberFormat="1" applyFont="1" applyFill="1" applyBorder="1" applyAlignment="1">
      <alignment horizontal="center" vertical="center"/>
    </xf>
    <xf numFmtId="17" fontId="114" fillId="58" borderId="118" xfId="0" quotePrefix="1" applyNumberFormat="1" applyFont="1" applyFill="1" applyBorder="1" applyAlignment="1">
      <alignment horizontal="center" vertical="center"/>
    </xf>
    <xf numFmtId="17" fontId="61" fillId="58" borderId="118" xfId="0" quotePrefix="1" applyNumberFormat="1" applyFont="1" applyFill="1" applyBorder="1" applyAlignment="1">
      <alignment horizontal="center" vertical="center"/>
    </xf>
    <xf numFmtId="17" fontId="61" fillId="58" borderId="119" xfId="0" quotePrefix="1" applyNumberFormat="1" applyFont="1" applyFill="1" applyBorder="1" applyAlignment="1">
      <alignment horizontal="center" vertical="center"/>
    </xf>
    <xf numFmtId="0" fontId="61" fillId="0" borderId="119" xfId="0" applyFont="1" applyFill="1" applyBorder="1" applyAlignment="1">
      <alignment horizontal="left" vertical="center"/>
    </xf>
    <xf numFmtId="0" fontId="61" fillId="0" borderId="118" xfId="0" applyFont="1" applyFill="1" applyBorder="1" applyAlignment="1">
      <alignment horizontal="center" vertical="center" wrapText="1"/>
    </xf>
    <xf numFmtId="17" fontId="114" fillId="0" borderId="118" xfId="0" quotePrefix="1" applyNumberFormat="1" applyFont="1" applyFill="1" applyBorder="1" applyAlignment="1">
      <alignment horizontal="center" vertical="center"/>
    </xf>
    <xf numFmtId="17" fontId="61" fillId="0" borderId="118" xfId="0" quotePrefix="1" applyNumberFormat="1" applyFont="1" applyFill="1" applyBorder="1" applyAlignment="1">
      <alignment horizontal="center" vertical="center"/>
    </xf>
    <xf numFmtId="17" fontId="61" fillId="0" borderId="119" xfId="0" quotePrefix="1" applyNumberFormat="1" applyFont="1" applyFill="1" applyBorder="1" applyAlignment="1">
      <alignment horizontal="center" vertical="center"/>
    </xf>
    <xf numFmtId="0" fontId="60" fillId="0" borderId="119" xfId="0" applyFont="1" applyBorder="1" applyAlignment="1">
      <alignment horizontal="left" vertical="center"/>
    </xf>
    <xf numFmtId="0" fontId="60" fillId="0" borderId="118" xfId="0" applyFont="1" applyBorder="1" applyAlignment="1">
      <alignment horizontal="left" vertical="center"/>
    </xf>
    <xf numFmtId="0" fontId="62" fillId="0" borderId="118" xfId="0" applyFont="1" applyBorder="1" applyAlignment="1">
      <alignment horizontal="center" vertical="center"/>
    </xf>
    <xf numFmtId="0" fontId="60" fillId="0" borderId="118" xfId="0" applyFont="1" applyFill="1" applyBorder="1" applyAlignment="1">
      <alignment horizontal="center" vertical="center"/>
    </xf>
    <xf numFmtId="0" fontId="60" fillId="64" borderId="118" xfId="0" applyFont="1" applyFill="1" applyBorder="1" applyAlignment="1">
      <alignment horizontal="center" vertical="center"/>
    </xf>
    <xf numFmtId="0" fontId="60" fillId="0" borderId="119" xfId="0" applyFont="1" applyBorder="1" applyAlignment="1">
      <alignment horizontal="center" vertical="center"/>
    </xf>
    <xf numFmtId="0" fontId="286" fillId="0" borderId="0" xfId="0" applyFont="1" applyFill="1" applyAlignment="1">
      <alignment horizontal="left" vertical="center"/>
    </xf>
    <xf numFmtId="0" fontId="287" fillId="0" borderId="0" xfId="0" applyFont="1" applyFill="1" applyAlignment="1">
      <alignment horizontal="left" vertical="center"/>
    </xf>
    <xf numFmtId="208" fontId="286" fillId="0" borderId="0" xfId="0" applyNumberFormat="1" applyFont="1" applyFill="1" applyAlignment="1">
      <alignment horizontal="left" vertical="center"/>
    </xf>
    <xf numFmtId="208" fontId="114" fillId="0" borderId="0" xfId="0" applyNumberFormat="1" applyFont="1" applyFill="1" applyAlignment="1">
      <alignment horizontal="left" vertical="center"/>
    </xf>
    <xf numFmtId="0" fontId="114" fillId="0" borderId="0" xfId="0" applyFont="1" applyFill="1" applyAlignment="1">
      <alignment horizontal="center" vertical="center"/>
    </xf>
    <xf numFmtId="0" fontId="234" fillId="0" borderId="0" xfId="0" applyFont="1" applyAlignment="1">
      <alignment horizontal="left" vertical="center"/>
    </xf>
    <xf numFmtId="0" fontId="62" fillId="0" borderId="0" xfId="0" applyFont="1" applyFill="1">
      <alignment vertical="center"/>
    </xf>
    <xf numFmtId="208" fontId="62" fillId="0" borderId="0" xfId="0" applyNumberFormat="1" applyFont="1" applyFill="1" applyAlignment="1">
      <alignment horizontal="left" vertical="center"/>
    </xf>
    <xf numFmtId="0" fontId="60" fillId="10" borderId="0" xfId="0" applyFont="1" applyFill="1">
      <alignment vertical="center"/>
    </xf>
    <xf numFmtId="0" fontId="36" fillId="0" borderId="0" xfId="0" applyFont="1" applyAlignment="1">
      <alignment horizontal="left" vertical="center"/>
    </xf>
    <xf numFmtId="0" fontId="61" fillId="78" borderId="0" xfId="0" applyFont="1" applyFill="1" applyAlignment="1">
      <alignment horizontal="center" vertical="center" wrapText="1"/>
    </xf>
    <xf numFmtId="0" fontId="61" fillId="0" borderId="119" xfId="0" applyFont="1" applyBorder="1" applyAlignment="1">
      <alignment horizontal="left" vertical="center"/>
    </xf>
    <xf numFmtId="0" fontId="61" fillId="0" borderId="118" xfId="0" applyFont="1" applyBorder="1" applyAlignment="1">
      <alignment horizontal="left" vertical="center"/>
    </xf>
    <xf numFmtId="0" fontId="60" fillId="0" borderId="119" xfId="0" applyFont="1" applyBorder="1">
      <alignment vertical="center"/>
    </xf>
    <xf numFmtId="0" fontId="61" fillId="0" borderId="119" xfId="0" applyFont="1" applyBorder="1">
      <alignment vertical="center"/>
    </xf>
    <xf numFmtId="0" fontId="61" fillId="0" borderId="118" xfId="0" applyFont="1" applyBorder="1">
      <alignment vertical="center"/>
    </xf>
    <xf numFmtId="0" fontId="61" fillId="0" borderId="0" xfId="0" applyFont="1" applyBorder="1" applyAlignment="1">
      <alignment horizontal="left" vertical="center"/>
    </xf>
    <xf numFmtId="208" fontId="60" fillId="0" borderId="0" xfId="0" applyNumberFormat="1" applyFont="1" applyBorder="1">
      <alignment vertical="center"/>
    </xf>
    <xf numFmtId="0" fontId="243" fillId="0" borderId="0" xfId="0" applyFont="1" applyFill="1" applyAlignment="1">
      <alignment vertical="center"/>
    </xf>
    <xf numFmtId="166" fontId="240" fillId="0" borderId="113" xfId="13963" applyFont="1" applyFill="1" applyBorder="1" applyAlignment="1">
      <alignment horizontal="center" vertical="center"/>
    </xf>
    <xf numFmtId="0" fontId="240" fillId="0" borderId="119" xfId="0" applyFont="1" applyFill="1" applyBorder="1" applyAlignment="1">
      <alignment horizontal="center" vertical="center"/>
    </xf>
    <xf numFmtId="0" fontId="240" fillId="0" borderId="0" xfId="0" applyFont="1" applyFill="1" applyAlignment="1">
      <alignment vertical="center"/>
    </xf>
    <xf numFmtId="0" fontId="288" fillId="0" borderId="37" xfId="0" applyFont="1" applyFill="1" applyBorder="1" applyAlignment="1">
      <alignment horizontal="center" vertical="center"/>
    </xf>
    <xf numFmtId="256" fontId="291" fillId="0" borderId="119" xfId="13963" applyNumberFormat="1" applyFont="1" applyFill="1" applyBorder="1" applyAlignment="1">
      <alignment horizontal="right" vertical="center"/>
    </xf>
    <xf numFmtId="208" fontId="239" fillId="0" borderId="113" xfId="13963" applyNumberFormat="1" applyFont="1" applyFill="1" applyBorder="1" applyAlignment="1">
      <alignment horizontal="right" vertical="center"/>
    </xf>
    <xf numFmtId="208" fontId="239" fillId="0" borderId="119" xfId="13963" applyNumberFormat="1" applyFont="1" applyFill="1" applyBorder="1" applyAlignment="1">
      <alignment horizontal="right" vertical="center"/>
    </xf>
    <xf numFmtId="208" fontId="239" fillId="0" borderId="37" xfId="13963" applyNumberFormat="1" applyFont="1" applyFill="1" applyBorder="1" applyAlignment="1">
      <alignment horizontal="right" vertical="center"/>
    </xf>
    <xf numFmtId="0" fontId="241" fillId="0" borderId="0" xfId="0" applyFont="1" applyAlignment="1">
      <alignment horizontal="right" vertical="center"/>
    </xf>
    <xf numFmtId="0" fontId="243" fillId="0" borderId="0" xfId="0" applyFont="1" applyAlignment="1">
      <alignment horizontal="center" vertical="center"/>
    </xf>
    <xf numFmtId="208" fontId="239" fillId="0" borderId="0" xfId="0" applyNumberFormat="1" applyFont="1" applyAlignment="1">
      <alignment vertical="center"/>
    </xf>
    <xf numFmtId="173" fontId="42" fillId="72" borderId="0" xfId="0" applyNumberFormat="1" applyFont="1" applyFill="1">
      <alignment vertical="center"/>
    </xf>
    <xf numFmtId="208" fontId="61" fillId="7" borderId="119" xfId="347" applyNumberFormat="1" applyFont="1" applyFill="1" applyBorder="1">
      <alignment vertical="center"/>
    </xf>
    <xf numFmtId="253" fontId="60" fillId="7" borderId="118" xfId="3131" applyNumberFormat="1" applyFont="1" applyFill="1" applyBorder="1">
      <alignment vertical="center"/>
    </xf>
    <xf numFmtId="253" fontId="60" fillId="10" borderId="118" xfId="3131" applyNumberFormat="1" applyFont="1" applyFill="1" applyBorder="1">
      <alignment vertical="center"/>
    </xf>
    <xf numFmtId="208" fontId="61" fillId="10" borderId="119" xfId="347" applyNumberFormat="1" applyFont="1" applyFill="1" applyBorder="1">
      <alignment vertical="center"/>
    </xf>
    <xf numFmtId="208" fontId="61" fillId="10" borderId="113" xfId="347" applyNumberFormat="1" applyFont="1" applyFill="1" applyBorder="1">
      <alignment vertical="center"/>
    </xf>
    <xf numFmtId="258" fontId="52" fillId="9" borderId="99" xfId="1" applyNumberFormat="1" applyFont="1" applyFill="1" applyBorder="1" applyAlignment="1">
      <alignment horizontal="right" vertical="center"/>
    </xf>
    <xf numFmtId="257" fontId="52" fillId="9" borderId="99" xfId="0" applyNumberFormat="1" applyFont="1" applyFill="1" applyBorder="1">
      <alignment vertical="center"/>
    </xf>
    <xf numFmtId="0" fontId="249" fillId="0" borderId="0" xfId="0" applyFont="1" applyAlignment="1">
      <alignment horizontal="center" vertical="center"/>
    </xf>
    <xf numFmtId="257" fontId="33" fillId="7" borderId="99" xfId="0" applyNumberFormat="1" applyFont="1" applyFill="1" applyBorder="1">
      <alignment vertical="center"/>
    </xf>
    <xf numFmtId="257" fontId="42" fillId="7" borderId="99" xfId="0" applyNumberFormat="1" applyFont="1" applyFill="1" applyBorder="1">
      <alignment vertical="center"/>
    </xf>
    <xf numFmtId="208" fontId="239" fillId="0" borderId="0" xfId="0" applyNumberFormat="1" applyFont="1" applyFill="1" applyAlignment="1">
      <alignment vertical="center"/>
    </xf>
    <xf numFmtId="0" fontId="240" fillId="9" borderId="0" xfId="0" applyFont="1" applyFill="1" applyAlignment="1">
      <alignment horizontal="center" vertical="center"/>
    </xf>
    <xf numFmtId="0" fontId="239" fillId="9" borderId="0" xfId="0" applyFont="1" applyFill="1" applyAlignment="1">
      <alignment vertical="center"/>
    </xf>
    <xf numFmtId="208" fontId="239" fillId="9" borderId="37" xfId="13963" applyNumberFormat="1" applyFont="1" applyFill="1" applyBorder="1" applyAlignment="1">
      <alignment vertical="center"/>
    </xf>
    <xf numFmtId="208" fontId="245" fillId="9" borderId="119" xfId="13963" applyNumberFormat="1" applyFont="1" applyFill="1" applyBorder="1" applyAlignment="1">
      <alignment vertical="center"/>
    </xf>
    <xf numFmtId="208" fontId="245" fillId="9" borderId="37" xfId="13963" applyNumberFormat="1" applyFont="1" applyFill="1" applyBorder="1" applyAlignment="1">
      <alignment vertical="center"/>
    </xf>
    <xf numFmtId="208" fontId="244" fillId="9" borderId="37" xfId="13963" applyNumberFormat="1" applyFont="1" applyFill="1" applyBorder="1" applyAlignment="1">
      <alignment vertical="center"/>
    </xf>
    <xf numFmtId="208" fontId="245" fillId="9" borderId="99" xfId="13963" applyNumberFormat="1" applyFont="1" applyFill="1" applyBorder="1" applyAlignment="1">
      <alignment horizontal="right" vertical="center"/>
    </xf>
    <xf numFmtId="208" fontId="245" fillId="9" borderId="99" xfId="13963" applyNumberFormat="1" applyFont="1" applyFill="1" applyBorder="1" applyAlignment="1">
      <alignment vertical="center"/>
    </xf>
    <xf numFmtId="208" fontId="243" fillId="9" borderId="6" xfId="0" applyNumberFormat="1" applyFont="1" applyFill="1" applyBorder="1" applyAlignment="1">
      <alignment vertical="center"/>
    </xf>
    <xf numFmtId="0" fontId="239" fillId="10" borderId="0" xfId="0" applyFont="1" applyFill="1" applyAlignment="1">
      <alignment vertical="center"/>
    </xf>
    <xf numFmtId="208" fontId="239" fillId="10" borderId="113" xfId="13963" applyNumberFormat="1" applyFont="1" applyFill="1" applyBorder="1" applyAlignment="1">
      <alignment vertical="center"/>
    </xf>
    <xf numFmtId="208" fontId="245" fillId="10" borderId="99" xfId="13963" applyNumberFormat="1" applyFont="1" applyFill="1" applyBorder="1" applyAlignment="1">
      <alignment vertical="center"/>
    </xf>
    <xf numFmtId="0" fontId="240" fillId="7" borderId="0" xfId="0" applyFont="1" applyFill="1" applyAlignment="1">
      <alignment horizontal="center" vertical="center"/>
    </xf>
    <xf numFmtId="0" fontId="239" fillId="7" borderId="0" xfId="0" applyFont="1" applyFill="1" applyAlignment="1">
      <alignment vertical="center"/>
    </xf>
    <xf numFmtId="208" fontId="239" fillId="7" borderId="37" xfId="13963" applyNumberFormat="1" applyFont="1" applyFill="1" applyBorder="1" applyAlignment="1">
      <alignment vertical="center"/>
    </xf>
    <xf numFmtId="208" fontId="239" fillId="7" borderId="119" xfId="13963" applyNumberFormat="1" applyFont="1" applyFill="1" applyBorder="1" applyAlignment="1">
      <alignment vertical="center"/>
    </xf>
    <xf numFmtId="208" fontId="245" fillId="7" borderId="119" xfId="13963" applyNumberFormat="1" applyFont="1" applyFill="1" applyBorder="1" applyAlignment="1">
      <alignment vertical="center"/>
    </xf>
    <xf numFmtId="208" fontId="245" fillId="7" borderId="37" xfId="13963" applyNumberFormat="1" applyFont="1" applyFill="1" applyBorder="1" applyAlignment="1">
      <alignment vertical="center"/>
    </xf>
    <xf numFmtId="208" fontId="244" fillId="7" borderId="37" xfId="13963" applyNumberFormat="1" applyFont="1" applyFill="1" applyBorder="1" applyAlignment="1">
      <alignment vertical="center"/>
    </xf>
    <xf numFmtId="208" fontId="239" fillId="7" borderId="113" xfId="13963" applyNumberFormat="1" applyFont="1" applyFill="1" applyBorder="1" applyAlignment="1">
      <alignment vertical="center"/>
    </xf>
    <xf numFmtId="208" fontId="245" fillId="7" borderId="99" xfId="13963" applyNumberFormat="1" applyFont="1" applyFill="1" applyBorder="1" applyAlignment="1">
      <alignment horizontal="right" vertical="center"/>
    </xf>
    <xf numFmtId="208" fontId="245" fillId="7" borderId="99" xfId="13963" applyNumberFormat="1" applyFont="1" applyFill="1" applyBorder="1" applyAlignment="1">
      <alignment vertical="center"/>
    </xf>
    <xf numFmtId="208" fontId="243" fillId="7" borderId="6" xfId="0" applyNumberFormat="1" applyFont="1" applyFill="1" applyBorder="1" applyAlignment="1">
      <alignment vertical="center"/>
    </xf>
    <xf numFmtId="9" fontId="239" fillId="0" borderId="0" xfId="0" applyNumberFormat="1" applyFont="1" applyFill="1" applyAlignment="1">
      <alignment vertical="center"/>
    </xf>
    <xf numFmtId="9" fontId="239" fillId="0" borderId="0" xfId="0" applyNumberFormat="1" applyFont="1" applyAlignment="1">
      <alignment vertical="center"/>
    </xf>
    <xf numFmtId="208" fontId="245" fillId="0" borderId="138" xfId="13963" applyNumberFormat="1" applyFont="1" applyFill="1" applyBorder="1" applyAlignment="1">
      <alignment vertical="center"/>
    </xf>
    <xf numFmtId="208" fontId="298" fillId="0" borderId="138" xfId="13963" applyNumberFormat="1" applyFont="1" applyFill="1" applyBorder="1" applyAlignment="1">
      <alignment vertical="center"/>
    </xf>
    <xf numFmtId="0" fontId="243" fillId="7" borderId="0" xfId="0" applyFont="1" applyFill="1" applyAlignment="1">
      <alignment horizontal="center" vertical="center"/>
    </xf>
    <xf numFmtId="0" fontId="243" fillId="7" borderId="0" xfId="0" applyFont="1" applyFill="1" applyAlignment="1">
      <alignment vertical="center"/>
    </xf>
    <xf numFmtId="0" fontId="277" fillId="7" borderId="0" xfId="0" applyFont="1" applyFill="1" applyAlignment="1">
      <alignment vertical="center"/>
    </xf>
    <xf numFmtId="208" fontId="277" fillId="7" borderId="0" xfId="0" applyNumberFormat="1" applyFont="1" applyFill="1" applyAlignment="1">
      <alignment vertical="center"/>
    </xf>
    <xf numFmtId="208" fontId="243" fillId="7" borderId="138" xfId="13963" applyNumberFormat="1" applyFont="1" applyFill="1" applyBorder="1" applyAlignment="1">
      <alignment vertical="center"/>
    </xf>
    <xf numFmtId="208" fontId="299" fillId="7" borderId="138" xfId="13963" applyNumberFormat="1" applyFont="1" applyFill="1" applyBorder="1" applyAlignment="1">
      <alignment vertical="center"/>
    </xf>
    <xf numFmtId="208" fontId="243" fillId="8" borderId="6" xfId="0" applyNumberFormat="1" applyFont="1" applyFill="1" applyBorder="1" applyAlignment="1">
      <alignment vertical="center"/>
    </xf>
    <xf numFmtId="208" fontId="239" fillId="0" borderId="0" xfId="0" applyNumberFormat="1" applyFont="1" applyAlignment="1">
      <alignment horizontal="right" vertical="center"/>
    </xf>
    <xf numFmtId="173" fontId="33" fillId="0" borderId="0" xfId="0" applyNumberFormat="1" applyFont="1" applyFill="1" applyAlignment="1">
      <alignment horizontal="center" vertical="center"/>
    </xf>
    <xf numFmtId="265" fontId="27" fillId="0" borderId="0" xfId="0" applyNumberFormat="1" applyFont="1" applyAlignment="1">
      <alignment horizontal="left"/>
    </xf>
    <xf numFmtId="265" fontId="0" fillId="0" borderId="0" xfId="0" applyNumberFormat="1" applyAlignment="1"/>
    <xf numFmtId="265" fontId="0" fillId="0" borderId="0" xfId="0" applyNumberFormat="1" applyAlignment="1">
      <alignment horizontal="left"/>
    </xf>
    <xf numFmtId="9" fontId="0" fillId="0" borderId="0" xfId="1" applyFont="1" applyAlignment="1"/>
    <xf numFmtId="174" fontId="0" fillId="0" borderId="0" xfId="1" applyNumberFormat="1" applyFont="1" applyAlignment="1"/>
    <xf numFmtId="266" fontId="0" fillId="0" borderId="0" xfId="0" applyNumberFormat="1" applyAlignment="1"/>
    <xf numFmtId="265" fontId="0" fillId="0" borderId="0" xfId="0" applyNumberFormat="1" applyAlignment="1">
      <alignment horizontal="center" wrapText="1"/>
    </xf>
    <xf numFmtId="265" fontId="0" fillId="0" borderId="0" xfId="0" applyNumberFormat="1" applyAlignment="1">
      <alignment wrapText="1"/>
    </xf>
    <xf numFmtId="0" fontId="0" fillId="9" borderId="0" xfId="0" quotePrefix="1" applyNumberFormat="1" applyFill="1" applyAlignment="1">
      <alignment horizontal="center"/>
    </xf>
    <xf numFmtId="265" fontId="0" fillId="9" borderId="0" xfId="0" applyNumberFormat="1" applyFill="1" applyAlignment="1"/>
    <xf numFmtId="265" fontId="0" fillId="9" borderId="0" xfId="0" quotePrefix="1" applyNumberFormat="1" applyFill="1" applyAlignment="1">
      <alignment horizontal="center"/>
    </xf>
    <xf numFmtId="266" fontId="0" fillId="9" borderId="0" xfId="0" applyNumberFormat="1" applyFill="1" applyAlignment="1"/>
    <xf numFmtId="265" fontId="0" fillId="11" borderId="0" xfId="0" quotePrefix="1" applyNumberFormat="1" applyFill="1" applyAlignment="1">
      <alignment horizontal="center"/>
    </xf>
    <xf numFmtId="266" fontId="0" fillId="11" borderId="0" xfId="0" applyNumberFormat="1" applyFill="1" applyAlignment="1"/>
    <xf numFmtId="265" fontId="0" fillId="11" borderId="0" xfId="0" applyNumberFormat="1" applyFill="1" applyAlignment="1"/>
    <xf numFmtId="265" fontId="0" fillId="0" borderId="0" xfId="0" applyNumberFormat="1" applyAlignment="1">
      <alignment horizontal="center"/>
    </xf>
    <xf numFmtId="265" fontId="0" fillId="0" borderId="0" xfId="0" quotePrefix="1" applyNumberFormat="1" applyAlignment="1"/>
    <xf numFmtId="0" fontId="258" fillId="9" borderId="0" xfId="0" applyFont="1" applyFill="1" applyAlignment="1">
      <alignment vertical="center"/>
    </xf>
    <xf numFmtId="0" fontId="239" fillId="9" borderId="119" xfId="0" applyFont="1" applyFill="1" applyBorder="1" applyAlignment="1">
      <alignment vertical="center"/>
    </xf>
    <xf numFmtId="208" fontId="245" fillId="9" borderId="113" xfId="13963" applyNumberFormat="1" applyFont="1" applyFill="1" applyBorder="1" applyAlignment="1">
      <alignment vertical="center"/>
    </xf>
    <xf numFmtId="208" fontId="239" fillId="9" borderId="119" xfId="0" applyNumberFormat="1" applyFont="1" applyFill="1" applyBorder="1" applyAlignment="1">
      <alignment vertical="center"/>
    </xf>
    <xf numFmtId="0" fontId="239" fillId="9" borderId="113" xfId="0" applyFont="1" applyFill="1" applyBorder="1" applyAlignment="1">
      <alignment vertical="center"/>
    </xf>
    <xf numFmtId="0" fontId="239" fillId="9" borderId="37" xfId="0" applyFont="1" applyFill="1" applyBorder="1" applyAlignment="1">
      <alignment vertical="center"/>
    </xf>
    <xf numFmtId="208" fontId="258" fillId="0" borderId="99" xfId="13963" applyNumberFormat="1" applyFont="1" applyBorder="1" applyAlignment="1">
      <alignment vertical="center"/>
    </xf>
    <xf numFmtId="166" fontId="243" fillId="8" borderId="6" xfId="0" applyNumberFormat="1" applyFont="1" applyFill="1" applyBorder="1" applyAlignment="1">
      <alignment vertical="center"/>
    </xf>
    <xf numFmtId="208" fontId="300" fillId="7" borderId="6" xfId="0" applyNumberFormat="1" applyFont="1" applyFill="1" applyBorder="1" applyAlignment="1">
      <alignment vertical="center"/>
    </xf>
    <xf numFmtId="173" fontId="59" fillId="0" borderId="0" xfId="0" applyNumberFormat="1" applyFont="1" applyFill="1">
      <alignment vertical="center"/>
    </xf>
    <xf numFmtId="0" fontId="60" fillId="10" borderId="0" xfId="61994" applyFont="1" applyFill="1" applyAlignment="1">
      <alignment horizontal="left" vertical="center"/>
    </xf>
    <xf numFmtId="173" fontId="33" fillId="10" borderId="0" xfId="61994" applyNumberFormat="1" applyFont="1" applyFill="1" applyAlignment="1">
      <alignment vertical="center"/>
    </xf>
    <xf numFmtId="208" fontId="0" fillId="0" borderId="0" xfId="13963" applyNumberFormat="1" applyFont="1" applyAlignment="1"/>
    <xf numFmtId="0" fontId="19" fillId="63" borderId="0" xfId="61994" applyFont="1" applyFill="1"/>
    <xf numFmtId="0" fontId="22" fillId="63" borderId="0" xfId="61994" applyFill="1" applyAlignment="1">
      <alignment horizontal="center"/>
    </xf>
    <xf numFmtId="0" fontId="22" fillId="63" borderId="0" xfId="61994" applyFill="1"/>
    <xf numFmtId="256" fontId="0" fillId="63" borderId="0" xfId="61995" applyNumberFormat="1" applyFont="1" applyFill="1"/>
    <xf numFmtId="208" fontId="0" fillId="63" borderId="0" xfId="13963" applyNumberFormat="1" applyFont="1" applyFill="1"/>
    <xf numFmtId="208" fontId="22" fillId="63" borderId="0" xfId="13963" applyNumberFormat="1" applyFont="1" applyFill="1"/>
    <xf numFmtId="256" fontId="22" fillId="63" borderId="0" xfId="61994" applyNumberFormat="1" applyFill="1"/>
    <xf numFmtId="263" fontId="22" fillId="63" borderId="0" xfId="61994" applyNumberFormat="1" applyFill="1"/>
    <xf numFmtId="256" fontId="0" fillId="63" borderId="0" xfId="61995" applyNumberFormat="1" applyFont="1" applyFill="1" applyAlignment="1">
      <alignment horizontal="center"/>
    </xf>
    <xf numFmtId="0" fontId="18" fillId="63" borderId="0" xfId="61994" applyFont="1" applyFill="1"/>
    <xf numFmtId="0" fontId="20" fillId="63" borderId="0" xfId="61994" applyFont="1" applyFill="1"/>
    <xf numFmtId="0" fontId="15" fillId="63" borderId="0" xfId="61994" applyFont="1" applyFill="1"/>
    <xf numFmtId="256" fontId="0" fillId="63" borderId="80" xfId="61995" applyNumberFormat="1" applyFont="1" applyFill="1" applyBorder="1"/>
    <xf numFmtId="0" fontId="16" fillId="63" borderId="0" xfId="61994" applyFont="1" applyFill="1"/>
    <xf numFmtId="256" fontId="22" fillId="63" borderId="80" xfId="61994" applyNumberFormat="1" applyFill="1" applyBorder="1"/>
    <xf numFmtId="0" fontId="9" fillId="63" borderId="0" xfId="61994" applyFont="1" applyFill="1"/>
    <xf numFmtId="0" fontId="60" fillId="0" borderId="0" xfId="61994" applyFont="1" applyFill="1" applyAlignment="1">
      <alignment horizontal="left" vertical="center"/>
    </xf>
    <xf numFmtId="173" fontId="33" fillId="0" borderId="0" xfId="61994" applyNumberFormat="1" applyFont="1" applyFill="1" applyAlignment="1">
      <alignment vertical="center"/>
    </xf>
    <xf numFmtId="173" fontId="33" fillId="0" borderId="80" xfId="0" applyNumberFormat="1" applyFont="1" applyBorder="1">
      <alignment vertical="center"/>
    </xf>
    <xf numFmtId="173" fontId="302" fillId="0" borderId="0" xfId="61994" applyNumberFormat="1" applyFont="1" applyAlignment="1">
      <alignment vertical="center"/>
    </xf>
    <xf numFmtId="173" fontId="302" fillId="0" borderId="0" xfId="0" applyNumberFormat="1" applyFont="1">
      <alignment vertical="center"/>
    </xf>
    <xf numFmtId="173" fontId="303" fillId="0" borderId="0" xfId="0" applyNumberFormat="1" applyFont="1">
      <alignment vertical="center"/>
    </xf>
    <xf numFmtId="173" fontId="304" fillId="0" borderId="0" xfId="0" applyNumberFormat="1" applyFont="1">
      <alignment vertical="center"/>
    </xf>
    <xf numFmtId="208" fontId="304" fillId="0" borderId="0" xfId="13963" applyNumberFormat="1" applyFont="1" applyFill="1" applyBorder="1" applyAlignment="1">
      <alignment vertical="center"/>
    </xf>
    <xf numFmtId="173" fontId="304" fillId="0" borderId="0" xfId="0" applyNumberFormat="1" applyFont="1" applyFill="1" applyBorder="1">
      <alignment vertical="center"/>
    </xf>
    <xf numFmtId="0" fontId="305" fillId="0" borderId="0" xfId="0" applyFont="1">
      <alignment vertical="center"/>
    </xf>
    <xf numFmtId="177" fontId="304" fillId="0" borderId="0" xfId="1" applyNumberFormat="1" applyFont="1">
      <alignment vertical="center"/>
    </xf>
    <xf numFmtId="173" fontId="304" fillId="0" borderId="0" xfId="0" applyNumberFormat="1" applyFont="1" applyFill="1">
      <alignment vertical="center"/>
    </xf>
    <xf numFmtId="177" fontId="304" fillId="0" borderId="0" xfId="1" quotePrefix="1" applyNumberFormat="1" applyFont="1" applyAlignment="1">
      <alignment horizontal="right" vertical="center"/>
    </xf>
    <xf numFmtId="173" fontId="304" fillId="0" borderId="38" xfId="0" applyNumberFormat="1" applyFont="1" applyBorder="1">
      <alignment vertical="center"/>
    </xf>
    <xf numFmtId="173" fontId="304" fillId="0" borderId="0" xfId="0" applyNumberFormat="1" applyFont="1" applyBorder="1">
      <alignment vertical="center"/>
    </xf>
    <xf numFmtId="0" fontId="8" fillId="10" borderId="0" xfId="61994" applyFont="1" applyFill="1"/>
    <xf numFmtId="0" fontId="22" fillId="10" borderId="0" xfId="61994" applyFill="1"/>
    <xf numFmtId="208" fontId="33" fillId="10" borderId="0" xfId="13963" applyNumberFormat="1" applyFont="1" applyFill="1" applyAlignment="1">
      <alignment vertical="center"/>
    </xf>
    <xf numFmtId="0" fontId="306" fillId="0" borderId="0" xfId="62001" applyFont="1"/>
    <xf numFmtId="0" fontId="306" fillId="0" borderId="0" xfId="62001" applyFont="1" applyBorder="1"/>
    <xf numFmtId="256" fontId="306" fillId="0" borderId="0" xfId="62001" applyNumberFormat="1" applyFont="1" applyBorder="1"/>
    <xf numFmtId="0" fontId="17" fillId="0" borderId="0" xfId="62001" applyAlignment="1">
      <alignment horizontal="right"/>
    </xf>
    <xf numFmtId="256" fontId="0" fillId="9" borderId="0" xfId="62002" applyNumberFormat="1" applyFont="1" applyFill="1"/>
    <xf numFmtId="0" fontId="17" fillId="0" borderId="68" xfId="62001" applyBorder="1"/>
    <xf numFmtId="0" fontId="17" fillId="0" borderId="73" xfId="62001" applyBorder="1"/>
    <xf numFmtId="0" fontId="306" fillId="0" borderId="77" xfId="62001" applyFont="1" applyBorder="1"/>
    <xf numFmtId="0" fontId="17" fillId="0" borderId="0" xfId="62001" applyBorder="1"/>
    <xf numFmtId="256" fontId="17" fillId="0" borderId="0" xfId="62001" applyNumberFormat="1" applyBorder="1" applyAlignment="1">
      <alignment horizontal="center"/>
    </xf>
    <xf numFmtId="0" fontId="17" fillId="0" borderId="44" xfId="62001" applyBorder="1"/>
    <xf numFmtId="0" fontId="17" fillId="0" borderId="77" xfId="62001" applyFont="1" applyFill="1" applyBorder="1"/>
    <xf numFmtId="0" fontId="27" fillId="0" borderId="133" xfId="62001" applyFont="1" applyFill="1" applyBorder="1"/>
    <xf numFmtId="0" fontId="27" fillId="0" borderId="136" xfId="62001" applyFont="1" applyBorder="1"/>
    <xf numFmtId="256" fontId="27" fillId="0" borderId="136" xfId="62001" applyNumberFormat="1" applyFont="1" applyBorder="1"/>
    <xf numFmtId="256" fontId="17" fillId="0" borderId="0" xfId="62001" applyNumberFormat="1" applyBorder="1"/>
    <xf numFmtId="256" fontId="0" fillId="0" borderId="0" xfId="62002" applyNumberFormat="1" applyFont="1" applyBorder="1"/>
    <xf numFmtId="256" fontId="0" fillId="0" borderId="44" xfId="62002" applyNumberFormat="1" applyFont="1" applyBorder="1"/>
    <xf numFmtId="256" fontId="27" fillId="0" borderId="136" xfId="62001" applyNumberFormat="1" applyFont="1" applyFill="1" applyBorder="1"/>
    <xf numFmtId="256" fontId="27" fillId="0" borderId="136" xfId="62002" applyNumberFormat="1" applyFont="1" applyFill="1" applyBorder="1"/>
    <xf numFmtId="256" fontId="27" fillId="0" borderId="95" xfId="62001" applyNumberFormat="1" applyFont="1" applyBorder="1"/>
    <xf numFmtId="0" fontId="27" fillId="80" borderId="42" xfId="62001" applyFont="1" applyFill="1" applyBorder="1"/>
    <xf numFmtId="256" fontId="27" fillId="80" borderId="42" xfId="62002" applyNumberFormat="1" applyFont="1" applyFill="1" applyBorder="1"/>
    <xf numFmtId="0" fontId="27" fillId="0" borderId="72" xfId="62001" applyFont="1" applyBorder="1"/>
    <xf numFmtId="0" fontId="17" fillId="0" borderId="68" xfId="62001" applyBorder="1" applyAlignment="1">
      <alignment horizontal="center"/>
    </xf>
    <xf numFmtId="256" fontId="0" fillId="0" borderId="68" xfId="62002" applyNumberFormat="1" applyFont="1" applyBorder="1" applyAlignment="1">
      <alignment horizontal="center"/>
    </xf>
    <xf numFmtId="0" fontId="27" fillId="0" borderId="72" xfId="62001" applyFont="1" applyFill="1" applyBorder="1"/>
    <xf numFmtId="0" fontId="27" fillId="0" borderId="68" xfId="62001" applyFont="1" applyBorder="1"/>
    <xf numFmtId="256" fontId="27" fillId="0" borderId="68" xfId="62001" applyNumberFormat="1" applyFont="1" applyBorder="1"/>
    <xf numFmtId="256" fontId="27" fillId="0" borderId="68" xfId="62002" applyNumberFormat="1" applyFont="1" applyBorder="1"/>
    <xf numFmtId="0" fontId="27" fillId="0" borderId="73" xfId="62001" applyFont="1" applyBorder="1"/>
    <xf numFmtId="0" fontId="17" fillId="0" borderId="137" xfId="62001" applyBorder="1"/>
    <xf numFmtId="183" fontId="0" fillId="0" borderId="0" xfId="0" applyNumberFormat="1" applyAlignment="1">
      <alignment horizontal="left" vertical="center"/>
    </xf>
    <xf numFmtId="183" fontId="27" fillId="68" borderId="0" xfId="0" applyNumberFormat="1" applyFont="1" applyFill="1">
      <alignment vertical="center"/>
    </xf>
    <xf numFmtId="183" fontId="0" fillId="68" borderId="0" xfId="0" applyNumberFormat="1" applyFill="1" applyAlignment="1">
      <alignment horizontal="right" vertical="center"/>
    </xf>
    <xf numFmtId="267" fontId="0" fillId="68" borderId="0" xfId="0" applyNumberFormat="1" applyFill="1" applyAlignment="1">
      <alignment horizontal="right" vertical="center"/>
    </xf>
    <xf numFmtId="183" fontId="0" fillId="73" borderId="0" xfId="0" applyNumberFormat="1" applyFill="1">
      <alignment vertical="center"/>
    </xf>
    <xf numFmtId="268" fontId="0" fillId="0" borderId="0" xfId="0" applyNumberFormat="1">
      <alignment vertical="center"/>
    </xf>
    <xf numFmtId="267" fontId="0" fillId="11" borderId="0" xfId="0" applyNumberFormat="1" applyFill="1" applyAlignment="1">
      <alignment horizontal="right" vertical="center"/>
    </xf>
    <xf numFmtId="0" fontId="7" fillId="0" borderId="0" xfId="61994" applyFont="1"/>
    <xf numFmtId="208" fontId="306" fillId="0" borderId="0" xfId="13963" applyNumberFormat="1" applyFont="1" applyBorder="1"/>
    <xf numFmtId="0" fontId="22" fillId="73" borderId="0" xfId="61994" applyFill="1"/>
    <xf numFmtId="0" fontId="22" fillId="73" borderId="0" xfId="61994" applyFill="1" applyAlignment="1">
      <alignment horizontal="center"/>
    </xf>
    <xf numFmtId="9" fontId="22" fillId="73" borderId="0" xfId="61994" applyNumberFormat="1" applyFill="1"/>
    <xf numFmtId="208" fontId="0" fillId="0" borderId="0" xfId="61995" applyNumberFormat="1" applyFont="1" applyFill="1"/>
    <xf numFmtId="0" fontId="0" fillId="0" borderId="0" xfId="0" applyFont="1">
      <alignment vertical="center"/>
    </xf>
    <xf numFmtId="0" fontId="276" fillId="0" borderId="0" xfId="0" applyFont="1">
      <alignment vertical="center"/>
    </xf>
    <xf numFmtId="0" fontId="307" fillId="0" borderId="0" xfId="61994" applyFont="1"/>
    <xf numFmtId="0" fontId="308" fillId="0" borderId="0" xfId="61994" applyFont="1"/>
    <xf numFmtId="208" fontId="0" fillId="78" borderId="0" xfId="61995" applyNumberFormat="1" applyFont="1" applyFill="1"/>
    <xf numFmtId="173" fontId="52" fillId="73" borderId="0" xfId="0" applyNumberFormat="1" applyFont="1" applyFill="1">
      <alignment vertical="center"/>
    </xf>
    <xf numFmtId="178" fontId="33" fillId="0" borderId="41" xfId="0" applyNumberFormat="1" applyFont="1" applyBorder="1">
      <alignment vertical="center"/>
    </xf>
    <xf numFmtId="9" fontId="17" fillId="0" borderId="0" xfId="1" applyFont="1" applyAlignment="1"/>
    <xf numFmtId="183" fontId="246" fillId="7" borderId="0" xfId="0" applyNumberFormat="1" applyFont="1" applyFill="1">
      <alignment vertical="center"/>
    </xf>
    <xf numFmtId="183" fontId="0" fillId="7" borderId="0" xfId="0" applyNumberFormat="1" applyFill="1">
      <alignment vertical="center"/>
    </xf>
    <xf numFmtId="183" fontId="254" fillId="7" borderId="0" xfId="0" applyNumberFormat="1" applyFont="1" applyFill="1">
      <alignment vertical="center"/>
    </xf>
    <xf numFmtId="173" fontId="0" fillId="10" borderId="106" xfId="0" applyNumberFormat="1" applyFill="1" applyBorder="1">
      <alignment vertical="center"/>
    </xf>
    <xf numFmtId="173" fontId="0" fillId="10" borderId="139" xfId="0" applyNumberFormat="1" applyFill="1" applyBorder="1">
      <alignment vertical="center"/>
    </xf>
    <xf numFmtId="173" fontId="0" fillId="13" borderId="106" xfId="0" applyNumberFormat="1" applyFill="1" applyBorder="1">
      <alignment vertical="center"/>
    </xf>
    <xf numFmtId="173" fontId="0" fillId="13" borderId="139" xfId="0" applyNumberFormat="1" applyFill="1" applyBorder="1">
      <alignment vertical="center"/>
    </xf>
    <xf numFmtId="173" fontId="0" fillId="82" borderId="128" xfId="0" applyNumberFormat="1" applyFill="1" applyBorder="1">
      <alignment vertical="center"/>
    </xf>
    <xf numFmtId="173" fontId="0" fillId="83" borderId="129" xfId="0" applyNumberFormat="1" applyFill="1" applyBorder="1">
      <alignment vertical="center"/>
    </xf>
    <xf numFmtId="173" fontId="0" fillId="82" borderId="130" xfId="0" applyNumberFormat="1" applyFill="1" applyBorder="1">
      <alignment vertical="center"/>
    </xf>
    <xf numFmtId="173" fontId="0" fillId="83" borderId="132" xfId="0" applyNumberFormat="1" applyFill="1" applyBorder="1">
      <alignment vertical="center"/>
    </xf>
    <xf numFmtId="173" fontId="27" fillId="9" borderId="36" xfId="0" applyNumberFormat="1" applyFont="1" applyFill="1" applyBorder="1" applyAlignment="1">
      <alignment horizontal="right" vertical="center" wrapText="1"/>
    </xf>
    <xf numFmtId="173" fontId="27" fillId="10" borderId="26" xfId="0" applyNumberFormat="1" applyFont="1" applyFill="1" applyBorder="1" applyAlignment="1">
      <alignment horizontal="right" vertical="center" wrapText="1"/>
    </xf>
    <xf numFmtId="173" fontId="27" fillId="11" borderId="36" xfId="0" applyNumberFormat="1" applyFont="1" applyFill="1" applyBorder="1" applyAlignment="1">
      <alignment horizontal="right" vertical="center" wrapText="1"/>
    </xf>
    <xf numFmtId="173" fontId="27" fillId="13" borderId="26" xfId="0" applyNumberFormat="1" applyFont="1" applyFill="1" applyBorder="1" applyAlignment="1">
      <alignment horizontal="right" vertical="center" wrapText="1"/>
    </xf>
    <xf numFmtId="173" fontId="27" fillId="82" borderId="36" xfId="0" applyNumberFormat="1" applyFont="1" applyFill="1" applyBorder="1" applyAlignment="1">
      <alignment horizontal="right" vertical="center" wrapText="1"/>
    </xf>
    <xf numFmtId="173" fontId="27" fillId="83" borderId="9" xfId="0" applyNumberFormat="1" applyFont="1" applyFill="1" applyBorder="1" applyAlignment="1">
      <alignment horizontal="right" vertical="center" wrapText="1"/>
    </xf>
    <xf numFmtId="173" fontId="0" fillId="9" borderId="110" xfId="0" applyNumberFormat="1" applyFill="1" applyBorder="1">
      <alignment vertical="center"/>
    </xf>
    <xf numFmtId="173" fontId="0" fillId="9" borderId="140" xfId="0" applyNumberFormat="1" applyFill="1" applyBorder="1">
      <alignment vertical="center"/>
    </xf>
    <xf numFmtId="173" fontId="0" fillId="0" borderId="33" xfId="0" applyNumberFormat="1" applyBorder="1">
      <alignment vertical="center"/>
    </xf>
    <xf numFmtId="173" fontId="0" fillId="0" borderId="112" xfId="0" quotePrefix="1" applyNumberFormat="1" applyBorder="1">
      <alignment vertical="center"/>
    </xf>
    <xf numFmtId="173" fontId="0" fillId="0" borderId="112" xfId="0" applyNumberFormat="1" applyBorder="1">
      <alignment vertical="center"/>
    </xf>
    <xf numFmtId="173" fontId="0" fillId="0" borderId="112" xfId="0" applyNumberFormat="1" applyBorder="1" applyAlignment="1">
      <alignment vertical="center" wrapText="1"/>
    </xf>
    <xf numFmtId="173" fontId="0" fillId="0" borderId="28" xfId="0" applyNumberFormat="1" applyBorder="1" applyAlignment="1">
      <alignment vertical="center" wrapText="1"/>
    </xf>
    <xf numFmtId="173" fontId="27" fillId="7" borderId="0" xfId="0" applyNumberFormat="1" applyFont="1" applyFill="1">
      <alignment vertical="center"/>
    </xf>
    <xf numFmtId="173" fontId="0" fillId="9" borderId="0" xfId="0" applyNumberFormat="1" applyFill="1" applyAlignment="1">
      <alignment horizontal="right" vertical="center"/>
    </xf>
    <xf numFmtId="173" fontId="0" fillId="9" borderId="0" xfId="0" applyNumberFormat="1" applyFill="1" applyAlignment="1">
      <alignment vertical="center" wrapText="1"/>
    </xf>
    <xf numFmtId="173" fontId="0" fillId="11" borderId="0" xfId="0" applyNumberFormat="1" applyFill="1" applyAlignment="1">
      <alignment vertical="center" wrapText="1"/>
    </xf>
    <xf numFmtId="173" fontId="0" fillId="11" borderId="4" xfId="0" applyNumberFormat="1" applyFill="1" applyBorder="1">
      <alignment vertical="center"/>
    </xf>
    <xf numFmtId="173" fontId="254" fillId="7" borderId="0" xfId="0" applyNumberFormat="1" applyFont="1" applyFill="1">
      <alignment vertical="center"/>
    </xf>
    <xf numFmtId="0" fontId="0" fillId="0" borderId="99" xfId="0" applyBorder="1">
      <alignment vertical="center"/>
    </xf>
    <xf numFmtId="183" fontId="27" fillId="9" borderId="99" xfId="0" applyNumberFormat="1" applyFont="1" applyFill="1" applyBorder="1">
      <alignment vertical="center"/>
    </xf>
    <xf numFmtId="0" fontId="0" fillId="82" borderId="99" xfId="0" applyFill="1" applyBorder="1">
      <alignment vertical="center"/>
    </xf>
    <xf numFmtId="183" fontId="0" fillId="82" borderId="99" xfId="0" applyNumberFormat="1" applyFill="1" applyBorder="1">
      <alignment vertical="center"/>
    </xf>
    <xf numFmtId="0" fontId="0" fillId="11" borderId="99" xfId="0" applyFill="1" applyBorder="1">
      <alignment vertical="center"/>
    </xf>
    <xf numFmtId="183" fontId="0" fillId="11" borderId="99" xfId="0" applyNumberFormat="1" applyFill="1" applyBorder="1">
      <alignment vertical="center"/>
    </xf>
    <xf numFmtId="0" fontId="0" fillId="7" borderId="99" xfId="0" applyFill="1" applyBorder="1">
      <alignment vertical="center"/>
    </xf>
    <xf numFmtId="181" fontId="51" fillId="7" borderId="99" xfId="0" applyNumberFormat="1" applyFont="1" applyFill="1" applyBorder="1" applyAlignment="1">
      <alignment horizontal="right" vertical="center"/>
    </xf>
    <xf numFmtId="183" fontId="6" fillId="9" borderId="99" xfId="0" applyNumberFormat="1" applyFont="1" applyFill="1" applyBorder="1">
      <alignment vertical="center"/>
    </xf>
    <xf numFmtId="0" fontId="27" fillId="0" borderId="99" xfId="0" applyFont="1" applyBorder="1">
      <alignment vertical="center"/>
    </xf>
    <xf numFmtId="183" fontId="27" fillId="11" borderId="99" xfId="0" applyNumberFormat="1" applyFont="1" applyFill="1" applyBorder="1">
      <alignment vertical="center"/>
    </xf>
    <xf numFmtId="183" fontId="27" fillId="82" borderId="106" xfId="0" applyNumberFormat="1" applyFont="1" applyFill="1" applyBorder="1">
      <alignment vertical="center"/>
    </xf>
    <xf numFmtId="183" fontId="27" fillId="11" borderId="110" xfId="0" applyNumberFormat="1" applyFont="1" applyFill="1" applyBorder="1">
      <alignment vertical="center"/>
    </xf>
    <xf numFmtId="181" fontId="51" fillId="7" borderId="113" xfId="0" applyNumberFormat="1" applyFont="1" applyFill="1" applyBorder="1" applyAlignment="1">
      <alignment horizontal="right" vertical="center"/>
    </xf>
    <xf numFmtId="181" fontId="254" fillId="7" borderId="6" xfId="0" applyNumberFormat="1" applyFont="1" applyFill="1" applyBorder="1" applyAlignment="1">
      <alignment horizontal="right" vertical="center"/>
    </xf>
    <xf numFmtId="0" fontId="27" fillId="11" borderId="99" xfId="0" applyFont="1" applyFill="1" applyBorder="1" applyAlignment="1">
      <alignment horizontal="center" vertical="center" wrapText="1"/>
    </xf>
    <xf numFmtId="0" fontId="27" fillId="82" borderId="99" xfId="0" applyFont="1" applyFill="1" applyBorder="1" applyAlignment="1">
      <alignment horizontal="center" vertical="center" wrapText="1"/>
    </xf>
    <xf numFmtId="0" fontId="27" fillId="7" borderId="99" xfId="0" applyFont="1" applyFill="1" applyBorder="1" applyAlignment="1">
      <alignment horizontal="center" vertical="center" wrapText="1"/>
    </xf>
    <xf numFmtId="0" fontId="0" fillId="0" borderId="110" xfId="0" applyBorder="1">
      <alignment vertical="center"/>
    </xf>
    <xf numFmtId="183" fontId="27" fillId="68" borderId="99" xfId="0" applyNumberFormat="1" applyFont="1" applyFill="1" applyBorder="1">
      <alignment vertical="center"/>
    </xf>
    <xf numFmtId="0" fontId="0" fillId="68" borderId="99" xfId="0" applyFill="1" applyBorder="1">
      <alignment vertical="center"/>
    </xf>
    <xf numFmtId="183" fontId="0" fillId="68" borderId="99" xfId="0" applyNumberFormat="1" applyFill="1" applyBorder="1">
      <alignment vertical="center"/>
    </xf>
    <xf numFmtId="181" fontId="51" fillId="68" borderId="37" xfId="0" applyNumberFormat="1" applyFont="1" applyFill="1" applyBorder="1" applyAlignment="1">
      <alignment horizontal="right" vertical="center"/>
    </xf>
    <xf numFmtId="181" fontId="254" fillId="7" borderId="36" xfId="0" applyNumberFormat="1" applyFont="1" applyFill="1" applyBorder="1" applyAlignment="1">
      <alignment horizontal="right" vertical="center"/>
    </xf>
    <xf numFmtId="0" fontId="0" fillId="6" borderId="43" xfId="0" applyFill="1" applyBorder="1">
      <alignment vertical="center"/>
    </xf>
    <xf numFmtId="0" fontId="0" fillId="6" borderId="14" xfId="0" applyFill="1" applyBorder="1">
      <alignment vertical="center"/>
    </xf>
    <xf numFmtId="0" fontId="27" fillId="69" borderId="99" xfId="0" applyFont="1" applyFill="1" applyBorder="1" applyAlignment="1">
      <alignment horizontal="center" vertical="center"/>
    </xf>
    <xf numFmtId="0" fontId="27" fillId="69" borderId="99" xfId="0" applyFont="1" applyFill="1" applyBorder="1" applyAlignment="1">
      <alignment horizontal="center" vertical="center" wrapText="1"/>
    </xf>
    <xf numFmtId="0" fontId="0" fillId="69" borderId="99" xfId="0" applyFill="1" applyBorder="1">
      <alignment vertical="center"/>
    </xf>
    <xf numFmtId="181" fontId="51" fillId="69" borderId="99" xfId="0" applyNumberFormat="1" applyFont="1" applyFill="1" applyBorder="1" applyAlignment="1">
      <alignment horizontal="right" vertical="center"/>
    </xf>
    <xf numFmtId="181" fontId="254" fillId="69" borderId="36" xfId="0" applyNumberFormat="1" applyFont="1" applyFill="1" applyBorder="1" applyAlignment="1">
      <alignment horizontal="right" vertical="center"/>
    </xf>
    <xf numFmtId="183" fontId="5" fillId="9" borderId="0" xfId="0" applyNumberFormat="1" applyFont="1" applyFill="1" applyBorder="1">
      <alignment vertical="center"/>
    </xf>
    <xf numFmtId="183" fontId="27" fillId="13" borderId="0" xfId="0" applyNumberFormat="1" applyFont="1" applyFill="1" applyAlignment="1">
      <alignment horizontal="right" vertical="center"/>
    </xf>
    <xf numFmtId="183" fontId="5" fillId="9" borderId="0" xfId="0" applyNumberFormat="1" applyFont="1" applyFill="1">
      <alignment vertical="center"/>
    </xf>
    <xf numFmtId="268" fontId="0" fillId="9" borderId="0" xfId="0" applyNumberFormat="1" applyFill="1" applyAlignment="1">
      <alignment horizontal="right" vertical="center"/>
    </xf>
    <xf numFmtId="183" fontId="27" fillId="9" borderId="0" xfId="0" applyNumberFormat="1" applyFont="1" applyFill="1" applyAlignment="1">
      <alignment horizontal="right" vertical="center"/>
    </xf>
    <xf numFmtId="183" fontId="0" fillId="10" borderId="76" xfId="0" applyNumberFormat="1" applyFill="1" applyBorder="1" applyAlignment="1">
      <alignment horizontal="right" vertical="center"/>
    </xf>
    <xf numFmtId="268" fontId="0" fillId="10" borderId="76" xfId="0" applyNumberFormat="1" applyFill="1" applyBorder="1" applyAlignment="1">
      <alignment horizontal="right" vertical="center"/>
    </xf>
    <xf numFmtId="183" fontId="27" fillId="10" borderId="76" xfId="0" applyNumberFormat="1" applyFont="1" applyFill="1" applyBorder="1" applyAlignment="1">
      <alignment horizontal="right" vertical="center"/>
    </xf>
    <xf numFmtId="183" fontId="27" fillId="10" borderId="71" xfId="0" applyNumberFormat="1" applyFont="1" applyFill="1" applyBorder="1" applyAlignment="1">
      <alignment horizontal="right" vertical="center"/>
    </xf>
    <xf numFmtId="183" fontId="27" fillId="8" borderId="70" xfId="0" applyNumberFormat="1" applyFont="1" applyFill="1" applyBorder="1" applyAlignment="1">
      <alignment horizontal="right" vertical="center"/>
    </xf>
    <xf numFmtId="0" fontId="0" fillId="0" borderId="137" xfId="0" applyBorder="1">
      <alignment vertical="center"/>
    </xf>
    <xf numFmtId="0" fontId="0" fillId="0" borderId="0" xfId="0" applyBorder="1">
      <alignment vertical="center"/>
    </xf>
    <xf numFmtId="0" fontId="0" fillId="0" borderId="41" xfId="0" applyBorder="1">
      <alignment vertical="center"/>
    </xf>
    <xf numFmtId="0" fontId="0" fillId="0" borderId="0" xfId="0" applyFill="1" applyBorder="1">
      <alignment vertical="center"/>
    </xf>
    <xf numFmtId="208" fontId="0" fillId="0" borderId="137" xfId="0" applyNumberFormat="1" applyBorder="1">
      <alignment vertical="center"/>
    </xf>
    <xf numFmtId="174" fontId="0" fillId="73" borderId="0" xfId="1" applyNumberFormat="1" applyFont="1" applyFill="1">
      <alignment vertical="center"/>
    </xf>
    <xf numFmtId="208" fontId="0" fillId="0" borderId="137" xfId="13963" applyNumberFormat="1" applyFont="1" applyBorder="1" applyAlignment="1">
      <alignment vertical="center"/>
    </xf>
    <xf numFmtId="208" fontId="0" fillId="0" borderId="0" xfId="13963" applyNumberFormat="1" applyFont="1" applyBorder="1" applyAlignment="1">
      <alignment vertical="center"/>
    </xf>
    <xf numFmtId="9" fontId="0" fillId="0" borderId="0" xfId="0" applyNumberFormat="1">
      <alignment vertical="center"/>
    </xf>
    <xf numFmtId="208" fontId="0" fillId="0" borderId="0" xfId="13963" applyNumberFormat="1" applyFont="1" applyFill="1" applyBorder="1" applyAlignment="1">
      <alignment vertical="center"/>
    </xf>
    <xf numFmtId="197" fontId="0" fillId="0" borderId="0" xfId="13963" applyNumberFormat="1" applyFont="1" applyFill="1" applyAlignment="1">
      <alignment vertical="center"/>
    </xf>
    <xf numFmtId="208" fontId="251" fillId="0" borderId="0" xfId="13963" applyNumberFormat="1" applyFont="1" applyAlignment="1">
      <alignment vertical="center"/>
    </xf>
    <xf numFmtId="178" fontId="33" fillId="0" borderId="0" xfId="0" applyNumberFormat="1" applyFont="1" applyFill="1">
      <alignment vertical="center"/>
    </xf>
    <xf numFmtId="269" fontId="0" fillId="0" borderId="0" xfId="1" applyNumberFormat="1" applyFont="1">
      <alignment vertical="center"/>
    </xf>
    <xf numFmtId="269" fontId="0" fillId="0" borderId="0" xfId="0" applyNumberFormat="1">
      <alignment vertical="center"/>
    </xf>
    <xf numFmtId="269" fontId="0" fillId="73" borderId="0" xfId="1" applyNumberFormat="1" applyFont="1" applyFill="1">
      <alignment vertical="center"/>
    </xf>
    <xf numFmtId="269" fontId="251" fillId="0" borderId="0" xfId="1" applyNumberFormat="1" applyFont="1" applyFill="1">
      <alignment vertical="center"/>
    </xf>
    <xf numFmtId="269" fontId="251" fillId="73" borderId="0" xfId="1" applyNumberFormat="1" applyFont="1" applyFill="1">
      <alignment vertical="center"/>
    </xf>
    <xf numFmtId="269" fontId="0" fillId="0" borderId="0" xfId="0" applyNumberFormat="1" applyBorder="1">
      <alignment vertical="center"/>
    </xf>
    <xf numFmtId="269" fontId="0" fillId="0" borderId="0" xfId="0" applyNumberFormat="1" applyFill="1" applyBorder="1">
      <alignment vertical="center"/>
    </xf>
    <xf numFmtId="269" fontId="0" fillId="0" borderId="0" xfId="1" applyNumberFormat="1" applyFont="1" applyBorder="1" applyAlignment="1">
      <alignment vertical="center"/>
    </xf>
    <xf numFmtId="269" fontId="0" fillId="0" borderId="0" xfId="1" applyNumberFormat="1" applyFont="1" applyFill="1" applyBorder="1" applyAlignment="1">
      <alignment vertical="center"/>
    </xf>
    <xf numFmtId="269" fontId="0" fillId="73" borderId="0" xfId="1" applyNumberFormat="1" applyFont="1" applyFill="1" applyBorder="1" applyAlignment="1">
      <alignment vertical="center"/>
    </xf>
    <xf numFmtId="269" fontId="0" fillId="0" borderId="0" xfId="1" applyNumberFormat="1" applyFont="1" applyFill="1" applyAlignment="1">
      <alignment vertical="center"/>
    </xf>
    <xf numFmtId="174" fontId="0" fillId="0" borderId="0" xfId="1" applyNumberFormat="1" applyFont="1" applyFill="1">
      <alignment vertical="center"/>
    </xf>
    <xf numFmtId="9" fontId="0" fillId="10" borderId="0" xfId="0" applyNumberFormat="1" applyFill="1" applyBorder="1">
      <alignment vertical="center"/>
    </xf>
    <xf numFmtId="0" fontId="0" fillId="0" borderId="43" xfId="0" applyBorder="1">
      <alignment vertical="center"/>
    </xf>
    <xf numFmtId="208" fontId="0" fillId="0" borderId="43" xfId="13963" applyNumberFormat="1" applyFont="1" applyBorder="1" applyAlignment="1">
      <alignment vertical="center"/>
    </xf>
    <xf numFmtId="208" fontId="0" fillId="0" borderId="141" xfId="0" applyNumberFormat="1" applyBorder="1">
      <alignment vertical="center"/>
    </xf>
    <xf numFmtId="269" fontId="251" fillId="0" borderId="43" xfId="1" applyNumberFormat="1" applyFont="1" applyFill="1" applyBorder="1">
      <alignment vertical="center"/>
    </xf>
    <xf numFmtId="269" fontId="0" fillId="0" borderId="43" xfId="1" applyNumberFormat="1" applyFont="1" applyFill="1" applyBorder="1" applyAlignment="1">
      <alignment vertical="center"/>
    </xf>
    <xf numFmtId="197" fontId="0" fillId="0" borderId="43" xfId="13963" applyNumberFormat="1" applyFont="1" applyFill="1" applyBorder="1" applyAlignment="1">
      <alignment vertical="center"/>
    </xf>
    <xf numFmtId="269" fontId="0" fillId="0" borderId="43" xfId="1" applyNumberFormat="1" applyFont="1" applyBorder="1">
      <alignment vertical="center"/>
    </xf>
    <xf numFmtId="208" fontId="0" fillId="0" borderId="141" xfId="13963" applyNumberFormat="1" applyFont="1" applyBorder="1" applyAlignment="1">
      <alignment vertical="center"/>
    </xf>
    <xf numFmtId="0" fontId="0" fillId="0" borderId="141" xfId="0" applyBorder="1">
      <alignment vertical="center"/>
    </xf>
    <xf numFmtId="0" fontId="0" fillId="0" borderId="142" xfId="0" applyBorder="1">
      <alignment vertical="center"/>
    </xf>
    <xf numFmtId="208" fontId="0" fillId="0" borderId="43" xfId="13963" applyNumberFormat="1" applyFont="1" applyFill="1" applyBorder="1" applyAlignment="1">
      <alignment vertical="center"/>
    </xf>
    <xf numFmtId="174" fontId="0" fillId="0" borderId="43" xfId="1" applyNumberFormat="1" applyFont="1" applyBorder="1">
      <alignment vertical="center"/>
    </xf>
    <xf numFmtId="174" fontId="0" fillId="0" borderId="43" xfId="1" applyNumberFormat="1" applyFont="1" applyFill="1" applyBorder="1">
      <alignment vertical="center"/>
    </xf>
    <xf numFmtId="178" fontId="310" fillId="0" borderId="0" xfId="0" applyNumberFormat="1" applyFont="1">
      <alignment vertical="center"/>
    </xf>
    <xf numFmtId="0" fontId="17" fillId="80" borderId="0" xfId="62001" applyFill="1"/>
    <xf numFmtId="270" fontId="17" fillId="80" borderId="0" xfId="62001" applyNumberFormat="1" applyFill="1"/>
    <xf numFmtId="0" fontId="27" fillId="80" borderId="0" xfId="62001" applyFont="1" applyFill="1"/>
    <xf numFmtId="208" fontId="17" fillId="9" borderId="0" xfId="13963" applyNumberFormat="1" applyFont="1" applyFill="1" applyBorder="1"/>
    <xf numFmtId="0" fontId="17" fillId="0" borderId="120" xfId="62001" applyFont="1" applyFill="1" applyBorder="1"/>
    <xf numFmtId="0" fontId="17" fillId="0" borderId="138" xfId="62001" applyBorder="1"/>
    <xf numFmtId="256" fontId="17" fillId="0" borderId="138" xfId="62001" applyNumberFormat="1" applyBorder="1" applyAlignment="1">
      <alignment horizontal="center"/>
    </xf>
    <xf numFmtId="208" fontId="27" fillId="0" borderId="136" xfId="13963" applyNumberFormat="1" applyFont="1" applyBorder="1"/>
    <xf numFmtId="208" fontId="27" fillId="0" borderId="95" xfId="13963" applyNumberFormat="1" applyFont="1" applyBorder="1"/>
    <xf numFmtId="256" fontId="0" fillId="73" borderId="0" xfId="62002" applyNumberFormat="1" applyFont="1" applyFill="1"/>
    <xf numFmtId="0" fontId="109" fillId="0" borderId="0" xfId="62001" applyFont="1"/>
    <xf numFmtId="43" fontId="109" fillId="0" borderId="0" xfId="62002" applyFont="1" applyAlignment="1">
      <alignment horizontal="center"/>
    </xf>
    <xf numFmtId="256" fontId="109" fillId="0" borderId="0" xfId="62002" applyNumberFormat="1" applyFont="1" applyAlignment="1">
      <alignment horizontal="center"/>
    </xf>
    <xf numFmtId="43" fontId="109" fillId="0" borderId="0" xfId="62002" applyNumberFormat="1" applyFont="1" applyAlignment="1">
      <alignment horizontal="center"/>
    </xf>
    <xf numFmtId="208" fontId="4" fillId="0" borderId="0" xfId="13963" applyNumberFormat="1" applyFont="1" applyFill="1" applyBorder="1"/>
    <xf numFmtId="0" fontId="246" fillId="0" borderId="0" xfId="62001" applyFont="1" applyBorder="1"/>
    <xf numFmtId="256" fontId="246" fillId="0" borderId="0" xfId="62001" applyNumberFormat="1" applyFont="1" applyBorder="1"/>
    <xf numFmtId="0" fontId="246" fillId="0" borderId="44" xfId="62001" applyFont="1" applyBorder="1"/>
    <xf numFmtId="0" fontId="270" fillId="0" borderId="0" xfId="62001" applyFont="1" applyBorder="1"/>
    <xf numFmtId="256" fontId="270" fillId="0" borderId="0" xfId="62001" applyNumberFormat="1" applyFont="1" applyBorder="1"/>
    <xf numFmtId="0" fontId="270" fillId="0" borderId="44" xfId="62001" applyFont="1" applyBorder="1"/>
    <xf numFmtId="0" fontId="270" fillId="0" borderId="0" xfId="62001" applyFont="1"/>
    <xf numFmtId="256" fontId="270" fillId="0" borderId="0" xfId="62002" applyNumberFormat="1" applyFont="1" applyBorder="1"/>
    <xf numFmtId="256" fontId="270" fillId="0" borderId="44" xfId="62002" applyNumberFormat="1" applyFont="1" applyBorder="1"/>
    <xf numFmtId="271" fontId="0" fillId="0" borderId="0" xfId="1" applyNumberFormat="1" applyFont="1">
      <alignment vertical="center"/>
    </xf>
    <xf numFmtId="271" fontId="0" fillId="73" borderId="0" xfId="1" applyNumberFormat="1" applyFont="1" applyFill="1">
      <alignment vertical="center"/>
    </xf>
    <xf numFmtId="271" fontId="251" fillId="0" borderId="0" xfId="1" applyNumberFormat="1" applyFont="1">
      <alignment vertical="center"/>
    </xf>
    <xf numFmtId="208" fontId="0" fillId="73" borderId="0" xfId="13963" applyNumberFormat="1" applyFont="1" applyFill="1" applyAlignment="1">
      <alignment vertical="center"/>
    </xf>
    <xf numFmtId="0" fontId="109" fillId="80" borderId="0" xfId="62001" applyFont="1" applyFill="1"/>
    <xf numFmtId="270" fontId="109" fillId="80" borderId="0" xfId="62001" applyNumberFormat="1" applyFont="1" applyFill="1"/>
    <xf numFmtId="9" fontId="311" fillId="10" borderId="0" xfId="62001" applyNumberFormat="1" applyFont="1" applyFill="1" applyAlignment="1">
      <alignment horizontal="center"/>
    </xf>
    <xf numFmtId="208" fontId="265" fillId="0" borderId="0" xfId="13963" applyNumberFormat="1" applyFont="1"/>
    <xf numFmtId="180" fontId="33" fillId="10" borderId="0" xfId="0" applyNumberFormat="1" applyFont="1" applyFill="1">
      <alignment vertical="center"/>
    </xf>
    <xf numFmtId="208" fontId="17" fillId="0" borderId="0" xfId="13963" applyNumberFormat="1" applyFont="1" applyFill="1" applyBorder="1"/>
    <xf numFmtId="173" fontId="312" fillId="10" borderId="0" xfId="0" applyNumberFormat="1" applyFont="1" applyFill="1">
      <alignment vertical="center"/>
    </xf>
    <xf numFmtId="256" fontId="33" fillId="73" borderId="0" xfId="13963" applyNumberFormat="1" applyFont="1" applyFill="1" applyAlignment="1">
      <alignment vertical="center"/>
    </xf>
    <xf numFmtId="208" fontId="0" fillId="73" borderId="0" xfId="13963" applyNumberFormat="1" applyFont="1" applyFill="1"/>
    <xf numFmtId="208" fontId="0" fillId="73" borderId="0" xfId="61995" applyNumberFormat="1" applyFont="1" applyFill="1"/>
    <xf numFmtId="0" fontId="0" fillId="58" borderId="0" xfId="0" applyFill="1">
      <alignment vertical="center"/>
    </xf>
    <xf numFmtId="183" fontId="0" fillId="72" borderId="0" xfId="0" applyNumberFormat="1" applyFill="1" applyAlignment="1">
      <alignment horizontal="center" vertical="center"/>
    </xf>
    <xf numFmtId="183" fontId="0" fillId="72" borderId="0" xfId="0" applyNumberFormat="1" applyFill="1" applyAlignment="1">
      <alignment horizontal="left" vertical="center"/>
    </xf>
    <xf numFmtId="0" fontId="50" fillId="58" borderId="0" xfId="0" applyFont="1" applyFill="1">
      <alignment vertical="center"/>
    </xf>
    <xf numFmtId="176" fontId="33" fillId="0" borderId="80" xfId="1" applyNumberFormat="1" applyFont="1" applyBorder="1">
      <alignment vertical="center"/>
    </xf>
    <xf numFmtId="173" fontId="33" fillId="72" borderId="80" xfId="0" applyNumberFormat="1" applyFont="1" applyFill="1" applyBorder="1">
      <alignment vertical="center"/>
    </xf>
    <xf numFmtId="173" fontId="36" fillId="84" borderId="0" xfId="0" applyNumberFormat="1" applyFont="1" applyFill="1">
      <alignment vertical="center"/>
    </xf>
    <xf numFmtId="173" fontId="33" fillId="84" borderId="0" xfId="0" applyNumberFormat="1" applyFont="1" applyFill="1">
      <alignment vertical="center"/>
    </xf>
    <xf numFmtId="173" fontId="33" fillId="84" borderId="0" xfId="0" applyNumberFormat="1" applyFont="1" applyFill="1" applyBorder="1">
      <alignment vertical="center"/>
    </xf>
    <xf numFmtId="0" fontId="0" fillId="84" borderId="0" xfId="0" applyFill="1">
      <alignment vertical="center"/>
    </xf>
    <xf numFmtId="0" fontId="251" fillId="84" borderId="0" xfId="0" applyFont="1" applyFill="1" applyBorder="1">
      <alignment vertical="center"/>
    </xf>
    <xf numFmtId="173" fontId="33" fillId="84" borderId="4" xfId="0" applyNumberFormat="1" applyFont="1" applyFill="1" applyBorder="1">
      <alignment vertical="center"/>
    </xf>
    <xf numFmtId="173" fontId="43" fillId="84" borderId="0" xfId="0" applyNumberFormat="1" applyFont="1" applyFill="1">
      <alignment vertical="center"/>
    </xf>
    <xf numFmtId="173" fontId="255" fillId="84" borderId="0" xfId="0" applyNumberFormat="1" applyFont="1" applyFill="1">
      <alignment vertical="center"/>
    </xf>
    <xf numFmtId="0" fontId="79" fillId="84" borderId="0" xfId="0" applyFont="1" applyFill="1">
      <alignment vertical="center"/>
    </xf>
    <xf numFmtId="173" fontId="255" fillId="84" borderId="0" xfId="0" applyNumberFormat="1" applyFont="1" applyFill="1" applyBorder="1">
      <alignment vertical="center"/>
    </xf>
    <xf numFmtId="0" fontId="261" fillId="84" borderId="0" xfId="0" applyFont="1" applyFill="1" applyBorder="1">
      <alignment vertical="center"/>
    </xf>
    <xf numFmtId="173" fontId="79" fillId="84" borderId="0" xfId="0" applyNumberFormat="1" applyFont="1" applyFill="1">
      <alignment vertical="center"/>
    </xf>
    <xf numFmtId="173" fontId="79" fillId="84" borderId="96" xfId="0" applyNumberFormat="1" applyFont="1" applyFill="1" applyBorder="1">
      <alignment vertical="center"/>
    </xf>
    <xf numFmtId="0" fontId="251" fillId="6" borderId="0" xfId="0" applyFont="1" applyFill="1" applyBorder="1">
      <alignment vertical="center"/>
    </xf>
    <xf numFmtId="173" fontId="36" fillId="0" borderId="0" xfId="0" applyNumberFormat="1" applyFont="1" applyFill="1">
      <alignment vertical="center"/>
    </xf>
    <xf numFmtId="173" fontId="0" fillId="10" borderId="13" xfId="0" applyNumberFormat="1" applyFill="1" applyBorder="1">
      <alignment vertical="center"/>
    </xf>
    <xf numFmtId="173" fontId="0" fillId="10" borderId="19" xfId="0" applyNumberFormat="1" applyFill="1" applyBorder="1">
      <alignment vertical="center"/>
    </xf>
    <xf numFmtId="173" fontId="0" fillId="10" borderId="24" xfId="0" applyNumberFormat="1" applyFill="1" applyBorder="1">
      <alignment vertical="center"/>
    </xf>
    <xf numFmtId="9" fontId="0" fillId="10" borderId="37" xfId="1" applyFont="1" applyFill="1" applyBorder="1" applyAlignment="1">
      <alignment horizontal="center" vertical="center"/>
    </xf>
    <xf numFmtId="9" fontId="0" fillId="10" borderId="39" xfId="1" applyFont="1" applyFill="1" applyBorder="1" applyAlignment="1">
      <alignment horizontal="center" vertical="center"/>
    </xf>
    <xf numFmtId="173" fontId="0" fillId="10" borderId="31" xfId="0" applyNumberFormat="1" applyFill="1" applyBorder="1">
      <alignment vertical="center"/>
    </xf>
    <xf numFmtId="177" fontId="33" fillId="10" borderId="0" xfId="1" applyNumberFormat="1" applyFont="1" applyFill="1">
      <alignment vertical="center"/>
    </xf>
    <xf numFmtId="177" fontId="304" fillId="10" borderId="0" xfId="1" applyNumberFormat="1" applyFont="1" applyFill="1">
      <alignment vertical="center"/>
    </xf>
    <xf numFmtId="173" fontId="304" fillId="10" borderId="0" xfId="0" applyNumberFormat="1" applyFont="1" applyFill="1">
      <alignment vertical="center"/>
    </xf>
    <xf numFmtId="173" fontId="304" fillId="10" borderId="38" xfId="0" applyNumberFormat="1" applyFont="1" applyFill="1" applyBorder="1">
      <alignment vertical="center"/>
    </xf>
    <xf numFmtId="208" fontId="17" fillId="0" borderId="0" xfId="13963" applyNumberFormat="1" applyFont="1"/>
    <xf numFmtId="208" fontId="17" fillId="0" borderId="0" xfId="62001" applyNumberFormat="1"/>
    <xf numFmtId="272" fontId="17" fillId="0" borderId="0" xfId="13963" applyNumberFormat="1" applyFont="1" applyAlignment="1"/>
    <xf numFmtId="0" fontId="3" fillId="0" borderId="0" xfId="62004"/>
    <xf numFmtId="208" fontId="3" fillId="0" borderId="0" xfId="62004" applyNumberFormat="1"/>
    <xf numFmtId="0" fontId="3" fillId="0" borderId="42" xfId="62004" applyBorder="1" applyAlignment="1">
      <alignment horizontal="right"/>
    </xf>
    <xf numFmtId="0" fontId="3" fillId="0" borderId="0" xfId="62004" applyBorder="1" applyAlignment="1">
      <alignment horizontal="right"/>
    </xf>
    <xf numFmtId="208" fontId="3" fillId="0" borderId="42" xfId="62004" applyNumberFormat="1" applyBorder="1"/>
    <xf numFmtId="208" fontId="3" fillId="0" borderId="0" xfId="62004" applyNumberFormat="1" applyBorder="1"/>
    <xf numFmtId="208" fontId="3" fillId="0" borderId="4" xfId="62004" applyNumberFormat="1" applyBorder="1"/>
    <xf numFmtId="208" fontId="0" fillId="0" borderId="4" xfId="62005" applyNumberFormat="1" applyFont="1" applyBorder="1"/>
    <xf numFmtId="0" fontId="313" fillId="0" borderId="0" xfId="62004" applyFont="1"/>
    <xf numFmtId="208" fontId="0" fillId="0" borderId="0" xfId="62005" applyNumberFormat="1" applyFont="1"/>
    <xf numFmtId="208" fontId="0" fillId="10" borderId="0" xfId="62005" applyNumberFormat="1" applyFont="1" applyFill="1"/>
    <xf numFmtId="0" fontId="3" fillId="0" borderId="0" xfId="62004" applyAlignment="1">
      <alignment horizontal="center"/>
    </xf>
    <xf numFmtId="273" fontId="17" fillId="0" borderId="0" xfId="62006" applyNumberFormat="1" applyFont="1"/>
    <xf numFmtId="273" fontId="17" fillId="0" borderId="4" xfId="62006" applyNumberFormat="1" applyFont="1" applyBorder="1"/>
    <xf numFmtId="273" fontId="17" fillId="0" borderId="137" xfId="62006" applyNumberFormat="1" applyFont="1" applyBorder="1"/>
    <xf numFmtId="274" fontId="17" fillId="0" borderId="0" xfId="62006" applyNumberFormat="1" applyFont="1"/>
    <xf numFmtId="173" fontId="33" fillId="0" borderId="0" xfId="0" applyNumberFormat="1" applyFont="1" applyFill="1" applyBorder="1">
      <alignment vertical="center"/>
    </xf>
    <xf numFmtId="174" fontId="0" fillId="73" borderId="0" xfId="1" applyNumberFormat="1" applyFont="1" applyFill="1" applyAlignment="1">
      <alignment vertical="center"/>
    </xf>
    <xf numFmtId="0" fontId="17" fillId="0" borderId="0" xfId="62001" applyAlignment="1">
      <alignment horizontal="center"/>
    </xf>
    <xf numFmtId="0" fontId="307" fillId="78" borderId="0" xfId="62001" applyFont="1" applyFill="1" applyAlignment="1">
      <alignment horizontal="center"/>
    </xf>
    <xf numFmtId="3" fontId="33" fillId="0" borderId="0" xfId="0" applyNumberFormat="1" applyFont="1">
      <alignment vertical="center"/>
    </xf>
    <xf numFmtId="174" fontId="17" fillId="0" borderId="138" xfId="1" applyNumberFormat="1" applyFont="1" applyFill="1" applyBorder="1" applyAlignment="1"/>
    <xf numFmtId="0" fontId="0" fillId="0" borderId="43" xfId="0" applyFill="1" applyBorder="1">
      <alignment vertical="center"/>
    </xf>
    <xf numFmtId="208" fontId="60" fillId="0" borderId="0" xfId="13963" applyNumberFormat="1" applyFont="1" applyFill="1" applyAlignment="1">
      <alignment vertical="center"/>
    </xf>
    <xf numFmtId="0" fontId="60" fillId="0" borderId="119" xfId="0" applyFont="1" applyFill="1" applyBorder="1" applyAlignment="1">
      <alignment vertical="center"/>
    </xf>
    <xf numFmtId="208" fontId="60" fillId="0" borderId="37" xfId="13963" applyNumberFormat="1" applyFont="1" applyFill="1" applyBorder="1" applyAlignment="1">
      <alignment vertical="center"/>
    </xf>
    <xf numFmtId="174" fontId="60" fillId="0" borderId="37" xfId="1" applyNumberFormat="1" applyFont="1" applyFill="1" applyBorder="1" applyAlignment="1">
      <alignment vertical="center"/>
    </xf>
    <xf numFmtId="208" fontId="60" fillId="0" borderId="119" xfId="13963" applyNumberFormat="1" applyFont="1" applyFill="1" applyBorder="1" applyAlignment="1">
      <alignment vertical="center"/>
    </xf>
    <xf numFmtId="0" fontId="60" fillId="0" borderId="4" xfId="0" applyFont="1" applyFill="1" applyBorder="1" applyAlignment="1">
      <alignment vertical="center"/>
    </xf>
    <xf numFmtId="208" fontId="61" fillId="0" borderId="119" xfId="13963" applyNumberFormat="1" applyFont="1" applyFill="1" applyBorder="1" applyAlignment="1">
      <alignment vertical="center"/>
    </xf>
    <xf numFmtId="174" fontId="60" fillId="0" borderId="0" xfId="1" applyNumberFormat="1" applyFont="1" applyFill="1" applyAlignment="1">
      <alignment vertical="center"/>
    </xf>
    <xf numFmtId="0" fontId="60" fillId="0" borderId="37" xfId="0" applyFont="1" applyFill="1" applyBorder="1" applyAlignment="1">
      <alignment vertical="center"/>
    </xf>
    <xf numFmtId="208" fontId="61" fillId="0" borderId="37" xfId="13963" applyNumberFormat="1" applyFont="1" applyFill="1" applyBorder="1" applyAlignment="1">
      <alignment vertical="center"/>
    </xf>
    <xf numFmtId="208" fontId="316" fillId="0" borderId="37" xfId="13963" applyNumberFormat="1" applyFont="1" applyFill="1" applyBorder="1" applyAlignment="1">
      <alignment vertical="center"/>
    </xf>
    <xf numFmtId="208" fontId="60" fillId="81" borderId="0" xfId="13963" applyNumberFormat="1" applyFont="1" applyFill="1" applyAlignment="1">
      <alignment vertical="center"/>
    </xf>
    <xf numFmtId="208" fontId="60" fillId="0" borderId="0" xfId="13963" applyNumberFormat="1" applyFont="1" applyAlignment="1">
      <alignment vertical="center"/>
    </xf>
    <xf numFmtId="208" fontId="60" fillId="0" borderId="122" xfId="13963" applyNumberFormat="1" applyFont="1" applyFill="1" applyBorder="1" applyAlignment="1">
      <alignment vertical="center"/>
    </xf>
    <xf numFmtId="208" fontId="61" fillId="0" borderId="124" xfId="13963" applyNumberFormat="1" applyFont="1" applyFill="1" applyBorder="1" applyAlignment="1">
      <alignment horizontal="right" vertical="center"/>
    </xf>
    <xf numFmtId="208" fontId="61" fillId="0" borderId="124" xfId="13963" applyNumberFormat="1" applyFont="1" applyFill="1" applyBorder="1" applyAlignment="1">
      <alignment vertical="center"/>
    </xf>
    <xf numFmtId="0" fontId="61" fillId="0" borderId="0" xfId="0" applyFont="1" applyFill="1" applyAlignment="1">
      <alignment horizontal="center" vertical="center"/>
    </xf>
    <xf numFmtId="0" fontId="239" fillId="59" borderId="0" xfId="0" applyFont="1" applyFill="1" applyAlignment="1">
      <alignment vertical="center"/>
    </xf>
    <xf numFmtId="166" fontId="239" fillId="59" borderId="0" xfId="13963" applyFont="1" applyFill="1" applyAlignment="1">
      <alignment vertical="center"/>
    </xf>
    <xf numFmtId="166" fontId="239" fillId="59" borderId="0" xfId="13963" applyFont="1" applyFill="1" applyBorder="1" applyAlignment="1">
      <alignment vertical="center"/>
    </xf>
    <xf numFmtId="0" fontId="239" fillId="59" borderId="0" xfId="0" applyFont="1" applyFill="1" applyBorder="1" applyAlignment="1">
      <alignment vertical="center"/>
    </xf>
    <xf numFmtId="208" fontId="239" fillId="59" borderId="0" xfId="13963" applyNumberFormat="1" applyFont="1" applyFill="1" applyAlignment="1">
      <alignment vertical="center"/>
    </xf>
    <xf numFmtId="166" fontId="242" fillId="59" borderId="0" xfId="13963" applyFont="1" applyFill="1" applyBorder="1" applyAlignment="1">
      <alignment horizontal="center" vertical="center"/>
    </xf>
    <xf numFmtId="0" fontId="240" fillId="59" borderId="0" xfId="33477" applyFont="1" applyFill="1" applyBorder="1" applyAlignment="1">
      <alignment horizontal="center" vertical="center"/>
    </xf>
    <xf numFmtId="208" fontId="240" fillId="59" borderId="0" xfId="13963" applyNumberFormat="1" applyFont="1" applyFill="1" applyAlignment="1">
      <alignment vertical="center"/>
    </xf>
    <xf numFmtId="0" fontId="60" fillId="59" borderId="0" xfId="0" applyFont="1" applyFill="1" applyAlignment="1">
      <alignment vertical="center"/>
    </xf>
    <xf numFmtId="208" fontId="60" fillId="59" borderId="119" xfId="13963" applyNumberFormat="1" applyFont="1" applyFill="1" applyBorder="1" applyAlignment="1">
      <alignment vertical="center"/>
    </xf>
    <xf numFmtId="208" fontId="60" fillId="59" borderId="0" xfId="13963" applyNumberFormat="1" applyFont="1" applyFill="1" applyAlignment="1">
      <alignment vertical="center"/>
    </xf>
    <xf numFmtId="166" fontId="60" fillId="59" borderId="119" xfId="13963" applyFont="1" applyFill="1" applyBorder="1" applyAlignment="1">
      <alignment vertical="center"/>
    </xf>
    <xf numFmtId="0" fontId="60" fillId="59" borderId="119" xfId="0" applyFont="1" applyFill="1" applyBorder="1" applyAlignment="1">
      <alignment vertical="center"/>
    </xf>
    <xf numFmtId="208" fontId="231" fillId="59" borderId="37" xfId="13963" applyNumberFormat="1" applyFont="1" applyFill="1" applyBorder="1" applyAlignment="1">
      <alignment horizontal="right" vertical="center"/>
    </xf>
    <xf numFmtId="208" fontId="60" fillId="59" borderId="37" xfId="13963" applyNumberFormat="1" applyFont="1" applyFill="1" applyBorder="1" applyAlignment="1">
      <alignment vertical="center"/>
    </xf>
    <xf numFmtId="166" fontId="231" fillId="59" borderId="37" xfId="13963" applyFont="1" applyFill="1" applyBorder="1" applyAlignment="1">
      <alignment horizontal="right" vertical="center"/>
    </xf>
    <xf numFmtId="38" fontId="231" fillId="59" borderId="37" xfId="0" applyNumberFormat="1" applyFont="1" applyFill="1" applyBorder="1" applyAlignment="1">
      <alignment horizontal="right" vertical="center"/>
    </xf>
    <xf numFmtId="208" fontId="231" fillId="59" borderId="119" xfId="13963" applyNumberFormat="1" applyFont="1" applyFill="1" applyBorder="1" applyAlignment="1">
      <alignment horizontal="right" vertical="center"/>
    </xf>
    <xf numFmtId="208" fontId="286" fillId="59" borderId="119" xfId="13963" applyNumberFormat="1" applyFont="1" applyFill="1" applyBorder="1" applyAlignment="1">
      <alignment horizontal="right" vertical="center"/>
    </xf>
    <xf numFmtId="256" fontId="231" fillId="59" borderId="119" xfId="13963" applyNumberFormat="1" applyFont="1" applyFill="1" applyBorder="1" applyAlignment="1">
      <alignment horizontal="right" vertical="center"/>
    </xf>
    <xf numFmtId="166" fontId="286" fillId="59" borderId="37" xfId="13963" applyFont="1" applyFill="1" applyBorder="1" applyAlignment="1">
      <alignment horizontal="right" vertical="center"/>
    </xf>
    <xf numFmtId="256" fontId="231" fillId="59" borderId="37" xfId="13963" applyNumberFormat="1" applyFont="1" applyFill="1" applyBorder="1" applyAlignment="1">
      <alignment horizontal="right" vertical="center"/>
    </xf>
    <xf numFmtId="208" fontId="231" fillId="59" borderId="122" xfId="13963" applyNumberFormat="1" applyFont="1" applyFill="1" applyBorder="1" applyAlignment="1">
      <alignment vertical="center"/>
    </xf>
    <xf numFmtId="208" fontId="61" fillId="59" borderId="119" xfId="13963" applyNumberFormat="1" applyFont="1" applyFill="1" applyBorder="1" applyAlignment="1">
      <alignment vertical="center"/>
    </xf>
    <xf numFmtId="166" fontId="286" fillId="59" borderId="119" xfId="13963" applyFont="1" applyFill="1" applyBorder="1" applyAlignment="1">
      <alignment vertical="center"/>
    </xf>
    <xf numFmtId="0" fontId="231" fillId="59" borderId="119" xfId="0" applyFont="1" applyFill="1" applyBorder="1" applyAlignment="1">
      <alignment vertical="center"/>
    </xf>
    <xf numFmtId="208" fontId="231" fillId="59" borderId="119" xfId="13963" applyNumberFormat="1" applyFont="1" applyFill="1" applyBorder="1" applyAlignment="1">
      <alignment vertical="center"/>
    </xf>
    <xf numFmtId="166" fontId="286" fillId="59" borderId="119" xfId="13963" applyFont="1" applyFill="1" applyBorder="1" applyAlignment="1">
      <alignment horizontal="right" vertical="center"/>
    </xf>
    <xf numFmtId="166" fontId="231" fillId="59" borderId="119" xfId="13963" applyFont="1" applyFill="1" applyBorder="1" applyAlignment="1">
      <alignment horizontal="right" vertical="center"/>
    </xf>
    <xf numFmtId="208" fontId="286" fillId="59" borderId="37" xfId="13963" applyNumberFormat="1" applyFont="1" applyFill="1" applyBorder="1" applyAlignment="1">
      <alignment horizontal="right" vertical="center"/>
    </xf>
    <xf numFmtId="208" fontId="316" fillId="59" borderId="119" xfId="13963" applyNumberFormat="1" applyFont="1" applyFill="1" applyBorder="1" applyAlignment="1">
      <alignment horizontal="right" vertical="center"/>
    </xf>
    <xf numFmtId="166" fontId="287" fillId="59" borderId="119" xfId="13963" applyFont="1" applyFill="1" applyBorder="1" applyAlignment="1">
      <alignment horizontal="right" vertical="center"/>
    </xf>
    <xf numFmtId="256" fontId="316" fillId="59" borderId="119" xfId="13963" applyNumberFormat="1" applyFont="1" applyFill="1" applyBorder="1" applyAlignment="1">
      <alignment horizontal="right" vertical="center"/>
    </xf>
    <xf numFmtId="166" fontId="316" fillId="59" borderId="119" xfId="13963" applyFont="1" applyFill="1" applyBorder="1" applyAlignment="1">
      <alignment horizontal="right" vertical="center"/>
    </xf>
    <xf numFmtId="166" fontId="232" fillId="59" borderId="37" xfId="13963" applyFont="1" applyFill="1" applyBorder="1" applyAlignment="1">
      <alignment horizontal="right" vertical="center"/>
    </xf>
    <xf numFmtId="208" fontId="61" fillId="59" borderId="37" xfId="13963" applyNumberFormat="1" applyFont="1" applyFill="1" applyBorder="1" applyAlignment="1">
      <alignment vertical="center"/>
    </xf>
    <xf numFmtId="166" fontId="287" fillId="59" borderId="37" xfId="13963" applyFont="1" applyFill="1" applyBorder="1" applyAlignment="1">
      <alignment horizontal="right" vertical="center"/>
    </xf>
    <xf numFmtId="256" fontId="232" fillId="59" borderId="37" xfId="13963" applyNumberFormat="1" applyFont="1" applyFill="1" applyBorder="1" applyAlignment="1">
      <alignment horizontal="right" vertical="center"/>
    </xf>
    <xf numFmtId="208" fontId="232" fillId="59" borderId="37" xfId="13963" applyNumberFormat="1" applyFont="1" applyFill="1" applyBorder="1" applyAlignment="1">
      <alignment horizontal="right" vertical="center"/>
    </xf>
    <xf numFmtId="166" fontId="316" fillId="59" borderId="0" xfId="13963" applyFont="1" applyFill="1" applyAlignment="1">
      <alignment horizontal="right" vertical="center"/>
    </xf>
    <xf numFmtId="208" fontId="316" fillId="59" borderId="37" xfId="13963" applyNumberFormat="1" applyFont="1" applyFill="1" applyBorder="1" applyAlignment="1">
      <alignment vertical="center"/>
    </xf>
    <xf numFmtId="166" fontId="287" fillId="59" borderId="0" xfId="13963" applyFont="1" applyFill="1" applyAlignment="1">
      <alignment horizontal="right" vertical="center"/>
    </xf>
    <xf numFmtId="256" fontId="316" fillId="59" borderId="0" xfId="13963" applyNumberFormat="1" applyFont="1" applyFill="1" applyAlignment="1">
      <alignment horizontal="right" vertical="center"/>
    </xf>
    <xf numFmtId="208" fontId="316" fillId="59" borderId="122" xfId="13963" applyNumberFormat="1" applyFont="1" applyFill="1" applyBorder="1" applyAlignment="1">
      <alignment horizontal="right" vertical="center"/>
    </xf>
    <xf numFmtId="208" fontId="316" fillId="59" borderId="0" xfId="13963" applyNumberFormat="1" applyFont="1" applyFill="1" applyAlignment="1">
      <alignment horizontal="right" vertical="center"/>
    </xf>
    <xf numFmtId="166" fontId="286" fillId="59" borderId="0" xfId="13963" applyFont="1" applyFill="1" applyAlignment="1">
      <alignment vertical="center"/>
    </xf>
    <xf numFmtId="0" fontId="286" fillId="59" borderId="0" xfId="0" applyFont="1" applyFill="1" applyAlignment="1">
      <alignment vertical="center"/>
    </xf>
    <xf numFmtId="208" fontId="286" fillId="59" borderId="0" xfId="13963" applyNumberFormat="1" applyFont="1" applyFill="1" applyAlignment="1">
      <alignment vertical="center"/>
    </xf>
    <xf numFmtId="166" fontId="231" fillId="59" borderId="0" xfId="13963" applyFont="1" applyFill="1" applyAlignment="1">
      <alignment vertical="center"/>
    </xf>
    <xf numFmtId="0" fontId="231" fillId="59" borderId="0" xfId="0" applyFont="1" applyFill="1" applyAlignment="1">
      <alignment vertical="center"/>
    </xf>
    <xf numFmtId="208" fontId="231" fillId="59" borderId="0" xfId="13963" applyNumberFormat="1" applyFont="1" applyFill="1" applyAlignment="1">
      <alignment vertical="center"/>
    </xf>
    <xf numFmtId="166" fontId="231" fillId="59" borderId="122" xfId="13963" applyFont="1" applyFill="1" applyBorder="1" applyAlignment="1">
      <alignment horizontal="right" vertical="center"/>
    </xf>
    <xf numFmtId="166" fontId="286" fillId="59" borderId="114" xfId="13963" applyFont="1" applyFill="1" applyBorder="1" applyAlignment="1">
      <alignment horizontal="right" vertical="center"/>
    </xf>
    <xf numFmtId="256" fontId="231" fillId="59" borderId="115" xfId="13963" applyNumberFormat="1" applyFont="1" applyFill="1" applyBorder="1" applyAlignment="1">
      <alignment horizontal="right" vertical="center"/>
    </xf>
    <xf numFmtId="208" fontId="60" fillId="59" borderId="122" xfId="13963" applyNumberFormat="1" applyFont="1" applyFill="1" applyBorder="1" applyAlignment="1">
      <alignment vertical="center"/>
    </xf>
    <xf numFmtId="208" fontId="231" fillId="59" borderId="122" xfId="13963" applyNumberFormat="1" applyFont="1" applyFill="1" applyBorder="1" applyAlignment="1">
      <alignment horizontal="right" vertical="center"/>
    </xf>
    <xf numFmtId="166" fontId="286" fillId="59" borderId="118" xfId="13963" applyFont="1" applyFill="1" applyBorder="1" applyAlignment="1">
      <alignment horizontal="right" vertical="center"/>
    </xf>
    <xf numFmtId="256" fontId="231" fillId="59" borderId="43" xfId="13963" applyNumberFormat="1" applyFont="1" applyFill="1" applyBorder="1" applyAlignment="1">
      <alignment horizontal="right" vertical="center"/>
    </xf>
    <xf numFmtId="166" fontId="286" fillId="59" borderId="13" xfId="13963" applyFont="1" applyFill="1" applyBorder="1" applyAlignment="1">
      <alignment horizontal="right" vertical="center"/>
    </xf>
    <xf numFmtId="256" fontId="231" fillId="59" borderId="14" xfId="13963" applyNumberFormat="1" applyFont="1" applyFill="1" applyBorder="1" applyAlignment="1">
      <alignment horizontal="right" vertical="center"/>
    </xf>
    <xf numFmtId="166" fontId="231" fillId="59" borderId="124" xfId="13963" applyFont="1" applyFill="1" applyBorder="1" applyAlignment="1">
      <alignment horizontal="right" vertical="center"/>
    </xf>
    <xf numFmtId="208" fontId="61" fillId="59" borderId="124" xfId="13963" applyNumberFormat="1" applyFont="1" applyFill="1" applyBorder="1" applyAlignment="1">
      <alignment horizontal="right" vertical="center"/>
    </xf>
    <xf numFmtId="166" fontId="287" fillId="59" borderId="124" xfId="13963" applyFont="1" applyFill="1" applyBorder="1" applyAlignment="1">
      <alignment horizontal="right" vertical="center"/>
    </xf>
    <xf numFmtId="256" fontId="232" fillId="59" borderId="124" xfId="13963" applyNumberFormat="1" applyFont="1" applyFill="1" applyBorder="1" applyAlignment="1">
      <alignment horizontal="right" vertical="center"/>
    </xf>
    <xf numFmtId="208" fontId="231" fillId="59" borderId="124" xfId="13963" applyNumberFormat="1" applyFont="1" applyFill="1" applyBorder="1" applyAlignment="1">
      <alignment horizontal="right" vertical="center"/>
    </xf>
    <xf numFmtId="166" fontId="232" fillId="59" borderId="124" xfId="13963" applyFont="1" applyFill="1" applyBorder="1" applyAlignment="1">
      <alignment horizontal="right" vertical="center"/>
    </xf>
    <xf numFmtId="208" fontId="61" fillId="59" borderId="124" xfId="13963" applyNumberFormat="1" applyFont="1" applyFill="1" applyBorder="1" applyAlignment="1">
      <alignment vertical="center"/>
    </xf>
    <xf numFmtId="166" fontId="289" fillId="59" borderId="0" xfId="13963" applyFont="1" applyFill="1" applyAlignment="1">
      <alignment vertical="center"/>
    </xf>
    <xf numFmtId="166" fontId="291" fillId="59" borderId="0" xfId="13963" applyFont="1" applyFill="1" applyAlignment="1">
      <alignment vertical="center"/>
    </xf>
    <xf numFmtId="0" fontId="289" fillId="59" borderId="0" xfId="0" applyFont="1" applyFill="1" applyAlignment="1">
      <alignment vertical="center"/>
    </xf>
    <xf numFmtId="208" fontId="289" fillId="59" borderId="0" xfId="13963" applyNumberFormat="1" applyFont="1" applyFill="1" applyAlignment="1">
      <alignment vertical="center"/>
    </xf>
    <xf numFmtId="208" fontId="243" fillId="59" borderId="6" xfId="0" applyNumberFormat="1" applyFont="1" applyFill="1" applyBorder="1" applyAlignment="1">
      <alignment vertical="center"/>
    </xf>
    <xf numFmtId="166" fontId="297" fillId="59" borderId="6" xfId="13963" applyFont="1" applyFill="1" applyBorder="1" applyAlignment="1">
      <alignment vertical="center"/>
    </xf>
    <xf numFmtId="256" fontId="297" fillId="59" borderId="6" xfId="0" applyNumberFormat="1" applyFont="1" applyFill="1" applyBorder="1" applyAlignment="1">
      <alignment vertical="center"/>
    </xf>
    <xf numFmtId="208" fontId="297" fillId="59" borderId="6" xfId="13963" applyNumberFormat="1" applyFont="1" applyFill="1" applyBorder="1" applyAlignment="1">
      <alignment vertical="center"/>
    </xf>
    <xf numFmtId="0" fontId="61" fillId="10" borderId="0" xfId="0" applyFont="1" applyFill="1" applyAlignment="1">
      <alignment horizontal="center" vertical="center"/>
    </xf>
    <xf numFmtId="0" fontId="60" fillId="85" borderId="0" xfId="0" applyFont="1" applyFill="1" applyAlignment="1">
      <alignment vertical="center"/>
    </xf>
    <xf numFmtId="0" fontId="60" fillId="13" borderId="0" xfId="0" applyFont="1" applyFill="1" applyAlignment="1">
      <alignment vertical="center"/>
    </xf>
    <xf numFmtId="0" fontId="61" fillId="85" borderId="0" xfId="0" applyFont="1" applyFill="1" applyAlignment="1">
      <alignment horizontal="center" vertical="center"/>
    </xf>
    <xf numFmtId="0" fontId="61" fillId="13" borderId="0" xfId="0" applyFont="1" applyFill="1" applyAlignment="1">
      <alignment horizontal="center" vertical="center"/>
    </xf>
    <xf numFmtId="0" fontId="60" fillId="85" borderId="119" xfId="0" applyFont="1" applyFill="1" applyBorder="1" applyAlignment="1">
      <alignment vertical="center"/>
    </xf>
    <xf numFmtId="0" fontId="60" fillId="13" borderId="119" xfId="0" applyFont="1" applyFill="1" applyBorder="1" applyAlignment="1">
      <alignment vertical="center"/>
    </xf>
    <xf numFmtId="208" fontId="60" fillId="85" borderId="37" xfId="13963" applyNumberFormat="1" applyFont="1" applyFill="1" applyBorder="1" applyAlignment="1">
      <alignment vertical="center"/>
    </xf>
    <xf numFmtId="208" fontId="60" fillId="13" borderId="37" xfId="13963" applyNumberFormat="1" applyFont="1" applyFill="1" applyBorder="1" applyAlignment="1">
      <alignment vertical="center"/>
    </xf>
    <xf numFmtId="208" fontId="60" fillId="85" borderId="119" xfId="13963" applyNumberFormat="1" applyFont="1" applyFill="1" applyBorder="1" applyAlignment="1">
      <alignment vertical="center"/>
    </xf>
    <xf numFmtId="208" fontId="60" fillId="13" borderId="119" xfId="13963" applyNumberFormat="1" applyFont="1" applyFill="1" applyBorder="1" applyAlignment="1">
      <alignment vertical="center"/>
    </xf>
    <xf numFmtId="208" fontId="61" fillId="85" borderId="119" xfId="13963" applyNumberFormat="1" applyFont="1" applyFill="1" applyBorder="1" applyAlignment="1">
      <alignment vertical="center"/>
    </xf>
    <xf numFmtId="208" fontId="61" fillId="13" borderId="119" xfId="13963" applyNumberFormat="1" applyFont="1" applyFill="1" applyBorder="1" applyAlignment="1">
      <alignment vertical="center"/>
    </xf>
    <xf numFmtId="208" fontId="61" fillId="85" borderId="37" xfId="13963" applyNumberFormat="1" applyFont="1" applyFill="1" applyBorder="1" applyAlignment="1">
      <alignment vertical="center"/>
    </xf>
    <xf numFmtId="208" fontId="61" fillId="13" borderId="37" xfId="13963" applyNumberFormat="1" applyFont="1" applyFill="1" applyBorder="1" applyAlignment="1">
      <alignment vertical="center"/>
    </xf>
    <xf numFmtId="208" fontId="316" fillId="85" borderId="37" xfId="13963" applyNumberFormat="1" applyFont="1" applyFill="1" applyBorder="1" applyAlignment="1">
      <alignment vertical="center"/>
    </xf>
    <xf numFmtId="208" fontId="316" fillId="13" borderId="37" xfId="13963" applyNumberFormat="1" applyFont="1" applyFill="1" applyBorder="1" applyAlignment="1">
      <alignment vertical="center"/>
    </xf>
    <xf numFmtId="208" fontId="60" fillId="85" borderId="0" xfId="13963" applyNumberFormat="1" applyFont="1" applyFill="1" applyAlignment="1">
      <alignment vertical="center"/>
    </xf>
    <xf numFmtId="208" fontId="60" fillId="13" borderId="0" xfId="13963" applyNumberFormat="1" applyFont="1" applyFill="1" applyAlignment="1">
      <alignment vertical="center"/>
    </xf>
    <xf numFmtId="208" fontId="60" fillId="85" borderId="122" xfId="13963" applyNumberFormat="1" applyFont="1" applyFill="1" applyBorder="1" applyAlignment="1">
      <alignment vertical="center"/>
    </xf>
    <xf numFmtId="208" fontId="60" fillId="13" borderId="122" xfId="13963" applyNumberFormat="1" applyFont="1" applyFill="1" applyBorder="1" applyAlignment="1">
      <alignment vertical="center"/>
    </xf>
    <xf numFmtId="208" fontId="61" fillId="85" borderId="124" xfId="13963" applyNumberFormat="1" applyFont="1" applyFill="1" applyBorder="1" applyAlignment="1">
      <alignment horizontal="right" vertical="center"/>
    </xf>
    <xf numFmtId="208" fontId="61" fillId="13" borderId="124" xfId="13963" applyNumberFormat="1" applyFont="1" applyFill="1" applyBorder="1" applyAlignment="1">
      <alignment horizontal="right" vertical="center"/>
    </xf>
    <xf numFmtId="208" fontId="61" fillId="85" borderId="124" xfId="13963" applyNumberFormat="1" applyFont="1" applyFill="1" applyBorder="1" applyAlignment="1">
      <alignment vertical="center"/>
    </xf>
    <xf numFmtId="208" fontId="61" fillId="13" borderId="124" xfId="13963" applyNumberFormat="1" applyFont="1" applyFill="1" applyBorder="1" applyAlignment="1">
      <alignment vertical="center"/>
    </xf>
    <xf numFmtId="208" fontId="43" fillId="0" borderId="6" xfId="0" applyNumberFormat="1" applyFont="1" applyFill="1" applyBorder="1" applyAlignment="1">
      <alignment vertical="center"/>
    </xf>
    <xf numFmtId="208" fontId="43" fillId="85" borderId="6" xfId="0" applyNumberFormat="1" applyFont="1" applyFill="1" applyBorder="1" applyAlignment="1">
      <alignment vertical="center"/>
    </xf>
    <xf numFmtId="0" fontId="255" fillId="0" borderId="0" xfId="0" applyFont="1" applyAlignment="1">
      <alignment vertical="center"/>
    </xf>
    <xf numFmtId="208" fontId="43" fillId="13" borderId="6" xfId="0" applyNumberFormat="1" applyFont="1" applyFill="1" applyBorder="1" applyAlignment="1">
      <alignment vertical="center"/>
    </xf>
    <xf numFmtId="3" fontId="60" fillId="0" borderId="0" xfId="0" applyNumberFormat="1" applyFont="1" applyAlignment="1">
      <alignment vertical="center"/>
    </xf>
    <xf numFmtId="27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vertical="center"/>
    </xf>
    <xf numFmtId="208" fontId="60" fillId="0" borderId="0" xfId="0" applyNumberFormat="1" applyFont="1" applyAlignment="1">
      <alignment vertical="center"/>
    </xf>
    <xf numFmtId="0" fontId="61" fillId="59" borderId="0" xfId="0" applyFont="1" applyFill="1" applyAlignment="1">
      <alignment horizontal="center" vertical="center"/>
    </xf>
    <xf numFmtId="0" fontId="239" fillId="0" borderId="0" xfId="0" applyFont="1" applyFill="1" applyAlignment="1">
      <alignment horizontal="right" vertical="center"/>
    </xf>
    <xf numFmtId="208" fontId="267" fillId="6" borderId="0" xfId="13963" applyNumberFormat="1" applyFont="1" applyFill="1" applyBorder="1" applyAlignment="1">
      <alignment vertical="center"/>
    </xf>
    <xf numFmtId="257" fontId="33" fillId="11" borderId="99" xfId="0" applyNumberFormat="1" applyFont="1" applyFill="1" applyBorder="1" applyAlignment="1">
      <alignment horizontal="center" vertical="center"/>
    </xf>
    <xf numFmtId="257" fontId="36" fillId="11" borderId="99" xfId="0" applyNumberFormat="1" applyFont="1" applyFill="1" applyBorder="1" applyAlignment="1">
      <alignment horizontal="center" vertical="center"/>
    </xf>
    <xf numFmtId="257" fontId="33" fillId="9" borderId="99" xfId="0" applyNumberFormat="1" applyFont="1" applyFill="1" applyBorder="1" applyAlignment="1">
      <alignment horizontal="center" vertical="center"/>
    </xf>
    <xf numFmtId="257" fontId="36" fillId="9" borderId="99" xfId="0" applyNumberFormat="1" applyFont="1" applyFill="1" applyBorder="1" applyAlignment="1">
      <alignment horizontal="center" vertical="center"/>
    </xf>
    <xf numFmtId="0" fontId="17" fillId="0" borderId="0" xfId="62001" applyFill="1"/>
    <xf numFmtId="0" fontId="307" fillId="0" borderId="0" xfId="62001" applyFont="1" applyFill="1"/>
    <xf numFmtId="0" fontId="17" fillId="0" borderId="0" xfId="62001" applyFill="1" applyAlignment="1">
      <alignment horizontal="center"/>
    </xf>
    <xf numFmtId="0" fontId="314" fillId="0" borderId="0" xfId="62001" applyFont="1" applyFill="1" applyAlignment="1">
      <alignment horizontal="center"/>
    </xf>
    <xf numFmtId="0" fontId="307" fillId="0" borderId="0" xfId="62001" applyFont="1" applyFill="1" applyAlignment="1">
      <alignment horizontal="center"/>
    </xf>
    <xf numFmtId="183" fontId="251" fillId="74" borderId="0" xfId="0" applyNumberFormat="1" applyFont="1" applyFill="1">
      <alignment vertical="center"/>
    </xf>
    <xf numFmtId="183" fontId="0" fillId="74" borderId="0" xfId="0" applyNumberFormat="1" applyFill="1" applyAlignment="1">
      <alignment horizontal="center" vertical="center"/>
    </xf>
    <xf numFmtId="173" fontId="33" fillId="74" borderId="0" xfId="0" applyNumberFormat="1" applyFont="1" applyFill="1" applyAlignment="1">
      <alignment horizontal="center" vertical="center"/>
    </xf>
    <xf numFmtId="257" fontId="33" fillId="9" borderId="0" xfId="0" applyNumberFormat="1" applyFont="1" applyFill="1">
      <alignment vertical="center"/>
    </xf>
    <xf numFmtId="259" fontId="33" fillId="10" borderId="0" xfId="1" applyNumberFormat="1" applyFont="1" applyFill="1" applyBorder="1" applyAlignment="1">
      <alignment horizontal="center" vertical="center"/>
    </xf>
    <xf numFmtId="257" fontId="33" fillId="9" borderId="124" xfId="0" applyNumberFormat="1" applyFont="1" applyFill="1" applyBorder="1">
      <alignment vertical="center"/>
    </xf>
    <xf numFmtId="257" fontId="33" fillId="11" borderId="124" xfId="0" applyNumberFormat="1" applyFont="1" applyFill="1" applyBorder="1">
      <alignment vertical="center"/>
    </xf>
    <xf numFmtId="256" fontId="0" fillId="73" borderId="0" xfId="13963" applyNumberFormat="1" applyFont="1" applyFill="1" applyAlignment="1">
      <alignment vertical="center"/>
    </xf>
    <xf numFmtId="0" fontId="0" fillId="0" borderId="0" xfId="0" applyAlignment="1">
      <alignment horizontal="right" vertical="center"/>
    </xf>
    <xf numFmtId="0" fontId="0" fillId="7" borderId="0" xfId="0" applyFill="1">
      <alignment vertical="center"/>
    </xf>
    <xf numFmtId="183" fontId="246" fillId="0" borderId="0" xfId="0" applyNumberFormat="1" applyFont="1" applyAlignment="1">
      <alignment horizontal="left" vertical="center"/>
    </xf>
    <xf numFmtId="183" fontId="0" fillId="0" borderId="0" xfId="0" applyNumberFormat="1" applyAlignment="1">
      <alignment horizontal="center" vertical="center"/>
    </xf>
    <xf numFmtId="9" fontId="0" fillId="0" borderId="0" xfId="1" applyNumberFormat="1" applyFont="1" applyAlignment="1">
      <alignment horizontal="center" vertical="center"/>
    </xf>
    <xf numFmtId="183" fontId="0" fillId="10" borderId="0" xfId="0" applyNumberFormat="1" applyFill="1" applyAlignment="1">
      <alignment horizontal="center" vertical="center"/>
    </xf>
    <xf numFmtId="9" fontId="0" fillId="10" borderId="0" xfId="1" applyNumberFormat="1" applyFont="1" applyFill="1" applyAlignment="1">
      <alignment horizontal="center" vertical="center"/>
    </xf>
    <xf numFmtId="17" fontId="0" fillId="0" borderId="0" xfId="0" quotePrefix="1" applyNumberFormat="1" applyAlignment="1">
      <alignment horizontal="center" vertical="center"/>
    </xf>
    <xf numFmtId="17" fontId="0" fillId="10" borderId="0" xfId="0" quotePrefix="1" applyNumberFormat="1" applyFill="1" applyAlignment="1">
      <alignment horizontal="center" vertical="center"/>
    </xf>
    <xf numFmtId="14" fontId="33" fillId="0" borderId="0" xfId="1" applyNumberFormat="1" applyFont="1" applyFill="1" applyBorder="1" applyAlignment="1">
      <alignment horizontal="center" vertical="center"/>
    </xf>
    <xf numFmtId="17" fontId="36" fillId="11" borderId="0" xfId="0" quotePrefix="1" applyNumberFormat="1" applyFont="1" applyFill="1" applyAlignment="1">
      <alignment horizontal="right" vertical="center"/>
    </xf>
    <xf numFmtId="17" fontId="36" fillId="9" borderId="0" xfId="0" quotePrefix="1" applyNumberFormat="1" applyFont="1" applyFill="1" applyAlignment="1">
      <alignment horizontal="right" vertical="center"/>
    </xf>
    <xf numFmtId="257" fontId="33" fillId="7" borderId="131" xfId="0" applyNumberFormat="1" applyFont="1" applyFill="1" applyBorder="1" applyAlignment="1">
      <alignment horizontal="center" vertical="center"/>
    </xf>
    <xf numFmtId="257" fontId="33" fillId="10" borderId="124" xfId="0" applyNumberFormat="1" applyFont="1" applyFill="1" applyBorder="1" applyAlignment="1">
      <alignment horizontal="center" vertical="center" wrapText="1"/>
    </xf>
    <xf numFmtId="257" fontId="33" fillId="0" borderId="124" xfId="0" applyNumberFormat="1" applyFont="1" applyBorder="1" applyAlignment="1">
      <alignment horizontal="center" vertical="center" wrapText="1"/>
    </xf>
    <xf numFmtId="257" fontId="44" fillId="11" borderId="124" xfId="0" applyNumberFormat="1" applyFont="1" applyFill="1" applyBorder="1">
      <alignment vertical="center"/>
    </xf>
    <xf numFmtId="257" fontId="44" fillId="9" borderId="124" xfId="0" applyNumberFormat="1" applyFont="1" applyFill="1" applyBorder="1">
      <alignment vertical="center"/>
    </xf>
    <xf numFmtId="257" fontId="257" fillId="11" borderId="124" xfId="0" applyNumberFormat="1" applyFont="1" applyFill="1" applyBorder="1">
      <alignment vertical="center"/>
    </xf>
    <xf numFmtId="257" fontId="257" fillId="9" borderId="124" xfId="0" applyNumberFormat="1" applyFont="1" applyFill="1" applyBorder="1">
      <alignment vertical="center"/>
    </xf>
    <xf numFmtId="257" fontId="52" fillId="9" borderId="124" xfId="0" applyNumberFormat="1" applyFont="1" applyFill="1" applyBorder="1">
      <alignment vertical="center"/>
    </xf>
    <xf numFmtId="257" fontId="42" fillId="9" borderId="124" xfId="0" applyNumberFormat="1" applyFont="1" applyFill="1" applyBorder="1">
      <alignment vertical="center"/>
    </xf>
    <xf numFmtId="257" fontId="36" fillId="0" borderId="124" xfId="0" applyNumberFormat="1" applyFont="1" applyBorder="1">
      <alignment vertical="center"/>
    </xf>
    <xf numFmtId="0" fontId="0" fillId="6" borderId="0" xfId="0" applyFill="1" applyBorder="1">
      <alignment vertical="center"/>
    </xf>
    <xf numFmtId="208" fontId="0" fillId="6" borderId="0" xfId="13963" applyNumberFormat="1" applyFont="1" applyFill="1" applyBorder="1" applyAlignment="1">
      <alignment vertical="center"/>
    </xf>
    <xf numFmtId="173" fontId="33" fillId="61" borderId="0" xfId="0" applyNumberFormat="1" applyFont="1" applyFill="1" applyAlignment="1">
      <alignment horizontal="center" vertical="center"/>
    </xf>
    <xf numFmtId="166" fontId="62" fillId="0" borderId="119" xfId="347" applyFont="1" applyFill="1" applyBorder="1" applyAlignment="1">
      <alignment horizontal="left" vertical="center"/>
    </xf>
    <xf numFmtId="166" fontId="60" fillId="0" borderId="119" xfId="347" applyFont="1" applyFill="1" applyBorder="1" applyAlignment="1">
      <alignment horizontal="left" vertical="center"/>
    </xf>
    <xf numFmtId="0" fontId="114" fillId="0" borderId="0" xfId="3087" applyFont="1" applyBorder="1" applyAlignment="1">
      <alignment horizontal="left"/>
    </xf>
    <xf numFmtId="0" fontId="53" fillId="0" borderId="0" xfId="3087" applyFont="1" applyAlignment="1">
      <alignment vertical="center"/>
    </xf>
    <xf numFmtId="208" fontId="60" fillId="10" borderId="118" xfId="347" applyNumberFormat="1" applyFont="1" applyFill="1" applyBorder="1">
      <alignment vertical="center"/>
    </xf>
    <xf numFmtId="208" fontId="60" fillId="86" borderId="119" xfId="347" applyNumberFormat="1" applyFont="1" applyFill="1" applyBorder="1">
      <alignment vertical="center"/>
    </xf>
    <xf numFmtId="208" fontId="60" fillId="10" borderId="119" xfId="347" applyNumberFormat="1" applyFont="1" applyFill="1" applyBorder="1">
      <alignment vertical="center"/>
    </xf>
    <xf numFmtId="208" fontId="62" fillId="0" borderId="0" xfId="347" applyNumberFormat="1" applyFont="1" applyAlignment="1">
      <alignment horizontal="left" vertical="center"/>
    </xf>
    <xf numFmtId="166" fontId="285" fillId="0" borderId="0" xfId="347" applyFont="1" applyAlignment="1">
      <alignment horizontal="left" vertical="center"/>
    </xf>
    <xf numFmtId="208" fontId="60" fillId="10" borderId="119" xfId="347" applyNumberFormat="1" applyFont="1" applyFill="1" applyBorder="1" applyAlignment="1">
      <alignment horizontal="left" vertical="center"/>
    </xf>
    <xf numFmtId="256" fontId="27" fillId="10" borderId="80" xfId="61994" applyNumberFormat="1" applyFont="1" applyFill="1" applyBorder="1"/>
    <xf numFmtId="256" fontId="27" fillId="10" borderId="80" xfId="61995" applyNumberFormat="1" applyFont="1" applyFill="1" applyBorder="1"/>
    <xf numFmtId="208" fontId="0" fillId="0" borderId="0" xfId="0" applyNumberFormat="1" applyBorder="1">
      <alignment vertical="center"/>
    </xf>
    <xf numFmtId="269" fontId="251" fillId="0" borderId="0" xfId="1" applyNumberFormat="1" applyFont="1" applyFill="1" applyBorder="1">
      <alignment vertical="center"/>
    </xf>
    <xf numFmtId="197" fontId="0" fillId="0" borderId="0" xfId="13963" applyNumberFormat="1" applyFont="1" applyFill="1" applyBorder="1" applyAlignment="1">
      <alignment vertical="center"/>
    </xf>
    <xf numFmtId="269" fontId="0" fillId="0" borderId="0" xfId="1" applyNumberFormat="1" applyFont="1" applyBorder="1">
      <alignment vertical="center"/>
    </xf>
    <xf numFmtId="174" fontId="0" fillId="0" borderId="0" xfId="1" applyNumberFormat="1" applyFont="1" applyBorder="1">
      <alignment vertical="center"/>
    </xf>
    <xf numFmtId="174" fontId="0" fillId="0" borderId="0" xfId="1" applyNumberFormat="1" applyFont="1" applyFill="1" applyBorder="1">
      <alignment vertical="center"/>
    </xf>
    <xf numFmtId="178" fontId="33" fillId="0" borderId="43" xfId="0" applyNumberFormat="1" applyFont="1" applyFill="1" applyBorder="1">
      <alignment vertical="center"/>
    </xf>
    <xf numFmtId="208" fontId="0" fillId="10" borderId="43" xfId="13963" applyNumberFormat="1" applyFont="1" applyFill="1" applyBorder="1" applyAlignment="1">
      <alignment vertical="center"/>
    </xf>
    <xf numFmtId="197" fontId="0" fillId="0" borderId="43" xfId="13963" applyNumberFormat="1" applyFont="1" applyBorder="1" applyAlignment="1">
      <alignment vertical="center"/>
    </xf>
    <xf numFmtId="173" fontId="320" fillId="0" borderId="0" xfId="0" quotePrefix="1" applyNumberFormat="1" applyFont="1" applyAlignment="1">
      <alignment horizontal="center" vertical="center"/>
    </xf>
    <xf numFmtId="173" fontId="320" fillId="0" borderId="0" xfId="0" applyNumberFormat="1" applyFont="1" applyAlignment="1">
      <alignment horizontal="center" vertical="center"/>
    </xf>
    <xf numFmtId="173" fontId="36" fillId="0" borderId="0" xfId="0" applyNumberFormat="1" applyFont="1" applyBorder="1" applyAlignment="1">
      <alignment horizontal="center" vertical="center"/>
    </xf>
    <xf numFmtId="173" fontId="36" fillId="0" borderId="0" xfId="0" quotePrefix="1" applyNumberFormat="1" applyFont="1" applyBorder="1" applyAlignment="1">
      <alignment horizontal="center" vertical="center"/>
    </xf>
    <xf numFmtId="269" fontId="0" fillId="73" borderId="0" xfId="1" applyNumberFormat="1" applyFont="1" applyFill="1" applyBorder="1">
      <alignment vertical="center"/>
    </xf>
    <xf numFmtId="197" fontId="0" fillId="0" borderId="0" xfId="13963" applyNumberFormat="1" applyFont="1" applyBorder="1" applyAlignment="1">
      <alignment vertical="center"/>
    </xf>
    <xf numFmtId="271" fontId="251" fillId="0" borderId="0" xfId="1" applyNumberFormat="1" applyFont="1" applyBorder="1">
      <alignment vertical="center"/>
    </xf>
    <xf numFmtId="271" fontId="0" fillId="0" borderId="0" xfId="1" applyNumberFormat="1" applyFont="1" applyBorder="1">
      <alignment vertical="center"/>
    </xf>
    <xf numFmtId="174" fontId="0" fillId="73" borderId="0" xfId="1" applyNumberFormat="1" applyFont="1" applyFill="1" applyBorder="1">
      <alignment vertical="center"/>
    </xf>
    <xf numFmtId="9" fontId="0" fillId="7" borderId="43" xfId="0" applyNumberFormat="1" applyFill="1" applyBorder="1">
      <alignment vertical="center"/>
    </xf>
    <xf numFmtId="9" fontId="0" fillId="0" borderId="43" xfId="0" applyNumberFormat="1" applyFill="1" applyBorder="1">
      <alignment vertical="center"/>
    </xf>
    <xf numFmtId="173" fontId="36" fillId="65" borderId="43" xfId="0" applyNumberFormat="1" applyFont="1" applyFill="1" applyBorder="1" applyAlignment="1">
      <alignment horizontal="center" vertical="center"/>
    </xf>
    <xf numFmtId="173" fontId="36" fillId="65" borderId="43" xfId="0" quotePrefix="1" applyNumberFormat="1" applyFont="1" applyFill="1" applyBorder="1" applyAlignment="1">
      <alignment horizontal="center" vertical="center"/>
    </xf>
    <xf numFmtId="208" fontId="0" fillId="0" borderId="43" xfId="0" applyNumberFormat="1" applyBorder="1">
      <alignment vertical="center"/>
    </xf>
    <xf numFmtId="269" fontId="0" fillId="0" borderId="43" xfId="0" applyNumberFormat="1" applyBorder="1">
      <alignment vertical="center"/>
    </xf>
    <xf numFmtId="197" fontId="251" fillId="0" borderId="43" xfId="13963" applyNumberFormat="1" applyFont="1" applyFill="1" applyBorder="1" applyAlignment="1">
      <alignment vertical="center"/>
    </xf>
    <xf numFmtId="208" fontId="0" fillId="73" borderId="0" xfId="13963" applyNumberFormat="1" applyFont="1" applyFill="1" applyBorder="1" applyAlignment="1">
      <alignment vertical="center"/>
    </xf>
    <xf numFmtId="276" fontId="251" fillId="0" borderId="0" xfId="1" applyNumberFormat="1" applyFont="1" applyFill="1" applyBorder="1">
      <alignment vertical="center"/>
    </xf>
    <xf numFmtId="271" fontId="0" fillId="10" borderId="0" xfId="1" applyNumberFormat="1" applyFont="1" applyFill="1" applyBorder="1">
      <alignment vertical="center"/>
    </xf>
    <xf numFmtId="0" fontId="17" fillId="0" borderId="43" xfId="62001" applyBorder="1"/>
    <xf numFmtId="9" fontId="311" fillId="10" borderId="43" xfId="62001" applyNumberFormat="1" applyFont="1" applyFill="1" applyBorder="1" applyAlignment="1">
      <alignment horizontal="center"/>
    </xf>
    <xf numFmtId="0" fontId="17" fillId="0" borderId="43" xfId="62001" applyBorder="1" applyAlignment="1">
      <alignment horizontal="center"/>
    </xf>
    <xf numFmtId="208" fontId="265" fillId="0" borderId="43" xfId="13963" applyNumberFormat="1" applyFont="1" applyBorder="1"/>
    <xf numFmtId="256" fontId="0" fillId="0" borderId="43" xfId="62002" applyNumberFormat="1" applyFont="1" applyBorder="1"/>
    <xf numFmtId="256" fontId="0" fillId="0" borderId="110" xfId="62002" applyNumberFormat="1" applyFont="1" applyBorder="1"/>
    <xf numFmtId="9" fontId="17" fillId="0" borderId="43" xfId="1" applyFont="1" applyBorder="1" applyAlignment="1"/>
    <xf numFmtId="0" fontId="17" fillId="80" borderId="43" xfId="62001" applyFill="1" applyBorder="1"/>
    <xf numFmtId="270" fontId="109" fillId="80" borderId="43" xfId="62001" applyNumberFormat="1" applyFont="1" applyFill="1" applyBorder="1"/>
    <xf numFmtId="270" fontId="17" fillId="80" borderId="43" xfId="62001" applyNumberFormat="1" applyFill="1" applyBorder="1"/>
    <xf numFmtId="256" fontId="0" fillId="0" borderId="43" xfId="62002" applyNumberFormat="1" applyFont="1" applyFill="1" applyBorder="1"/>
    <xf numFmtId="256" fontId="0" fillId="59" borderId="43" xfId="62002" applyNumberFormat="1" applyFont="1" applyFill="1" applyBorder="1"/>
    <xf numFmtId="256" fontId="252" fillId="62" borderId="43" xfId="62002" applyNumberFormat="1" applyFont="1" applyFill="1" applyBorder="1"/>
    <xf numFmtId="256" fontId="0" fillId="62" borderId="143" xfId="62002" applyNumberFormat="1" applyFont="1" applyFill="1" applyBorder="1"/>
    <xf numFmtId="256" fontId="0" fillId="62" borderId="43" xfId="62002" applyNumberFormat="1" applyFont="1" applyFill="1" applyBorder="1"/>
    <xf numFmtId="256" fontId="0" fillId="59" borderId="110" xfId="62002" applyNumberFormat="1" applyFont="1" applyFill="1" applyBorder="1"/>
    <xf numFmtId="0" fontId="17" fillId="0" borderId="144" xfId="62001" applyBorder="1" applyAlignment="1">
      <alignment horizontal="center"/>
    </xf>
    <xf numFmtId="256" fontId="252" fillId="73" borderId="43" xfId="62002" applyNumberFormat="1" applyFont="1" applyFill="1" applyBorder="1"/>
    <xf numFmtId="256" fontId="27" fillId="0" borderId="140" xfId="62001" applyNumberFormat="1" applyFont="1" applyBorder="1"/>
    <xf numFmtId="256" fontId="27" fillId="0" borderId="144" xfId="62001" applyNumberFormat="1" applyFont="1" applyBorder="1"/>
    <xf numFmtId="256" fontId="246" fillId="0" borderId="43" xfId="62001" applyNumberFormat="1" applyFont="1" applyBorder="1"/>
    <xf numFmtId="256" fontId="270" fillId="0" borderId="43" xfId="62001" applyNumberFormat="1" applyFont="1" applyBorder="1"/>
    <xf numFmtId="256" fontId="17" fillId="0" borderId="43" xfId="62001" applyNumberFormat="1" applyBorder="1"/>
    <xf numFmtId="256" fontId="27" fillId="0" borderId="140" xfId="62001" applyNumberFormat="1" applyFont="1" applyFill="1" applyBorder="1"/>
    <xf numFmtId="256" fontId="27" fillId="80" borderId="145" xfId="62002" applyNumberFormat="1" applyFont="1" applyFill="1" applyBorder="1"/>
    <xf numFmtId="256" fontId="0" fillId="0" borderId="43" xfId="62002" applyNumberFormat="1" applyFont="1" applyBorder="1" applyAlignment="1">
      <alignment horizontal="center"/>
    </xf>
    <xf numFmtId="208" fontId="306" fillId="0" borderId="43" xfId="13963" applyNumberFormat="1" applyFont="1" applyBorder="1"/>
    <xf numFmtId="43" fontId="109" fillId="0" borderId="43" xfId="62002" applyNumberFormat="1" applyFont="1" applyBorder="1" applyAlignment="1">
      <alignment horizontal="center"/>
    </xf>
    <xf numFmtId="43" fontId="269" fillId="0" borderId="43" xfId="62002" applyNumberFormat="1" applyFont="1" applyBorder="1" applyAlignment="1">
      <alignment horizontal="center"/>
    </xf>
    <xf numFmtId="43" fontId="0" fillId="0" borderId="43" xfId="62002" applyFont="1" applyBorder="1" applyAlignment="1">
      <alignment horizontal="center"/>
    </xf>
    <xf numFmtId="274" fontId="17" fillId="0" borderId="43" xfId="62006" applyNumberFormat="1" applyFont="1" applyBorder="1"/>
    <xf numFmtId="273" fontId="17" fillId="0" borderId="43" xfId="62006" applyNumberFormat="1" applyFont="1" applyBorder="1"/>
    <xf numFmtId="273" fontId="17" fillId="0" borderId="14" xfId="62006" applyNumberFormat="1" applyFont="1" applyBorder="1"/>
    <xf numFmtId="173" fontId="321" fillId="0" borderId="77" xfId="62007" applyNumberFormat="1" applyFont="1" applyBorder="1"/>
    <xf numFmtId="256" fontId="270" fillId="73" borderId="0" xfId="62001" applyNumberFormat="1" applyFont="1" applyFill="1" applyBorder="1"/>
    <xf numFmtId="256" fontId="270" fillId="73" borderId="0" xfId="62002" applyNumberFormat="1" applyFont="1" applyFill="1" applyBorder="1"/>
    <xf numFmtId="256" fontId="17" fillId="0" borderId="0" xfId="62001" applyNumberFormat="1" applyFill="1" applyBorder="1"/>
    <xf numFmtId="256" fontId="0" fillId="0" borderId="0" xfId="62002" applyNumberFormat="1" applyFont="1" applyFill="1" applyBorder="1"/>
    <xf numFmtId="256" fontId="0" fillId="0" borderId="44" xfId="62002" applyNumberFormat="1" applyFont="1" applyFill="1" applyBorder="1"/>
    <xf numFmtId="256" fontId="270" fillId="0" borderId="0" xfId="62002" applyNumberFormat="1" applyFont="1" applyFill="1" applyBorder="1"/>
    <xf numFmtId="256" fontId="109" fillId="0" borderId="0" xfId="62001" applyNumberFormat="1" applyFont="1" applyFill="1" applyBorder="1" applyAlignment="1">
      <alignment horizontal="center"/>
    </xf>
    <xf numFmtId="256" fontId="17" fillId="0" borderId="138" xfId="62001" applyNumberFormat="1" applyFill="1" applyBorder="1" applyAlignment="1">
      <alignment horizontal="center"/>
    </xf>
    <xf numFmtId="0" fontId="27" fillId="78" borderId="120" xfId="62001" applyFont="1" applyFill="1" applyBorder="1"/>
    <xf numFmtId="0" fontId="27" fillId="78" borderId="138" xfId="62001" applyFont="1" applyFill="1" applyBorder="1"/>
    <xf numFmtId="256" fontId="27" fillId="78" borderId="138" xfId="62001" applyNumberFormat="1" applyFont="1" applyFill="1" applyBorder="1"/>
    <xf numFmtId="256" fontId="27" fillId="78" borderId="115" xfId="62001" applyNumberFormat="1" applyFont="1" applyFill="1" applyBorder="1"/>
    <xf numFmtId="256" fontId="27" fillId="78" borderId="146" xfId="62001" applyNumberFormat="1" applyFont="1" applyFill="1" applyBorder="1"/>
    <xf numFmtId="208" fontId="27" fillId="78" borderId="147" xfId="13963" applyNumberFormat="1" applyFont="1" applyFill="1" applyBorder="1"/>
    <xf numFmtId="208" fontId="322" fillId="78" borderId="148" xfId="13963" applyNumberFormat="1" applyFont="1" applyFill="1" applyBorder="1"/>
    <xf numFmtId="0" fontId="27" fillId="87" borderId="77" xfId="62001" applyFont="1" applyFill="1" applyBorder="1"/>
    <xf numFmtId="0" fontId="27" fillId="87" borderId="0" xfId="62001" applyFont="1" applyFill="1" applyBorder="1"/>
    <xf numFmtId="256" fontId="27" fillId="87" borderId="0" xfId="62001" applyNumberFormat="1" applyFont="1" applyFill="1" applyBorder="1"/>
    <xf numFmtId="256" fontId="27" fillId="87" borderId="43" xfId="62001" applyNumberFormat="1" applyFont="1" applyFill="1" applyBorder="1"/>
    <xf numFmtId="256" fontId="27" fillId="87" borderId="118" xfId="62001" applyNumberFormat="1" applyFont="1" applyFill="1" applyBorder="1"/>
    <xf numFmtId="256" fontId="27" fillId="87" borderId="0" xfId="62002" applyNumberFormat="1" applyFont="1" applyFill="1" applyBorder="1"/>
    <xf numFmtId="256" fontId="27" fillId="87" borderId="44" xfId="62002" applyNumberFormat="1" applyFont="1" applyFill="1" applyBorder="1"/>
    <xf numFmtId="0" fontId="17" fillId="84" borderId="0" xfId="62001" applyFill="1"/>
    <xf numFmtId="43" fontId="0" fillId="84" borderId="0" xfId="62002" applyFont="1" applyFill="1" applyAlignment="1">
      <alignment horizontal="center"/>
    </xf>
    <xf numFmtId="256" fontId="0" fillId="84" borderId="0" xfId="62002" applyNumberFormat="1" applyFont="1" applyFill="1" applyAlignment="1">
      <alignment horizontal="center"/>
    </xf>
    <xf numFmtId="256" fontId="0" fillId="84" borderId="43" xfId="62002" applyNumberFormat="1" applyFont="1" applyFill="1" applyBorder="1" applyAlignment="1">
      <alignment horizontal="center"/>
    </xf>
    <xf numFmtId="256" fontId="0" fillId="10" borderId="0" xfId="62002" applyNumberFormat="1" applyFont="1" applyFill="1" applyAlignment="1">
      <alignment horizontal="center"/>
    </xf>
    <xf numFmtId="273" fontId="17" fillId="10" borderId="43" xfId="62006" applyNumberFormat="1" applyFont="1" applyFill="1" applyBorder="1"/>
    <xf numFmtId="273" fontId="17" fillId="10" borderId="137" xfId="62006" applyNumberFormat="1" applyFont="1" applyFill="1" applyBorder="1"/>
    <xf numFmtId="273" fontId="17" fillId="68" borderId="0" xfId="62006" applyNumberFormat="1" applyFont="1" applyFill="1"/>
    <xf numFmtId="273" fontId="17" fillId="68" borderId="43" xfId="62006" applyNumberFormat="1" applyFont="1" applyFill="1" applyBorder="1"/>
    <xf numFmtId="9" fontId="17" fillId="68" borderId="43" xfId="1" applyFont="1" applyFill="1" applyBorder="1" applyAlignment="1"/>
    <xf numFmtId="0" fontId="17" fillId="68" borderId="43" xfId="62001" applyFill="1" applyBorder="1"/>
    <xf numFmtId="273" fontId="17" fillId="68" borderId="0" xfId="62001" applyNumberFormat="1" applyFill="1"/>
    <xf numFmtId="9" fontId="22" fillId="84" borderId="0" xfId="61994" applyNumberFormat="1" applyFill="1"/>
    <xf numFmtId="178" fontId="44" fillId="0" borderId="0" xfId="0" applyNumberFormat="1" applyFont="1" applyBorder="1">
      <alignment vertical="center"/>
    </xf>
    <xf numFmtId="173" fontId="44" fillId="0" borderId="0" xfId="0" applyNumberFormat="1" applyFont="1" applyBorder="1">
      <alignment vertical="center"/>
    </xf>
    <xf numFmtId="178" fontId="46" fillId="0" borderId="0" xfId="0" applyNumberFormat="1" applyFont="1" applyBorder="1">
      <alignment vertical="center"/>
    </xf>
    <xf numFmtId="10" fontId="36" fillId="0" borderId="0" xfId="1" applyNumberFormat="1" applyFont="1">
      <alignment vertical="center"/>
    </xf>
    <xf numFmtId="173" fontId="33" fillId="0" borderId="69" xfId="0" applyNumberFormat="1" applyFont="1" applyFill="1" applyBorder="1">
      <alignment vertical="center"/>
    </xf>
    <xf numFmtId="256" fontId="270" fillId="10" borderId="0" xfId="62002" applyNumberFormat="1" applyFont="1" applyFill="1" applyBorder="1"/>
    <xf numFmtId="173" fontId="33" fillId="0" borderId="147" xfId="0" applyNumberFormat="1" applyFont="1" applyFill="1" applyBorder="1">
      <alignment vertical="center"/>
    </xf>
    <xf numFmtId="173" fontId="33" fillId="0" borderId="147" xfId="0" applyNumberFormat="1" applyFont="1" applyBorder="1">
      <alignment vertical="center"/>
    </xf>
    <xf numFmtId="256" fontId="17" fillId="0" borderId="115" xfId="62001" applyNumberFormat="1" applyFill="1" applyBorder="1" applyAlignment="1">
      <alignment horizontal="center"/>
    </xf>
    <xf numFmtId="256" fontId="17" fillId="0" borderId="43" xfId="62001" applyNumberFormat="1" applyFill="1" applyBorder="1" applyAlignment="1">
      <alignment horizontal="center"/>
    </xf>
    <xf numFmtId="208" fontId="17" fillId="0" borderId="138" xfId="13963" applyNumberFormat="1" applyFont="1" applyFill="1" applyBorder="1"/>
    <xf numFmtId="208" fontId="17" fillId="0" borderId="121" xfId="13963" applyNumberFormat="1" applyFont="1" applyFill="1" applyBorder="1"/>
    <xf numFmtId="208" fontId="17" fillId="0" borderId="0" xfId="13963" applyNumberFormat="1" applyFont="1" applyFill="1" applyBorder="1" applyAlignment="1">
      <alignment horizontal="center"/>
    </xf>
    <xf numFmtId="208" fontId="17" fillId="0" borderId="44" xfId="13963" applyNumberFormat="1" applyFont="1" applyFill="1" applyBorder="1"/>
    <xf numFmtId="0" fontId="323" fillId="7" borderId="0" xfId="62001" applyFont="1" applyFill="1"/>
    <xf numFmtId="0" fontId="17" fillId="7" borderId="0" xfId="62001" applyFill="1"/>
    <xf numFmtId="0" fontId="50" fillId="7" borderId="0" xfId="62001" applyFont="1" applyFill="1"/>
    <xf numFmtId="0" fontId="307" fillId="7" borderId="0" xfId="62001" applyFont="1" applyFill="1"/>
    <xf numFmtId="0" fontId="308" fillId="7" borderId="0" xfId="62001" applyFont="1" applyFill="1"/>
    <xf numFmtId="0" fontId="323" fillId="8" borderId="0" xfId="62001" applyFont="1" applyFill="1"/>
    <xf numFmtId="0" fontId="17" fillId="8" borderId="0" xfId="62001" applyFill="1"/>
    <xf numFmtId="0" fontId="50" fillId="8" borderId="0" xfId="62001" applyFont="1" applyFill="1"/>
    <xf numFmtId="9" fontId="17" fillId="0" borderId="0" xfId="1" applyFont="1" applyFill="1" applyAlignment="1"/>
    <xf numFmtId="273" fontId="17" fillId="0" borderId="0" xfId="62001" applyNumberFormat="1" applyFill="1"/>
    <xf numFmtId="274" fontId="17" fillId="0" borderId="0" xfId="62006" applyNumberFormat="1" applyFont="1" applyFill="1"/>
    <xf numFmtId="273" fontId="17" fillId="0" borderId="0" xfId="62006" applyNumberFormat="1" applyFont="1" applyFill="1"/>
    <xf numFmtId="273" fontId="17" fillId="0" borderId="138" xfId="62006" applyNumberFormat="1" applyFont="1" applyFill="1" applyBorder="1"/>
    <xf numFmtId="273" fontId="17" fillId="0" borderId="138" xfId="62001" applyNumberFormat="1" applyFill="1" applyBorder="1"/>
    <xf numFmtId="256" fontId="17" fillId="0" borderId="0" xfId="62001" applyNumberFormat="1" applyFill="1"/>
    <xf numFmtId="256" fontId="17" fillId="0" borderId="138" xfId="62001" applyNumberFormat="1" applyFill="1" applyBorder="1"/>
    <xf numFmtId="274" fontId="17" fillId="0" borderId="138" xfId="62006" applyNumberFormat="1" applyFont="1" applyFill="1" applyBorder="1"/>
    <xf numFmtId="174" fontId="17" fillId="0" borderId="0" xfId="1" applyNumberFormat="1" applyFont="1" applyFill="1" applyAlignment="1"/>
    <xf numFmtId="173" fontId="36" fillId="7" borderId="2" xfId="0" applyNumberFormat="1" applyFont="1" applyFill="1" applyBorder="1" applyAlignment="1">
      <alignment horizontal="center" vertical="center"/>
    </xf>
    <xf numFmtId="173" fontId="36" fillId="7" borderId="3" xfId="0" applyNumberFormat="1" applyFont="1" applyFill="1" applyBorder="1" applyAlignment="1">
      <alignment horizontal="center" vertical="center"/>
    </xf>
    <xf numFmtId="173" fontId="36" fillId="8" borderId="1" xfId="0" applyNumberFormat="1" applyFont="1" applyFill="1" applyBorder="1" applyAlignment="1">
      <alignment horizontal="center" vertical="center"/>
    </xf>
    <xf numFmtId="173" fontId="36" fillId="8" borderId="2" xfId="0" applyNumberFormat="1" applyFont="1" applyFill="1" applyBorder="1" applyAlignment="1">
      <alignment horizontal="center" vertical="center"/>
    </xf>
    <xf numFmtId="173" fontId="36" fillId="8" borderId="3" xfId="0" applyNumberFormat="1" applyFont="1" applyFill="1" applyBorder="1" applyAlignment="1">
      <alignment horizontal="center" vertical="center"/>
    </xf>
    <xf numFmtId="173" fontId="33" fillId="61" borderId="0" xfId="0" applyNumberFormat="1" applyFont="1" applyFill="1" applyAlignment="1">
      <alignment horizontal="center" vertical="center"/>
    </xf>
    <xf numFmtId="173" fontId="36" fillId="10" borderId="1" xfId="0" applyNumberFormat="1" applyFont="1" applyFill="1" applyBorder="1" applyAlignment="1">
      <alignment horizontal="center" vertical="center"/>
    </xf>
    <xf numFmtId="173" fontId="36" fillId="10" borderId="3" xfId="0" applyNumberFormat="1" applyFont="1" applyFill="1" applyBorder="1" applyAlignment="1">
      <alignment horizontal="center" vertical="center"/>
    </xf>
    <xf numFmtId="173" fontId="36" fillId="0" borderId="1" xfId="0" applyNumberFormat="1" applyFont="1" applyBorder="1" applyAlignment="1">
      <alignment horizontal="center" vertical="center"/>
    </xf>
    <xf numFmtId="173" fontId="36" fillId="0" borderId="3" xfId="0" applyNumberFormat="1" applyFont="1" applyBorder="1" applyAlignment="1">
      <alignment horizontal="center" vertical="center"/>
    </xf>
    <xf numFmtId="173" fontId="36" fillId="7" borderId="0" xfId="0" applyNumberFormat="1" applyFont="1" applyFill="1" applyBorder="1" applyAlignment="1">
      <alignment horizontal="center" vertical="center"/>
    </xf>
    <xf numFmtId="173" fontId="36" fillId="7" borderId="44" xfId="0" applyNumberFormat="1" applyFont="1" applyFill="1" applyBorder="1" applyAlignment="1">
      <alignment horizontal="center" vertical="center"/>
    </xf>
    <xf numFmtId="173" fontId="36" fillId="7" borderId="1" xfId="0" applyNumberFormat="1" applyFont="1" applyFill="1" applyBorder="1" applyAlignment="1">
      <alignment horizontal="center" vertical="center"/>
    </xf>
    <xf numFmtId="0" fontId="248" fillId="7" borderId="0" xfId="0" applyFont="1" applyFill="1" applyAlignment="1">
      <alignment horizontal="center" vertical="center"/>
    </xf>
    <xf numFmtId="0" fontId="248" fillId="10" borderId="0" xfId="0" applyFont="1" applyFill="1" applyAlignment="1">
      <alignment horizontal="center" vertical="center"/>
    </xf>
    <xf numFmtId="208" fontId="243" fillId="8" borderId="1" xfId="0" applyNumberFormat="1" applyFont="1" applyFill="1" applyBorder="1" applyAlignment="1">
      <alignment horizontal="center" vertical="center"/>
    </xf>
    <xf numFmtId="208" fontId="243" fillId="8" borderId="2" xfId="0" applyNumberFormat="1" applyFont="1" applyFill="1" applyBorder="1" applyAlignment="1">
      <alignment horizontal="center" vertical="center"/>
    </xf>
    <xf numFmtId="208" fontId="243" fillId="8" borderId="3" xfId="0" applyNumberFormat="1" applyFont="1" applyFill="1" applyBorder="1" applyAlignment="1">
      <alignment horizontal="center" vertical="center"/>
    </xf>
    <xf numFmtId="208" fontId="258" fillId="10" borderId="1" xfId="0" applyNumberFormat="1" applyFont="1" applyFill="1" applyBorder="1" applyAlignment="1">
      <alignment horizontal="center" vertical="center" wrapText="1"/>
    </xf>
    <xf numFmtId="0" fontId="258" fillId="10" borderId="2" xfId="0" applyFont="1" applyFill="1" applyBorder="1" applyAlignment="1">
      <alignment horizontal="center" vertical="center" wrapText="1"/>
    </xf>
    <xf numFmtId="0" fontId="258" fillId="10" borderId="3" xfId="0" applyFont="1" applyFill="1" applyBorder="1" applyAlignment="1">
      <alignment horizontal="center" vertical="center" wrapText="1"/>
    </xf>
    <xf numFmtId="0" fontId="248" fillId="8" borderId="0" xfId="0" applyFont="1" applyFill="1" applyAlignment="1">
      <alignment horizontal="center" vertical="center" wrapText="1"/>
    </xf>
    <xf numFmtId="0" fontId="248" fillId="10" borderId="0" xfId="0" applyFont="1" applyFill="1" applyAlignment="1">
      <alignment horizontal="center" vertical="center" wrapText="1"/>
    </xf>
    <xf numFmtId="0" fontId="258" fillId="8" borderId="1" xfId="0" applyFont="1" applyFill="1" applyBorder="1" applyAlignment="1">
      <alignment horizontal="center" vertical="center"/>
    </xf>
    <xf numFmtId="0" fontId="258" fillId="8" borderId="2" xfId="0" applyFont="1" applyFill="1" applyBorder="1" applyAlignment="1">
      <alignment horizontal="center" vertical="center"/>
    </xf>
    <xf numFmtId="0" fontId="258" fillId="8" borderId="3" xfId="0" applyFont="1" applyFill="1" applyBorder="1" applyAlignment="1">
      <alignment horizontal="center" vertical="center"/>
    </xf>
    <xf numFmtId="0" fontId="258" fillId="10" borderId="1" xfId="0" applyFont="1" applyFill="1" applyBorder="1" applyAlignment="1">
      <alignment horizontal="center" vertical="center"/>
    </xf>
    <xf numFmtId="0" fontId="258" fillId="10" borderId="2" xfId="0" applyFont="1" applyFill="1" applyBorder="1" applyAlignment="1">
      <alignment horizontal="center" vertical="center"/>
    </xf>
    <xf numFmtId="0" fontId="258" fillId="10" borderId="3" xfId="0" applyFont="1" applyFill="1" applyBorder="1" applyAlignment="1">
      <alignment horizontal="center" vertical="center"/>
    </xf>
    <xf numFmtId="173" fontId="36" fillId="10" borderId="2" xfId="0" applyNumberFormat="1" applyFont="1" applyFill="1" applyBorder="1" applyAlignment="1">
      <alignment horizontal="center" vertical="center"/>
    </xf>
    <xf numFmtId="17" fontId="0" fillId="8" borderId="0" xfId="0" applyNumberFormat="1" applyFill="1" applyAlignment="1">
      <alignment horizontal="center" vertical="center"/>
    </xf>
    <xf numFmtId="183" fontId="0" fillId="0" borderId="0" xfId="0" applyNumberFormat="1" applyAlignment="1">
      <alignment horizontal="center" vertical="center"/>
    </xf>
    <xf numFmtId="0" fontId="27" fillId="10" borderId="99" xfId="0" applyFont="1" applyFill="1" applyBorder="1" applyAlignment="1">
      <alignment horizontal="center" vertical="center"/>
    </xf>
    <xf numFmtId="0" fontId="27" fillId="8" borderId="99" xfId="0" applyFont="1" applyFill="1" applyBorder="1" applyAlignment="1">
      <alignment horizontal="center" vertical="center"/>
    </xf>
    <xf numFmtId="173" fontId="0" fillId="9" borderId="0" xfId="0" applyNumberFormat="1" applyFill="1" applyAlignment="1">
      <alignment horizontal="left" vertical="center" wrapText="1"/>
    </xf>
    <xf numFmtId="257" fontId="33" fillId="11" borderId="99" xfId="0" applyNumberFormat="1" applyFont="1" applyFill="1" applyBorder="1" applyAlignment="1">
      <alignment horizontal="center" vertical="center"/>
    </xf>
    <xf numFmtId="257" fontId="33" fillId="9" borderId="99" xfId="0" applyNumberFormat="1" applyFont="1" applyFill="1" applyBorder="1" applyAlignment="1">
      <alignment horizontal="center" vertical="center"/>
    </xf>
    <xf numFmtId="257" fontId="33" fillId="9" borderId="122" xfId="0" applyNumberFormat="1" applyFont="1" applyFill="1" applyBorder="1" applyAlignment="1">
      <alignment horizontal="center" vertical="center"/>
    </xf>
    <xf numFmtId="257" fontId="33" fillId="9" borderId="119" xfId="0" applyNumberFormat="1" applyFont="1" applyFill="1" applyBorder="1" applyAlignment="1">
      <alignment horizontal="center" vertical="center"/>
    </xf>
    <xf numFmtId="257" fontId="33" fillId="9" borderId="37" xfId="0" applyNumberFormat="1" applyFont="1" applyFill="1" applyBorder="1" applyAlignment="1">
      <alignment horizontal="center" vertical="center"/>
    </xf>
    <xf numFmtId="257" fontId="33" fillId="11" borderId="122" xfId="0" applyNumberFormat="1" applyFont="1" applyFill="1" applyBorder="1" applyAlignment="1">
      <alignment horizontal="center" vertical="center"/>
    </xf>
    <xf numFmtId="257" fontId="33" fillId="11" borderId="119" xfId="0" applyNumberFormat="1" applyFont="1" applyFill="1" applyBorder="1" applyAlignment="1">
      <alignment horizontal="center" vertical="center"/>
    </xf>
    <xf numFmtId="257" fontId="33" fillId="11" borderId="37" xfId="0" applyNumberFormat="1" applyFont="1" applyFill="1" applyBorder="1" applyAlignment="1">
      <alignment horizontal="center" vertical="center"/>
    </xf>
    <xf numFmtId="257" fontId="33" fillId="74" borderId="4" xfId="0" applyNumberFormat="1" applyFont="1" applyFill="1" applyBorder="1" applyAlignment="1">
      <alignment horizontal="center" vertical="center"/>
    </xf>
    <xf numFmtId="257" fontId="35" fillId="70" borderId="1" xfId="0" applyNumberFormat="1" applyFont="1" applyFill="1" applyBorder="1" applyAlignment="1">
      <alignment horizontal="center" vertical="center"/>
    </xf>
    <xf numFmtId="257" fontId="35" fillId="70" borderId="2" xfId="0" applyNumberFormat="1" applyFont="1" applyFill="1" applyBorder="1" applyAlignment="1">
      <alignment horizontal="center" vertical="center"/>
    </xf>
    <xf numFmtId="257" fontId="35" fillId="70" borderId="3" xfId="0" applyNumberFormat="1" applyFont="1" applyFill="1" applyBorder="1" applyAlignment="1">
      <alignment horizontal="center" vertical="center"/>
    </xf>
    <xf numFmtId="257" fontId="36" fillId="9" borderId="1" xfId="0" applyNumberFormat="1" applyFont="1" applyFill="1" applyBorder="1" applyAlignment="1">
      <alignment horizontal="center" vertical="center"/>
    </xf>
    <xf numFmtId="257" fontId="36" fillId="9" borderId="2" xfId="0" applyNumberFormat="1" applyFont="1" applyFill="1" applyBorder="1" applyAlignment="1">
      <alignment horizontal="center" vertical="center"/>
    </xf>
    <xf numFmtId="257" fontId="36" fillId="9" borderId="3" xfId="0" applyNumberFormat="1" applyFont="1" applyFill="1" applyBorder="1" applyAlignment="1">
      <alignment horizontal="center" vertical="center"/>
    </xf>
    <xf numFmtId="257" fontId="36" fillId="11" borderId="99" xfId="0" applyNumberFormat="1" applyFont="1" applyFill="1" applyBorder="1" applyAlignment="1">
      <alignment horizontal="center" vertical="center"/>
    </xf>
    <xf numFmtId="257" fontId="36" fillId="9" borderId="99" xfId="0" applyNumberFormat="1" applyFont="1" applyFill="1" applyBorder="1" applyAlignment="1">
      <alignment horizontal="center" vertical="center"/>
    </xf>
    <xf numFmtId="9" fontId="33" fillId="9" borderId="99" xfId="1" applyFont="1" applyFill="1" applyBorder="1" applyAlignment="1">
      <alignment horizontal="center" vertical="center"/>
    </xf>
    <xf numFmtId="259" fontId="36" fillId="10" borderId="70" xfId="0" quotePrefix="1" applyNumberFormat="1" applyFont="1" applyFill="1" applyBorder="1" applyAlignment="1">
      <alignment horizontal="center" vertical="center"/>
    </xf>
    <xf numFmtId="259" fontId="36" fillId="10" borderId="76" xfId="0" quotePrefix="1" applyNumberFormat="1" applyFont="1" applyFill="1" applyBorder="1" applyAlignment="1">
      <alignment horizontal="center" vertical="center"/>
    </xf>
    <xf numFmtId="259" fontId="36" fillId="10" borderId="71" xfId="0" quotePrefix="1" applyNumberFormat="1" applyFont="1" applyFill="1" applyBorder="1" applyAlignment="1">
      <alignment horizontal="center" vertical="center"/>
    </xf>
    <xf numFmtId="9" fontId="33" fillId="11" borderId="99" xfId="1" applyFont="1" applyFill="1" applyBorder="1" applyAlignment="1">
      <alignment horizontal="center" vertical="center"/>
    </xf>
    <xf numFmtId="9" fontId="36" fillId="13" borderId="70" xfId="0" quotePrefix="1" applyNumberFormat="1" applyFont="1" applyFill="1" applyBorder="1" applyAlignment="1">
      <alignment horizontal="center" vertical="center"/>
    </xf>
    <xf numFmtId="9" fontId="36" fillId="13" borderId="76" xfId="0" quotePrefix="1" applyNumberFormat="1" applyFont="1" applyFill="1" applyBorder="1" applyAlignment="1">
      <alignment horizontal="center" vertical="center"/>
    </xf>
    <xf numFmtId="9" fontId="36" fillId="13" borderId="71" xfId="0" quotePrefix="1" applyNumberFormat="1" applyFont="1" applyFill="1" applyBorder="1" applyAlignment="1">
      <alignment horizontal="center" vertical="center"/>
    </xf>
    <xf numFmtId="257" fontId="36" fillId="0" borderId="1" xfId="0" applyNumberFormat="1" applyFont="1" applyBorder="1" applyAlignment="1">
      <alignment horizontal="center" vertical="center"/>
    </xf>
    <xf numFmtId="257" fontId="36" fillId="0" borderId="2" xfId="0" applyNumberFormat="1" applyFont="1" applyBorder="1" applyAlignment="1">
      <alignment horizontal="center" vertical="center"/>
    </xf>
    <xf numFmtId="257" fontId="36" fillId="0" borderId="3" xfId="0" applyNumberFormat="1" applyFont="1" applyBorder="1" applyAlignment="1">
      <alignment horizontal="center" vertical="center"/>
    </xf>
    <xf numFmtId="257" fontId="33" fillId="9" borderId="1" xfId="0" applyNumberFormat="1" applyFont="1" applyFill="1" applyBorder="1" applyAlignment="1">
      <alignment horizontal="center" vertical="center"/>
    </xf>
    <xf numFmtId="257" fontId="33" fillId="9" borderId="2" xfId="0" applyNumberFormat="1" applyFont="1" applyFill="1" applyBorder="1" applyAlignment="1">
      <alignment horizontal="center" vertical="center"/>
    </xf>
    <xf numFmtId="257" fontId="33" fillId="9" borderId="3" xfId="0" applyNumberFormat="1" applyFont="1" applyFill="1" applyBorder="1" applyAlignment="1">
      <alignment horizontal="center" vertical="center"/>
    </xf>
    <xf numFmtId="257" fontId="33" fillId="9" borderId="72" xfId="0" applyNumberFormat="1" applyFont="1" applyFill="1" applyBorder="1" applyAlignment="1">
      <alignment horizontal="center" vertical="center"/>
    </xf>
    <xf numFmtId="257" fontId="33" fillId="9" borderId="68" xfId="0" applyNumberFormat="1" applyFont="1" applyFill="1" applyBorder="1" applyAlignment="1">
      <alignment horizontal="center" vertical="center"/>
    </xf>
    <xf numFmtId="257" fontId="33" fillId="9" borderId="73" xfId="0" applyNumberFormat="1" applyFont="1" applyFill="1" applyBorder="1" applyAlignment="1">
      <alignment horizontal="center" vertical="center"/>
    </xf>
    <xf numFmtId="257" fontId="36" fillId="9" borderId="72" xfId="0" applyNumberFormat="1" applyFont="1" applyFill="1" applyBorder="1" applyAlignment="1">
      <alignment horizontal="center" vertical="center"/>
    </xf>
    <xf numFmtId="257" fontId="36" fillId="9" borderId="68" xfId="0" applyNumberFormat="1" applyFont="1" applyFill="1" applyBorder="1" applyAlignment="1">
      <alignment horizontal="center" vertical="center"/>
    </xf>
    <xf numFmtId="257" fontId="36" fillId="9" borderId="73" xfId="0" applyNumberFormat="1" applyFont="1" applyFill="1" applyBorder="1" applyAlignment="1">
      <alignment horizontal="center" vertical="center"/>
    </xf>
    <xf numFmtId="257" fontId="36" fillId="11" borderId="1" xfId="0" applyNumberFormat="1" applyFont="1" applyFill="1" applyBorder="1" applyAlignment="1">
      <alignment horizontal="center" vertical="center"/>
    </xf>
    <xf numFmtId="257" fontId="36" fillId="11" borderId="2" xfId="0" applyNumberFormat="1" applyFont="1" applyFill="1" applyBorder="1" applyAlignment="1">
      <alignment horizontal="center" vertical="center"/>
    </xf>
    <xf numFmtId="257" fontId="36" fillId="11" borderId="3" xfId="0" applyNumberFormat="1" applyFont="1" applyFill="1" applyBorder="1" applyAlignment="1">
      <alignment horizontal="center" vertical="center"/>
    </xf>
    <xf numFmtId="257" fontId="36" fillId="77" borderId="1" xfId="0" applyNumberFormat="1" applyFont="1" applyFill="1" applyBorder="1" applyAlignment="1">
      <alignment horizontal="center" vertical="center"/>
    </xf>
    <xf numFmtId="257" fontId="36" fillId="77" borderId="2" xfId="0" applyNumberFormat="1" applyFont="1" applyFill="1" applyBorder="1" applyAlignment="1">
      <alignment horizontal="center" vertical="center"/>
    </xf>
    <xf numFmtId="257" fontId="36" fillId="77" borderId="3" xfId="0" applyNumberFormat="1" applyFont="1" applyFill="1" applyBorder="1" applyAlignment="1">
      <alignment horizontal="center" vertical="center"/>
    </xf>
    <xf numFmtId="173" fontId="27" fillId="11" borderId="125" xfId="0" applyNumberFormat="1" applyFont="1" applyFill="1" applyBorder="1" applyAlignment="1">
      <alignment horizontal="center" vertical="center"/>
    </xf>
    <xf numFmtId="173" fontId="27" fillId="11" borderId="126" xfId="0" applyNumberFormat="1" applyFont="1" applyFill="1" applyBorder="1" applyAlignment="1">
      <alignment horizontal="center" vertical="center"/>
    </xf>
    <xf numFmtId="173" fontId="27" fillId="11" borderId="127" xfId="0" applyNumberFormat="1" applyFont="1" applyFill="1" applyBorder="1" applyAlignment="1">
      <alignment horizontal="center" vertical="center"/>
    </xf>
    <xf numFmtId="173" fontId="27" fillId="9" borderId="125" xfId="0" applyNumberFormat="1" applyFont="1" applyFill="1" applyBorder="1" applyAlignment="1">
      <alignment horizontal="center" vertical="center"/>
    </xf>
    <xf numFmtId="173" fontId="27" fillId="9" borderId="126" xfId="0" applyNumberFormat="1" applyFont="1" applyFill="1" applyBorder="1" applyAlignment="1">
      <alignment horizontal="center" vertical="center"/>
    </xf>
    <xf numFmtId="173" fontId="27" fillId="9" borderId="127" xfId="0" applyNumberFormat="1" applyFont="1" applyFill="1" applyBorder="1" applyAlignment="1">
      <alignment horizontal="center" vertical="center"/>
    </xf>
    <xf numFmtId="173" fontId="27" fillId="7" borderId="125" xfId="0" applyNumberFormat="1" applyFont="1" applyFill="1" applyBorder="1" applyAlignment="1">
      <alignment horizontal="center" vertical="center"/>
    </xf>
    <xf numFmtId="173" fontId="27" fillId="7" borderId="126" xfId="0" applyNumberFormat="1" applyFont="1" applyFill="1" applyBorder="1" applyAlignment="1">
      <alignment horizontal="center" vertical="center"/>
    </xf>
    <xf numFmtId="173" fontId="27" fillId="7" borderId="127" xfId="0" applyNumberFormat="1" applyFont="1" applyFill="1" applyBorder="1" applyAlignment="1">
      <alignment horizontal="center" vertical="center"/>
    </xf>
    <xf numFmtId="9" fontId="0" fillId="10" borderId="27" xfId="1" applyFont="1" applyFill="1" applyBorder="1" applyAlignment="1">
      <alignment horizontal="center" vertical="center"/>
    </xf>
    <xf numFmtId="9" fontId="0" fillId="10" borderId="14" xfId="1" applyFont="1" applyFill="1" applyBorder="1" applyAlignment="1">
      <alignment horizontal="center" vertical="center"/>
    </xf>
    <xf numFmtId="9" fontId="0" fillId="10" borderId="13" xfId="1" applyFont="1" applyFill="1" applyBorder="1" applyAlignment="1">
      <alignment horizontal="center" vertical="center"/>
    </xf>
    <xf numFmtId="9" fontId="0" fillId="10" borderId="15" xfId="1" applyFont="1" applyFill="1" applyBorder="1" applyAlignment="1">
      <alignment horizontal="center" vertical="center"/>
    </xf>
    <xf numFmtId="173" fontId="27" fillId="9" borderId="1" xfId="0" applyNumberFormat="1" applyFont="1" applyFill="1" applyBorder="1" applyAlignment="1">
      <alignment horizontal="center" vertical="center"/>
    </xf>
    <xf numFmtId="173" fontId="27" fillId="9" borderId="7" xfId="0" applyNumberFormat="1" applyFont="1" applyFill="1" applyBorder="1" applyAlignment="1">
      <alignment horizontal="center" vertical="center"/>
    </xf>
    <xf numFmtId="173" fontId="27" fillId="11" borderId="8" xfId="0" quotePrefix="1" applyNumberFormat="1" applyFont="1" applyFill="1" applyBorder="1" applyAlignment="1">
      <alignment horizontal="center" vertical="center"/>
    </xf>
    <xf numFmtId="173" fontId="27" fillId="9" borderId="8" xfId="0" quotePrefix="1" applyNumberFormat="1" applyFont="1" applyFill="1" applyBorder="1" applyAlignment="1">
      <alignment horizontal="center" vertical="center"/>
    </xf>
    <xf numFmtId="173" fontId="27" fillId="11" borderId="9" xfId="0" quotePrefix="1" applyNumberFormat="1" applyFont="1" applyFill="1" applyBorder="1" applyAlignment="1">
      <alignment horizontal="center" vertical="center"/>
    </xf>
    <xf numFmtId="173" fontId="0" fillId="10" borderId="11" xfId="0" applyNumberFormat="1" applyFill="1" applyBorder="1" applyAlignment="1">
      <alignment horizontal="center" vertical="center"/>
    </xf>
    <xf numFmtId="173" fontId="0" fillId="10" borderId="12" xfId="0" applyNumberFormat="1" applyFill="1" applyBorder="1" applyAlignment="1">
      <alignment horizontal="center" vertical="center"/>
    </xf>
    <xf numFmtId="173" fontId="0" fillId="10" borderId="17" xfId="0" applyNumberFormat="1" applyFill="1" applyBorder="1" applyAlignment="1">
      <alignment horizontal="center" vertical="center"/>
    </xf>
    <xf numFmtId="173" fontId="0" fillId="10" borderId="18" xfId="0" applyNumberFormat="1" applyFill="1" applyBorder="1" applyAlignment="1">
      <alignment horizontal="center" vertical="center"/>
    </xf>
    <xf numFmtId="173" fontId="0" fillId="10" borderId="22" xfId="0" applyNumberFormat="1" applyFill="1" applyBorder="1" applyAlignment="1">
      <alignment horizontal="center" vertical="center"/>
    </xf>
    <xf numFmtId="173" fontId="0" fillId="10" borderId="23" xfId="0" applyNumberFormat="1" applyFill="1" applyBorder="1" applyAlignment="1">
      <alignment horizontal="center" vertical="center"/>
    </xf>
    <xf numFmtId="173" fontId="29" fillId="10" borderId="1" xfId="0" applyNumberFormat="1" applyFont="1" applyFill="1" applyBorder="1" applyAlignment="1">
      <alignment horizontal="center" vertical="center"/>
    </xf>
    <xf numFmtId="173" fontId="29" fillId="10" borderId="2" xfId="0" applyNumberFormat="1" applyFont="1" applyFill="1" applyBorder="1" applyAlignment="1">
      <alignment horizontal="center" vertical="center"/>
    </xf>
    <xf numFmtId="173" fontId="29" fillId="10" borderId="26" xfId="0" applyNumberFormat="1" applyFont="1" applyFill="1" applyBorder="1" applyAlignment="1">
      <alignment horizontal="center" vertical="center"/>
    </xf>
    <xf numFmtId="173" fontId="29" fillId="10" borderId="7" xfId="0" applyNumberFormat="1" applyFont="1" applyFill="1" applyBorder="1" applyAlignment="1">
      <alignment horizontal="center" vertical="center"/>
    </xf>
    <xf numFmtId="173" fontId="29" fillId="10" borderId="3" xfId="0" applyNumberFormat="1" applyFont="1" applyFill="1" applyBorder="1" applyAlignment="1">
      <alignment horizontal="center" vertical="center"/>
    </xf>
    <xf numFmtId="9" fontId="0" fillId="10" borderId="17" xfId="1" applyFont="1" applyFill="1" applyBorder="1" applyAlignment="1">
      <alignment horizontal="center" vertical="center"/>
    </xf>
    <xf numFmtId="9" fontId="0" fillId="10" borderId="18" xfId="1" applyFont="1" applyFill="1" applyBorder="1" applyAlignment="1">
      <alignment horizontal="center" vertical="center"/>
    </xf>
    <xf numFmtId="9" fontId="0" fillId="10" borderId="19" xfId="1" applyFont="1" applyFill="1" applyBorder="1" applyAlignment="1">
      <alignment horizontal="center" vertical="center"/>
    </xf>
    <xf numFmtId="9" fontId="0" fillId="10" borderId="20" xfId="1" applyFont="1" applyFill="1" applyBorder="1" applyAlignment="1">
      <alignment horizontal="center" vertical="center"/>
    </xf>
    <xf numFmtId="9" fontId="0" fillId="9" borderId="29" xfId="1" applyFont="1" applyFill="1" applyBorder="1" applyAlignment="1">
      <alignment horizontal="center" vertical="center"/>
    </xf>
    <xf numFmtId="9" fontId="0" fillId="9" borderId="30" xfId="1" applyFont="1" applyFill="1" applyBorder="1" applyAlignment="1">
      <alignment horizontal="center" vertical="center"/>
    </xf>
    <xf numFmtId="9" fontId="0" fillId="11" borderId="31" xfId="1" applyFont="1" applyFill="1" applyBorder="1" applyAlignment="1">
      <alignment horizontal="center" vertical="center"/>
    </xf>
    <xf numFmtId="9" fontId="0" fillId="11" borderId="30" xfId="1" applyFont="1" applyFill="1" applyBorder="1" applyAlignment="1">
      <alignment horizontal="center" vertical="center"/>
    </xf>
    <xf numFmtId="9" fontId="0" fillId="9" borderId="31" xfId="1" applyFont="1" applyFill="1" applyBorder="1" applyAlignment="1">
      <alignment horizontal="center" vertical="center"/>
    </xf>
    <xf numFmtId="9" fontId="0" fillId="11" borderId="32" xfId="1" applyFont="1" applyFill="1" applyBorder="1" applyAlignment="1">
      <alignment horizontal="center" vertical="center"/>
    </xf>
    <xf numFmtId="9" fontId="0" fillId="10" borderId="11" xfId="1" applyFont="1" applyFill="1" applyBorder="1" applyAlignment="1">
      <alignment horizontal="center" vertical="center"/>
    </xf>
    <xf numFmtId="9" fontId="0" fillId="10" borderId="12" xfId="1" applyFont="1" applyFill="1" applyBorder="1" applyAlignment="1">
      <alignment horizontal="center" vertical="center"/>
    </xf>
    <xf numFmtId="9" fontId="0" fillId="10" borderId="34" xfId="1" applyFont="1" applyFill="1" applyBorder="1" applyAlignment="1">
      <alignment horizontal="center" vertical="center"/>
    </xf>
    <xf numFmtId="9" fontId="0" fillId="10" borderId="35" xfId="1" applyFont="1" applyFill="1" applyBorder="1" applyAlignment="1">
      <alignment horizontal="center" vertical="center"/>
    </xf>
    <xf numFmtId="173" fontId="27" fillId="11" borderId="26" xfId="0" quotePrefix="1" applyNumberFormat="1" applyFont="1" applyFill="1" applyBorder="1" applyAlignment="1">
      <alignment horizontal="center" vertical="center"/>
    </xf>
    <xf numFmtId="173" fontId="27" fillId="11" borderId="7" xfId="0" quotePrefix="1" applyNumberFormat="1" applyFont="1" applyFill="1" applyBorder="1" applyAlignment="1">
      <alignment horizontal="center" vertical="center"/>
    </xf>
    <xf numFmtId="173" fontId="27" fillId="9" borderId="26" xfId="0" quotePrefix="1" applyNumberFormat="1" applyFont="1" applyFill="1" applyBorder="1" applyAlignment="1">
      <alignment horizontal="center" vertical="center"/>
    </xf>
    <xf numFmtId="173" fontId="27" fillId="9" borderId="7" xfId="0" quotePrefix="1" applyNumberFormat="1" applyFont="1" applyFill="1" applyBorder="1" applyAlignment="1">
      <alignment horizontal="center" vertical="center"/>
    </xf>
    <xf numFmtId="173" fontId="27" fillId="11" borderId="3" xfId="0" quotePrefix="1" applyNumberFormat="1" applyFont="1" applyFill="1" applyBorder="1" applyAlignment="1">
      <alignment horizontal="center" vertical="center"/>
    </xf>
    <xf numFmtId="173" fontId="0" fillId="10" borderId="29" xfId="0" applyNumberFormat="1" applyFill="1" applyBorder="1" applyAlignment="1">
      <alignment horizontal="center" vertical="center"/>
    </xf>
    <xf numFmtId="173" fontId="0" fillId="10" borderId="30" xfId="0" applyNumberFormat="1" applyFill="1" applyBorder="1" applyAlignment="1">
      <alignment horizontal="center" vertical="center"/>
    </xf>
    <xf numFmtId="0" fontId="267" fillId="6" borderId="0" xfId="0" applyFont="1" applyFill="1" applyAlignment="1">
      <alignment horizontal="left" vertical="center" wrapText="1"/>
    </xf>
    <xf numFmtId="0" fontId="246" fillId="6" borderId="0" xfId="0" applyFont="1" applyFill="1" applyAlignment="1">
      <alignment horizontal="left" vertical="center" wrapText="1"/>
    </xf>
    <xf numFmtId="258" fontId="0" fillId="0" borderId="0" xfId="1" applyNumberFormat="1" applyFont="1" applyAlignment="1"/>
    <xf numFmtId="174" fontId="0" fillId="0" borderId="0" xfId="1" applyNumberFormat="1" applyFont="1" applyAlignment="1">
      <alignment horizontal="right"/>
    </xf>
    <xf numFmtId="265" fontId="0" fillId="0" borderId="0" xfId="0" applyNumberFormat="1" applyAlignment="1">
      <alignment horizontal="center"/>
    </xf>
    <xf numFmtId="265" fontId="0" fillId="0" borderId="0" xfId="0" quotePrefix="1" applyNumberFormat="1" applyAlignment="1">
      <alignment horizontal="center"/>
    </xf>
    <xf numFmtId="258" fontId="33" fillId="9" borderId="124" xfId="1" applyNumberFormat="1" applyFont="1" applyFill="1" applyBorder="1" applyAlignment="1">
      <alignment horizontal="right" vertical="center"/>
    </xf>
    <xf numFmtId="258" fontId="33" fillId="11" borderId="124" xfId="1" applyNumberFormat="1" applyFont="1" applyFill="1" applyBorder="1" applyAlignment="1">
      <alignment horizontal="right" vertical="center"/>
    </xf>
    <xf numFmtId="258" fontId="42" fillId="11" borderId="124" xfId="1" applyNumberFormat="1" applyFont="1" applyFill="1" applyBorder="1" applyAlignment="1">
      <alignment horizontal="right" vertical="center"/>
    </xf>
    <xf numFmtId="257" fontId="42" fillId="11" borderId="124" xfId="0" applyNumberFormat="1" applyFont="1" applyFill="1" applyBorder="1">
      <alignment vertical="center"/>
    </xf>
    <xf numFmtId="256" fontId="0" fillId="59" borderId="0" xfId="62002" applyNumberFormat="1" applyFont="1" applyFill="1" applyBorder="1"/>
    <xf numFmtId="208" fontId="0" fillId="9" borderId="138" xfId="13963" applyNumberFormat="1" applyFont="1" applyFill="1" applyBorder="1" applyAlignment="1">
      <alignment horizontal="center"/>
    </xf>
    <xf numFmtId="208" fontId="17" fillId="9" borderId="138" xfId="13963" applyNumberFormat="1" applyFont="1" applyFill="1" applyBorder="1"/>
    <xf numFmtId="208" fontId="17" fillId="9" borderId="0" xfId="13963" applyNumberFormat="1" applyFont="1" applyFill="1" applyBorder="1" applyAlignment="1">
      <alignment horizontal="center"/>
    </xf>
    <xf numFmtId="256" fontId="270" fillId="9" borderId="0" xfId="62002" applyNumberFormat="1" applyFont="1" applyFill="1" applyBorder="1"/>
    <xf numFmtId="256" fontId="270" fillId="9" borderId="0" xfId="62001" applyNumberFormat="1" applyFont="1" applyFill="1" applyBorder="1"/>
    <xf numFmtId="256" fontId="324" fillId="9" borderId="0" xfId="62002" applyNumberFormat="1" applyFont="1" applyFill="1" applyBorder="1"/>
    <xf numFmtId="256" fontId="0" fillId="9" borderId="43" xfId="62002" applyNumberFormat="1" applyFont="1" applyFill="1" applyBorder="1"/>
    <xf numFmtId="256" fontId="251" fillId="9" borderId="0" xfId="62002" applyNumberFormat="1" applyFont="1" applyFill="1"/>
    <xf numFmtId="256" fontId="0" fillId="88" borderId="0" xfId="61995" applyNumberFormat="1" applyFont="1" applyFill="1"/>
    <xf numFmtId="256" fontId="0" fillId="9" borderId="0" xfId="61995" applyNumberFormat="1" applyFont="1" applyFill="1"/>
    <xf numFmtId="256" fontId="251" fillId="9" borderId="0" xfId="61995" applyNumberFormat="1" applyFont="1" applyFill="1"/>
    <xf numFmtId="208" fontId="61" fillId="63" borderId="119" xfId="347" applyNumberFormat="1" applyFont="1" applyFill="1" applyBorder="1">
      <alignment vertical="center"/>
    </xf>
    <xf numFmtId="0" fontId="60" fillId="63" borderId="0" xfId="0" applyFont="1" applyFill="1" applyAlignment="1">
      <alignment horizontal="left" vertical="center"/>
    </xf>
    <xf numFmtId="208" fontId="60" fillId="63" borderId="119" xfId="347" applyNumberFormat="1" applyFont="1" applyFill="1" applyBorder="1" applyAlignment="1">
      <alignment horizontal="left" vertical="center"/>
    </xf>
    <xf numFmtId="0" fontId="60" fillId="63" borderId="118" xfId="0" applyFont="1" applyFill="1" applyBorder="1" applyAlignment="1">
      <alignment horizontal="left" vertical="center"/>
    </xf>
    <xf numFmtId="0" fontId="60" fillId="63" borderId="43" xfId="0" applyFont="1" applyFill="1" applyBorder="1" applyAlignment="1">
      <alignment horizontal="left" vertical="center"/>
    </xf>
    <xf numFmtId="0" fontId="60" fillId="63" borderId="0" xfId="0" applyFont="1" applyFill="1">
      <alignment vertical="center"/>
    </xf>
    <xf numFmtId="166" fontId="61" fillId="63" borderId="118" xfId="347" applyFont="1" applyFill="1" applyBorder="1">
      <alignment vertical="center"/>
    </xf>
    <xf numFmtId="166" fontId="61" fillId="63" borderId="43" xfId="347" applyFont="1" applyFill="1" applyBorder="1">
      <alignment vertical="center"/>
    </xf>
    <xf numFmtId="0" fontId="60" fillId="63" borderId="0" xfId="0" applyFont="1" applyFill="1" applyBorder="1">
      <alignment vertical="center"/>
    </xf>
    <xf numFmtId="0" fontId="60" fillId="63" borderId="119" xfId="0" applyFont="1" applyFill="1" applyBorder="1" applyAlignment="1">
      <alignment horizontal="left" vertical="center"/>
    </xf>
    <xf numFmtId="208" fontId="60" fillId="63" borderId="113" xfId="347" applyNumberFormat="1" applyFont="1" applyFill="1" applyBorder="1" applyAlignment="1">
      <alignment horizontal="left" vertical="center"/>
    </xf>
    <xf numFmtId="208" fontId="36" fillId="63" borderId="119" xfId="347" applyNumberFormat="1" applyFont="1" applyFill="1" applyBorder="1">
      <alignment vertical="center"/>
    </xf>
    <xf numFmtId="9" fontId="53" fillId="63" borderId="0" xfId="6374" applyFont="1" applyFill="1" applyAlignment="1">
      <alignment horizontal="center"/>
    </xf>
    <xf numFmtId="208" fontId="36" fillId="63" borderId="118" xfId="347" applyNumberFormat="1" applyFont="1" applyFill="1" applyBorder="1">
      <alignment vertical="center"/>
    </xf>
    <xf numFmtId="253" fontId="60" fillId="63" borderId="118" xfId="3131" applyNumberFormat="1" applyFont="1" applyFill="1" applyBorder="1">
      <alignment vertical="center"/>
    </xf>
    <xf numFmtId="175" fontId="60" fillId="63" borderId="43" xfId="3227" applyNumberFormat="1" applyFont="1" applyFill="1" applyBorder="1" applyAlignment="1">
      <alignment horizontal="center" vertical="center"/>
    </xf>
    <xf numFmtId="0" fontId="53" fillId="63" borderId="0" xfId="3087" applyFont="1" applyFill="1"/>
    <xf numFmtId="0" fontId="36" fillId="63" borderId="0" xfId="0" applyFont="1" applyFill="1">
      <alignment vertical="center"/>
    </xf>
    <xf numFmtId="208" fontId="36" fillId="63" borderId="0" xfId="347" applyNumberFormat="1" applyFont="1" applyFill="1">
      <alignment vertical="center"/>
    </xf>
    <xf numFmtId="0" fontId="62" fillId="63" borderId="0" xfId="0" applyFont="1" applyFill="1" applyBorder="1" applyAlignment="1">
      <alignment horizontal="left" vertical="center"/>
    </xf>
    <xf numFmtId="0" fontId="60" fillId="63" borderId="0" xfId="0" applyFont="1" applyFill="1" applyBorder="1" applyAlignment="1">
      <alignment horizontal="left" vertical="center"/>
    </xf>
    <xf numFmtId="166" fontId="61" fillId="63" borderId="0" xfId="347" applyFont="1" applyFill="1" applyBorder="1">
      <alignment vertical="center"/>
    </xf>
    <xf numFmtId="173" fontId="47" fillId="0" borderId="0" xfId="0" applyNumberFormat="1" applyFont="1" applyAlignment="1">
      <alignment horizontal="center" vertical="center"/>
    </xf>
    <xf numFmtId="173" fontId="33" fillId="65" borderId="0" xfId="0" applyNumberFormat="1" applyFont="1" applyFill="1">
      <alignment vertical="center"/>
    </xf>
    <xf numFmtId="273" fontId="17" fillId="0" borderId="0" xfId="1" applyNumberFormat="1" applyFont="1" applyFill="1" applyAlignment="1"/>
    <xf numFmtId="274" fontId="17" fillId="73" borderId="0" xfId="62006" applyNumberFormat="1" applyFont="1" applyFill="1"/>
    <xf numFmtId="9" fontId="17" fillId="73" borderId="0" xfId="1" applyFont="1" applyFill="1" applyAlignment="1"/>
    <xf numFmtId="273" fontId="1" fillId="73" borderId="138" xfId="62006" applyNumberFormat="1" applyFont="1" applyFill="1" applyBorder="1"/>
    <xf numFmtId="273" fontId="17" fillId="89" borderId="0" xfId="62006" applyNumberFormat="1" applyFont="1" applyFill="1"/>
    <xf numFmtId="0" fontId="17" fillId="63" borderId="0" xfId="62001" applyFill="1"/>
    <xf numFmtId="0" fontId="314" fillId="63" borderId="0" xfId="62001" applyFont="1" applyFill="1" applyAlignment="1">
      <alignment horizontal="center"/>
    </xf>
    <xf numFmtId="0" fontId="307" fillId="63" borderId="0" xfId="62001" applyFont="1" applyFill="1"/>
    <xf numFmtId="0" fontId="17" fillId="8" borderId="147" xfId="62001" applyFill="1" applyBorder="1"/>
    <xf numFmtId="0" fontId="17" fillId="0" borderId="147" xfId="62001" applyFill="1" applyBorder="1"/>
    <xf numFmtId="273" fontId="17" fillId="0" borderId="147" xfId="62001" applyNumberFormat="1" applyFill="1" applyBorder="1"/>
    <xf numFmtId="273" fontId="17" fillId="0" borderId="147" xfId="62006" applyNumberFormat="1" applyFont="1" applyFill="1" applyBorder="1"/>
    <xf numFmtId="273" fontId="17" fillId="89" borderId="147" xfId="62006" applyNumberFormat="1" applyFont="1" applyFill="1" applyBorder="1"/>
    <xf numFmtId="256" fontId="17" fillId="0" borderId="147" xfId="62001" applyNumberFormat="1" applyFill="1" applyBorder="1"/>
    <xf numFmtId="274" fontId="17" fillId="0" borderId="147" xfId="62006" applyNumberFormat="1" applyFont="1" applyFill="1" applyBorder="1"/>
    <xf numFmtId="0" fontId="17" fillId="7" borderId="147" xfId="62001" applyFill="1" applyBorder="1"/>
    <xf numFmtId="174" fontId="17" fillId="0" borderId="147" xfId="1" applyNumberFormat="1" applyFont="1" applyFill="1" applyBorder="1" applyAlignment="1"/>
    <xf numFmtId="273" fontId="17" fillId="65" borderId="0" xfId="62006" applyNumberFormat="1" applyFont="1" applyFill="1"/>
    <xf numFmtId="178" fontId="44" fillId="0" borderId="0" xfId="0" applyNumberFormat="1" applyFont="1" applyFill="1">
      <alignment vertical="center"/>
    </xf>
    <xf numFmtId="173" fontId="36" fillId="0" borderId="1" xfId="0" applyNumberFormat="1" applyFont="1" applyFill="1" applyBorder="1" applyAlignment="1">
      <alignment horizontal="center" vertical="center"/>
    </xf>
    <xf numFmtId="173" fontId="36" fillId="0" borderId="3" xfId="0" applyNumberFormat="1" applyFont="1" applyFill="1" applyBorder="1" applyAlignment="1">
      <alignment horizontal="center" vertical="center"/>
    </xf>
    <xf numFmtId="174" fontId="17" fillId="63" borderId="0" xfId="1" applyNumberFormat="1" applyFont="1" applyFill="1" applyAlignment="1"/>
    <xf numFmtId="174" fontId="17" fillId="63" borderId="138" xfId="1" applyNumberFormat="1" applyFont="1" applyFill="1" applyBorder="1" applyAlignment="1"/>
    <xf numFmtId="0" fontId="308" fillId="63" borderId="0" xfId="62001" applyFont="1" applyFill="1"/>
    <xf numFmtId="0" fontId="17" fillId="63" borderId="0" xfId="62001" applyFill="1" applyAlignment="1">
      <alignment horizontal="center"/>
    </xf>
    <xf numFmtId="0" fontId="307" fillId="63" borderId="0" xfId="62001" applyFont="1" applyFill="1" applyAlignment="1">
      <alignment horizontal="center"/>
    </xf>
    <xf numFmtId="0" fontId="17" fillId="8" borderId="0" xfId="62001" applyFill="1" applyBorder="1"/>
    <xf numFmtId="0" fontId="17" fillId="0" borderId="0" xfId="62001" applyFill="1" applyBorder="1"/>
    <xf numFmtId="273" fontId="17" fillId="0" borderId="0" xfId="62006" applyNumberFormat="1" applyFont="1" applyFill="1" applyBorder="1"/>
    <xf numFmtId="281" fontId="17" fillId="0" borderId="0" xfId="62001" applyNumberFormat="1"/>
    <xf numFmtId="273" fontId="17" fillId="10" borderId="141" xfId="62006" applyNumberFormat="1" applyFont="1" applyFill="1" applyBorder="1"/>
    <xf numFmtId="273" fontId="17" fillId="0" borderId="43" xfId="62006" applyNumberFormat="1" applyFont="1" applyFill="1" applyBorder="1"/>
    <xf numFmtId="178" fontId="38" fillId="73" borderId="0" xfId="0" applyNumberFormat="1" applyFont="1" applyFill="1">
      <alignment vertical="center"/>
    </xf>
    <xf numFmtId="178" fontId="325" fillId="0" borderId="0" xfId="0" applyNumberFormat="1" applyFont="1">
      <alignment vertical="center"/>
    </xf>
    <xf numFmtId="178" fontId="44" fillId="0" borderId="0" xfId="0" applyNumberFormat="1" applyFont="1" applyFill="1" applyBorder="1">
      <alignment vertical="center"/>
    </xf>
    <xf numFmtId="178" fontId="325" fillId="0" borderId="0" xfId="0" applyNumberFormat="1" applyFont="1" applyFill="1" applyBorder="1">
      <alignment vertical="center"/>
    </xf>
    <xf numFmtId="178" fontId="325" fillId="0" borderId="147" xfId="0" applyNumberFormat="1" applyFont="1" applyBorder="1">
      <alignment vertical="center"/>
    </xf>
    <xf numFmtId="178" fontId="325" fillId="0" borderId="147" xfId="0" applyNumberFormat="1" applyFont="1" applyFill="1" applyBorder="1">
      <alignment vertical="center"/>
    </xf>
    <xf numFmtId="0" fontId="22" fillId="0" borderId="0" xfId="61994" applyFill="1"/>
    <xf numFmtId="208" fontId="22" fillId="0" borderId="0" xfId="13963" applyNumberFormat="1" applyFont="1" applyFill="1"/>
    <xf numFmtId="0" fontId="326" fillId="76" borderId="0" xfId="62001" applyFont="1" applyFill="1" applyAlignment="1">
      <alignment horizontal="center"/>
    </xf>
    <xf numFmtId="0" fontId="17" fillId="76" borderId="0" xfId="62001" applyFill="1"/>
    <xf numFmtId="0" fontId="17" fillId="76" borderId="0" xfId="62001" applyFill="1" applyAlignment="1">
      <alignment horizontal="left" indent="1"/>
    </xf>
    <xf numFmtId="0" fontId="17" fillId="76" borderId="137" xfId="62001" applyFill="1" applyBorder="1" applyAlignment="1">
      <alignment horizontal="left" indent="1"/>
    </xf>
    <xf numFmtId="0" fontId="306" fillId="76" borderId="77" xfId="62001" applyFont="1" applyFill="1" applyBorder="1"/>
    <xf numFmtId="0" fontId="109" fillId="76" borderId="0" xfId="62001" applyFont="1" applyFill="1"/>
    <xf numFmtId="0" fontId="269" fillId="76" borderId="0" xfId="62001" applyFont="1" applyFill="1"/>
    <xf numFmtId="256" fontId="0" fillId="73" borderId="0" xfId="62002" applyNumberFormat="1" applyFont="1" applyFill="1" applyAlignment="1">
      <alignment horizontal="center"/>
    </xf>
    <xf numFmtId="256" fontId="0" fillId="73" borderId="43" xfId="62002" applyNumberFormat="1" applyFont="1" applyFill="1" applyBorder="1" applyAlignment="1">
      <alignment horizontal="center"/>
    </xf>
    <xf numFmtId="173" fontId="33" fillId="73" borderId="0" xfId="0" applyNumberFormat="1" applyFont="1" applyFill="1">
      <alignment vertical="center"/>
    </xf>
    <xf numFmtId="274" fontId="17" fillId="10" borderId="43" xfId="62006" applyNumberFormat="1" applyFont="1" applyFill="1" applyBorder="1"/>
    <xf numFmtId="208" fontId="0" fillId="75" borderId="0" xfId="13963" applyNumberFormat="1" applyFont="1" applyFill="1" applyBorder="1" applyAlignment="1">
      <alignment vertical="center"/>
    </xf>
    <xf numFmtId="208" fontId="0" fillId="74" borderId="0" xfId="13963" applyNumberFormat="1" applyFont="1" applyFill="1" applyBorder="1" applyAlignment="1">
      <alignment vertical="center"/>
    </xf>
    <xf numFmtId="0" fontId="0" fillId="74" borderId="0" xfId="0" applyFill="1">
      <alignment vertical="center"/>
    </xf>
    <xf numFmtId="0" fontId="0" fillId="74" borderId="0" xfId="0" applyFill="1" applyAlignment="1">
      <alignment horizontal="center" vertical="center"/>
    </xf>
    <xf numFmtId="0" fontId="0" fillId="75" borderId="0" xfId="0" applyFill="1">
      <alignment vertical="center"/>
    </xf>
    <xf numFmtId="0" fontId="0" fillId="75" borderId="0" xfId="0" applyFill="1" applyAlignment="1">
      <alignment horizontal="center" vertical="center"/>
    </xf>
    <xf numFmtId="0" fontId="0" fillId="62" borderId="0" xfId="0" applyFill="1" applyAlignment="1">
      <alignment horizontal="center" vertical="center"/>
    </xf>
  </cellXfs>
  <cellStyles count="62008">
    <cellStyle name="%" xfId="3"/>
    <cellStyle name="??" xfId="4"/>
    <cellStyle name="?? [0]_??" xfId="5"/>
    <cellStyle name="????????" xfId="6"/>
    <cellStyle name="????_??12" xfId="7"/>
    <cellStyle name="???[0]" xfId="8"/>
    <cellStyle name="???_0-1-6-M-N" xfId="9"/>
    <cellStyle name="???¨¢ [0]_95" xfId="10"/>
    <cellStyle name="???¨¢_95" xfId="11"/>
    <cellStyle name="???¨²??_95" xfId="12"/>
    <cellStyle name="??[0]_pldt" xfId="13"/>
    <cellStyle name="??_?.????" xfId="14"/>
    <cellStyle name="??¡ã?_?¨®¡À¨ª??¡À¨ª" xfId="15"/>
    <cellStyle name="?@¡Âe_Cashflow" xfId="16"/>
    <cellStyle name="?@¯e_Cashflow" xfId="17"/>
    <cellStyle name="?¡ì¡¤???[0]_Book3 ?D¡À¨ª 1" xfId="18"/>
    <cellStyle name="?¡ì¡¤???_Book3 ?D¡À¨ª 1" xfId="19"/>
    <cellStyle name="?¨®??????????" xfId="20"/>
    <cellStyle name="_0603固定资产(F+E)" xfId="21"/>
    <cellStyle name="_0603固定资产(F+E)_LV - working" xfId="22"/>
    <cellStyle name="_0603固定资产(F+E)_LV - working_X019_Cl" xfId="23"/>
    <cellStyle name="_0603固定资产(F+E)_X019_07_Cl" xfId="24"/>
    <cellStyle name="_C767_F (interim)" xfId="25"/>
    <cellStyle name="_C784_Cl_08_updated 29.5" xfId="26"/>
    <cellStyle name="_E331_9.2006" xfId="27"/>
    <cellStyle name="_E331_Dec06 5, R, Y, Z" xfId="28"/>
    <cellStyle name="_EC-Fixed asset transfer and disposal for the year" xfId="29"/>
    <cellStyle name="_EC-Fixed asset transfer and disposal for the year_LV - working" xfId="30"/>
    <cellStyle name="_EC-Fixed asset transfer and disposal for the year_LV - working_X019_Cl" xfId="31"/>
    <cellStyle name="_EC-Fixed asset transfer and disposal for the year_X019_07_Cl" xfId="32"/>
    <cellStyle name="_ET_STYLE_NoName_00_" xfId="33"/>
    <cellStyle name="_ET_STYLE_NoName_00__2012年1月份司泰迪月报表" xfId="34"/>
    <cellStyle name="_ET_STYLE_NoName_00__2012年2月份司泰迪月报表" xfId="35"/>
    <cellStyle name="_ET_STYLE_NoName_00__2012年3月份司泰迪月报表" xfId="36"/>
    <cellStyle name="_ET_STYLE_NoName_00__2012年4月份司泰迪月报表" xfId="37"/>
    <cellStyle name="_ET_STYLE_NoName_00__2012年5月份司泰迪月报表6 25" xfId="38"/>
    <cellStyle name="_ET_STYLE_NoName_00__2012年6月份司泰迪月报表" xfId="39"/>
    <cellStyle name="_ET_STYLE_NoName_00__FS_GSM_2012.07" xfId="40"/>
    <cellStyle name="_ET_STYLE_NoName_00__FS_GSM_2012.08" xfId="41"/>
    <cellStyle name="_ET_STYLE_NoName_00__FS_GSM_2012.09" xfId="42"/>
    <cellStyle name="_ET_STYLE_NoName_00__FS_GSM_2012.10" xfId="43"/>
    <cellStyle name="_F052_Consol_Mar 2006" xfId="44"/>
    <cellStyle name="_F482_07_Cl" xfId="45"/>
    <cellStyle name="_Finance lease 2009.09" xfId="46"/>
    <cellStyle name="_N282_Cl" xfId="47"/>
    <cellStyle name="_N283_HM_Cl_9.6.08" xfId="48"/>
    <cellStyle name="_Q" xfId="49"/>
    <cellStyle name="_RepPkg HongKong" xfId="50"/>
    <cellStyle name="_RepPkg HongKong_0308-Hongkong (old)" xfId="51"/>
    <cellStyle name="_RepPkg HongKong_0311-Hongkong" xfId="52"/>
    <cellStyle name="_RepPkg HongKong_0411-Hongkong" xfId="53"/>
    <cellStyle name="_RepPkg HongKong_Book1" xfId="54"/>
    <cellStyle name="_Subsequent settlement as at 16.5.08  -23.5.08" xfId="55"/>
    <cellStyle name="_W" xfId="56"/>
    <cellStyle name="_WP - YYB 31122007 (Steven)" xfId="57"/>
    <cellStyle name="_WP-index" xfId="58"/>
    <cellStyle name="_X019_07_Cl" xfId="59"/>
    <cellStyle name="_Y-trading results" xfId="60"/>
    <cellStyle name="¤@¯ë_F125-2001" xfId="61"/>
    <cellStyle name="¤d¤À¦ì [0]" xfId="62"/>
    <cellStyle name="¤d¤À¦ì[0]_PLDTUR7" xfId="63"/>
    <cellStyle name="¤d¤À¦ì_cmdinput" xfId="64"/>
    <cellStyle name="¥Vn¥VC¥Vp[¥V¥A¥V¡°¥VN" xfId="65"/>
    <cellStyle name="µÚ¿¡ ¿À´Â ÇÏÀÌÆÛ¸µÅ©" xfId="66"/>
    <cellStyle name="¶W³sµ²" xfId="67"/>
    <cellStyle name="0,0_x000d__x000a_NA_x000d__x000a_" xfId="68"/>
    <cellStyle name="00" xfId="69"/>
    <cellStyle name="20% - Accent1 2" xfId="70"/>
    <cellStyle name="20% - Accent1 2 2" xfId="71"/>
    <cellStyle name="20% - Accent2 2" xfId="72"/>
    <cellStyle name="20% - Accent2 2 2" xfId="73"/>
    <cellStyle name="20% - Accent3 2" xfId="74"/>
    <cellStyle name="20% - Accent3 2 2" xfId="75"/>
    <cellStyle name="20% - Accent4 2" xfId="76"/>
    <cellStyle name="20% - Accent4 2 2" xfId="77"/>
    <cellStyle name="20% - Accent5 2" xfId="78"/>
    <cellStyle name="20% - Accent5 2 2" xfId="79"/>
    <cellStyle name="20% - Accent5 3" xfId="80"/>
    <cellStyle name="20% - Accent6 2" xfId="81"/>
    <cellStyle name="20% - Accent6 2 2" xfId="82"/>
    <cellStyle name="³£¹æ_Book1" xfId="83"/>
    <cellStyle name="³¬¼¶Á´½Ó" xfId="84"/>
    <cellStyle name="3232 4" xfId="13964"/>
    <cellStyle name="3f1?0]_assumption(tj))" xfId="85"/>
    <cellStyle name="3f1?assumption(tj)t" xfId="86"/>
    <cellStyle name="3f1?p&amp;l(tj)i" xfId="87"/>
    <cellStyle name="³f¹ô [0]_audit schedule" xfId="88"/>
    <cellStyle name="³f¹ô_audit schedule" xfId="89"/>
    <cellStyle name="3L1a_assumption(tj)" xfId="90"/>
    <cellStyle name="40% - Accent1 2" xfId="91"/>
    <cellStyle name="40% - Accent1 2 2" xfId="92"/>
    <cellStyle name="40% - Accent2 2" xfId="93"/>
    <cellStyle name="40% - Accent2 2 2" xfId="94"/>
    <cellStyle name="40% - Accent3 2" xfId="95"/>
    <cellStyle name="40% - Accent3 2 2" xfId="96"/>
    <cellStyle name="40% - Accent3 3" xfId="97"/>
    <cellStyle name="40% - Accent4 2" xfId="98"/>
    <cellStyle name="40% - Accent4 2 2" xfId="99"/>
    <cellStyle name="40% - Accent5 2" xfId="100"/>
    <cellStyle name="40% - Accent5 2 2" xfId="101"/>
    <cellStyle name="40% - Accent5 3" xfId="102"/>
    <cellStyle name="40% - Accent6 2" xfId="103"/>
    <cellStyle name="40% - Accent6 2 2" xfId="104"/>
    <cellStyle name="60% - Accent1 2" xfId="105"/>
    <cellStyle name="60% - Accent1 2 2" xfId="106"/>
    <cellStyle name="60% - Accent2 2" xfId="107"/>
    <cellStyle name="60% - Accent2 2 2" xfId="108"/>
    <cellStyle name="60% - Accent3 2" xfId="109"/>
    <cellStyle name="60% - Accent3 2 2" xfId="110"/>
    <cellStyle name="60% - Accent4 2" xfId="111"/>
    <cellStyle name="60% - Accent4 2 2" xfId="112"/>
    <cellStyle name="60% - Accent5 2" xfId="113"/>
    <cellStyle name="60% - Accent5 2 2" xfId="114"/>
    <cellStyle name="60% - Accent6 2" xfId="115"/>
    <cellStyle name="60% - Accent6 2 2" xfId="116"/>
    <cellStyle name="6mal" xfId="117"/>
    <cellStyle name="Accent1 2" xfId="118"/>
    <cellStyle name="Accent1 2 2" xfId="119"/>
    <cellStyle name="Accent2 2" xfId="120"/>
    <cellStyle name="Accent2 2 2" xfId="121"/>
    <cellStyle name="Accent3 2" xfId="122"/>
    <cellStyle name="Accent3 2 2" xfId="123"/>
    <cellStyle name="Accent4 2" xfId="124"/>
    <cellStyle name="Accent4 2 2" xfId="125"/>
    <cellStyle name="Accent5 2" xfId="126"/>
    <cellStyle name="Accent5 2 2" xfId="127"/>
    <cellStyle name="Accent6 2" xfId="128"/>
    <cellStyle name="Accent6 2 2" xfId="129"/>
    <cellStyle name="Acctg" xfId="130"/>
    <cellStyle name="Actual Date" xfId="131"/>
    <cellStyle name="add" xfId="132"/>
    <cellStyle name="ÁÈµú»Õ_95" xfId="133"/>
    <cellStyle name="AeE­ [0]_INQUIRY ¿μ¾÷AßAø " xfId="134"/>
    <cellStyle name="ÅëÈ­ [0]_laroux" xfId="135"/>
    <cellStyle name="AeE­_INQUIRY ¿μ¾÷AßAø " xfId="136"/>
    <cellStyle name="ÅëÈ­_laroux" xfId="137"/>
    <cellStyle name="ÀH«áªº¶W³sµ²" xfId="138"/>
    <cellStyle name="args.style" xfId="139"/>
    <cellStyle name="AÞ¸¶ [0]_INQUIRY ¿?¾÷AßAø " xfId="140"/>
    <cellStyle name="ÄÞ¸¶ [0]_laroux" xfId="141"/>
    <cellStyle name="AÞ¸¶_INQUIRY ¿?¾÷AßAø " xfId="142"/>
    <cellStyle name="ÄÞ¸¶_laroux" xfId="143"/>
    <cellStyle name="Bad 2" xfId="144"/>
    <cellStyle name="Bad 2 2" xfId="145"/>
    <cellStyle name="Bad 2_Cashflow trend" xfId="146"/>
    <cellStyle name="Body" xfId="147"/>
    <cellStyle name="C?AØ_¿?¾÷CoE² " xfId="148"/>
    <cellStyle name="C￥AØ_¿μ¾÷CoE² " xfId="149"/>
    <cellStyle name="Ç¥ÁØ_ÀÎÀç°³¹ß¿ø" xfId="150"/>
    <cellStyle name="Ç§·ÖÎ»[0]_06" xfId="151"/>
    <cellStyle name="Ç§·ÖÎ»_06" xfId="152"/>
    <cellStyle name="Calc Currency (0)" xfId="153"/>
    <cellStyle name="Calc Currency (2)" xfId="154"/>
    <cellStyle name="Calc Percent (0)" xfId="155"/>
    <cellStyle name="Calc Percent (1)" xfId="156"/>
    <cellStyle name="Calc Percent (2)" xfId="157"/>
    <cellStyle name="Calc Units (0)" xfId="158"/>
    <cellStyle name="Calc Units (1)" xfId="159"/>
    <cellStyle name="Calc Units (2)" xfId="160"/>
    <cellStyle name="Calculation 2" xfId="161"/>
    <cellStyle name="Calculation 2 10" xfId="10932"/>
    <cellStyle name="Calculation 2 2" xfId="162"/>
    <cellStyle name="Calculation 2 2 2" xfId="163"/>
    <cellStyle name="Calculation 2 2 2 2" xfId="164"/>
    <cellStyle name="Calculation 2 2 2 2 2" xfId="165"/>
    <cellStyle name="Calculation 2 2 2 2 2 2" xfId="166"/>
    <cellStyle name="Calculation 2 2 2 2 2 2 2" xfId="12867"/>
    <cellStyle name="Calculation 2 2 2 2 2 2_YL Capex Cashflow &amp; Dep" xfId="11353"/>
    <cellStyle name="Calculation 2 2 2 2 2 3" xfId="12163"/>
    <cellStyle name="Calculation 2 2 2 2 2_Cashflow trend" xfId="167"/>
    <cellStyle name="Calculation 2 2 2 2 3" xfId="168"/>
    <cellStyle name="Calculation 2 2 2 2 3 2" xfId="169"/>
    <cellStyle name="Calculation 2 2 2 2 3 2 2" xfId="13135"/>
    <cellStyle name="Calculation 2 2 2 2 3 2_YL Capex Cashflow &amp; Dep" xfId="11352"/>
    <cellStyle name="Calculation 2 2 2 2 3 3" xfId="12563"/>
    <cellStyle name="Calculation 2 2 2 2 3_Cashflow trend" xfId="170"/>
    <cellStyle name="Calculation 2 2 2 2 4" xfId="11868"/>
    <cellStyle name="Calculation 2 2 2 2_Cashflow trend" xfId="171"/>
    <cellStyle name="Calculation 2 2 2 3" xfId="172"/>
    <cellStyle name="Calculation 2 2 2 3 2" xfId="173"/>
    <cellStyle name="Calculation 2 2 2 3 2 2" xfId="12875"/>
    <cellStyle name="Calculation 2 2 2 3 2_YL Capex Cashflow &amp; Dep" xfId="11351"/>
    <cellStyle name="Calculation 2 2 2 3 3" xfId="12064"/>
    <cellStyle name="Calculation 2 2 2 3_Cashflow trend" xfId="174"/>
    <cellStyle name="Calculation 2 2 2 4" xfId="175"/>
    <cellStyle name="Calculation 2 2 2 4 2" xfId="176"/>
    <cellStyle name="Calculation 2 2 2 4 2 2" xfId="12974"/>
    <cellStyle name="Calculation 2 2 2 4 2_YL Capex Cashflow &amp; Dep" xfId="11350"/>
    <cellStyle name="Calculation 2 2 2 4 3" xfId="12296"/>
    <cellStyle name="Calculation 2 2 2 4_Cashflow trend" xfId="177"/>
    <cellStyle name="Calculation 2 2 2 5" xfId="11444"/>
    <cellStyle name="Calculation 2 2 2_Cashflow trend" xfId="178"/>
    <cellStyle name="Calculation 2 2 3" xfId="179"/>
    <cellStyle name="Calculation 2 2 3 2" xfId="180"/>
    <cellStyle name="Calculation 2 2 3 2 2" xfId="181"/>
    <cellStyle name="Calculation 2 2 3 2 2 2" xfId="182"/>
    <cellStyle name="Calculation 2 2 3 2 2 2 2" xfId="13127"/>
    <cellStyle name="Calculation 2 2 3 2 2 2_YL Capex Cashflow &amp; Dep" xfId="11349"/>
    <cellStyle name="Calculation 2 2 3 2 2 3" xfId="12205"/>
    <cellStyle name="Calculation 2 2 3 2 2_Cashflow trend" xfId="183"/>
    <cellStyle name="Calculation 2 2 3 2 3" xfId="184"/>
    <cellStyle name="Calculation 2 2 3 2 3 2" xfId="185"/>
    <cellStyle name="Calculation 2 2 3 2 3 2 2" xfId="13222"/>
    <cellStyle name="Calculation 2 2 3 2 3 2_YL Capex Cashflow &amp; Dep" xfId="11348"/>
    <cellStyle name="Calculation 2 2 3 2 3 3" xfId="12734"/>
    <cellStyle name="Calculation 2 2 3 2 3_Cashflow trend" xfId="186"/>
    <cellStyle name="Calculation 2 2 3 2 4" xfId="12035"/>
    <cellStyle name="Calculation 2 2 3 2_Cashflow trend" xfId="187"/>
    <cellStyle name="Calculation 2 2 3 3" xfId="188"/>
    <cellStyle name="Calculation 2 2 3 3 2" xfId="189"/>
    <cellStyle name="Calculation 2 2 3 3 2 2" xfId="12807"/>
    <cellStyle name="Calculation 2 2 3 3 2_YL Capex Cashflow &amp; Dep" xfId="11347"/>
    <cellStyle name="Calculation 2 2 3 3 3" xfId="12128"/>
    <cellStyle name="Calculation 2 2 3 3_Cashflow trend" xfId="190"/>
    <cellStyle name="Calculation 2 2 3 4" xfId="191"/>
    <cellStyle name="Calculation 2 2 3 4 2" xfId="192"/>
    <cellStyle name="Calculation 2 2 3 4 2 2" xfId="13087"/>
    <cellStyle name="Calculation 2 2 3 4 2_YL Capex Cashflow &amp; Dep" xfId="10906"/>
    <cellStyle name="Calculation 2 2 3 4 3" xfId="12506"/>
    <cellStyle name="Calculation 2 2 3 4_Cashflow trend" xfId="193"/>
    <cellStyle name="Calculation 2 2 3 5" xfId="11796"/>
    <cellStyle name="Calculation 2 2 3_Cashflow trend" xfId="194"/>
    <cellStyle name="Calculation 2 2 4" xfId="195"/>
    <cellStyle name="Calculation 2 2 4 2" xfId="196"/>
    <cellStyle name="Calculation 2 2 4 2 2" xfId="197"/>
    <cellStyle name="Calculation 2 2 4 2 2 2" xfId="12854"/>
    <cellStyle name="Calculation 2 2 4 2 2_YL Capex Cashflow &amp; Dep" xfId="11346"/>
    <cellStyle name="Calculation 2 2 4 2 3" xfId="12148"/>
    <cellStyle name="Calculation 2 2 4 2_Cashflow trend" xfId="198"/>
    <cellStyle name="Calculation 2 2 4 3" xfId="199"/>
    <cellStyle name="Calculation 2 2 4 3 2" xfId="200"/>
    <cellStyle name="Calculation 2 2 4 3 2 2" xfId="13113"/>
    <cellStyle name="Calculation 2 2 4 3 2_YL Capex Cashflow &amp; Dep" xfId="10990"/>
    <cellStyle name="Calculation 2 2 4 3 3" xfId="12529"/>
    <cellStyle name="Calculation 2 2 4 3_Cashflow trend" xfId="201"/>
    <cellStyle name="Calculation 2 2 4 4" xfId="11830"/>
    <cellStyle name="Calculation 2 2 4_Cashflow trend" xfId="202"/>
    <cellStyle name="Calculation 2 2 5" xfId="203"/>
    <cellStyle name="Calculation 2 2 5 2" xfId="204"/>
    <cellStyle name="Calculation 2 2 5 2 2" xfId="12896"/>
    <cellStyle name="Calculation 2 2 5 2_YL Capex Cashflow &amp; Dep" xfId="11345"/>
    <cellStyle name="Calculation 2 2 5 3" xfId="11530"/>
    <cellStyle name="Calculation 2 2 5_Cashflow trend" xfId="205"/>
    <cellStyle name="Calculation 2 2 6" xfId="206"/>
    <cellStyle name="Calculation 2 2 6 2" xfId="207"/>
    <cellStyle name="Calculation 2 2 6 2 2" xfId="12951"/>
    <cellStyle name="Calculation 2 2 6 2_YL Capex Cashflow &amp; Dep" xfId="11344"/>
    <cellStyle name="Calculation 2 2 6 3" xfId="12261"/>
    <cellStyle name="Calculation 2 2 6_Cashflow trend" xfId="208"/>
    <cellStyle name="Calculation 2 2 7" xfId="209"/>
    <cellStyle name="Calculation 2 2 7 2" xfId="12756"/>
    <cellStyle name="Calculation 2 2 7_YL Capex Cashflow &amp; Dep" xfId="13258"/>
    <cellStyle name="Calculation 2 2 8" xfId="11399"/>
    <cellStyle name="Calculation 2 2_Cashflow trend" xfId="210"/>
    <cellStyle name="Calculation 2 3" xfId="211"/>
    <cellStyle name="Calculation 2 3 2" xfId="212"/>
    <cellStyle name="Calculation 2 3 2 2" xfId="213"/>
    <cellStyle name="Calculation 2 3 2 2 2" xfId="214"/>
    <cellStyle name="Calculation 2 3 2 2 2 2" xfId="13168"/>
    <cellStyle name="Calculation 2 3 2 2 2_YL Capex Cashflow &amp; Dep" xfId="13269"/>
    <cellStyle name="Calculation 2 3 2 2 3" xfId="12158"/>
    <cellStyle name="Calculation 2 3 2 2_Cashflow trend" xfId="215"/>
    <cellStyle name="Calculation 2 3 2 3" xfId="216"/>
    <cellStyle name="Calculation 2 3 2 3 2" xfId="217"/>
    <cellStyle name="Calculation 2 3 2 3 2 2" xfId="13129"/>
    <cellStyle name="Calculation 2 3 2 3 2_YL Capex Cashflow &amp; Dep" xfId="13266"/>
    <cellStyle name="Calculation 2 3 2 3 3" xfId="12559"/>
    <cellStyle name="Calculation 2 3 2 3_Cashflow trend" xfId="218"/>
    <cellStyle name="Calculation 2 3 2 4" xfId="11864"/>
    <cellStyle name="Calculation 2 3 2_Cashflow trend" xfId="219"/>
    <cellStyle name="Calculation 2 3 3" xfId="220"/>
    <cellStyle name="Calculation 2 3 3 2" xfId="221"/>
    <cellStyle name="Calculation 2 3 3 2 2" xfId="13174"/>
    <cellStyle name="Calculation 2 3 3 2_YL Capex Cashflow &amp; Dep" xfId="10944"/>
    <cellStyle name="Calculation 2 3 3 3" xfId="12059"/>
    <cellStyle name="Calculation 2 3 3_Cashflow trend" xfId="222"/>
    <cellStyle name="Calculation 2 3 4" xfId="223"/>
    <cellStyle name="Calculation 2 3 4 2" xfId="224"/>
    <cellStyle name="Calculation 2 3 4 2 2" xfId="12968"/>
    <cellStyle name="Calculation 2 3 4 2_YL Capex Cashflow &amp; Dep" xfId="13257"/>
    <cellStyle name="Calculation 2 3 4 3" xfId="12292"/>
    <cellStyle name="Calculation 2 3 4_Cashflow trend" xfId="225"/>
    <cellStyle name="Calculation 2 3 5" xfId="11437"/>
    <cellStyle name="Calculation 2 3_Cashflow trend" xfId="226"/>
    <cellStyle name="Calculation 2 4" xfId="227"/>
    <cellStyle name="Calculation 2 4 2" xfId="228"/>
    <cellStyle name="Calculation 2 4 2 2" xfId="229"/>
    <cellStyle name="Calculation 2 4 2 2 2" xfId="230"/>
    <cellStyle name="Calculation 2 4 2 2 2 2" xfId="13166"/>
    <cellStyle name="Calculation 2 4 2 2 2_YL Capex Cashflow &amp; Dep" xfId="11342"/>
    <cellStyle name="Calculation 2 4 2 2 3" xfId="12183"/>
    <cellStyle name="Calculation 2 4 2 2_Cashflow trend" xfId="231"/>
    <cellStyle name="Calculation 2 4 2 3" xfId="232"/>
    <cellStyle name="Calculation 2 4 2 3 2" xfId="233"/>
    <cellStyle name="Calculation 2 4 2 3 2 2" xfId="13194"/>
    <cellStyle name="Calculation 2 4 2 3 2_YL Capex Cashflow &amp; Dep" xfId="11343"/>
    <cellStyle name="Calculation 2 4 2 3 3" xfId="12711"/>
    <cellStyle name="Calculation 2 4 2 3_Cashflow trend" xfId="234"/>
    <cellStyle name="Calculation 2 4 2 4" xfId="12012"/>
    <cellStyle name="Calculation 2 4 2_Cashflow trend" xfId="235"/>
    <cellStyle name="Calculation 2 4 3" xfId="236"/>
    <cellStyle name="Calculation 2 4 3 2" xfId="237"/>
    <cellStyle name="Calculation 2 4 3 2 2" xfId="12766"/>
    <cellStyle name="Calculation 2 4 3 2_YL Capex Cashflow &amp; Dep" xfId="13256"/>
    <cellStyle name="Calculation 2 4 3 3" xfId="12100"/>
    <cellStyle name="Calculation 2 4 3_Cashflow trend" xfId="238"/>
    <cellStyle name="Calculation 2 4 4" xfId="239"/>
    <cellStyle name="Calculation 2 4 4 2" xfId="240"/>
    <cellStyle name="Calculation 2 4 4 2 2" xfId="13047"/>
    <cellStyle name="Calculation 2 4 4 2_YL Capex Cashflow &amp; Dep" xfId="13255"/>
    <cellStyle name="Calculation 2 4 4 3" xfId="12453"/>
    <cellStyle name="Calculation 2 4 4_Cashflow trend" xfId="241"/>
    <cellStyle name="Calculation 2 4 5" xfId="11733"/>
    <cellStyle name="Calculation 2 4_Cashflow trend" xfId="242"/>
    <cellStyle name="Calculation 2 5" xfId="243"/>
    <cellStyle name="Calculation 2 5 2" xfId="244"/>
    <cellStyle name="Calculation 2 5 2 2" xfId="245"/>
    <cellStyle name="Calculation 2 5 2 2 2" xfId="246"/>
    <cellStyle name="Calculation 2 5 2 2 2 2" xfId="13021"/>
    <cellStyle name="Calculation 2 5 2 2 2_YL Capex Cashflow &amp; Dep" xfId="13254"/>
    <cellStyle name="Calculation 2 5 2 2 3" xfId="12199"/>
    <cellStyle name="Calculation 2 5 2 2_Cashflow trend" xfId="247"/>
    <cellStyle name="Calculation 2 5 2 3" xfId="248"/>
    <cellStyle name="Calculation 2 5 2 3 2" xfId="249"/>
    <cellStyle name="Calculation 2 5 2 3 2 2" xfId="13215"/>
    <cellStyle name="Calculation 2 5 2 3 2_YL Capex Cashflow &amp; Dep" xfId="11396"/>
    <cellStyle name="Calculation 2 5 2 3 3" xfId="12729"/>
    <cellStyle name="Calculation 2 5 2 3_Cashflow trend" xfId="250"/>
    <cellStyle name="Calculation 2 5 2 4" xfId="12028"/>
    <cellStyle name="Calculation 2 5 2_Cashflow trend" xfId="251"/>
    <cellStyle name="Calculation 2 5 3" xfId="252"/>
    <cellStyle name="Calculation 2 5 3 2" xfId="253"/>
    <cellStyle name="Calculation 2 5 3 2 2" xfId="12822"/>
    <cellStyle name="Calculation 2 5 3 2_YL Capex Cashflow &amp; Dep" xfId="11395"/>
    <cellStyle name="Calculation 2 5 3 3" xfId="12122"/>
    <cellStyle name="Calculation 2 5 3_Cashflow trend" xfId="254"/>
    <cellStyle name="Calculation 2 5 4" xfId="255"/>
    <cellStyle name="Calculation 2 5 4 2" xfId="256"/>
    <cellStyle name="Calculation 2 5 4 2 2" xfId="13080"/>
    <cellStyle name="Calculation 2 5 4 2_YL Capex Cashflow &amp; Dep" xfId="11066"/>
    <cellStyle name="Calculation 2 5 4 3" xfId="12496"/>
    <cellStyle name="Calculation 2 5 4_Cashflow trend" xfId="257"/>
    <cellStyle name="Calculation 2 5 5" xfId="11786"/>
    <cellStyle name="Calculation 2 5_Cashflow trend" xfId="258"/>
    <cellStyle name="Calculation 2 6" xfId="259"/>
    <cellStyle name="Calculation 2 6 2" xfId="260"/>
    <cellStyle name="Calculation 2 6 2 2" xfId="261"/>
    <cellStyle name="Calculation 2 6 2 2 2" xfId="13052"/>
    <cellStyle name="Calculation 2 6 2 2_YL Capex Cashflow &amp; Dep" xfId="11341"/>
    <cellStyle name="Calculation 2 6 2 3" xfId="12135"/>
    <cellStyle name="Calculation 2 6 2_Cashflow trend" xfId="262"/>
    <cellStyle name="Calculation 2 6 3" xfId="263"/>
    <cellStyle name="Calculation 2 6 3 2" xfId="264"/>
    <cellStyle name="Calculation 2 6 3 2 2" xfId="13097"/>
    <cellStyle name="Calculation 2 6 3 2_YL Capex Cashflow &amp; Dep" xfId="13453"/>
    <cellStyle name="Calculation 2 6 3 3" xfId="12514"/>
    <cellStyle name="Calculation 2 6 3_Cashflow trend" xfId="265"/>
    <cellStyle name="Calculation 2 6 4" xfId="11808"/>
    <cellStyle name="Calculation 2 6_Cashflow trend" xfId="266"/>
    <cellStyle name="Calculation 2 7" xfId="267"/>
    <cellStyle name="Calculation 2 7 2" xfId="268"/>
    <cellStyle name="Calculation 2 7 2 2" xfId="13189"/>
    <cellStyle name="Calculation 2 7 2_YL Capex Cashflow &amp; Dep" xfId="13452"/>
    <cellStyle name="Calculation 2 7 3" xfId="11540"/>
    <cellStyle name="Calculation 2 7_Cashflow trend" xfId="269"/>
    <cellStyle name="Calculation 2 8" xfId="270"/>
    <cellStyle name="Calculation 2 8 2" xfId="271"/>
    <cellStyle name="Calculation 2 8 2 2" xfId="12926"/>
    <cellStyle name="Calculation 2 8 2_YL Capex Cashflow &amp; Dep" xfId="10989"/>
    <cellStyle name="Calculation 2 8 3" xfId="12222"/>
    <cellStyle name="Calculation 2 8_Cashflow trend" xfId="272"/>
    <cellStyle name="Calculation 2 9" xfId="273"/>
    <cellStyle name="Calculation 2 9 2" xfId="12796"/>
    <cellStyle name="Calculation 2 9_YL Capex Cashflow &amp; Dep" xfId="13274"/>
    <cellStyle name="Calculation 2_Cashflow trend" xfId="274"/>
    <cellStyle name="Calculation 3" xfId="275"/>
    <cellStyle name="Calculation 3 2" xfId="276"/>
    <cellStyle name="Calculation 3 2 2" xfId="277"/>
    <cellStyle name="Calculation 3 2 2 2" xfId="278"/>
    <cellStyle name="Calculation 3 2 2 2 2" xfId="279"/>
    <cellStyle name="Calculation 3 2 2 2 2 2" xfId="12876"/>
    <cellStyle name="Calculation 3 2 2 2 2_YL Capex Cashflow &amp; Dep" xfId="11340"/>
    <cellStyle name="Calculation 3 2 2 2 3" xfId="12155"/>
    <cellStyle name="Calculation 3 2 2 2_Cashflow trend" xfId="280"/>
    <cellStyle name="Calculation 3 2 2 3" xfId="281"/>
    <cellStyle name="Calculation 3 2 2 3 2" xfId="282"/>
    <cellStyle name="Calculation 3 2 2 3 2 2" xfId="13120"/>
    <cellStyle name="Calculation 3 2 2 3 2_YL Capex Cashflow &amp; Dep" xfId="13268"/>
    <cellStyle name="Calculation 3 2 2 3 3" xfId="12534"/>
    <cellStyle name="Calculation 3 2 2 3_Cashflow trend" xfId="283"/>
    <cellStyle name="Calculation 3 2 2 4" xfId="11839"/>
    <cellStyle name="Calculation 3 2 2_Cashflow trend" xfId="284"/>
    <cellStyle name="Calculation 3 2 3" xfId="285"/>
    <cellStyle name="Calculation 3 2 3 2" xfId="286"/>
    <cellStyle name="Calculation 3 2 3 2 2" xfId="12801"/>
    <cellStyle name="Calculation 3 2 3 2_YL Capex Cashflow &amp; Dep" xfId="13265"/>
    <cellStyle name="Calculation 3 2 3 3" xfId="12056"/>
    <cellStyle name="Calculation 3 2 3_Cashflow trend" xfId="287"/>
    <cellStyle name="Calculation 3 2 4" xfId="288"/>
    <cellStyle name="Calculation 3 2 4 2" xfId="289"/>
    <cellStyle name="Calculation 3 2 4 2 2" xfId="12958"/>
    <cellStyle name="Calculation 3 2 4 2_YL Capex Cashflow &amp; Dep" xfId="11063"/>
    <cellStyle name="Calculation 3 2 4 3" xfId="12267"/>
    <cellStyle name="Calculation 3 2 4_Cashflow trend" xfId="290"/>
    <cellStyle name="Calculation 3 2 5" xfId="11439"/>
    <cellStyle name="Calculation 3 2_Cashflow trend" xfId="291"/>
    <cellStyle name="Calculation 3 3" xfId="292"/>
    <cellStyle name="Calculation 3 3 2" xfId="293"/>
    <cellStyle name="Calculation 3 3 2 2" xfId="294"/>
    <cellStyle name="Calculation 3 3 2 2 2" xfId="295"/>
    <cellStyle name="Calculation 3 3 2 2 2 2" xfId="12855"/>
    <cellStyle name="Calculation 3 3 2 2 2_YL Capex Cashflow &amp; Dep" xfId="11339"/>
    <cellStyle name="Calculation 3 3 2 2 3" xfId="12200"/>
    <cellStyle name="Calculation 3 3 2 2_Cashflow trend" xfId="296"/>
    <cellStyle name="Calculation 3 3 2 3" xfId="297"/>
    <cellStyle name="Calculation 3 3 2 3 2" xfId="298"/>
    <cellStyle name="Calculation 3 3 2 3 2 2" xfId="13216"/>
    <cellStyle name="Calculation 3 3 2 3 2_YL Capex Cashflow &amp; Dep" xfId="13451"/>
    <cellStyle name="Calculation 3 3 2 3 3" xfId="12730"/>
    <cellStyle name="Calculation 3 3 2 3_Cashflow trend" xfId="299"/>
    <cellStyle name="Calculation 3 3 2 4" xfId="12029"/>
    <cellStyle name="Calculation 3 3 2_Cashflow trend" xfId="300"/>
    <cellStyle name="Calculation 3 3 3" xfId="301"/>
    <cellStyle name="Calculation 3 3 3 2" xfId="302"/>
    <cellStyle name="Calculation 3 3 3 2 2" xfId="13123"/>
    <cellStyle name="Calculation 3 3 3 2_YL Capex Cashflow &amp; Dep" xfId="11338"/>
    <cellStyle name="Calculation 3 3 3 3" xfId="12123"/>
    <cellStyle name="Calculation 3 3 3_Cashflow trend" xfId="303"/>
    <cellStyle name="Calculation 3 3 4" xfId="304"/>
    <cellStyle name="Calculation 3 3 4 2" xfId="305"/>
    <cellStyle name="Calculation 3 3 4 2 2" xfId="13081"/>
    <cellStyle name="Calculation 3 3 4 2_YL Capex Cashflow &amp; Dep" xfId="10904"/>
    <cellStyle name="Calculation 3 3 4 3" xfId="12499"/>
    <cellStyle name="Calculation 3 3 4_Cashflow trend" xfId="306"/>
    <cellStyle name="Calculation 3 3 5" xfId="11789"/>
    <cellStyle name="Calculation 3 3_Cashflow trend" xfId="307"/>
    <cellStyle name="Calculation 3 4" xfId="308"/>
    <cellStyle name="Calculation 3 4 2" xfId="309"/>
    <cellStyle name="Calculation 3 4 2 2" xfId="310"/>
    <cellStyle name="Calculation 3 4 2 2 2" xfId="13002"/>
    <cellStyle name="Calculation 3 4 2 2_YL Capex Cashflow &amp; Dep" xfId="13450"/>
    <cellStyle name="Calculation 3 4 2 3" xfId="12144"/>
    <cellStyle name="Calculation 3 4 2_Cashflow trend" xfId="311"/>
    <cellStyle name="Calculation 3 4 3" xfId="312"/>
    <cellStyle name="Calculation 3 4 3 2" xfId="313"/>
    <cellStyle name="Calculation 3 4 3 2 2" xfId="13107"/>
    <cellStyle name="Calculation 3 4 3 2_YL Capex Cashflow &amp; Dep" xfId="11064"/>
    <cellStyle name="Calculation 3 4 3 3" xfId="12521"/>
    <cellStyle name="Calculation 3 4 3_Cashflow trend" xfId="314"/>
    <cellStyle name="Calculation 3 4 4" xfId="11823"/>
    <cellStyle name="Calculation 3 4_Cashflow trend" xfId="315"/>
    <cellStyle name="Calculation 3 5" xfId="316"/>
    <cellStyle name="Calculation 3 5 2" xfId="317"/>
    <cellStyle name="Calculation 3 5 2 2" xfId="12869"/>
    <cellStyle name="Calculation 3 5 2_YL Capex Cashflow &amp; Dep" xfId="11065"/>
    <cellStyle name="Calculation 3 5 3" xfId="11535"/>
    <cellStyle name="Calculation 3 5_Cashflow trend" xfId="318"/>
    <cellStyle name="Calculation 3 6" xfId="319"/>
    <cellStyle name="Calculation 3 6 2" xfId="320"/>
    <cellStyle name="Calculation 3 6 2 2" xfId="12945"/>
    <cellStyle name="Calculation 3 6 2_YL Capex Cashflow &amp; Dep" xfId="11337"/>
    <cellStyle name="Calculation 3 6 3" xfId="12255"/>
    <cellStyle name="Calculation 3 6_Cashflow trend" xfId="321"/>
    <cellStyle name="Calculation 3 7" xfId="322"/>
    <cellStyle name="Calculation 3 7 2" xfId="13236"/>
    <cellStyle name="Calculation 3 7_YL Capex Cashflow &amp; Dep" xfId="11336"/>
    <cellStyle name="Calculation 3 8" xfId="11382"/>
    <cellStyle name="Calculation 3_Cashflow trend" xfId="323"/>
    <cellStyle name="Ch Head" xfId="324"/>
    <cellStyle name="Check Cell 2" xfId="325"/>
    <cellStyle name="Check Cell 2 2" xfId="326"/>
    <cellStyle name="ÇÏÀÌÆÛ¸µÅ©" xfId="327"/>
    <cellStyle name="Column Headings" xfId="328"/>
    <cellStyle name="Column$Headings" xfId="329"/>
    <cellStyle name="Comma" xfId="13963" builtinId="3"/>
    <cellStyle name="Comma  - Style1" xfId="330"/>
    <cellStyle name="Comma  - Style2" xfId="331"/>
    <cellStyle name="Comma  - Style3" xfId="332"/>
    <cellStyle name="Comma  - Style4" xfId="333"/>
    <cellStyle name="Comma  - Style5" xfId="334"/>
    <cellStyle name="Comma  - Style6" xfId="335"/>
    <cellStyle name="Comma  - Style7" xfId="336"/>
    <cellStyle name="Comma  - Style8" xfId="337"/>
    <cellStyle name="Comma [0] 2" xfId="338"/>
    <cellStyle name="Comma [0] 2 2" xfId="339"/>
    <cellStyle name="Comma [00]" xfId="340"/>
    <cellStyle name="Comma 0" xfId="341"/>
    <cellStyle name="Comma 0*" xfId="342"/>
    <cellStyle name="Comma 10" xfId="343"/>
    <cellStyle name="Comma 10 2" xfId="344"/>
    <cellStyle name="Comma 10 3" xfId="345"/>
    <cellStyle name="Comma 11" xfId="346"/>
    <cellStyle name="Comma 11 2" xfId="347"/>
    <cellStyle name="Comma 11 2 2" xfId="3328"/>
    <cellStyle name="Comma 11 2 2 2" xfId="13965"/>
    <cellStyle name="Comma 11 2 3" xfId="13966"/>
    <cellStyle name="Comma 11 3" xfId="348"/>
    <cellStyle name="Comma 11 4" xfId="13967"/>
    <cellStyle name="Comma 12" xfId="349"/>
    <cellStyle name="Comma 12 2" xfId="350"/>
    <cellStyle name="Comma 12 3" xfId="3329"/>
    <cellStyle name="Comma 12 3 2" xfId="3330"/>
    <cellStyle name="Comma 12 3 2 2" xfId="13968"/>
    <cellStyle name="Comma 12 3 3" xfId="13969"/>
    <cellStyle name="Comma 12 4" xfId="13970"/>
    <cellStyle name="Comma 12 5" xfId="13971"/>
    <cellStyle name="Comma 13" xfId="351"/>
    <cellStyle name="Comma 13 2" xfId="352"/>
    <cellStyle name="Comma 13 3" xfId="13972"/>
    <cellStyle name="Comma 14" xfId="353"/>
    <cellStyle name="Comma 14 2" xfId="354"/>
    <cellStyle name="Comma 15" xfId="355"/>
    <cellStyle name="Comma 15 2" xfId="356"/>
    <cellStyle name="Comma 15 3" xfId="13973"/>
    <cellStyle name="Comma 16" xfId="357"/>
    <cellStyle name="Comma 16 2" xfId="358"/>
    <cellStyle name="Comma 17" xfId="359"/>
    <cellStyle name="Comma 17 2" xfId="3331"/>
    <cellStyle name="Comma 18" xfId="360"/>
    <cellStyle name="Comma 18 2" xfId="13974"/>
    <cellStyle name="Comma 18 3" xfId="13975"/>
    <cellStyle name="Comma 19" xfId="361"/>
    <cellStyle name="Comma 19 2" xfId="13976"/>
    <cellStyle name="Comma 2" xfId="362"/>
    <cellStyle name="Comma 2 10" xfId="363"/>
    <cellStyle name="Comma 2 10 2" xfId="364"/>
    <cellStyle name="Comma 2 11" xfId="365"/>
    <cellStyle name="Comma 2 12" xfId="366"/>
    <cellStyle name="Comma 2 13" xfId="367"/>
    <cellStyle name="Comma 2 2" xfId="368"/>
    <cellStyle name="Comma 2 2 2" xfId="369"/>
    <cellStyle name="Comma 2 2 3" xfId="370"/>
    <cellStyle name="Comma 2 2 4" xfId="371"/>
    <cellStyle name="Comma 2 2 4 2" xfId="372"/>
    <cellStyle name="Comma 2 2 5" xfId="3332"/>
    <cellStyle name="Comma 2 3" xfId="373"/>
    <cellStyle name="Comma 2 3 2" xfId="374"/>
    <cellStyle name="Comma 2 3 2 2" xfId="375"/>
    <cellStyle name="Comma 2 3 3" xfId="3333"/>
    <cellStyle name="Comma 2 4" xfId="376"/>
    <cellStyle name="Comma 2 4 2" xfId="377"/>
    <cellStyle name="Comma 2 5" xfId="378"/>
    <cellStyle name="Comma 2 5 2" xfId="379"/>
    <cellStyle name="Comma 2 5 3" xfId="380"/>
    <cellStyle name="Comma 2 5 4" xfId="381"/>
    <cellStyle name="Comma 2 6" xfId="382"/>
    <cellStyle name="Comma 2 7" xfId="383"/>
    <cellStyle name="Comma 2 8" xfId="384"/>
    <cellStyle name="Comma 2 9" xfId="385"/>
    <cellStyle name="Comma 2_SMI_FS_2010.11.30_HK GAAP" xfId="386"/>
    <cellStyle name="Comma 20" xfId="387"/>
    <cellStyle name="Comma 21" xfId="388"/>
    <cellStyle name="Comma 22" xfId="389"/>
    <cellStyle name="Comma 22 2" xfId="13977"/>
    <cellStyle name="Comma 23" xfId="390"/>
    <cellStyle name="Comma 23 2" xfId="61999"/>
    <cellStyle name="Comma 24" xfId="391"/>
    <cellStyle name="Comma 25" xfId="392"/>
    <cellStyle name="Comma 26" xfId="393"/>
    <cellStyle name="Comma 27" xfId="394"/>
    <cellStyle name="Comma 28" xfId="395"/>
    <cellStyle name="Comma 29" xfId="396"/>
    <cellStyle name="Comma 3" xfId="397"/>
    <cellStyle name="Comma 3 2" xfId="398"/>
    <cellStyle name="Comma 3 2 2" xfId="399"/>
    <cellStyle name="Comma 3 3" xfId="400"/>
    <cellStyle name="Comma 3 3 2" xfId="401"/>
    <cellStyle name="Comma 3 4" xfId="402"/>
    <cellStyle name="Comma 3 5" xfId="403"/>
    <cellStyle name="Comma 3 6" xfId="404"/>
    <cellStyle name="Comma 3 7" xfId="405"/>
    <cellStyle name="Comma 3 7 2" xfId="406"/>
    <cellStyle name="Comma 3 8" xfId="3334"/>
    <cellStyle name="Comma 30" xfId="407"/>
    <cellStyle name="Comma 31" xfId="408"/>
    <cellStyle name="Comma 32" xfId="409"/>
    <cellStyle name="Comma 33" xfId="410"/>
    <cellStyle name="Comma 34" xfId="411"/>
    <cellStyle name="Comma 35" xfId="412"/>
    <cellStyle name="Comma 36" xfId="413"/>
    <cellStyle name="Comma 37" xfId="414"/>
    <cellStyle name="Comma 37 10" xfId="11010"/>
    <cellStyle name="Comma 37 2" xfId="415"/>
    <cellStyle name="Comma 37 2 2" xfId="416"/>
    <cellStyle name="Comma 37 2 2 2" xfId="417"/>
    <cellStyle name="Comma 37 2 2 2 2" xfId="418"/>
    <cellStyle name="Comma 37 2 2 2 2 2" xfId="12638"/>
    <cellStyle name="Comma 37 2 2 2 3" xfId="11941"/>
    <cellStyle name="Comma 37 2 2 3" xfId="419"/>
    <cellStyle name="Comma 37 2 2 3 2" xfId="11642"/>
    <cellStyle name="Comma 37 2 2 4" xfId="420"/>
    <cellStyle name="Comma 37 2 2 4 2" xfId="12370"/>
    <cellStyle name="Comma 37 2 2 5" xfId="11491"/>
    <cellStyle name="Comma 37 2 3" xfId="421"/>
    <cellStyle name="Comma 37 2 3 2" xfId="422"/>
    <cellStyle name="Comma 37 2 3 2 2" xfId="12547"/>
    <cellStyle name="Comma 37 2 3 3" xfId="11852"/>
    <cellStyle name="Comma 37 2 4" xfId="423"/>
    <cellStyle name="Comma 37 2 4 2" xfId="11561"/>
    <cellStyle name="Comma 37 2 5" xfId="424"/>
    <cellStyle name="Comma 37 2 5 2" xfId="12280"/>
    <cellStyle name="Comma 37 2 6" xfId="11051"/>
    <cellStyle name="Comma 37 3" xfId="425"/>
    <cellStyle name="Comma 37 3 2" xfId="426"/>
    <cellStyle name="Comma 37 3 2 2" xfId="427"/>
    <cellStyle name="Comma 37 3 2 2 2" xfId="12664"/>
    <cellStyle name="Comma 37 3 2 3" xfId="11967"/>
    <cellStyle name="Comma 37 3 3" xfId="428"/>
    <cellStyle name="Comma 37 3 3 2" xfId="11666"/>
    <cellStyle name="Comma 37 3 4" xfId="429"/>
    <cellStyle name="Comma 37 3 4 2" xfId="12396"/>
    <cellStyle name="Comma 37 3 5" xfId="11424"/>
    <cellStyle name="Comma 37 4" xfId="430"/>
    <cellStyle name="Comma 37 4 2" xfId="431"/>
    <cellStyle name="Comma 37 4 2 2" xfId="432"/>
    <cellStyle name="Comma 37 4 2 2 2" xfId="12616"/>
    <cellStyle name="Comma 37 4 2 3" xfId="11919"/>
    <cellStyle name="Comma 37 4 3" xfId="433"/>
    <cellStyle name="Comma 37 4 3 2" xfId="11620"/>
    <cellStyle name="Comma 37 4 4" xfId="434"/>
    <cellStyle name="Comma 37 4 4 2" xfId="12348"/>
    <cellStyle name="Comma 37 4 5" xfId="11465"/>
    <cellStyle name="Comma 37 5" xfId="435"/>
    <cellStyle name="Comma 37 5 2" xfId="436"/>
    <cellStyle name="Comma 37 5 2 2" xfId="437"/>
    <cellStyle name="Comma 37 5 2 2 2" xfId="12698"/>
    <cellStyle name="Comma 37 5 2 3" xfId="11999"/>
    <cellStyle name="Comma 37 5 3" xfId="438"/>
    <cellStyle name="Comma 37 5 3 2" xfId="12430"/>
    <cellStyle name="Comma 37 5 4" xfId="11694"/>
    <cellStyle name="Comma 37 6" xfId="439"/>
    <cellStyle name="Comma 37 6 2" xfId="440"/>
    <cellStyle name="Comma 37 6 2 2" xfId="441"/>
    <cellStyle name="Comma 37 6 2 2 2" xfId="12584"/>
    <cellStyle name="Comma 37 6 2 3" xfId="11888"/>
    <cellStyle name="Comma 37 6 3" xfId="442"/>
    <cellStyle name="Comma 37 6 3 2" xfId="12316"/>
    <cellStyle name="Comma 37 6 4" xfId="11588"/>
    <cellStyle name="Comma 37 7" xfId="443"/>
    <cellStyle name="Comma 37 7 2" xfId="444"/>
    <cellStyle name="Comma 37 7 2 2" xfId="12465"/>
    <cellStyle name="Comma 37 7 3" xfId="11748"/>
    <cellStyle name="Comma 37 8" xfId="445"/>
    <cellStyle name="Comma 37 8 2" xfId="11516"/>
    <cellStyle name="Comma 37 9" xfId="446"/>
    <cellStyle name="Comma 37 9 2" xfId="12236"/>
    <cellStyle name="Comma 38" xfId="447"/>
    <cellStyle name="Comma 39" xfId="448"/>
    <cellStyle name="Comma 39 2" xfId="449"/>
    <cellStyle name="Comma 4" xfId="450"/>
    <cellStyle name="Comma 4 2" xfId="451"/>
    <cellStyle name="Comma 4 3" xfId="452"/>
    <cellStyle name="Comma 4 4" xfId="453"/>
    <cellStyle name="Comma 4 5" xfId="454"/>
    <cellStyle name="Comma 4 6" xfId="455"/>
    <cellStyle name="Comma 4 7" xfId="456"/>
    <cellStyle name="Comma 4 7 2" xfId="457"/>
    <cellStyle name="Comma 4 8" xfId="3335"/>
    <cellStyle name="Comma 40" xfId="458"/>
    <cellStyle name="Comma 41" xfId="459"/>
    <cellStyle name="Comma 42" xfId="460"/>
    <cellStyle name="Comma 43" xfId="461"/>
    <cellStyle name="Comma 44" xfId="462"/>
    <cellStyle name="Comma 44 2" xfId="463"/>
    <cellStyle name="Comma 44 2 2" xfId="12445"/>
    <cellStyle name="Comma 44 3" xfId="11714"/>
    <cellStyle name="Comma 45" xfId="464"/>
    <cellStyle name="Comma 46" xfId="465"/>
    <cellStyle name="Comma 47" xfId="466"/>
    <cellStyle name="Comma 48" xfId="467"/>
    <cellStyle name="Comma 49" xfId="468"/>
    <cellStyle name="Comma 49 2" xfId="13237"/>
    <cellStyle name="Comma 5" xfId="469"/>
    <cellStyle name="Comma 5 2" xfId="470"/>
    <cellStyle name="Comma 5 2 2" xfId="471"/>
    <cellStyle name="Comma 5 3" xfId="472"/>
    <cellStyle name="Comma 5 3 2" xfId="473"/>
    <cellStyle name="Comma 5 4" xfId="3336"/>
    <cellStyle name="Comma 50" xfId="474"/>
    <cellStyle name="Comma 51" xfId="10881"/>
    <cellStyle name="Comma 52" xfId="61995"/>
    <cellStyle name="Comma 53" xfId="61997"/>
    <cellStyle name="Comma 54" xfId="62002"/>
    <cellStyle name="Comma 55" xfId="62005"/>
    <cellStyle name="Comma 6" xfId="475"/>
    <cellStyle name="Comma 6 2" xfId="476"/>
    <cellStyle name="Comma 6 2 2" xfId="477"/>
    <cellStyle name="Comma 6 3" xfId="3337"/>
    <cellStyle name="Comma 7" xfId="478"/>
    <cellStyle name="Comma 7 2" xfId="479"/>
    <cellStyle name="Comma 7 3" xfId="480"/>
    <cellStyle name="Comma 8" xfId="481"/>
    <cellStyle name="Comma 8 2" xfId="482"/>
    <cellStyle name="Comma 8 2 2" xfId="483"/>
    <cellStyle name="Comma 8 3" xfId="484"/>
    <cellStyle name="Comma 9" xfId="485"/>
    <cellStyle name="Comma 9 2" xfId="486"/>
    <cellStyle name="Comma 9 3" xfId="487"/>
    <cellStyle name="Comma 9 4" xfId="488"/>
    <cellStyle name="Comma0" xfId="489"/>
    <cellStyle name="Consolidation" xfId="490"/>
    <cellStyle name="Copied" xfId="491"/>
    <cellStyle name="Currency" xfId="62006" builtinId="4"/>
    <cellStyle name="Currency [00]" xfId="492"/>
    <cellStyle name="Currency 0" xfId="493"/>
    <cellStyle name="Currency 10" xfId="494"/>
    <cellStyle name="Currency 2" xfId="495"/>
    <cellStyle name="Currency 2 2" xfId="496"/>
    <cellStyle name="Currency 2 2 10" xfId="497"/>
    <cellStyle name="Currency 2 2 10 2" xfId="498"/>
    <cellStyle name="Currency 2 2 10 2 2" xfId="12456"/>
    <cellStyle name="Currency 2 2 10 3" xfId="11739"/>
    <cellStyle name="Currency 2 2 11" xfId="499"/>
    <cellStyle name="Currency 2 2 11 2" xfId="11507"/>
    <cellStyle name="Currency 2 2 12" xfId="500"/>
    <cellStyle name="Currency 2 2 12 2" xfId="12227"/>
    <cellStyle name="Currency 2 2 13" xfId="10960"/>
    <cellStyle name="Currency 2 2 2" xfId="501"/>
    <cellStyle name="Currency 2 2 2 10" xfId="502"/>
    <cellStyle name="Currency 2 2 2 10 2" xfId="11511"/>
    <cellStyle name="Currency 2 2 2 11" xfId="503"/>
    <cellStyle name="Currency 2 2 2 11 2" xfId="12231"/>
    <cellStyle name="Currency 2 2 2 12" xfId="10977"/>
    <cellStyle name="Currency 2 2 2 2" xfId="504"/>
    <cellStyle name="Currency 2 2 2 2 10" xfId="505"/>
    <cellStyle name="Currency 2 2 2 2 10 2" xfId="12243"/>
    <cellStyle name="Currency 2 2 2 2 11" xfId="11022"/>
    <cellStyle name="Currency 2 2 2 2 2" xfId="506"/>
    <cellStyle name="Currency 2 2 2 2 3" xfId="507"/>
    <cellStyle name="Currency 2 2 2 2 3 2" xfId="508"/>
    <cellStyle name="Currency 2 2 2 2 3 2 2" xfId="509"/>
    <cellStyle name="Currency 2 2 2 2 3 2 2 2" xfId="510"/>
    <cellStyle name="Currency 2 2 2 2 3 2 2 2 2" xfId="12645"/>
    <cellStyle name="Currency 2 2 2 2 3 2 2 3" xfId="11948"/>
    <cellStyle name="Currency 2 2 2 2 3 2 3" xfId="511"/>
    <cellStyle name="Currency 2 2 2 2 3 2 3 2" xfId="11649"/>
    <cellStyle name="Currency 2 2 2 2 3 2 4" xfId="512"/>
    <cellStyle name="Currency 2 2 2 2 3 2 4 2" xfId="12377"/>
    <cellStyle name="Currency 2 2 2 2 3 2 5" xfId="11498"/>
    <cellStyle name="Currency 2 2 2 2 3 3" xfId="513"/>
    <cellStyle name="Currency 2 2 2 2 3 3 2" xfId="514"/>
    <cellStyle name="Currency 2 2 2 2 3 3 2 2" xfId="12554"/>
    <cellStyle name="Currency 2 2 2 2 3 3 3" xfId="11859"/>
    <cellStyle name="Currency 2 2 2 2 3 4" xfId="515"/>
    <cellStyle name="Currency 2 2 2 2 3 4 2" xfId="11568"/>
    <cellStyle name="Currency 2 2 2 2 3 5" xfId="516"/>
    <cellStyle name="Currency 2 2 2 2 3 5 2" xfId="12287"/>
    <cellStyle name="Currency 2 2 2 2 3 6" xfId="11058"/>
    <cellStyle name="Currency 2 2 2 2 4" xfId="517"/>
    <cellStyle name="Currency 2 2 2 2 4 2" xfId="518"/>
    <cellStyle name="Currency 2 2 2 2 4 2 2" xfId="519"/>
    <cellStyle name="Currency 2 2 2 2 4 2 2 2" xfId="12671"/>
    <cellStyle name="Currency 2 2 2 2 4 2 3" xfId="11974"/>
    <cellStyle name="Currency 2 2 2 2 4 3" xfId="520"/>
    <cellStyle name="Currency 2 2 2 2 4 3 2" xfId="11673"/>
    <cellStyle name="Currency 2 2 2 2 4 4" xfId="521"/>
    <cellStyle name="Currency 2 2 2 2 4 4 2" xfId="12403"/>
    <cellStyle name="Currency 2 2 2 2 4 5" xfId="11431"/>
    <cellStyle name="Currency 2 2 2 2 5" xfId="522"/>
    <cellStyle name="Currency 2 2 2 2 5 2" xfId="523"/>
    <cellStyle name="Currency 2 2 2 2 5 2 2" xfId="524"/>
    <cellStyle name="Currency 2 2 2 2 5 2 2 2" xfId="12623"/>
    <cellStyle name="Currency 2 2 2 2 5 2 3" xfId="11926"/>
    <cellStyle name="Currency 2 2 2 2 5 3" xfId="525"/>
    <cellStyle name="Currency 2 2 2 2 5 3 2" xfId="11627"/>
    <cellStyle name="Currency 2 2 2 2 5 4" xfId="526"/>
    <cellStyle name="Currency 2 2 2 2 5 4 2" xfId="12355"/>
    <cellStyle name="Currency 2 2 2 2 5 5" xfId="11472"/>
    <cellStyle name="Currency 2 2 2 2 6" xfId="527"/>
    <cellStyle name="Currency 2 2 2 2 6 2" xfId="528"/>
    <cellStyle name="Currency 2 2 2 2 6 2 2" xfId="529"/>
    <cellStyle name="Currency 2 2 2 2 6 2 2 2" xfId="12705"/>
    <cellStyle name="Currency 2 2 2 2 6 2 3" xfId="12006"/>
    <cellStyle name="Currency 2 2 2 2 6 3" xfId="530"/>
    <cellStyle name="Currency 2 2 2 2 6 3 2" xfId="12437"/>
    <cellStyle name="Currency 2 2 2 2 6 4" xfId="11701"/>
    <cellStyle name="Currency 2 2 2 2 7" xfId="531"/>
    <cellStyle name="Currency 2 2 2 2 7 2" xfId="532"/>
    <cellStyle name="Currency 2 2 2 2 7 2 2" xfId="533"/>
    <cellStyle name="Currency 2 2 2 2 7 2 2 2" xfId="12591"/>
    <cellStyle name="Currency 2 2 2 2 7 2 3" xfId="11895"/>
    <cellStyle name="Currency 2 2 2 2 7 3" xfId="534"/>
    <cellStyle name="Currency 2 2 2 2 7 3 2" xfId="12323"/>
    <cellStyle name="Currency 2 2 2 2 7 4" xfId="11595"/>
    <cellStyle name="Currency 2 2 2 2 8" xfId="535"/>
    <cellStyle name="Currency 2 2 2 2 8 2" xfId="536"/>
    <cellStyle name="Currency 2 2 2 2 8 2 2" xfId="12472"/>
    <cellStyle name="Currency 2 2 2 2 8 3" xfId="11755"/>
    <cellStyle name="Currency 2 2 2 2 9" xfId="537"/>
    <cellStyle name="Currency 2 2 2 2 9 2" xfId="11523"/>
    <cellStyle name="Currency 2 2 2 3" xfId="538"/>
    <cellStyle name="Currency 2 2 2 4" xfId="539"/>
    <cellStyle name="Currency 2 2 2 4 2" xfId="540"/>
    <cellStyle name="Currency 2 2 2 4 2 2" xfId="541"/>
    <cellStyle name="Currency 2 2 2 4 2 2 2" xfId="542"/>
    <cellStyle name="Currency 2 2 2 4 2 2 2 2" xfId="12633"/>
    <cellStyle name="Currency 2 2 2 4 2 2 3" xfId="11936"/>
    <cellStyle name="Currency 2 2 2 4 2 3" xfId="543"/>
    <cellStyle name="Currency 2 2 2 4 2 3 2" xfId="11637"/>
    <cellStyle name="Currency 2 2 2 4 2 4" xfId="544"/>
    <cellStyle name="Currency 2 2 2 4 2 4 2" xfId="12365"/>
    <cellStyle name="Currency 2 2 2 4 2 5" xfId="11486"/>
    <cellStyle name="Currency 2 2 2 4 3" xfId="545"/>
    <cellStyle name="Currency 2 2 2 4 3 2" xfId="546"/>
    <cellStyle name="Currency 2 2 2 4 3 2 2" xfId="12542"/>
    <cellStyle name="Currency 2 2 2 4 3 3" xfId="11847"/>
    <cellStyle name="Currency 2 2 2 4 4" xfId="547"/>
    <cellStyle name="Currency 2 2 2 4 4 2" xfId="11556"/>
    <cellStyle name="Currency 2 2 2 4 5" xfId="548"/>
    <cellStyle name="Currency 2 2 2 4 5 2" xfId="12275"/>
    <cellStyle name="Currency 2 2 2 4 6" xfId="11046"/>
    <cellStyle name="Currency 2 2 2 5" xfId="549"/>
    <cellStyle name="Currency 2 2 2 5 2" xfId="550"/>
    <cellStyle name="Currency 2 2 2 5 2 2" xfId="551"/>
    <cellStyle name="Currency 2 2 2 5 2 2 2" xfId="12657"/>
    <cellStyle name="Currency 2 2 2 5 2 3" xfId="11960"/>
    <cellStyle name="Currency 2 2 2 5 3" xfId="552"/>
    <cellStyle name="Currency 2 2 2 5 3 2" xfId="11661"/>
    <cellStyle name="Currency 2 2 2 5 4" xfId="553"/>
    <cellStyle name="Currency 2 2 2 5 4 2" xfId="12389"/>
    <cellStyle name="Currency 2 2 2 5 5" xfId="11417"/>
    <cellStyle name="Currency 2 2 2 6" xfId="554"/>
    <cellStyle name="Currency 2 2 2 6 2" xfId="555"/>
    <cellStyle name="Currency 2 2 2 6 2 2" xfId="556"/>
    <cellStyle name="Currency 2 2 2 6 2 2 2" xfId="12611"/>
    <cellStyle name="Currency 2 2 2 6 2 3" xfId="11914"/>
    <cellStyle name="Currency 2 2 2 6 3" xfId="557"/>
    <cellStyle name="Currency 2 2 2 6 3 2" xfId="11615"/>
    <cellStyle name="Currency 2 2 2 6 4" xfId="558"/>
    <cellStyle name="Currency 2 2 2 6 4 2" xfId="12343"/>
    <cellStyle name="Currency 2 2 2 6 5" xfId="11460"/>
    <cellStyle name="Currency 2 2 2 7" xfId="559"/>
    <cellStyle name="Currency 2 2 2 7 2" xfId="560"/>
    <cellStyle name="Currency 2 2 2 7 2 2" xfId="561"/>
    <cellStyle name="Currency 2 2 2 7 2 2 2" xfId="12693"/>
    <cellStyle name="Currency 2 2 2 7 2 3" xfId="11994"/>
    <cellStyle name="Currency 2 2 2 7 3" xfId="562"/>
    <cellStyle name="Currency 2 2 2 7 3 2" xfId="12425"/>
    <cellStyle name="Currency 2 2 2 7 4" xfId="11689"/>
    <cellStyle name="Currency 2 2 2 8" xfId="563"/>
    <cellStyle name="Currency 2 2 2 8 2" xfId="564"/>
    <cellStyle name="Currency 2 2 2 8 2 2" xfId="565"/>
    <cellStyle name="Currency 2 2 2 8 2 2 2" xfId="12579"/>
    <cellStyle name="Currency 2 2 2 8 2 3" xfId="11883"/>
    <cellStyle name="Currency 2 2 2 8 3" xfId="566"/>
    <cellStyle name="Currency 2 2 2 8 3 2" xfId="12311"/>
    <cellStyle name="Currency 2 2 2 8 4" xfId="11583"/>
    <cellStyle name="Currency 2 2 2 9" xfId="567"/>
    <cellStyle name="Currency 2 2 2 9 2" xfId="568"/>
    <cellStyle name="Currency 2 2 2 9 2 2" xfId="12460"/>
    <cellStyle name="Currency 2 2 2 9 3" xfId="11743"/>
    <cellStyle name="Currency 2 2 3" xfId="569"/>
    <cellStyle name="Currency 2 2 3 10" xfId="11018"/>
    <cellStyle name="Currency 2 2 3 2" xfId="570"/>
    <cellStyle name="Currency 2 2 3 2 2" xfId="571"/>
    <cellStyle name="Currency 2 2 3 2 2 2" xfId="572"/>
    <cellStyle name="Currency 2 2 3 2 2 2 2" xfId="573"/>
    <cellStyle name="Currency 2 2 3 2 2 2 2 2" xfId="12641"/>
    <cellStyle name="Currency 2 2 3 2 2 2 3" xfId="11944"/>
    <cellStyle name="Currency 2 2 3 2 2 3" xfId="574"/>
    <cellStyle name="Currency 2 2 3 2 2 3 2" xfId="11645"/>
    <cellStyle name="Currency 2 2 3 2 2 4" xfId="575"/>
    <cellStyle name="Currency 2 2 3 2 2 4 2" xfId="12373"/>
    <cellStyle name="Currency 2 2 3 2 2 5" xfId="11494"/>
    <cellStyle name="Currency 2 2 3 2 3" xfId="576"/>
    <cellStyle name="Currency 2 2 3 2 3 2" xfId="577"/>
    <cellStyle name="Currency 2 2 3 2 3 2 2" xfId="12550"/>
    <cellStyle name="Currency 2 2 3 2 3 3" xfId="11855"/>
    <cellStyle name="Currency 2 2 3 2 4" xfId="578"/>
    <cellStyle name="Currency 2 2 3 2 4 2" xfId="11564"/>
    <cellStyle name="Currency 2 2 3 2 5" xfId="579"/>
    <cellStyle name="Currency 2 2 3 2 5 2" xfId="12283"/>
    <cellStyle name="Currency 2 2 3 2 6" xfId="11054"/>
    <cellStyle name="Currency 2 2 3 3" xfId="580"/>
    <cellStyle name="Currency 2 2 3 3 2" xfId="581"/>
    <cellStyle name="Currency 2 2 3 3 2 2" xfId="582"/>
    <cellStyle name="Currency 2 2 3 3 2 2 2" xfId="12667"/>
    <cellStyle name="Currency 2 2 3 3 2 3" xfId="11970"/>
    <cellStyle name="Currency 2 2 3 3 3" xfId="583"/>
    <cellStyle name="Currency 2 2 3 3 3 2" xfId="11669"/>
    <cellStyle name="Currency 2 2 3 3 4" xfId="584"/>
    <cellStyle name="Currency 2 2 3 3 4 2" xfId="12399"/>
    <cellStyle name="Currency 2 2 3 3 5" xfId="11427"/>
    <cellStyle name="Currency 2 2 3 4" xfId="585"/>
    <cellStyle name="Currency 2 2 3 4 2" xfId="586"/>
    <cellStyle name="Currency 2 2 3 4 2 2" xfId="587"/>
    <cellStyle name="Currency 2 2 3 4 2 2 2" xfId="12619"/>
    <cellStyle name="Currency 2 2 3 4 2 3" xfId="11922"/>
    <cellStyle name="Currency 2 2 3 4 3" xfId="588"/>
    <cellStyle name="Currency 2 2 3 4 3 2" xfId="11623"/>
    <cellStyle name="Currency 2 2 3 4 4" xfId="589"/>
    <cellStyle name="Currency 2 2 3 4 4 2" xfId="12351"/>
    <cellStyle name="Currency 2 2 3 4 5" xfId="11468"/>
    <cellStyle name="Currency 2 2 3 5" xfId="590"/>
    <cellStyle name="Currency 2 2 3 5 2" xfId="591"/>
    <cellStyle name="Currency 2 2 3 5 2 2" xfId="592"/>
    <cellStyle name="Currency 2 2 3 5 2 2 2" xfId="12701"/>
    <cellStyle name="Currency 2 2 3 5 2 3" xfId="12002"/>
    <cellStyle name="Currency 2 2 3 5 3" xfId="593"/>
    <cellStyle name="Currency 2 2 3 5 3 2" xfId="12433"/>
    <cellStyle name="Currency 2 2 3 5 4" xfId="11697"/>
    <cellStyle name="Currency 2 2 3 6" xfId="594"/>
    <cellStyle name="Currency 2 2 3 6 2" xfId="595"/>
    <cellStyle name="Currency 2 2 3 6 2 2" xfId="596"/>
    <cellStyle name="Currency 2 2 3 6 2 2 2" xfId="12587"/>
    <cellStyle name="Currency 2 2 3 6 2 3" xfId="11891"/>
    <cellStyle name="Currency 2 2 3 6 3" xfId="597"/>
    <cellStyle name="Currency 2 2 3 6 3 2" xfId="12319"/>
    <cellStyle name="Currency 2 2 3 6 4" xfId="11591"/>
    <cellStyle name="Currency 2 2 3 7" xfId="598"/>
    <cellStyle name="Currency 2 2 3 7 2" xfId="599"/>
    <cellStyle name="Currency 2 2 3 7 2 2" xfId="12468"/>
    <cellStyle name="Currency 2 2 3 7 3" xfId="11751"/>
    <cellStyle name="Currency 2 2 3 8" xfId="600"/>
    <cellStyle name="Currency 2 2 3 8 2" xfId="11519"/>
    <cellStyle name="Currency 2 2 3 9" xfId="601"/>
    <cellStyle name="Currency 2 2 3 9 2" xfId="12239"/>
    <cellStyle name="Currency 2 2 4" xfId="602"/>
    <cellStyle name="Currency 2 2 4 2" xfId="603"/>
    <cellStyle name="Currency 2 2 4 3" xfId="604"/>
    <cellStyle name="Currency 2 2 4 3 2" xfId="605"/>
    <cellStyle name="Currency 2 2 4 3 2 2" xfId="606"/>
    <cellStyle name="Currency 2 2 4 3 2 2 2" xfId="12607"/>
    <cellStyle name="Currency 2 2 4 3 2 3" xfId="11910"/>
    <cellStyle name="Currency 2 2 4 3 3" xfId="607"/>
    <cellStyle name="Currency 2 2 4 3 3 2" xfId="12339"/>
    <cellStyle name="Currency 2 2 4 3 4" xfId="11611"/>
    <cellStyle name="Currency 2 2 4 4" xfId="10973"/>
    <cellStyle name="Currency 2 2 5" xfId="608"/>
    <cellStyle name="Currency 2 2 5 2" xfId="609"/>
    <cellStyle name="Currency 2 2 5 2 2" xfId="610"/>
    <cellStyle name="Currency 2 2 5 2 2 2" xfId="611"/>
    <cellStyle name="Currency 2 2 5 2 2 2 2" xfId="12629"/>
    <cellStyle name="Currency 2 2 5 2 2 3" xfId="11932"/>
    <cellStyle name="Currency 2 2 5 2 3" xfId="612"/>
    <cellStyle name="Currency 2 2 5 2 3 2" xfId="11633"/>
    <cellStyle name="Currency 2 2 5 2 4" xfId="613"/>
    <cellStyle name="Currency 2 2 5 2 4 2" xfId="12361"/>
    <cellStyle name="Currency 2 2 5 2 5" xfId="11482"/>
    <cellStyle name="Currency 2 2 5 3" xfId="614"/>
    <cellStyle name="Currency 2 2 5 3 2" xfId="615"/>
    <cellStyle name="Currency 2 2 5 3 2 2" xfId="12538"/>
    <cellStyle name="Currency 2 2 5 3 3" xfId="11843"/>
    <cellStyle name="Currency 2 2 5 4" xfId="616"/>
    <cellStyle name="Currency 2 2 5 4 2" xfId="11552"/>
    <cellStyle name="Currency 2 2 5 5" xfId="617"/>
    <cellStyle name="Currency 2 2 5 5 2" xfId="12271"/>
    <cellStyle name="Currency 2 2 5 6" xfId="11042"/>
    <cellStyle name="Currency 2 2 6" xfId="618"/>
    <cellStyle name="Currency 2 2 6 2" xfId="619"/>
    <cellStyle name="Currency 2 2 6 2 2" xfId="620"/>
    <cellStyle name="Currency 2 2 6 2 2 2" xfId="12653"/>
    <cellStyle name="Currency 2 2 6 2 3" xfId="11956"/>
    <cellStyle name="Currency 2 2 6 3" xfId="621"/>
    <cellStyle name="Currency 2 2 6 3 2" xfId="11657"/>
    <cellStyle name="Currency 2 2 6 4" xfId="622"/>
    <cellStyle name="Currency 2 2 6 4 2" xfId="12385"/>
    <cellStyle name="Currency 2 2 6 5" xfId="11413"/>
    <cellStyle name="Currency 2 2 7" xfId="623"/>
    <cellStyle name="Currency 2 2 7 2" xfId="624"/>
    <cellStyle name="Currency 2 2 7 2 2" xfId="625"/>
    <cellStyle name="Currency 2 2 7 2 2 2" xfId="12603"/>
    <cellStyle name="Currency 2 2 7 2 3" xfId="11906"/>
    <cellStyle name="Currency 2 2 7 3" xfId="626"/>
    <cellStyle name="Currency 2 2 7 3 2" xfId="11607"/>
    <cellStyle name="Currency 2 2 7 4" xfId="627"/>
    <cellStyle name="Currency 2 2 7 4 2" xfId="12335"/>
    <cellStyle name="Currency 2 2 7 5" xfId="11456"/>
    <cellStyle name="Currency 2 2 8" xfId="628"/>
    <cellStyle name="Currency 2 2 8 2" xfId="629"/>
    <cellStyle name="Currency 2 2 8 2 2" xfId="630"/>
    <cellStyle name="Currency 2 2 8 2 2 2" xfId="12689"/>
    <cellStyle name="Currency 2 2 8 2 3" xfId="11990"/>
    <cellStyle name="Currency 2 2 8 3" xfId="631"/>
    <cellStyle name="Currency 2 2 8 3 2" xfId="12421"/>
    <cellStyle name="Currency 2 2 8 4" xfId="11685"/>
    <cellStyle name="Currency 2 2 9" xfId="632"/>
    <cellStyle name="Currency 2 2 9 2" xfId="633"/>
    <cellStyle name="Currency 2 2 9 2 2" xfId="634"/>
    <cellStyle name="Currency 2 2 9 2 2 2" xfId="12575"/>
    <cellStyle name="Currency 2 2 9 2 3" xfId="11879"/>
    <cellStyle name="Currency 2 2 9 3" xfId="635"/>
    <cellStyle name="Currency 2 2 9 3 2" xfId="12307"/>
    <cellStyle name="Currency 2 2 9 4" xfId="11579"/>
    <cellStyle name="Currency 2 3" xfId="636"/>
    <cellStyle name="Currency 2 3 10" xfId="637"/>
    <cellStyle name="Currency 2 3 10 2" xfId="638"/>
    <cellStyle name="Currency 2 3 10 2 2" xfId="12458"/>
    <cellStyle name="Currency 2 3 10 3" xfId="11741"/>
    <cellStyle name="Currency 2 3 11" xfId="639"/>
    <cellStyle name="Currency 2 3 11 2" xfId="11509"/>
    <cellStyle name="Currency 2 3 12" xfId="640"/>
    <cellStyle name="Currency 2 3 12 2" xfId="12229"/>
    <cellStyle name="Currency 2 3 13" xfId="10970"/>
    <cellStyle name="Currency 2 3 2" xfId="641"/>
    <cellStyle name="Currency 2 3 2 10" xfId="642"/>
    <cellStyle name="Currency 2 3 2 10 2" xfId="12233"/>
    <cellStyle name="Currency 2 3 2 11" xfId="10979"/>
    <cellStyle name="Currency 2 3 2 2" xfId="643"/>
    <cellStyle name="Currency 2 3 2 2 10" xfId="11024"/>
    <cellStyle name="Currency 2 3 2 2 2" xfId="644"/>
    <cellStyle name="Currency 2 3 2 2 2 2" xfId="645"/>
    <cellStyle name="Currency 2 3 2 2 2 2 2" xfId="646"/>
    <cellStyle name="Currency 2 3 2 2 2 2 2 2" xfId="647"/>
    <cellStyle name="Currency 2 3 2 2 2 2 2 2 2" xfId="12647"/>
    <cellStyle name="Currency 2 3 2 2 2 2 2 3" xfId="11950"/>
    <cellStyle name="Currency 2 3 2 2 2 2 3" xfId="648"/>
    <cellStyle name="Currency 2 3 2 2 2 2 3 2" xfId="11651"/>
    <cellStyle name="Currency 2 3 2 2 2 2 4" xfId="649"/>
    <cellStyle name="Currency 2 3 2 2 2 2 4 2" xfId="12379"/>
    <cellStyle name="Currency 2 3 2 2 2 2 5" xfId="11500"/>
    <cellStyle name="Currency 2 3 2 2 2 3" xfId="650"/>
    <cellStyle name="Currency 2 3 2 2 2 3 2" xfId="651"/>
    <cellStyle name="Currency 2 3 2 2 2 3 2 2" xfId="12556"/>
    <cellStyle name="Currency 2 3 2 2 2 3 3" xfId="11861"/>
    <cellStyle name="Currency 2 3 2 2 2 4" xfId="652"/>
    <cellStyle name="Currency 2 3 2 2 2 4 2" xfId="11570"/>
    <cellStyle name="Currency 2 3 2 2 2 5" xfId="653"/>
    <cellStyle name="Currency 2 3 2 2 2 5 2" xfId="12289"/>
    <cellStyle name="Currency 2 3 2 2 2 6" xfId="11060"/>
    <cellStyle name="Currency 2 3 2 2 3" xfId="654"/>
    <cellStyle name="Currency 2 3 2 2 3 2" xfId="655"/>
    <cellStyle name="Currency 2 3 2 2 3 2 2" xfId="656"/>
    <cellStyle name="Currency 2 3 2 2 3 2 2 2" xfId="12673"/>
    <cellStyle name="Currency 2 3 2 2 3 2 3" xfId="11976"/>
    <cellStyle name="Currency 2 3 2 2 3 3" xfId="657"/>
    <cellStyle name="Currency 2 3 2 2 3 3 2" xfId="11675"/>
    <cellStyle name="Currency 2 3 2 2 3 4" xfId="658"/>
    <cellStyle name="Currency 2 3 2 2 3 4 2" xfId="12405"/>
    <cellStyle name="Currency 2 3 2 2 3 5" xfId="11433"/>
    <cellStyle name="Currency 2 3 2 2 4" xfId="659"/>
    <cellStyle name="Currency 2 3 2 2 4 2" xfId="660"/>
    <cellStyle name="Currency 2 3 2 2 4 2 2" xfId="661"/>
    <cellStyle name="Currency 2 3 2 2 4 2 2 2" xfId="12625"/>
    <cellStyle name="Currency 2 3 2 2 4 2 3" xfId="11928"/>
    <cellStyle name="Currency 2 3 2 2 4 3" xfId="662"/>
    <cellStyle name="Currency 2 3 2 2 4 3 2" xfId="11629"/>
    <cellStyle name="Currency 2 3 2 2 4 4" xfId="663"/>
    <cellStyle name="Currency 2 3 2 2 4 4 2" xfId="12357"/>
    <cellStyle name="Currency 2 3 2 2 4 5" xfId="11474"/>
    <cellStyle name="Currency 2 3 2 2 5" xfId="664"/>
    <cellStyle name="Currency 2 3 2 2 5 2" xfId="665"/>
    <cellStyle name="Currency 2 3 2 2 5 2 2" xfId="666"/>
    <cellStyle name="Currency 2 3 2 2 5 2 2 2" xfId="12707"/>
    <cellStyle name="Currency 2 3 2 2 5 2 3" xfId="12008"/>
    <cellStyle name="Currency 2 3 2 2 5 3" xfId="667"/>
    <cellStyle name="Currency 2 3 2 2 5 3 2" xfId="12439"/>
    <cellStyle name="Currency 2 3 2 2 5 4" xfId="11703"/>
    <cellStyle name="Currency 2 3 2 2 6" xfId="668"/>
    <cellStyle name="Currency 2 3 2 2 6 2" xfId="669"/>
    <cellStyle name="Currency 2 3 2 2 6 2 2" xfId="670"/>
    <cellStyle name="Currency 2 3 2 2 6 2 2 2" xfId="12593"/>
    <cellStyle name="Currency 2 3 2 2 6 2 3" xfId="11897"/>
    <cellStyle name="Currency 2 3 2 2 6 3" xfId="671"/>
    <cellStyle name="Currency 2 3 2 2 6 3 2" xfId="12325"/>
    <cellStyle name="Currency 2 3 2 2 6 4" xfId="11597"/>
    <cellStyle name="Currency 2 3 2 2 7" xfId="672"/>
    <cellStyle name="Currency 2 3 2 2 7 2" xfId="673"/>
    <cellStyle name="Currency 2 3 2 2 7 2 2" xfId="12474"/>
    <cellStyle name="Currency 2 3 2 2 7 3" xfId="11757"/>
    <cellStyle name="Currency 2 3 2 2 8" xfId="674"/>
    <cellStyle name="Currency 2 3 2 2 8 2" xfId="11525"/>
    <cellStyle name="Currency 2 3 2 2 9" xfId="675"/>
    <cellStyle name="Currency 2 3 2 2 9 2" xfId="12245"/>
    <cellStyle name="Currency 2 3 2 3" xfId="676"/>
    <cellStyle name="Currency 2 3 2 3 2" xfId="677"/>
    <cellStyle name="Currency 2 3 2 3 2 2" xfId="678"/>
    <cellStyle name="Currency 2 3 2 3 2 2 2" xfId="679"/>
    <cellStyle name="Currency 2 3 2 3 2 2 2 2" xfId="12635"/>
    <cellStyle name="Currency 2 3 2 3 2 2 3" xfId="11938"/>
    <cellStyle name="Currency 2 3 2 3 2 3" xfId="680"/>
    <cellStyle name="Currency 2 3 2 3 2 3 2" xfId="11639"/>
    <cellStyle name="Currency 2 3 2 3 2 4" xfId="681"/>
    <cellStyle name="Currency 2 3 2 3 2 4 2" xfId="12367"/>
    <cellStyle name="Currency 2 3 2 3 2 5" xfId="11488"/>
    <cellStyle name="Currency 2 3 2 3 3" xfId="682"/>
    <cellStyle name="Currency 2 3 2 3 3 2" xfId="683"/>
    <cellStyle name="Currency 2 3 2 3 3 2 2" xfId="12544"/>
    <cellStyle name="Currency 2 3 2 3 3 3" xfId="11849"/>
    <cellStyle name="Currency 2 3 2 3 4" xfId="684"/>
    <cellStyle name="Currency 2 3 2 3 4 2" xfId="11558"/>
    <cellStyle name="Currency 2 3 2 3 5" xfId="685"/>
    <cellStyle name="Currency 2 3 2 3 5 2" xfId="12277"/>
    <cellStyle name="Currency 2 3 2 3 6" xfId="11048"/>
    <cellStyle name="Currency 2 3 2 4" xfId="686"/>
    <cellStyle name="Currency 2 3 2 4 2" xfId="687"/>
    <cellStyle name="Currency 2 3 2 4 2 2" xfId="688"/>
    <cellStyle name="Currency 2 3 2 4 2 2 2" xfId="12659"/>
    <cellStyle name="Currency 2 3 2 4 2 3" xfId="11962"/>
    <cellStyle name="Currency 2 3 2 4 3" xfId="689"/>
    <cellStyle name="Currency 2 3 2 4 3 2" xfId="11663"/>
    <cellStyle name="Currency 2 3 2 4 4" xfId="690"/>
    <cellStyle name="Currency 2 3 2 4 4 2" xfId="12391"/>
    <cellStyle name="Currency 2 3 2 4 5" xfId="11419"/>
    <cellStyle name="Currency 2 3 2 5" xfId="691"/>
    <cellStyle name="Currency 2 3 2 5 2" xfId="692"/>
    <cellStyle name="Currency 2 3 2 5 2 2" xfId="693"/>
    <cellStyle name="Currency 2 3 2 5 2 2 2" xfId="12613"/>
    <cellStyle name="Currency 2 3 2 5 2 3" xfId="11916"/>
    <cellStyle name="Currency 2 3 2 5 3" xfId="694"/>
    <cellStyle name="Currency 2 3 2 5 3 2" xfId="11617"/>
    <cellStyle name="Currency 2 3 2 5 4" xfId="695"/>
    <cellStyle name="Currency 2 3 2 5 4 2" xfId="12345"/>
    <cellStyle name="Currency 2 3 2 5 5" xfId="11462"/>
    <cellStyle name="Currency 2 3 2 6" xfId="696"/>
    <cellStyle name="Currency 2 3 2 6 2" xfId="697"/>
    <cellStyle name="Currency 2 3 2 6 2 2" xfId="698"/>
    <cellStyle name="Currency 2 3 2 6 2 2 2" xfId="12695"/>
    <cellStyle name="Currency 2 3 2 6 2 3" xfId="11996"/>
    <cellStyle name="Currency 2 3 2 6 3" xfId="699"/>
    <cellStyle name="Currency 2 3 2 6 3 2" xfId="12427"/>
    <cellStyle name="Currency 2 3 2 6 4" xfId="11691"/>
    <cellStyle name="Currency 2 3 2 7" xfId="700"/>
    <cellStyle name="Currency 2 3 2 7 2" xfId="701"/>
    <cellStyle name="Currency 2 3 2 7 2 2" xfId="702"/>
    <cellStyle name="Currency 2 3 2 7 2 2 2" xfId="12581"/>
    <cellStyle name="Currency 2 3 2 7 2 3" xfId="11885"/>
    <cellStyle name="Currency 2 3 2 7 3" xfId="703"/>
    <cellStyle name="Currency 2 3 2 7 3 2" xfId="12313"/>
    <cellStyle name="Currency 2 3 2 7 4" xfId="11585"/>
    <cellStyle name="Currency 2 3 2 8" xfId="704"/>
    <cellStyle name="Currency 2 3 2 8 2" xfId="705"/>
    <cellStyle name="Currency 2 3 2 8 2 2" xfId="12462"/>
    <cellStyle name="Currency 2 3 2 8 3" xfId="11745"/>
    <cellStyle name="Currency 2 3 2 9" xfId="706"/>
    <cellStyle name="Currency 2 3 2 9 2" xfId="11513"/>
    <cellStyle name="Currency 2 3 3" xfId="707"/>
    <cellStyle name="Currency 2 3 3 10" xfId="11020"/>
    <cellStyle name="Currency 2 3 3 2" xfId="708"/>
    <cellStyle name="Currency 2 3 3 2 2" xfId="709"/>
    <cellStyle name="Currency 2 3 3 2 2 2" xfId="710"/>
    <cellStyle name="Currency 2 3 3 2 2 2 2" xfId="711"/>
    <cellStyle name="Currency 2 3 3 2 2 2 2 2" xfId="12643"/>
    <cellStyle name="Currency 2 3 3 2 2 2 3" xfId="11946"/>
    <cellStyle name="Currency 2 3 3 2 2 3" xfId="712"/>
    <cellStyle name="Currency 2 3 3 2 2 3 2" xfId="11647"/>
    <cellStyle name="Currency 2 3 3 2 2 4" xfId="713"/>
    <cellStyle name="Currency 2 3 3 2 2 4 2" xfId="12375"/>
    <cellStyle name="Currency 2 3 3 2 2 5" xfId="11496"/>
    <cellStyle name="Currency 2 3 3 2 3" xfId="714"/>
    <cellStyle name="Currency 2 3 3 2 3 2" xfId="715"/>
    <cellStyle name="Currency 2 3 3 2 3 2 2" xfId="12552"/>
    <cellStyle name="Currency 2 3 3 2 3 3" xfId="11857"/>
    <cellStyle name="Currency 2 3 3 2 4" xfId="716"/>
    <cellStyle name="Currency 2 3 3 2 4 2" xfId="11566"/>
    <cellStyle name="Currency 2 3 3 2 5" xfId="717"/>
    <cellStyle name="Currency 2 3 3 2 5 2" xfId="12285"/>
    <cellStyle name="Currency 2 3 3 2 6" xfId="11056"/>
    <cellStyle name="Currency 2 3 3 3" xfId="718"/>
    <cellStyle name="Currency 2 3 3 3 2" xfId="719"/>
    <cellStyle name="Currency 2 3 3 3 2 2" xfId="720"/>
    <cellStyle name="Currency 2 3 3 3 2 2 2" xfId="12669"/>
    <cellStyle name="Currency 2 3 3 3 2 3" xfId="11972"/>
    <cellStyle name="Currency 2 3 3 3 3" xfId="721"/>
    <cellStyle name="Currency 2 3 3 3 3 2" xfId="11671"/>
    <cellStyle name="Currency 2 3 3 3 4" xfId="722"/>
    <cellStyle name="Currency 2 3 3 3 4 2" xfId="12401"/>
    <cellStyle name="Currency 2 3 3 3 5" xfId="11429"/>
    <cellStyle name="Currency 2 3 3 4" xfId="723"/>
    <cellStyle name="Currency 2 3 3 4 2" xfId="724"/>
    <cellStyle name="Currency 2 3 3 4 2 2" xfId="725"/>
    <cellStyle name="Currency 2 3 3 4 2 2 2" xfId="12621"/>
    <cellStyle name="Currency 2 3 3 4 2 3" xfId="11924"/>
    <cellStyle name="Currency 2 3 3 4 3" xfId="726"/>
    <cellStyle name="Currency 2 3 3 4 3 2" xfId="11625"/>
    <cellStyle name="Currency 2 3 3 4 4" xfId="727"/>
    <cellStyle name="Currency 2 3 3 4 4 2" xfId="12353"/>
    <cellStyle name="Currency 2 3 3 4 5" xfId="11470"/>
    <cellStyle name="Currency 2 3 3 5" xfId="728"/>
    <cellStyle name="Currency 2 3 3 5 2" xfId="729"/>
    <cellStyle name="Currency 2 3 3 5 2 2" xfId="730"/>
    <cellStyle name="Currency 2 3 3 5 2 2 2" xfId="12703"/>
    <cellStyle name="Currency 2 3 3 5 2 3" xfId="12004"/>
    <cellStyle name="Currency 2 3 3 5 3" xfId="731"/>
    <cellStyle name="Currency 2 3 3 5 3 2" xfId="12435"/>
    <cellStyle name="Currency 2 3 3 5 4" xfId="11699"/>
    <cellStyle name="Currency 2 3 3 6" xfId="732"/>
    <cellStyle name="Currency 2 3 3 6 2" xfId="733"/>
    <cellStyle name="Currency 2 3 3 6 2 2" xfId="734"/>
    <cellStyle name="Currency 2 3 3 6 2 2 2" xfId="12589"/>
    <cellStyle name="Currency 2 3 3 6 2 3" xfId="11893"/>
    <cellStyle name="Currency 2 3 3 6 3" xfId="735"/>
    <cellStyle name="Currency 2 3 3 6 3 2" xfId="12321"/>
    <cellStyle name="Currency 2 3 3 6 4" xfId="11593"/>
    <cellStyle name="Currency 2 3 3 7" xfId="736"/>
    <cellStyle name="Currency 2 3 3 7 2" xfId="737"/>
    <cellStyle name="Currency 2 3 3 7 2 2" xfId="12470"/>
    <cellStyle name="Currency 2 3 3 7 3" xfId="11753"/>
    <cellStyle name="Currency 2 3 3 8" xfId="738"/>
    <cellStyle name="Currency 2 3 3 8 2" xfId="11521"/>
    <cellStyle name="Currency 2 3 3 9" xfId="739"/>
    <cellStyle name="Currency 2 3 3 9 2" xfId="12241"/>
    <cellStyle name="Currency 2 3 4" xfId="740"/>
    <cellStyle name="Currency 2 3 4 2" xfId="741"/>
    <cellStyle name="Currency 2 3 4 2 2" xfId="742"/>
    <cellStyle name="Currency 2 3 4 2 2 2" xfId="743"/>
    <cellStyle name="Currency 2 3 4 2 2 2 2" xfId="12609"/>
    <cellStyle name="Currency 2 3 4 2 2 3" xfId="11912"/>
    <cellStyle name="Currency 2 3 4 2 3" xfId="744"/>
    <cellStyle name="Currency 2 3 4 2 3 2" xfId="11613"/>
    <cellStyle name="Currency 2 3 4 2 4" xfId="745"/>
    <cellStyle name="Currency 2 3 4 2 4 2" xfId="12341"/>
    <cellStyle name="Currency 2 3 4 2 5" xfId="11484"/>
    <cellStyle name="Currency 2 3 4 3" xfId="746"/>
    <cellStyle name="Currency 2 3 4 3 2" xfId="747"/>
    <cellStyle name="Currency 2 3 4 3 2 2" xfId="12540"/>
    <cellStyle name="Currency 2 3 4 3 3" xfId="11845"/>
    <cellStyle name="Currency 2 3 4 4" xfId="748"/>
    <cellStyle name="Currency 2 3 4 4 2" xfId="11554"/>
    <cellStyle name="Currency 2 3 4 5" xfId="749"/>
    <cellStyle name="Currency 2 3 4 5 2" xfId="12273"/>
    <cellStyle name="Currency 2 3 4 6" xfId="10975"/>
    <cellStyle name="Currency 2 3 5" xfId="750"/>
    <cellStyle name="Currency 2 3 5 2" xfId="751"/>
    <cellStyle name="Currency 2 3 5 2 2" xfId="752"/>
    <cellStyle name="Currency 2 3 5 2 2 2" xfId="12631"/>
    <cellStyle name="Currency 2 3 5 2 3" xfId="11934"/>
    <cellStyle name="Currency 2 3 5 3" xfId="753"/>
    <cellStyle name="Currency 2 3 5 3 2" xfId="11635"/>
    <cellStyle name="Currency 2 3 5 4" xfId="754"/>
    <cellStyle name="Currency 2 3 5 4 2" xfId="12363"/>
    <cellStyle name="Currency 2 3 5 5" xfId="11044"/>
    <cellStyle name="Currency 2 3 6" xfId="755"/>
    <cellStyle name="Currency 2 3 6 2" xfId="756"/>
    <cellStyle name="Currency 2 3 6 2 2" xfId="757"/>
    <cellStyle name="Currency 2 3 6 2 2 2" xfId="12655"/>
    <cellStyle name="Currency 2 3 6 2 3" xfId="11958"/>
    <cellStyle name="Currency 2 3 6 3" xfId="758"/>
    <cellStyle name="Currency 2 3 6 3 2" xfId="11659"/>
    <cellStyle name="Currency 2 3 6 4" xfId="759"/>
    <cellStyle name="Currency 2 3 6 4 2" xfId="12387"/>
    <cellStyle name="Currency 2 3 6 5" xfId="11415"/>
    <cellStyle name="Currency 2 3 7" xfId="760"/>
    <cellStyle name="Currency 2 3 7 2" xfId="761"/>
    <cellStyle name="Currency 2 3 7 2 2" xfId="762"/>
    <cellStyle name="Currency 2 3 7 2 2 2" xfId="12605"/>
    <cellStyle name="Currency 2 3 7 2 3" xfId="11908"/>
    <cellStyle name="Currency 2 3 7 3" xfId="763"/>
    <cellStyle name="Currency 2 3 7 3 2" xfId="11609"/>
    <cellStyle name="Currency 2 3 7 4" xfId="764"/>
    <cellStyle name="Currency 2 3 7 4 2" xfId="12337"/>
    <cellStyle name="Currency 2 3 7 5" xfId="11458"/>
    <cellStyle name="Currency 2 3 8" xfId="765"/>
    <cellStyle name="Currency 2 3 8 2" xfId="766"/>
    <cellStyle name="Currency 2 3 8 2 2" xfId="767"/>
    <cellStyle name="Currency 2 3 8 2 2 2" xfId="12691"/>
    <cellStyle name="Currency 2 3 8 2 3" xfId="11992"/>
    <cellStyle name="Currency 2 3 8 3" xfId="768"/>
    <cellStyle name="Currency 2 3 8 3 2" xfId="12423"/>
    <cellStyle name="Currency 2 3 8 4" xfId="11687"/>
    <cellStyle name="Currency 2 3 9" xfId="769"/>
    <cellStyle name="Currency 2 3 9 2" xfId="770"/>
    <cellStyle name="Currency 2 3 9 2 2" xfId="771"/>
    <cellStyle name="Currency 2 3 9 2 2 2" xfId="12577"/>
    <cellStyle name="Currency 2 3 9 2 3" xfId="11881"/>
    <cellStyle name="Currency 2 3 9 3" xfId="772"/>
    <cellStyle name="Currency 2 3 9 3 2" xfId="12309"/>
    <cellStyle name="Currency 2 3 9 4" xfId="11581"/>
    <cellStyle name="Currency 2 4" xfId="773"/>
    <cellStyle name="Currency 2 4 10" xfId="774"/>
    <cellStyle name="Currency 2 4 10 2" xfId="12235"/>
    <cellStyle name="Currency 2 4 11" xfId="10985"/>
    <cellStyle name="Currency 2 4 2" xfId="775"/>
    <cellStyle name="Currency 2 4 2 10" xfId="11026"/>
    <cellStyle name="Currency 2 4 2 2" xfId="776"/>
    <cellStyle name="Currency 2 4 2 2 2" xfId="777"/>
    <cellStyle name="Currency 2 4 2 2 2 2" xfId="778"/>
    <cellStyle name="Currency 2 4 2 2 2 2 2" xfId="779"/>
    <cellStyle name="Currency 2 4 2 2 2 2 2 2" xfId="12649"/>
    <cellStyle name="Currency 2 4 2 2 2 2 3" xfId="11952"/>
    <cellStyle name="Currency 2 4 2 2 2 3" xfId="780"/>
    <cellStyle name="Currency 2 4 2 2 2 3 2" xfId="11653"/>
    <cellStyle name="Currency 2 4 2 2 2 4" xfId="781"/>
    <cellStyle name="Currency 2 4 2 2 2 4 2" xfId="12381"/>
    <cellStyle name="Currency 2 4 2 2 2 5" xfId="11502"/>
    <cellStyle name="Currency 2 4 2 2 3" xfId="782"/>
    <cellStyle name="Currency 2 4 2 2 3 2" xfId="783"/>
    <cellStyle name="Currency 2 4 2 2 3 2 2" xfId="12558"/>
    <cellStyle name="Currency 2 4 2 2 3 3" xfId="11863"/>
    <cellStyle name="Currency 2 4 2 2 4" xfId="784"/>
    <cellStyle name="Currency 2 4 2 2 4 2" xfId="11572"/>
    <cellStyle name="Currency 2 4 2 2 5" xfId="785"/>
    <cellStyle name="Currency 2 4 2 2 5 2" xfId="12291"/>
    <cellStyle name="Currency 2 4 2 2 6" xfId="11062"/>
    <cellStyle name="Currency 2 4 2 3" xfId="786"/>
    <cellStyle name="Currency 2 4 2 3 2" xfId="787"/>
    <cellStyle name="Currency 2 4 2 3 2 2" xfId="788"/>
    <cellStyle name="Currency 2 4 2 3 2 2 2" xfId="12675"/>
    <cellStyle name="Currency 2 4 2 3 2 3" xfId="11978"/>
    <cellStyle name="Currency 2 4 2 3 3" xfId="789"/>
    <cellStyle name="Currency 2 4 2 3 3 2" xfId="11677"/>
    <cellStyle name="Currency 2 4 2 3 4" xfId="790"/>
    <cellStyle name="Currency 2 4 2 3 4 2" xfId="12407"/>
    <cellStyle name="Currency 2 4 2 3 5" xfId="11435"/>
    <cellStyle name="Currency 2 4 2 4" xfId="791"/>
    <cellStyle name="Currency 2 4 2 4 2" xfId="792"/>
    <cellStyle name="Currency 2 4 2 4 2 2" xfId="793"/>
    <cellStyle name="Currency 2 4 2 4 2 2 2" xfId="12627"/>
    <cellStyle name="Currency 2 4 2 4 2 3" xfId="11930"/>
    <cellStyle name="Currency 2 4 2 4 3" xfId="794"/>
    <cellStyle name="Currency 2 4 2 4 3 2" xfId="11631"/>
    <cellStyle name="Currency 2 4 2 4 4" xfId="795"/>
    <cellStyle name="Currency 2 4 2 4 4 2" xfId="12359"/>
    <cellStyle name="Currency 2 4 2 4 5" xfId="11476"/>
    <cellStyle name="Currency 2 4 2 5" xfId="796"/>
    <cellStyle name="Currency 2 4 2 5 2" xfId="797"/>
    <cellStyle name="Currency 2 4 2 5 2 2" xfId="798"/>
    <cellStyle name="Currency 2 4 2 5 2 2 2" xfId="12709"/>
    <cellStyle name="Currency 2 4 2 5 2 3" xfId="12010"/>
    <cellStyle name="Currency 2 4 2 5 3" xfId="799"/>
    <cellStyle name="Currency 2 4 2 5 3 2" xfId="12441"/>
    <cellStyle name="Currency 2 4 2 5 4" xfId="11705"/>
    <cellStyle name="Currency 2 4 2 6" xfId="800"/>
    <cellStyle name="Currency 2 4 2 6 2" xfId="801"/>
    <cellStyle name="Currency 2 4 2 6 2 2" xfId="802"/>
    <cellStyle name="Currency 2 4 2 6 2 2 2" xfId="12595"/>
    <cellStyle name="Currency 2 4 2 6 2 3" xfId="11899"/>
    <cellStyle name="Currency 2 4 2 6 3" xfId="803"/>
    <cellStyle name="Currency 2 4 2 6 3 2" xfId="12327"/>
    <cellStyle name="Currency 2 4 2 6 4" xfId="11599"/>
    <cellStyle name="Currency 2 4 2 7" xfId="804"/>
    <cellStyle name="Currency 2 4 2 7 2" xfId="805"/>
    <cellStyle name="Currency 2 4 2 7 2 2" xfId="12476"/>
    <cellStyle name="Currency 2 4 2 7 3" xfId="11759"/>
    <cellStyle name="Currency 2 4 2 8" xfId="806"/>
    <cellStyle name="Currency 2 4 2 8 2" xfId="11527"/>
    <cellStyle name="Currency 2 4 2 9" xfId="807"/>
    <cellStyle name="Currency 2 4 2 9 2" xfId="12247"/>
    <cellStyle name="Currency 2 4 3" xfId="808"/>
    <cellStyle name="Currency 2 4 3 2" xfId="809"/>
    <cellStyle name="Currency 2 4 3 2 2" xfId="810"/>
    <cellStyle name="Currency 2 4 3 2 2 2" xfId="811"/>
    <cellStyle name="Currency 2 4 3 2 2 2 2" xfId="12637"/>
    <cellStyle name="Currency 2 4 3 2 2 3" xfId="11940"/>
    <cellStyle name="Currency 2 4 3 2 3" xfId="812"/>
    <cellStyle name="Currency 2 4 3 2 3 2" xfId="11641"/>
    <cellStyle name="Currency 2 4 3 2 4" xfId="813"/>
    <cellStyle name="Currency 2 4 3 2 4 2" xfId="12369"/>
    <cellStyle name="Currency 2 4 3 2 5" xfId="11490"/>
    <cellStyle name="Currency 2 4 3 3" xfId="814"/>
    <cellStyle name="Currency 2 4 3 3 2" xfId="815"/>
    <cellStyle name="Currency 2 4 3 3 2 2" xfId="12546"/>
    <cellStyle name="Currency 2 4 3 3 3" xfId="11851"/>
    <cellStyle name="Currency 2 4 3 4" xfId="816"/>
    <cellStyle name="Currency 2 4 3 4 2" xfId="11560"/>
    <cellStyle name="Currency 2 4 3 5" xfId="817"/>
    <cellStyle name="Currency 2 4 3 5 2" xfId="12279"/>
    <cellStyle name="Currency 2 4 3 6" xfId="11050"/>
    <cellStyle name="Currency 2 4 4" xfId="818"/>
    <cellStyle name="Currency 2 4 4 2" xfId="819"/>
    <cellStyle name="Currency 2 4 4 2 2" xfId="820"/>
    <cellStyle name="Currency 2 4 4 2 2 2" xfId="12661"/>
    <cellStyle name="Currency 2 4 4 2 3" xfId="11964"/>
    <cellStyle name="Currency 2 4 4 3" xfId="821"/>
    <cellStyle name="Currency 2 4 4 3 2" xfId="11665"/>
    <cellStyle name="Currency 2 4 4 4" xfId="822"/>
    <cellStyle name="Currency 2 4 4 4 2" xfId="12393"/>
    <cellStyle name="Currency 2 4 4 5" xfId="11421"/>
    <cellStyle name="Currency 2 4 5" xfId="823"/>
    <cellStyle name="Currency 2 4 5 2" xfId="824"/>
    <cellStyle name="Currency 2 4 5 2 2" xfId="825"/>
    <cellStyle name="Currency 2 4 5 2 2 2" xfId="12615"/>
    <cellStyle name="Currency 2 4 5 2 3" xfId="11918"/>
    <cellStyle name="Currency 2 4 5 3" xfId="826"/>
    <cellStyle name="Currency 2 4 5 3 2" xfId="11619"/>
    <cellStyle name="Currency 2 4 5 4" xfId="827"/>
    <cellStyle name="Currency 2 4 5 4 2" xfId="12347"/>
    <cellStyle name="Currency 2 4 5 5" xfId="11464"/>
    <cellStyle name="Currency 2 4 6" xfId="828"/>
    <cellStyle name="Currency 2 4 6 2" xfId="829"/>
    <cellStyle name="Currency 2 4 6 2 2" xfId="830"/>
    <cellStyle name="Currency 2 4 6 2 2 2" xfId="12697"/>
    <cellStyle name="Currency 2 4 6 2 3" xfId="11998"/>
    <cellStyle name="Currency 2 4 6 3" xfId="831"/>
    <cellStyle name="Currency 2 4 6 3 2" xfId="12429"/>
    <cellStyle name="Currency 2 4 6 4" xfId="11693"/>
    <cellStyle name="Currency 2 4 7" xfId="832"/>
    <cellStyle name="Currency 2 4 7 2" xfId="833"/>
    <cellStyle name="Currency 2 4 7 2 2" xfId="834"/>
    <cellStyle name="Currency 2 4 7 2 2 2" xfId="12583"/>
    <cellStyle name="Currency 2 4 7 2 3" xfId="11887"/>
    <cellStyle name="Currency 2 4 7 3" xfId="835"/>
    <cellStyle name="Currency 2 4 7 3 2" xfId="12315"/>
    <cellStyle name="Currency 2 4 7 4" xfId="11587"/>
    <cellStyle name="Currency 2 4 8" xfId="836"/>
    <cellStyle name="Currency 2 4 8 2" xfId="837"/>
    <cellStyle name="Currency 2 4 8 2 2" xfId="12464"/>
    <cellStyle name="Currency 2 4 8 3" xfId="11747"/>
    <cellStyle name="Currency 2 4 9" xfId="838"/>
    <cellStyle name="Currency 2 4 9 2" xfId="11515"/>
    <cellStyle name="Currency 2 5" xfId="839"/>
    <cellStyle name="Currency 2 6" xfId="840"/>
    <cellStyle name="Currency 2 6 2" xfId="841"/>
    <cellStyle name="Currency 2 6 2 2" xfId="12444"/>
    <cellStyle name="Currency 2 6 3" xfId="11710"/>
    <cellStyle name="Currency 2_SMI_FS_2010.11.30_HK GAAP" xfId="842"/>
    <cellStyle name="Currency 3" xfId="843"/>
    <cellStyle name="Currency 3 2" xfId="844"/>
    <cellStyle name="Currency 4" xfId="845"/>
    <cellStyle name="Currency 5" xfId="846"/>
    <cellStyle name="Currency 6" xfId="847"/>
    <cellStyle name="Currency 7" xfId="848"/>
    <cellStyle name="Currency 8" xfId="849"/>
    <cellStyle name="Currency 9" xfId="850"/>
    <cellStyle name="Currency0" xfId="851"/>
    <cellStyle name="Custom - Style8" xfId="852"/>
    <cellStyle name="d/m/yy" xfId="853"/>
    <cellStyle name="Data   - Style2" xfId="854"/>
    <cellStyle name="Data   - Style2 10" xfId="10899"/>
    <cellStyle name="Data   - Style2 2" xfId="855"/>
    <cellStyle name="Data   - Style2 2 2" xfId="856"/>
    <cellStyle name="Data   - Style2 2 2 2" xfId="857"/>
    <cellStyle name="Data   - Style2 2 2 2 2" xfId="858"/>
    <cellStyle name="Data   - Style2 2 2 2 2 2" xfId="859"/>
    <cellStyle name="Data   - Style2 2 2 2 2 2 2" xfId="13007"/>
    <cellStyle name="Data   - Style2 2 2 2 2 2_YL Capex Cashflow &amp; Dep" xfId="11335"/>
    <cellStyle name="Data   - Style2 2 2 2 2 3" xfId="12181"/>
    <cellStyle name="Data   - Style2 2 2 2 2_Cashflow trend" xfId="860"/>
    <cellStyle name="Data   - Style2 2 2 2 3" xfId="861"/>
    <cellStyle name="Data   - Style2 2 2 2 3 2" xfId="862"/>
    <cellStyle name="Data   - Style2 2 2 2 3 2 2" xfId="13185"/>
    <cellStyle name="Data   - Style2 2 2 2 3 2_YL Capex Cashflow &amp; Dep" xfId="11334"/>
    <cellStyle name="Data   - Style2 2 2 2 3 3" xfId="12683"/>
    <cellStyle name="Data   - Style2 2 2 2 3_Cashflow trend" xfId="863"/>
    <cellStyle name="Data   - Style2 2 2 2 4" xfId="11984"/>
    <cellStyle name="Data   - Style2 2 2 2_Cashflow trend" xfId="864"/>
    <cellStyle name="Data   - Style2 2 2 3" xfId="865"/>
    <cellStyle name="Data   - Style2 2 2 3 2" xfId="866"/>
    <cellStyle name="Data   - Style2 2 2 3 2 2" xfId="867"/>
    <cellStyle name="Data   - Style2 2 2 3 2 2 2" xfId="12931"/>
    <cellStyle name="Data   - Style2 2 2 3 2 2_YL Capex Cashflow &amp; Dep" xfId="11333"/>
    <cellStyle name="Data   - Style2 2 2 3 2 3" xfId="12102"/>
    <cellStyle name="Data   - Style2 2 2 3 2_Cashflow trend" xfId="868"/>
    <cellStyle name="Data   - Style2 2 2 3 3" xfId="869"/>
    <cellStyle name="Data   - Style2 2 2 3 3 2" xfId="870"/>
    <cellStyle name="Data   - Style2 2 2 3 3 2 2" xfId="13056"/>
    <cellStyle name="Data   - Style2 2 2 3 3 2_YL Capex Cashflow &amp; Dep" xfId="11332"/>
    <cellStyle name="Data   - Style2 2 2 3 3 3" xfId="12477"/>
    <cellStyle name="Data   - Style2 2 2 3 3_Cashflow trend" xfId="871"/>
    <cellStyle name="Data   - Style2 2 2 3 4" xfId="11760"/>
    <cellStyle name="Data   - Style2 2 2 3_Cashflow trend" xfId="872"/>
    <cellStyle name="Data   - Style2 2 2 4" xfId="873"/>
    <cellStyle name="Data   - Style2 2 2 4 2" xfId="874"/>
    <cellStyle name="Data   - Style2 2 2 4 2 2" xfId="12909"/>
    <cellStyle name="Data   - Style2 2 2 4 2_YL Capex Cashflow &amp; Dep" xfId="11331"/>
    <cellStyle name="Data   - Style2 2 2 4 3" xfId="12089"/>
    <cellStyle name="Data   - Style2 2 2 4_Cashflow trend" xfId="875"/>
    <cellStyle name="Data   - Style2 2 2 5" xfId="876"/>
    <cellStyle name="Data   - Style2 2 2 5 2" xfId="877"/>
    <cellStyle name="Data   - Style2 2 2 5 2 2" xfId="13028"/>
    <cellStyle name="Data   - Style2 2 2 5 2_YL Capex Cashflow &amp; Dep" xfId="10941"/>
    <cellStyle name="Data   - Style2 2 2 5 3" xfId="12415"/>
    <cellStyle name="Data   - Style2 2 2 5_Cashflow trend" xfId="878"/>
    <cellStyle name="Data   - Style2 2 2 6" xfId="11454"/>
    <cellStyle name="Data   - Style2 2 2_Cashflow trend" xfId="879"/>
    <cellStyle name="Data   - Style2 2 3" xfId="880"/>
    <cellStyle name="Data   - Style2 2 3 2" xfId="881"/>
    <cellStyle name="Data   - Style2 2 3 2 2" xfId="882"/>
    <cellStyle name="Data   - Style2 2 3 2 2 2" xfId="883"/>
    <cellStyle name="Data   - Style2 2 3 2 2 2 2" xfId="12888"/>
    <cellStyle name="Data   - Style2 2 3 2 2 2_YL Capex Cashflow &amp; Dep" xfId="11330"/>
    <cellStyle name="Data   - Style2 2 3 2 2 3" xfId="12171"/>
    <cellStyle name="Data   - Style2 2 3 2 2_Cashflow trend" xfId="884"/>
    <cellStyle name="Data   - Style2 2 3 2 3" xfId="885"/>
    <cellStyle name="Data   - Style2 2 3 2 3 2" xfId="886"/>
    <cellStyle name="Data   - Style2 2 3 2 3 2 2" xfId="13152"/>
    <cellStyle name="Data   - Style2 2 3 2 3 2_YL Capex Cashflow &amp; Dep" xfId="11329"/>
    <cellStyle name="Data   - Style2 2 3 2 3 3" xfId="12596"/>
    <cellStyle name="Data   - Style2 2 3 2 3_Cashflow trend" xfId="887"/>
    <cellStyle name="Data   - Style2 2 3 2 4" xfId="11900"/>
    <cellStyle name="Data   - Style2 2 3 2_Cashflow trend" xfId="888"/>
    <cellStyle name="Data   - Style2 2 3 3" xfId="889"/>
    <cellStyle name="Data   - Style2 2 3 3 2" xfId="890"/>
    <cellStyle name="Data   - Style2 2 3 3 2 2" xfId="891"/>
    <cellStyle name="Data   - Style2 2 3 3 2 2 2" xfId="12880"/>
    <cellStyle name="Data   - Style2 2 3 3 2 2_YL Capex Cashflow &amp; Dep" xfId="12525"/>
    <cellStyle name="Data   - Style2 2 3 3 2 3" xfId="12107"/>
    <cellStyle name="Data   - Style2 2 3 3 2_Cashflow trend" xfId="892"/>
    <cellStyle name="Data   - Style2 2 3 3 3" xfId="893"/>
    <cellStyle name="Data   - Style2 2 3 3 3 2" xfId="894"/>
    <cellStyle name="Data   - Style2 2 3 3 3 2 2" xfId="13063"/>
    <cellStyle name="Data   - Style2 2 3 3 3 2_YL Capex Cashflow &amp; Dep" xfId="12502"/>
    <cellStyle name="Data   - Style2 2 3 3 3 3" xfId="12483"/>
    <cellStyle name="Data   - Style2 2 3 3 3_Cashflow trend" xfId="895"/>
    <cellStyle name="Data   - Style2 2 3 3 4" xfId="11768"/>
    <cellStyle name="Data   - Style2 2 3 3_Cashflow trend" xfId="896"/>
    <cellStyle name="Data   - Style2 2 3 4" xfId="897"/>
    <cellStyle name="Data   - Style2 2 3 4 2" xfId="898"/>
    <cellStyle name="Data   - Style2 2 3 4 2 2" xfId="13151"/>
    <cellStyle name="Data   - Style2 2 3 4 2_YL Capex Cashflow &amp; Dep" xfId="12033"/>
    <cellStyle name="Data   - Style2 2 3 4 3" xfId="12074"/>
    <cellStyle name="Data   - Style2 2 3 4_Cashflow trend" xfId="899"/>
    <cellStyle name="Data   - Style2 2 3 5" xfId="900"/>
    <cellStyle name="Data   - Style2 2 3 5 2" xfId="901"/>
    <cellStyle name="Data   - Style2 2 3 5 2 2" xfId="12992"/>
    <cellStyle name="Data   - Style2 2 3 5 2_YL Capex Cashflow &amp; Dep" xfId="12062"/>
    <cellStyle name="Data   - Style2 2 3 5 3" xfId="12328"/>
    <cellStyle name="Data   - Style2 2 3 5_Cashflow trend" xfId="902"/>
    <cellStyle name="Data   - Style2 2 3 6" xfId="11600"/>
    <cellStyle name="Data   - Style2 2 3_Cashflow trend" xfId="903"/>
    <cellStyle name="Data   - Style2 2 4" xfId="904"/>
    <cellStyle name="Data   - Style2 2 4 2" xfId="905"/>
    <cellStyle name="Data   - Style2 2 4 2 2" xfId="906"/>
    <cellStyle name="Data   - Style2 2 4 2 2 2" xfId="907"/>
    <cellStyle name="Data   - Style2 2 4 2 2 2 2" xfId="13037"/>
    <cellStyle name="Data   - Style2 2 4 2 2 2_YL Capex Cashflow &amp; Dep" xfId="12225"/>
    <cellStyle name="Data   - Style2 2 4 2 2 3" xfId="12192"/>
    <cellStyle name="Data   - Style2 2 4 2 2_Cashflow trend" xfId="908"/>
    <cellStyle name="Data   - Style2 2 4 2 3" xfId="909"/>
    <cellStyle name="Data   - Style2 2 4 2 3 2" xfId="910"/>
    <cellStyle name="Data   - Style2 2 4 2 3 2 2" xfId="13206"/>
    <cellStyle name="Data   - Style2 2 4 2 3 2_YL Capex Cashflow &amp; Dep" xfId="12139"/>
    <cellStyle name="Data   - Style2 2 4 2 3 3" xfId="12720"/>
    <cellStyle name="Data   - Style2 2 4 2 3_Cashflow trend" xfId="911"/>
    <cellStyle name="Data   - Style2 2 4 2 4" xfId="12022"/>
    <cellStyle name="Data   - Style2 2 4 2_Cashflow trend" xfId="912"/>
    <cellStyle name="Data   - Style2 2 4 3" xfId="913"/>
    <cellStyle name="Data   - Style2 2 4 3 2" xfId="914"/>
    <cellStyle name="Data   - Style2 2 4 3 2 2" xfId="13156"/>
    <cellStyle name="Data   - Style2 2 4 3 2_YL Capex Cashflow &amp; Dep" xfId="12721"/>
    <cellStyle name="Data   - Style2 2 4 3 3" xfId="12114"/>
    <cellStyle name="Data   - Style2 2 4 3_Cashflow trend" xfId="915"/>
    <cellStyle name="Data   - Style2 2 4 4" xfId="916"/>
    <cellStyle name="Data   - Style2 2 4 4 2" xfId="917"/>
    <cellStyle name="Data   - Style2 2 4 4 2 2" xfId="13071"/>
    <cellStyle name="Data   - Style2 2 4 4 2_YL Capex Cashflow &amp; Dep" xfId="11779"/>
    <cellStyle name="Data   - Style2 2 4 4 3" xfId="12490"/>
    <cellStyle name="Data   - Style2 2 4 4_Cashflow trend" xfId="918"/>
    <cellStyle name="Data   - Style2 2 4 5" xfId="11778"/>
    <cellStyle name="Data   - Style2 2 4_Cashflow trend" xfId="919"/>
    <cellStyle name="Data   - Style2 2 5" xfId="920"/>
    <cellStyle name="Data   - Style2 2 5 2" xfId="921"/>
    <cellStyle name="Data   - Style2 2 5 2 2" xfId="922"/>
    <cellStyle name="Data   - Style2 2 5 2 2 2" xfId="923"/>
    <cellStyle name="Data   - Style2 2 5 2 2 2 2" xfId="12765"/>
    <cellStyle name="Data   - Style2 2 5 2 2 2_YL Capex Cashflow &amp; Dep" xfId="11767"/>
    <cellStyle name="Data   - Style2 2 5 2 2 3" xfId="12214"/>
    <cellStyle name="Data   - Style2 2 5 2 2_Cashflow trend" xfId="924"/>
    <cellStyle name="Data   - Style2 2 5 2 3" xfId="925"/>
    <cellStyle name="Data   - Style2 2 5 2 3 2" xfId="926"/>
    <cellStyle name="Data   - Style2 2 5 2 3 2 2" xfId="13232"/>
    <cellStyle name="Data   - Style2 2 5 2 3 2_YL Capex Cashflow &amp; Dep" xfId="12566"/>
    <cellStyle name="Data   - Style2 2 5 2 3 3" xfId="12744"/>
    <cellStyle name="Data   - Style2 2 5 2 3_Cashflow trend" xfId="927"/>
    <cellStyle name="Data   - Style2 2 5 2 4" xfId="12042"/>
    <cellStyle name="Data   - Style2 2 5 2_Cashflow trend" xfId="928"/>
    <cellStyle name="Data   - Style2 2 5 3" xfId="929"/>
    <cellStyle name="Data   - Style2 2 5 3 2" xfId="930"/>
    <cellStyle name="Data   - Style2 2 5 3 2 2" xfId="12831"/>
    <cellStyle name="Data   - Style2 2 5 3 2_YL Capex Cashflow &amp; Dep" xfId="12264"/>
    <cellStyle name="Data   - Style2 2 5 3 3" xfId="12140"/>
    <cellStyle name="Data   - Style2 2 5 3_Cashflow trend" xfId="931"/>
    <cellStyle name="Data   - Style2 2 5 4" xfId="932"/>
    <cellStyle name="Data   - Style2 2 5 4 2" xfId="933"/>
    <cellStyle name="Data   - Style2 2 5 4 2 2" xfId="13102"/>
    <cellStyle name="Data   - Style2 2 5 4 2_YL Capex Cashflow &amp; Dep" xfId="12152"/>
    <cellStyle name="Data   - Style2 2 5 4 3" xfId="12517"/>
    <cellStyle name="Data   - Style2 2 5 4_Cashflow trend" xfId="934"/>
    <cellStyle name="Data   - Style2 2 5 5" xfId="11811"/>
    <cellStyle name="Data   - Style2 2 5_Cashflow trend" xfId="935"/>
    <cellStyle name="Data   - Style2 2 6" xfId="936"/>
    <cellStyle name="Data   - Style2 2 6 2" xfId="937"/>
    <cellStyle name="Data   - Style2 2 6 2 2" xfId="12907"/>
    <cellStyle name="Data   - Style2 2 6 2_YL Capex Cashflow &amp; Dep" xfId="12738"/>
    <cellStyle name="Data   - Style2 2 6 3" xfId="11550"/>
    <cellStyle name="Data   - Style2 2 6_Cashflow trend" xfId="938"/>
    <cellStyle name="Data   - Style2 2 7" xfId="939"/>
    <cellStyle name="Data   - Style2 2 7 2" xfId="940"/>
    <cellStyle name="Data   - Style2 2 7 2 2" xfId="12938"/>
    <cellStyle name="Data   - Style2 2 7 2_YL Capex Cashflow &amp; Dep" xfId="11800"/>
    <cellStyle name="Data   - Style2 2 7 3" xfId="12248"/>
    <cellStyle name="Data   - Style2 2 7_Cashflow trend" xfId="941"/>
    <cellStyle name="Data   - Style2 2 8" xfId="942"/>
    <cellStyle name="Data   - Style2 2 8 2" xfId="12917"/>
    <cellStyle name="Data   - Style2 2 8_YL Capex Cashflow &amp; Dep" xfId="12066"/>
    <cellStyle name="Data   - Style2 2 9" xfId="11037"/>
    <cellStyle name="Data   - Style2 2_Cashflow trend" xfId="943"/>
    <cellStyle name="Data   - Style2 3" xfId="944"/>
    <cellStyle name="Data   - Style2 3 2" xfId="945"/>
    <cellStyle name="Data   - Style2 3 2 2" xfId="946"/>
    <cellStyle name="Data   - Style2 3 2 2 2" xfId="947"/>
    <cellStyle name="Data   - Style2 3 2 2 2 2" xfId="12790"/>
    <cellStyle name="Data   - Style2 3 2 2 2_YL Capex Cashflow &amp; Dep" xfId="11403"/>
    <cellStyle name="Data   - Style2 3 2 2 3" xfId="12176"/>
    <cellStyle name="Data   - Style2 3 2 2_Cashflow trend" xfId="948"/>
    <cellStyle name="Data   - Style2 3 2 3" xfId="949"/>
    <cellStyle name="Data   - Style2 3 2 3 2" xfId="950"/>
    <cellStyle name="Data   - Style2 3 2 3 2 2" xfId="13180"/>
    <cellStyle name="Data   - Style2 3 2 3 2_YL Capex Cashflow &amp; Dep" xfId="10998"/>
    <cellStyle name="Data   - Style2 3 2 3 3" xfId="12676"/>
    <cellStyle name="Data   - Style2 3 2 3_Cashflow trend" xfId="951"/>
    <cellStyle name="Data   - Style2 3 2 4" xfId="11979"/>
    <cellStyle name="Data   - Style2 3 2_Cashflow trend" xfId="952"/>
    <cellStyle name="Data   - Style2 3 3" xfId="953"/>
    <cellStyle name="Data   - Style2 3 3 2" xfId="954"/>
    <cellStyle name="Data   - Style2 3 3 2 2" xfId="955"/>
    <cellStyle name="Data   - Style2 3 3 2 2 2" xfId="12878"/>
    <cellStyle name="Data   - Style2 3 3 2 2_YL Capex Cashflow &amp; Dep" xfId="10953"/>
    <cellStyle name="Data   - Style2 3 3 2 3" xfId="12094"/>
    <cellStyle name="Data   - Style2 3 3 2_Cashflow trend" xfId="956"/>
    <cellStyle name="Data   - Style2 3 3 3" xfId="957"/>
    <cellStyle name="Data   - Style2 3 3 3 2" xfId="958"/>
    <cellStyle name="Data   - Style2 3 3 3 2 2" xfId="13040"/>
    <cellStyle name="Data   - Style2 3 3 3 2_YL Capex Cashflow &amp; Dep" xfId="11409"/>
    <cellStyle name="Data   - Style2 3 3 3 3" xfId="12446"/>
    <cellStyle name="Data   - Style2 3 3 3_Cashflow trend" xfId="959"/>
    <cellStyle name="Data   - Style2 3 3 4" xfId="11725"/>
    <cellStyle name="Data   - Style2 3 3_Cashflow trend" xfId="960"/>
    <cellStyle name="Data   - Style2 3 4" xfId="961"/>
    <cellStyle name="Data   - Style2 3 4 2" xfId="962"/>
    <cellStyle name="Data   - Style2 3 4 2 2" xfId="12893"/>
    <cellStyle name="Data   - Style2 3 4 2_YL Capex Cashflow &amp; Dep" xfId="11002"/>
    <cellStyle name="Data   - Style2 3 4 3" xfId="12084"/>
    <cellStyle name="Data   - Style2 3 4_Cashflow trend" xfId="963"/>
    <cellStyle name="Data   - Style2 3 5" xfId="964"/>
    <cellStyle name="Data   - Style2 3 5 2" xfId="965"/>
    <cellStyle name="Data   - Style2 3 5 2 2" xfId="13023"/>
    <cellStyle name="Data   - Style2 3 5 2_YL Capex Cashflow &amp; Dep" xfId="10994"/>
    <cellStyle name="Data   - Style2 3 5 3" xfId="12408"/>
    <cellStyle name="Data   - Style2 3 5_Cashflow trend" xfId="966"/>
    <cellStyle name="Data   - Style2 3 6" xfId="11436"/>
    <cellStyle name="Data   - Style2 3_Cashflow trend" xfId="967"/>
    <cellStyle name="Data   - Style2 4" xfId="968"/>
    <cellStyle name="Data   - Style2 4 2" xfId="969"/>
    <cellStyle name="Data   - Style2 4 2 2" xfId="970"/>
    <cellStyle name="Data   - Style2 4 2 2 2" xfId="971"/>
    <cellStyle name="Data   - Style2 4 2 2 2 2" xfId="12858"/>
    <cellStyle name="Data   - Style2 4 2 2 2_YL Capex Cashflow &amp; Dep" xfId="11328"/>
    <cellStyle name="Data   - Style2 4 2 2 3" xfId="12167"/>
    <cellStyle name="Data   - Style2 4 2 2_Cashflow trend" xfId="972"/>
    <cellStyle name="Data   - Style2 4 2 3" xfId="973"/>
    <cellStyle name="Data   - Style2 4 2 3 2" xfId="974"/>
    <cellStyle name="Data   - Style2 4 2 3 2 2" xfId="13143"/>
    <cellStyle name="Data   - Style2 4 2 3 2_YL Capex Cashflow &amp; Dep" xfId="11327"/>
    <cellStyle name="Data   - Style2 4 2 3 3" xfId="12570"/>
    <cellStyle name="Data   - Style2 4 2 3_Cashflow trend" xfId="975"/>
    <cellStyle name="Data   - Style2 4 2 4" xfId="11875"/>
    <cellStyle name="Data   - Style2 4 2_Cashflow trend" xfId="976"/>
    <cellStyle name="Data   - Style2 4 3" xfId="977"/>
    <cellStyle name="Data   - Style2 4 3 2" xfId="978"/>
    <cellStyle name="Data   - Style2 4 3 2 2" xfId="979"/>
    <cellStyle name="Data   - Style2 4 3 2 2 2" xfId="12814"/>
    <cellStyle name="Data   - Style2 4 3 2 2_YL Capex Cashflow &amp; Dep" xfId="11326"/>
    <cellStyle name="Data   - Style2 4 3 2 3" xfId="12098"/>
    <cellStyle name="Data   - Style2 4 3 2_Cashflow trend" xfId="980"/>
    <cellStyle name="Data   - Style2 4 3 3" xfId="981"/>
    <cellStyle name="Data   - Style2 4 3 3 2" xfId="982"/>
    <cellStyle name="Data   - Style2 4 3 3 2 2" xfId="13045"/>
    <cellStyle name="Data   - Style2 4 3 3 2_YL Capex Cashflow &amp; Dep" xfId="11325"/>
    <cellStyle name="Data   - Style2 4 3 3 3" xfId="12451"/>
    <cellStyle name="Data   - Style2 4 3 3_Cashflow trend" xfId="983"/>
    <cellStyle name="Data   - Style2 4 3 4" xfId="11729"/>
    <cellStyle name="Data   - Style2 4 3_Cashflow trend" xfId="984"/>
    <cellStyle name="Data   - Style2 4 4" xfId="985"/>
    <cellStyle name="Data   - Style2 4 4 2" xfId="986"/>
    <cellStyle name="Data   - Style2 4 4 2 2" xfId="12820"/>
    <cellStyle name="Data   - Style2 4 4 2_YL Capex Cashflow &amp; Dep" xfId="11394"/>
    <cellStyle name="Data   - Style2 4 4 3" xfId="12070"/>
    <cellStyle name="Data   - Style2 4 4_Cashflow trend" xfId="987"/>
    <cellStyle name="Data   - Style2 4 5" xfId="988"/>
    <cellStyle name="Data   - Style2 4 5 2" xfId="989"/>
    <cellStyle name="Data   - Style2 4 5 2 2" xfId="12982"/>
    <cellStyle name="Data   - Style2 4 5 2_YL Capex Cashflow &amp; Dep" xfId="11324"/>
    <cellStyle name="Data   - Style2 4 5 3" xfId="12302"/>
    <cellStyle name="Data   - Style2 4 5_Cashflow trend" xfId="990"/>
    <cellStyle name="Data   - Style2 4 6" xfId="11575"/>
    <cellStyle name="Data   - Style2 4_Cashflow trend" xfId="991"/>
    <cellStyle name="Data   - Style2 5" xfId="992"/>
    <cellStyle name="Data   - Style2 5 2" xfId="993"/>
    <cellStyle name="Data   - Style2 5 2 2" xfId="994"/>
    <cellStyle name="Data   - Style2 5 2 2 2" xfId="995"/>
    <cellStyle name="Data   - Style2 5 2 2 2 2" xfId="12804"/>
    <cellStyle name="Data   - Style2 5 2 2 2_YL Capex Cashflow &amp; Dep" xfId="11323"/>
    <cellStyle name="Data   - Style2 5 2 2 3" xfId="12198"/>
    <cellStyle name="Data   - Style2 5 2 2_Cashflow trend" xfId="996"/>
    <cellStyle name="Data   - Style2 5 2 3" xfId="997"/>
    <cellStyle name="Data   - Style2 5 2 3 2" xfId="998"/>
    <cellStyle name="Data   - Style2 5 2 3 2 2" xfId="13214"/>
    <cellStyle name="Data   - Style2 5 2 3 2_YL Capex Cashflow &amp; Dep" xfId="11322"/>
    <cellStyle name="Data   - Style2 5 2 3 3" xfId="12728"/>
    <cellStyle name="Data   - Style2 5 2 3_Cashflow trend" xfId="999"/>
    <cellStyle name="Data   - Style2 5 2 4" xfId="12027"/>
    <cellStyle name="Data   - Style2 5 2_Cashflow trend" xfId="1000"/>
    <cellStyle name="Data   - Style2 5 3" xfId="1001"/>
    <cellStyle name="Data   - Style2 5 3 2" xfId="1002"/>
    <cellStyle name="Data   - Style2 5 3 2 2" xfId="12962"/>
    <cellStyle name="Data   - Style2 5 3 2_YL Capex Cashflow &amp; Dep" xfId="13253"/>
    <cellStyle name="Data   - Style2 5 3 3" xfId="12121"/>
    <cellStyle name="Data   - Style2 5 3_Cashflow trend" xfId="1003"/>
    <cellStyle name="Data   - Style2 5 4" xfId="1004"/>
    <cellStyle name="Data   - Style2 5 4 2" xfId="1005"/>
    <cellStyle name="Data   - Style2 5 4 2 2" xfId="13079"/>
    <cellStyle name="Data   - Style2 5 4 2_YL Capex Cashflow &amp; Dep" xfId="13449"/>
    <cellStyle name="Data   - Style2 5 4 3" xfId="12495"/>
    <cellStyle name="Data   - Style2 5 4_Cashflow trend" xfId="1006"/>
    <cellStyle name="Data   - Style2 5 5" xfId="11785"/>
    <cellStyle name="Data   - Style2 5_Cashflow trend" xfId="1007"/>
    <cellStyle name="Data   - Style2 6" xfId="1008"/>
    <cellStyle name="Data   - Style2 6 2" xfId="1009"/>
    <cellStyle name="Data   - Style2 6 2 2" xfId="1010"/>
    <cellStyle name="Data   - Style2 6 2 2 2" xfId="1011"/>
    <cellStyle name="Data   - Style2 6 2 2 2 2" xfId="12813"/>
    <cellStyle name="Data   - Style2 6 2 2 2_YL Capex Cashflow &amp; Dep" xfId="11321"/>
    <cellStyle name="Data   - Style2 6 2 2 3" xfId="12210"/>
    <cellStyle name="Data   - Style2 6 2 2_Cashflow trend" xfId="1012"/>
    <cellStyle name="Data   - Style2 6 2 3" xfId="1013"/>
    <cellStyle name="Data   - Style2 6 2 3 2" xfId="1014"/>
    <cellStyle name="Data   - Style2 6 2 3 2 2" xfId="13228"/>
    <cellStyle name="Data   - Style2 6 2 3 2_YL Capex Cashflow &amp; Dep" xfId="11405"/>
    <cellStyle name="Data   - Style2 6 2 3 3" xfId="12740"/>
    <cellStyle name="Data   - Style2 6 2 3_Cashflow trend" xfId="1015"/>
    <cellStyle name="Data   - Style2 6 2 4" xfId="12039"/>
    <cellStyle name="Data   - Style2 6 2_Cashflow trend" xfId="1016"/>
    <cellStyle name="Data   - Style2 6 3" xfId="1017"/>
    <cellStyle name="Data   - Style2 6 3 2" xfId="1018"/>
    <cellStyle name="Data   - Style2 6 3 2 2" xfId="12781"/>
    <cellStyle name="Data   - Style2 6 3 2_YL Capex Cashflow &amp; Dep" xfId="11320"/>
    <cellStyle name="Data   - Style2 6 3 3" xfId="12132"/>
    <cellStyle name="Data   - Style2 6 3_Cashflow trend" xfId="1019"/>
    <cellStyle name="Data   - Style2 6 4" xfId="1020"/>
    <cellStyle name="Data   - Style2 6 4 2" xfId="1021"/>
    <cellStyle name="Data   - Style2 6 4 2 2" xfId="13093"/>
    <cellStyle name="Data   - Style2 6 4 2_YL Capex Cashflow &amp; Dep" xfId="11404"/>
    <cellStyle name="Data   - Style2 6 4 3" xfId="12511"/>
    <cellStyle name="Data   - Style2 6 4_Cashflow trend" xfId="1022"/>
    <cellStyle name="Data   - Style2 6 5" xfId="11805"/>
    <cellStyle name="Data   - Style2 6_Cashflow trend" xfId="1023"/>
    <cellStyle name="Data   - Style2 7" xfId="1024"/>
    <cellStyle name="Data   - Style2 7 2" xfId="1025"/>
    <cellStyle name="Data   - Style2 7 2 2" xfId="12840"/>
    <cellStyle name="Data   - Style2 7 2_YL Capex Cashflow &amp; Dep" xfId="11319"/>
    <cellStyle name="Data   - Style2 7 3" xfId="11543"/>
    <cellStyle name="Data   - Style2 7_Cashflow trend" xfId="1026"/>
    <cellStyle name="Data   - Style2 8" xfId="1027"/>
    <cellStyle name="Data   - Style2 8 2" xfId="1028"/>
    <cellStyle name="Data   - Style2 8 2 2" xfId="12922"/>
    <cellStyle name="Data   - Style2 8 2_YL Capex Cashflow &amp; Dep" xfId="11318"/>
    <cellStyle name="Data   - Style2 8 3" xfId="12218"/>
    <cellStyle name="Data   - Style2 8_Cashflow trend" xfId="1029"/>
    <cellStyle name="Data   - Style2 9" xfId="1030"/>
    <cellStyle name="Data   - Style2 9 2" xfId="12821"/>
    <cellStyle name="Data   - Style2 9_YL Capex Cashflow &amp; Dep" xfId="11317"/>
    <cellStyle name="Data   - Style2_Cashflow trend" xfId="1031"/>
    <cellStyle name="Date" xfId="1032"/>
    <cellStyle name="Date Aligned" xfId="1033"/>
    <cellStyle name="Date Short" xfId="1034"/>
    <cellStyle name="Date_10-2001－4" xfId="1035"/>
    <cellStyle name="DateTime" xfId="1036"/>
    <cellStyle name="Debit" xfId="1037"/>
    <cellStyle name="Dezimal [0]_Compiling Utility Macros" xfId="1038"/>
    <cellStyle name="Dezimal_Compiling Utility Macros" xfId="1039"/>
    <cellStyle name="Dollar [0]" xfId="1040"/>
    <cellStyle name="Dotted Line" xfId="1041"/>
    <cellStyle name="E&amp;Y House" xfId="1042"/>
    <cellStyle name="Enter Currency (0)" xfId="1043"/>
    <cellStyle name="Enter Currency (2)" xfId="1044"/>
    <cellStyle name="Enter Units (0)" xfId="1045"/>
    <cellStyle name="Enter Units (1)" xfId="1046"/>
    <cellStyle name="Enter Units (2)" xfId="1047"/>
    <cellStyle name="Entered" xfId="1048"/>
    <cellStyle name="entry" xfId="1049"/>
    <cellStyle name="entry box" xfId="1050"/>
    <cellStyle name="entry box 10" xfId="3338"/>
    <cellStyle name="entry box 10 10" xfId="13978"/>
    <cellStyle name="entry box 10 2" xfId="13979"/>
    <cellStyle name="entry box 10 3" xfId="13980"/>
    <cellStyle name="entry box 10 4" xfId="13981"/>
    <cellStyle name="entry box 10 5" xfId="13982"/>
    <cellStyle name="entry box 10 6" xfId="13983"/>
    <cellStyle name="entry box 10 7" xfId="13984"/>
    <cellStyle name="entry box 10 8" xfId="13985"/>
    <cellStyle name="entry box 10 9" xfId="13986"/>
    <cellStyle name="entry box 11" xfId="3339"/>
    <cellStyle name="entry box 11 2" xfId="13987"/>
    <cellStyle name="entry box 11 3" xfId="13988"/>
    <cellStyle name="entry box 11 4" xfId="13989"/>
    <cellStyle name="entry box 11 5" xfId="13990"/>
    <cellStyle name="entry box 11 6" xfId="13991"/>
    <cellStyle name="entry box 11 7" xfId="13992"/>
    <cellStyle name="entry box 12" xfId="3340"/>
    <cellStyle name="entry box 12 2" xfId="13993"/>
    <cellStyle name="entry box 12 3" xfId="13994"/>
    <cellStyle name="entry box 12 4" xfId="13995"/>
    <cellStyle name="entry box 12 5" xfId="13996"/>
    <cellStyle name="entry box 12 6" xfId="13997"/>
    <cellStyle name="entry box 12 7" xfId="13998"/>
    <cellStyle name="entry box 13" xfId="3341"/>
    <cellStyle name="entry box 13 2" xfId="13999"/>
    <cellStyle name="entry box 13 3" xfId="14000"/>
    <cellStyle name="entry box 13 4" xfId="14001"/>
    <cellStyle name="entry box 13 5" xfId="14002"/>
    <cellStyle name="entry box 13 6" xfId="14003"/>
    <cellStyle name="entry box 13 7" xfId="14004"/>
    <cellStyle name="entry box 14" xfId="3342"/>
    <cellStyle name="entry box 14 2" xfId="14005"/>
    <cellStyle name="entry box 14 3" xfId="14006"/>
    <cellStyle name="entry box 14 4" xfId="14007"/>
    <cellStyle name="entry box 14 5" xfId="14008"/>
    <cellStyle name="entry box 14 6" xfId="14009"/>
    <cellStyle name="entry box 14 7" xfId="14010"/>
    <cellStyle name="entry box 15" xfId="3343"/>
    <cellStyle name="entry box 15 2" xfId="14011"/>
    <cellStyle name="entry box 15 3" xfId="14012"/>
    <cellStyle name="entry box 15 4" xfId="14013"/>
    <cellStyle name="entry box 15 5" xfId="14014"/>
    <cellStyle name="entry box 15 6" xfId="14015"/>
    <cellStyle name="entry box 15 7" xfId="14016"/>
    <cellStyle name="entry box 16" xfId="3344"/>
    <cellStyle name="entry box 16 2" xfId="14017"/>
    <cellStyle name="entry box 16 3" xfId="14018"/>
    <cellStyle name="entry box 16 4" xfId="14019"/>
    <cellStyle name="entry box 16 5" xfId="14020"/>
    <cellStyle name="entry box 16 6" xfId="14021"/>
    <cellStyle name="entry box 16 7" xfId="14022"/>
    <cellStyle name="entry box 17" xfId="3345"/>
    <cellStyle name="entry box 17 2" xfId="14023"/>
    <cellStyle name="entry box 17 3" xfId="14024"/>
    <cellStyle name="entry box 17 4" xfId="14025"/>
    <cellStyle name="entry box 17 5" xfId="14026"/>
    <cellStyle name="entry box 17 6" xfId="14027"/>
    <cellStyle name="entry box 17 7" xfId="14028"/>
    <cellStyle name="entry box 18" xfId="3346"/>
    <cellStyle name="entry box 18 2" xfId="14029"/>
    <cellStyle name="entry box 18 3" xfId="14030"/>
    <cellStyle name="entry box 18 4" xfId="14031"/>
    <cellStyle name="entry box 18 5" xfId="14032"/>
    <cellStyle name="entry box 18 6" xfId="14033"/>
    <cellStyle name="entry box 18 7" xfId="14034"/>
    <cellStyle name="entry box 19" xfId="3347"/>
    <cellStyle name="entry box 19 2" xfId="14035"/>
    <cellStyle name="entry box 19 3" xfId="14036"/>
    <cellStyle name="entry box 19 4" xfId="14037"/>
    <cellStyle name="entry box 19 5" xfId="14038"/>
    <cellStyle name="entry box 19 6" xfId="14039"/>
    <cellStyle name="entry box 19 7" xfId="14040"/>
    <cellStyle name="entry box 2" xfId="1051"/>
    <cellStyle name="entry box 2 10" xfId="3348"/>
    <cellStyle name="entry box 2 10 2" xfId="14041"/>
    <cellStyle name="entry box 2 10 3" xfId="14042"/>
    <cellStyle name="entry box 2 10 4" xfId="14043"/>
    <cellStyle name="entry box 2 10 5" xfId="14044"/>
    <cellStyle name="entry box 2 10 6" xfId="14045"/>
    <cellStyle name="entry box 2 10 7" xfId="14046"/>
    <cellStyle name="entry box 2 100" xfId="14047"/>
    <cellStyle name="entry box 2 11" xfId="3349"/>
    <cellStyle name="entry box 2 11 2" xfId="14048"/>
    <cellStyle name="entry box 2 11 3" xfId="14049"/>
    <cellStyle name="entry box 2 11 4" xfId="14050"/>
    <cellStyle name="entry box 2 11 5" xfId="14051"/>
    <cellStyle name="entry box 2 11 6" xfId="14052"/>
    <cellStyle name="entry box 2 11 7" xfId="14053"/>
    <cellStyle name="entry box 2 12" xfId="3350"/>
    <cellStyle name="entry box 2 12 2" xfId="14054"/>
    <cellStyle name="entry box 2 12 3" xfId="14055"/>
    <cellStyle name="entry box 2 12 4" xfId="14056"/>
    <cellStyle name="entry box 2 12 5" xfId="14057"/>
    <cellStyle name="entry box 2 12 6" xfId="14058"/>
    <cellStyle name="entry box 2 12 7" xfId="14059"/>
    <cellStyle name="entry box 2 13" xfId="3351"/>
    <cellStyle name="entry box 2 13 2" xfId="14060"/>
    <cellStyle name="entry box 2 13 3" xfId="14061"/>
    <cellStyle name="entry box 2 13 4" xfId="14062"/>
    <cellStyle name="entry box 2 13 5" xfId="14063"/>
    <cellStyle name="entry box 2 13 6" xfId="14064"/>
    <cellStyle name="entry box 2 13 7" xfId="14065"/>
    <cellStyle name="entry box 2 14" xfId="3352"/>
    <cellStyle name="entry box 2 14 2" xfId="14066"/>
    <cellStyle name="entry box 2 14 3" xfId="14067"/>
    <cellStyle name="entry box 2 14 4" xfId="14068"/>
    <cellStyle name="entry box 2 14 5" xfId="14069"/>
    <cellStyle name="entry box 2 14 6" xfId="14070"/>
    <cellStyle name="entry box 2 14 7" xfId="14071"/>
    <cellStyle name="entry box 2 15" xfId="3353"/>
    <cellStyle name="entry box 2 15 2" xfId="14072"/>
    <cellStyle name="entry box 2 15 3" xfId="14073"/>
    <cellStyle name="entry box 2 15 4" xfId="14074"/>
    <cellStyle name="entry box 2 15 5" xfId="14075"/>
    <cellStyle name="entry box 2 15 6" xfId="14076"/>
    <cellStyle name="entry box 2 15 7" xfId="14077"/>
    <cellStyle name="entry box 2 16" xfId="3354"/>
    <cellStyle name="entry box 2 16 2" xfId="14078"/>
    <cellStyle name="entry box 2 16 3" xfId="14079"/>
    <cellStyle name="entry box 2 16 4" xfId="14080"/>
    <cellStyle name="entry box 2 16 5" xfId="14081"/>
    <cellStyle name="entry box 2 16 6" xfId="14082"/>
    <cellStyle name="entry box 2 16 7" xfId="14083"/>
    <cellStyle name="entry box 2 17" xfId="3355"/>
    <cellStyle name="entry box 2 17 2" xfId="14084"/>
    <cellStyle name="entry box 2 17 3" xfId="14085"/>
    <cellStyle name="entry box 2 17 4" xfId="14086"/>
    <cellStyle name="entry box 2 17 5" xfId="14087"/>
    <cellStyle name="entry box 2 17 6" xfId="14088"/>
    <cellStyle name="entry box 2 17 7" xfId="14089"/>
    <cellStyle name="entry box 2 18" xfId="3356"/>
    <cellStyle name="entry box 2 18 2" xfId="14090"/>
    <cellStyle name="entry box 2 18 3" xfId="14091"/>
    <cellStyle name="entry box 2 18 4" xfId="14092"/>
    <cellStyle name="entry box 2 18 5" xfId="14093"/>
    <cellStyle name="entry box 2 18 6" xfId="14094"/>
    <cellStyle name="entry box 2 18 7" xfId="14095"/>
    <cellStyle name="entry box 2 19" xfId="3357"/>
    <cellStyle name="entry box 2 19 2" xfId="14096"/>
    <cellStyle name="entry box 2 19 3" xfId="14097"/>
    <cellStyle name="entry box 2 19 4" xfId="14098"/>
    <cellStyle name="entry box 2 19 5" xfId="14099"/>
    <cellStyle name="entry box 2 19 6" xfId="14100"/>
    <cellStyle name="entry box 2 19 7" xfId="14101"/>
    <cellStyle name="entry box 2 2" xfId="1052"/>
    <cellStyle name="entry box 2 2 10" xfId="3358"/>
    <cellStyle name="entry box 2 2 10 2" xfId="14102"/>
    <cellStyle name="entry box 2 2 10 3" xfId="14103"/>
    <cellStyle name="entry box 2 2 10 4" xfId="14104"/>
    <cellStyle name="entry box 2 2 10 5" xfId="14105"/>
    <cellStyle name="entry box 2 2 10 6" xfId="14106"/>
    <cellStyle name="entry box 2 2 10 7" xfId="14107"/>
    <cellStyle name="entry box 2 2 100" xfId="14108"/>
    <cellStyle name="entry box 2 2 101" xfId="14109"/>
    <cellStyle name="entry box 2 2 102" xfId="14110"/>
    <cellStyle name="entry box 2 2 11" xfId="3359"/>
    <cellStyle name="entry box 2 2 11 2" xfId="14111"/>
    <cellStyle name="entry box 2 2 11 3" xfId="14112"/>
    <cellStyle name="entry box 2 2 11 4" xfId="14113"/>
    <cellStyle name="entry box 2 2 11 5" xfId="14114"/>
    <cellStyle name="entry box 2 2 11 6" xfId="14115"/>
    <cellStyle name="entry box 2 2 11 7" xfId="14116"/>
    <cellStyle name="entry box 2 2 12" xfId="3360"/>
    <cellStyle name="entry box 2 2 12 2" xfId="14117"/>
    <cellStyle name="entry box 2 2 12 3" xfId="14118"/>
    <cellStyle name="entry box 2 2 12 4" xfId="14119"/>
    <cellStyle name="entry box 2 2 12 5" xfId="14120"/>
    <cellStyle name="entry box 2 2 12 6" xfId="14121"/>
    <cellStyle name="entry box 2 2 12 7" xfId="14122"/>
    <cellStyle name="entry box 2 2 13" xfId="3361"/>
    <cellStyle name="entry box 2 2 13 2" xfId="14123"/>
    <cellStyle name="entry box 2 2 13 3" xfId="14124"/>
    <cellStyle name="entry box 2 2 13 4" xfId="14125"/>
    <cellStyle name="entry box 2 2 13 5" xfId="14126"/>
    <cellStyle name="entry box 2 2 13 6" xfId="14127"/>
    <cellStyle name="entry box 2 2 13 7" xfId="14128"/>
    <cellStyle name="entry box 2 2 14" xfId="3362"/>
    <cellStyle name="entry box 2 2 14 2" xfId="14129"/>
    <cellStyle name="entry box 2 2 14 3" xfId="14130"/>
    <cellStyle name="entry box 2 2 14 4" xfId="14131"/>
    <cellStyle name="entry box 2 2 14 5" xfId="14132"/>
    <cellStyle name="entry box 2 2 14 6" xfId="14133"/>
    <cellStyle name="entry box 2 2 14 7" xfId="14134"/>
    <cellStyle name="entry box 2 2 15" xfId="3363"/>
    <cellStyle name="entry box 2 2 15 2" xfId="14135"/>
    <cellStyle name="entry box 2 2 15 3" xfId="14136"/>
    <cellStyle name="entry box 2 2 15 4" xfId="14137"/>
    <cellStyle name="entry box 2 2 15 5" xfId="14138"/>
    <cellStyle name="entry box 2 2 15 6" xfId="14139"/>
    <cellStyle name="entry box 2 2 15 7" xfId="14140"/>
    <cellStyle name="entry box 2 2 16" xfId="3364"/>
    <cellStyle name="entry box 2 2 16 2" xfId="14141"/>
    <cellStyle name="entry box 2 2 16 3" xfId="14142"/>
    <cellStyle name="entry box 2 2 16 4" xfId="14143"/>
    <cellStyle name="entry box 2 2 16 5" xfId="14144"/>
    <cellStyle name="entry box 2 2 16 6" xfId="14145"/>
    <cellStyle name="entry box 2 2 16 7" xfId="14146"/>
    <cellStyle name="entry box 2 2 17" xfId="3365"/>
    <cellStyle name="entry box 2 2 17 2" xfId="14147"/>
    <cellStyle name="entry box 2 2 17 3" xfId="14148"/>
    <cellStyle name="entry box 2 2 17 4" xfId="14149"/>
    <cellStyle name="entry box 2 2 17 5" xfId="14150"/>
    <cellStyle name="entry box 2 2 17 6" xfId="14151"/>
    <cellStyle name="entry box 2 2 17 7" xfId="14152"/>
    <cellStyle name="entry box 2 2 18" xfId="3366"/>
    <cellStyle name="entry box 2 2 18 2" xfId="14153"/>
    <cellStyle name="entry box 2 2 18 3" xfId="14154"/>
    <cellStyle name="entry box 2 2 18 4" xfId="14155"/>
    <cellStyle name="entry box 2 2 18 5" xfId="14156"/>
    <cellStyle name="entry box 2 2 18 6" xfId="14157"/>
    <cellStyle name="entry box 2 2 18 7" xfId="14158"/>
    <cellStyle name="entry box 2 2 19" xfId="3367"/>
    <cellStyle name="entry box 2 2 19 2" xfId="14159"/>
    <cellStyle name="entry box 2 2 19 3" xfId="14160"/>
    <cellStyle name="entry box 2 2 19 4" xfId="14161"/>
    <cellStyle name="entry box 2 2 19 5" xfId="14162"/>
    <cellStyle name="entry box 2 2 19 6" xfId="14163"/>
    <cellStyle name="entry box 2 2 19 7" xfId="14164"/>
    <cellStyle name="entry box 2 2 2" xfId="1053"/>
    <cellStyle name="entry box 2 2 2 10" xfId="14165"/>
    <cellStyle name="entry box 2 2 2 11" xfId="14166"/>
    <cellStyle name="entry box 2 2 2 2" xfId="12897"/>
    <cellStyle name="entry box 2 2 2 3" xfId="14167"/>
    <cellStyle name="entry box 2 2 2 4" xfId="14168"/>
    <cellStyle name="entry box 2 2 2 5" xfId="14169"/>
    <cellStyle name="entry box 2 2 2 6" xfId="14170"/>
    <cellStyle name="entry box 2 2 2 7" xfId="14171"/>
    <cellStyle name="entry box 2 2 2 8" xfId="14172"/>
    <cellStyle name="entry box 2 2 2 9" xfId="14173"/>
    <cellStyle name="entry box 2 2 2_YL Capex Cashflow &amp; Dep" xfId="11316"/>
    <cellStyle name="entry box 2 2 20" xfId="3368"/>
    <cellStyle name="entry box 2 2 20 2" xfId="14174"/>
    <cellStyle name="entry box 2 2 20 3" xfId="14175"/>
    <cellStyle name="entry box 2 2 20 4" xfId="14176"/>
    <cellStyle name="entry box 2 2 20 5" xfId="14177"/>
    <cellStyle name="entry box 2 2 20 6" xfId="14178"/>
    <cellStyle name="entry box 2 2 20 7" xfId="14179"/>
    <cellStyle name="entry box 2 2 21" xfId="3369"/>
    <cellStyle name="entry box 2 2 21 2" xfId="14180"/>
    <cellStyle name="entry box 2 2 21 3" xfId="14181"/>
    <cellStyle name="entry box 2 2 21 4" xfId="14182"/>
    <cellStyle name="entry box 2 2 21 5" xfId="14183"/>
    <cellStyle name="entry box 2 2 21 6" xfId="14184"/>
    <cellStyle name="entry box 2 2 21 7" xfId="14185"/>
    <cellStyle name="entry box 2 2 22" xfId="3370"/>
    <cellStyle name="entry box 2 2 22 2" xfId="14186"/>
    <cellStyle name="entry box 2 2 22 3" xfId="14187"/>
    <cellStyle name="entry box 2 2 22 4" xfId="14188"/>
    <cellStyle name="entry box 2 2 22 5" xfId="14189"/>
    <cellStyle name="entry box 2 2 22 6" xfId="14190"/>
    <cellStyle name="entry box 2 2 22 7" xfId="14191"/>
    <cellStyle name="entry box 2 2 23" xfId="3371"/>
    <cellStyle name="entry box 2 2 23 2" xfId="14192"/>
    <cellStyle name="entry box 2 2 23 3" xfId="14193"/>
    <cellStyle name="entry box 2 2 23 4" xfId="14194"/>
    <cellStyle name="entry box 2 2 23 5" xfId="14195"/>
    <cellStyle name="entry box 2 2 23 6" xfId="14196"/>
    <cellStyle name="entry box 2 2 23 7" xfId="14197"/>
    <cellStyle name="entry box 2 2 24" xfId="3372"/>
    <cellStyle name="entry box 2 2 24 2" xfId="14198"/>
    <cellStyle name="entry box 2 2 24 3" xfId="14199"/>
    <cellStyle name="entry box 2 2 24 4" xfId="14200"/>
    <cellStyle name="entry box 2 2 24 5" xfId="14201"/>
    <cellStyle name="entry box 2 2 24 6" xfId="14202"/>
    <cellStyle name="entry box 2 2 24 7" xfId="14203"/>
    <cellStyle name="entry box 2 2 25" xfId="3373"/>
    <cellStyle name="entry box 2 2 25 2" xfId="14204"/>
    <cellStyle name="entry box 2 2 25 3" xfId="14205"/>
    <cellStyle name="entry box 2 2 25 4" xfId="14206"/>
    <cellStyle name="entry box 2 2 25 5" xfId="14207"/>
    <cellStyle name="entry box 2 2 25 6" xfId="14208"/>
    <cellStyle name="entry box 2 2 25 7" xfId="14209"/>
    <cellStyle name="entry box 2 2 26" xfId="3374"/>
    <cellStyle name="entry box 2 2 26 2" xfId="14210"/>
    <cellStyle name="entry box 2 2 26 3" xfId="14211"/>
    <cellStyle name="entry box 2 2 26 4" xfId="14212"/>
    <cellStyle name="entry box 2 2 26 5" xfId="14213"/>
    <cellStyle name="entry box 2 2 26 6" xfId="14214"/>
    <cellStyle name="entry box 2 2 26 7" xfId="14215"/>
    <cellStyle name="entry box 2 2 27" xfId="3375"/>
    <cellStyle name="entry box 2 2 27 2" xfId="14216"/>
    <cellStyle name="entry box 2 2 27 3" xfId="14217"/>
    <cellStyle name="entry box 2 2 27 4" xfId="14218"/>
    <cellStyle name="entry box 2 2 27 5" xfId="14219"/>
    <cellStyle name="entry box 2 2 27 6" xfId="14220"/>
    <cellStyle name="entry box 2 2 27 7" xfId="14221"/>
    <cellStyle name="entry box 2 2 28" xfId="3376"/>
    <cellStyle name="entry box 2 2 28 2" xfId="14222"/>
    <cellStyle name="entry box 2 2 28 3" xfId="14223"/>
    <cellStyle name="entry box 2 2 28 4" xfId="14224"/>
    <cellStyle name="entry box 2 2 28 5" xfId="14225"/>
    <cellStyle name="entry box 2 2 28 6" xfId="14226"/>
    <cellStyle name="entry box 2 2 28 7" xfId="14227"/>
    <cellStyle name="entry box 2 2 29" xfId="3377"/>
    <cellStyle name="entry box 2 2 29 2" xfId="14228"/>
    <cellStyle name="entry box 2 2 29 3" xfId="14229"/>
    <cellStyle name="entry box 2 2 29 4" xfId="14230"/>
    <cellStyle name="entry box 2 2 29 5" xfId="14231"/>
    <cellStyle name="entry box 2 2 29 6" xfId="14232"/>
    <cellStyle name="entry box 2 2 29 7" xfId="14233"/>
    <cellStyle name="entry box 2 2 3" xfId="3378"/>
    <cellStyle name="entry box 2 2 3 10" xfId="14234"/>
    <cellStyle name="entry box 2 2 3 2" xfId="14235"/>
    <cellStyle name="entry box 2 2 3 3" xfId="14236"/>
    <cellStyle name="entry box 2 2 3 4" xfId="14237"/>
    <cellStyle name="entry box 2 2 3 5" xfId="14238"/>
    <cellStyle name="entry box 2 2 3 6" xfId="14239"/>
    <cellStyle name="entry box 2 2 3 7" xfId="14240"/>
    <cellStyle name="entry box 2 2 3 8" xfId="14241"/>
    <cellStyle name="entry box 2 2 3 9" xfId="14242"/>
    <cellStyle name="entry box 2 2 30" xfId="3379"/>
    <cellStyle name="entry box 2 2 30 2" xfId="14243"/>
    <cellStyle name="entry box 2 2 30 3" xfId="14244"/>
    <cellStyle name="entry box 2 2 30 4" xfId="14245"/>
    <cellStyle name="entry box 2 2 30 5" xfId="14246"/>
    <cellStyle name="entry box 2 2 30 6" xfId="14247"/>
    <cellStyle name="entry box 2 2 30 7" xfId="14248"/>
    <cellStyle name="entry box 2 2 31" xfId="3380"/>
    <cellStyle name="entry box 2 2 31 2" xfId="14249"/>
    <cellStyle name="entry box 2 2 31 3" xfId="14250"/>
    <cellStyle name="entry box 2 2 31 4" xfId="14251"/>
    <cellStyle name="entry box 2 2 31 5" xfId="14252"/>
    <cellStyle name="entry box 2 2 31 6" xfId="14253"/>
    <cellStyle name="entry box 2 2 31 7" xfId="14254"/>
    <cellStyle name="entry box 2 2 32" xfId="3381"/>
    <cellStyle name="entry box 2 2 32 2" xfId="14255"/>
    <cellStyle name="entry box 2 2 32 3" xfId="14256"/>
    <cellStyle name="entry box 2 2 32 4" xfId="14257"/>
    <cellStyle name="entry box 2 2 32 5" xfId="14258"/>
    <cellStyle name="entry box 2 2 32 6" xfId="14259"/>
    <cellStyle name="entry box 2 2 32 7" xfId="14260"/>
    <cellStyle name="entry box 2 2 33" xfId="3382"/>
    <cellStyle name="entry box 2 2 33 2" xfId="14261"/>
    <cellStyle name="entry box 2 2 33 3" xfId="14262"/>
    <cellStyle name="entry box 2 2 33 4" xfId="14263"/>
    <cellStyle name="entry box 2 2 33 5" xfId="14264"/>
    <cellStyle name="entry box 2 2 33 6" xfId="14265"/>
    <cellStyle name="entry box 2 2 33 7" xfId="14266"/>
    <cellStyle name="entry box 2 2 34" xfId="3383"/>
    <cellStyle name="entry box 2 2 34 2" xfId="14267"/>
    <cellStyle name="entry box 2 2 34 3" xfId="14268"/>
    <cellStyle name="entry box 2 2 34 4" xfId="14269"/>
    <cellStyle name="entry box 2 2 34 5" xfId="14270"/>
    <cellStyle name="entry box 2 2 34 6" xfId="14271"/>
    <cellStyle name="entry box 2 2 34 7" xfId="14272"/>
    <cellStyle name="entry box 2 2 35" xfId="3384"/>
    <cellStyle name="entry box 2 2 35 2" xfId="14273"/>
    <cellStyle name="entry box 2 2 35 3" xfId="14274"/>
    <cellStyle name="entry box 2 2 35 4" xfId="14275"/>
    <cellStyle name="entry box 2 2 35 5" xfId="14276"/>
    <cellStyle name="entry box 2 2 35 6" xfId="14277"/>
    <cellStyle name="entry box 2 2 35 7" xfId="14278"/>
    <cellStyle name="entry box 2 2 36" xfId="3385"/>
    <cellStyle name="entry box 2 2 36 2" xfId="14279"/>
    <cellStyle name="entry box 2 2 36 3" xfId="14280"/>
    <cellStyle name="entry box 2 2 36 4" xfId="14281"/>
    <cellStyle name="entry box 2 2 36 5" xfId="14282"/>
    <cellStyle name="entry box 2 2 36 6" xfId="14283"/>
    <cellStyle name="entry box 2 2 36 7" xfId="14284"/>
    <cellStyle name="entry box 2 2 37" xfId="3386"/>
    <cellStyle name="entry box 2 2 37 2" xfId="14285"/>
    <cellStyle name="entry box 2 2 37 3" xfId="14286"/>
    <cellStyle name="entry box 2 2 37 4" xfId="14287"/>
    <cellStyle name="entry box 2 2 37 5" xfId="14288"/>
    <cellStyle name="entry box 2 2 37 6" xfId="14289"/>
    <cellStyle name="entry box 2 2 37 7" xfId="14290"/>
    <cellStyle name="entry box 2 2 38" xfId="3387"/>
    <cellStyle name="entry box 2 2 38 2" xfId="14291"/>
    <cellStyle name="entry box 2 2 38 3" xfId="14292"/>
    <cellStyle name="entry box 2 2 38 4" xfId="14293"/>
    <cellStyle name="entry box 2 2 38 5" xfId="14294"/>
    <cellStyle name="entry box 2 2 38 6" xfId="14295"/>
    <cellStyle name="entry box 2 2 38 7" xfId="14296"/>
    <cellStyle name="entry box 2 2 39" xfId="3388"/>
    <cellStyle name="entry box 2 2 39 2" xfId="14297"/>
    <cellStyle name="entry box 2 2 39 3" xfId="14298"/>
    <cellStyle name="entry box 2 2 39 4" xfId="14299"/>
    <cellStyle name="entry box 2 2 39 5" xfId="14300"/>
    <cellStyle name="entry box 2 2 39 6" xfId="14301"/>
    <cellStyle name="entry box 2 2 39 7" xfId="14302"/>
    <cellStyle name="entry box 2 2 4" xfId="3389"/>
    <cellStyle name="entry box 2 2 4 10" xfId="14303"/>
    <cellStyle name="entry box 2 2 4 2" xfId="14304"/>
    <cellStyle name="entry box 2 2 4 3" xfId="14305"/>
    <cellStyle name="entry box 2 2 4 4" xfId="14306"/>
    <cellStyle name="entry box 2 2 4 5" xfId="14307"/>
    <cellStyle name="entry box 2 2 4 6" xfId="14308"/>
    <cellStyle name="entry box 2 2 4 7" xfId="14309"/>
    <cellStyle name="entry box 2 2 4 8" xfId="14310"/>
    <cellStyle name="entry box 2 2 4 9" xfId="14311"/>
    <cellStyle name="entry box 2 2 40" xfId="3390"/>
    <cellStyle name="entry box 2 2 40 2" xfId="14312"/>
    <cellStyle name="entry box 2 2 40 3" xfId="14313"/>
    <cellStyle name="entry box 2 2 40 4" xfId="14314"/>
    <cellStyle name="entry box 2 2 40 5" xfId="14315"/>
    <cellStyle name="entry box 2 2 40 6" xfId="14316"/>
    <cellStyle name="entry box 2 2 40 7" xfId="14317"/>
    <cellStyle name="entry box 2 2 41" xfId="3391"/>
    <cellStyle name="entry box 2 2 41 2" xfId="14318"/>
    <cellStyle name="entry box 2 2 41 3" xfId="14319"/>
    <cellStyle name="entry box 2 2 41 4" xfId="14320"/>
    <cellStyle name="entry box 2 2 41 5" xfId="14321"/>
    <cellStyle name="entry box 2 2 41 6" xfId="14322"/>
    <cellStyle name="entry box 2 2 41 7" xfId="14323"/>
    <cellStyle name="entry box 2 2 42" xfId="3392"/>
    <cellStyle name="entry box 2 2 42 2" xfId="14324"/>
    <cellStyle name="entry box 2 2 42 3" xfId="14325"/>
    <cellStyle name="entry box 2 2 42 4" xfId="14326"/>
    <cellStyle name="entry box 2 2 42 5" xfId="14327"/>
    <cellStyle name="entry box 2 2 42 6" xfId="14328"/>
    <cellStyle name="entry box 2 2 42 7" xfId="14329"/>
    <cellStyle name="entry box 2 2 43" xfId="3393"/>
    <cellStyle name="entry box 2 2 43 2" xfId="14330"/>
    <cellStyle name="entry box 2 2 43 3" xfId="14331"/>
    <cellStyle name="entry box 2 2 43 4" xfId="14332"/>
    <cellStyle name="entry box 2 2 43 5" xfId="14333"/>
    <cellStyle name="entry box 2 2 43 6" xfId="14334"/>
    <cellStyle name="entry box 2 2 43 7" xfId="14335"/>
    <cellStyle name="entry box 2 2 44" xfId="3394"/>
    <cellStyle name="entry box 2 2 44 2" xfId="14336"/>
    <cellStyle name="entry box 2 2 44 3" xfId="14337"/>
    <cellStyle name="entry box 2 2 44 4" xfId="14338"/>
    <cellStyle name="entry box 2 2 44 5" xfId="14339"/>
    <cellStyle name="entry box 2 2 44 6" xfId="14340"/>
    <cellStyle name="entry box 2 2 44 7" xfId="14341"/>
    <cellStyle name="entry box 2 2 45" xfId="3395"/>
    <cellStyle name="entry box 2 2 45 2" xfId="14342"/>
    <cellStyle name="entry box 2 2 45 3" xfId="14343"/>
    <cellStyle name="entry box 2 2 45 4" xfId="14344"/>
    <cellStyle name="entry box 2 2 45 5" xfId="14345"/>
    <cellStyle name="entry box 2 2 45 6" xfId="14346"/>
    <cellStyle name="entry box 2 2 45 7" xfId="14347"/>
    <cellStyle name="entry box 2 2 46" xfId="3396"/>
    <cellStyle name="entry box 2 2 46 2" xfId="14348"/>
    <cellStyle name="entry box 2 2 46 3" xfId="14349"/>
    <cellStyle name="entry box 2 2 46 4" xfId="14350"/>
    <cellStyle name="entry box 2 2 46 5" xfId="14351"/>
    <cellStyle name="entry box 2 2 46 6" xfId="14352"/>
    <cellStyle name="entry box 2 2 46 7" xfId="14353"/>
    <cellStyle name="entry box 2 2 47" xfId="3397"/>
    <cellStyle name="entry box 2 2 47 2" xfId="14354"/>
    <cellStyle name="entry box 2 2 47 3" xfId="14355"/>
    <cellStyle name="entry box 2 2 47 4" xfId="14356"/>
    <cellStyle name="entry box 2 2 47 5" xfId="14357"/>
    <cellStyle name="entry box 2 2 47 6" xfId="14358"/>
    <cellStyle name="entry box 2 2 47 7" xfId="14359"/>
    <cellStyle name="entry box 2 2 48" xfId="3398"/>
    <cellStyle name="entry box 2 2 48 2" xfId="14360"/>
    <cellStyle name="entry box 2 2 48 3" xfId="14361"/>
    <cellStyle name="entry box 2 2 48 4" xfId="14362"/>
    <cellStyle name="entry box 2 2 48 5" xfId="14363"/>
    <cellStyle name="entry box 2 2 48 6" xfId="14364"/>
    <cellStyle name="entry box 2 2 48 7" xfId="14365"/>
    <cellStyle name="entry box 2 2 49" xfId="3399"/>
    <cellStyle name="entry box 2 2 49 2" xfId="14366"/>
    <cellStyle name="entry box 2 2 49 3" xfId="14367"/>
    <cellStyle name="entry box 2 2 49 4" xfId="14368"/>
    <cellStyle name="entry box 2 2 49 5" xfId="14369"/>
    <cellStyle name="entry box 2 2 49 6" xfId="14370"/>
    <cellStyle name="entry box 2 2 49 7" xfId="14371"/>
    <cellStyle name="entry box 2 2 5" xfId="3400"/>
    <cellStyle name="entry box 2 2 5 2" xfId="14372"/>
    <cellStyle name="entry box 2 2 5 3" xfId="14373"/>
    <cellStyle name="entry box 2 2 5 4" xfId="14374"/>
    <cellStyle name="entry box 2 2 5 5" xfId="14375"/>
    <cellStyle name="entry box 2 2 5 6" xfId="14376"/>
    <cellStyle name="entry box 2 2 5 7" xfId="14377"/>
    <cellStyle name="entry box 2 2 50" xfId="3401"/>
    <cellStyle name="entry box 2 2 50 2" xfId="14378"/>
    <cellStyle name="entry box 2 2 50 3" xfId="14379"/>
    <cellStyle name="entry box 2 2 50 4" xfId="14380"/>
    <cellStyle name="entry box 2 2 50 5" xfId="14381"/>
    <cellStyle name="entry box 2 2 50 6" xfId="14382"/>
    <cellStyle name="entry box 2 2 50 7" xfId="14383"/>
    <cellStyle name="entry box 2 2 51" xfId="3402"/>
    <cellStyle name="entry box 2 2 51 2" xfId="14384"/>
    <cellStyle name="entry box 2 2 51 3" xfId="14385"/>
    <cellStyle name="entry box 2 2 51 4" xfId="14386"/>
    <cellStyle name="entry box 2 2 51 5" xfId="14387"/>
    <cellStyle name="entry box 2 2 51 6" xfId="14388"/>
    <cellStyle name="entry box 2 2 51 7" xfId="14389"/>
    <cellStyle name="entry box 2 2 52" xfId="3403"/>
    <cellStyle name="entry box 2 2 52 2" xfId="14390"/>
    <cellStyle name="entry box 2 2 52 3" xfId="14391"/>
    <cellStyle name="entry box 2 2 52 4" xfId="14392"/>
    <cellStyle name="entry box 2 2 52 5" xfId="14393"/>
    <cellStyle name="entry box 2 2 52 6" xfId="14394"/>
    <cellStyle name="entry box 2 2 52 7" xfId="14395"/>
    <cellStyle name="entry box 2 2 53" xfId="3404"/>
    <cellStyle name="entry box 2 2 53 2" xfId="14396"/>
    <cellStyle name="entry box 2 2 53 3" xfId="14397"/>
    <cellStyle name="entry box 2 2 53 4" xfId="14398"/>
    <cellStyle name="entry box 2 2 53 5" xfId="14399"/>
    <cellStyle name="entry box 2 2 53 6" xfId="14400"/>
    <cellStyle name="entry box 2 2 53 7" xfId="14401"/>
    <cellStyle name="entry box 2 2 54" xfId="3405"/>
    <cellStyle name="entry box 2 2 54 2" xfId="14402"/>
    <cellStyle name="entry box 2 2 54 3" xfId="14403"/>
    <cellStyle name="entry box 2 2 54 4" xfId="14404"/>
    <cellStyle name="entry box 2 2 54 5" xfId="14405"/>
    <cellStyle name="entry box 2 2 54 6" xfId="14406"/>
    <cellStyle name="entry box 2 2 54 7" xfId="14407"/>
    <cellStyle name="entry box 2 2 55" xfId="3406"/>
    <cellStyle name="entry box 2 2 55 2" xfId="14408"/>
    <cellStyle name="entry box 2 2 55 3" xfId="14409"/>
    <cellStyle name="entry box 2 2 55 4" xfId="14410"/>
    <cellStyle name="entry box 2 2 55 5" xfId="14411"/>
    <cellStyle name="entry box 2 2 55 6" xfId="14412"/>
    <cellStyle name="entry box 2 2 55 7" xfId="14413"/>
    <cellStyle name="entry box 2 2 56" xfId="3407"/>
    <cellStyle name="entry box 2 2 56 2" xfId="14414"/>
    <cellStyle name="entry box 2 2 56 3" xfId="14415"/>
    <cellStyle name="entry box 2 2 56 4" xfId="14416"/>
    <cellStyle name="entry box 2 2 56 5" xfId="14417"/>
    <cellStyle name="entry box 2 2 56 6" xfId="14418"/>
    <cellStyle name="entry box 2 2 56 7" xfId="14419"/>
    <cellStyle name="entry box 2 2 57" xfId="3408"/>
    <cellStyle name="entry box 2 2 57 2" xfId="14420"/>
    <cellStyle name="entry box 2 2 57 3" xfId="14421"/>
    <cellStyle name="entry box 2 2 57 4" xfId="14422"/>
    <cellStyle name="entry box 2 2 57 5" xfId="14423"/>
    <cellStyle name="entry box 2 2 57 6" xfId="14424"/>
    <cellStyle name="entry box 2 2 57 7" xfId="14425"/>
    <cellStyle name="entry box 2 2 58" xfId="3409"/>
    <cellStyle name="entry box 2 2 58 2" xfId="14426"/>
    <cellStyle name="entry box 2 2 58 3" xfId="14427"/>
    <cellStyle name="entry box 2 2 58 4" xfId="14428"/>
    <cellStyle name="entry box 2 2 58 5" xfId="14429"/>
    <cellStyle name="entry box 2 2 58 6" xfId="14430"/>
    <cellStyle name="entry box 2 2 58 7" xfId="14431"/>
    <cellStyle name="entry box 2 2 59" xfId="3410"/>
    <cellStyle name="entry box 2 2 59 2" xfId="14432"/>
    <cellStyle name="entry box 2 2 59 3" xfId="14433"/>
    <cellStyle name="entry box 2 2 59 4" xfId="14434"/>
    <cellStyle name="entry box 2 2 59 5" xfId="14435"/>
    <cellStyle name="entry box 2 2 59 6" xfId="14436"/>
    <cellStyle name="entry box 2 2 59 7" xfId="14437"/>
    <cellStyle name="entry box 2 2 6" xfId="3411"/>
    <cellStyle name="entry box 2 2 6 2" xfId="14438"/>
    <cellStyle name="entry box 2 2 6 3" xfId="14439"/>
    <cellStyle name="entry box 2 2 6 4" xfId="14440"/>
    <cellStyle name="entry box 2 2 6 5" xfId="14441"/>
    <cellStyle name="entry box 2 2 6 6" xfId="14442"/>
    <cellStyle name="entry box 2 2 6 7" xfId="14443"/>
    <cellStyle name="entry box 2 2 60" xfId="3412"/>
    <cellStyle name="entry box 2 2 60 2" xfId="14444"/>
    <cellStyle name="entry box 2 2 60 3" xfId="14445"/>
    <cellStyle name="entry box 2 2 60 4" xfId="14446"/>
    <cellStyle name="entry box 2 2 60 5" xfId="14447"/>
    <cellStyle name="entry box 2 2 60 6" xfId="14448"/>
    <cellStyle name="entry box 2 2 60 7" xfId="14449"/>
    <cellStyle name="entry box 2 2 61" xfId="3413"/>
    <cellStyle name="entry box 2 2 61 2" xfId="14450"/>
    <cellStyle name="entry box 2 2 61 3" xfId="14451"/>
    <cellStyle name="entry box 2 2 61 4" xfId="14452"/>
    <cellStyle name="entry box 2 2 61 5" xfId="14453"/>
    <cellStyle name="entry box 2 2 61 6" xfId="14454"/>
    <cellStyle name="entry box 2 2 61 7" xfId="14455"/>
    <cellStyle name="entry box 2 2 62" xfId="3414"/>
    <cellStyle name="entry box 2 2 62 2" xfId="14456"/>
    <cellStyle name="entry box 2 2 62 3" xfId="14457"/>
    <cellStyle name="entry box 2 2 62 4" xfId="14458"/>
    <cellStyle name="entry box 2 2 62 5" xfId="14459"/>
    <cellStyle name="entry box 2 2 62 6" xfId="14460"/>
    <cellStyle name="entry box 2 2 62 7" xfId="14461"/>
    <cellStyle name="entry box 2 2 63" xfId="3415"/>
    <cellStyle name="entry box 2 2 63 2" xfId="14462"/>
    <cellStyle name="entry box 2 2 63 3" xfId="14463"/>
    <cellStyle name="entry box 2 2 63 4" xfId="14464"/>
    <cellStyle name="entry box 2 2 63 5" xfId="14465"/>
    <cellStyle name="entry box 2 2 63 6" xfId="14466"/>
    <cellStyle name="entry box 2 2 63 7" xfId="14467"/>
    <cellStyle name="entry box 2 2 64" xfId="3416"/>
    <cellStyle name="entry box 2 2 64 2" xfId="14468"/>
    <cellStyle name="entry box 2 2 64 3" xfId="14469"/>
    <cellStyle name="entry box 2 2 64 4" xfId="14470"/>
    <cellStyle name="entry box 2 2 64 5" xfId="14471"/>
    <cellStyle name="entry box 2 2 64 6" xfId="14472"/>
    <cellStyle name="entry box 2 2 64 7" xfId="14473"/>
    <cellStyle name="entry box 2 2 65" xfId="3417"/>
    <cellStyle name="entry box 2 2 65 2" xfId="14474"/>
    <cellStyle name="entry box 2 2 65 3" xfId="14475"/>
    <cellStyle name="entry box 2 2 65 4" xfId="14476"/>
    <cellStyle name="entry box 2 2 65 5" xfId="14477"/>
    <cellStyle name="entry box 2 2 65 6" xfId="14478"/>
    <cellStyle name="entry box 2 2 65 7" xfId="14479"/>
    <cellStyle name="entry box 2 2 66" xfId="3418"/>
    <cellStyle name="entry box 2 2 66 2" xfId="14480"/>
    <cellStyle name="entry box 2 2 66 3" xfId="14481"/>
    <cellStyle name="entry box 2 2 66 4" xfId="14482"/>
    <cellStyle name="entry box 2 2 66 5" xfId="14483"/>
    <cellStyle name="entry box 2 2 66 6" xfId="14484"/>
    <cellStyle name="entry box 2 2 66 7" xfId="14485"/>
    <cellStyle name="entry box 2 2 67" xfId="3419"/>
    <cellStyle name="entry box 2 2 67 2" xfId="14486"/>
    <cellStyle name="entry box 2 2 67 3" xfId="14487"/>
    <cellStyle name="entry box 2 2 67 4" xfId="14488"/>
    <cellStyle name="entry box 2 2 67 5" xfId="14489"/>
    <cellStyle name="entry box 2 2 67 6" xfId="14490"/>
    <cellStyle name="entry box 2 2 67 7" xfId="14491"/>
    <cellStyle name="entry box 2 2 68" xfId="3420"/>
    <cellStyle name="entry box 2 2 68 2" xfId="14492"/>
    <cellStyle name="entry box 2 2 68 3" xfId="14493"/>
    <cellStyle name="entry box 2 2 68 4" xfId="14494"/>
    <cellStyle name="entry box 2 2 68 5" xfId="14495"/>
    <cellStyle name="entry box 2 2 68 6" xfId="14496"/>
    <cellStyle name="entry box 2 2 68 7" xfId="14497"/>
    <cellStyle name="entry box 2 2 69" xfId="3421"/>
    <cellStyle name="entry box 2 2 69 2" xfId="14498"/>
    <cellStyle name="entry box 2 2 69 3" xfId="14499"/>
    <cellStyle name="entry box 2 2 69 4" xfId="14500"/>
    <cellStyle name="entry box 2 2 69 5" xfId="14501"/>
    <cellStyle name="entry box 2 2 69 6" xfId="14502"/>
    <cellStyle name="entry box 2 2 69 7" xfId="14503"/>
    <cellStyle name="entry box 2 2 7" xfId="3422"/>
    <cellStyle name="entry box 2 2 7 2" xfId="14504"/>
    <cellStyle name="entry box 2 2 7 3" xfId="14505"/>
    <cellStyle name="entry box 2 2 7 4" xfId="14506"/>
    <cellStyle name="entry box 2 2 7 5" xfId="14507"/>
    <cellStyle name="entry box 2 2 7 6" xfId="14508"/>
    <cellStyle name="entry box 2 2 7 7" xfId="14509"/>
    <cellStyle name="entry box 2 2 70" xfId="3423"/>
    <cellStyle name="entry box 2 2 70 2" xfId="14510"/>
    <cellStyle name="entry box 2 2 70 3" xfId="14511"/>
    <cellStyle name="entry box 2 2 70 4" xfId="14512"/>
    <cellStyle name="entry box 2 2 70 5" xfId="14513"/>
    <cellStyle name="entry box 2 2 70 6" xfId="14514"/>
    <cellStyle name="entry box 2 2 70 7" xfId="14515"/>
    <cellStyle name="entry box 2 2 71" xfId="3424"/>
    <cellStyle name="entry box 2 2 71 2" xfId="14516"/>
    <cellStyle name="entry box 2 2 71 3" xfId="14517"/>
    <cellStyle name="entry box 2 2 71 4" xfId="14518"/>
    <cellStyle name="entry box 2 2 71 5" xfId="14519"/>
    <cellStyle name="entry box 2 2 71 6" xfId="14520"/>
    <cellStyle name="entry box 2 2 71 7" xfId="14521"/>
    <cellStyle name="entry box 2 2 72" xfId="3425"/>
    <cellStyle name="entry box 2 2 72 2" xfId="14522"/>
    <cellStyle name="entry box 2 2 72 3" xfId="14523"/>
    <cellStyle name="entry box 2 2 72 4" xfId="14524"/>
    <cellStyle name="entry box 2 2 72 5" xfId="14525"/>
    <cellStyle name="entry box 2 2 72 6" xfId="14526"/>
    <cellStyle name="entry box 2 2 72 7" xfId="14527"/>
    <cellStyle name="entry box 2 2 73" xfId="3426"/>
    <cellStyle name="entry box 2 2 73 2" xfId="14528"/>
    <cellStyle name="entry box 2 2 73 3" xfId="14529"/>
    <cellStyle name="entry box 2 2 73 4" xfId="14530"/>
    <cellStyle name="entry box 2 2 73 5" xfId="14531"/>
    <cellStyle name="entry box 2 2 73 6" xfId="14532"/>
    <cellStyle name="entry box 2 2 73 7" xfId="14533"/>
    <cellStyle name="entry box 2 2 74" xfId="3427"/>
    <cellStyle name="entry box 2 2 74 2" xfId="14534"/>
    <cellStyle name="entry box 2 2 74 3" xfId="14535"/>
    <cellStyle name="entry box 2 2 74 4" xfId="14536"/>
    <cellStyle name="entry box 2 2 74 5" xfId="14537"/>
    <cellStyle name="entry box 2 2 74 6" xfId="14538"/>
    <cellStyle name="entry box 2 2 74 7" xfId="14539"/>
    <cellStyle name="entry box 2 2 75" xfId="3428"/>
    <cellStyle name="entry box 2 2 75 2" xfId="14540"/>
    <cellStyle name="entry box 2 2 75 3" xfId="14541"/>
    <cellStyle name="entry box 2 2 75 4" xfId="14542"/>
    <cellStyle name="entry box 2 2 75 5" xfId="14543"/>
    <cellStyle name="entry box 2 2 75 6" xfId="14544"/>
    <cellStyle name="entry box 2 2 75 7" xfId="14545"/>
    <cellStyle name="entry box 2 2 76" xfId="3429"/>
    <cellStyle name="entry box 2 2 76 2" xfId="14546"/>
    <cellStyle name="entry box 2 2 76 3" xfId="14547"/>
    <cellStyle name="entry box 2 2 76 4" xfId="14548"/>
    <cellStyle name="entry box 2 2 76 5" xfId="14549"/>
    <cellStyle name="entry box 2 2 76 6" xfId="14550"/>
    <cellStyle name="entry box 2 2 76 7" xfId="14551"/>
    <cellStyle name="entry box 2 2 77" xfId="3430"/>
    <cellStyle name="entry box 2 2 77 2" xfId="14552"/>
    <cellStyle name="entry box 2 2 77 3" xfId="14553"/>
    <cellStyle name="entry box 2 2 77 4" xfId="14554"/>
    <cellStyle name="entry box 2 2 77 5" xfId="14555"/>
    <cellStyle name="entry box 2 2 77 6" xfId="14556"/>
    <cellStyle name="entry box 2 2 77 7" xfId="14557"/>
    <cellStyle name="entry box 2 2 78" xfId="3431"/>
    <cellStyle name="entry box 2 2 78 2" xfId="14558"/>
    <cellStyle name="entry box 2 2 78 3" xfId="14559"/>
    <cellStyle name="entry box 2 2 78 4" xfId="14560"/>
    <cellStyle name="entry box 2 2 78 5" xfId="14561"/>
    <cellStyle name="entry box 2 2 78 6" xfId="14562"/>
    <cellStyle name="entry box 2 2 78 7" xfId="14563"/>
    <cellStyle name="entry box 2 2 79" xfId="3432"/>
    <cellStyle name="entry box 2 2 79 2" xfId="14564"/>
    <cellStyle name="entry box 2 2 79 3" xfId="14565"/>
    <cellStyle name="entry box 2 2 79 4" xfId="14566"/>
    <cellStyle name="entry box 2 2 79 5" xfId="14567"/>
    <cellStyle name="entry box 2 2 79 6" xfId="14568"/>
    <cellStyle name="entry box 2 2 79 7" xfId="14569"/>
    <cellStyle name="entry box 2 2 8" xfId="3433"/>
    <cellStyle name="entry box 2 2 8 2" xfId="14570"/>
    <cellStyle name="entry box 2 2 8 3" xfId="14571"/>
    <cellStyle name="entry box 2 2 8 4" xfId="14572"/>
    <cellStyle name="entry box 2 2 8 5" xfId="14573"/>
    <cellStyle name="entry box 2 2 8 6" xfId="14574"/>
    <cellStyle name="entry box 2 2 8 7" xfId="14575"/>
    <cellStyle name="entry box 2 2 80" xfId="3434"/>
    <cellStyle name="entry box 2 2 80 2" xfId="14576"/>
    <cellStyle name="entry box 2 2 80 3" xfId="14577"/>
    <cellStyle name="entry box 2 2 80 4" xfId="14578"/>
    <cellStyle name="entry box 2 2 80 5" xfId="14579"/>
    <cellStyle name="entry box 2 2 80 6" xfId="14580"/>
    <cellStyle name="entry box 2 2 80 7" xfId="14581"/>
    <cellStyle name="entry box 2 2 81" xfId="3435"/>
    <cellStyle name="entry box 2 2 81 2" xfId="14582"/>
    <cellStyle name="entry box 2 2 81 3" xfId="14583"/>
    <cellStyle name="entry box 2 2 81 4" xfId="14584"/>
    <cellStyle name="entry box 2 2 81 5" xfId="14585"/>
    <cellStyle name="entry box 2 2 81 6" xfId="14586"/>
    <cellStyle name="entry box 2 2 81 7" xfId="14587"/>
    <cellStyle name="entry box 2 2 82" xfId="3436"/>
    <cellStyle name="entry box 2 2 82 2" xfId="14588"/>
    <cellStyle name="entry box 2 2 82 3" xfId="14589"/>
    <cellStyle name="entry box 2 2 82 4" xfId="14590"/>
    <cellStyle name="entry box 2 2 82 5" xfId="14591"/>
    <cellStyle name="entry box 2 2 82 6" xfId="14592"/>
    <cellStyle name="entry box 2 2 82 7" xfId="14593"/>
    <cellStyle name="entry box 2 2 83" xfId="3437"/>
    <cellStyle name="entry box 2 2 83 2" xfId="14594"/>
    <cellStyle name="entry box 2 2 83 3" xfId="14595"/>
    <cellStyle name="entry box 2 2 83 4" xfId="14596"/>
    <cellStyle name="entry box 2 2 83 5" xfId="14597"/>
    <cellStyle name="entry box 2 2 83 6" xfId="14598"/>
    <cellStyle name="entry box 2 2 83 7" xfId="14599"/>
    <cellStyle name="entry box 2 2 84" xfId="3438"/>
    <cellStyle name="entry box 2 2 84 2" xfId="14600"/>
    <cellStyle name="entry box 2 2 84 3" xfId="14601"/>
    <cellStyle name="entry box 2 2 84 4" xfId="14602"/>
    <cellStyle name="entry box 2 2 84 5" xfId="14603"/>
    <cellStyle name="entry box 2 2 84 6" xfId="14604"/>
    <cellStyle name="entry box 2 2 84 7" xfId="14605"/>
    <cellStyle name="entry box 2 2 85" xfId="3439"/>
    <cellStyle name="entry box 2 2 85 2" xfId="14606"/>
    <cellStyle name="entry box 2 2 85 3" xfId="14607"/>
    <cellStyle name="entry box 2 2 85 4" xfId="14608"/>
    <cellStyle name="entry box 2 2 85 5" xfId="14609"/>
    <cellStyle name="entry box 2 2 85 6" xfId="14610"/>
    <cellStyle name="entry box 2 2 85 7" xfId="14611"/>
    <cellStyle name="entry box 2 2 86" xfId="3440"/>
    <cellStyle name="entry box 2 2 86 2" xfId="14612"/>
    <cellStyle name="entry box 2 2 86 3" xfId="14613"/>
    <cellStyle name="entry box 2 2 86 4" xfId="14614"/>
    <cellStyle name="entry box 2 2 86 5" xfId="14615"/>
    <cellStyle name="entry box 2 2 86 6" xfId="14616"/>
    <cellStyle name="entry box 2 2 86 7" xfId="14617"/>
    <cellStyle name="entry box 2 2 87" xfId="3441"/>
    <cellStyle name="entry box 2 2 87 2" xfId="14618"/>
    <cellStyle name="entry box 2 2 87 3" xfId="14619"/>
    <cellStyle name="entry box 2 2 87 4" xfId="14620"/>
    <cellStyle name="entry box 2 2 87 5" xfId="14621"/>
    <cellStyle name="entry box 2 2 87 6" xfId="14622"/>
    <cellStyle name="entry box 2 2 87 7" xfId="14623"/>
    <cellStyle name="entry box 2 2 88" xfId="3442"/>
    <cellStyle name="entry box 2 2 88 2" xfId="14624"/>
    <cellStyle name="entry box 2 2 88 3" xfId="14625"/>
    <cellStyle name="entry box 2 2 88 4" xfId="14626"/>
    <cellStyle name="entry box 2 2 88 5" xfId="14627"/>
    <cellStyle name="entry box 2 2 88 6" xfId="14628"/>
    <cellStyle name="entry box 2 2 88 7" xfId="14629"/>
    <cellStyle name="entry box 2 2 89" xfId="3443"/>
    <cellStyle name="entry box 2 2 89 2" xfId="14630"/>
    <cellStyle name="entry box 2 2 89 3" xfId="14631"/>
    <cellStyle name="entry box 2 2 89 4" xfId="14632"/>
    <cellStyle name="entry box 2 2 89 5" xfId="14633"/>
    <cellStyle name="entry box 2 2 89 6" xfId="14634"/>
    <cellStyle name="entry box 2 2 89 7" xfId="14635"/>
    <cellStyle name="entry box 2 2 9" xfId="3444"/>
    <cellStyle name="entry box 2 2 9 2" xfId="14636"/>
    <cellStyle name="entry box 2 2 9 3" xfId="14637"/>
    <cellStyle name="entry box 2 2 9 4" xfId="14638"/>
    <cellStyle name="entry box 2 2 9 5" xfId="14639"/>
    <cellStyle name="entry box 2 2 9 6" xfId="14640"/>
    <cellStyle name="entry box 2 2 9 7" xfId="14641"/>
    <cellStyle name="entry box 2 2 90" xfId="3445"/>
    <cellStyle name="entry box 2 2 90 2" xfId="14642"/>
    <cellStyle name="entry box 2 2 90 3" xfId="14643"/>
    <cellStyle name="entry box 2 2 90 4" xfId="14644"/>
    <cellStyle name="entry box 2 2 90 5" xfId="14645"/>
    <cellStyle name="entry box 2 2 90 6" xfId="14646"/>
    <cellStyle name="entry box 2 2 90 7" xfId="14647"/>
    <cellStyle name="entry box 2 2 91" xfId="3446"/>
    <cellStyle name="entry box 2 2 91 2" xfId="14648"/>
    <cellStyle name="entry box 2 2 91 3" xfId="14649"/>
    <cellStyle name="entry box 2 2 91 4" xfId="14650"/>
    <cellStyle name="entry box 2 2 91 5" xfId="14651"/>
    <cellStyle name="entry box 2 2 91 6" xfId="14652"/>
    <cellStyle name="entry box 2 2 91 7" xfId="14653"/>
    <cellStyle name="entry box 2 2 92" xfId="3447"/>
    <cellStyle name="entry box 2 2 92 2" xfId="14654"/>
    <cellStyle name="entry box 2 2 92 3" xfId="14655"/>
    <cellStyle name="entry box 2 2 92 4" xfId="14656"/>
    <cellStyle name="entry box 2 2 92 5" xfId="14657"/>
    <cellStyle name="entry box 2 2 92 6" xfId="14658"/>
    <cellStyle name="entry box 2 2 92 7" xfId="14659"/>
    <cellStyle name="entry box 2 2 93" xfId="3448"/>
    <cellStyle name="entry box 2 2 93 2" xfId="14660"/>
    <cellStyle name="entry box 2 2 93 3" xfId="14661"/>
    <cellStyle name="entry box 2 2 93 4" xfId="14662"/>
    <cellStyle name="entry box 2 2 93 5" xfId="14663"/>
    <cellStyle name="entry box 2 2 93 6" xfId="14664"/>
    <cellStyle name="entry box 2 2 94" xfId="12184"/>
    <cellStyle name="entry box 2 2 95" xfId="14665"/>
    <cellStyle name="entry box 2 2 96" xfId="14666"/>
    <cellStyle name="entry box 2 2 97" xfId="14667"/>
    <cellStyle name="entry box 2 2 98" xfId="14668"/>
    <cellStyle name="entry box 2 2 99" xfId="14669"/>
    <cellStyle name="entry box 2 2_Cashflow trend" xfId="1054"/>
    <cellStyle name="entry box 2 20" xfId="3449"/>
    <cellStyle name="entry box 2 20 2" xfId="14670"/>
    <cellStyle name="entry box 2 20 3" xfId="14671"/>
    <cellStyle name="entry box 2 20 4" xfId="14672"/>
    <cellStyle name="entry box 2 20 5" xfId="14673"/>
    <cellStyle name="entry box 2 20 6" xfId="14674"/>
    <cellStyle name="entry box 2 20 7" xfId="14675"/>
    <cellStyle name="entry box 2 21" xfId="3450"/>
    <cellStyle name="entry box 2 21 2" xfId="14676"/>
    <cellStyle name="entry box 2 21 3" xfId="14677"/>
    <cellStyle name="entry box 2 21 4" xfId="14678"/>
    <cellStyle name="entry box 2 21 5" xfId="14679"/>
    <cellStyle name="entry box 2 21 6" xfId="14680"/>
    <cellStyle name="entry box 2 21 7" xfId="14681"/>
    <cellStyle name="entry box 2 22" xfId="3451"/>
    <cellStyle name="entry box 2 22 2" xfId="14682"/>
    <cellStyle name="entry box 2 22 3" xfId="14683"/>
    <cellStyle name="entry box 2 22 4" xfId="14684"/>
    <cellStyle name="entry box 2 22 5" xfId="14685"/>
    <cellStyle name="entry box 2 22 6" xfId="14686"/>
    <cellStyle name="entry box 2 22 7" xfId="14687"/>
    <cellStyle name="entry box 2 23" xfId="3452"/>
    <cellStyle name="entry box 2 23 2" xfId="14688"/>
    <cellStyle name="entry box 2 23 3" xfId="14689"/>
    <cellStyle name="entry box 2 23 4" xfId="14690"/>
    <cellStyle name="entry box 2 23 5" xfId="14691"/>
    <cellStyle name="entry box 2 23 6" xfId="14692"/>
    <cellStyle name="entry box 2 23 7" xfId="14693"/>
    <cellStyle name="entry box 2 24" xfId="3453"/>
    <cellStyle name="entry box 2 24 2" xfId="14694"/>
    <cellStyle name="entry box 2 24 3" xfId="14695"/>
    <cellStyle name="entry box 2 24 4" xfId="14696"/>
    <cellStyle name="entry box 2 24 5" xfId="14697"/>
    <cellStyle name="entry box 2 24 6" xfId="14698"/>
    <cellStyle name="entry box 2 24 7" xfId="14699"/>
    <cellStyle name="entry box 2 25" xfId="3454"/>
    <cellStyle name="entry box 2 25 2" xfId="14700"/>
    <cellStyle name="entry box 2 25 3" xfId="14701"/>
    <cellStyle name="entry box 2 25 4" xfId="14702"/>
    <cellStyle name="entry box 2 25 5" xfId="14703"/>
    <cellStyle name="entry box 2 25 6" xfId="14704"/>
    <cellStyle name="entry box 2 25 7" xfId="14705"/>
    <cellStyle name="entry box 2 26" xfId="3455"/>
    <cellStyle name="entry box 2 26 2" xfId="14706"/>
    <cellStyle name="entry box 2 26 3" xfId="14707"/>
    <cellStyle name="entry box 2 26 4" xfId="14708"/>
    <cellStyle name="entry box 2 26 5" xfId="14709"/>
    <cellStyle name="entry box 2 26 6" xfId="14710"/>
    <cellStyle name="entry box 2 26 7" xfId="14711"/>
    <cellStyle name="entry box 2 27" xfId="3456"/>
    <cellStyle name="entry box 2 27 2" xfId="14712"/>
    <cellStyle name="entry box 2 27 3" xfId="14713"/>
    <cellStyle name="entry box 2 27 4" xfId="14714"/>
    <cellStyle name="entry box 2 27 5" xfId="14715"/>
    <cellStyle name="entry box 2 27 6" xfId="14716"/>
    <cellStyle name="entry box 2 27 7" xfId="14717"/>
    <cellStyle name="entry box 2 28" xfId="3457"/>
    <cellStyle name="entry box 2 28 2" xfId="14718"/>
    <cellStyle name="entry box 2 28 3" xfId="14719"/>
    <cellStyle name="entry box 2 28 4" xfId="14720"/>
    <cellStyle name="entry box 2 28 5" xfId="14721"/>
    <cellStyle name="entry box 2 28 6" xfId="14722"/>
    <cellStyle name="entry box 2 28 7" xfId="14723"/>
    <cellStyle name="entry box 2 29" xfId="3458"/>
    <cellStyle name="entry box 2 29 2" xfId="14724"/>
    <cellStyle name="entry box 2 29 3" xfId="14725"/>
    <cellStyle name="entry box 2 29 4" xfId="14726"/>
    <cellStyle name="entry box 2 29 5" xfId="14727"/>
    <cellStyle name="entry box 2 29 6" xfId="14728"/>
    <cellStyle name="entry box 2 29 7" xfId="14729"/>
    <cellStyle name="entry box 2 3" xfId="1055"/>
    <cellStyle name="entry box 2 3 10" xfId="3459"/>
    <cellStyle name="entry box 2 3 10 2" xfId="14730"/>
    <cellStyle name="entry box 2 3 10 3" xfId="14731"/>
    <cellStyle name="entry box 2 3 10 4" xfId="14732"/>
    <cellStyle name="entry box 2 3 10 5" xfId="14733"/>
    <cellStyle name="entry box 2 3 10 6" xfId="14734"/>
    <cellStyle name="entry box 2 3 10 7" xfId="14735"/>
    <cellStyle name="entry box 2 3 100" xfId="14736"/>
    <cellStyle name="entry box 2 3 101" xfId="14737"/>
    <cellStyle name="entry box 2 3 102" xfId="14738"/>
    <cellStyle name="entry box 2 3 11" xfId="3460"/>
    <cellStyle name="entry box 2 3 11 2" xfId="14739"/>
    <cellStyle name="entry box 2 3 11 3" xfId="14740"/>
    <cellStyle name="entry box 2 3 11 4" xfId="14741"/>
    <cellStyle name="entry box 2 3 11 5" xfId="14742"/>
    <cellStyle name="entry box 2 3 11 6" xfId="14743"/>
    <cellStyle name="entry box 2 3 11 7" xfId="14744"/>
    <cellStyle name="entry box 2 3 12" xfId="3461"/>
    <cellStyle name="entry box 2 3 12 2" xfId="14745"/>
    <cellStyle name="entry box 2 3 12 3" xfId="14746"/>
    <cellStyle name="entry box 2 3 12 4" xfId="14747"/>
    <cellStyle name="entry box 2 3 12 5" xfId="14748"/>
    <cellStyle name="entry box 2 3 12 6" xfId="14749"/>
    <cellStyle name="entry box 2 3 12 7" xfId="14750"/>
    <cellStyle name="entry box 2 3 13" xfId="3462"/>
    <cellStyle name="entry box 2 3 13 2" xfId="14751"/>
    <cellStyle name="entry box 2 3 13 3" xfId="14752"/>
    <cellStyle name="entry box 2 3 13 4" xfId="14753"/>
    <cellStyle name="entry box 2 3 13 5" xfId="14754"/>
    <cellStyle name="entry box 2 3 13 6" xfId="14755"/>
    <cellStyle name="entry box 2 3 13 7" xfId="14756"/>
    <cellStyle name="entry box 2 3 14" xfId="3463"/>
    <cellStyle name="entry box 2 3 14 2" xfId="14757"/>
    <cellStyle name="entry box 2 3 14 3" xfId="14758"/>
    <cellStyle name="entry box 2 3 14 4" xfId="14759"/>
    <cellStyle name="entry box 2 3 14 5" xfId="14760"/>
    <cellStyle name="entry box 2 3 14 6" xfId="14761"/>
    <cellStyle name="entry box 2 3 14 7" xfId="14762"/>
    <cellStyle name="entry box 2 3 15" xfId="3464"/>
    <cellStyle name="entry box 2 3 15 2" xfId="14763"/>
    <cellStyle name="entry box 2 3 15 3" xfId="14764"/>
    <cellStyle name="entry box 2 3 15 4" xfId="14765"/>
    <cellStyle name="entry box 2 3 15 5" xfId="14766"/>
    <cellStyle name="entry box 2 3 15 6" xfId="14767"/>
    <cellStyle name="entry box 2 3 15 7" xfId="14768"/>
    <cellStyle name="entry box 2 3 16" xfId="3465"/>
    <cellStyle name="entry box 2 3 16 2" xfId="14769"/>
    <cellStyle name="entry box 2 3 16 3" xfId="14770"/>
    <cellStyle name="entry box 2 3 16 4" xfId="14771"/>
    <cellStyle name="entry box 2 3 16 5" xfId="14772"/>
    <cellStyle name="entry box 2 3 16 6" xfId="14773"/>
    <cellStyle name="entry box 2 3 16 7" xfId="14774"/>
    <cellStyle name="entry box 2 3 17" xfId="3466"/>
    <cellStyle name="entry box 2 3 17 2" xfId="14775"/>
    <cellStyle name="entry box 2 3 17 3" xfId="14776"/>
    <cellStyle name="entry box 2 3 17 4" xfId="14777"/>
    <cellStyle name="entry box 2 3 17 5" xfId="14778"/>
    <cellStyle name="entry box 2 3 17 6" xfId="14779"/>
    <cellStyle name="entry box 2 3 17 7" xfId="14780"/>
    <cellStyle name="entry box 2 3 18" xfId="3467"/>
    <cellStyle name="entry box 2 3 18 2" xfId="14781"/>
    <cellStyle name="entry box 2 3 18 3" xfId="14782"/>
    <cellStyle name="entry box 2 3 18 4" xfId="14783"/>
    <cellStyle name="entry box 2 3 18 5" xfId="14784"/>
    <cellStyle name="entry box 2 3 18 6" xfId="14785"/>
    <cellStyle name="entry box 2 3 18 7" xfId="14786"/>
    <cellStyle name="entry box 2 3 19" xfId="3468"/>
    <cellStyle name="entry box 2 3 19 2" xfId="14787"/>
    <cellStyle name="entry box 2 3 19 3" xfId="14788"/>
    <cellStyle name="entry box 2 3 19 4" xfId="14789"/>
    <cellStyle name="entry box 2 3 19 5" xfId="14790"/>
    <cellStyle name="entry box 2 3 19 6" xfId="14791"/>
    <cellStyle name="entry box 2 3 19 7" xfId="14792"/>
    <cellStyle name="entry box 2 3 2" xfId="1056"/>
    <cellStyle name="entry box 2 3 2 10" xfId="14793"/>
    <cellStyle name="entry box 2 3 2 11" xfId="14794"/>
    <cellStyle name="entry box 2 3 2 2" xfId="13195"/>
    <cellStyle name="entry box 2 3 2 3" xfId="14795"/>
    <cellStyle name="entry box 2 3 2 4" xfId="14796"/>
    <cellStyle name="entry box 2 3 2 5" xfId="14797"/>
    <cellStyle name="entry box 2 3 2 6" xfId="14798"/>
    <cellStyle name="entry box 2 3 2 7" xfId="14799"/>
    <cellStyle name="entry box 2 3 2 8" xfId="14800"/>
    <cellStyle name="entry box 2 3 2 9" xfId="14801"/>
    <cellStyle name="entry box 2 3 2_YL Capex Cashflow &amp; Dep" xfId="11315"/>
    <cellStyle name="entry box 2 3 20" xfId="3469"/>
    <cellStyle name="entry box 2 3 20 2" xfId="14802"/>
    <cellStyle name="entry box 2 3 20 3" xfId="14803"/>
    <cellStyle name="entry box 2 3 20 4" xfId="14804"/>
    <cellStyle name="entry box 2 3 20 5" xfId="14805"/>
    <cellStyle name="entry box 2 3 20 6" xfId="14806"/>
    <cellStyle name="entry box 2 3 20 7" xfId="14807"/>
    <cellStyle name="entry box 2 3 21" xfId="3470"/>
    <cellStyle name="entry box 2 3 21 2" xfId="14808"/>
    <cellStyle name="entry box 2 3 21 3" xfId="14809"/>
    <cellStyle name="entry box 2 3 21 4" xfId="14810"/>
    <cellStyle name="entry box 2 3 21 5" xfId="14811"/>
    <cellStyle name="entry box 2 3 21 6" xfId="14812"/>
    <cellStyle name="entry box 2 3 21 7" xfId="14813"/>
    <cellStyle name="entry box 2 3 22" xfId="3471"/>
    <cellStyle name="entry box 2 3 22 2" xfId="14814"/>
    <cellStyle name="entry box 2 3 22 3" xfId="14815"/>
    <cellStyle name="entry box 2 3 22 4" xfId="14816"/>
    <cellStyle name="entry box 2 3 22 5" xfId="14817"/>
    <cellStyle name="entry box 2 3 22 6" xfId="14818"/>
    <cellStyle name="entry box 2 3 22 7" xfId="14819"/>
    <cellStyle name="entry box 2 3 23" xfId="3472"/>
    <cellStyle name="entry box 2 3 23 2" xfId="14820"/>
    <cellStyle name="entry box 2 3 23 3" xfId="14821"/>
    <cellStyle name="entry box 2 3 23 4" xfId="14822"/>
    <cellStyle name="entry box 2 3 23 5" xfId="14823"/>
    <cellStyle name="entry box 2 3 23 6" xfId="14824"/>
    <cellStyle name="entry box 2 3 23 7" xfId="14825"/>
    <cellStyle name="entry box 2 3 24" xfId="3473"/>
    <cellStyle name="entry box 2 3 24 2" xfId="14826"/>
    <cellStyle name="entry box 2 3 24 3" xfId="14827"/>
    <cellStyle name="entry box 2 3 24 4" xfId="14828"/>
    <cellStyle name="entry box 2 3 24 5" xfId="14829"/>
    <cellStyle name="entry box 2 3 24 6" xfId="14830"/>
    <cellStyle name="entry box 2 3 24 7" xfId="14831"/>
    <cellStyle name="entry box 2 3 25" xfId="3474"/>
    <cellStyle name="entry box 2 3 25 2" xfId="14832"/>
    <cellStyle name="entry box 2 3 25 3" xfId="14833"/>
    <cellStyle name="entry box 2 3 25 4" xfId="14834"/>
    <cellStyle name="entry box 2 3 25 5" xfId="14835"/>
    <cellStyle name="entry box 2 3 25 6" xfId="14836"/>
    <cellStyle name="entry box 2 3 25 7" xfId="14837"/>
    <cellStyle name="entry box 2 3 26" xfId="3475"/>
    <cellStyle name="entry box 2 3 26 2" xfId="14838"/>
    <cellStyle name="entry box 2 3 26 3" xfId="14839"/>
    <cellStyle name="entry box 2 3 26 4" xfId="14840"/>
    <cellStyle name="entry box 2 3 26 5" xfId="14841"/>
    <cellStyle name="entry box 2 3 26 6" xfId="14842"/>
    <cellStyle name="entry box 2 3 26 7" xfId="14843"/>
    <cellStyle name="entry box 2 3 27" xfId="3476"/>
    <cellStyle name="entry box 2 3 27 2" xfId="14844"/>
    <cellStyle name="entry box 2 3 27 3" xfId="14845"/>
    <cellStyle name="entry box 2 3 27 4" xfId="14846"/>
    <cellStyle name="entry box 2 3 27 5" xfId="14847"/>
    <cellStyle name="entry box 2 3 27 6" xfId="14848"/>
    <cellStyle name="entry box 2 3 27 7" xfId="14849"/>
    <cellStyle name="entry box 2 3 28" xfId="3477"/>
    <cellStyle name="entry box 2 3 28 2" xfId="14850"/>
    <cellStyle name="entry box 2 3 28 3" xfId="14851"/>
    <cellStyle name="entry box 2 3 28 4" xfId="14852"/>
    <cellStyle name="entry box 2 3 28 5" xfId="14853"/>
    <cellStyle name="entry box 2 3 28 6" xfId="14854"/>
    <cellStyle name="entry box 2 3 28 7" xfId="14855"/>
    <cellStyle name="entry box 2 3 29" xfId="3478"/>
    <cellStyle name="entry box 2 3 29 2" xfId="14856"/>
    <cellStyle name="entry box 2 3 29 3" xfId="14857"/>
    <cellStyle name="entry box 2 3 29 4" xfId="14858"/>
    <cellStyle name="entry box 2 3 29 5" xfId="14859"/>
    <cellStyle name="entry box 2 3 29 6" xfId="14860"/>
    <cellStyle name="entry box 2 3 29 7" xfId="14861"/>
    <cellStyle name="entry box 2 3 3" xfId="3479"/>
    <cellStyle name="entry box 2 3 3 10" xfId="14862"/>
    <cellStyle name="entry box 2 3 3 2" xfId="14863"/>
    <cellStyle name="entry box 2 3 3 3" xfId="14864"/>
    <cellStyle name="entry box 2 3 3 4" xfId="14865"/>
    <cellStyle name="entry box 2 3 3 5" xfId="14866"/>
    <cellStyle name="entry box 2 3 3 6" xfId="14867"/>
    <cellStyle name="entry box 2 3 3 7" xfId="14868"/>
    <cellStyle name="entry box 2 3 3 8" xfId="14869"/>
    <cellStyle name="entry box 2 3 3 9" xfId="14870"/>
    <cellStyle name="entry box 2 3 30" xfId="3480"/>
    <cellStyle name="entry box 2 3 30 2" xfId="14871"/>
    <cellStyle name="entry box 2 3 30 3" xfId="14872"/>
    <cellStyle name="entry box 2 3 30 4" xfId="14873"/>
    <cellStyle name="entry box 2 3 30 5" xfId="14874"/>
    <cellStyle name="entry box 2 3 30 6" xfId="14875"/>
    <cellStyle name="entry box 2 3 30 7" xfId="14876"/>
    <cellStyle name="entry box 2 3 31" xfId="3481"/>
    <cellStyle name="entry box 2 3 31 2" xfId="14877"/>
    <cellStyle name="entry box 2 3 31 3" xfId="14878"/>
    <cellStyle name="entry box 2 3 31 4" xfId="14879"/>
    <cellStyle name="entry box 2 3 31 5" xfId="14880"/>
    <cellStyle name="entry box 2 3 31 6" xfId="14881"/>
    <cellStyle name="entry box 2 3 31 7" xfId="14882"/>
    <cellStyle name="entry box 2 3 32" xfId="3482"/>
    <cellStyle name="entry box 2 3 32 2" xfId="14883"/>
    <cellStyle name="entry box 2 3 32 3" xfId="14884"/>
    <cellStyle name="entry box 2 3 32 4" xfId="14885"/>
    <cellStyle name="entry box 2 3 32 5" xfId="14886"/>
    <cellStyle name="entry box 2 3 32 6" xfId="14887"/>
    <cellStyle name="entry box 2 3 32 7" xfId="14888"/>
    <cellStyle name="entry box 2 3 33" xfId="3483"/>
    <cellStyle name="entry box 2 3 33 2" xfId="14889"/>
    <cellStyle name="entry box 2 3 33 3" xfId="14890"/>
    <cellStyle name="entry box 2 3 33 4" xfId="14891"/>
    <cellStyle name="entry box 2 3 33 5" xfId="14892"/>
    <cellStyle name="entry box 2 3 33 6" xfId="14893"/>
    <cellStyle name="entry box 2 3 33 7" xfId="14894"/>
    <cellStyle name="entry box 2 3 34" xfId="3484"/>
    <cellStyle name="entry box 2 3 34 2" xfId="14895"/>
    <cellStyle name="entry box 2 3 34 3" xfId="14896"/>
    <cellStyle name="entry box 2 3 34 4" xfId="14897"/>
    <cellStyle name="entry box 2 3 34 5" xfId="14898"/>
    <cellStyle name="entry box 2 3 34 6" xfId="14899"/>
    <cellStyle name="entry box 2 3 34 7" xfId="14900"/>
    <cellStyle name="entry box 2 3 35" xfId="3485"/>
    <cellStyle name="entry box 2 3 35 2" xfId="14901"/>
    <cellStyle name="entry box 2 3 35 3" xfId="14902"/>
    <cellStyle name="entry box 2 3 35 4" xfId="14903"/>
    <cellStyle name="entry box 2 3 35 5" xfId="14904"/>
    <cellStyle name="entry box 2 3 35 6" xfId="14905"/>
    <cellStyle name="entry box 2 3 35 7" xfId="14906"/>
    <cellStyle name="entry box 2 3 36" xfId="3486"/>
    <cellStyle name="entry box 2 3 36 2" xfId="14907"/>
    <cellStyle name="entry box 2 3 36 3" xfId="14908"/>
    <cellStyle name="entry box 2 3 36 4" xfId="14909"/>
    <cellStyle name="entry box 2 3 36 5" xfId="14910"/>
    <cellStyle name="entry box 2 3 36 6" xfId="14911"/>
    <cellStyle name="entry box 2 3 36 7" xfId="14912"/>
    <cellStyle name="entry box 2 3 37" xfId="3487"/>
    <cellStyle name="entry box 2 3 37 2" xfId="14913"/>
    <cellStyle name="entry box 2 3 37 3" xfId="14914"/>
    <cellStyle name="entry box 2 3 37 4" xfId="14915"/>
    <cellStyle name="entry box 2 3 37 5" xfId="14916"/>
    <cellStyle name="entry box 2 3 37 6" xfId="14917"/>
    <cellStyle name="entry box 2 3 37 7" xfId="14918"/>
    <cellStyle name="entry box 2 3 38" xfId="3488"/>
    <cellStyle name="entry box 2 3 38 2" xfId="14919"/>
    <cellStyle name="entry box 2 3 38 3" xfId="14920"/>
    <cellStyle name="entry box 2 3 38 4" xfId="14921"/>
    <cellStyle name="entry box 2 3 38 5" xfId="14922"/>
    <cellStyle name="entry box 2 3 38 6" xfId="14923"/>
    <cellStyle name="entry box 2 3 38 7" xfId="14924"/>
    <cellStyle name="entry box 2 3 39" xfId="3489"/>
    <cellStyle name="entry box 2 3 39 2" xfId="14925"/>
    <cellStyle name="entry box 2 3 39 3" xfId="14926"/>
    <cellStyle name="entry box 2 3 39 4" xfId="14927"/>
    <cellStyle name="entry box 2 3 39 5" xfId="14928"/>
    <cellStyle name="entry box 2 3 39 6" xfId="14929"/>
    <cellStyle name="entry box 2 3 39 7" xfId="14930"/>
    <cellStyle name="entry box 2 3 4" xfId="3490"/>
    <cellStyle name="entry box 2 3 4 10" xfId="14931"/>
    <cellStyle name="entry box 2 3 4 2" xfId="14932"/>
    <cellStyle name="entry box 2 3 4 3" xfId="14933"/>
    <cellStyle name="entry box 2 3 4 4" xfId="14934"/>
    <cellStyle name="entry box 2 3 4 5" xfId="14935"/>
    <cellStyle name="entry box 2 3 4 6" xfId="14936"/>
    <cellStyle name="entry box 2 3 4 7" xfId="14937"/>
    <cellStyle name="entry box 2 3 4 8" xfId="14938"/>
    <cellStyle name="entry box 2 3 4 9" xfId="14939"/>
    <cellStyle name="entry box 2 3 40" xfId="3491"/>
    <cellStyle name="entry box 2 3 40 2" xfId="14940"/>
    <cellStyle name="entry box 2 3 40 3" xfId="14941"/>
    <cellStyle name="entry box 2 3 40 4" xfId="14942"/>
    <cellStyle name="entry box 2 3 40 5" xfId="14943"/>
    <cellStyle name="entry box 2 3 40 6" xfId="14944"/>
    <cellStyle name="entry box 2 3 40 7" xfId="14945"/>
    <cellStyle name="entry box 2 3 41" xfId="3492"/>
    <cellStyle name="entry box 2 3 41 2" xfId="14946"/>
    <cellStyle name="entry box 2 3 41 3" xfId="14947"/>
    <cellStyle name="entry box 2 3 41 4" xfId="14948"/>
    <cellStyle name="entry box 2 3 41 5" xfId="14949"/>
    <cellStyle name="entry box 2 3 41 6" xfId="14950"/>
    <cellStyle name="entry box 2 3 41 7" xfId="14951"/>
    <cellStyle name="entry box 2 3 42" xfId="3493"/>
    <cellStyle name="entry box 2 3 42 2" xfId="14952"/>
    <cellStyle name="entry box 2 3 42 3" xfId="14953"/>
    <cellStyle name="entry box 2 3 42 4" xfId="14954"/>
    <cellStyle name="entry box 2 3 42 5" xfId="14955"/>
    <cellStyle name="entry box 2 3 42 6" xfId="14956"/>
    <cellStyle name="entry box 2 3 42 7" xfId="14957"/>
    <cellStyle name="entry box 2 3 43" xfId="3494"/>
    <cellStyle name="entry box 2 3 43 2" xfId="14958"/>
    <cellStyle name="entry box 2 3 43 3" xfId="14959"/>
    <cellStyle name="entry box 2 3 43 4" xfId="14960"/>
    <cellStyle name="entry box 2 3 43 5" xfId="14961"/>
    <cellStyle name="entry box 2 3 43 6" xfId="14962"/>
    <cellStyle name="entry box 2 3 43 7" xfId="14963"/>
    <cellStyle name="entry box 2 3 44" xfId="3495"/>
    <cellStyle name="entry box 2 3 44 2" xfId="14964"/>
    <cellStyle name="entry box 2 3 44 3" xfId="14965"/>
    <cellStyle name="entry box 2 3 44 4" xfId="14966"/>
    <cellStyle name="entry box 2 3 44 5" xfId="14967"/>
    <cellStyle name="entry box 2 3 44 6" xfId="14968"/>
    <cellStyle name="entry box 2 3 44 7" xfId="14969"/>
    <cellStyle name="entry box 2 3 45" xfId="3496"/>
    <cellStyle name="entry box 2 3 45 2" xfId="14970"/>
    <cellStyle name="entry box 2 3 45 3" xfId="14971"/>
    <cellStyle name="entry box 2 3 45 4" xfId="14972"/>
    <cellStyle name="entry box 2 3 45 5" xfId="14973"/>
    <cellStyle name="entry box 2 3 45 6" xfId="14974"/>
    <cellStyle name="entry box 2 3 45 7" xfId="14975"/>
    <cellStyle name="entry box 2 3 46" xfId="3497"/>
    <cellStyle name="entry box 2 3 46 2" xfId="14976"/>
    <cellStyle name="entry box 2 3 46 3" xfId="14977"/>
    <cellStyle name="entry box 2 3 46 4" xfId="14978"/>
    <cellStyle name="entry box 2 3 46 5" xfId="14979"/>
    <cellStyle name="entry box 2 3 46 6" xfId="14980"/>
    <cellStyle name="entry box 2 3 46 7" xfId="14981"/>
    <cellStyle name="entry box 2 3 47" xfId="3498"/>
    <cellStyle name="entry box 2 3 47 2" xfId="14982"/>
    <cellStyle name="entry box 2 3 47 3" xfId="14983"/>
    <cellStyle name="entry box 2 3 47 4" xfId="14984"/>
    <cellStyle name="entry box 2 3 47 5" xfId="14985"/>
    <cellStyle name="entry box 2 3 47 6" xfId="14986"/>
    <cellStyle name="entry box 2 3 47 7" xfId="14987"/>
    <cellStyle name="entry box 2 3 48" xfId="3499"/>
    <cellStyle name="entry box 2 3 48 2" xfId="14988"/>
    <cellStyle name="entry box 2 3 48 3" xfId="14989"/>
    <cellStyle name="entry box 2 3 48 4" xfId="14990"/>
    <cellStyle name="entry box 2 3 48 5" xfId="14991"/>
    <cellStyle name="entry box 2 3 48 6" xfId="14992"/>
    <cellStyle name="entry box 2 3 48 7" xfId="14993"/>
    <cellStyle name="entry box 2 3 49" xfId="3500"/>
    <cellStyle name="entry box 2 3 49 2" xfId="14994"/>
    <cellStyle name="entry box 2 3 49 3" xfId="14995"/>
    <cellStyle name="entry box 2 3 49 4" xfId="14996"/>
    <cellStyle name="entry box 2 3 49 5" xfId="14997"/>
    <cellStyle name="entry box 2 3 49 6" xfId="14998"/>
    <cellStyle name="entry box 2 3 49 7" xfId="14999"/>
    <cellStyle name="entry box 2 3 5" xfId="3501"/>
    <cellStyle name="entry box 2 3 5 2" xfId="15000"/>
    <cellStyle name="entry box 2 3 5 3" xfId="15001"/>
    <cellStyle name="entry box 2 3 5 4" xfId="15002"/>
    <cellStyle name="entry box 2 3 5 5" xfId="15003"/>
    <cellStyle name="entry box 2 3 5 6" xfId="15004"/>
    <cellStyle name="entry box 2 3 5 7" xfId="15005"/>
    <cellStyle name="entry box 2 3 50" xfId="3502"/>
    <cellStyle name="entry box 2 3 50 2" xfId="15006"/>
    <cellStyle name="entry box 2 3 50 3" xfId="15007"/>
    <cellStyle name="entry box 2 3 50 4" xfId="15008"/>
    <cellStyle name="entry box 2 3 50 5" xfId="15009"/>
    <cellStyle name="entry box 2 3 50 6" xfId="15010"/>
    <cellStyle name="entry box 2 3 50 7" xfId="15011"/>
    <cellStyle name="entry box 2 3 51" xfId="3503"/>
    <cellStyle name="entry box 2 3 51 2" xfId="15012"/>
    <cellStyle name="entry box 2 3 51 3" xfId="15013"/>
    <cellStyle name="entry box 2 3 51 4" xfId="15014"/>
    <cellStyle name="entry box 2 3 51 5" xfId="15015"/>
    <cellStyle name="entry box 2 3 51 6" xfId="15016"/>
    <cellStyle name="entry box 2 3 51 7" xfId="15017"/>
    <cellStyle name="entry box 2 3 52" xfId="3504"/>
    <cellStyle name="entry box 2 3 52 2" xfId="15018"/>
    <cellStyle name="entry box 2 3 52 3" xfId="15019"/>
    <cellStyle name="entry box 2 3 52 4" xfId="15020"/>
    <cellStyle name="entry box 2 3 52 5" xfId="15021"/>
    <cellStyle name="entry box 2 3 52 6" xfId="15022"/>
    <cellStyle name="entry box 2 3 52 7" xfId="15023"/>
    <cellStyle name="entry box 2 3 53" xfId="3505"/>
    <cellStyle name="entry box 2 3 53 2" xfId="15024"/>
    <cellStyle name="entry box 2 3 53 3" xfId="15025"/>
    <cellStyle name="entry box 2 3 53 4" xfId="15026"/>
    <cellStyle name="entry box 2 3 53 5" xfId="15027"/>
    <cellStyle name="entry box 2 3 53 6" xfId="15028"/>
    <cellStyle name="entry box 2 3 53 7" xfId="15029"/>
    <cellStyle name="entry box 2 3 54" xfId="3506"/>
    <cellStyle name="entry box 2 3 54 2" xfId="15030"/>
    <cellStyle name="entry box 2 3 54 3" xfId="15031"/>
    <cellStyle name="entry box 2 3 54 4" xfId="15032"/>
    <cellStyle name="entry box 2 3 54 5" xfId="15033"/>
    <cellStyle name="entry box 2 3 54 6" xfId="15034"/>
    <cellStyle name="entry box 2 3 54 7" xfId="15035"/>
    <cellStyle name="entry box 2 3 55" xfId="3507"/>
    <cellStyle name="entry box 2 3 55 2" xfId="15036"/>
    <cellStyle name="entry box 2 3 55 3" xfId="15037"/>
    <cellStyle name="entry box 2 3 55 4" xfId="15038"/>
    <cellStyle name="entry box 2 3 55 5" xfId="15039"/>
    <cellStyle name="entry box 2 3 55 6" xfId="15040"/>
    <cellStyle name="entry box 2 3 55 7" xfId="15041"/>
    <cellStyle name="entry box 2 3 56" xfId="3508"/>
    <cellStyle name="entry box 2 3 56 2" xfId="15042"/>
    <cellStyle name="entry box 2 3 56 3" xfId="15043"/>
    <cellStyle name="entry box 2 3 56 4" xfId="15044"/>
    <cellStyle name="entry box 2 3 56 5" xfId="15045"/>
    <cellStyle name="entry box 2 3 56 6" xfId="15046"/>
    <cellStyle name="entry box 2 3 56 7" xfId="15047"/>
    <cellStyle name="entry box 2 3 57" xfId="3509"/>
    <cellStyle name="entry box 2 3 57 2" xfId="15048"/>
    <cellStyle name="entry box 2 3 57 3" xfId="15049"/>
    <cellStyle name="entry box 2 3 57 4" xfId="15050"/>
    <cellStyle name="entry box 2 3 57 5" xfId="15051"/>
    <cellStyle name="entry box 2 3 57 6" xfId="15052"/>
    <cellStyle name="entry box 2 3 57 7" xfId="15053"/>
    <cellStyle name="entry box 2 3 58" xfId="3510"/>
    <cellStyle name="entry box 2 3 58 2" xfId="15054"/>
    <cellStyle name="entry box 2 3 58 3" xfId="15055"/>
    <cellStyle name="entry box 2 3 58 4" xfId="15056"/>
    <cellStyle name="entry box 2 3 58 5" xfId="15057"/>
    <cellStyle name="entry box 2 3 58 6" xfId="15058"/>
    <cellStyle name="entry box 2 3 58 7" xfId="15059"/>
    <cellStyle name="entry box 2 3 59" xfId="3511"/>
    <cellStyle name="entry box 2 3 59 2" xfId="15060"/>
    <cellStyle name="entry box 2 3 59 3" xfId="15061"/>
    <cellStyle name="entry box 2 3 59 4" xfId="15062"/>
    <cellStyle name="entry box 2 3 59 5" xfId="15063"/>
    <cellStyle name="entry box 2 3 59 6" xfId="15064"/>
    <cellStyle name="entry box 2 3 59 7" xfId="15065"/>
    <cellStyle name="entry box 2 3 6" xfId="3512"/>
    <cellStyle name="entry box 2 3 6 2" xfId="15066"/>
    <cellStyle name="entry box 2 3 6 3" xfId="15067"/>
    <cellStyle name="entry box 2 3 6 4" xfId="15068"/>
    <cellStyle name="entry box 2 3 6 5" xfId="15069"/>
    <cellStyle name="entry box 2 3 6 6" xfId="15070"/>
    <cellStyle name="entry box 2 3 6 7" xfId="15071"/>
    <cellStyle name="entry box 2 3 60" xfId="3513"/>
    <cellStyle name="entry box 2 3 60 2" xfId="15072"/>
    <cellStyle name="entry box 2 3 60 3" xfId="15073"/>
    <cellStyle name="entry box 2 3 60 4" xfId="15074"/>
    <cellStyle name="entry box 2 3 60 5" xfId="15075"/>
    <cellStyle name="entry box 2 3 60 6" xfId="15076"/>
    <cellStyle name="entry box 2 3 60 7" xfId="15077"/>
    <cellStyle name="entry box 2 3 61" xfId="3514"/>
    <cellStyle name="entry box 2 3 61 2" xfId="15078"/>
    <cellStyle name="entry box 2 3 61 3" xfId="15079"/>
    <cellStyle name="entry box 2 3 61 4" xfId="15080"/>
    <cellStyle name="entry box 2 3 61 5" xfId="15081"/>
    <cellStyle name="entry box 2 3 61 6" xfId="15082"/>
    <cellStyle name="entry box 2 3 61 7" xfId="15083"/>
    <cellStyle name="entry box 2 3 62" xfId="3515"/>
    <cellStyle name="entry box 2 3 62 2" xfId="15084"/>
    <cellStyle name="entry box 2 3 62 3" xfId="15085"/>
    <cellStyle name="entry box 2 3 62 4" xfId="15086"/>
    <cellStyle name="entry box 2 3 62 5" xfId="15087"/>
    <cellStyle name="entry box 2 3 62 6" xfId="15088"/>
    <cellStyle name="entry box 2 3 62 7" xfId="15089"/>
    <cellStyle name="entry box 2 3 63" xfId="3516"/>
    <cellStyle name="entry box 2 3 63 2" xfId="15090"/>
    <cellStyle name="entry box 2 3 63 3" xfId="15091"/>
    <cellStyle name="entry box 2 3 63 4" xfId="15092"/>
    <cellStyle name="entry box 2 3 63 5" xfId="15093"/>
    <cellStyle name="entry box 2 3 63 6" xfId="15094"/>
    <cellStyle name="entry box 2 3 63 7" xfId="15095"/>
    <cellStyle name="entry box 2 3 64" xfId="3517"/>
    <cellStyle name="entry box 2 3 64 2" xfId="15096"/>
    <cellStyle name="entry box 2 3 64 3" xfId="15097"/>
    <cellStyle name="entry box 2 3 64 4" xfId="15098"/>
    <cellStyle name="entry box 2 3 64 5" xfId="15099"/>
    <cellStyle name="entry box 2 3 64 6" xfId="15100"/>
    <cellStyle name="entry box 2 3 64 7" xfId="15101"/>
    <cellStyle name="entry box 2 3 65" xfId="3518"/>
    <cellStyle name="entry box 2 3 65 2" xfId="15102"/>
    <cellStyle name="entry box 2 3 65 3" xfId="15103"/>
    <cellStyle name="entry box 2 3 65 4" xfId="15104"/>
    <cellStyle name="entry box 2 3 65 5" xfId="15105"/>
    <cellStyle name="entry box 2 3 65 6" xfId="15106"/>
    <cellStyle name="entry box 2 3 65 7" xfId="15107"/>
    <cellStyle name="entry box 2 3 66" xfId="3519"/>
    <cellStyle name="entry box 2 3 66 2" xfId="15108"/>
    <cellStyle name="entry box 2 3 66 3" xfId="15109"/>
    <cellStyle name="entry box 2 3 66 4" xfId="15110"/>
    <cellStyle name="entry box 2 3 66 5" xfId="15111"/>
    <cellStyle name="entry box 2 3 66 6" xfId="15112"/>
    <cellStyle name="entry box 2 3 66 7" xfId="15113"/>
    <cellStyle name="entry box 2 3 67" xfId="3520"/>
    <cellStyle name="entry box 2 3 67 2" xfId="15114"/>
    <cellStyle name="entry box 2 3 67 3" xfId="15115"/>
    <cellStyle name="entry box 2 3 67 4" xfId="15116"/>
    <cellStyle name="entry box 2 3 67 5" xfId="15117"/>
    <cellStyle name="entry box 2 3 67 6" xfId="15118"/>
    <cellStyle name="entry box 2 3 67 7" xfId="15119"/>
    <cellStyle name="entry box 2 3 68" xfId="3521"/>
    <cellStyle name="entry box 2 3 68 2" xfId="15120"/>
    <cellStyle name="entry box 2 3 68 3" xfId="15121"/>
    <cellStyle name="entry box 2 3 68 4" xfId="15122"/>
    <cellStyle name="entry box 2 3 68 5" xfId="15123"/>
    <cellStyle name="entry box 2 3 68 6" xfId="15124"/>
    <cellStyle name="entry box 2 3 68 7" xfId="15125"/>
    <cellStyle name="entry box 2 3 69" xfId="3522"/>
    <cellStyle name="entry box 2 3 69 2" xfId="15126"/>
    <cellStyle name="entry box 2 3 69 3" xfId="15127"/>
    <cellStyle name="entry box 2 3 69 4" xfId="15128"/>
    <cellStyle name="entry box 2 3 69 5" xfId="15129"/>
    <cellStyle name="entry box 2 3 69 6" xfId="15130"/>
    <cellStyle name="entry box 2 3 69 7" xfId="15131"/>
    <cellStyle name="entry box 2 3 7" xfId="3523"/>
    <cellStyle name="entry box 2 3 7 2" xfId="15132"/>
    <cellStyle name="entry box 2 3 7 3" xfId="15133"/>
    <cellStyle name="entry box 2 3 7 4" xfId="15134"/>
    <cellStyle name="entry box 2 3 7 5" xfId="15135"/>
    <cellStyle name="entry box 2 3 7 6" xfId="15136"/>
    <cellStyle name="entry box 2 3 7 7" xfId="15137"/>
    <cellStyle name="entry box 2 3 70" xfId="3524"/>
    <cellStyle name="entry box 2 3 70 2" xfId="15138"/>
    <cellStyle name="entry box 2 3 70 3" xfId="15139"/>
    <cellStyle name="entry box 2 3 70 4" xfId="15140"/>
    <cellStyle name="entry box 2 3 70 5" xfId="15141"/>
    <cellStyle name="entry box 2 3 70 6" xfId="15142"/>
    <cellStyle name="entry box 2 3 70 7" xfId="15143"/>
    <cellStyle name="entry box 2 3 71" xfId="3525"/>
    <cellStyle name="entry box 2 3 71 2" xfId="15144"/>
    <cellStyle name="entry box 2 3 71 3" xfId="15145"/>
    <cellStyle name="entry box 2 3 71 4" xfId="15146"/>
    <cellStyle name="entry box 2 3 71 5" xfId="15147"/>
    <cellStyle name="entry box 2 3 71 6" xfId="15148"/>
    <cellStyle name="entry box 2 3 71 7" xfId="15149"/>
    <cellStyle name="entry box 2 3 72" xfId="3526"/>
    <cellStyle name="entry box 2 3 72 2" xfId="15150"/>
    <cellStyle name="entry box 2 3 72 3" xfId="15151"/>
    <cellStyle name="entry box 2 3 72 4" xfId="15152"/>
    <cellStyle name="entry box 2 3 72 5" xfId="15153"/>
    <cellStyle name="entry box 2 3 72 6" xfId="15154"/>
    <cellStyle name="entry box 2 3 72 7" xfId="15155"/>
    <cellStyle name="entry box 2 3 73" xfId="3527"/>
    <cellStyle name="entry box 2 3 73 2" xfId="15156"/>
    <cellStyle name="entry box 2 3 73 3" xfId="15157"/>
    <cellStyle name="entry box 2 3 73 4" xfId="15158"/>
    <cellStyle name="entry box 2 3 73 5" xfId="15159"/>
    <cellStyle name="entry box 2 3 73 6" xfId="15160"/>
    <cellStyle name="entry box 2 3 73 7" xfId="15161"/>
    <cellStyle name="entry box 2 3 74" xfId="3528"/>
    <cellStyle name="entry box 2 3 74 2" xfId="15162"/>
    <cellStyle name="entry box 2 3 74 3" xfId="15163"/>
    <cellStyle name="entry box 2 3 74 4" xfId="15164"/>
    <cellStyle name="entry box 2 3 74 5" xfId="15165"/>
    <cellStyle name="entry box 2 3 74 6" xfId="15166"/>
    <cellStyle name="entry box 2 3 74 7" xfId="15167"/>
    <cellStyle name="entry box 2 3 75" xfId="3529"/>
    <cellStyle name="entry box 2 3 75 2" xfId="15168"/>
    <cellStyle name="entry box 2 3 75 3" xfId="15169"/>
    <cellStyle name="entry box 2 3 75 4" xfId="15170"/>
    <cellStyle name="entry box 2 3 75 5" xfId="15171"/>
    <cellStyle name="entry box 2 3 75 6" xfId="15172"/>
    <cellStyle name="entry box 2 3 75 7" xfId="15173"/>
    <cellStyle name="entry box 2 3 76" xfId="3530"/>
    <cellStyle name="entry box 2 3 76 2" xfId="15174"/>
    <cellStyle name="entry box 2 3 76 3" xfId="15175"/>
    <cellStyle name="entry box 2 3 76 4" xfId="15176"/>
    <cellStyle name="entry box 2 3 76 5" xfId="15177"/>
    <cellStyle name="entry box 2 3 76 6" xfId="15178"/>
    <cellStyle name="entry box 2 3 76 7" xfId="15179"/>
    <cellStyle name="entry box 2 3 77" xfId="3531"/>
    <cellStyle name="entry box 2 3 77 2" xfId="15180"/>
    <cellStyle name="entry box 2 3 77 3" xfId="15181"/>
    <cellStyle name="entry box 2 3 77 4" xfId="15182"/>
    <cellStyle name="entry box 2 3 77 5" xfId="15183"/>
    <cellStyle name="entry box 2 3 77 6" xfId="15184"/>
    <cellStyle name="entry box 2 3 77 7" xfId="15185"/>
    <cellStyle name="entry box 2 3 78" xfId="3532"/>
    <cellStyle name="entry box 2 3 78 2" xfId="15186"/>
    <cellStyle name="entry box 2 3 78 3" xfId="15187"/>
    <cellStyle name="entry box 2 3 78 4" xfId="15188"/>
    <cellStyle name="entry box 2 3 78 5" xfId="15189"/>
    <cellStyle name="entry box 2 3 78 6" xfId="15190"/>
    <cellStyle name="entry box 2 3 78 7" xfId="15191"/>
    <cellStyle name="entry box 2 3 79" xfId="3533"/>
    <cellStyle name="entry box 2 3 79 2" xfId="15192"/>
    <cellStyle name="entry box 2 3 79 3" xfId="15193"/>
    <cellStyle name="entry box 2 3 79 4" xfId="15194"/>
    <cellStyle name="entry box 2 3 79 5" xfId="15195"/>
    <cellStyle name="entry box 2 3 79 6" xfId="15196"/>
    <cellStyle name="entry box 2 3 79 7" xfId="15197"/>
    <cellStyle name="entry box 2 3 8" xfId="3534"/>
    <cellStyle name="entry box 2 3 8 2" xfId="15198"/>
    <cellStyle name="entry box 2 3 8 3" xfId="15199"/>
    <cellStyle name="entry box 2 3 8 4" xfId="15200"/>
    <cellStyle name="entry box 2 3 8 5" xfId="15201"/>
    <cellStyle name="entry box 2 3 8 6" xfId="15202"/>
    <cellStyle name="entry box 2 3 8 7" xfId="15203"/>
    <cellStyle name="entry box 2 3 80" xfId="3535"/>
    <cellStyle name="entry box 2 3 80 2" xfId="15204"/>
    <cellStyle name="entry box 2 3 80 3" xfId="15205"/>
    <cellStyle name="entry box 2 3 80 4" xfId="15206"/>
    <cellStyle name="entry box 2 3 80 5" xfId="15207"/>
    <cellStyle name="entry box 2 3 80 6" xfId="15208"/>
    <cellStyle name="entry box 2 3 80 7" xfId="15209"/>
    <cellStyle name="entry box 2 3 81" xfId="3536"/>
    <cellStyle name="entry box 2 3 81 2" xfId="15210"/>
    <cellStyle name="entry box 2 3 81 3" xfId="15211"/>
    <cellStyle name="entry box 2 3 81 4" xfId="15212"/>
    <cellStyle name="entry box 2 3 81 5" xfId="15213"/>
    <cellStyle name="entry box 2 3 81 6" xfId="15214"/>
    <cellStyle name="entry box 2 3 81 7" xfId="15215"/>
    <cellStyle name="entry box 2 3 82" xfId="3537"/>
    <cellStyle name="entry box 2 3 82 2" xfId="15216"/>
    <cellStyle name="entry box 2 3 82 3" xfId="15217"/>
    <cellStyle name="entry box 2 3 82 4" xfId="15218"/>
    <cellStyle name="entry box 2 3 82 5" xfId="15219"/>
    <cellStyle name="entry box 2 3 82 6" xfId="15220"/>
    <cellStyle name="entry box 2 3 82 7" xfId="15221"/>
    <cellStyle name="entry box 2 3 83" xfId="3538"/>
    <cellStyle name="entry box 2 3 83 2" xfId="15222"/>
    <cellStyle name="entry box 2 3 83 3" xfId="15223"/>
    <cellStyle name="entry box 2 3 83 4" xfId="15224"/>
    <cellStyle name="entry box 2 3 83 5" xfId="15225"/>
    <cellStyle name="entry box 2 3 83 6" xfId="15226"/>
    <cellStyle name="entry box 2 3 83 7" xfId="15227"/>
    <cellStyle name="entry box 2 3 84" xfId="3539"/>
    <cellStyle name="entry box 2 3 84 2" xfId="15228"/>
    <cellStyle name="entry box 2 3 84 3" xfId="15229"/>
    <cellStyle name="entry box 2 3 84 4" xfId="15230"/>
    <cellStyle name="entry box 2 3 84 5" xfId="15231"/>
    <cellStyle name="entry box 2 3 84 6" xfId="15232"/>
    <cellStyle name="entry box 2 3 84 7" xfId="15233"/>
    <cellStyle name="entry box 2 3 85" xfId="3540"/>
    <cellStyle name="entry box 2 3 85 2" xfId="15234"/>
    <cellStyle name="entry box 2 3 85 3" xfId="15235"/>
    <cellStyle name="entry box 2 3 85 4" xfId="15236"/>
    <cellStyle name="entry box 2 3 85 5" xfId="15237"/>
    <cellStyle name="entry box 2 3 85 6" xfId="15238"/>
    <cellStyle name="entry box 2 3 85 7" xfId="15239"/>
    <cellStyle name="entry box 2 3 86" xfId="3541"/>
    <cellStyle name="entry box 2 3 86 2" xfId="15240"/>
    <cellStyle name="entry box 2 3 86 3" xfId="15241"/>
    <cellStyle name="entry box 2 3 86 4" xfId="15242"/>
    <cellStyle name="entry box 2 3 86 5" xfId="15243"/>
    <cellStyle name="entry box 2 3 86 6" xfId="15244"/>
    <cellStyle name="entry box 2 3 86 7" xfId="15245"/>
    <cellStyle name="entry box 2 3 87" xfId="3542"/>
    <cellStyle name="entry box 2 3 87 2" xfId="15246"/>
    <cellStyle name="entry box 2 3 87 3" xfId="15247"/>
    <cellStyle name="entry box 2 3 87 4" xfId="15248"/>
    <cellStyle name="entry box 2 3 87 5" xfId="15249"/>
    <cellStyle name="entry box 2 3 87 6" xfId="15250"/>
    <cellStyle name="entry box 2 3 87 7" xfId="15251"/>
    <cellStyle name="entry box 2 3 88" xfId="3543"/>
    <cellStyle name="entry box 2 3 88 2" xfId="15252"/>
    <cellStyle name="entry box 2 3 88 3" xfId="15253"/>
    <cellStyle name="entry box 2 3 88 4" xfId="15254"/>
    <cellStyle name="entry box 2 3 88 5" xfId="15255"/>
    <cellStyle name="entry box 2 3 88 6" xfId="15256"/>
    <cellStyle name="entry box 2 3 88 7" xfId="15257"/>
    <cellStyle name="entry box 2 3 89" xfId="3544"/>
    <cellStyle name="entry box 2 3 89 2" xfId="15258"/>
    <cellStyle name="entry box 2 3 89 3" xfId="15259"/>
    <cellStyle name="entry box 2 3 89 4" xfId="15260"/>
    <cellStyle name="entry box 2 3 89 5" xfId="15261"/>
    <cellStyle name="entry box 2 3 89 6" xfId="15262"/>
    <cellStyle name="entry box 2 3 89 7" xfId="15263"/>
    <cellStyle name="entry box 2 3 9" xfId="3545"/>
    <cellStyle name="entry box 2 3 9 2" xfId="15264"/>
    <cellStyle name="entry box 2 3 9 3" xfId="15265"/>
    <cellStyle name="entry box 2 3 9 4" xfId="15266"/>
    <cellStyle name="entry box 2 3 9 5" xfId="15267"/>
    <cellStyle name="entry box 2 3 9 6" xfId="15268"/>
    <cellStyle name="entry box 2 3 9 7" xfId="15269"/>
    <cellStyle name="entry box 2 3 90" xfId="3546"/>
    <cellStyle name="entry box 2 3 90 2" xfId="15270"/>
    <cellStyle name="entry box 2 3 90 3" xfId="15271"/>
    <cellStyle name="entry box 2 3 90 4" xfId="15272"/>
    <cellStyle name="entry box 2 3 90 5" xfId="15273"/>
    <cellStyle name="entry box 2 3 90 6" xfId="15274"/>
    <cellStyle name="entry box 2 3 90 7" xfId="15275"/>
    <cellStyle name="entry box 2 3 91" xfId="3547"/>
    <cellStyle name="entry box 2 3 91 2" xfId="15276"/>
    <cellStyle name="entry box 2 3 91 3" xfId="15277"/>
    <cellStyle name="entry box 2 3 91 4" xfId="15278"/>
    <cellStyle name="entry box 2 3 91 5" xfId="15279"/>
    <cellStyle name="entry box 2 3 91 6" xfId="15280"/>
    <cellStyle name="entry box 2 3 91 7" xfId="15281"/>
    <cellStyle name="entry box 2 3 92" xfId="3548"/>
    <cellStyle name="entry box 2 3 92 2" xfId="15282"/>
    <cellStyle name="entry box 2 3 92 3" xfId="15283"/>
    <cellStyle name="entry box 2 3 92 4" xfId="15284"/>
    <cellStyle name="entry box 2 3 92 5" xfId="15285"/>
    <cellStyle name="entry box 2 3 92 6" xfId="15286"/>
    <cellStyle name="entry box 2 3 92 7" xfId="15287"/>
    <cellStyle name="entry box 2 3 93" xfId="3549"/>
    <cellStyle name="entry box 2 3 93 2" xfId="15288"/>
    <cellStyle name="entry box 2 3 93 3" xfId="15289"/>
    <cellStyle name="entry box 2 3 93 4" xfId="15290"/>
    <cellStyle name="entry box 2 3 93 5" xfId="15291"/>
    <cellStyle name="entry box 2 3 93 6" xfId="15292"/>
    <cellStyle name="entry box 2 3 94" xfId="12712"/>
    <cellStyle name="entry box 2 3 95" xfId="15293"/>
    <cellStyle name="entry box 2 3 96" xfId="15294"/>
    <cellStyle name="entry box 2 3 97" xfId="15295"/>
    <cellStyle name="entry box 2 3 98" xfId="15296"/>
    <cellStyle name="entry box 2 3 99" xfId="15297"/>
    <cellStyle name="entry box 2 3_Cashflow trend" xfId="1057"/>
    <cellStyle name="entry box 2 30" xfId="3550"/>
    <cellStyle name="entry box 2 30 2" xfId="15298"/>
    <cellStyle name="entry box 2 30 3" xfId="15299"/>
    <cellStyle name="entry box 2 30 4" xfId="15300"/>
    <cellStyle name="entry box 2 30 5" xfId="15301"/>
    <cellStyle name="entry box 2 30 6" xfId="15302"/>
    <cellStyle name="entry box 2 30 7" xfId="15303"/>
    <cellStyle name="entry box 2 31" xfId="3551"/>
    <cellStyle name="entry box 2 31 2" xfId="15304"/>
    <cellStyle name="entry box 2 31 3" xfId="15305"/>
    <cellStyle name="entry box 2 31 4" xfId="15306"/>
    <cellStyle name="entry box 2 31 5" xfId="15307"/>
    <cellStyle name="entry box 2 31 6" xfId="15308"/>
    <cellStyle name="entry box 2 31 7" xfId="15309"/>
    <cellStyle name="entry box 2 32" xfId="3552"/>
    <cellStyle name="entry box 2 32 2" xfId="15310"/>
    <cellStyle name="entry box 2 32 3" xfId="15311"/>
    <cellStyle name="entry box 2 32 4" xfId="15312"/>
    <cellStyle name="entry box 2 32 5" xfId="15313"/>
    <cellStyle name="entry box 2 32 6" xfId="15314"/>
    <cellStyle name="entry box 2 32 7" xfId="15315"/>
    <cellStyle name="entry box 2 33" xfId="3553"/>
    <cellStyle name="entry box 2 33 2" xfId="15316"/>
    <cellStyle name="entry box 2 33 3" xfId="15317"/>
    <cellStyle name="entry box 2 33 4" xfId="15318"/>
    <cellStyle name="entry box 2 33 5" xfId="15319"/>
    <cellStyle name="entry box 2 33 6" xfId="15320"/>
    <cellStyle name="entry box 2 33 7" xfId="15321"/>
    <cellStyle name="entry box 2 34" xfId="3554"/>
    <cellStyle name="entry box 2 34 2" xfId="15322"/>
    <cellStyle name="entry box 2 34 3" xfId="15323"/>
    <cellStyle name="entry box 2 34 4" xfId="15324"/>
    <cellStyle name="entry box 2 34 5" xfId="15325"/>
    <cellStyle name="entry box 2 34 6" xfId="15326"/>
    <cellStyle name="entry box 2 34 7" xfId="15327"/>
    <cellStyle name="entry box 2 35" xfId="3555"/>
    <cellStyle name="entry box 2 35 2" xfId="15328"/>
    <cellStyle name="entry box 2 35 3" xfId="15329"/>
    <cellStyle name="entry box 2 35 4" xfId="15330"/>
    <cellStyle name="entry box 2 35 5" xfId="15331"/>
    <cellStyle name="entry box 2 35 6" xfId="15332"/>
    <cellStyle name="entry box 2 35 7" xfId="15333"/>
    <cellStyle name="entry box 2 36" xfId="3556"/>
    <cellStyle name="entry box 2 36 2" xfId="15334"/>
    <cellStyle name="entry box 2 36 3" xfId="15335"/>
    <cellStyle name="entry box 2 36 4" xfId="15336"/>
    <cellStyle name="entry box 2 36 5" xfId="15337"/>
    <cellStyle name="entry box 2 36 6" xfId="15338"/>
    <cellStyle name="entry box 2 36 7" xfId="15339"/>
    <cellStyle name="entry box 2 37" xfId="3557"/>
    <cellStyle name="entry box 2 37 2" xfId="15340"/>
    <cellStyle name="entry box 2 37 3" xfId="15341"/>
    <cellStyle name="entry box 2 37 4" xfId="15342"/>
    <cellStyle name="entry box 2 37 5" xfId="15343"/>
    <cellStyle name="entry box 2 37 6" xfId="15344"/>
    <cellStyle name="entry box 2 37 7" xfId="15345"/>
    <cellStyle name="entry box 2 38" xfId="3558"/>
    <cellStyle name="entry box 2 38 2" xfId="15346"/>
    <cellStyle name="entry box 2 38 3" xfId="15347"/>
    <cellStyle name="entry box 2 38 4" xfId="15348"/>
    <cellStyle name="entry box 2 38 5" xfId="15349"/>
    <cellStyle name="entry box 2 38 6" xfId="15350"/>
    <cellStyle name="entry box 2 38 7" xfId="15351"/>
    <cellStyle name="entry box 2 39" xfId="3559"/>
    <cellStyle name="entry box 2 39 2" xfId="15352"/>
    <cellStyle name="entry box 2 39 3" xfId="15353"/>
    <cellStyle name="entry box 2 39 4" xfId="15354"/>
    <cellStyle name="entry box 2 39 5" xfId="15355"/>
    <cellStyle name="entry box 2 39 6" xfId="15356"/>
    <cellStyle name="entry box 2 39 7" xfId="15357"/>
    <cellStyle name="entry box 2 4" xfId="3560"/>
    <cellStyle name="entry box 2 4 10" xfId="3561"/>
    <cellStyle name="entry box 2 4 10 2" xfId="15358"/>
    <cellStyle name="entry box 2 4 10 3" xfId="15359"/>
    <cellStyle name="entry box 2 4 10 4" xfId="15360"/>
    <cellStyle name="entry box 2 4 10 5" xfId="15361"/>
    <cellStyle name="entry box 2 4 10 6" xfId="15362"/>
    <cellStyle name="entry box 2 4 10 7" xfId="15363"/>
    <cellStyle name="entry box 2 4 100" xfId="15364"/>
    <cellStyle name="entry box 2 4 101" xfId="15365"/>
    <cellStyle name="entry box 2 4 102" xfId="15366"/>
    <cellStyle name="entry box 2 4 11" xfId="3562"/>
    <cellStyle name="entry box 2 4 11 2" xfId="15367"/>
    <cellStyle name="entry box 2 4 11 3" xfId="15368"/>
    <cellStyle name="entry box 2 4 11 4" xfId="15369"/>
    <cellStyle name="entry box 2 4 11 5" xfId="15370"/>
    <cellStyle name="entry box 2 4 11 6" xfId="15371"/>
    <cellStyle name="entry box 2 4 11 7" xfId="15372"/>
    <cellStyle name="entry box 2 4 12" xfId="3563"/>
    <cellStyle name="entry box 2 4 12 2" xfId="15373"/>
    <cellStyle name="entry box 2 4 12 3" xfId="15374"/>
    <cellStyle name="entry box 2 4 12 4" xfId="15375"/>
    <cellStyle name="entry box 2 4 12 5" xfId="15376"/>
    <cellStyle name="entry box 2 4 12 6" xfId="15377"/>
    <cellStyle name="entry box 2 4 12 7" xfId="15378"/>
    <cellStyle name="entry box 2 4 13" xfId="3564"/>
    <cellStyle name="entry box 2 4 13 2" xfId="15379"/>
    <cellStyle name="entry box 2 4 13 3" xfId="15380"/>
    <cellStyle name="entry box 2 4 13 4" xfId="15381"/>
    <cellStyle name="entry box 2 4 13 5" xfId="15382"/>
    <cellStyle name="entry box 2 4 13 6" xfId="15383"/>
    <cellStyle name="entry box 2 4 13 7" xfId="15384"/>
    <cellStyle name="entry box 2 4 14" xfId="3565"/>
    <cellStyle name="entry box 2 4 14 2" xfId="15385"/>
    <cellStyle name="entry box 2 4 14 3" xfId="15386"/>
    <cellStyle name="entry box 2 4 14 4" xfId="15387"/>
    <cellStyle name="entry box 2 4 14 5" xfId="15388"/>
    <cellStyle name="entry box 2 4 14 6" xfId="15389"/>
    <cellStyle name="entry box 2 4 14 7" xfId="15390"/>
    <cellStyle name="entry box 2 4 15" xfId="3566"/>
    <cellStyle name="entry box 2 4 15 2" xfId="15391"/>
    <cellStyle name="entry box 2 4 15 3" xfId="15392"/>
    <cellStyle name="entry box 2 4 15 4" xfId="15393"/>
    <cellStyle name="entry box 2 4 15 5" xfId="15394"/>
    <cellStyle name="entry box 2 4 15 6" xfId="15395"/>
    <cellStyle name="entry box 2 4 15 7" xfId="15396"/>
    <cellStyle name="entry box 2 4 16" xfId="3567"/>
    <cellStyle name="entry box 2 4 16 2" xfId="15397"/>
    <cellStyle name="entry box 2 4 16 3" xfId="15398"/>
    <cellStyle name="entry box 2 4 16 4" xfId="15399"/>
    <cellStyle name="entry box 2 4 16 5" xfId="15400"/>
    <cellStyle name="entry box 2 4 16 6" xfId="15401"/>
    <cellStyle name="entry box 2 4 16 7" xfId="15402"/>
    <cellStyle name="entry box 2 4 17" xfId="3568"/>
    <cellStyle name="entry box 2 4 17 2" xfId="15403"/>
    <cellStyle name="entry box 2 4 17 3" xfId="15404"/>
    <cellStyle name="entry box 2 4 17 4" xfId="15405"/>
    <cellStyle name="entry box 2 4 17 5" xfId="15406"/>
    <cellStyle name="entry box 2 4 17 6" xfId="15407"/>
    <cellStyle name="entry box 2 4 17 7" xfId="15408"/>
    <cellStyle name="entry box 2 4 18" xfId="3569"/>
    <cellStyle name="entry box 2 4 18 2" xfId="15409"/>
    <cellStyle name="entry box 2 4 18 3" xfId="15410"/>
    <cellStyle name="entry box 2 4 18 4" xfId="15411"/>
    <cellStyle name="entry box 2 4 18 5" xfId="15412"/>
    <cellStyle name="entry box 2 4 18 6" xfId="15413"/>
    <cellStyle name="entry box 2 4 18 7" xfId="15414"/>
    <cellStyle name="entry box 2 4 19" xfId="3570"/>
    <cellStyle name="entry box 2 4 19 2" xfId="15415"/>
    <cellStyle name="entry box 2 4 19 3" xfId="15416"/>
    <cellStyle name="entry box 2 4 19 4" xfId="15417"/>
    <cellStyle name="entry box 2 4 19 5" xfId="15418"/>
    <cellStyle name="entry box 2 4 19 6" xfId="15419"/>
    <cellStyle name="entry box 2 4 19 7" xfId="15420"/>
    <cellStyle name="entry box 2 4 2" xfId="3571"/>
    <cellStyle name="entry box 2 4 2 10" xfId="15421"/>
    <cellStyle name="entry box 2 4 2 11" xfId="15422"/>
    <cellStyle name="entry box 2 4 2 2" xfId="15423"/>
    <cellStyle name="entry box 2 4 2 3" xfId="15424"/>
    <cellStyle name="entry box 2 4 2 4" xfId="15425"/>
    <cellStyle name="entry box 2 4 2 5" xfId="15426"/>
    <cellStyle name="entry box 2 4 2 6" xfId="15427"/>
    <cellStyle name="entry box 2 4 2 7" xfId="15428"/>
    <cellStyle name="entry box 2 4 2 8" xfId="15429"/>
    <cellStyle name="entry box 2 4 2 9" xfId="15430"/>
    <cellStyle name="entry box 2 4 20" xfId="3572"/>
    <cellStyle name="entry box 2 4 20 2" xfId="15431"/>
    <cellStyle name="entry box 2 4 20 3" xfId="15432"/>
    <cellStyle name="entry box 2 4 20 4" xfId="15433"/>
    <cellStyle name="entry box 2 4 20 5" xfId="15434"/>
    <cellStyle name="entry box 2 4 20 6" xfId="15435"/>
    <cellStyle name="entry box 2 4 20 7" xfId="15436"/>
    <cellStyle name="entry box 2 4 21" xfId="3573"/>
    <cellStyle name="entry box 2 4 21 2" xfId="15437"/>
    <cellStyle name="entry box 2 4 21 3" xfId="15438"/>
    <cellStyle name="entry box 2 4 21 4" xfId="15439"/>
    <cellStyle name="entry box 2 4 21 5" xfId="15440"/>
    <cellStyle name="entry box 2 4 21 6" xfId="15441"/>
    <cellStyle name="entry box 2 4 21 7" xfId="15442"/>
    <cellStyle name="entry box 2 4 22" xfId="3574"/>
    <cellStyle name="entry box 2 4 22 2" xfId="15443"/>
    <cellStyle name="entry box 2 4 22 3" xfId="15444"/>
    <cellStyle name="entry box 2 4 22 4" xfId="15445"/>
    <cellStyle name="entry box 2 4 22 5" xfId="15446"/>
    <cellStyle name="entry box 2 4 22 6" xfId="15447"/>
    <cellStyle name="entry box 2 4 22 7" xfId="15448"/>
    <cellStyle name="entry box 2 4 23" xfId="3575"/>
    <cellStyle name="entry box 2 4 23 2" xfId="15449"/>
    <cellStyle name="entry box 2 4 23 3" xfId="15450"/>
    <cellStyle name="entry box 2 4 23 4" xfId="15451"/>
    <cellStyle name="entry box 2 4 23 5" xfId="15452"/>
    <cellStyle name="entry box 2 4 23 6" xfId="15453"/>
    <cellStyle name="entry box 2 4 23 7" xfId="15454"/>
    <cellStyle name="entry box 2 4 24" xfId="3576"/>
    <cellStyle name="entry box 2 4 24 2" xfId="15455"/>
    <cellStyle name="entry box 2 4 24 3" xfId="15456"/>
    <cellStyle name="entry box 2 4 24 4" xfId="15457"/>
    <cellStyle name="entry box 2 4 24 5" xfId="15458"/>
    <cellStyle name="entry box 2 4 24 6" xfId="15459"/>
    <cellStyle name="entry box 2 4 24 7" xfId="15460"/>
    <cellStyle name="entry box 2 4 25" xfId="3577"/>
    <cellStyle name="entry box 2 4 25 2" xfId="15461"/>
    <cellStyle name="entry box 2 4 25 3" xfId="15462"/>
    <cellStyle name="entry box 2 4 25 4" xfId="15463"/>
    <cellStyle name="entry box 2 4 25 5" xfId="15464"/>
    <cellStyle name="entry box 2 4 25 6" xfId="15465"/>
    <cellStyle name="entry box 2 4 25 7" xfId="15466"/>
    <cellStyle name="entry box 2 4 26" xfId="3578"/>
    <cellStyle name="entry box 2 4 26 2" xfId="15467"/>
    <cellStyle name="entry box 2 4 26 3" xfId="15468"/>
    <cellStyle name="entry box 2 4 26 4" xfId="15469"/>
    <cellStyle name="entry box 2 4 26 5" xfId="15470"/>
    <cellStyle name="entry box 2 4 26 6" xfId="15471"/>
    <cellStyle name="entry box 2 4 26 7" xfId="15472"/>
    <cellStyle name="entry box 2 4 27" xfId="3579"/>
    <cellStyle name="entry box 2 4 27 2" xfId="15473"/>
    <cellStyle name="entry box 2 4 27 3" xfId="15474"/>
    <cellStyle name="entry box 2 4 27 4" xfId="15475"/>
    <cellStyle name="entry box 2 4 27 5" xfId="15476"/>
    <cellStyle name="entry box 2 4 27 6" xfId="15477"/>
    <cellStyle name="entry box 2 4 27 7" xfId="15478"/>
    <cellStyle name="entry box 2 4 28" xfId="3580"/>
    <cellStyle name="entry box 2 4 28 2" xfId="15479"/>
    <cellStyle name="entry box 2 4 28 3" xfId="15480"/>
    <cellStyle name="entry box 2 4 28 4" xfId="15481"/>
    <cellStyle name="entry box 2 4 28 5" xfId="15482"/>
    <cellStyle name="entry box 2 4 28 6" xfId="15483"/>
    <cellStyle name="entry box 2 4 28 7" xfId="15484"/>
    <cellStyle name="entry box 2 4 29" xfId="3581"/>
    <cellStyle name="entry box 2 4 29 2" xfId="15485"/>
    <cellStyle name="entry box 2 4 29 3" xfId="15486"/>
    <cellStyle name="entry box 2 4 29 4" xfId="15487"/>
    <cellStyle name="entry box 2 4 29 5" xfId="15488"/>
    <cellStyle name="entry box 2 4 29 6" xfId="15489"/>
    <cellStyle name="entry box 2 4 29 7" xfId="15490"/>
    <cellStyle name="entry box 2 4 3" xfId="3582"/>
    <cellStyle name="entry box 2 4 3 10" xfId="15491"/>
    <cellStyle name="entry box 2 4 3 2" xfId="15492"/>
    <cellStyle name="entry box 2 4 3 3" xfId="15493"/>
    <cellStyle name="entry box 2 4 3 4" xfId="15494"/>
    <cellStyle name="entry box 2 4 3 5" xfId="15495"/>
    <cellStyle name="entry box 2 4 3 6" xfId="15496"/>
    <cellStyle name="entry box 2 4 3 7" xfId="15497"/>
    <cellStyle name="entry box 2 4 3 8" xfId="15498"/>
    <cellStyle name="entry box 2 4 3 9" xfId="15499"/>
    <cellStyle name="entry box 2 4 30" xfId="3583"/>
    <cellStyle name="entry box 2 4 30 2" xfId="15500"/>
    <cellStyle name="entry box 2 4 30 3" xfId="15501"/>
    <cellStyle name="entry box 2 4 30 4" xfId="15502"/>
    <cellStyle name="entry box 2 4 30 5" xfId="15503"/>
    <cellStyle name="entry box 2 4 30 6" xfId="15504"/>
    <cellStyle name="entry box 2 4 30 7" xfId="15505"/>
    <cellStyle name="entry box 2 4 31" xfId="3584"/>
    <cellStyle name="entry box 2 4 31 2" xfId="15506"/>
    <cellStyle name="entry box 2 4 31 3" xfId="15507"/>
    <cellStyle name="entry box 2 4 31 4" xfId="15508"/>
    <cellStyle name="entry box 2 4 31 5" xfId="15509"/>
    <cellStyle name="entry box 2 4 31 6" xfId="15510"/>
    <cellStyle name="entry box 2 4 31 7" xfId="15511"/>
    <cellStyle name="entry box 2 4 32" xfId="3585"/>
    <cellStyle name="entry box 2 4 32 2" xfId="15512"/>
    <cellStyle name="entry box 2 4 32 3" xfId="15513"/>
    <cellStyle name="entry box 2 4 32 4" xfId="15514"/>
    <cellStyle name="entry box 2 4 32 5" xfId="15515"/>
    <cellStyle name="entry box 2 4 32 6" xfId="15516"/>
    <cellStyle name="entry box 2 4 32 7" xfId="15517"/>
    <cellStyle name="entry box 2 4 33" xfId="3586"/>
    <cellStyle name="entry box 2 4 33 2" xfId="15518"/>
    <cellStyle name="entry box 2 4 33 3" xfId="15519"/>
    <cellStyle name="entry box 2 4 33 4" xfId="15520"/>
    <cellStyle name="entry box 2 4 33 5" xfId="15521"/>
    <cellStyle name="entry box 2 4 33 6" xfId="15522"/>
    <cellStyle name="entry box 2 4 33 7" xfId="15523"/>
    <cellStyle name="entry box 2 4 34" xfId="3587"/>
    <cellStyle name="entry box 2 4 34 2" xfId="15524"/>
    <cellStyle name="entry box 2 4 34 3" xfId="15525"/>
    <cellStyle name="entry box 2 4 34 4" xfId="15526"/>
    <cellStyle name="entry box 2 4 34 5" xfId="15527"/>
    <cellStyle name="entry box 2 4 34 6" xfId="15528"/>
    <cellStyle name="entry box 2 4 34 7" xfId="15529"/>
    <cellStyle name="entry box 2 4 35" xfId="3588"/>
    <cellStyle name="entry box 2 4 35 2" xfId="15530"/>
    <cellStyle name="entry box 2 4 35 3" xfId="15531"/>
    <cellStyle name="entry box 2 4 35 4" xfId="15532"/>
    <cellStyle name="entry box 2 4 35 5" xfId="15533"/>
    <cellStyle name="entry box 2 4 35 6" xfId="15534"/>
    <cellStyle name="entry box 2 4 35 7" xfId="15535"/>
    <cellStyle name="entry box 2 4 36" xfId="3589"/>
    <cellStyle name="entry box 2 4 36 2" xfId="15536"/>
    <cellStyle name="entry box 2 4 36 3" xfId="15537"/>
    <cellStyle name="entry box 2 4 36 4" xfId="15538"/>
    <cellStyle name="entry box 2 4 36 5" xfId="15539"/>
    <cellStyle name="entry box 2 4 36 6" xfId="15540"/>
    <cellStyle name="entry box 2 4 36 7" xfId="15541"/>
    <cellStyle name="entry box 2 4 37" xfId="3590"/>
    <cellStyle name="entry box 2 4 37 2" xfId="15542"/>
    <cellStyle name="entry box 2 4 37 3" xfId="15543"/>
    <cellStyle name="entry box 2 4 37 4" xfId="15544"/>
    <cellStyle name="entry box 2 4 37 5" xfId="15545"/>
    <cellStyle name="entry box 2 4 37 6" xfId="15546"/>
    <cellStyle name="entry box 2 4 37 7" xfId="15547"/>
    <cellStyle name="entry box 2 4 38" xfId="3591"/>
    <cellStyle name="entry box 2 4 38 2" xfId="15548"/>
    <cellStyle name="entry box 2 4 38 3" xfId="15549"/>
    <cellStyle name="entry box 2 4 38 4" xfId="15550"/>
    <cellStyle name="entry box 2 4 38 5" xfId="15551"/>
    <cellStyle name="entry box 2 4 38 6" xfId="15552"/>
    <cellStyle name="entry box 2 4 38 7" xfId="15553"/>
    <cellStyle name="entry box 2 4 39" xfId="3592"/>
    <cellStyle name="entry box 2 4 39 2" xfId="15554"/>
    <cellStyle name="entry box 2 4 39 3" xfId="15555"/>
    <cellStyle name="entry box 2 4 39 4" xfId="15556"/>
    <cellStyle name="entry box 2 4 39 5" xfId="15557"/>
    <cellStyle name="entry box 2 4 39 6" xfId="15558"/>
    <cellStyle name="entry box 2 4 39 7" xfId="15559"/>
    <cellStyle name="entry box 2 4 4" xfId="3593"/>
    <cellStyle name="entry box 2 4 4 10" xfId="15560"/>
    <cellStyle name="entry box 2 4 4 2" xfId="15561"/>
    <cellStyle name="entry box 2 4 4 3" xfId="15562"/>
    <cellStyle name="entry box 2 4 4 4" xfId="15563"/>
    <cellStyle name="entry box 2 4 4 5" xfId="15564"/>
    <cellStyle name="entry box 2 4 4 6" xfId="15565"/>
    <cellStyle name="entry box 2 4 4 7" xfId="15566"/>
    <cellStyle name="entry box 2 4 4 8" xfId="15567"/>
    <cellStyle name="entry box 2 4 4 9" xfId="15568"/>
    <cellStyle name="entry box 2 4 40" xfId="3594"/>
    <cellStyle name="entry box 2 4 40 2" xfId="15569"/>
    <cellStyle name="entry box 2 4 40 3" xfId="15570"/>
    <cellStyle name="entry box 2 4 40 4" xfId="15571"/>
    <cellStyle name="entry box 2 4 40 5" xfId="15572"/>
    <cellStyle name="entry box 2 4 40 6" xfId="15573"/>
    <cellStyle name="entry box 2 4 40 7" xfId="15574"/>
    <cellStyle name="entry box 2 4 41" xfId="3595"/>
    <cellStyle name="entry box 2 4 41 2" xfId="15575"/>
    <cellStyle name="entry box 2 4 41 3" xfId="15576"/>
    <cellStyle name="entry box 2 4 41 4" xfId="15577"/>
    <cellStyle name="entry box 2 4 41 5" xfId="15578"/>
    <cellStyle name="entry box 2 4 41 6" xfId="15579"/>
    <cellStyle name="entry box 2 4 41 7" xfId="15580"/>
    <cellStyle name="entry box 2 4 42" xfId="3596"/>
    <cellStyle name="entry box 2 4 42 2" xfId="15581"/>
    <cellStyle name="entry box 2 4 42 3" xfId="15582"/>
    <cellStyle name="entry box 2 4 42 4" xfId="15583"/>
    <cellStyle name="entry box 2 4 42 5" xfId="15584"/>
    <cellStyle name="entry box 2 4 42 6" xfId="15585"/>
    <cellStyle name="entry box 2 4 42 7" xfId="15586"/>
    <cellStyle name="entry box 2 4 43" xfId="3597"/>
    <cellStyle name="entry box 2 4 43 2" xfId="15587"/>
    <cellStyle name="entry box 2 4 43 3" xfId="15588"/>
    <cellStyle name="entry box 2 4 43 4" xfId="15589"/>
    <cellStyle name="entry box 2 4 43 5" xfId="15590"/>
    <cellStyle name="entry box 2 4 43 6" xfId="15591"/>
    <cellStyle name="entry box 2 4 43 7" xfId="15592"/>
    <cellStyle name="entry box 2 4 44" xfId="3598"/>
    <cellStyle name="entry box 2 4 44 2" xfId="15593"/>
    <cellStyle name="entry box 2 4 44 3" xfId="15594"/>
    <cellStyle name="entry box 2 4 44 4" xfId="15595"/>
    <cellStyle name="entry box 2 4 44 5" xfId="15596"/>
    <cellStyle name="entry box 2 4 44 6" xfId="15597"/>
    <cellStyle name="entry box 2 4 44 7" xfId="15598"/>
    <cellStyle name="entry box 2 4 45" xfId="3599"/>
    <cellStyle name="entry box 2 4 45 2" xfId="15599"/>
    <cellStyle name="entry box 2 4 45 3" xfId="15600"/>
    <cellStyle name="entry box 2 4 45 4" xfId="15601"/>
    <cellStyle name="entry box 2 4 45 5" xfId="15602"/>
    <cellStyle name="entry box 2 4 45 6" xfId="15603"/>
    <cellStyle name="entry box 2 4 45 7" xfId="15604"/>
    <cellStyle name="entry box 2 4 46" xfId="3600"/>
    <cellStyle name="entry box 2 4 46 2" xfId="15605"/>
    <cellStyle name="entry box 2 4 46 3" xfId="15606"/>
    <cellStyle name="entry box 2 4 46 4" xfId="15607"/>
    <cellStyle name="entry box 2 4 46 5" xfId="15608"/>
    <cellStyle name="entry box 2 4 46 6" xfId="15609"/>
    <cellStyle name="entry box 2 4 46 7" xfId="15610"/>
    <cellStyle name="entry box 2 4 47" xfId="3601"/>
    <cellStyle name="entry box 2 4 47 2" xfId="15611"/>
    <cellStyle name="entry box 2 4 47 3" xfId="15612"/>
    <cellStyle name="entry box 2 4 47 4" xfId="15613"/>
    <cellStyle name="entry box 2 4 47 5" xfId="15614"/>
    <cellStyle name="entry box 2 4 47 6" xfId="15615"/>
    <cellStyle name="entry box 2 4 47 7" xfId="15616"/>
    <cellStyle name="entry box 2 4 48" xfId="3602"/>
    <cellStyle name="entry box 2 4 48 2" xfId="15617"/>
    <cellStyle name="entry box 2 4 48 3" xfId="15618"/>
    <cellStyle name="entry box 2 4 48 4" xfId="15619"/>
    <cellStyle name="entry box 2 4 48 5" xfId="15620"/>
    <cellStyle name="entry box 2 4 48 6" xfId="15621"/>
    <cellStyle name="entry box 2 4 48 7" xfId="15622"/>
    <cellStyle name="entry box 2 4 49" xfId="3603"/>
    <cellStyle name="entry box 2 4 49 2" xfId="15623"/>
    <cellStyle name="entry box 2 4 49 3" xfId="15624"/>
    <cellStyle name="entry box 2 4 49 4" xfId="15625"/>
    <cellStyle name="entry box 2 4 49 5" xfId="15626"/>
    <cellStyle name="entry box 2 4 49 6" xfId="15627"/>
    <cellStyle name="entry box 2 4 49 7" xfId="15628"/>
    <cellStyle name="entry box 2 4 5" xfId="3604"/>
    <cellStyle name="entry box 2 4 5 2" xfId="15629"/>
    <cellStyle name="entry box 2 4 5 3" xfId="15630"/>
    <cellStyle name="entry box 2 4 5 4" xfId="15631"/>
    <cellStyle name="entry box 2 4 5 5" xfId="15632"/>
    <cellStyle name="entry box 2 4 5 6" xfId="15633"/>
    <cellStyle name="entry box 2 4 5 7" xfId="15634"/>
    <cellStyle name="entry box 2 4 50" xfId="3605"/>
    <cellStyle name="entry box 2 4 50 2" xfId="15635"/>
    <cellStyle name="entry box 2 4 50 3" xfId="15636"/>
    <cellStyle name="entry box 2 4 50 4" xfId="15637"/>
    <cellStyle name="entry box 2 4 50 5" xfId="15638"/>
    <cellStyle name="entry box 2 4 50 6" xfId="15639"/>
    <cellStyle name="entry box 2 4 50 7" xfId="15640"/>
    <cellStyle name="entry box 2 4 51" xfId="3606"/>
    <cellStyle name="entry box 2 4 51 2" xfId="15641"/>
    <cellStyle name="entry box 2 4 51 3" xfId="15642"/>
    <cellStyle name="entry box 2 4 51 4" xfId="15643"/>
    <cellStyle name="entry box 2 4 51 5" xfId="15644"/>
    <cellStyle name="entry box 2 4 51 6" xfId="15645"/>
    <cellStyle name="entry box 2 4 51 7" xfId="15646"/>
    <cellStyle name="entry box 2 4 52" xfId="3607"/>
    <cellStyle name="entry box 2 4 52 2" xfId="15647"/>
    <cellStyle name="entry box 2 4 52 3" xfId="15648"/>
    <cellStyle name="entry box 2 4 52 4" xfId="15649"/>
    <cellStyle name="entry box 2 4 52 5" xfId="15650"/>
    <cellStyle name="entry box 2 4 52 6" xfId="15651"/>
    <cellStyle name="entry box 2 4 52 7" xfId="15652"/>
    <cellStyle name="entry box 2 4 53" xfId="3608"/>
    <cellStyle name="entry box 2 4 53 2" xfId="15653"/>
    <cellStyle name="entry box 2 4 53 3" xfId="15654"/>
    <cellStyle name="entry box 2 4 53 4" xfId="15655"/>
    <cellStyle name="entry box 2 4 53 5" xfId="15656"/>
    <cellStyle name="entry box 2 4 53 6" xfId="15657"/>
    <cellStyle name="entry box 2 4 53 7" xfId="15658"/>
    <cellStyle name="entry box 2 4 54" xfId="3609"/>
    <cellStyle name="entry box 2 4 54 2" xfId="15659"/>
    <cellStyle name="entry box 2 4 54 3" xfId="15660"/>
    <cellStyle name="entry box 2 4 54 4" xfId="15661"/>
    <cellStyle name="entry box 2 4 54 5" xfId="15662"/>
    <cellStyle name="entry box 2 4 54 6" xfId="15663"/>
    <cellStyle name="entry box 2 4 54 7" xfId="15664"/>
    <cellStyle name="entry box 2 4 55" xfId="3610"/>
    <cellStyle name="entry box 2 4 55 2" xfId="15665"/>
    <cellStyle name="entry box 2 4 55 3" xfId="15666"/>
    <cellStyle name="entry box 2 4 55 4" xfId="15667"/>
    <cellStyle name="entry box 2 4 55 5" xfId="15668"/>
    <cellStyle name="entry box 2 4 55 6" xfId="15669"/>
    <cellStyle name="entry box 2 4 55 7" xfId="15670"/>
    <cellStyle name="entry box 2 4 56" xfId="3611"/>
    <cellStyle name="entry box 2 4 56 2" xfId="15671"/>
    <cellStyle name="entry box 2 4 56 3" xfId="15672"/>
    <cellStyle name="entry box 2 4 56 4" xfId="15673"/>
    <cellStyle name="entry box 2 4 56 5" xfId="15674"/>
    <cellStyle name="entry box 2 4 56 6" xfId="15675"/>
    <cellStyle name="entry box 2 4 56 7" xfId="15676"/>
    <cellStyle name="entry box 2 4 57" xfId="3612"/>
    <cellStyle name="entry box 2 4 57 2" xfId="15677"/>
    <cellStyle name="entry box 2 4 57 3" xfId="15678"/>
    <cellStyle name="entry box 2 4 57 4" xfId="15679"/>
    <cellStyle name="entry box 2 4 57 5" xfId="15680"/>
    <cellStyle name="entry box 2 4 57 6" xfId="15681"/>
    <cellStyle name="entry box 2 4 57 7" xfId="15682"/>
    <cellStyle name="entry box 2 4 58" xfId="3613"/>
    <cellStyle name="entry box 2 4 58 2" xfId="15683"/>
    <cellStyle name="entry box 2 4 58 3" xfId="15684"/>
    <cellStyle name="entry box 2 4 58 4" xfId="15685"/>
    <cellStyle name="entry box 2 4 58 5" xfId="15686"/>
    <cellStyle name="entry box 2 4 58 6" xfId="15687"/>
    <cellStyle name="entry box 2 4 58 7" xfId="15688"/>
    <cellStyle name="entry box 2 4 59" xfId="3614"/>
    <cellStyle name="entry box 2 4 59 2" xfId="15689"/>
    <cellStyle name="entry box 2 4 59 3" xfId="15690"/>
    <cellStyle name="entry box 2 4 59 4" xfId="15691"/>
    <cellStyle name="entry box 2 4 59 5" xfId="15692"/>
    <cellStyle name="entry box 2 4 59 6" xfId="15693"/>
    <cellStyle name="entry box 2 4 59 7" xfId="15694"/>
    <cellStyle name="entry box 2 4 6" xfId="3615"/>
    <cellStyle name="entry box 2 4 6 2" xfId="15695"/>
    <cellStyle name="entry box 2 4 6 3" xfId="15696"/>
    <cellStyle name="entry box 2 4 6 4" xfId="15697"/>
    <cellStyle name="entry box 2 4 6 5" xfId="15698"/>
    <cellStyle name="entry box 2 4 6 6" xfId="15699"/>
    <cellStyle name="entry box 2 4 6 7" xfId="15700"/>
    <cellStyle name="entry box 2 4 60" xfId="3616"/>
    <cellStyle name="entry box 2 4 60 2" xfId="15701"/>
    <cellStyle name="entry box 2 4 60 3" xfId="15702"/>
    <cellStyle name="entry box 2 4 60 4" xfId="15703"/>
    <cellStyle name="entry box 2 4 60 5" xfId="15704"/>
    <cellStyle name="entry box 2 4 60 6" xfId="15705"/>
    <cellStyle name="entry box 2 4 60 7" xfId="15706"/>
    <cellStyle name="entry box 2 4 61" xfId="3617"/>
    <cellStyle name="entry box 2 4 61 2" xfId="15707"/>
    <cellStyle name="entry box 2 4 61 3" xfId="15708"/>
    <cellStyle name="entry box 2 4 61 4" xfId="15709"/>
    <cellStyle name="entry box 2 4 61 5" xfId="15710"/>
    <cellStyle name="entry box 2 4 61 6" xfId="15711"/>
    <cellStyle name="entry box 2 4 61 7" xfId="15712"/>
    <cellStyle name="entry box 2 4 62" xfId="3618"/>
    <cellStyle name="entry box 2 4 62 2" xfId="15713"/>
    <cellStyle name="entry box 2 4 62 3" xfId="15714"/>
    <cellStyle name="entry box 2 4 62 4" xfId="15715"/>
    <cellStyle name="entry box 2 4 62 5" xfId="15716"/>
    <cellStyle name="entry box 2 4 62 6" xfId="15717"/>
    <cellStyle name="entry box 2 4 62 7" xfId="15718"/>
    <cellStyle name="entry box 2 4 63" xfId="3619"/>
    <cellStyle name="entry box 2 4 63 2" xfId="15719"/>
    <cellStyle name="entry box 2 4 63 3" xfId="15720"/>
    <cellStyle name="entry box 2 4 63 4" xfId="15721"/>
    <cellStyle name="entry box 2 4 63 5" xfId="15722"/>
    <cellStyle name="entry box 2 4 63 6" xfId="15723"/>
    <cellStyle name="entry box 2 4 63 7" xfId="15724"/>
    <cellStyle name="entry box 2 4 64" xfId="3620"/>
    <cellStyle name="entry box 2 4 64 2" xfId="15725"/>
    <cellStyle name="entry box 2 4 64 3" xfId="15726"/>
    <cellStyle name="entry box 2 4 64 4" xfId="15727"/>
    <cellStyle name="entry box 2 4 64 5" xfId="15728"/>
    <cellStyle name="entry box 2 4 64 6" xfId="15729"/>
    <cellStyle name="entry box 2 4 64 7" xfId="15730"/>
    <cellStyle name="entry box 2 4 65" xfId="3621"/>
    <cellStyle name="entry box 2 4 65 2" xfId="15731"/>
    <cellStyle name="entry box 2 4 65 3" xfId="15732"/>
    <cellStyle name="entry box 2 4 65 4" xfId="15733"/>
    <cellStyle name="entry box 2 4 65 5" xfId="15734"/>
    <cellStyle name="entry box 2 4 65 6" xfId="15735"/>
    <cellStyle name="entry box 2 4 65 7" xfId="15736"/>
    <cellStyle name="entry box 2 4 66" xfId="3622"/>
    <cellStyle name="entry box 2 4 66 2" xfId="15737"/>
    <cellStyle name="entry box 2 4 66 3" xfId="15738"/>
    <cellStyle name="entry box 2 4 66 4" xfId="15739"/>
    <cellStyle name="entry box 2 4 66 5" xfId="15740"/>
    <cellStyle name="entry box 2 4 66 6" xfId="15741"/>
    <cellStyle name="entry box 2 4 66 7" xfId="15742"/>
    <cellStyle name="entry box 2 4 67" xfId="3623"/>
    <cellStyle name="entry box 2 4 67 2" xfId="15743"/>
    <cellStyle name="entry box 2 4 67 3" xfId="15744"/>
    <cellStyle name="entry box 2 4 67 4" xfId="15745"/>
    <cellStyle name="entry box 2 4 67 5" xfId="15746"/>
    <cellStyle name="entry box 2 4 67 6" xfId="15747"/>
    <cellStyle name="entry box 2 4 67 7" xfId="15748"/>
    <cellStyle name="entry box 2 4 68" xfId="3624"/>
    <cellStyle name="entry box 2 4 68 2" xfId="15749"/>
    <cellStyle name="entry box 2 4 68 3" xfId="15750"/>
    <cellStyle name="entry box 2 4 68 4" xfId="15751"/>
    <cellStyle name="entry box 2 4 68 5" xfId="15752"/>
    <cellStyle name="entry box 2 4 68 6" xfId="15753"/>
    <cellStyle name="entry box 2 4 68 7" xfId="15754"/>
    <cellStyle name="entry box 2 4 69" xfId="3625"/>
    <cellStyle name="entry box 2 4 69 2" xfId="15755"/>
    <cellStyle name="entry box 2 4 69 3" xfId="15756"/>
    <cellStyle name="entry box 2 4 69 4" xfId="15757"/>
    <cellStyle name="entry box 2 4 69 5" xfId="15758"/>
    <cellStyle name="entry box 2 4 69 6" xfId="15759"/>
    <cellStyle name="entry box 2 4 69 7" xfId="15760"/>
    <cellStyle name="entry box 2 4 7" xfId="3626"/>
    <cellStyle name="entry box 2 4 7 2" xfId="15761"/>
    <cellStyle name="entry box 2 4 7 3" xfId="15762"/>
    <cellStyle name="entry box 2 4 7 4" xfId="15763"/>
    <cellStyle name="entry box 2 4 7 5" xfId="15764"/>
    <cellStyle name="entry box 2 4 7 6" xfId="15765"/>
    <cellStyle name="entry box 2 4 7 7" xfId="15766"/>
    <cellStyle name="entry box 2 4 70" xfId="3627"/>
    <cellStyle name="entry box 2 4 70 2" xfId="15767"/>
    <cellStyle name="entry box 2 4 70 3" xfId="15768"/>
    <cellStyle name="entry box 2 4 70 4" xfId="15769"/>
    <cellStyle name="entry box 2 4 70 5" xfId="15770"/>
    <cellStyle name="entry box 2 4 70 6" xfId="15771"/>
    <cellStyle name="entry box 2 4 70 7" xfId="15772"/>
    <cellStyle name="entry box 2 4 71" xfId="3628"/>
    <cellStyle name="entry box 2 4 71 2" xfId="15773"/>
    <cellStyle name="entry box 2 4 71 3" xfId="15774"/>
    <cellStyle name="entry box 2 4 71 4" xfId="15775"/>
    <cellStyle name="entry box 2 4 71 5" xfId="15776"/>
    <cellStyle name="entry box 2 4 71 6" xfId="15777"/>
    <cellStyle name="entry box 2 4 71 7" xfId="15778"/>
    <cellStyle name="entry box 2 4 72" xfId="3629"/>
    <cellStyle name="entry box 2 4 72 2" xfId="15779"/>
    <cellStyle name="entry box 2 4 72 3" xfId="15780"/>
    <cellStyle name="entry box 2 4 72 4" xfId="15781"/>
    <cellStyle name="entry box 2 4 72 5" xfId="15782"/>
    <cellStyle name="entry box 2 4 72 6" xfId="15783"/>
    <cellStyle name="entry box 2 4 72 7" xfId="15784"/>
    <cellStyle name="entry box 2 4 73" xfId="3630"/>
    <cellStyle name="entry box 2 4 73 2" xfId="15785"/>
    <cellStyle name="entry box 2 4 73 3" xfId="15786"/>
    <cellStyle name="entry box 2 4 73 4" xfId="15787"/>
    <cellStyle name="entry box 2 4 73 5" xfId="15788"/>
    <cellStyle name="entry box 2 4 73 6" xfId="15789"/>
    <cellStyle name="entry box 2 4 73 7" xfId="15790"/>
    <cellStyle name="entry box 2 4 74" xfId="3631"/>
    <cellStyle name="entry box 2 4 74 2" xfId="15791"/>
    <cellStyle name="entry box 2 4 74 3" xfId="15792"/>
    <cellStyle name="entry box 2 4 74 4" xfId="15793"/>
    <cellStyle name="entry box 2 4 74 5" xfId="15794"/>
    <cellStyle name="entry box 2 4 74 6" xfId="15795"/>
    <cellStyle name="entry box 2 4 74 7" xfId="15796"/>
    <cellStyle name="entry box 2 4 75" xfId="3632"/>
    <cellStyle name="entry box 2 4 75 2" xfId="15797"/>
    <cellStyle name="entry box 2 4 75 3" xfId="15798"/>
    <cellStyle name="entry box 2 4 75 4" xfId="15799"/>
    <cellStyle name="entry box 2 4 75 5" xfId="15800"/>
    <cellStyle name="entry box 2 4 75 6" xfId="15801"/>
    <cellStyle name="entry box 2 4 75 7" xfId="15802"/>
    <cellStyle name="entry box 2 4 76" xfId="3633"/>
    <cellStyle name="entry box 2 4 76 2" xfId="15803"/>
    <cellStyle name="entry box 2 4 76 3" xfId="15804"/>
    <cellStyle name="entry box 2 4 76 4" xfId="15805"/>
    <cellStyle name="entry box 2 4 76 5" xfId="15806"/>
    <cellStyle name="entry box 2 4 76 6" xfId="15807"/>
    <cellStyle name="entry box 2 4 76 7" xfId="15808"/>
    <cellStyle name="entry box 2 4 77" xfId="3634"/>
    <cellStyle name="entry box 2 4 77 2" xfId="15809"/>
    <cellStyle name="entry box 2 4 77 3" xfId="15810"/>
    <cellStyle name="entry box 2 4 77 4" xfId="15811"/>
    <cellStyle name="entry box 2 4 77 5" xfId="15812"/>
    <cellStyle name="entry box 2 4 77 6" xfId="15813"/>
    <cellStyle name="entry box 2 4 77 7" xfId="15814"/>
    <cellStyle name="entry box 2 4 78" xfId="3635"/>
    <cellStyle name="entry box 2 4 78 2" xfId="15815"/>
    <cellStyle name="entry box 2 4 78 3" xfId="15816"/>
    <cellStyle name="entry box 2 4 78 4" xfId="15817"/>
    <cellStyle name="entry box 2 4 78 5" xfId="15818"/>
    <cellStyle name="entry box 2 4 78 6" xfId="15819"/>
    <cellStyle name="entry box 2 4 78 7" xfId="15820"/>
    <cellStyle name="entry box 2 4 79" xfId="3636"/>
    <cellStyle name="entry box 2 4 79 2" xfId="15821"/>
    <cellStyle name="entry box 2 4 79 3" xfId="15822"/>
    <cellStyle name="entry box 2 4 79 4" xfId="15823"/>
    <cellStyle name="entry box 2 4 79 5" xfId="15824"/>
    <cellStyle name="entry box 2 4 79 6" xfId="15825"/>
    <cellStyle name="entry box 2 4 79 7" xfId="15826"/>
    <cellStyle name="entry box 2 4 8" xfId="3637"/>
    <cellStyle name="entry box 2 4 8 2" xfId="15827"/>
    <cellStyle name="entry box 2 4 8 3" xfId="15828"/>
    <cellStyle name="entry box 2 4 8 4" xfId="15829"/>
    <cellStyle name="entry box 2 4 8 5" xfId="15830"/>
    <cellStyle name="entry box 2 4 8 6" xfId="15831"/>
    <cellStyle name="entry box 2 4 8 7" xfId="15832"/>
    <cellStyle name="entry box 2 4 80" xfId="3638"/>
    <cellStyle name="entry box 2 4 80 2" xfId="15833"/>
    <cellStyle name="entry box 2 4 80 3" xfId="15834"/>
    <cellStyle name="entry box 2 4 80 4" xfId="15835"/>
    <cellStyle name="entry box 2 4 80 5" xfId="15836"/>
    <cellStyle name="entry box 2 4 80 6" xfId="15837"/>
    <cellStyle name="entry box 2 4 80 7" xfId="15838"/>
    <cellStyle name="entry box 2 4 81" xfId="3639"/>
    <cellStyle name="entry box 2 4 81 2" xfId="15839"/>
    <cellStyle name="entry box 2 4 81 3" xfId="15840"/>
    <cellStyle name="entry box 2 4 81 4" xfId="15841"/>
    <cellStyle name="entry box 2 4 81 5" xfId="15842"/>
    <cellStyle name="entry box 2 4 81 6" xfId="15843"/>
    <cellStyle name="entry box 2 4 81 7" xfId="15844"/>
    <cellStyle name="entry box 2 4 82" xfId="3640"/>
    <cellStyle name="entry box 2 4 82 2" xfId="15845"/>
    <cellStyle name="entry box 2 4 82 3" xfId="15846"/>
    <cellStyle name="entry box 2 4 82 4" xfId="15847"/>
    <cellStyle name="entry box 2 4 82 5" xfId="15848"/>
    <cellStyle name="entry box 2 4 82 6" xfId="15849"/>
    <cellStyle name="entry box 2 4 82 7" xfId="15850"/>
    <cellStyle name="entry box 2 4 83" xfId="3641"/>
    <cellStyle name="entry box 2 4 83 2" xfId="15851"/>
    <cellStyle name="entry box 2 4 83 3" xfId="15852"/>
    <cellStyle name="entry box 2 4 83 4" xfId="15853"/>
    <cellStyle name="entry box 2 4 83 5" xfId="15854"/>
    <cellStyle name="entry box 2 4 83 6" xfId="15855"/>
    <cellStyle name="entry box 2 4 83 7" xfId="15856"/>
    <cellStyle name="entry box 2 4 84" xfId="3642"/>
    <cellStyle name="entry box 2 4 84 2" xfId="15857"/>
    <cellStyle name="entry box 2 4 84 3" xfId="15858"/>
    <cellStyle name="entry box 2 4 84 4" xfId="15859"/>
    <cellStyle name="entry box 2 4 84 5" xfId="15860"/>
    <cellStyle name="entry box 2 4 84 6" xfId="15861"/>
    <cellStyle name="entry box 2 4 84 7" xfId="15862"/>
    <cellStyle name="entry box 2 4 85" xfId="3643"/>
    <cellStyle name="entry box 2 4 85 2" xfId="15863"/>
    <cellStyle name="entry box 2 4 85 3" xfId="15864"/>
    <cellStyle name="entry box 2 4 85 4" xfId="15865"/>
    <cellStyle name="entry box 2 4 85 5" xfId="15866"/>
    <cellStyle name="entry box 2 4 85 6" xfId="15867"/>
    <cellStyle name="entry box 2 4 85 7" xfId="15868"/>
    <cellStyle name="entry box 2 4 86" xfId="3644"/>
    <cellStyle name="entry box 2 4 86 2" xfId="15869"/>
    <cellStyle name="entry box 2 4 86 3" xfId="15870"/>
    <cellStyle name="entry box 2 4 86 4" xfId="15871"/>
    <cellStyle name="entry box 2 4 86 5" xfId="15872"/>
    <cellStyle name="entry box 2 4 86 6" xfId="15873"/>
    <cellStyle name="entry box 2 4 86 7" xfId="15874"/>
    <cellStyle name="entry box 2 4 87" xfId="3645"/>
    <cellStyle name="entry box 2 4 87 2" xfId="15875"/>
    <cellStyle name="entry box 2 4 87 3" xfId="15876"/>
    <cellStyle name="entry box 2 4 87 4" xfId="15877"/>
    <cellStyle name="entry box 2 4 87 5" xfId="15878"/>
    <cellStyle name="entry box 2 4 87 6" xfId="15879"/>
    <cellStyle name="entry box 2 4 87 7" xfId="15880"/>
    <cellStyle name="entry box 2 4 88" xfId="3646"/>
    <cellStyle name="entry box 2 4 88 2" xfId="15881"/>
    <cellStyle name="entry box 2 4 88 3" xfId="15882"/>
    <cellStyle name="entry box 2 4 88 4" xfId="15883"/>
    <cellStyle name="entry box 2 4 88 5" xfId="15884"/>
    <cellStyle name="entry box 2 4 88 6" xfId="15885"/>
    <cellStyle name="entry box 2 4 88 7" xfId="15886"/>
    <cellStyle name="entry box 2 4 89" xfId="3647"/>
    <cellStyle name="entry box 2 4 89 2" xfId="15887"/>
    <cellStyle name="entry box 2 4 89 3" xfId="15888"/>
    <cellStyle name="entry box 2 4 89 4" xfId="15889"/>
    <cellStyle name="entry box 2 4 89 5" xfId="15890"/>
    <cellStyle name="entry box 2 4 89 6" xfId="15891"/>
    <cellStyle name="entry box 2 4 89 7" xfId="15892"/>
    <cellStyle name="entry box 2 4 9" xfId="3648"/>
    <cellStyle name="entry box 2 4 9 2" xfId="15893"/>
    <cellStyle name="entry box 2 4 9 3" xfId="15894"/>
    <cellStyle name="entry box 2 4 9 4" xfId="15895"/>
    <cellStyle name="entry box 2 4 9 5" xfId="15896"/>
    <cellStyle name="entry box 2 4 9 6" xfId="15897"/>
    <cellStyle name="entry box 2 4 9 7" xfId="15898"/>
    <cellStyle name="entry box 2 4 90" xfId="3649"/>
    <cellStyle name="entry box 2 4 90 2" xfId="15899"/>
    <cellStyle name="entry box 2 4 90 3" xfId="15900"/>
    <cellStyle name="entry box 2 4 90 4" xfId="15901"/>
    <cellStyle name="entry box 2 4 90 5" xfId="15902"/>
    <cellStyle name="entry box 2 4 90 6" xfId="15903"/>
    <cellStyle name="entry box 2 4 90 7" xfId="15904"/>
    <cellStyle name="entry box 2 4 91" xfId="3650"/>
    <cellStyle name="entry box 2 4 91 2" xfId="15905"/>
    <cellStyle name="entry box 2 4 91 3" xfId="15906"/>
    <cellStyle name="entry box 2 4 91 4" xfId="15907"/>
    <cellStyle name="entry box 2 4 91 5" xfId="15908"/>
    <cellStyle name="entry box 2 4 91 6" xfId="15909"/>
    <cellStyle name="entry box 2 4 91 7" xfId="15910"/>
    <cellStyle name="entry box 2 4 92" xfId="3651"/>
    <cellStyle name="entry box 2 4 92 2" xfId="15911"/>
    <cellStyle name="entry box 2 4 92 3" xfId="15912"/>
    <cellStyle name="entry box 2 4 92 4" xfId="15913"/>
    <cellStyle name="entry box 2 4 92 5" xfId="15914"/>
    <cellStyle name="entry box 2 4 92 6" xfId="15915"/>
    <cellStyle name="entry box 2 4 92 7" xfId="15916"/>
    <cellStyle name="entry box 2 4 93" xfId="3652"/>
    <cellStyle name="entry box 2 4 93 2" xfId="15917"/>
    <cellStyle name="entry box 2 4 93 3" xfId="15918"/>
    <cellStyle name="entry box 2 4 93 4" xfId="15919"/>
    <cellStyle name="entry box 2 4 93 5" xfId="15920"/>
    <cellStyle name="entry box 2 4 93 6" xfId="15921"/>
    <cellStyle name="entry box 2 4 94" xfId="15922"/>
    <cellStyle name="entry box 2 4 95" xfId="15923"/>
    <cellStyle name="entry box 2 4 96" xfId="15924"/>
    <cellStyle name="entry box 2 4 97" xfId="15925"/>
    <cellStyle name="entry box 2 4 98" xfId="15926"/>
    <cellStyle name="entry box 2 4 99" xfId="15927"/>
    <cellStyle name="entry box 2 40" xfId="3653"/>
    <cellStyle name="entry box 2 40 2" xfId="15928"/>
    <cellStyle name="entry box 2 40 3" xfId="15929"/>
    <cellStyle name="entry box 2 40 4" xfId="15930"/>
    <cellStyle name="entry box 2 40 5" xfId="15931"/>
    <cellStyle name="entry box 2 40 6" xfId="15932"/>
    <cellStyle name="entry box 2 40 7" xfId="15933"/>
    <cellStyle name="entry box 2 41" xfId="3654"/>
    <cellStyle name="entry box 2 41 2" xfId="15934"/>
    <cellStyle name="entry box 2 41 3" xfId="15935"/>
    <cellStyle name="entry box 2 41 4" xfId="15936"/>
    <cellStyle name="entry box 2 41 5" xfId="15937"/>
    <cellStyle name="entry box 2 41 6" xfId="15938"/>
    <cellStyle name="entry box 2 41 7" xfId="15939"/>
    <cellStyle name="entry box 2 42" xfId="3655"/>
    <cellStyle name="entry box 2 42 2" xfId="15940"/>
    <cellStyle name="entry box 2 42 3" xfId="15941"/>
    <cellStyle name="entry box 2 42 4" xfId="15942"/>
    <cellStyle name="entry box 2 42 5" xfId="15943"/>
    <cellStyle name="entry box 2 42 6" xfId="15944"/>
    <cellStyle name="entry box 2 42 7" xfId="15945"/>
    <cellStyle name="entry box 2 43" xfId="3656"/>
    <cellStyle name="entry box 2 43 2" xfId="15946"/>
    <cellStyle name="entry box 2 43 3" xfId="15947"/>
    <cellStyle name="entry box 2 43 4" xfId="15948"/>
    <cellStyle name="entry box 2 43 5" xfId="15949"/>
    <cellStyle name="entry box 2 43 6" xfId="15950"/>
    <cellStyle name="entry box 2 43 7" xfId="15951"/>
    <cellStyle name="entry box 2 44" xfId="3657"/>
    <cellStyle name="entry box 2 44 2" xfId="15952"/>
    <cellStyle name="entry box 2 44 3" xfId="15953"/>
    <cellStyle name="entry box 2 44 4" xfId="15954"/>
    <cellStyle name="entry box 2 44 5" xfId="15955"/>
    <cellStyle name="entry box 2 44 6" xfId="15956"/>
    <cellStyle name="entry box 2 44 7" xfId="15957"/>
    <cellStyle name="entry box 2 45" xfId="3658"/>
    <cellStyle name="entry box 2 45 2" xfId="15958"/>
    <cellStyle name="entry box 2 45 3" xfId="15959"/>
    <cellStyle name="entry box 2 45 4" xfId="15960"/>
    <cellStyle name="entry box 2 45 5" xfId="15961"/>
    <cellStyle name="entry box 2 45 6" xfId="15962"/>
    <cellStyle name="entry box 2 45 7" xfId="15963"/>
    <cellStyle name="entry box 2 46" xfId="3659"/>
    <cellStyle name="entry box 2 46 2" xfId="15964"/>
    <cellStyle name="entry box 2 46 3" xfId="15965"/>
    <cellStyle name="entry box 2 46 4" xfId="15966"/>
    <cellStyle name="entry box 2 46 5" xfId="15967"/>
    <cellStyle name="entry box 2 46 6" xfId="15968"/>
    <cellStyle name="entry box 2 46 7" xfId="15969"/>
    <cellStyle name="entry box 2 47" xfId="3660"/>
    <cellStyle name="entry box 2 47 2" xfId="15970"/>
    <cellStyle name="entry box 2 47 3" xfId="15971"/>
    <cellStyle name="entry box 2 47 4" xfId="15972"/>
    <cellStyle name="entry box 2 47 5" xfId="15973"/>
    <cellStyle name="entry box 2 47 6" xfId="15974"/>
    <cellStyle name="entry box 2 47 7" xfId="15975"/>
    <cellStyle name="entry box 2 48" xfId="3661"/>
    <cellStyle name="entry box 2 48 2" xfId="15976"/>
    <cellStyle name="entry box 2 48 3" xfId="15977"/>
    <cellStyle name="entry box 2 48 4" xfId="15978"/>
    <cellStyle name="entry box 2 48 5" xfId="15979"/>
    <cellStyle name="entry box 2 48 6" xfId="15980"/>
    <cellStyle name="entry box 2 48 7" xfId="15981"/>
    <cellStyle name="entry box 2 49" xfId="3662"/>
    <cellStyle name="entry box 2 49 2" xfId="15982"/>
    <cellStyle name="entry box 2 49 3" xfId="15983"/>
    <cellStyle name="entry box 2 49 4" xfId="15984"/>
    <cellStyle name="entry box 2 49 5" xfId="15985"/>
    <cellStyle name="entry box 2 49 6" xfId="15986"/>
    <cellStyle name="entry box 2 49 7" xfId="15987"/>
    <cellStyle name="entry box 2 5" xfId="3663"/>
    <cellStyle name="entry box 2 5 10" xfId="3664"/>
    <cellStyle name="entry box 2 5 10 2" xfId="15988"/>
    <cellStyle name="entry box 2 5 10 3" xfId="15989"/>
    <cellStyle name="entry box 2 5 10 4" xfId="15990"/>
    <cellStyle name="entry box 2 5 10 5" xfId="15991"/>
    <cellStyle name="entry box 2 5 10 6" xfId="15992"/>
    <cellStyle name="entry box 2 5 10 7" xfId="15993"/>
    <cellStyle name="entry box 2 5 100" xfId="15994"/>
    <cellStyle name="entry box 2 5 101" xfId="15995"/>
    <cellStyle name="entry box 2 5 102" xfId="15996"/>
    <cellStyle name="entry box 2 5 11" xfId="3665"/>
    <cellStyle name="entry box 2 5 11 2" xfId="15997"/>
    <cellStyle name="entry box 2 5 11 3" xfId="15998"/>
    <cellStyle name="entry box 2 5 11 4" xfId="15999"/>
    <cellStyle name="entry box 2 5 11 5" xfId="16000"/>
    <cellStyle name="entry box 2 5 11 6" xfId="16001"/>
    <cellStyle name="entry box 2 5 11 7" xfId="16002"/>
    <cellStyle name="entry box 2 5 12" xfId="3666"/>
    <cellStyle name="entry box 2 5 12 2" xfId="16003"/>
    <cellStyle name="entry box 2 5 12 3" xfId="16004"/>
    <cellStyle name="entry box 2 5 12 4" xfId="16005"/>
    <cellStyle name="entry box 2 5 12 5" xfId="16006"/>
    <cellStyle name="entry box 2 5 12 6" xfId="16007"/>
    <cellStyle name="entry box 2 5 12 7" xfId="16008"/>
    <cellStyle name="entry box 2 5 13" xfId="3667"/>
    <cellStyle name="entry box 2 5 13 2" xfId="16009"/>
    <cellStyle name="entry box 2 5 13 3" xfId="16010"/>
    <cellStyle name="entry box 2 5 13 4" xfId="16011"/>
    <cellStyle name="entry box 2 5 13 5" xfId="16012"/>
    <cellStyle name="entry box 2 5 13 6" xfId="16013"/>
    <cellStyle name="entry box 2 5 13 7" xfId="16014"/>
    <cellStyle name="entry box 2 5 14" xfId="3668"/>
    <cellStyle name="entry box 2 5 14 2" xfId="16015"/>
    <cellStyle name="entry box 2 5 14 3" xfId="16016"/>
    <cellStyle name="entry box 2 5 14 4" xfId="16017"/>
    <cellStyle name="entry box 2 5 14 5" xfId="16018"/>
    <cellStyle name="entry box 2 5 14 6" xfId="16019"/>
    <cellStyle name="entry box 2 5 14 7" xfId="16020"/>
    <cellStyle name="entry box 2 5 15" xfId="3669"/>
    <cellStyle name="entry box 2 5 15 2" xfId="16021"/>
    <cellStyle name="entry box 2 5 15 3" xfId="16022"/>
    <cellStyle name="entry box 2 5 15 4" xfId="16023"/>
    <cellStyle name="entry box 2 5 15 5" xfId="16024"/>
    <cellStyle name="entry box 2 5 15 6" xfId="16025"/>
    <cellStyle name="entry box 2 5 15 7" xfId="16026"/>
    <cellStyle name="entry box 2 5 16" xfId="3670"/>
    <cellStyle name="entry box 2 5 16 2" xfId="16027"/>
    <cellStyle name="entry box 2 5 16 3" xfId="16028"/>
    <cellStyle name="entry box 2 5 16 4" xfId="16029"/>
    <cellStyle name="entry box 2 5 16 5" xfId="16030"/>
    <cellStyle name="entry box 2 5 16 6" xfId="16031"/>
    <cellStyle name="entry box 2 5 16 7" xfId="16032"/>
    <cellStyle name="entry box 2 5 17" xfId="3671"/>
    <cellStyle name="entry box 2 5 17 2" xfId="16033"/>
    <cellStyle name="entry box 2 5 17 3" xfId="16034"/>
    <cellStyle name="entry box 2 5 17 4" xfId="16035"/>
    <cellStyle name="entry box 2 5 17 5" xfId="16036"/>
    <cellStyle name="entry box 2 5 17 6" xfId="16037"/>
    <cellStyle name="entry box 2 5 17 7" xfId="16038"/>
    <cellStyle name="entry box 2 5 18" xfId="3672"/>
    <cellStyle name="entry box 2 5 18 2" xfId="16039"/>
    <cellStyle name="entry box 2 5 18 3" xfId="16040"/>
    <cellStyle name="entry box 2 5 18 4" xfId="16041"/>
    <cellStyle name="entry box 2 5 18 5" xfId="16042"/>
    <cellStyle name="entry box 2 5 18 6" xfId="16043"/>
    <cellStyle name="entry box 2 5 18 7" xfId="16044"/>
    <cellStyle name="entry box 2 5 19" xfId="3673"/>
    <cellStyle name="entry box 2 5 19 2" xfId="16045"/>
    <cellStyle name="entry box 2 5 19 3" xfId="16046"/>
    <cellStyle name="entry box 2 5 19 4" xfId="16047"/>
    <cellStyle name="entry box 2 5 19 5" xfId="16048"/>
    <cellStyle name="entry box 2 5 19 6" xfId="16049"/>
    <cellStyle name="entry box 2 5 19 7" xfId="16050"/>
    <cellStyle name="entry box 2 5 2" xfId="3674"/>
    <cellStyle name="entry box 2 5 2 10" xfId="16051"/>
    <cellStyle name="entry box 2 5 2 11" xfId="16052"/>
    <cellStyle name="entry box 2 5 2 2" xfId="16053"/>
    <cellStyle name="entry box 2 5 2 3" xfId="16054"/>
    <cellStyle name="entry box 2 5 2 4" xfId="16055"/>
    <cellStyle name="entry box 2 5 2 5" xfId="16056"/>
    <cellStyle name="entry box 2 5 2 6" xfId="16057"/>
    <cellStyle name="entry box 2 5 2 7" xfId="16058"/>
    <cellStyle name="entry box 2 5 2 8" xfId="16059"/>
    <cellStyle name="entry box 2 5 2 9" xfId="16060"/>
    <cellStyle name="entry box 2 5 20" xfId="3675"/>
    <cellStyle name="entry box 2 5 20 2" xfId="16061"/>
    <cellStyle name="entry box 2 5 20 3" xfId="16062"/>
    <cellStyle name="entry box 2 5 20 4" xfId="16063"/>
    <cellStyle name="entry box 2 5 20 5" xfId="16064"/>
    <cellStyle name="entry box 2 5 20 6" xfId="16065"/>
    <cellStyle name="entry box 2 5 20 7" xfId="16066"/>
    <cellStyle name="entry box 2 5 21" xfId="3676"/>
    <cellStyle name="entry box 2 5 21 2" xfId="16067"/>
    <cellStyle name="entry box 2 5 21 3" xfId="16068"/>
    <cellStyle name="entry box 2 5 21 4" xfId="16069"/>
    <cellStyle name="entry box 2 5 21 5" xfId="16070"/>
    <cellStyle name="entry box 2 5 21 6" xfId="16071"/>
    <cellStyle name="entry box 2 5 21 7" xfId="16072"/>
    <cellStyle name="entry box 2 5 22" xfId="3677"/>
    <cellStyle name="entry box 2 5 22 2" xfId="16073"/>
    <cellStyle name="entry box 2 5 22 3" xfId="16074"/>
    <cellStyle name="entry box 2 5 22 4" xfId="16075"/>
    <cellStyle name="entry box 2 5 22 5" xfId="16076"/>
    <cellStyle name="entry box 2 5 22 6" xfId="16077"/>
    <cellStyle name="entry box 2 5 22 7" xfId="16078"/>
    <cellStyle name="entry box 2 5 23" xfId="3678"/>
    <cellStyle name="entry box 2 5 23 2" xfId="16079"/>
    <cellStyle name="entry box 2 5 23 3" xfId="16080"/>
    <cellStyle name="entry box 2 5 23 4" xfId="16081"/>
    <cellStyle name="entry box 2 5 23 5" xfId="16082"/>
    <cellStyle name="entry box 2 5 23 6" xfId="16083"/>
    <cellStyle name="entry box 2 5 23 7" xfId="16084"/>
    <cellStyle name="entry box 2 5 24" xfId="3679"/>
    <cellStyle name="entry box 2 5 24 2" xfId="16085"/>
    <cellStyle name="entry box 2 5 24 3" xfId="16086"/>
    <cellStyle name="entry box 2 5 24 4" xfId="16087"/>
    <cellStyle name="entry box 2 5 24 5" xfId="16088"/>
    <cellStyle name="entry box 2 5 24 6" xfId="16089"/>
    <cellStyle name="entry box 2 5 24 7" xfId="16090"/>
    <cellStyle name="entry box 2 5 25" xfId="3680"/>
    <cellStyle name="entry box 2 5 25 2" xfId="16091"/>
    <cellStyle name="entry box 2 5 25 3" xfId="16092"/>
    <cellStyle name="entry box 2 5 25 4" xfId="16093"/>
    <cellStyle name="entry box 2 5 25 5" xfId="16094"/>
    <cellStyle name="entry box 2 5 25 6" xfId="16095"/>
    <cellStyle name="entry box 2 5 25 7" xfId="16096"/>
    <cellStyle name="entry box 2 5 26" xfId="3681"/>
    <cellStyle name="entry box 2 5 26 2" xfId="16097"/>
    <cellStyle name="entry box 2 5 26 3" xfId="16098"/>
    <cellStyle name="entry box 2 5 26 4" xfId="16099"/>
    <cellStyle name="entry box 2 5 26 5" xfId="16100"/>
    <cellStyle name="entry box 2 5 26 6" xfId="16101"/>
    <cellStyle name="entry box 2 5 26 7" xfId="16102"/>
    <cellStyle name="entry box 2 5 27" xfId="3682"/>
    <cellStyle name="entry box 2 5 27 2" xfId="16103"/>
    <cellStyle name="entry box 2 5 27 3" xfId="16104"/>
    <cellStyle name="entry box 2 5 27 4" xfId="16105"/>
    <cellStyle name="entry box 2 5 27 5" xfId="16106"/>
    <cellStyle name="entry box 2 5 27 6" xfId="16107"/>
    <cellStyle name="entry box 2 5 27 7" xfId="16108"/>
    <cellStyle name="entry box 2 5 28" xfId="3683"/>
    <cellStyle name="entry box 2 5 28 2" xfId="16109"/>
    <cellStyle name="entry box 2 5 28 3" xfId="16110"/>
    <cellStyle name="entry box 2 5 28 4" xfId="16111"/>
    <cellStyle name="entry box 2 5 28 5" xfId="16112"/>
    <cellStyle name="entry box 2 5 28 6" xfId="16113"/>
    <cellStyle name="entry box 2 5 28 7" xfId="16114"/>
    <cellStyle name="entry box 2 5 29" xfId="3684"/>
    <cellStyle name="entry box 2 5 29 2" xfId="16115"/>
    <cellStyle name="entry box 2 5 29 3" xfId="16116"/>
    <cellStyle name="entry box 2 5 29 4" xfId="16117"/>
    <cellStyle name="entry box 2 5 29 5" xfId="16118"/>
    <cellStyle name="entry box 2 5 29 6" xfId="16119"/>
    <cellStyle name="entry box 2 5 29 7" xfId="16120"/>
    <cellStyle name="entry box 2 5 3" xfId="3685"/>
    <cellStyle name="entry box 2 5 3 10" xfId="16121"/>
    <cellStyle name="entry box 2 5 3 2" xfId="16122"/>
    <cellStyle name="entry box 2 5 3 3" xfId="16123"/>
    <cellStyle name="entry box 2 5 3 4" xfId="16124"/>
    <cellStyle name="entry box 2 5 3 5" xfId="16125"/>
    <cellStyle name="entry box 2 5 3 6" xfId="16126"/>
    <cellStyle name="entry box 2 5 3 7" xfId="16127"/>
    <cellStyle name="entry box 2 5 3 8" xfId="16128"/>
    <cellStyle name="entry box 2 5 3 9" xfId="16129"/>
    <cellStyle name="entry box 2 5 30" xfId="3686"/>
    <cellStyle name="entry box 2 5 30 2" xfId="16130"/>
    <cellStyle name="entry box 2 5 30 3" xfId="16131"/>
    <cellStyle name="entry box 2 5 30 4" xfId="16132"/>
    <cellStyle name="entry box 2 5 30 5" xfId="16133"/>
    <cellStyle name="entry box 2 5 30 6" xfId="16134"/>
    <cellStyle name="entry box 2 5 30 7" xfId="16135"/>
    <cellStyle name="entry box 2 5 31" xfId="3687"/>
    <cellStyle name="entry box 2 5 31 2" xfId="16136"/>
    <cellStyle name="entry box 2 5 31 3" xfId="16137"/>
    <cellStyle name="entry box 2 5 31 4" xfId="16138"/>
    <cellStyle name="entry box 2 5 31 5" xfId="16139"/>
    <cellStyle name="entry box 2 5 31 6" xfId="16140"/>
    <cellStyle name="entry box 2 5 31 7" xfId="16141"/>
    <cellStyle name="entry box 2 5 32" xfId="3688"/>
    <cellStyle name="entry box 2 5 32 2" xfId="16142"/>
    <cellStyle name="entry box 2 5 32 3" xfId="16143"/>
    <cellStyle name="entry box 2 5 32 4" xfId="16144"/>
    <cellStyle name="entry box 2 5 32 5" xfId="16145"/>
    <cellStyle name="entry box 2 5 32 6" xfId="16146"/>
    <cellStyle name="entry box 2 5 32 7" xfId="16147"/>
    <cellStyle name="entry box 2 5 33" xfId="3689"/>
    <cellStyle name="entry box 2 5 33 2" xfId="16148"/>
    <cellStyle name="entry box 2 5 33 3" xfId="16149"/>
    <cellStyle name="entry box 2 5 33 4" xfId="16150"/>
    <cellStyle name="entry box 2 5 33 5" xfId="16151"/>
    <cellStyle name="entry box 2 5 33 6" xfId="16152"/>
    <cellStyle name="entry box 2 5 33 7" xfId="16153"/>
    <cellStyle name="entry box 2 5 34" xfId="3690"/>
    <cellStyle name="entry box 2 5 34 2" xfId="16154"/>
    <cellStyle name="entry box 2 5 34 3" xfId="16155"/>
    <cellStyle name="entry box 2 5 34 4" xfId="16156"/>
    <cellStyle name="entry box 2 5 34 5" xfId="16157"/>
    <cellStyle name="entry box 2 5 34 6" xfId="16158"/>
    <cellStyle name="entry box 2 5 34 7" xfId="16159"/>
    <cellStyle name="entry box 2 5 35" xfId="3691"/>
    <cellStyle name="entry box 2 5 35 2" xfId="16160"/>
    <cellStyle name="entry box 2 5 35 3" xfId="16161"/>
    <cellStyle name="entry box 2 5 35 4" xfId="16162"/>
    <cellStyle name="entry box 2 5 35 5" xfId="16163"/>
    <cellStyle name="entry box 2 5 35 6" xfId="16164"/>
    <cellStyle name="entry box 2 5 35 7" xfId="16165"/>
    <cellStyle name="entry box 2 5 36" xfId="3692"/>
    <cellStyle name="entry box 2 5 36 2" xfId="16166"/>
    <cellStyle name="entry box 2 5 36 3" xfId="16167"/>
    <cellStyle name="entry box 2 5 36 4" xfId="16168"/>
    <cellStyle name="entry box 2 5 36 5" xfId="16169"/>
    <cellStyle name="entry box 2 5 36 6" xfId="16170"/>
    <cellStyle name="entry box 2 5 36 7" xfId="16171"/>
    <cellStyle name="entry box 2 5 37" xfId="3693"/>
    <cellStyle name="entry box 2 5 37 2" xfId="16172"/>
    <cellStyle name="entry box 2 5 37 3" xfId="16173"/>
    <cellStyle name="entry box 2 5 37 4" xfId="16174"/>
    <cellStyle name="entry box 2 5 37 5" xfId="16175"/>
    <cellStyle name="entry box 2 5 37 6" xfId="16176"/>
    <cellStyle name="entry box 2 5 37 7" xfId="16177"/>
    <cellStyle name="entry box 2 5 38" xfId="3694"/>
    <cellStyle name="entry box 2 5 38 2" xfId="16178"/>
    <cellStyle name="entry box 2 5 38 3" xfId="16179"/>
    <cellStyle name="entry box 2 5 38 4" xfId="16180"/>
    <cellStyle name="entry box 2 5 38 5" xfId="16181"/>
    <cellStyle name="entry box 2 5 38 6" xfId="16182"/>
    <cellStyle name="entry box 2 5 38 7" xfId="16183"/>
    <cellStyle name="entry box 2 5 39" xfId="3695"/>
    <cellStyle name="entry box 2 5 39 2" xfId="16184"/>
    <cellStyle name="entry box 2 5 39 3" xfId="16185"/>
    <cellStyle name="entry box 2 5 39 4" xfId="16186"/>
    <cellStyle name="entry box 2 5 39 5" xfId="16187"/>
    <cellStyle name="entry box 2 5 39 6" xfId="16188"/>
    <cellStyle name="entry box 2 5 39 7" xfId="16189"/>
    <cellStyle name="entry box 2 5 4" xfId="3696"/>
    <cellStyle name="entry box 2 5 4 10" xfId="16190"/>
    <cellStyle name="entry box 2 5 4 2" xfId="16191"/>
    <cellStyle name="entry box 2 5 4 3" xfId="16192"/>
    <cellStyle name="entry box 2 5 4 4" xfId="16193"/>
    <cellStyle name="entry box 2 5 4 5" xfId="16194"/>
    <cellStyle name="entry box 2 5 4 6" xfId="16195"/>
    <cellStyle name="entry box 2 5 4 7" xfId="16196"/>
    <cellStyle name="entry box 2 5 4 8" xfId="16197"/>
    <cellStyle name="entry box 2 5 4 9" xfId="16198"/>
    <cellStyle name="entry box 2 5 40" xfId="3697"/>
    <cellStyle name="entry box 2 5 40 2" xfId="16199"/>
    <cellStyle name="entry box 2 5 40 3" xfId="16200"/>
    <cellStyle name="entry box 2 5 40 4" xfId="16201"/>
    <cellStyle name="entry box 2 5 40 5" xfId="16202"/>
    <cellStyle name="entry box 2 5 40 6" xfId="16203"/>
    <cellStyle name="entry box 2 5 40 7" xfId="16204"/>
    <cellStyle name="entry box 2 5 41" xfId="3698"/>
    <cellStyle name="entry box 2 5 41 2" xfId="16205"/>
    <cellStyle name="entry box 2 5 41 3" xfId="16206"/>
    <cellStyle name="entry box 2 5 41 4" xfId="16207"/>
    <cellStyle name="entry box 2 5 41 5" xfId="16208"/>
    <cellStyle name="entry box 2 5 41 6" xfId="16209"/>
    <cellStyle name="entry box 2 5 41 7" xfId="16210"/>
    <cellStyle name="entry box 2 5 42" xfId="3699"/>
    <cellStyle name="entry box 2 5 42 2" xfId="16211"/>
    <cellStyle name="entry box 2 5 42 3" xfId="16212"/>
    <cellStyle name="entry box 2 5 42 4" xfId="16213"/>
    <cellStyle name="entry box 2 5 42 5" xfId="16214"/>
    <cellStyle name="entry box 2 5 42 6" xfId="16215"/>
    <cellStyle name="entry box 2 5 42 7" xfId="16216"/>
    <cellStyle name="entry box 2 5 43" xfId="3700"/>
    <cellStyle name="entry box 2 5 43 2" xfId="16217"/>
    <cellStyle name="entry box 2 5 43 3" xfId="16218"/>
    <cellStyle name="entry box 2 5 43 4" xfId="16219"/>
    <cellStyle name="entry box 2 5 43 5" xfId="16220"/>
    <cellStyle name="entry box 2 5 43 6" xfId="16221"/>
    <cellStyle name="entry box 2 5 43 7" xfId="16222"/>
    <cellStyle name="entry box 2 5 44" xfId="3701"/>
    <cellStyle name="entry box 2 5 44 2" xfId="16223"/>
    <cellStyle name="entry box 2 5 44 3" xfId="16224"/>
    <cellStyle name="entry box 2 5 44 4" xfId="16225"/>
    <cellStyle name="entry box 2 5 44 5" xfId="16226"/>
    <cellStyle name="entry box 2 5 44 6" xfId="16227"/>
    <cellStyle name="entry box 2 5 44 7" xfId="16228"/>
    <cellStyle name="entry box 2 5 45" xfId="3702"/>
    <cellStyle name="entry box 2 5 45 2" xfId="16229"/>
    <cellStyle name="entry box 2 5 45 3" xfId="16230"/>
    <cellStyle name="entry box 2 5 45 4" xfId="16231"/>
    <cellStyle name="entry box 2 5 45 5" xfId="16232"/>
    <cellStyle name="entry box 2 5 45 6" xfId="16233"/>
    <cellStyle name="entry box 2 5 45 7" xfId="16234"/>
    <cellStyle name="entry box 2 5 46" xfId="3703"/>
    <cellStyle name="entry box 2 5 46 2" xfId="16235"/>
    <cellStyle name="entry box 2 5 46 3" xfId="16236"/>
    <cellStyle name="entry box 2 5 46 4" xfId="16237"/>
    <cellStyle name="entry box 2 5 46 5" xfId="16238"/>
    <cellStyle name="entry box 2 5 46 6" xfId="16239"/>
    <cellStyle name="entry box 2 5 46 7" xfId="16240"/>
    <cellStyle name="entry box 2 5 47" xfId="3704"/>
    <cellStyle name="entry box 2 5 47 2" xfId="16241"/>
    <cellStyle name="entry box 2 5 47 3" xfId="16242"/>
    <cellStyle name="entry box 2 5 47 4" xfId="16243"/>
    <cellStyle name="entry box 2 5 47 5" xfId="16244"/>
    <cellStyle name="entry box 2 5 47 6" xfId="16245"/>
    <cellStyle name="entry box 2 5 47 7" xfId="16246"/>
    <cellStyle name="entry box 2 5 48" xfId="3705"/>
    <cellStyle name="entry box 2 5 48 2" xfId="16247"/>
    <cellStyle name="entry box 2 5 48 3" xfId="16248"/>
    <cellStyle name="entry box 2 5 48 4" xfId="16249"/>
    <cellStyle name="entry box 2 5 48 5" xfId="16250"/>
    <cellStyle name="entry box 2 5 48 6" xfId="16251"/>
    <cellStyle name="entry box 2 5 48 7" xfId="16252"/>
    <cellStyle name="entry box 2 5 49" xfId="3706"/>
    <cellStyle name="entry box 2 5 49 2" xfId="16253"/>
    <cellStyle name="entry box 2 5 49 3" xfId="16254"/>
    <cellStyle name="entry box 2 5 49 4" xfId="16255"/>
    <cellStyle name="entry box 2 5 49 5" xfId="16256"/>
    <cellStyle name="entry box 2 5 49 6" xfId="16257"/>
    <cellStyle name="entry box 2 5 49 7" xfId="16258"/>
    <cellStyle name="entry box 2 5 5" xfId="3707"/>
    <cellStyle name="entry box 2 5 5 2" xfId="16259"/>
    <cellStyle name="entry box 2 5 5 3" xfId="16260"/>
    <cellStyle name="entry box 2 5 5 4" xfId="16261"/>
    <cellStyle name="entry box 2 5 5 5" xfId="16262"/>
    <cellStyle name="entry box 2 5 5 6" xfId="16263"/>
    <cellStyle name="entry box 2 5 5 7" xfId="16264"/>
    <cellStyle name="entry box 2 5 50" xfId="3708"/>
    <cellStyle name="entry box 2 5 50 2" xfId="16265"/>
    <cellStyle name="entry box 2 5 50 3" xfId="16266"/>
    <cellStyle name="entry box 2 5 50 4" xfId="16267"/>
    <cellStyle name="entry box 2 5 50 5" xfId="16268"/>
    <cellStyle name="entry box 2 5 50 6" xfId="16269"/>
    <cellStyle name="entry box 2 5 50 7" xfId="16270"/>
    <cellStyle name="entry box 2 5 51" xfId="3709"/>
    <cellStyle name="entry box 2 5 51 2" xfId="16271"/>
    <cellStyle name="entry box 2 5 51 3" xfId="16272"/>
    <cellStyle name="entry box 2 5 51 4" xfId="16273"/>
    <cellStyle name="entry box 2 5 51 5" xfId="16274"/>
    <cellStyle name="entry box 2 5 51 6" xfId="16275"/>
    <cellStyle name="entry box 2 5 51 7" xfId="16276"/>
    <cellStyle name="entry box 2 5 52" xfId="3710"/>
    <cellStyle name="entry box 2 5 52 2" xfId="16277"/>
    <cellStyle name="entry box 2 5 52 3" xfId="16278"/>
    <cellStyle name="entry box 2 5 52 4" xfId="16279"/>
    <cellStyle name="entry box 2 5 52 5" xfId="16280"/>
    <cellStyle name="entry box 2 5 52 6" xfId="16281"/>
    <cellStyle name="entry box 2 5 52 7" xfId="16282"/>
    <cellStyle name="entry box 2 5 53" xfId="3711"/>
    <cellStyle name="entry box 2 5 53 2" xfId="16283"/>
    <cellStyle name="entry box 2 5 53 3" xfId="16284"/>
    <cellStyle name="entry box 2 5 53 4" xfId="16285"/>
    <cellStyle name="entry box 2 5 53 5" xfId="16286"/>
    <cellStyle name="entry box 2 5 53 6" xfId="16287"/>
    <cellStyle name="entry box 2 5 53 7" xfId="16288"/>
    <cellStyle name="entry box 2 5 54" xfId="3712"/>
    <cellStyle name="entry box 2 5 54 2" xfId="16289"/>
    <cellStyle name="entry box 2 5 54 3" xfId="16290"/>
    <cellStyle name="entry box 2 5 54 4" xfId="16291"/>
    <cellStyle name="entry box 2 5 54 5" xfId="16292"/>
    <cellStyle name="entry box 2 5 54 6" xfId="16293"/>
    <cellStyle name="entry box 2 5 54 7" xfId="16294"/>
    <cellStyle name="entry box 2 5 55" xfId="3713"/>
    <cellStyle name="entry box 2 5 55 2" xfId="16295"/>
    <cellStyle name="entry box 2 5 55 3" xfId="16296"/>
    <cellStyle name="entry box 2 5 55 4" xfId="16297"/>
    <cellStyle name="entry box 2 5 55 5" xfId="16298"/>
    <cellStyle name="entry box 2 5 55 6" xfId="16299"/>
    <cellStyle name="entry box 2 5 55 7" xfId="16300"/>
    <cellStyle name="entry box 2 5 56" xfId="3714"/>
    <cellStyle name="entry box 2 5 56 2" xfId="16301"/>
    <cellStyle name="entry box 2 5 56 3" xfId="16302"/>
    <cellStyle name="entry box 2 5 56 4" xfId="16303"/>
    <cellStyle name="entry box 2 5 56 5" xfId="16304"/>
    <cellStyle name="entry box 2 5 56 6" xfId="16305"/>
    <cellStyle name="entry box 2 5 56 7" xfId="16306"/>
    <cellStyle name="entry box 2 5 57" xfId="3715"/>
    <cellStyle name="entry box 2 5 57 2" xfId="16307"/>
    <cellStyle name="entry box 2 5 57 3" xfId="16308"/>
    <cellStyle name="entry box 2 5 57 4" xfId="16309"/>
    <cellStyle name="entry box 2 5 57 5" xfId="16310"/>
    <cellStyle name="entry box 2 5 57 6" xfId="16311"/>
    <cellStyle name="entry box 2 5 57 7" xfId="16312"/>
    <cellStyle name="entry box 2 5 58" xfId="3716"/>
    <cellStyle name="entry box 2 5 58 2" xfId="16313"/>
    <cellStyle name="entry box 2 5 58 3" xfId="16314"/>
    <cellStyle name="entry box 2 5 58 4" xfId="16315"/>
    <cellStyle name="entry box 2 5 58 5" xfId="16316"/>
    <cellStyle name="entry box 2 5 58 6" xfId="16317"/>
    <cellStyle name="entry box 2 5 58 7" xfId="16318"/>
    <cellStyle name="entry box 2 5 59" xfId="3717"/>
    <cellStyle name="entry box 2 5 59 2" xfId="16319"/>
    <cellStyle name="entry box 2 5 59 3" xfId="16320"/>
    <cellStyle name="entry box 2 5 59 4" xfId="16321"/>
    <cellStyle name="entry box 2 5 59 5" xfId="16322"/>
    <cellStyle name="entry box 2 5 59 6" xfId="16323"/>
    <cellStyle name="entry box 2 5 59 7" xfId="16324"/>
    <cellStyle name="entry box 2 5 6" xfId="3718"/>
    <cellStyle name="entry box 2 5 6 2" xfId="16325"/>
    <cellStyle name="entry box 2 5 6 3" xfId="16326"/>
    <cellStyle name="entry box 2 5 6 4" xfId="16327"/>
    <cellStyle name="entry box 2 5 6 5" xfId="16328"/>
    <cellStyle name="entry box 2 5 6 6" xfId="16329"/>
    <cellStyle name="entry box 2 5 6 7" xfId="16330"/>
    <cellStyle name="entry box 2 5 60" xfId="3719"/>
    <cellStyle name="entry box 2 5 60 2" xfId="16331"/>
    <cellStyle name="entry box 2 5 60 3" xfId="16332"/>
    <cellStyle name="entry box 2 5 60 4" xfId="16333"/>
    <cellStyle name="entry box 2 5 60 5" xfId="16334"/>
    <cellStyle name="entry box 2 5 60 6" xfId="16335"/>
    <cellStyle name="entry box 2 5 60 7" xfId="16336"/>
    <cellStyle name="entry box 2 5 61" xfId="3720"/>
    <cellStyle name="entry box 2 5 61 2" xfId="16337"/>
    <cellStyle name="entry box 2 5 61 3" xfId="16338"/>
    <cellStyle name="entry box 2 5 61 4" xfId="16339"/>
    <cellStyle name="entry box 2 5 61 5" xfId="16340"/>
    <cellStyle name="entry box 2 5 61 6" xfId="16341"/>
    <cellStyle name="entry box 2 5 61 7" xfId="16342"/>
    <cellStyle name="entry box 2 5 62" xfId="3721"/>
    <cellStyle name="entry box 2 5 62 2" xfId="16343"/>
    <cellStyle name="entry box 2 5 62 3" xfId="16344"/>
    <cellStyle name="entry box 2 5 62 4" xfId="16345"/>
    <cellStyle name="entry box 2 5 62 5" xfId="16346"/>
    <cellStyle name="entry box 2 5 62 6" xfId="16347"/>
    <cellStyle name="entry box 2 5 62 7" xfId="16348"/>
    <cellStyle name="entry box 2 5 63" xfId="3722"/>
    <cellStyle name="entry box 2 5 63 2" xfId="16349"/>
    <cellStyle name="entry box 2 5 63 3" xfId="16350"/>
    <cellStyle name="entry box 2 5 63 4" xfId="16351"/>
    <cellStyle name="entry box 2 5 63 5" xfId="16352"/>
    <cellStyle name="entry box 2 5 63 6" xfId="16353"/>
    <cellStyle name="entry box 2 5 63 7" xfId="16354"/>
    <cellStyle name="entry box 2 5 64" xfId="3723"/>
    <cellStyle name="entry box 2 5 64 2" xfId="16355"/>
    <cellStyle name="entry box 2 5 64 3" xfId="16356"/>
    <cellStyle name="entry box 2 5 64 4" xfId="16357"/>
    <cellStyle name="entry box 2 5 64 5" xfId="16358"/>
    <cellStyle name="entry box 2 5 64 6" xfId="16359"/>
    <cellStyle name="entry box 2 5 64 7" xfId="16360"/>
    <cellStyle name="entry box 2 5 65" xfId="3724"/>
    <cellStyle name="entry box 2 5 65 2" xfId="16361"/>
    <cellStyle name="entry box 2 5 65 3" xfId="16362"/>
    <cellStyle name="entry box 2 5 65 4" xfId="16363"/>
    <cellStyle name="entry box 2 5 65 5" xfId="16364"/>
    <cellStyle name="entry box 2 5 65 6" xfId="16365"/>
    <cellStyle name="entry box 2 5 65 7" xfId="16366"/>
    <cellStyle name="entry box 2 5 66" xfId="3725"/>
    <cellStyle name="entry box 2 5 66 2" xfId="16367"/>
    <cellStyle name="entry box 2 5 66 3" xfId="16368"/>
    <cellStyle name="entry box 2 5 66 4" xfId="16369"/>
    <cellStyle name="entry box 2 5 66 5" xfId="16370"/>
    <cellStyle name="entry box 2 5 66 6" xfId="16371"/>
    <cellStyle name="entry box 2 5 66 7" xfId="16372"/>
    <cellStyle name="entry box 2 5 67" xfId="3726"/>
    <cellStyle name="entry box 2 5 67 2" xfId="16373"/>
    <cellStyle name="entry box 2 5 67 3" xfId="16374"/>
    <cellStyle name="entry box 2 5 67 4" xfId="16375"/>
    <cellStyle name="entry box 2 5 67 5" xfId="16376"/>
    <cellStyle name="entry box 2 5 67 6" xfId="16377"/>
    <cellStyle name="entry box 2 5 67 7" xfId="16378"/>
    <cellStyle name="entry box 2 5 68" xfId="3727"/>
    <cellStyle name="entry box 2 5 68 2" xfId="16379"/>
    <cellStyle name="entry box 2 5 68 3" xfId="16380"/>
    <cellStyle name="entry box 2 5 68 4" xfId="16381"/>
    <cellStyle name="entry box 2 5 68 5" xfId="16382"/>
    <cellStyle name="entry box 2 5 68 6" xfId="16383"/>
    <cellStyle name="entry box 2 5 68 7" xfId="16384"/>
    <cellStyle name="entry box 2 5 69" xfId="3728"/>
    <cellStyle name="entry box 2 5 69 2" xfId="16385"/>
    <cellStyle name="entry box 2 5 69 3" xfId="16386"/>
    <cellStyle name="entry box 2 5 69 4" xfId="16387"/>
    <cellStyle name="entry box 2 5 69 5" xfId="16388"/>
    <cellStyle name="entry box 2 5 69 6" xfId="16389"/>
    <cellStyle name="entry box 2 5 69 7" xfId="16390"/>
    <cellStyle name="entry box 2 5 7" xfId="3729"/>
    <cellStyle name="entry box 2 5 7 2" xfId="16391"/>
    <cellStyle name="entry box 2 5 7 3" xfId="16392"/>
    <cellStyle name="entry box 2 5 7 4" xfId="16393"/>
    <cellStyle name="entry box 2 5 7 5" xfId="16394"/>
    <cellStyle name="entry box 2 5 7 6" xfId="16395"/>
    <cellStyle name="entry box 2 5 7 7" xfId="16396"/>
    <cellStyle name="entry box 2 5 70" xfId="3730"/>
    <cellStyle name="entry box 2 5 70 2" xfId="16397"/>
    <cellStyle name="entry box 2 5 70 3" xfId="16398"/>
    <cellStyle name="entry box 2 5 70 4" xfId="16399"/>
    <cellStyle name="entry box 2 5 70 5" xfId="16400"/>
    <cellStyle name="entry box 2 5 70 6" xfId="16401"/>
    <cellStyle name="entry box 2 5 70 7" xfId="16402"/>
    <cellStyle name="entry box 2 5 71" xfId="3731"/>
    <cellStyle name="entry box 2 5 71 2" xfId="16403"/>
    <cellStyle name="entry box 2 5 71 3" xfId="16404"/>
    <cellStyle name="entry box 2 5 71 4" xfId="16405"/>
    <cellStyle name="entry box 2 5 71 5" xfId="16406"/>
    <cellStyle name="entry box 2 5 71 6" xfId="16407"/>
    <cellStyle name="entry box 2 5 71 7" xfId="16408"/>
    <cellStyle name="entry box 2 5 72" xfId="3732"/>
    <cellStyle name="entry box 2 5 72 2" xfId="16409"/>
    <cellStyle name="entry box 2 5 72 3" xfId="16410"/>
    <cellStyle name="entry box 2 5 72 4" xfId="16411"/>
    <cellStyle name="entry box 2 5 72 5" xfId="16412"/>
    <cellStyle name="entry box 2 5 72 6" xfId="16413"/>
    <cellStyle name="entry box 2 5 72 7" xfId="16414"/>
    <cellStyle name="entry box 2 5 73" xfId="3733"/>
    <cellStyle name="entry box 2 5 73 2" xfId="16415"/>
    <cellStyle name="entry box 2 5 73 3" xfId="16416"/>
    <cellStyle name="entry box 2 5 73 4" xfId="16417"/>
    <cellStyle name="entry box 2 5 73 5" xfId="16418"/>
    <cellStyle name="entry box 2 5 73 6" xfId="16419"/>
    <cellStyle name="entry box 2 5 73 7" xfId="16420"/>
    <cellStyle name="entry box 2 5 74" xfId="3734"/>
    <cellStyle name="entry box 2 5 74 2" xfId="16421"/>
    <cellStyle name="entry box 2 5 74 3" xfId="16422"/>
    <cellStyle name="entry box 2 5 74 4" xfId="16423"/>
    <cellStyle name="entry box 2 5 74 5" xfId="16424"/>
    <cellStyle name="entry box 2 5 74 6" xfId="16425"/>
    <cellStyle name="entry box 2 5 74 7" xfId="16426"/>
    <cellStyle name="entry box 2 5 75" xfId="3735"/>
    <cellStyle name="entry box 2 5 75 2" xfId="16427"/>
    <cellStyle name="entry box 2 5 75 3" xfId="16428"/>
    <cellStyle name="entry box 2 5 75 4" xfId="16429"/>
    <cellStyle name="entry box 2 5 75 5" xfId="16430"/>
    <cellStyle name="entry box 2 5 75 6" xfId="16431"/>
    <cellStyle name="entry box 2 5 75 7" xfId="16432"/>
    <cellStyle name="entry box 2 5 76" xfId="3736"/>
    <cellStyle name="entry box 2 5 76 2" xfId="16433"/>
    <cellStyle name="entry box 2 5 76 3" xfId="16434"/>
    <cellStyle name="entry box 2 5 76 4" xfId="16435"/>
    <cellStyle name="entry box 2 5 76 5" xfId="16436"/>
    <cellStyle name="entry box 2 5 76 6" xfId="16437"/>
    <cellStyle name="entry box 2 5 76 7" xfId="16438"/>
    <cellStyle name="entry box 2 5 77" xfId="3737"/>
    <cellStyle name="entry box 2 5 77 2" xfId="16439"/>
    <cellStyle name="entry box 2 5 77 3" xfId="16440"/>
    <cellStyle name="entry box 2 5 77 4" xfId="16441"/>
    <cellStyle name="entry box 2 5 77 5" xfId="16442"/>
    <cellStyle name="entry box 2 5 77 6" xfId="16443"/>
    <cellStyle name="entry box 2 5 77 7" xfId="16444"/>
    <cellStyle name="entry box 2 5 78" xfId="3738"/>
    <cellStyle name="entry box 2 5 78 2" xfId="16445"/>
    <cellStyle name="entry box 2 5 78 3" xfId="16446"/>
    <cellStyle name="entry box 2 5 78 4" xfId="16447"/>
    <cellStyle name="entry box 2 5 78 5" xfId="16448"/>
    <cellStyle name="entry box 2 5 78 6" xfId="16449"/>
    <cellStyle name="entry box 2 5 78 7" xfId="16450"/>
    <cellStyle name="entry box 2 5 79" xfId="3739"/>
    <cellStyle name="entry box 2 5 79 2" xfId="16451"/>
    <cellStyle name="entry box 2 5 79 3" xfId="16452"/>
    <cellStyle name="entry box 2 5 79 4" xfId="16453"/>
    <cellStyle name="entry box 2 5 79 5" xfId="16454"/>
    <cellStyle name="entry box 2 5 79 6" xfId="16455"/>
    <cellStyle name="entry box 2 5 79 7" xfId="16456"/>
    <cellStyle name="entry box 2 5 8" xfId="3740"/>
    <cellStyle name="entry box 2 5 8 2" xfId="16457"/>
    <cellStyle name="entry box 2 5 8 3" xfId="16458"/>
    <cellStyle name="entry box 2 5 8 4" xfId="16459"/>
    <cellStyle name="entry box 2 5 8 5" xfId="16460"/>
    <cellStyle name="entry box 2 5 8 6" xfId="16461"/>
    <cellStyle name="entry box 2 5 8 7" xfId="16462"/>
    <cellStyle name="entry box 2 5 80" xfId="3741"/>
    <cellStyle name="entry box 2 5 80 2" xfId="16463"/>
    <cellStyle name="entry box 2 5 80 3" xfId="16464"/>
    <cellStyle name="entry box 2 5 80 4" xfId="16465"/>
    <cellStyle name="entry box 2 5 80 5" xfId="16466"/>
    <cellStyle name="entry box 2 5 80 6" xfId="16467"/>
    <cellStyle name="entry box 2 5 80 7" xfId="16468"/>
    <cellStyle name="entry box 2 5 81" xfId="3742"/>
    <cellStyle name="entry box 2 5 81 2" xfId="16469"/>
    <cellStyle name="entry box 2 5 81 3" xfId="16470"/>
    <cellStyle name="entry box 2 5 81 4" xfId="16471"/>
    <cellStyle name="entry box 2 5 81 5" xfId="16472"/>
    <cellStyle name="entry box 2 5 81 6" xfId="16473"/>
    <cellStyle name="entry box 2 5 81 7" xfId="16474"/>
    <cellStyle name="entry box 2 5 82" xfId="3743"/>
    <cellStyle name="entry box 2 5 82 2" xfId="16475"/>
    <cellStyle name="entry box 2 5 82 3" xfId="16476"/>
    <cellStyle name="entry box 2 5 82 4" xfId="16477"/>
    <cellStyle name="entry box 2 5 82 5" xfId="16478"/>
    <cellStyle name="entry box 2 5 82 6" xfId="16479"/>
    <cellStyle name="entry box 2 5 82 7" xfId="16480"/>
    <cellStyle name="entry box 2 5 83" xfId="3744"/>
    <cellStyle name="entry box 2 5 83 2" xfId="16481"/>
    <cellStyle name="entry box 2 5 83 3" xfId="16482"/>
    <cellStyle name="entry box 2 5 83 4" xfId="16483"/>
    <cellStyle name="entry box 2 5 83 5" xfId="16484"/>
    <cellStyle name="entry box 2 5 83 6" xfId="16485"/>
    <cellStyle name="entry box 2 5 83 7" xfId="16486"/>
    <cellStyle name="entry box 2 5 84" xfId="3745"/>
    <cellStyle name="entry box 2 5 84 2" xfId="16487"/>
    <cellStyle name="entry box 2 5 84 3" xfId="16488"/>
    <cellStyle name="entry box 2 5 84 4" xfId="16489"/>
    <cellStyle name="entry box 2 5 84 5" xfId="16490"/>
    <cellStyle name="entry box 2 5 84 6" xfId="16491"/>
    <cellStyle name="entry box 2 5 84 7" xfId="16492"/>
    <cellStyle name="entry box 2 5 85" xfId="3746"/>
    <cellStyle name="entry box 2 5 85 2" xfId="16493"/>
    <cellStyle name="entry box 2 5 85 3" xfId="16494"/>
    <cellStyle name="entry box 2 5 85 4" xfId="16495"/>
    <cellStyle name="entry box 2 5 85 5" xfId="16496"/>
    <cellStyle name="entry box 2 5 85 6" xfId="16497"/>
    <cellStyle name="entry box 2 5 85 7" xfId="16498"/>
    <cellStyle name="entry box 2 5 86" xfId="3747"/>
    <cellStyle name="entry box 2 5 86 2" xfId="16499"/>
    <cellStyle name="entry box 2 5 86 3" xfId="16500"/>
    <cellStyle name="entry box 2 5 86 4" xfId="16501"/>
    <cellStyle name="entry box 2 5 86 5" xfId="16502"/>
    <cellStyle name="entry box 2 5 86 6" xfId="16503"/>
    <cellStyle name="entry box 2 5 86 7" xfId="16504"/>
    <cellStyle name="entry box 2 5 87" xfId="3748"/>
    <cellStyle name="entry box 2 5 87 2" xfId="16505"/>
    <cellStyle name="entry box 2 5 87 3" xfId="16506"/>
    <cellStyle name="entry box 2 5 87 4" xfId="16507"/>
    <cellStyle name="entry box 2 5 87 5" xfId="16508"/>
    <cellStyle name="entry box 2 5 87 6" xfId="16509"/>
    <cellStyle name="entry box 2 5 87 7" xfId="16510"/>
    <cellStyle name="entry box 2 5 88" xfId="3749"/>
    <cellStyle name="entry box 2 5 88 2" xfId="16511"/>
    <cellStyle name="entry box 2 5 88 3" xfId="16512"/>
    <cellStyle name="entry box 2 5 88 4" xfId="16513"/>
    <cellStyle name="entry box 2 5 88 5" xfId="16514"/>
    <cellStyle name="entry box 2 5 88 6" xfId="16515"/>
    <cellStyle name="entry box 2 5 88 7" xfId="16516"/>
    <cellStyle name="entry box 2 5 89" xfId="3750"/>
    <cellStyle name="entry box 2 5 89 2" xfId="16517"/>
    <cellStyle name="entry box 2 5 89 3" xfId="16518"/>
    <cellStyle name="entry box 2 5 89 4" xfId="16519"/>
    <cellStyle name="entry box 2 5 89 5" xfId="16520"/>
    <cellStyle name="entry box 2 5 89 6" xfId="16521"/>
    <cellStyle name="entry box 2 5 89 7" xfId="16522"/>
    <cellStyle name="entry box 2 5 9" xfId="3751"/>
    <cellStyle name="entry box 2 5 9 2" xfId="16523"/>
    <cellStyle name="entry box 2 5 9 3" xfId="16524"/>
    <cellStyle name="entry box 2 5 9 4" xfId="16525"/>
    <cellStyle name="entry box 2 5 9 5" xfId="16526"/>
    <cellStyle name="entry box 2 5 9 6" xfId="16527"/>
    <cellStyle name="entry box 2 5 9 7" xfId="16528"/>
    <cellStyle name="entry box 2 5 90" xfId="3752"/>
    <cellStyle name="entry box 2 5 90 2" xfId="16529"/>
    <cellStyle name="entry box 2 5 90 3" xfId="16530"/>
    <cellStyle name="entry box 2 5 90 4" xfId="16531"/>
    <cellStyle name="entry box 2 5 90 5" xfId="16532"/>
    <cellStyle name="entry box 2 5 90 6" xfId="16533"/>
    <cellStyle name="entry box 2 5 90 7" xfId="16534"/>
    <cellStyle name="entry box 2 5 91" xfId="3753"/>
    <cellStyle name="entry box 2 5 91 2" xfId="16535"/>
    <cellStyle name="entry box 2 5 91 3" xfId="16536"/>
    <cellStyle name="entry box 2 5 91 4" xfId="16537"/>
    <cellStyle name="entry box 2 5 91 5" xfId="16538"/>
    <cellStyle name="entry box 2 5 91 6" xfId="16539"/>
    <cellStyle name="entry box 2 5 91 7" xfId="16540"/>
    <cellStyle name="entry box 2 5 92" xfId="3754"/>
    <cellStyle name="entry box 2 5 92 2" xfId="16541"/>
    <cellStyle name="entry box 2 5 92 3" xfId="16542"/>
    <cellStyle name="entry box 2 5 92 4" xfId="16543"/>
    <cellStyle name="entry box 2 5 92 5" xfId="16544"/>
    <cellStyle name="entry box 2 5 92 6" xfId="16545"/>
    <cellStyle name="entry box 2 5 92 7" xfId="16546"/>
    <cellStyle name="entry box 2 5 93" xfId="3755"/>
    <cellStyle name="entry box 2 5 93 2" xfId="16547"/>
    <cellStyle name="entry box 2 5 93 3" xfId="16548"/>
    <cellStyle name="entry box 2 5 93 4" xfId="16549"/>
    <cellStyle name="entry box 2 5 93 5" xfId="16550"/>
    <cellStyle name="entry box 2 5 93 6" xfId="16551"/>
    <cellStyle name="entry box 2 5 94" xfId="16552"/>
    <cellStyle name="entry box 2 5 95" xfId="16553"/>
    <cellStyle name="entry box 2 5 96" xfId="16554"/>
    <cellStyle name="entry box 2 5 97" xfId="16555"/>
    <cellStyle name="entry box 2 5 98" xfId="16556"/>
    <cellStyle name="entry box 2 5 99" xfId="16557"/>
    <cellStyle name="entry box 2 50" xfId="3756"/>
    <cellStyle name="entry box 2 50 2" xfId="16558"/>
    <cellStyle name="entry box 2 50 3" xfId="16559"/>
    <cellStyle name="entry box 2 50 4" xfId="16560"/>
    <cellStyle name="entry box 2 50 5" xfId="16561"/>
    <cellStyle name="entry box 2 50 6" xfId="16562"/>
    <cellStyle name="entry box 2 50 7" xfId="16563"/>
    <cellStyle name="entry box 2 51" xfId="3757"/>
    <cellStyle name="entry box 2 51 2" xfId="16564"/>
    <cellStyle name="entry box 2 51 3" xfId="16565"/>
    <cellStyle name="entry box 2 51 4" xfId="16566"/>
    <cellStyle name="entry box 2 51 5" xfId="16567"/>
    <cellStyle name="entry box 2 51 6" xfId="16568"/>
    <cellStyle name="entry box 2 51 7" xfId="16569"/>
    <cellStyle name="entry box 2 52" xfId="3758"/>
    <cellStyle name="entry box 2 52 2" xfId="16570"/>
    <cellStyle name="entry box 2 52 3" xfId="16571"/>
    <cellStyle name="entry box 2 52 4" xfId="16572"/>
    <cellStyle name="entry box 2 52 5" xfId="16573"/>
    <cellStyle name="entry box 2 52 6" xfId="16574"/>
    <cellStyle name="entry box 2 52 7" xfId="16575"/>
    <cellStyle name="entry box 2 53" xfId="3759"/>
    <cellStyle name="entry box 2 53 2" xfId="16576"/>
    <cellStyle name="entry box 2 53 3" xfId="16577"/>
    <cellStyle name="entry box 2 53 4" xfId="16578"/>
    <cellStyle name="entry box 2 53 5" xfId="16579"/>
    <cellStyle name="entry box 2 53 6" xfId="16580"/>
    <cellStyle name="entry box 2 53 7" xfId="16581"/>
    <cellStyle name="entry box 2 54" xfId="3760"/>
    <cellStyle name="entry box 2 54 2" xfId="16582"/>
    <cellStyle name="entry box 2 54 3" xfId="16583"/>
    <cellStyle name="entry box 2 54 4" xfId="16584"/>
    <cellStyle name="entry box 2 54 5" xfId="16585"/>
    <cellStyle name="entry box 2 54 6" xfId="16586"/>
    <cellStyle name="entry box 2 54 7" xfId="16587"/>
    <cellStyle name="entry box 2 55" xfId="3761"/>
    <cellStyle name="entry box 2 55 2" xfId="16588"/>
    <cellStyle name="entry box 2 55 3" xfId="16589"/>
    <cellStyle name="entry box 2 55 4" xfId="16590"/>
    <cellStyle name="entry box 2 55 5" xfId="16591"/>
    <cellStyle name="entry box 2 55 6" xfId="16592"/>
    <cellStyle name="entry box 2 55 7" xfId="16593"/>
    <cellStyle name="entry box 2 56" xfId="3762"/>
    <cellStyle name="entry box 2 56 2" xfId="16594"/>
    <cellStyle name="entry box 2 56 3" xfId="16595"/>
    <cellStyle name="entry box 2 56 4" xfId="16596"/>
    <cellStyle name="entry box 2 56 5" xfId="16597"/>
    <cellStyle name="entry box 2 56 6" xfId="16598"/>
    <cellStyle name="entry box 2 56 7" xfId="16599"/>
    <cellStyle name="entry box 2 57" xfId="3763"/>
    <cellStyle name="entry box 2 57 2" xfId="16600"/>
    <cellStyle name="entry box 2 57 3" xfId="16601"/>
    <cellStyle name="entry box 2 57 4" xfId="16602"/>
    <cellStyle name="entry box 2 57 5" xfId="16603"/>
    <cellStyle name="entry box 2 57 6" xfId="16604"/>
    <cellStyle name="entry box 2 57 7" xfId="16605"/>
    <cellStyle name="entry box 2 58" xfId="3764"/>
    <cellStyle name="entry box 2 58 2" xfId="16606"/>
    <cellStyle name="entry box 2 58 3" xfId="16607"/>
    <cellStyle name="entry box 2 58 4" xfId="16608"/>
    <cellStyle name="entry box 2 58 5" xfId="16609"/>
    <cellStyle name="entry box 2 58 6" xfId="16610"/>
    <cellStyle name="entry box 2 58 7" xfId="16611"/>
    <cellStyle name="entry box 2 59" xfId="3765"/>
    <cellStyle name="entry box 2 59 2" xfId="16612"/>
    <cellStyle name="entry box 2 59 3" xfId="16613"/>
    <cellStyle name="entry box 2 59 4" xfId="16614"/>
    <cellStyle name="entry box 2 59 5" xfId="16615"/>
    <cellStyle name="entry box 2 59 6" xfId="16616"/>
    <cellStyle name="entry box 2 59 7" xfId="16617"/>
    <cellStyle name="entry box 2 6" xfId="3766"/>
    <cellStyle name="entry box 2 6 10" xfId="16618"/>
    <cellStyle name="entry box 2 6 11" xfId="16619"/>
    <cellStyle name="entry box 2 6 2" xfId="16620"/>
    <cellStyle name="entry box 2 6 3" xfId="16621"/>
    <cellStyle name="entry box 2 6 4" xfId="16622"/>
    <cellStyle name="entry box 2 6 5" xfId="16623"/>
    <cellStyle name="entry box 2 6 6" xfId="16624"/>
    <cellStyle name="entry box 2 6 7" xfId="16625"/>
    <cellStyle name="entry box 2 6 8" xfId="16626"/>
    <cellStyle name="entry box 2 6 9" xfId="16627"/>
    <cellStyle name="entry box 2 60" xfId="3767"/>
    <cellStyle name="entry box 2 60 2" xfId="16628"/>
    <cellStyle name="entry box 2 60 3" xfId="16629"/>
    <cellStyle name="entry box 2 60 4" xfId="16630"/>
    <cellStyle name="entry box 2 60 5" xfId="16631"/>
    <cellStyle name="entry box 2 60 6" xfId="16632"/>
    <cellStyle name="entry box 2 60 7" xfId="16633"/>
    <cellStyle name="entry box 2 61" xfId="3768"/>
    <cellStyle name="entry box 2 61 2" xfId="16634"/>
    <cellStyle name="entry box 2 61 3" xfId="16635"/>
    <cellStyle name="entry box 2 61 4" xfId="16636"/>
    <cellStyle name="entry box 2 61 5" xfId="16637"/>
    <cellStyle name="entry box 2 61 6" xfId="16638"/>
    <cellStyle name="entry box 2 61 7" xfId="16639"/>
    <cellStyle name="entry box 2 62" xfId="3769"/>
    <cellStyle name="entry box 2 62 2" xfId="16640"/>
    <cellStyle name="entry box 2 62 3" xfId="16641"/>
    <cellStyle name="entry box 2 62 4" xfId="16642"/>
    <cellStyle name="entry box 2 62 5" xfId="16643"/>
    <cellStyle name="entry box 2 62 6" xfId="16644"/>
    <cellStyle name="entry box 2 62 7" xfId="16645"/>
    <cellStyle name="entry box 2 63" xfId="3770"/>
    <cellStyle name="entry box 2 63 2" xfId="16646"/>
    <cellStyle name="entry box 2 63 3" xfId="16647"/>
    <cellStyle name="entry box 2 63 4" xfId="16648"/>
    <cellStyle name="entry box 2 63 5" xfId="16649"/>
    <cellStyle name="entry box 2 63 6" xfId="16650"/>
    <cellStyle name="entry box 2 63 7" xfId="16651"/>
    <cellStyle name="entry box 2 64" xfId="3771"/>
    <cellStyle name="entry box 2 64 2" xfId="16652"/>
    <cellStyle name="entry box 2 64 3" xfId="16653"/>
    <cellStyle name="entry box 2 64 4" xfId="16654"/>
    <cellStyle name="entry box 2 64 5" xfId="16655"/>
    <cellStyle name="entry box 2 64 6" xfId="16656"/>
    <cellStyle name="entry box 2 64 7" xfId="16657"/>
    <cellStyle name="entry box 2 65" xfId="3772"/>
    <cellStyle name="entry box 2 65 2" xfId="16658"/>
    <cellStyle name="entry box 2 65 3" xfId="16659"/>
    <cellStyle name="entry box 2 65 4" xfId="16660"/>
    <cellStyle name="entry box 2 65 5" xfId="16661"/>
    <cellStyle name="entry box 2 65 6" xfId="16662"/>
    <cellStyle name="entry box 2 65 7" xfId="16663"/>
    <cellStyle name="entry box 2 66" xfId="3773"/>
    <cellStyle name="entry box 2 66 2" xfId="16664"/>
    <cellStyle name="entry box 2 66 3" xfId="16665"/>
    <cellStyle name="entry box 2 66 4" xfId="16666"/>
    <cellStyle name="entry box 2 66 5" xfId="16667"/>
    <cellStyle name="entry box 2 66 6" xfId="16668"/>
    <cellStyle name="entry box 2 66 7" xfId="16669"/>
    <cellStyle name="entry box 2 67" xfId="3774"/>
    <cellStyle name="entry box 2 67 2" xfId="16670"/>
    <cellStyle name="entry box 2 67 3" xfId="16671"/>
    <cellStyle name="entry box 2 67 4" xfId="16672"/>
    <cellStyle name="entry box 2 67 5" xfId="16673"/>
    <cellStyle name="entry box 2 67 6" xfId="16674"/>
    <cellStyle name="entry box 2 67 7" xfId="16675"/>
    <cellStyle name="entry box 2 68" xfId="3775"/>
    <cellStyle name="entry box 2 68 2" xfId="16676"/>
    <cellStyle name="entry box 2 68 3" xfId="16677"/>
    <cellStyle name="entry box 2 68 4" xfId="16678"/>
    <cellStyle name="entry box 2 68 5" xfId="16679"/>
    <cellStyle name="entry box 2 68 6" xfId="16680"/>
    <cellStyle name="entry box 2 68 7" xfId="16681"/>
    <cellStyle name="entry box 2 69" xfId="3776"/>
    <cellStyle name="entry box 2 69 2" xfId="16682"/>
    <cellStyle name="entry box 2 69 3" xfId="16683"/>
    <cellStyle name="entry box 2 69 4" xfId="16684"/>
    <cellStyle name="entry box 2 69 5" xfId="16685"/>
    <cellStyle name="entry box 2 69 6" xfId="16686"/>
    <cellStyle name="entry box 2 69 7" xfId="16687"/>
    <cellStyle name="entry box 2 7" xfId="3777"/>
    <cellStyle name="entry box 2 7 10" xfId="16688"/>
    <cellStyle name="entry box 2 7 11" xfId="16689"/>
    <cellStyle name="entry box 2 7 2" xfId="16690"/>
    <cellStyle name="entry box 2 7 3" xfId="16691"/>
    <cellStyle name="entry box 2 7 4" xfId="16692"/>
    <cellStyle name="entry box 2 7 5" xfId="16693"/>
    <cellStyle name="entry box 2 7 6" xfId="16694"/>
    <cellStyle name="entry box 2 7 7" xfId="16695"/>
    <cellStyle name="entry box 2 7 8" xfId="16696"/>
    <cellStyle name="entry box 2 7 9" xfId="16697"/>
    <cellStyle name="entry box 2 70" xfId="3778"/>
    <cellStyle name="entry box 2 70 2" xfId="16698"/>
    <cellStyle name="entry box 2 70 3" xfId="16699"/>
    <cellStyle name="entry box 2 70 4" xfId="16700"/>
    <cellStyle name="entry box 2 70 5" xfId="16701"/>
    <cellStyle name="entry box 2 70 6" xfId="16702"/>
    <cellStyle name="entry box 2 70 7" xfId="16703"/>
    <cellStyle name="entry box 2 71" xfId="3779"/>
    <cellStyle name="entry box 2 71 2" xfId="16704"/>
    <cellStyle name="entry box 2 71 3" xfId="16705"/>
    <cellStyle name="entry box 2 71 4" xfId="16706"/>
    <cellStyle name="entry box 2 71 5" xfId="16707"/>
    <cellStyle name="entry box 2 71 6" xfId="16708"/>
    <cellStyle name="entry box 2 71 7" xfId="16709"/>
    <cellStyle name="entry box 2 72" xfId="3780"/>
    <cellStyle name="entry box 2 72 2" xfId="16710"/>
    <cellStyle name="entry box 2 72 3" xfId="16711"/>
    <cellStyle name="entry box 2 72 4" xfId="16712"/>
    <cellStyle name="entry box 2 72 5" xfId="16713"/>
    <cellStyle name="entry box 2 72 6" xfId="16714"/>
    <cellStyle name="entry box 2 72 7" xfId="16715"/>
    <cellStyle name="entry box 2 73" xfId="3781"/>
    <cellStyle name="entry box 2 73 2" xfId="16716"/>
    <cellStyle name="entry box 2 73 3" xfId="16717"/>
    <cellStyle name="entry box 2 73 4" xfId="16718"/>
    <cellStyle name="entry box 2 73 5" xfId="16719"/>
    <cellStyle name="entry box 2 73 6" xfId="16720"/>
    <cellStyle name="entry box 2 73 7" xfId="16721"/>
    <cellStyle name="entry box 2 74" xfId="3782"/>
    <cellStyle name="entry box 2 74 2" xfId="16722"/>
    <cellStyle name="entry box 2 74 3" xfId="16723"/>
    <cellStyle name="entry box 2 74 4" xfId="16724"/>
    <cellStyle name="entry box 2 74 5" xfId="16725"/>
    <cellStyle name="entry box 2 74 6" xfId="16726"/>
    <cellStyle name="entry box 2 74 7" xfId="16727"/>
    <cellStyle name="entry box 2 75" xfId="3783"/>
    <cellStyle name="entry box 2 75 2" xfId="16728"/>
    <cellStyle name="entry box 2 75 3" xfId="16729"/>
    <cellStyle name="entry box 2 75 4" xfId="16730"/>
    <cellStyle name="entry box 2 75 5" xfId="16731"/>
    <cellStyle name="entry box 2 75 6" xfId="16732"/>
    <cellStyle name="entry box 2 75 7" xfId="16733"/>
    <cellStyle name="entry box 2 76" xfId="3784"/>
    <cellStyle name="entry box 2 76 2" xfId="16734"/>
    <cellStyle name="entry box 2 76 3" xfId="16735"/>
    <cellStyle name="entry box 2 76 4" xfId="16736"/>
    <cellStyle name="entry box 2 76 5" xfId="16737"/>
    <cellStyle name="entry box 2 76 6" xfId="16738"/>
    <cellStyle name="entry box 2 76 7" xfId="16739"/>
    <cellStyle name="entry box 2 77" xfId="3785"/>
    <cellStyle name="entry box 2 77 2" xfId="16740"/>
    <cellStyle name="entry box 2 77 3" xfId="16741"/>
    <cellStyle name="entry box 2 77 4" xfId="16742"/>
    <cellStyle name="entry box 2 77 5" xfId="16743"/>
    <cellStyle name="entry box 2 77 6" xfId="16744"/>
    <cellStyle name="entry box 2 77 7" xfId="16745"/>
    <cellStyle name="entry box 2 78" xfId="3786"/>
    <cellStyle name="entry box 2 78 2" xfId="16746"/>
    <cellStyle name="entry box 2 78 3" xfId="16747"/>
    <cellStyle name="entry box 2 78 4" xfId="16748"/>
    <cellStyle name="entry box 2 78 5" xfId="16749"/>
    <cellStyle name="entry box 2 78 6" xfId="16750"/>
    <cellStyle name="entry box 2 78 7" xfId="16751"/>
    <cellStyle name="entry box 2 79" xfId="3787"/>
    <cellStyle name="entry box 2 79 2" xfId="16752"/>
    <cellStyle name="entry box 2 79 3" xfId="16753"/>
    <cellStyle name="entry box 2 79 4" xfId="16754"/>
    <cellStyle name="entry box 2 79 5" xfId="16755"/>
    <cellStyle name="entry box 2 79 6" xfId="16756"/>
    <cellStyle name="entry box 2 79 7" xfId="16757"/>
    <cellStyle name="entry box 2 8" xfId="3788"/>
    <cellStyle name="entry box 2 8 10" xfId="16758"/>
    <cellStyle name="entry box 2 8 11" xfId="16759"/>
    <cellStyle name="entry box 2 8 2" xfId="16760"/>
    <cellStyle name="entry box 2 8 3" xfId="16761"/>
    <cellStyle name="entry box 2 8 4" xfId="16762"/>
    <cellStyle name="entry box 2 8 5" xfId="16763"/>
    <cellStyle name="entry box 2 8 6" xfId="16764"/>
    <cellStyle name="entry box 2 8 7" xfId="16765"/>
    <cellStyle name="entry box 2 8 8" xfId="16766"/>
    <cellStyle name="entry box 2 8 9" xfId="16767"/>
    <cellStyle name="entry box 2 80" xfId="3789"/>
    <cellStyle name="entry box 2 80 2" xfId="16768"/>
    <cellStyle name="entry box 2 80 3" xfId="16769"/>
    <cellStyle name="entry box 2 80 4" xfId="16770"/>
    <cellStyle name="entry box 2 80 5" xfId="16771"/>
    <cellStyle name="entry box 2 80 6" xfId="16772"/>
    <cellStyle name="entry box 2 80 7" xfId="16773"/>
    <cellStyle name="entry box 2 81" xfId="3790"/>
    <cellStyle name="entry box 2 81 2" xfId="16774"/>
    <cellStyle name="entry box 2 81 3" xfId="16775"/>
    <cellStyle name="entry box 2 81 4" xfId="16776"/>
    <cellStyle name="entry box 2 81 5" xfId="16777"/>
    <cellStyle name="entry box 2 81 6" xfId="16778"/>
    <cellStyle name="entry box 2 81 7" xfId="16779"/>
    <cellStyle name="entry box 2 82" xfId="3791"/>
    <cellStyle name="entry box 2 82 2" xfId="16780"/>
    <cellStyle name="entry box 2 82 3" xfId="16781"/>
    <cellStyle name="entry box 2 82 4" xfId="16782"/>
    <cellStyle name="entry box 2 82 5" xfId="16783"/>
    <cellStyle name="entry box 2 82 6" xfId="16784"/>
    <cellStyle name="entry box 2 82 7" xfId="16785"/>
    <cellStyle name="entry box 2 83" xfId="3792"/>
    <cellStyle name="entry box 2 83 2" xfId="16786"/>
    <cellStyle name="entry box 2 83 3" xfId="16787"/>
    <cellStyle name="entry box 2 83 4" xfId="16788"/>
    <cellStyle name="entry box 2 83 5" xfId="16789"/>
    <cellStyle name="entry box 2 83 6" xfId="16790"/>
    <cellStyle name="entry box 2 83 7" xfId="16791"/>
    <cellStyle name="entry box 2 84" xfId="3793"/>
    <cellStyle name="entry box 2 84 2" xfId="16792"/>
    <cellStyle name="entry box 2 84 3" xfId="16793"/>
    <cellStyle name="entry box 2 84 4" xfId="16794"/>
    <cellStyle name="entry box 2 84 5" xfId="16795"/>
    <cellStyle name="entry box 2 84 6" xfId="16796"/>
    <cellStyle name="entry box 2 84 7" xfId="16797"/>
    <cellStyle name="entry box 2 85" xfId="3794"/>
    <cellStyle name="entry box 2 85 2" xfId="16798"/>
    <cellStyle name="entry box 2 85 3" xfId="16799"/>
    <cellStyle name="entry box 2 85 4" xfId="16800"/>
    <cellStyle name="entry box 2 85 5" xfId="16801"/>
    <cellStyle name="entry box 2 85 6" xfId="16802"/>
    <cellStyle name="entry box 2 85 7" xfId="16803"/>
    <cellStyle name="entry box 2 86" xfId="3795"/>
    <cellStyle name="entry box 2 86 2" xfId="16804"/>
    <cellStyle name="entry box 2 86 3" xfId="16805"/>
    <cellStyle name="entry box 2 86 4" xfId="16806"/>
    <cellStyle name="entry box 2 86 5" xfId="16807"/>
    <cellStyle name="entry box 2 86 6" xfId="16808"/>
    <cellStyle name="entry box 2 86 7" xfId="16809"/>
    <cellStyle name="entry box 2 87" xfId="3796"/>
    <cellStyle name="entry box 2 87 2" xfId="16810"/>
    <cellStyle name="entry box 2 87 3" xfId="16811"/>
    <cellStyle name="entry box 2 87 4" xfId="16812"/>
    <cellStyle name="entry box 2 87 5" xfId="16813"/>
    <cellStyle name="entry box 2 87 6" xfId="16814"/>
    <cellStyle name="entry box 2 87 7" xfId="16815"/>
    <cellStyle name="entry box 2 88" xfId="3797"/>
    <cellStyle name="entry box 2 88 2" xfId="16816"/>
    <cellStyle name="entry box 2 88 3" xfId="16817"/>
    <cellStyle name="entry box 2 88 4" xfId="16818"/>
    <cellStyle name="entry box 2 88 5" xfId="16819"/>
    <cellStyle name="entry box 2 88 6" xfId="16820"/>
    <cellStyle name="entry box 2 88 7" xfId="16821"/>
    <cellStyle name="entry box 2 89" xfId="3798"/>
    <cellStyle name="entry box 2 89 2" xfId="16822"/>
    <cellStyle name="entry box 2 89 3" xfId="16823"/>
    <cellStyle name="entry box 2 89 4" xfId="16824"/>
    <cellStyle name="entry box 2 89 5" xfId="16825"/>
    <cellStyle name="entry box 2 89 6" xfId="16826"/>
    <cellStyle name="entry box 2 89 7" xfId="16827"/>
    <cellStyle name="entry box 2 9" xfId="3799"/>
    <cellStyle name="entry box 2 9 10" xfId="16828"/>
    <cellStyle name="entry box 2 9 2" xfId="16829"/>
    <cellStyle name="entry box 2 9 3" xfId="16830"/>
    <cellStyle name="entry box 2 9 4" xfId="16831"/>
    <cellStyle name="entry box 2 9 5" xfId="16832"/>
    <cellStyle name="entry box 2 9 6" xfId="16833"/>
    <cellStyle name="entry box 2 9 7" xfId="16834"/>
    <cellStyle name="entry box 2 9 8" xfId="16835"/>
    <cellStyle name="entry box 2 9 9" xfId="16836"/>
    <cellStyle name="entry box 2 90" xfId="3800"/>
    <cellStyle name="entry box 2 90 2" xfId="16837"/>
    <cellStyle name="entry box 2 90 3" xfId="16838"/>
    <cellStyle name="entry box 2 90 4" xfId="16839"/>
    <cellStyle name="entry box 2 90 5" xfId="16840"/>
    <cellStyle name="entry box 2 90 6" xfId="16841"/>
    <cellStyle name="entry box 2 90 7" xfId="16842"/>
    <cellStyle name="entry box 2 91" xfId="3801"/>
    <cellStyle name="entry box 2 91 2" xfId="16843"/>
    <cellStyle name="entry box 2 91 3" xfId="16844"/>
    <cellStyle name="entry box 2 91 4" xfId="16845"/>
    <cellStyle name="entry box 2 91 5" xfId="16846"/>
    <cellStyle name="entry box 2 91 6" xfId="16847"/>
    <cellStyle name="entry box 2 91 7" xfId="16848"/>
    <cellStyle name="entry box 2 92" xfId="3802"/>
    <cellStyle name="entry box 2 92 2" xfId="16849"/>
    <cellStyle name="entry box 2 92 3" xfId="16850"/>
    <cellStyle name="entry box 2 92 4" xfId="16851"/>
    <cellStyle name="entry box 2 92 5" xfId="16852"/>
    <cellStyle name="entry box 2 92 6" xfId="16853"/>
    <cellStyle name="entry box 2 92 7" xfId="16854"/>
    <cellStyle name="entry box 2 93" xfId="12013"/>
    <cellStyle name="entry box 2 94" xfId="16855"/>
    <cellStyle name="entry box 2 95" xfId="16856"/>
    <cellStyle name="entry box 2 96" xfId="16857"/>
    <cellStyle name="entry box 2 97" xfId="16858"/>
    <cellStyle name="entry box 2 98" xfId="16859"/>
    <cellStyle name="entry box 2 99" xfId="16860"/>
    <cellStyle name="entry box 2_Cashflow trend" xfId="1058"/>
    <cellStyle name="entry box 20" xfId="3803"/>
    <cellStyle name="entry box 20 2" xfId="16861"/>
    <cellStyle name="entry box 20 3" xfId="16862"/>
    <cellStyle name="entry box 20 4" xfId="16863"/>
    <cellStyle name="entry box 20 5" xfId="16864"/>
    <cellStyle name="entry box 20 6" xfId="16865"/>
    <cellStyle name="entry box 20 7" xfId="16866"/>
    <cellStyle name="entry box 21" xfId="3804"/>
    <cellStyle name="entry box 21 2" xfId="16867"/>
    <cellStyle name="entry box 21 3" xfId="16868"/>
    <cellStyle name="entry box 21 4" xfId="16869"/>
    <cellStyle name="entry box 21 5" xfId="16870"/>
    <cellStyle name="entry box 21 6" xfId="16871"/>
    <cellStyle name="entry box 21 7" xfId="16872"/>
    <cellStyle name="entry box 22" xfId="3805"/>
    <cellStyle name="entry box 22 2" xfId="16873"/>
    <cellStyle name="entry box 22 3" xfId="16874"/>
    <cellStyle name="entry box 22 4" xfId="16875"/>
    <cellStyle name="entry box 22 5" xfId="16876"/>
    <cellStyle name="entry box 22 6" xfId="16877"/>
    <cellStyle name="entry box 22 7" xfId="16878"/>
    <cellStyle name="entry box 23" xfId="3806"/>
    <cellStyle name="entry box 23 2" xfId="16879"/>
    <cellStyle name="entry box 23 3" xfId="16880"/>
    <cellStyle name="entry box 23 4" xfId="16881"/>
    <cellStyle name="entry box 23 5" xfId="16882"/>
    <cellStyle name="entry box 23 6" xfId="16883"/>
    <cellStyle name="entry box 23 7" xfId="16884"/>
    <cellStyle name="entry box 24" xfId="3807"/>
    <cellStyle name="entry box 24 2" xfId="16885"/>
    <cellStyle name="entry box 24 3" xfId="16886"/>
    <cellStyle name="entry box 24 4" xfId="16887"/>
    <cellStyle name="entry box 24 5" xfId="16888"/>
    <cellStyle name="entry box 24 6" xfId="16889"/>
    <cellStyle name="entry box 24 7" xfId="16890"/>
    <cellStyle name="entry box 25" xfId="3808"/>
    <cellStyle name="entry box 25 2" xfId="16891"/>
    <cellStyle name="entry box 25 3" xfId="16892"/>
    <cellStyle name="entry box 25 4" xfId="16893"/>
    <cellStyle name="entry box 25 5" xfId="16894"/>
    <cellStyle name="entry box 25 6" xfId="16895"/>
    <cellStyle name="entry box 25 7" xfId="16896"/>
    <cellStyle name="entry box 26" xfId="3809"/>
    <cellStyle name="entry box 26 2" xfId="16897"/>
    <cellStyle name="entry box 26 3" xfId="16898"/>
    <cellStyle name="entry box 26 4" xfId="16899"/>
    <cellStyle name="entry box 26 5" xfId="16900"/>
    <cellStyle name="entry box 26 6" xfId="16901"/>
    <cellStyle name="entry box 26 7" xfId="16902"/>
    <cellStyle name="entry box 27" xfId="3810"/>
    <cellStyle name="entry box 27 2" xfId="16903"/>
    <cellStyle name="entry box 27 3" xfId="16904"/>
    <cellStyle name="entry box 27 4" xfId="16905"/>
    <cellStyle name="entry box 27 5" xfId="16906"/>
    <cellStyle name="entry box 27 6" xfId="16907"/>
    <cellStyle name="entry box 27 7" xfId="16908"/>
    <cellStyle name="entry box 28" xfId="3811"/>
    <cellStyle name="entry box 28 2" xfId="16909"/>
    <cellStyle name="entry box 28 3" xfId="16910"/>
    <cellStyle name="entry box 28 4" xfId="16911"/>
    <cellStyle name="entry box 28 5" xfId="16912"/>
    <cellStyle name="entry box 28 6" xfId="16913"/>
    <cellStyle name="entry box 28 7" xfId="16914"/>
    <cellStyle name="entry box 29" xfId="3812"/>
    <cellStyle name="entry box 29 2" xfId="16915"/>
    <cellStyle name="entry box 29 3" xfId="16916"/>
    <cellStyle name="entry box 29 4" xfId="16917"/>
    <cellStyle name="entry box 29 5" xfId="16918"/>
    <cellStyle name="entry box 29 6" xfId="16919"/>
    <cellStyle name="entry box 29 7" xfId="16920"/>
    <cellStyle name="entry box 3" xfId="3813"/>
    <cellStyle name="entry box 3 10" xfId="3814"/>
    <cellStyle name="entry box 3 10 2" xfId="16921"/>
    <cellStyle name="entry box 3 10 3" xfId="16922"/>
    <cellStyle name="entry box 3 10 4" xfId="16923"/>
    <cellStyle name="entry box 3 10 5" xfId="16924"/>
    <cellStyle name="entry box 3 10 6" xfId="16925"/>
    <cellStyle name="entry box 3 10 7" xfId="16926"/>
    <cellStyle name="entry box 3 100" xfId="16927"/>
    <cellStyle name="entry box 3 101" xfId="16928"/>
    <cellStyle name="entry box 3 102" xfId="16929"/>
    <cellStyle name="entry box 3 11" xfId="3815"/>
    <cellStyle name="entry box 3 11 2" xfId="16930"/>
    <cellStyle name="entry box 3 11 3" xfId="16931"/>
    <cellStyle name="entry box 3 11 4" xfId="16932"/>
    <cellStyle name="entry box 3 11 5" xfId="16933"/>
    <cellStyle name="entry box 3 11 6" xfId="16934"/>
    <cellStyle name="entry box 3 11 7" xfId="16935"/>
    <cellStyle name="entry box 3 12" xfId="3816"/>
    <cellStyle name="entry box 3 12 2" xfId="16936"/>
    <cellStyle name="entry box 3 12 3" xfId="16937"/>
    <cellStyle name="entry box 3 12 4" xfId="16938"/>
    <cellStyle name="entry box 3 12 5" xfId="16939"/>
    <cellStyle name="entry box 3 12 6" xfId="16940"/>
    <cellStyle name="entry box 3 12 7" xfId="16941"/>
    <cellStyle name="entry box 3 13" xfId="3817"/>
    <cellStyle name="entry box 3 13 2" xfId="16942"/>
    <cellStyle name="entry box 3 13 3" xfId="16943"/>
    <cellStyle name="entry box 3 13 4" xfId="16944"/>
    <cellStyle name="entry box 3 13 5" xfId="16945"/>
    <cellStyle name="entry box 3 13 6" xfId="16946"/>
    <cellStyle name="entry box 3 13 7" xfId="16947"/>
    <cellStyle name="entry box 3 14" xfId="3818"/>
    <cellStyle name="entry box 3 14 2" xfId="16948"/>
    <cellStyle name="entry box 3 14 3" xfId="16949"/>
    <cellStyle name="entry box 3 14 4" xfId="16950"/>
    <cellStyle name="entry box 3 14 5" xfId="16951"/>
    <cellStyle name="entry box 3 14 6" xfId="16952"/>
    <cellStyle name="entry box 3 14 7" xfId="16953"/>
    <cellStyle name="entry box 3 15" xfId="3819"/>
    <cellStyle name="entry box 3 15 2" xfId="16954"/>
    <cellStyle name="entry box 3 15 3" xfId="16955"/>
    <cellStyle name="entry box 3 15 4" xfId="16956"/>
    <cellStyle name="entry box 3 15 5" xfId="16957"/>
    <cellStyle name="entry box 3 15 6" xfId="16958"/>
    <cellStyle name="entry box 3 15 7" xfId="16959"/>
    <cellStyle name="entry box 3 16" xfId="3820"/>
    <cellStyle name="entry box 3 16 2" xfId="16960"/>
    <cellStyle name="entry box 3 16 3" xfId="16961"/>
    <cellStyle name="entry box 3 16 4" xfId="16962"/>
    <cellStyle name="entry box 3 16 5" xfId="16963"/>
    <cellStyle name="entry box 3 16 6" xfId="16964"/>
    <cellStyle name="entry box 3 16 7" xfId="16965"/>
    <cellStyle name="entry box 3 17" xfId="3821"/>
    <cellStyle name="entry box 3 17 2" xfId="16966"/>
    <cellStyle name="entry box 3 17 3" xfId="16967"/>
    <cellStyle name="entry box 3 17 4" xfId="16968"/>
    <cellStyle name="entry box 3 17 5" xfId="16969"/>
    <cellStyle name="entry box 3 17 6" xfId="16970"/>
    <cellStyle name="entry box 3 17 7" xfId="16971"/>
    <cellStyle name="entry box 3 18" xfId="3822"/>
    <cellStyle name="entry box 3 18 2" xfId="16972"/>
    <cellStyle name="entry box 3 18 3" xfId="16973"/>
    <cellStyle name="entry box 3 18 4" xfId="16974"/>
    <cellStyle name="entry box 3 18 5" xfId="16975"/>
    <cellStyle name="entry box 3 18 6" xfId="16976"/>
    <cellStyle name="entry box 3 18 7" xfId="16977"/>
    <cellStyle name="entry box 3 19" xfId="3823"/>
    <cellStyle name="entry box 3 19 2" xfId="16978"/>
    <cellStyle name="entry box 3 19 3" xfId="16979"/>
    <cellStyle name="entry box 3 19 4" xfId="16980"/>
    <cellStyle name="entry box 3 19 5" xfId="16981"/>
    <cellStyle name="entry box 3 19 6" xfId="16982"/>
    <cellStyle name="entry box 3 19 7" xfId="16983"/>
    <cellStyle name="entry box 3 2" xfId="3824"/>
    <cellStyle name="entry box 3 2 10" xfId="16984"/>
    <cellStyle name="entry box 3 2 11" xfId="16985"/>
    <cellStyle name="entry box 3 2 2" xfId="16986"/>
    <cellStyle name="entry box 3 2 3" xfId="16987"/>
    <cellStyle name="entry box 3 2 4" xfId="16988"/>
    <cellStyle name="entry box 3 2 5" xfId="16989"/>
    <cellStyle name="entry box 3 2 6" xfId="16990"/>
    <cellStyle name="entry box 3 2 7" xfId="16991"/>
    <cellStyle name="entry box 3 2 8" xfId="16992"/>
    <cellStyle name="entry box 3 2 9" xfId="16993"/>
    <cellStyle name="entry box 3 20" xfId="3825"/>
    <cellStyle name="entry box 3 20 2" xfId="16994"/>
    <cellStyle name="entry box 3 20 3" xfId="16995"/>
    <cellStyle name="entry box 3 20 4" xfId="16996"/>
    <cellStyle name="entry box 3 20 5" xfId="16997"/>
    <cellStyle name="entry box 3 20 6" xfId="16998"/>
    <cellStyle name="entry box 3 20 7" xfId="16999"/>
    <cellStyle name="entry box 3 21" xfId="3826"/>
    <cellStyle name="entry box 3 21 2" xfId="17000"/>
    <cellStyle name="entry box 3 21 3" xfId="17001"/>
    <cellStyle name="entry box 3 21 4" xfId="17002"/>
    <cellStyle name="entry box 3 21 5" xfId="17003"/>
    <cellStyle name="entry box 3 21 6" xfId="17004"/>
    <cellStyle name="entry box 3 21 7" xfId="17005"/>
    <cellStyle name="entry box 3 22" xfId="3827"/>
    <cellStyle name="entry box 3 22 2" xfId="17006"/>
    <cellStyle name="entry box 3 22 3" xfId="17007"/>
    <cellStyle name="entry box 3 22 4" xfId="17008"/>
    <cellStyle name="entry box 3 22 5" xfId="17009"/>
    <cellStyle name="entry box 3 22 6" xfId="17010"/>
    <cellStyle name="entry box 3 22 7" xfId="17011"/>
    <cellStyle name="entry box 3 23" xfId="3828"/>
    <cellStyle name="entry box 3 23 2" xfId="17012"/>
    <cellStyle name="entry box 3 23 3" xfId="17013"/>
    <cellStyle name="entry box 3 23 4" xfId="17014"/>
    <cellStyle name="entry box 3 23 5" xfId="17015"/>
    <cellStyle name="entry box 3 23 6" xfId="17016"/>
    <cellStyle name="entry box 3 23 7" xfId="17017"/>
    <cellStyle name="entry box 3 24" xfId="3829"/>
    <cellStyle name="entry box 3 24 2" xfId="17018"/>
    <cellStyle name="entry box 3 24 3" xfId="17019"/>
    <cellStyle name="entry box 3 24 4" xfId="17020"/>
    <cellStyle name="entry box 3 24 5" xfId="17021"/>
    <cellStyle name="entry box 3 24 6" xfId="17022"/>
    <cellStyle name="entry box 3 24 7" xfId="17023"/>
    <cellStyle name="entry box 3 25" xfId="3830"/>
    <cellStyle name="entry box 3 25 2" xfId="17024"/>
    <cellStyle name="entry box 3 25 3" xfId="17025"/>
    <cellStyle name="entry box 3 25 4" xfId="17026"/>
    <cellStyle name="entry box 3 25 5" xfId="17027"/>
    <cellStyle name="entry box 3 25 6" xfId="17028"/>
    <cellStyle name="entry box 3 25 7" xfId="17029"/>
    <cellStyle name="entry box 3 26" xfId="3831"/>
    <cellStyle name="entry box 3 26 2" xfId="17030"/>
    <cellStyle name="entry box 3 26 3" xfId="17031"/>
    <cellStyle name="entry box 3 26 4" xfId="17032"/>
    <cellStyle name="entry box 3 26 5" xfId="17033"/>
    <cellStyle name="entry box 3 26 6" xfId="17034"/>
    <cellStyle name="entry box 3 26 7" xfId="17035"/>
    <cellStyle name="entry box 3 27" xfId="3832"/>
    <cellStyle name="entry box 3 27 2" xfId="17036"/>
    <cellStyle name="entry box 3 27 3" xfId="17037"/>
    <cellStyle name="entry box 3 27 4" xfId="17038"/>
    <cellStyle name="entry box 3 27 5" xfId="17039"/>
    <cellStyle name="entry box 3 27 6" xfId="17040"/>
    <cellStyle name="entry box 3 27 7" xfId="17041"/>
    <cellStyle name="entry box 3 28" xfId="3833"/>
    <cellStyle name="entry box 3 28 2" xfId="17042"/>
    <cellStyle name="entry box 3 28 3" xfId="17043"/>
    <cellStyle name="entry box 3 28 4" xfId="17044"/>
    <cellStyle name="entry box 3 28 5" xfId="17045"/>
    <cellStyle name="entry box 3 28 6" xfId="17046"/>
    <cellStyle name="entry box 3 28 7" xfId="17047"/>
    <cellStyle name="entry box 3 29" xfId="3834"/>
    <cellStyle name="entry box 3 29 2" xfId="17048"/>
    <cellStyle name="entry box 3 29 3" xfId="17049"/>
    <cellStyle name="entry box 3 29 4" xfId="17050"/>
    <cellStyle name="entry box 3 29 5" xfId="17051"/>
    <cellStyle name="entry box 3 29 6" xfId="17052"/>
    <cellStyle name="entry box 3 29 7" xfId="17053"/>
    <cellStyle name="entry box 3 3" xfId="3835"/>
    <cellStyle name="entry box 3 3 10" xfId="17054"/>
    <cellStyle name="entry box 3 3 2" xfId="17055"/>
    <cellStyle name="entry box 3 3 3" xfId="17056"/>
    <cellStyle name="entry box 3 3 4" xfId="17057"/>
    <cellStyle name="entry box 3 3 5" xfId="17058"/>
    <cellStyle name="entry box 3 3 6" xfId="17059"/>
    <cellStyle name="entry box 3 3 7" xfId="17060"/>
    <cellStyle name="entry box 3 3 8" xfId="17061"/>
    <cellStyle name="entry box 3 3 9" xfId="17062"/>
    <cellStyle name="entry box 3 30" xfId="3836"/>
    <cellStyle name="entry box 3 30 2" xfId="17063"/>
    <cellStyle name="entry box 3 30 3" xfId="17064"/>
    <cellStyle name="entry box 3 30 4" xfId="17065"/>
    <cellStyle name="entry box 3 30 5" xfId="17066"/>
    <cellStyle name="entry box 3 30 6" xfId="17067"/>
    <cellStyle name="entry box 3 30 7" xfId="17068"/>
    <cellStyle name="entry box 3 31" xfId="3837"/>
    <cellStyle name="entry box 3 31 2" xfId="17069"/>
    <cellStyle name="entry box 3 31 3" xfId="17070"/>
    <cellStyle name="entry box 3 31 4" xfId="17071"/>
    <cellStyle name="entry box 3 31 5" xfId="17072"/>
    <cellStyle name="entry box 3 31 6" xfId="17073"/>
    <cellStyle name="entry box 3 31 7" xfId="17074"/>
    <cellStyle name="entry box 3 32" xfId="3838"/>
    <cellStyle name="entry box 3 32 2" xfId="17075"/>
    <cellStyle name="entry box 3 32 3" xfId="17076"/>
    <cellStyle name="entry box 3 32 4" xfId="17077"/>
    <cellStyle name="entry box 3 32 5" xfId="17078"/>
    <cellStyle name="entry box 3 32 6" xfId="17079"/>
    <cellStyle name="entry box 3 32 7" xfId="17080"/>
    <cellStyle name="entry box 3 33" xfId="3839"/>
    <cellStyle name="entry box 3 33 2" xfId="17081"/>
    <cellStyle name="entry box 3 33 3" xfId="17082"/>
    <cellStyle name="entry box 3 33 4" xfId="17083"/>
    <cellStyle name="entry box 3 33 5" xfId="17084"/>
    <cellStyle name="entry box 3 33 6" xfId="17085"/>
    <cellStyle name="entry box 3 33 7" xfId="17086"/>
    <cellStyle name="entry box 3 34" xfId="3840"/>
    <cellStyle name="entry box 3 34 2" xfId="17087"/>
    <cellStyle name="entry box 3 34 3" xfId="17088"/>
    <cellStyle name="entry box 3 34 4" xfId="17089"/>
    <cellStyle name="entry box 3 34 5" xfId="17090"/>
    <cellStyle name="entry box 3 34 6" xfId="17091"/>
    <cellStyle name="entry box 3 34 7" xfId="17092"/>
    <cellStyle name="entry box 3 35" xfId="3841"/>
    <cellStyle name="entry box 3 35 2" xfId="17093"/>
    <cellStyle name="entry box 3 35 3" xfId="17094"/>
    <cellStyle name="entry box 3 35 4" xfId="17095"/>
    <cellStyle name="entry box 3 35 5" xfId="17096"/>
    <cellStyle name="entry box 3 35 6" xfId="17097"/>
    <cellStyle name="entry box 3 35 7" xfId="17098"/>
    <cellStyle name="entry box 3 36" xfId="3842"/>
    <cellStyle name="entry box 3 36 2" xfId="17099"/>
    <cellStyle name="entry box 3 36 3" xfId="17100"/>
    <cellStyle name="entry box 3 36 4" xfId="17101"/>
    <cellStyle name="entry box 3 36 5" xfId="17102"/>
    <cellStyle name="entry box 3 36 6" xfId="17103"/>
    <cellStyle name="entry box 3 36 7" xfId="17104"/>
    <cellStyle name="entry box 3 37" xfId="3843"/>
    <cellStyle name="entry box 3 37 2" xfId="17105"/>
    <cellStyle name="entry box 3 37 3" xfId="17106"/>
    <cellStyle name="entry box 3 37 4" xfId="17107"/>
    <cellStyle name="entry box 3 37 5" xfId="17108"/>
    <cellStyle name="entry box 3 37 6" xfId="17109"/>
    <cellStyle name="entry box 3 37 7" xfId="17110"/>
    <cellStyle name="entry box 3 38" xfId="3844"/>
    <cellStyle name="entry box 3 38 2" xfId="17111"/>
    <cellStyle name="entry box 3 38 3" xfId="17112"/>
    <cellStyle name="entry box 3 38 4" xfId="17113"/>
    <cellStyle name="entry box 3 38 5" xfId="17114"/>
    <cellStyle name="entry box 3 38 6" xfId="17115"/>
    <cellStyle name="entry box 3 38 7" xfId="17116"/>
    <cellStyle name="entry box 3 39" xfId="3845"/>
    <cellStyle name="entry box 3 39 2" xfId="17117"/>
    <cellStyle name="entry box 3 39 3" xfId="17118"/>
    <cellStyle name="entry box 3 39 4" xfId="17119"/>
    <cellStyle name="entry box 3 39 5" xfId="17120"/>
    <cellStyle name="entry box 3 39 6" xfId="17121"/>
    <cellStyle name="entry box 3 39 7" xfId="17122"/>
    <cellStyle name="entry box 3 4" xfId="3846"/>
    <cellStyle name="entry box 3 4 10" xfId="17123"/>
    <cellStyle name="entry box 3 4 2" xfId="17124"/>
    <cellStyle name="entry box 3 4 3" xfId="17125"/>
    <cellStyle name="entry box 3 4 4" xfId="17126"/>
    <cellStyle name="entry box 3 4 5" xfId="17127"/>
    <cellStyle name="entry box 3 4 6" xfId="17128"/>
    <cellStyle name="entry box 3 4 7" xfId="17129"/>
    <cellStyle name="entry box 3 4 8" xfId="17130"/>
    <cellStyle name="entry box 3 4 9" xfId="17131"/>
    <cellStyle name="entry box 3 40" xfId="3847"/>
    <cellStyle name="entry box 3 40 2" xfId="17132"/>
    <cellStyle name="entry box 3 40 3" xfId="17133"/>
    <cellStyle name="entry box 3 40 4" xfId="17134"/>
    <cellStyle name="entry box 3 40 5" xfId="17135"/>
    <cellStyle name="entry box 3 40 6" xfId="17136"/>
    <cellStyle name="entry box 3 40 7" xfId="17137"/>
    <cellStyle name="entry box 3 41" xfId="3848"/>
    <cellStyle name="entry box 3 41 2" xfId="17138"/>
    <cellStyle name="entry box 3 41 3" xfId="17139"/>
    <cellStyle name="entry box 3 41 4" xfId="17140"/>
    <cellStyle name="entry box 3 41 5" xfId="17141"/>
    <cellStyle name="entry box 3 41 6" xfId="17142"/>
    <cellStyle name="entry box 3 41 7" xfId="17143"/>
    <cellStyle name="entry box 3 42" xfId="3849"/>
    <cellStyle name="entry box 3 42 2" xfId="17144"/>
    <cellStyle name="entry box 3 42 3" xfId="17145"/>
    <cellStyle name="entry box 3 42 4" xfId="17146"/>
    <cellStyle name="entry box 3 42 5" xfId="17147"/>
    <cellStyle name="entry box 3 42 6" xfId="17148"/>
    <cellStyle name="entry box 3 42 7" xfId="17149"/>
    <cellStyle name="entry box 3 43" xfId="3850"/>
    <cellStyle name="entry box 3 43 2" xfId="17150"/>
    <cellStyle name="entry box 3 43 3" xfId="17151"/>
    <cellStyle name="entry box 3 43 4" xfId="17152"/>
    <cellStyle name="entry box 3 43 5" xfId="17153"/>
    <cellStyle name="entry box 3 43 6" xfId="17154"/>
    <cellStyle name="entry box 3 43 7" xfId="17155"/>
    <cellStyle name="entry box 3 44" xfId="3851"/>
    <cellStyle name="entry box 3 44 2" xfId="17156"/>
    <cellStyle name="entry box 3 44 3" xfId="17157"/>
    <cellStyle name="entry box 3 44 4" xfId="17158"/>
    <cellStyle name="entry box 3 44 5" xfId="17159"/>
    <cellStyle name="entry box 3 44 6" xfId="17160"/>
    <cellStyle name="entry box 3 44 7" xfId="17161"/>
    <cellStyle name="entry box 3 45" xfId="3852"/>
    <cellStyle name="entry box 3 45 2" xfId="17162"/>
    <cellStyle name="entry box 3 45 3" xfId="17163"/>
    <cellStyle name="entry box 3 45 4" xfId="17164"/>
    <cellStyle name="entry box 3 45 5" xfId="17165"/>
    <cellStyle name="entry box 3 45 6" xfId="17166"/>
    <cellStyle name="entry box 3 45 7" xfId="17167"/>
    <cellStyle name="entry box 3 46" xfId="3853"/>
    <cellStyle name="entry box 3 46 2" xfId="17168"/>
    <cellStyle name="entry box 3 46 3" xfId="17169"/>
    <cellStyle name="entry box 3 46 4" xfId="17170"/>
    <cellStyle name="entry box 3 46 5" xfId="17171"/>
    <cellStyle name="entry box 3 46 6" xfId="17172"/>
    <cellStyle name="entry box 3 46 7" xfId="17173"/>
    <cellStyle name="entry box 3 47" xfId="3854"/>
    <cellStyle name="entry box 3 47 2" xfId="17174"/>
    <cellStyle name="entry box 3 47 3" xfId="17175"/>
    <cellStyle name="entry box 3 47 4" xfId="17176"/>
    <cellStyle name="entry box 3 47 5" xfId="17177"/>
    <cellStyle name="entry box 3 47 6" xfId="17178"/>
    <cellStyle name="entry box 3 47 7" xfId="17179"/>
    <cellStyle name="entry box 3 48" xfId="3855"/>
    <cellStyle name="entry box 3 48 2" xfId="17180"/>
    <cellStyle name="entry box 3 48 3" xfId="17181"/>
    <cellStyle name="entry box 3 48 4" xfId="17182"/>
    <cellStyle name="entry box 3 48 5" xfId="17183"/>
    <cellStyle name="entry box 3 48 6" xfId="17184"/>
    <cellStyle name="entry box 3 48 7" xfId="17185"/>
    <cellStyle name="entry box 3 49" xfId="3856"/>
    <cellStyle name="entry box 3 49 2" xfId="17186"/>
    <cellStyle name="entry box 3 49 3" xfId="17187"/>
    <cellStyle name="entry box 3 49 4" xfId="17188"/>
    <cellStyle name="entry box 3 49 5" xfId="17189"/>
    <cellStyle name="entry box 3 49 6" xfId="17190"/>
    <cellStyle name="entry box 3 49 7" xfId="17191"/>
    <cellStyle name="entry box 3 5" xfId="3857"/>
    <cellStyle name="entry box 3 5 2" xfId="17192"/>
    <cellStyle name="entry box 3 5 3" xfId="17193"/>
    <cellStyle name="entry box 3 5 4" xfId="17194"/>
    <cellStyle name="entry box 3 5 5" xfId="17195"/>
    <cellStyle name="entry box 3 5 6" xfId="17196"/>
    <cellStyle name="entry box 3 5 7" xfId="17197"/>
    <cellStyle name="entry box 3 50" xfId="3858"/>
    <cellStyle name="entry box 3 50 2" xfId="17198"/>
    <cellStyle name="entry box 3 50 3" xfId="17199"/>
    <cellStyle name="entry box 3 50 4" xfId="17200"/>
    <cellStyle name="entry box 3 50 5" xfId="17201"/>
    <cellStyle name="entry box 3 50 6" xfId="17202"/>
    <cellStyle name="entry box 3 50 7" xfId="17203"/>
    <cellStyle name="entry box 3 51" xfId="3859"/>
    <cellStyle name="entry box 3 51 2" xfId="17204"/>
    <cellStyle name="entry box 3 51 3" xfId="17205"/>
    <cellStyle name="entry box 3 51 4" xfId="17206"/>
    <cellStyle name="entry box 3 51 5" xfId="17207"/>
    <cellStyle name="entry box 3 51 6" xfId="17208"/>
    <cellStyle name="entry box 3 51 7" xfId="17209"/>
    <cellStyle name="entry box 3 52" xfId="3860"/>
    <cellStyle name="entry box 3 52 2" xfId="17210"/>
    <cellStyle name="entry box 3 52 3" xfId="17211"/>
    <cellStyle name="entry box 3 52 4" xfId="17212"/>
    <cellStyle name="entry box 3 52 5" xfId="17213"/>
    <cellStyle name="entry box 3 52 6" xfId="17214"/>
    <cellStyle name="entry box 3 52 7" xfId="17215"/>
    <cellStyle name="entry box 3 53" xfId="3861"/>
    <cellStyle name="entry box 3 53 2" xfId="17216"/>
    <cellStyle name="entry box 3 53 3" xfId="17217"/>
    <cellStyle name="entry box 3 53 4" xfId="17218"/>
    <cellStyle name="entry box 3 53 5" xfId="17219"/>
    <cellStyle name="entry box 3 53 6" xfId="17220"/>
    <cellStyle name="entry box 3 53 7" xfId="17221"/>
    <cellStyle name="entry box 3 54" xfId="3862"/>
    <cellStyle name="entry box 3 54 2" xfId="17222"/>
    <cellStyle name="entry box 3 54 3" xfId="17223"/>
    <cellStyle name="entry box 3 54 4" xfId="17224"/>
    <cellStyle name="entry box 3 54 5" xfId="17225"/>
    <cellStyle name="entry box 3 54 6" xfId="17226"/>
    <cellStyle name="entry box 3 54 7" xfId="17227"/>
    <cellStyle name="entry box 3 55" xfId="3863"/>
    <cellStyle name="entry box 3 55 2" xfId="17228"/>
    <cellStyle name="entry box 3 55 3" xfId="17229"/>
    <cellStyle name="entry box 3 55 4" xfId="17230"/>
    <cellStyle name="entry box 3 55 5" xfId="17231"/>
    <cellStyle name="entry box 3 55 6" xfId="17232"/>
    <cellStyle name="entry box 3 55 7" xfId="17233"/>
    <cellStyle name="entry box 3 56" xfId="3864"/>
    <cellStyle name="entry box 3 56 2" xfId="17234"/>
    <cellStyle name="entry box 3 56 3" xfId="17235"/>
    <cellStyle name="entry box 3 56 4" xfId="17236"/>
    <cellStyle name="entry box 3 56 5" xfId="17237"/>
    <cellStyle name="entry box 3 56 6" xfId="17238"/>
    <cellStyle name="entry box 3 56 7" xfId="17239"/>
    <cellStyle name="entry box 3 57" xfId="3865"/>
    <cellStyle name="entry box 3 57 2" xfId="17240"/>
    <cellStyle name="entry box 3 57 3" xfId="17241"/>
    <cellStyle name="entry box 3 57 4" xfId="17242"/>
    <cellStyle name="entry box 3 57 5" xfId="17243"/>
    <cellStyle name="entry box 3 57 6" xfId="17244"/>
    <cellStyle name="entry box 3 57 7" xfId="17245"/>
    <cellStyle name="entry box 3 58" xfId="3866"/>
    <cellStyle name="entry box 3 58 2" xfId="17246"/>
    <cellStyle name="entry box 3 58 3" xfId="17247"/>
    <cellStyle name="entry box 3 58 4" xfId="17248"/>
    <cellStyle name="entry box 3 58 5" xfId="17249"/>
    <cellStyle name="entry box 3 58 6" xfId="17250"/>
    <cellStyle name="entry box 3 58 7" xfId="17251"/>
    <cellStyle name="entry box 3 59" xfId="3867"/>
    <cellStyle name="entry box 3 59 2" xfId="17252"/>
    <cellStyle name="entry box 3 59 3" xfId="17253"/>
    <cellStyle name="entry box 3 59 4" xfId="17254"/>
    <cellStyle name="entry box 3 59 5" xfId="17255"/>
    <cellStyle name="entry box 3 59 6" xfId="17256"/>
    <cellStyle name="entry box 3 59 7" xfId="17257"/>
    <cellStyle name="entry box 3 6" xfId="3868"/>
    <cellStyle name="entry box 3 6 2" xfId="17258"/>
    <cellStyle name="entry box 3 6 3" xfId="17259"/>
    <cellStyle name="entry box 3 6 4" xfId="17260"/>
    <cellStyle name="entry box 3 6 5" xfId="17261"/>
    <cellStyle name="entry box 3 6 6" xfId="17262"/>
    <cellStyle name="entry box 3 6 7" xfId="17263"/>
    <cellStyle name="entry box 3 60" xfId="3869"/>
    <cellStyle name="entry box 3 60 2" xfId="17264"/>
    <cellStyle name="entry box 3 60 3" xfId="17265"/>
    <cellStyle name="entry box 3 60 4" xfId="17266"/>
    <cellStyle name="entry box 3 60 5" xfId="17267"/>
    <cellStyle name="entry box 3 60 6" xfId="17268"/>
    <cellStyle name="entry box 3 60 7" xfId="17269"/>
    <cellStyle name="entry box 3 61" xfId="3870"/>
    <cellStyle name="entry box 3 61 2" xfId="17270"/>
    <cellStyle name="entry box 3 61 3" xfId="17271"/>
    <cellStyle name="entry box 3 61 4" xfId="17272"/>
    <cellStyle name="entry box 3 61 5" xfId="17273"/>
    <cellStyle name="entry box 3 61 6" xfId="17274"/>
    <cellStyle name="entry box 3 61 7" xfId="17275"/>
    <cellStyle name="entry box 3 62" xfId="3871"/>
    <cellStyle name="entry box 3 62 2" xfId="17276"/>
    <cellStyle name="entry box 3 62 3" xfId="17277"/>
    <cellStyle name="entry box 3 62 4" xfId="17278"/>
    <cellStyle name="entry box 3 62 5" xfId="17279"/>
    <cellStyle name="entry box 3 62 6" xfId="17280"/>
    <cellStyle name="entry box 3 62 7" xfId="17281"/>
    <cellStyle name="entry box 3 63" xfId="3872"/>
    <cellStyle name="entry box 3 63 2" xfId="17282"/>
    <cellStyle name="entry box 3 63 3" xfId="17283"/>
    <cellStyle name="entry box 3 63 4" xfId="17284"/>
    <cellStyle name="entry box 3 63 5" xfId="17285"/>
    <cellStyle name="entry box 3 63 6" xfId="17286"/>
    <cellStyle name="entry box 3 63 7" xfId="17287"/>
    <cellStyle name="entry box 3 64" xfId="3873"/>
    <cellStyle name="entry box 3 64 2" xfId="17288"/>
    <cellStyle name="entry box 3 64 3" xfId="17289"/>
    <cellStyle name="entry box 3 64 4" xfId="17290"/>
    <cellStyle name="entry box 3 64 5" xfId="17291"/>
    <cellStyle name="entry box 3 64 6" xfId="17292"/>
    <cellStyle name="entry box 3 64 7" xfId="17293"/>
    <cellStyle name="entry box 3 65" xfId="3874"/>
    <cellStyle name="entry box 3 65 2" xfId="17294"/>
    <cellStyle name="entry box 3 65 3" xfId="17295"/>
    <cellStyle name="entry box 3 65 4" xfId="17296"/>
    <cellStyle name="entry box 3 65 5" xfId="17297"/>
    <cellStyle name="entry box 3 65 6" xfId="17298"/>
    <cellStyle name="entry box 3 65 7" xfId="17299"/>
    <cellStyle name="entry box 3 66" xfId="3875"/>
    <cellStyle name="entry box 3 66 2" xfId="17300"/>
    <cellStyle name="entry box 3 66 3" xfId="17301"/>
    <cellStyle name="entry box 3 66 4" xfId="17302"/>
    <cellStyle name="entry box 3 66 5" xfId="17303"/>
    <cellStyle name="entry box 3 66 6" xfId="17304"/>
    <cellStyle name="entry box 3 66 7" xfId="17305"/>
    <cellStyle name="entry box 3 67" xfId="3876"/>
    <cellStyle name="entry box 3 67 2" xfId="17306"/>
    <cellStyle name="entry box 3 67 3" xfId="17307"/>
    <cellStyle name="entry box 3 67 4" xfId="17308"/>
    <cellStyle name="entry box 3 67 5" xfId="17309"/>
    <cellStyle name="entry box 3 67 6" xfId="17310"/>
    <cellStyle name="entry box 3 67 7" xfId="17311"/>
    <cellStyle name="entry box 3 68" xfId="3877"/>
    <cellStyle name="entry box 3 68 2" xfId="17312"/>
    <cellStyle name="entry box 3 68 3" xfId="17313"/>
    <cellStyle name="entry box 3 68 4" xfId="17314"/>
    <cellStyle name="entry box 3 68 5" xfId="17315"/>
    <cellStyle name="entry box 3 68 6" xfId="17316"/>
    <cellStyle name="entry box 3 68 7" xfId="17317"/>
    <cellStyle name="entry box 3 69" xfId="3878"/>
    <cellStyle name="entry box 3 69 2" xfId="17318"/>
    <cellStyle name="entry box 3 69 3" xfId="17319"/>
    <cellStyle name="entry box 3 69 4" xfId="17320"/>
    <cellStyle name="entry box 3 69 5" xfId="17321"/>
    <cellStyle name="entry box 3 69 6" xfId="17322"/>
    <cellStyle name="entry box 3 69 7" xfId="17323"/>
    <cellStyle name="entry box 3 7" xfId="3879"/>
    <cellStyle name="entry box 3 7 2" xfId="17324"/>
    <cellStyle name="entry box 3 7 3" xfId="17325"/>
    <cellStyle name="entry box 3 7 4" xfId="17326"/>
    <cellStyle name="entry box 3 7 5" xfId="17327"/>
    <cellStyle name="entry box 3 7 6" xfId="17328"/>
    <cellStyle name="entry box 3 7 7" xfId="17329"/>
    <cellStyle name="entry box 3 70" xfId="3880"/>
    <cellStyle name="entry box 3 70 2" xfId="17330"/>
    <cellStyle name="entry box 3 70 3" xfId="17331"/>
    <cellStyle name="entry box 3 70 4" xfId="17332"/>
    <cellStyle name="entry box 3 70 5" xfId="17333"/>
    <cellStyle name="entry box 3 70 6" xfId="17334"/>
    <cellStyle name="entry box 3 70 7" xfId="17335"/>
    <cellStyle name="entry box 3 71" xfId="3881"/>
    <cellStyle name="entry box 3 71 2" xfId="17336"/>
    <cellStyle name="entry box 3 71 3" xfId="17337"/>
    <cellStyle name="entry box 3 71 4" xfId="17338"/>
    <cellStyle name="entry box 3 71 5" xfId="17339"/>
    <cellStyle name="entry box 3 71 6" xfId="17340"/>
    <cellStyle name="entry box 3 71 7" xfId="17341"/>
    <cellStyle name="entry box 3 72" xfId="3882"/>
    <cellStyle name="entry box 3 72 2" xfId="17342"/>
    <cellStyle name="entry box 3 72 3" xfId="17343"/>
    <cellStyle name="entry box 3 72 4" xfId="17344"/>
    <cellStyle name="entry box 3 72 5" xfId="17345"/>
    <cellStyle name="entry box 3 72 6" xfId="17346"/>
    <cellStyle name="entry box 3 72 7" xfId="17347"/>
    <cellStyle name="entry box 3 73" xfId="3883"/>
    <cellStyle name="entry box 3 73 2" xfId="17348"/>
    <cellStyle name="entry box 3 73 3" xfId="17349"/>
    <cellStyle name="entry box 3 73 4" xfId="17350"/>
    <cellStyle name="entry box 3 73 5" xfId="17351"/>
    <cellStyle name="entry box 3 73 6" xfId="17352"/>
    <cellStyle name="entry box 3 73 7" xfId="17353"/>
    <cellStyle name="entry box 3 74" xfId="3884"/>
    <cellStyle name="entry box 3 74 2" xfId="17354"/>
    <cellStyle name="entry box 3 74 3" xfId="17355"/>
    <cellStyle name="entry box 3 74 4" xfId="17356"/>
    <cellStyle name="entry box 3 74 5" xfId="17357"/>
    <cellStyle name="entry box 3 74 6" xfId="17358"/>
    <cellStyle name="entry box 3 74 7" xfId="17359"/>
    <cellStyle name="entry box 3 75" xfId="3885"/>
    <cellStyle name="entry box 3 75 2" xfId="17360"/>
    <cellStyle name="entry box 3 75 3" xfId="17361"/>
    <cellStyle name="entry box 3 75 4" xfId="17362"/>
    <cellStyle name="entry box 3 75 5" xfId="17363"/>
    <cellStyle name="entry box 3 75 6" xfId="17364"/>
    <cellStyle name="entry box 3 75 7" xfId="17365"/>
    <cellStyle name="entry box 3 76" xfId="3886"/>
    <cellStyle name="entry box 3 76 2" xfId="17366"/>
    <cellStyle name="entry box 3 76 3" xfId="17367"/>
    <cellStyle name="entry box 3 76 4" xfId="17368"/>
    <cellStyle name="entry box 3 76 5" xfId="17369"/>
    <cellStyle name="entry box 3 76 6" xfId="17370"/>
    <cellStyle name="entry box 3 76 7" xfId="17371"/>
    <cellStyle name="entry box 3 77" xfId="3887"/>
    <cellStyle name="entry box 3 77 2" xfId="17372"/>
    <cellStyle name="entry box 3 77 3" xfId="17373"/>
    <cellStyle name="entry box 3 77 4" xfId="17374"/>
    <cellStyle name="entry box 3 77 5" xfId="17375"/>
    <cellStyle name="entry box 3 77 6" xfId="17376"/>
    <cellStyle name="entry box 3 77 7" xfId="17377"/>
    <cellStyle name="entry box 3 78" xfId="3888"/>
    <cellStyle name="entry box 3 78 2" xfId="17378"/>
    <cellStyle name="entry box 3 78 3" xfId="17379"/>
    <cellStyle name="entry box 3 78 4" xfId="17380"/>
    <cellStyle name="entry box 3 78 5" xfId="17381"/>
    <cellStyle name="entry box 3 78 6" xfId="17382"/>
    <cellStyle name="entry box 3 78 7" xfId="17383"/>
    <cellStyle name="entry box 3 79" xfId="3889"/>
    <cellStyle name="entry box 3 79 2" xfId="17384"/>
    <cellStyle name="entry box 3 79 3" xfId="17385"/>
    <cellStyle name="entry box 3 79 4" xfId="17386"/>
    <cellStyle name="entry box 3 79 5" xfId="17387"/>
    <cellStyle name="entry box 3 79 6" xfId="17388"/>
    <cellStyle name="entry box 3 79 7" xfId="17389"/>
    <cellStyle name="entry box 3 8" xfId="3890"/>
    <cellStyle name="entry box 3 8 2" xfId="17390"/>
    <cellStyle name="entry box 3 8 3" xfId="17391"/>
    <cellStyle name="entry box 3 8 4" xfId="17392"/>
    <cellStyle name="entry box 3 8 5" xfId="17393"/>
    <cellStyle name="entry box 3 8 6" xfId="17394"/>
    <cellStyle name="entry box 3 8 7" xfId="17395"/>
    <cellStyle name="entry box 3 80" xfId="3891"/>
    <cellStyle name="entry box 3 80 2" xfId="17396"/>
    <cellStyle name="entry box 3 80 3" xfId="17397"/>
    <cellStyle name="entry box 3 80 4" xfId="17398"/>
    <cellStyle name="entry box 3 80 5" xfId="17399"/>
    <cellStyle name="entry box 3 80 6" xfId="17400"/>
    <cellStyle name="entry box 3 80 7" xfId="17401"/>
    <cellStyle name="entry box 3 81" xfId="3892"/>
    <cellStyle name="entry box 3 81 2" xfId="17402"/>
    <cellStyle name="entry box 3 81 3" xfId="17403"/>
    <cellStyle name="entry box 3 81 4" xfId="17404"/>
    <cellStyle name="entry box 3 81 5" xfId="17405"/>
    <cellStyle name="entry box 3 81 6" xfId="17406"/>
    <cellStyle name="entry box 3 81 7" xfId="17407"/>
    <cellStyle name="entry box 3 82" xfId="3893"/>
    <cellStyle name="entry box 3 82 2" xfId="17408"/>
    <cellStyle name="entry box 3 82 3" xfId="17409"/>
    <cellStyle name="entry box 3 82 4" xfId="17410"/>
    <cellStyle name="entry box 3 82 5" xfId="17411"/>
    <cellStyle name="entry box 3 82 6" xfId="17412"/>
    <cellStyle name="entry box 3 82 7" xfId="17413"/>
    <cellStyle name="entry box 3 83" xfId="3894"/>
    <cellStyle name="entry box 3 83 2" xfId="17414"/>
    <cellStyle name="entry box 3 83 3" xfId="17415"/>
    <cellStyle name="entry box 3 83 4" xfId="17416"/>
    <cellStyle name="entry box 3 83 5" xfId="17417"/>
    <cellStyle name="entry box 3 83 6" xfId="17418"/>
    <cellStyle name="entry box 3 83 7" xfId="17419"/>
    <cellStyle name="entry box 3 84" xfId="3895"/>
    <cellStyle name="entry box 3 84 2" xfId="17420"/>
    <cellStyle name="entry box 3 84 3" xfId="17421"/>
    <cellStyle name="entry box 3 84 4" xfId="17422"/>
    <cellStyle name="entry box 3 84 5" xfId="17423"/>
    <cellStyle name="entry box 3 84 6" xfId="17424"/>
    <cellStyle name="entry box 3 84 7" xfId="17425"/>
    <cellStyle name="entry box 3 85" xfId="3896"/>
    <cellStyle name="entry box 3 85 2" xfId="17426"/>
    <cellStyle name="entry box 3 85 3" xfId="17427"/>
    <cellStyle name="entry box 3 85 4" xfId="17428"/>
    <cellStyle name="entry box 3 85 5" xfId="17429"/>
    <cellStyle name="entry box 3 85 6" xfId="17430"/>
    <cellStyle name="entry box 3 85 7" xfId="17431"/>
    <cellStyle name="entry box 3 86" xfId="3897"/>
    <cellStyle name="entry box 3 86 2" xfId="17432"/>
    <cellStyle name="entry box 3 86 3" xfId="17433"/>
    <cellStyle name="entry box 3 86 4" xfId="17434"/>
    <cellStyle name="entry box 3 86 5" xfId="17435"/>
    <cellStyle name="entry box 3 86 6" xfId="17436"/>
    <cellStyle name="entry box 3 86 7" xfId="17437"/>
    <cellStyle name="entry box 3 87" xfId="3898"/>
    <cellStyle name="entry box 3 87 2" xfId="17438"/>
    <cellStyle name="entry box 3 87 3" xfId="17439"/>
    <cellStyle name="entry box 3 87 4" xfId="17440"/>
    <cellStyle name="entry box 3 87 5" xfId="17441"/>
    <cellStyle name="entry box 3 87 6" xfId="17442"/>
    <cellStyle name="entry box 3 87 7" xfId="17443"/>
    <cellStyle name="entry box 3 88" xfId="3899"/>
    <cellStyle name="entry box 3 88 2" xfId="17444"/>
    <cellStyle name="entry box 3 88 3" xfId="17445"/>
    <cellStyle name="entry box 3 88 4" xfId="17446"/>
    <cellStyle name="entry box 3 88 5" xfId="17447"/>
    <cellStyle name="entry box 3 88 6" xfId="17448"/>
    <cellStyle name="entry box 3 88 7" xfId="17449"/>
    <cellStyle name="entry box 3 89" xfId="3900"/>
    <cellStyle name="entry box 3 89 2" xfId="17450"/>
    <cellStyle name="entry box 3 89 3" xfId="17451"/>
    <cellStyle name="entry box 3 89 4" xfId="17452"/>
    <cellStyle name="entry box 3 89 5" xfId="17453"/>
    <cellStyle name="entry box 3 89 6" xfId="17454"/>
    <cellStyle name="entry box 3 89 7" xfId="17455"/>
    <cellStyle name="entry box 3 9" xfId="3901"/>
    <cellStyle name="entry box 3 9 2" xfId="17456"/>
    <cellStyle name="entry box 3 9 3" xfId="17457"/>
    <cellStyle name="entry box 3 9 4" xfId="17458"/>
    <cellStyle name="entry box 3 9 5" xfId="17459"/>
    <cellStyle name="entry box 3 9 6" xfId="17460"/>
    <cellStyle name="entry box 3 9 7" xfId="17461"/>
    <cellStyle name="entry box 3 90" xfId="3902"/>
    <cellStyle name="entry box 3 90 2" xfId="17462"/>
    <cellStyle name="entry box 3 90 3" xfId="17463"/>
    <cellStyle name="entry box 3 90 4" xfId="17464"/>
    <cellStyle name="entry box 3 90 5" xfId="17465"/>
    <cellStyle name="entry box 3 90 6" xfId="17466"/>
    <cellStyle name="entry box 3 90 7" xfId="17467"/>
    <cellStyle name="entry box 3 91" xfId="3903"/>
    <cellStyle name="entry box 3 91 2" xfId="17468"/>
    <cellStyle name="entry box 3 91 3" xfId="17469"/>
    <cellStyle name="entry box 3 91 4" xfId="17470"/>
    <cellStyle name="entry box 3 91 5" xfId="17471"/>
    <cellStyle name="entry box 3 91 6" xfId="17472"/>
    <cellStyle name="entry box 3 91 7" xfId="17473"/>
    <cellStyle name="entry box 3 92" xfId="3904"/>
    <cellStyle name="entry box 3 92 2" xfId="17474"/>
    <cellStyle name="entry box 3 92 3" xfId="17475"/>
    <cellStyle name="entry box 3 92 4" xfId="17476"/>
    <cellStyle name="entry box 3 92 5" xfId="17477"/>
    <cellStyle name="entry box 3 92 6" xfId="17478"/>
    <cellStyle name="entry box 3 92 7" xfId="17479"/>
    <cellStyle name="entry box 3 93" xfId="3905"/>
    <cellStyle name="entry box 3 93 2" xfId="17480"/>
    <cellStyle name="entry box 3 93 3" xfId="17481"/>
    <cellStyle name="entry box 3 93 4" xfId="17482"/>
    <cellStyle name="entry box 3 93 5" xfId="17483"/>
    <cellStyle name="entry box 3 93 6" xfId="17484"/>
    <cellStyle name="entry box 3 94" xfId="17485"/>
    <cellStyle name="entry box 3 95" xfId="17486"/>
    <cellStyle name="entry box 3 96" xfId="17487"/>
    <cellStyle name="entry box 3 97" xfId="17488"/>
    <cellStyle name="entry box 3 98" xfId="17489"/>
    <cellStyle name="entry box 3 99" xfId="17490"/>
    <cellStyle name="entry box 30" xfId="3906"/>
    <cellStyle name="entry box 30 2" xfId="17491"/>
    <cellStyle name="entry box 30 3" xfId="17492"/>
    <cellStyle name="entry box 30 4" xfId="17493"/>
    <cellStyle name="entry box 30 5" xfId="17494"/>
    <cellStyle name="entry box 30 6" xfId="17495"/>
    <cellStyle name="entry box 30 7" xfId="17496"/>
    <cellStyle name="entry box 31" xfId="3907"/>
    <cellStyle name="entry box 31 2" xfId="17497"/>
    <cellStyle name="entry box 31 3" xfId="17498"/>
    <cellStyle name="entry box 31 4" xfId="17499"/>
    <cellStyle name="entry box 31 5" xfId="17500"/>
    <cellStyle name="entry box 31 6" xfId="17501"/>
    <cellStyle name="entry box 31 7" xfId="17502"/>
    <cellStyle name="entry box 32" xfId="3908"/>
    <cellStyle name="entry box 32 2" xfId="17503"/>
    <cellStyle name="entry box 32 3" xfId="17504"/>
    <cellStyle name="entry box 32 4" xfId="17505"/>
    <cellStyle name="entry box 32 5" xfId="17506"/>
    <cellStyle name="entry box 32 6" xfId="17507"/>
    <cellStyle name="entry box 32 7" xfId="17508"/>
    <cellStyle name="entry box 33" xfId="3909"/>
    <cellStyle name="entry box 33 2" xfId="17509"/>
    <cellStyle name="entry box 33 3" xfId="17510"/>
    <cellStyle name="entry box 33 4" xfId="17511"/>
    <cellStyle name="entry box 33 5" xfId="17512"/>
    <cellStyle name="entry box 33 6" xfId="17513"/>
    <cellStyle name="entry box 33 7" xfId="17514"/>
    <cellStyle name="entry box 34" xfId="3910"/>
    <cellStyle name="entry box 34 2" xfId="17515"/>
    <cellStyle name="entry box 34 3" xfId="17516"/>
    <cellStyle name="entry box 34 4" xfId="17517"/>
    <cellStyle name="entry box 34 5" xfId="17518"/>
    <cellStyle name="entry box 34 6" xfId="17519"/>
    <cellStyle name="entry box 34 7" xfId="17520"/>
    <cellStyle name="entry box 35" xfId="3911"/>
    <cellStyle name="entry box 35 2" xfId="17521"/>
    <cellStyle name="entry box 35 3" xfId="17522"/>
    <cellStyle name="entry box 35 4" xfId="17523"/>
    <cellStyle name="entry box 35 5" xfId="17524"/>
    <cellStyle name="entry box 35 6" xfId="17525"/>
    <cellStyle name="entry box 35 7" xfId="17526"/>
    <cellStyle name="entry box 36" xfId="3912"/>
    <cellStyle name="entry box 36 2" xfId="17527"/>
    <cellStyle name="entry box 36 3" xfId="17528"/>
    <cellStyle name="entry box 36 4" xfId="17529"/>
    <cellStyle name="entry box 36 5" xfId="17530"/>
    <cellStyle name="entry box 36 6" xfId="17531"/>
    <cellStyle name="entry box 36 7" xfId="17532"/>
    <cellStyle name="entry box 37" xfId="3913"/>
    <cellStyle name="entry box 37 2" xfId="17533"/>
    <cellStyle name="entry box 37 3" xfId="17534"/>
    <cellStyle name="entry box 37 4" xfId="17535"/>
    <cellStyle name="entry box 37 5" xfId="17536"/>
    <cellStyle name="entry box 37 6" xfId="17537"/>
    <cellStyle name="entry box 37 7" xfId="17538"/>
    <cellStyle name="entry box 38" xfId="3914"/>
    <cellStyle name="entry box 38 2" xfId="17539"/>
    <cellStyle name="entry box 38 3" xfId="17540"/>
    <cellStyle name="entry box 38 4" xfId="17541"/>
    <cellStyle name="entry box 38 5" xfId="17542"/>
    <cellStyle name="entry box 38 6" xfId="17543"/>
    <cellStyle name="entry box 38 7" xfId="17544"/>
    <cellStyle name="entry box 39" xfId="3915"/>
    <cellStyle name="entry box 39 2" xfId="17545"/>
    <cellStyle name="entry box 39 3" xfId="17546"/>
    <cellStyle name="entry box 39 4" xfId="17547"/>
    <cellStyle name="entry box 39 5" xfId="17548"/>
    <cellStyle name="entry box 39 6" xfId="17549"/>
    <cellStyle name="entry box 39 7" xfId="17550"/>
    <cellStyle name="entry box 4" xfId="3916"/>
    <cellStyle name="entry box 4 10" xfId="3917"/>
    <cellStyle name="entry box 4 10 2" xfId="17551"/>
    <cellStyle name="entry box 4 10 3" xfId="17552"/>
    <cellStyle name="entry box 4 10 4" xfId="17553"/>
    <cellStyle name="entry box 4 10 5" xfId="17554"/>
    <cellStyle name="entry box 4 10 6" xfId="17555"/>
    <cellStyle name="entry box 4 10 7" xfId="17556"/>
    <cellStyle name="entry box 4 100" xfId="17557"/>
    <cellStyle name="entry box 4 101" xfId="17558"/>
    <cellStyle name="entry box 4 102" xfId="17559"/>
    <cellStyle name="entry box 4 11" xfId="3918"/>
    <cellStyle name="entry box 4 11 2" xfId="17560"/>
    <cellStyle name="entry box 4 11 3" xfId="17561"/>
    <cellStyle name="entry box 4 11 4" xfId="17562"/>
    <cellStyle name="entry box 4 11 5" xfId="17563"/>
    <cellStyle name="entry box 4 11 6" xfId="17564"/>
    <cellStyle name="entry box 4 11 7" xfId="17565"/>
    <cellStyle name="entry box 4 12" xfId="3919"/>
    <cellStyle name="entry box 4 12 2" xfId="17566"/>
    <cellStyle name="entry box 4 12 3" xfId="17567"/>
    <cellStyle name="entry box 4 12 4" xfId="17568"/>
    <cellStyle name="entry box 4 12 5" xfId="17569"/>
    <cellStyle name="entry box 4 12 6" xfId="17570"/>
    <cellStyle name="entry box 4 12 7" xfId="17571"/>
    <cellStyle name="entry box 4 13" xfId="3920"/>
    <cellStyle name="entry box 4 13 2" xfId="17572"/>
    <cellStyle name="entry box 4 13 3" xfId="17573"/>
    <cellStyle name="entry box 4 13 4" xfId="17574"/>
    <cellStyle name="entry box 4 13 5" xfId="17575"/>
    <cellStyle name="entry box 4 13 6" xfId="17576"/>
    <cellStyle name="entry box 4 13 7" xfId="17577"/>
    <cellStyle name="entry box 4 14" xfId="3921"/>
    <cellStyle name="entry box 4 14 2" xfId="17578"/>
    <cellStyle name="entry box 4 14 3" xfId="17579"/>
    <cellStyle name="entry box 4 14 4" xfId="17580"/>
    <cellStyle name="entry box 4 14 5" xfId="17581"/>
    <cellStyle name="entry box 4 14 6" xfId="17582"/>
    <cellStyle name="entry box 4 14 7" xfId="17583"/>
    <cellStyle name="entry box 4 15" xfId="3922"/>
    <cellStyle name="entry box 4 15 2" xfId="17584"/>
    <cellStyle name="entry box 4 15 3" xfId="17585"/>
    <cellStyle name="entry box 4 15 4" xfId="17586"/>
    <cellStyle name="entry box 4 15 5" xfId="17587"/>
    <cellStyle name="entry box 4 15 6" xfId="17588"/>
    <cellStyle name="entry box 4 15 7" xfId="17589"/>
    <cellStyle name="entry box 4 16" xfId="3923"/>
    <cellStyle name="entry box 4 16 2" xfId="17590"/>
    <cellStyle name="entry box 4 16 3" xfId="17591"/>
    <cellStyle name="entry box 4 16 4" xfId="17592"/>
    <cellStyle name="entry box 4 16 5" xfId="17593"/>
    <cellStyle name="entry box 4 16 6" xfId="17594"/>
    <cellStyle name="entry box 4 16 7" xfId="17595"/>
    <cellStyle name="entry box 4 17" xfId="3924"/>
    <cellStyle name="entry box 4 17 2" xfId="17596"/>
    <cellStyle name="entry box 4 17 3" xfId="17597"/>
    <cellStyle name="entry box 4 17 4" xfId="17598"/>
    <cellStyle name="entry box 4 17 5" xfId="17599"/>
    <cellStyle name="entry box 4 17 6" xfId="17600"/>
    <cellStyle name="entry box 4 17 7" xfId="17601"/>
    <cellStyle name="entry box 4 18" xfId="3925"/>
    <cellStyle name="entry box 4 18 2" xfId="17602"/>
    <cellStyle name="entry box 4 18 3" xfId="17603"/>
    <cellStyle name="entry box 4 18 4" xfId="17604"/>
    <cellStyle name="entry box 4 18 5" xfId="17605"/>
    <cellStyle name="entry box 4 18 6" xfId="17606"/>
    <cellStyle name="entry box 4 18 7" xfId="17607"/>
    <cellStyle name="entry box 4 19" xfId="3926"/>
    <cellStyle name="entry box 4 19 2" xfId="17608"/>
    <cellStyle name="entry box 4 19 3" xfId="17609"/>
    <cellStyle name="entry box 4 19 4" xfId="17610"/>
    <cellStyle name="entry box 4 19 5" xfId="17611"/>
    <cellStyle name="entry box 4 19 6" xfId="17612"/>
    <cellStyle name="entry box 4 19 7" xfId="17613"/>
    <cellStyle name="entry box 4 2" xfId="3927"/>
    <cellStyle name="entry box 4 2 10" xfId="17614"/>
    <cellStyle name="entry box 4 2 11" xfId="17615"/>
    <cellStyle name="entry box 4 2 2" xfId="17616"/>
    <cellStyle name="entry box 4 2 3" xfId="17617"/>
    <cellStyle name="entry box 4 2 4" xfId="17618"/>
    <cellStyle name="entry box 4 2 5" xfId="17619"/>
    <cellStyle name="entry box 4 2 6" xfId="17620"/>
    <cellStyle name="entry box 4 2 7" xfId="17621"/>
    <cellStyle name="entry box 4 2 8" xfId="17622"/>
    <cellStyle name="entry box 4 2 9" xfId="17623"/>
    <cellStyle name="entry box 4 20" xfId="3928"/>
    <cellStyle name="entry box 4 20 2" xfId="17624"/>
    <cellStyle name="entry box 4 20 3" xfId="17625"/>
    <cellStyle name="entry box 4 20 4" xfId="17626"/>
    <cellStyle name="entry box 4 20 5" xfId="17627"/>
    <cellStyle name="entry box 4 20 6" xfId="17628"/>
    <cellStyle name="entry box 4 20 7" xfId="17629"/>
    <cellStyle name="entry box 4 21" xfId="3929"/>
    <cellStyle name="entry box 4 21 2" xfId="17630"/>
    <cellStyle name="entry box 4 21 3" xfId="17631"/>
    <cellStyle name="entry box 4 21 4" xfId="17632"/>
    <cellStyle name="entry box 4 21 5" xfId="17633"/>
    <cellStyle name="entry box 4 21 6" xfId="17634"/>
    <cellStyle name="entry box 4 21 7" xfId="17635"/>
    <cellStyle name="entry box 4 22" xfId="3930"/>
    <cellStyle name="entry box 4 22 2" xfId="17636"/>
    <cellStyle name="entry box 4 22 3" xfId="17637"/>
    <cellStyle name="entry box 4 22 4" xfId="17638"/>
    <cellStyle name="entry box 4 22 5" xfId="17639"/>
    <cellStyle name="entry box 4 22 6" xfId="17640"/>
    <cellStyle name="entry box 4 22 7" xfId="17641"/>
    <cellStyle name="entry box 4 23" xfId="3931"/>
    <cellStyle name="entry box 4 23 2" xfId="17642"/>
    <cellStyle name="entry box 4 23 3" xfId="17643"/>
    <cellStyle name="entry box 4 23 4" xfId="17644"/>
    <cellStyle name="entry box 4 23 5" xfId="17645"/>
    <cellStyle name="entry box 4 23 6" xfId="17646"/>
    <cellStyle name="entry box 4 23 7" xfId="17647"/>
    <cellStyle name="entry box 4 24" xfId="3932"/>
    <cellStyle name="entry box 4 24 2" xfId="17648"/>
    <cellStyle name="entry box 4 24 3" xfId="17649"/>
    <cellStyle name="entry box 4 24 4" xfId="17650"/>
    <cellStyle name="entry box 4 24 5" xfId="17651"/>
    <cellStyle name="entry box 4 24 6" xfId="17652"/>
    <cellStyle name="entry box 4 24 7" xfId="17653"/>
    <cellStyle name="entry box 4 25" xfId="3933"/>
    <cellStyle name="entry box 4 25 2" xfId="17654"/>
    <cellStyle name="entry box 4 25 3" xfId="17655"/>
    <cellStyle name="entry box 4 25 4" xfId="17656"/>
    <cellStyle name="entry box 4 25 5" xfId="17657"/>
    <cellStyle name="entry box 4 25 6" xfId="17658"/>
    <cellStyle name="entry box 4 25 7" xfId="17659"/>
    <cellStyle name="entry box 4 26" xfId="3934"/>
    <cellStyle name="entry box 4 26 2" xfId="17660"/>
    <cellStyle name="entry box 4 26 3" xfId="17661"/>
    <cellStyle name="entry box 4 26 4" xfId="17662"/>
    <cellStyle name="entry box 4 26 5" xfId="17663"/>
    <cellStyle name="entry box 4 26 6" xfId="17664"/>
    <cellStyle name="entry box 4 26 7" xfId="17665"/>
    <cellStyle name="entry box 4 27" xfId="3935"/>
    <cellStyle name="entry box 4 27 2" xfId="17666"/>
    <cellStyle name="entry box 4 27 3" xfId="17667"/>
    <cellStyle name="entry box 4 27 4" xfId="17668"/>
    <cellStyle name="entry box 4 27 5" xfId="17669"/>
    <cellStyle name="entry box 4 27 6" xfId="17670"/>
    <cellStyle name="entry box 4 27 7" xfId="17671"/>
    <cellStyle name="entry box 4 28" xfId="3936"/>
    <cellStyle name="entry box 4 28 2" xfId="17672"/>
    <cellStyle name="entry box 4 28 3" xfId="17673"/>
    <cellStyle name="entry box 4 28 4" xfId="17674"/>
    <cellStyle name="entry box 4 28 5" xfId="17675"/>
    <cellStyle name="entry box 4 28 6" xfId="17676"/>
    <cellStyle name="entry box 4 28 7" xfId="17677"/>
    <cellStyle name="entry box 4 29" xfId="3937"/>
    <cellStyle name="entry box 4 29 2" xfId="17678"/>
    <cellStyle name="entry box 4 29 3" xfId="17679"/>
    <cellStyle name="entry box 4 29 4" xfId="17680"/>
    <cellStyle name="entry box 4 29 5" xfId="17681"/>
    <cellStyle name="entry box 4 29 6" xfId="17682"/>
    <cellStyle name="entry box 4 29 7" xfId="17683"/>
    <cellStyle name="entry box 4 3" xfId="3938"/>
    <cellStyle name="entry box 4 3 10" xfId="17684"/>
    <cellStyle name="entry box 4 3 2" xfId="17685"/>
    <cellStyle name="entry box 4 3 3" xfId="17686"/>
    <cellStyle name="entry box 4 3 4" xfId="17687"/>
    <cellStyle name="entry box 4 3 5" xfId="17688"/>
    <cellStyle name="entry box 4 3 6" xfId="17689"/>
    <cellStyle name="entry box 4 3 7" xfId="17690"/>
    <cellStyle name="entry box 4 3 8" xfId="17691"/>
    <cellStyle name="entry box 4 3 9" xfId="17692"/>
    <cellStyle name="entry box 4 30" xfId="3939"/>
    <cellStyle name="entry box 4 30 2" xfId="17693"/>
    <cellStyle name="entry box 4 30 3" xfId="17694"/>
    <cellStyle name="entry box 4 30 4" xfId="17695"/>
    <cellStyle name="entry box 4 30 5" xfId="17696"/>
    <cellStyle name="entry box 4 30 6" xfId="17697"/>
    <cellStyle name="entry box 4 30 7" xfId="17698"/>
    <cellStyle name="entry box 4 31" xfId="3940"/>
    <cellStyle name="entry box 4 31 2" xfId="17699"/>
    <cellStyle name="entry box 4 31 3" xfId="17700"/>
    <cellStyle name="entry box 4 31 4" xfId="17701"/>
    <cellStyle name="entry box 4 31 5" xfId="17702"/>
    <cellStyle name="entry box 4 31 6" xfId="17703"/>
    <cellStyle name="entry box 4 31 7" xfId="17704"/>
    <cellStyle name="entry box 4 32" xfId="3941"/>
    <cellStyle name="entry box 4 32 2" xfId="17705"/>
    <cellStyle name="entry box 4 32 3" xfId="17706"/>
    <cellStyle name="entry box 4 32 4" xfId="17707"/>
    <cellStyle name="entry box 4 32 5" xfId="17708"/>
    <cellStyle name="entry box 4 32 6" xfId="17709"/>
    <cellStyle name="entry box 4 32 7" xfId="17710"/>
    <cellStyle name="entry box 4 33" xfId="3942"/>
    <cellStyle name="entry box 4 33 2" xfId="17711"/>
    <cellStyle name="entry box 4 33 3" xfId="17712"/>
    <cellStyle name="entry box 4 33 4" xfId="17713"/>
    <cellStyle name="entry box 4 33 5" xfId="17714"/>
    <cellStyle name="entry box 4 33 6" xfId="17715"/>
    <cellStyle name="entry box 4 33 7" xfId="17716"/>
    <cellStyle name="entry box 4 34" xfId="3943"/>
    <cellStyle name="entry box 4 34 2" xfId="17717"/>
    <cellStyle name="entry box 4 34 3" xfId="17718"/>
    <cellStyle name="entry box 4 34 4" xfId="17719"/>
    <cellStyle name="entry box 4 34 5" xfId="17720"/>
    <cellStyle name="entry box 4 34 6" xfId="17721"/>
    <cellStyle name="entry box 4 34 7" xfId="17722"/>
    <cellStyle name="entry box 4 35" xfId="3944"/>
    <cellStyle name="entry box 4 35 2" xfId="17723"/>
    <cellStyle name="entry box 4 35 3" xfId="17724"/>
    <cellStyle name="entry box 4 35 4" xfId="17725"/>
    <cellStyle name="entry box 4 35 5" xfId="17726"/>
    <cellStyle name="entry box 4 35 6" xfId="17727"/>
    <cellStyle name="entry box 4 35 7" xfId="17728"/>
    <cellStyle name="entry box 4 36" xfId="3945"/>
    <cellStyle name="entry box 4 36 2" xfId="17729"/>
    <cellStyle name="entry box 4 36 3" xfId="17730"/>
    <cellStyle name="entry box 4 36 4" xfId="17731"/>
    <cellStyle name="entry box 4 36 5" xfId="17732"/>
    <cellStyle name="entry box 4 36 6" xfId="17733"/>
    <cellStyle name="entry box 4 36 7" xfId="17734"/>
    <cellStyle name="entry box 4 37" xfId="3946"/>
    <cellStyle name="entry box 4 37 2" xfId="17735"/>
    <cellStyle name="entry box 4 37 3" xfId="17736"/>
    <cellStyle name="entry box 4 37 4" xfId="17737"/>
    <cellStyle name="entry box 4 37 5" xfId="17738"/>
    <cellStyle name="entry box 4 37 6" xfId="17739"/>
    <cellStyle name="entry box 4 37 7" xfId="17740"/>
    <cellStyle name="entry box 4 38" xfId="3947"/>
    <cellStyle name="entry box 4 38 2" xfId="17741"/>
    <cellStyle name="entry box 4 38 3" xfId="17742"/>
    <cellStyle name="entry box 4 38 4" xfId="17743"/>
    <cellStyle name="entry box 4 38 5" xfId="17744"/>
    <cellStyle name="entry box 4 38 6" xfId="17745"/>
    <cellStyle name="entry box 4 38 7" xfId="17746"/>
    <cellStyle name="entry box 4 39" xfId="3948"/>
    <cellStyle name="entry box 4 39 2" xfId="17747"/>
    <cellStyle name="entry box 4 39 3" xfId="17748"/>
    <cellStyle name="entry box 4 39 4" xfId="17749"/>
    <cellStyle name="entry box 4 39 5" xfId="17750"/>
    <cellStyle name="entry box 4 39 6" xfId="17751"/>
    <cellStyle name="entry box 4 39 7" xfId="17752"/>
    <cellStyle name="entry box 4 4" xfId="3949"/>
    <cellStyle name="entry box 4 4 10" xfId="17753"/>
    <cellStyle name="entry box 4 4 2" xfId="17754"/>
    <cellStyle name="entry box 4 4 3" xfId="17755"/>
    <cellStyle name="entry box 4 4 4" xfId="17756"/>
    <cellStyle name="entry box 4 4 5" xfId="17757"/>
    <cellStyle name="entry box 4 4 6" xfId="17758"/>
    <cellStyle name="entry box 4 4 7" xfId="17759"/>
    <cellStyle name="entry box 4 4 8" xfId="17760"/>
    <cellStyle name="entry box 4 4 9" xfId="17761"/>
    <cellStyle name="entry box 4 40" xfId="3950"/>
    <cellStyle name="entry box 4 40 2" xfId="17762"/>
    <cellStyle name="entry box 4 40 3" xfId="17763"/>
    <cellStyle name="entry box 4 40 4" xfId="17764"/>
    <cellStyle name="entry box 4 40 5" xfId="17765"/>
    <cellStyle name="entry box 4 40 6" xfId="17766"/>
    <cellStyle name="entry box 4 40 7" xfId="17767"/>
    <cellStyle name="entry box 4 41" xfId="3951"/>
    <cellStyle name="entry box 4 41 2" xfId="17768"/>
    <cellStyle name="entry box 4 41 3" xfId="17769"/>
    <cellStyle name="entry box 4 41 4" xfId="17770"/>
    <cellStyle name="entry box 4 41 5" xfId="17771"/>
    <cellStyle name="entry box 4 41 6" xfId="17772"/>
    <cellStyle name="entry box 4 41 7" xfId="17773"/>
    <cellStyle name="entry box 4 42" xfId="3952"/>
    <cellStyle name="entry box 4 42 2" xfId="17774"/>
    <cellStyle name="entry box 4 42 3" xfId="17775"/>
    <cellStyle name="entry box 4 42 4" xfId="17776"/>
    <cellStyle name="entry box 4 42 5" xfId="17777"/>
    <cellStyle name="entry box 4 42 6" xfId="17778"/>
    <cellStyle name="entry box 4 42 7" xfId="17779"/>
    <cellStyle name="entry box 4 43" xfId="3953"/>
    <cellStyle name="entry box 4 43 2" xfId="17780"/>
    <cellStyle name="entry box 4 43 3" xfId="17781"/>
    <cellStyle name="entry box 4 43 4" xfId="17782"/>
    <cellStyle name="entry box 4 43 5" xfId="17783"/>
    <cellStyle name="entry box 4 43 6" xfId="17784"/>
    <cellStyle name="entry box 4 43 7" xfId="17785"/>
    <cellStyle name="entry box 4 44" xfId="3954"/>
    <cellStyle name="entry box 4 44 2" xfId="17786"/>
    <cellStyle name="entry box 4 44 3" xfId="17787"/>
    <cellStyle name="entry box 4 44 4" xfId="17788"/>
    <cellStyle name="entry box 4 44 5" xfId="17789"/>
    <cellStyle name="entry box 4 44 6" xfId="17790"/>
    <cellStyle name="entry box 4 44 7" xfId="17791"/>
    <cellStyle name="entry box 4 45" xfId="3955"/>
    <cellStyle name="entry box 4 45 2" xfId="17792"/>
    <cellStyle name="entry box 4 45 3" xfId="17793"/>
    <cellStyle name="entry box 4 45 4" xfId="17794"/>
    <cellStyle name="entry box 4 45 5" xfId="17795"/>
    <cellStyle name="entry box 4 45 6" xfId="17796"/>
    <cellStyle name="entry box 4 45 7" xfId="17797"/>
    <cellStyle name="entry box 4 46" xfId="3956"/>
    <cellStyle name="entry box 4 46 2" xfId="17798"/>
    <cellStyle name="entry box 4 46 3" xfId="17799"/>
    <cellStyle name="entry box 4 46 4" xfId="17800"/>
    <cellStyle name="entry box 4 46 5" xfId="17801"/>
    <cellStyle name="entry box 4 46 6" xfId="17802"/>
    <cellStyle name="entry box 4 46 7" xfId="17803"/>
    <cellStyle name="entry box 4 47" xfId="3957"/>
    <cellStyle name="entry box 4 47 2" xfId="17804"/>
    <cellStyle name="entry box 4 47 3" xfId="17805"/>
    <cellStyle name="entry box 4 47 4" xfId="17806"/>
    <cellStyle name="entry box 4 47 5" xfId="17807"/>
    <cellStyle name="entry box 4 47 6" xfId="17808"/>
    <cellStyle name="entry box 4 47 7" xfId="17809"/>
    <cellStyle name="entry box 4 48" xfId="3958"/>
    <cellStyle name="entry box 4 48 2" xfId="17810"/>
    <cellStyle name="entry box 4 48 3" xfId="17811"/>
    <cellStyle name="entry box 4 48 4" xfId="17812"/>
    <cellStyle name="entry box 4 48 5" xfId="17813"/>
    <cellStyle name="entry box 4 48 6" xfId="17814"/>
    <cellStyle name="entry box 4 48 7" xfId="17815"/>
    <cellStyle name="entry box 4 49" xfId="3959"/>
    <cellStyle name="entry box 4 49 2" xfId="17816"/>
    <cellStyle name="entry box 4 49 3" xfId="17817"/>
    <cellStyle name="entry box 4 49 4" xfId="17818"/>
    <cellStyle name="entry box 4 49 5" xfId="17819"/>
    <cellStyle name="entry box 4 49 6" xfId="17820"/>
    <cellStyle name="entry box 4 49 7" xfId="17821"/>
    <cellStyle name="entry box 4 5" xfId="3960"/>
    <cellStyle name="entry box 4 5 2" xfId="17822"/>
    <cellStyle name="entry box 4 5 3" xfId="17823"/>
    <cellStyle name="entry box 4 5 4" xfId="17824"/>
    <cellStyle name="entry box 4 5 5" xfId="17825"/>
    <cellStyle name="entry box 4 5 6" xfId="17826"/>
    <cellStyle name="entry box 4 5 7" xfId="17827"/>
    <cellStyle name="entry box 4 50" xfId="3961"/>
    <cellStyle name="entry box 4 50 2" xfId="17828"/>
    <cellStyle name="entry box 4 50 3" xfId="17829"/>
    <cellStyle name="entry box 4 50 4" xfId="17830"/>
    <cellStyle name="entry box 4 50 5" xfId="17831"/>
    <cellStyle name="entry box 4 50 6" xfId="17832"/>
    <cellStyle name="entry box 4 50 7" xfId="17833"/>
    <cellStyle name="entry box 4 51" xfId="3962"/>
    <cellStyle name="entry box 4 51 2" xfId="17834"/>
    <cellStyle name="entry box 4 51 3" xfId="17835"/>
    <cellStyle name="entry box 4 51 4" xfId="17836"/>
    <cellStyle name="entry box 4 51 5" xfId="17837"/>
    <cellStyle name="entry box 4 51 6" xfId="17838"/>
    <cellStyle name="entry box 4 51 7" xfId="17839"/>
    <cellStyle name="entry box 4 52" xfId="3963"/>
    <cellStyle name="entry box 4 52 2" xfId="17840"/>
    <cellStyle name="entry box 4 52 3" xfId="17841"/>
    <cellStyle name="entry box 4 52 4" xfId="17842"/>
    <cellStyle name="entry box 4 52 5" xfId="17843"/>
    <cellStyle name="entry box 4 52 6" xfId="17844"/>
    <cellStyle name="entry box 4 52 7" xfId="17845"/>
    <cellStyle name="entry box 4 53" xfId="3964"/>
    <cellStyle name="entry box 4 53 2" xfId="17846"/>
    <cellStyle name="entry box 4 53 3" xfId="17847"/>
    <cellStyle name="entry box 4 53 4" xfId="17848"/>
    <cellStyle name="entry box 4 53 5" xfId="17849"/>
    <cellStyle name="entry box 4 53 6" xfId="17850"/>
    <cellStyle name="entry box 4 53 7" xfId="17851"/>
    <cellStyle name="entry box 4 54" xfId="3965"/>
    <cellStyle name="entry box 4 54 2" xfId="17852"/>
    <cellStyle name="entry box 4 54 3" xfId="17853"/>
    <cellStyle name="entry box 4 54 4" xfId="17854"/>
    <cellStyle name="entry box 4 54 5" xfId="17855"/>
    <cellStyle name="entry box 4 54 6" xfId="17856"/>
    <cellStyle name="entry box 4 54 7" xfId="17857"/>
    <cellStyle name="entry box 4 55" xfId="3966"/>
    <cellStyle name="entry box 4 55 2" xfId="17858"/>
    <cellStyle name="entry box 4 55 3" xfId="17859"/>
    <cellStyle name="entry box 4 55 4" xfId="17860"/>
    <cellStyle name="entry box 4 55 5" xfId="17861"/>
    <cellStyle name="entry box 4 55 6" xfId="17862"/>
    <cellStyle name="entry box 4 55 7" xfId="17863"/>
    <cellStyle name="entry box 4 56" xfId="3967"/>
    <cellStyle name="entry box 4 56 2" xfId="17864"/>
    <cellStyle name="entry box 4 56 3" xfId="17865"/>
    <cellStyle name="entry box 4 56 4" xfId="17866"/>
    <cellStyle name="entry box 4 56 5" xfId="17867"/>
    <cellStyle name="entry box 4 56 6" xfId="17868"/>
    <cellStyle name="entry box 4 56 7" xfId="17869"/>
    <cellStyle name="entry box 4 57" xfId="3968"/>
    <cellStyle name="entry box 4 57 2" xfId="17870"/>
    <cellStyle name="entry box 4 57 3" xfId="17871"/>
    <cellStyle name="entry box 4 57 4" xfId="17872"/>
    <cellStyle name="entry box 4 57 5" xfId="17873"/>
    <cellStyle name="entry box 4 57 6" xfId="17874"/>
    <cellStyle name="entry box 4 57 7" xfId="17875"/>
    <cellStyle name="entry box 4 58" xfId="3969"/>
    <cellStyle name="entry box 4 58 2" xfId="17876"/>
    <cellStyle name="entry box 4 58 3" xfId="17877"/>
    <cellStyle name="entry box 4 58 4" xfId="17878"/>
    <cellStyle name="entry box 4 58 5" xfId="17879"/>
    <cellStyle name="entry box 4 58 6" xfId="17880"/>
    <cellStyle name="entry box 4 58 7" xfId="17881"/>
    <cellStyle name="entry box 4 59" xfId="3970"/>
    <cellStyle name="entry box 4 59 2" xfId="17882"/>
    <cellStyle name="entry box 4 59 3" xfId="17883"/>
    <cellStyle name="entry box 4 59 4" xfId="17884"/>
    <cellStyle name="entry box 4 59 5" xfId="17885"/>
    <cellStyle name="entry box 4 59 6" xfId="17886"/>
    <cellStyle name="entry box 4 59 7" xfId="17887"/>
    <cellStyle name="entry box 4 6" xfId="3971"/>
    <cellStyle name="entry box 4 6 2" xfId="17888"/>
    <cellStyle name="entry box 4 6 3" xfId="17889"/>
    <cellStyle name="entry box 4 6 4" xfId="17890"/>
    <cellStyle name="entry box 4 6 5" xfId="17891"/>
    <cellStyle name="entry box 4 6 6" xfId="17892"/>
    <cellStyle name="entry box 4 6 7" xfId="17893"/>
    <cellStyle name="entry box 4 60" xfId="3972"/>
    <cellStyle name="entry box 4 60 2" xfId="17894"/>
    <cellStyle name="entry box 4 60 3" xfId="17895"/>
    <cellStyle name="entry box 4 60 4" xfId="17896"/>
    <cellStyle name="entry box 4 60 5" xfId="17897"/>
    <cellStyle name="entry box 4 60 6" xfId="17898"/>
    <cellStyle name="entry box 4 60 7" xfId="17899"/>
    <cellStyle name="entry box 4 61" xfId="3973"/>
    <cellStyle name="entry box 4 61 2" xfId="17900"/>
    <cellStyle name="entry box 4 61 3" xfId="17901"/>
    <cellStyle name="entry box 4 61 4" xfId="17902"/>
    <cellStyle name="entry box 4 61 5" xfId="17903"/>
    <cellStyle name="entry box 4 61 6" xfId="17904"/>
    <cellStyle name="entry box 4 61 7" xfId="17905"/>
    <cellStyle name="entry box 4 62" xfId="3974"/>
    <cellStyle name="entry box 4 62 2" xfId="17906"/>
    <cellStyle name="entry box 4 62 3" xfId="17907"/>
    <cellStyle name="entry box 4 62 4" xfId="17908"/>
    <cellStyle name="entry box 4 62 5" xfId="17909"/>
    <cellStyle name="entry box 4 62 6" xfId="17910"/>
    <cellStyle name="entry box 4 62 7" xfId="17911"/>
    <cellStyle name="entry box 4 63" xfId="3975"/>
    <cellStyle name="entry box 4 63 2" xfId="17912"/>
    <cellStyle name="entry box 4 63 3" xfId="17913"/>
    <cellStyle name="entry box 4 63 4" xfId="17914"/>
    <cellStyle name="entry box 4 63 5" xfId="17915"/>
    <cellStyle name="entry box 4 63 6" xfId="17916"/>
    <cellStyle name="entry box 4 63 7" xfId="17917"/>
    <cellStyle name="entry box 4 64" xfId="3976"/>
    <cellStyle name="entry box 4 64 2" xfId="17918"/>
    <cellStyle name="entry box 4 64 3" xfId="17919"/>
    <cellStyle name="entry box 4 64 4" xfId="17920"/>
    <cellStyle name="entry box 4 64 5" xfId="17921"/>
    <cellStyle name="entry box 4 64 6" xfId="17922"/>
    <cellStyle name="entry box 4 64 7" xfId="17923"/>
    <cellStyle name="entry box 4 65" xfId="3977"/>
    <cellStyle name="entry box 4 65 2" xfId="17924"/>
    <cellStyle name="entry box 4 65 3" xfId="17925"/>
    <cellStyle name="entry box 4 65 4" xfId="17926"/>
    <cellStyle name="entry box 4 65 5" xfId="17927"/>
    <cellStyle name="entry box 4 65 6" xfId="17928"/>
    <cellStyle name="entry box 4 65 7" xfId="17929"/>
    <cellStyle name="entry box 4 66" xfId="3978"/>
    <cellStyle name="entry box 4 66 2" xfId="17930"/>
    <cellStyle name="entry box 4 66 3" xfId="17931"/>
    <cellStyle name="entry box 4 66 4" xfId="17932"/>
    <cellStyle name="entry box 4 66 5" xfId="17933"/>
    <cellStyle name="entry box 4 66 6" xfId="17934"/>
    <cellStyle name="entry box 4 66 7" xfId="17935"/>
    <cellStyle name="entry box 4 67" xfId="3979"/>
    <cellStyle name="entry box 4 67 2" xfId="17936"/>
    <cellStyle name="entry box 4 67 3" xfId="17937"/>
    <cellStyle name="entry box 4 67 4" xfId="17938"/>
    <cellStyle name="entry box 4 67 5" xfId="17939"/>
    <cellStyle name="entry box 4 67 6" xfId="17940"/>
    <cellStyle name="entry box 4 67 7" xfId="17941"/>
    <cellStyle name="entry box 4 68" xfId="3980"/>
    <cellStyle name="entry box 4 68 2" xfId="17942"/>
    <cellStyle name="entry box 4 68 3" xfId="17943"/>
    <cellStyle name="entry box 4 68 4" xfId="17944"/>
    <cellStyle name="entry box 4 68 5" xfId="17945"/>
    <cellStyle name="entry box 4 68 6" xfId="17946"/>
    <cellStyle name="entry box 4 68 7" xfId="17947"/>
    <cellStyle name="entry box 4 69" xfId="3981"/>
    <cellStyle name="entry box 4 69 2" xfId="17948"/>
    <cellStyle name="entry box 4 69 3" xfId="17949"/>
    <cellStyle name="entry box 4 69 4" xfId="17950"/>
    <cellStyle name="entry box 4 69 5" xfId="17951"/>
    <cellStyle name="entry box 4 69 6" xfId="17952"/>
    <cellStyle name="entry box 4 69 7" xfId="17953"/>
    <cellStyle name="entry box 4 7" xfId="3982"/>
    <cellStyle name="entry box 4 7 2" xfId="17954"/>
    <cellStyle name="entry box 4 7 3" xfId="17955"/>
    <cellStyle name="entry box 4 7 4" xfId="17956"/>
    <cellStyle name="entry box 4 7 5" xfId="17957"/>
    <cellStyle name="entry box 4 7 6" xfId="17958"/>
    <cellStyle name="entry box 4 7 7" xfId="17959"/>
    <cellStyle name="entry box 4 70" xfId="3983"/>
    <cellStyle name="entry box 4 70 2" xfId="17960"/>
    <cellStyle name="entry box 4 70 3" xfId="17961"/>
    <cellStyle name="entry box 4 70 4" xfId="17962"/>
    <cellStyle name="entry box 4 70 5" xfId="17963"/>
    <cellStyle name="entry box 4 70 6" xfId="17964"/>
    <cellStyle name="entry box 4 70 7" xfId="17965"/>
    <cellStyle name="entry box 4 71" xfId="3984"/>
    <cellStyle name="entry box 4 71 2" xfId="17966"/>
    <cellStyle name="entry box 4 71 3" xfId="17967"/>
    <cellStyle name="entry box 4 71 4" xfId="17968"/>
    <cellStyle name="entry box 4 71 5" xfId="17969"/>
    <cellStyle name="entry box 4 71 6" xfId="17970"/>
    <cellStyle name="entry box 4 71 7" xfId="17971"/>
    <cellStyle name="entry box 4 72" xfId="3985"/>
    <cellStyle name="entry box 4 72 2" xfId="17972"/>
    <cellStyle name="entry box 4 72 3" xfId="17973"/>
    <cellStyle name="entry box 4 72 4" xfId="17974"/>
    <cellStyle name="entry box 4 72 5" xfId="17975"/>
    <cellStyle name="entry box 4 72 6" xfId="17976"/>
    <cellStyle name="entry box 4 72 7" xfId="17977"/>
    <cellStyle name="entry box 4 73" xfId="3986"/>
    <cellStyle name="entry box 4 73 2" xfId="17978"/>
    <cellStyle name="entry box 4 73 3" xfId="17979"/>
    <cellStyle name="entry box 4 73 4" xfId="17980"/>
    <cellStyle name="entry box 4 73 5" xfId="17981"/>
    <cellStyle name="entry box 4 73 6" xfId="17982"/>
    <cellStyle name="entry box 4 73 7" xfId="17983"/>
    <cellStyle name="entry box 4 74" xfId="3987"/>
    <cellStyle name="entry box 4 74 2" xfId="17984"/>
    <cellStyle name="entry box 4 74 3" xfId="17985"/>
    <cellStyle name="entry box 4 74 4" xfId="17986"/>
    <cellStyle name="entry box 4 74 5" xfId="17987"/>
    <cellStyle name="entry box 4 74 6" xfId="17988"/>
    <cellStyle name="entry box 4 74 7" xfId="17989"/>
    <cellStyle name="entry box 4 75" xfId="3988"/>
    <cellStyle name="entry box 4 75 2" xfId="17990"/>
    <cellStyle name="entry box 4 75 3" xfId="17991"/>
    <cellStyle name="entry box 4 75 4" xfId="17992"/>
    <cellStyle name="entry box 4 75 5" xfId="17993"/>
    <cellStyle name="entry box 4 75 6" xfId="17994"/>
    <cellStyle name="entry box 4 75 7" xfId="17995"/>
    <cellStyle name="entry box 4 76" xfId="3989"/>
    <cellStyle name="entry box 4 76 2" xfId="17996"/>
    <cellStyle name="entry box 4 76 3" xfId="17997"/>
    <cellStyle name="entry box 4 76 4" xfId="17998"/>
    <cellStyle name="entry box 4 76 5" xfId="17999"/>
    <cellStyle name="entry box 4 76 6" xfId="18000"/>
    <cellStyle name="entry box 4 76 7" xfId="18001"/>
    <cellStyle name="entry box 4 77" xfId="3990"/>
    <cellStyle name="entry box 4 77 2" xfId="18002"/>
    <cellStyle name="entry box 4 77 3" xfId="18003"/>
    <cellStyle name="entry box 4 77 4" xfId="18004"/>
    <cellStyle name="entry box 4 77 5" xfId="18005"/>
    <cellStyle name="entry box 4 77 6" xfId="18006"/>
    <cellStyle name="entry box 4 77 7" xfId="18007"/>
    <cellStyle name="entry box 4 78" xfId="3991"/>
    <cellStyle name="entry box 4 78 2" xfId="18008"/>
    <cellStyle name="entry box 4 78 3" xfId="18009"/>
    <cellStyle name="entry box 4 78 4" xfId="18010"/>
    <cellStyle name="entry box 4 78 5" xfId="18011"/>
    <cellStyle name="entry box 4 78 6" xfId="18012"/>
    <cellStyle name="entry box 4 78 7" xfId="18013"/>
    <cellStyle name="entry box 4 79" xfId="3992"/>
    <cellStyle name="entry box 4 79 2" xfId="18014"/>
    <cellStyle name="entry box 4 79 3" xfId="18015"/>
    <cellStyle name="entry box 4 79 4" xfId="18016"/>
    <cellStyle name="entry box 4 79 5" xfId="18017"/>
    <cellStyle name="entry box 4 79 6" xfId="18018"/>
    <cellStyle name="entry box 4 79 7" xfId="18019"/>
    <cellStyle name="entry box 4 8" xfId="3993"/>
    <cellStyle name="entry box 4 8 2" xfId="18020"/>
    <cellStyle name="entry box 4 8 3" xfId="18021"/>
    <cellStyle name="entry box 4 8 4" xfId="18022"/>
    <cellStyle name="entry box 4 8 5" xfId="18023"/>
    <cellStyle name="entry box 4 8 6" xfId="18024"/>
    <cellStyle name="entry box 4 8 7" xfId="18025"/>
    <cellStyle name="entry box 4 80" xfId="3994"/>
    <cellStyle name="entry box 4 80 2" xfId="18026"/>
    <cellStyle name="entry box 4 80 3" xfId="18027"/>
    <cellStyle name="entry box 4 80 4" xfId="18028"/>
    <cellStyle name="entry box 4 80 5" xfId="18029"/>
    <cellStyle name="entry box 4 80 6" xfId="18030"/>
    <cellStyle name="entry box 4 80 7" xfId="18031"/>
    <cellStyle name="entry box 4 81" xfId="3995"/>
    <cellStyle name="entry box 4 81 2" xfId="18032"/>
    <cellStyle name="entry box 4 81 3" xfId="18033"/>
    <cellStyle name="entry box 4 81 4" xfId="18034"/>
    <cellStyle name="entry box 4 81 5" xfId="18035"/>
    <cellStyle name="entry box 4 81 6" xfId="18036"/>
    <cellStyle name="entry box 4 81 7" xfId="18037"/>
    <cellStyle name="entry box 4 82" xfId="3996"/>
    <cellStyle name="entry box 4 82 2" xfId="18038"/>
    <cellStyle name="entry box 4 82 3" xfId="18039"/>
    <cellStyle name="entry box 4 82 4" xfId="18040"/>
    <cellStyle name="entry box 4 82 5" xfId="18041"/>
    <cellStyle name="entry box 4 82 6" xfId="18042"/>
    <cellStyle name="entry box 4 82 7" xfId="18043"/>
    <cellStyle name="entry box 4 83" xfId="3997"/>
    <cellStyle name="entry box 4 83 2" xfId="18044"/>
    <cellStyle name="entry box 4 83 3" xfId="18045"/>
    <cellStyle name="entry box 4 83 4" xfId="18046"/>
    <cellStyle name="entry box 4 83 5" xfId="18047"/>
    <cellStyle name="entry box 4 83 6" xfId="18048"/>
    <cellStyle name="entry box 4 83 7" xfId="18049"/>
    <cellStyle name="entry box 4 84" xfId="3998"/>
    <cellStyle name="entry box 4 84 2" xfId="18050"/>
    <cellStyle name="entry box 4 84 3" xfId="18051"/>
    <cellStyle name="entry box 4 84 4" xfId="18052"/>
    <cellStyle name="entry box 4 84 5" xfId="18053"/>
    <cellStyle name="entry box 4 84 6" xfId="18054"/>
    <cellStyle name="entry box 4 84 7" xfId="18055"/>
    <cellStyle name="entry box 4 85" xfId="3999"/>
    <cellStyle name="entry box 4 85 2" xfId="18056"/>
    <cellStyle name="entry box 4 85 3" xfId="18057"/>
    <cellStyle name="entry box 4 85 4" xfId="18058"/>
    <cellStyle name="entry box 4 85 5" xfId="18059"/>
    <cellStyle name="entry box 4 85 6" xfId="18060"/>
    <cellStyle name="entry box 4 85 7" xfId="18061"/>
    <cellStyle name="entry box 4 86" xfId="4000"/>
    <cellStyle name="entry box 4 86 2" xfId="18062"/>
    <cellStyle name="entry box 4 86 3" xfId="18063"/>
    <cellStyle name="entry box 4 86 4" xfId="18064"/>
    <cellStyle name="entry box 4 86 5" xfId="18065"/>
    <cellStyle name="entry box 4 86 6" xfId="18066"/>
    <cellStyle name="entry box 4 86 7" xfId="18067"/>
    <cellStyle name="entry box 4 87" xfId="4001"/>
    <cellStyle name="entry box 4 87 2" xfId="18068"/>
    <cellStyle name="entry box 4 87 3" xfId="18069"/>
    <cellStyle name="entry box 4 87 4" xfId="18070"/>
    <cellStyle name="entry box 4 87 5" xfId="18071"/>
    <cellStyle name="entry box 4 87 6" xfId="18072"/>
    <cellStyle name="entry box 4 87 7" xfId="18073"/>
    <cellStyle name="entry box 4 88" xfId="4002"/>
    <cellStyle name="entry box 4 88 2" xfId="18074"/>
    <cellStyle name="entry box 4 88 3" xfId="18075"/>
    <cellStyle name="entry box 4 88 4" xfId="18076"/>
    <cellStyle name="entry box 4 88 5" xfId="18077"/>
    <cellStyle name="entry box 4 88 6" xfId="18078"/>
    <cellStyle name="entry box 4 88 7" xfId="18079"/>
    <cellStyle name="entry box 4 89" xfId="4003"/>
    <cellStyle name="entry box 4 89 2" xfId="18080"/>
    <cellStyle name="entry box 4 89 3" xfId="18081"/>
    <cellStyle name="entry box 4 89 4" xfId="18082"/>
    <cellStyle name="entry box 4 89 5" xfId="18083"/>
    <cellStyle name="entry box 4 89 6" xfId="18084"/>
    <cellStyle name="entry box 4 89 7" xfId="18085"/>
    <cellStyle name="entry box 4 9" xfId="4004"/>
    <cellStyle name="entry box 4 9 2" xfId="18086"/>
    <cellStyle name="entry box 4 9 3" xfId="18087"/>
    <cellStyle name="entry box 4 9 4" xfId="18088"/>
    <cellStyle name="entry box 4 9 5" xfId="18089"/>
    <cellStyle name="entry box 4 9 6" xfId="18090"/>
    <cellStyle name="entry box 4 9 7" xfId="18091"/>
    <cellStyle name="entry box 4 90" xfId="4005"/>
    <cellStyle name="entry box 4 90 2" xfId="18092"/>
    <cellStyle name="entry box 4 90 3" xfId="18093"/>
    <cellStyle name="entry box 4 90 4" xfId="18094"/>
    <cellStyle name="entry box 4 90 5" xfId="18095"/>
    <cellStyle name="entry box 4 90 6" xfId="18096"/>
    <cellStyle name="entry box 4 90 7" xfId="18097"/>
    <cellStyle name="entry box 4 91" xfId="4006"/>
    <cellStyle name="entry box 4 91 2" xfId="18098"/>
    <cellStyle name="entry box 4 91 3" xfId="18099"/>
    <cellStyle name="entry box 4 91 4" xfId="18100"/>
    <cellStyle name="entry box 4 91 5" xfId="18101"/>
    <cellStyle name="entry box 4 91 6" xfId="18102"/>
    <cellStyle name="entry box 4 91 7" xfId="18103"/>
    <cellStyle name="entry box 4 92" xfId="4007"/>
    <cellStyle name="entry box 4 92 2" xfId="18104"/>
    <cellStyle name="entry box 4 92 3" xfId="18105"/>
    <cellStyle name="entry box 4 92 4" xfId="18106"/>
    <cellStyle name="entry box 4 92 5" xfId="18107"/>
    <cellStyle name="entry box 4 92 6" xfId="18108"/>
    <cellStyle name="entry box 4 92 7" xfId="18109"/>
    <cellStyle name="entry box 4 93" xfId="4008"/>
    <cellStyle name="entry box 4 93 2" xfId="18110"/>
    <cellStyle name="entry box 4 93 3" xfId="18111"/>
    <cellStyle name="entry box 4 93 4" xfId="18112"/>
    <cellStyle name="entry box 4 93 5" xfId="18113"/>
    <cellStyle name="entry box 4 93 6" xfId="18114"/>
    <cellStyle name="entry box 4 94" xfId="18115"/>
    <cellStyle name="entry box 4 95" xfId="18116"/>
    <cellStyle name="entry box 4 96" xfId="18117"/>
    <cellStyle name="entry box 4 97" xfId="18118"/>
    <cellStyle name="entry box 4 98" xfId="18119"/>
    <cellStyle name="entry box 4 99" xfId="18120"/>
    <cellStyle name="entry box 40" xfId="4009"/>
    <cellStyle name="entry box 40 2" xfId="18121"/>
    <cellStyle name="entry box 40 3" xfId="18122"/>
    <cellStyle name="entry box 40 4" xfId="18123"/>
    <cellStyle name="entry box 40 5" xfId="18124"/>
    <cellStyle name="entry box 40 6" xfId="18125"/>
    <cellStyle name="entry box 40 7" xfId="18126"/>
    <cellStyle name="entry box 41" xfId="4010"/>
    <cellStyle name="entry box 41 2" xfId="18127"/>
    <cellStyle name="entry box 41 3" xfId="18128"/>
    <cellStyle name="entry box 41 4" xfId="18129"/>
    <cellStyle name="entry box 41 5" xfId="18130"/>
    <cellStyle name="entry box 41 6" xfId="18131"/>
    <cellStyle name="entry box 41 7" xfId="18132"/>
    <cellStyle name="entry box 42" xfId="4011"/>
    <cellStyle name="entry box 42 2" xfId="18133"/>
    <cellStyle name="entry box 42 3" xfId="18134"/>
    <cellStyle name="entry box 42 4" xfId="18135"/>
    <cellStyle name="entry box 42 5" xfId="18136"/>
    <cellStyle name="entry box 42 6" xfId="18137"/>
    <cellStyle name="entry box 42 7" xfId="18138"/>
    <cellStyle name="entry box 43" xfId="4012"/>
    <cellStyle name="entry box 43 2" xfId="18139"/>
    <cellStyle name="entry box 43 3" xfId="18140"/>
    <cellStyle name="entry box 43 4" xfId="18141"/>
    <cellStyle name="entry box 43 5" xfId="18142"/>
    <cellStyle name="entry box 43 6" xfId="18143"/>
    <cellStyle name="entry box 43 7" xfId="18144"/>
    <cellStyle name="entry box 44" xfId="4013"/>
    <cellStyle name="entry box 44 2" xfId="18145"/>
    <cellStyle name="entry box 44 3" xfId="18146"/>
    <cellStyle name="entry box 44 4" xfId="18147"/>
    <cellStyle name="entry box 44 5" xfId="18148"/>
    <cellStyle name="entry box 44 6" xfId="18149"/>
    <cellStyle name="entry box 44 7" xfId="18150"/>
    <cellStyle name="entry box 45" xfId="4014"/>
    <cellStyle name="entry box 45 2" xfId="18151"/>
    <cellStyle name="entry box 45 3" xfId="18152"/>
    <cellStyle name="entry box 45 4" xfId="18153"/>
    <cellStyle name="entry box 45 5" xfId="18154"/>
    <cellStyle name="entry box 45 6" xfId="18155"/>
    <cellStyle name="entry box 45 7" xfId="18156"/>
    <cellStyle name="entry box 46" xfId="4015"/>
    <cellStyle name="entry box 46 2" xfId="18157"/>
    <cellStyle name="entry box 46 3" xfId="18158"/>
    <cellStyle name="entry box 46 4" xfId="18159"/>
    <cellStyle name="entry box 46 5" xfId="18160"/>
    <cellStyle name="entry box 46 6" xfId="18161"/>
    <cellStyle name="entry box 46 7" xfId="18162"/>
    <cellStyle name="entry box 47" xfId="4016"/>
    <cellStyle name="entry box 47 2" xfId="18163"/>
    <cellStyle name="entry box 47 3" xfId="18164"/>
    <cellStyle name="entry box 47 4" xfId="18165"/>
    <cellStyle name="entry box 47 5" xfId="18166"/>
    <cellStyle name="entry box 47 6" xfId="18167"/>
    <cellStyle name="entry box 47 7" xfId="18168"/>
    <cellStyle name="entry box 48" xfId="4017"/>
    <cellStyle name="entry box 48 2" xfId="18169"/>
    <cellStyle name="entry box 48 3" xfId="18170"/>
    <cellStyle name="entry box 48 4" xfId="18171"/>
    <cellStyle name="entry box 48 5" xfId="18172"/>
    <cellStyle name="entry box 48 6" xfId="18173"/>
    <cellStyle name="entry box 48 7" xfId="18174"/>
    <cellStyle name="entry box 49" xfId="4018"/>
    <cellStyle name="entry box 49 2" xfId="18175"/>
    <cellStyle name="entry box 49 3" xfId="18176"/>
    <cellStyle name="entry box 49 4" xfId="18177"/>
    <cellStyle name="entry box 49 5" xfId="18178"/>
    <cellStyle name="entry box 49 6" xfId="18179"/>
    <cellStyle name="entry box 49 7" xfId="18180"/>
    <cellStyle name="entry box 5" xfId="4019"/>
    <cellStyle name="entry box 5 10" xfId="4020"/>
    <cellStyle name="entry box 5 10 2" xfId="18181"/>
    <cellStyle name="entry box 5 10 3" xfId="18182"/>
    <cellStyle name="entry box 5 10 4" xfId="18183"/>
    <cellStyle name="entry box 5 10 5" xfId="18184"/>
    <cellStyle name="entry box 5 10 6" xfId="18185"/>
    <cellStyle name="entry box 5 10 7" xfId="18186"/>
    <cellStyle name="entry box 5 100" xfId="18187"/>
    <cellStyle name="entry box 5 101" xfId="18188"/>
    <cellStyle name="entry box 5 102" xfId="18189"/>
    <cellStyle name="entry box 5 11" xfId="4021"/>
    <cellStyle name="entry box 5 11 2" xfId="18190"/>
    <cellStyle name="entry box 5 11 3" xfId="18191"/>
    <cellStyle name="entry box 5 11 4" xfId="18192"/>
    <cellStyle name="entry box 5 11 5" xfId="18193"/>
    <cellStyle name="entry box 5 11 6" xfId="18194"/>
    <cellStyle name="entry box 5 11 7" xfId="18195"/>
    <cellStyle name="entry box 5 12" xfId="4022"/>
    <cellStyle name="entry box 5 12 2" xfId="18196"/>
    <cellStyle name="entry box 5 12 3" xfId="18197"/>
    <cellStyle name="entry box 5 12 4" xfId="18198"/>
    <cellStyle name="entry box 5 12 5" xfId="18199"/>
    <cellStyle name="entry box 5 12 6" xfId="18200"/>
    <cellStyle name="entry box 5 12 7" xfId="18201"/>
    <cellStyle name="entry box 5 13" xfId="4023"/>
    <cellStyle name="entry box 5 13 2" xfId="18202"/>
    <cellStyle name="entry box 5 13 3" xfId="18203"/>
    <cellStyle name="entry box 5 13 4" xfId="18204"/>
    <cellStyle name="entry box 5 13 5" xfId="18205"/>
    <cellStyle name="entry box 5 13 6" xfId="18206"/>
    <cellStyle name="entry box 5 13 7" xfId="18207"/>
    <cellStyle name="entry box 5 14" xfId="4024"/>
    <cellStyle name="entry box 5 14 2" xfId="18208"/>
    <cellStyle name="entry box 5 14 3" xfId="18209"/>
    <cellStyle name="entry box 5 14 4" xfId="18210"/>
    <cellStyle name="entry box 5 14 5" xfId="18211"/>
    <cellStyle name="entry box 5 14 6" xfId="18212"/>
    <cellStyle name="entry box 5 14 7" xfId="18213"/>
    <cellStyle name="entry box 5 15" xfId="4025"/>
    <cellStyle name="entry box 5 15 2" xfId="18214"/>
    <cellStyle name="entry box 5 15 3" xfId="18215"/>
    <cellStyle name="entry box 5 15 4" xfId="18216"/>
    <cellStyle name="entry box 5 15 5" xfId="18217"/>
    <cellStyle name="entry box 5 15 6" xfId="18218"/>
    <cellStyle name="entry box 5 15 7" xfId="18219"/>
    <cellStyle name="entry box 5 16" xfId="4026"/>
    <cellStyle name="entry box 5 16 2" xfId="18220"/>
    <cellStyle name="entry box 5 16 3" xfId="18221"/>
    <cellStyle name="entry box 5 16 4" xfId="18222"/>
    <cellStyle name="entry box 5 16 5" xfId="18223"/>
    <cellStyle name="entry box 5 16 6" xfId="18224"/>
    <cellStyle name="entry box 5 16 7" xfId="18225"/>
    <cellStyle name="entry box 5 17" xfId="4027"/>
    <cellStyle name="entry box 5 17 2" xfId="18226"/>
    <cellStyle name="entry box 5 17 3" xfId="18227"/>
    <cellStyle name="entry box 5 17 4" xfId="18228"/>
    <cellStyle name="entry box 5 17 5" xfId="18229"/>
    <cellStyle name="entry box 5 17 6" xfId="18230"/>
    <cellStyle name="entry box 5 17 7" xfId="18231"/>
    <cellStyle name="entry box 5 18" xfId="4028"/>
    <cellStyle name="entry box 5 18 2" xfId="18232"/>
    <cellStyle name="entry box 5 18 3" xfId="18233"/>
    <cellStyle name="entry box 5 18 4" xfId="18234"/>
    <cellStyle name="entry box 5 18 5" xfId="18235"/>
    <cellStyle name="entry box 5 18 6" xfId="18236"/>
    <cellStyle name="entry box 5 18 7" xfId="18237"/>
    <cellStyle name="entry box 5 19" xfId="4029"/>
    <cellStyle name="entry box 5 19 2" xfId="18238"/>
    <cellStyle name="entry box 5 19 3" xfId="18239"/>
    <cellStyle name="entry box 5 19 4" xfId="18240"/>
    <cellStyle name="entry box 5 19 5" xfId="18241"/>
    <cellStyle name="entry box 5 19 6" xfId="18242"/>
    <cellStyle name="entry box 5 19 7" xfId="18243"/>
    <cellStyle name="entry box 5 2" xfId="4030"/>
    <cellStyle name="entry box 5 2 10" xfId="18244"/>
    <cellStyle name="entry box 5 2 11" xfId="18245"/>
    <cellStyle name="entry box 5 2 2" xfId="18246"/>
    <cellStyle name="entry box 5 2 3" xfId="18247"/>
    <cellStyle name="entry box 5 2 4" xfId="18248"/>
    <cellStyle name="entry box 5 2 5" xfId="18249"/>
    <cellStyle name="entry box 5 2 6" xfId="18250"/>
    <cellStyle name="entry box 5 2 7" xfId="18251"/>
    <cellStyle name="entry box 5 2 8" xfId="18252"/>
    <cellStyle name="entry box 5 2 9" xfId="18253"/>
    <cellStyle name="entry box 5 20" xfId="4031"/>
    <cellStyle name="entry box 5 20 2" xfId="18254"/>
    <cellStyle name="entry box 5 20 3" xfId="18255"/>
    <cellStyle name="entry box 5 20 4" xfId="18256"/>
    <cellStyle name="entry box 5 20 5" xfId="18257"/>
    <cellStyle name="entry box 5 20 6" xfId="18258"/>
    <cellStyle name="entry box 5 20 7" xfId="18259"/>
    <cellStyle name="entry box 5 21" xfId="4032"/>
    <cellStyle name="entry box 5 21 2" xfId="18260"/>
    <cellStyle name="entry box 5 21 3" xfId="18261"/>
    <cellStyle name="entry box 5 21 4" xfId="18262"/>
    <cellStyle name="entry box 5 21 5" xfId="18263"/>
    <cellStyle name="entry box 5 21 6" xfId="18264"/>
    <cellStyle name="entry box 5 21 7" xfId="18265"/>
    <cellStyle name="entry box 5 22" xfId="4033"/>
    <cellStyle name="entry box 5 22 2" xfId="18266"/>
    <cellStyle name="entry box 5 22 3" xfId="18267"/>
    <cellStyle name="entry box 5 22 4" xfId="18268"/>
    <cellStyle name="entry box 5 22 5" xfId="18269"/>
    <cellStyle name="entry box 5 22 6" xfId="18270"/>
    <cellStyle name="entry box 5 22 7" xfId="18271"/>
    <cellStyle name="entry box 5 23" xfId="4034"/>
    <cellStyle name="entry box 5 23 2" xfId="18272"/>
    <cellStyle name="entry box 5 23 3" xfId="18273"/>
    <cellStyle name="entry box 5 23 4" xfId="18274"/>
    <cellStyle name="entry box 5 23 5" xfId="18275"/>
    <cellStyle name="entry box 5 23 6" xfId="18276"/>
    <cellStyle name="entry box 5 23 7" xfId="18277"/>
    <cellStyle name="entry box 5 24" xfId="4035"/>
    <cellStyle name="entry box 5 24 2" xfId="18278"/>
    <cellStyle name="entry box 5 24 3" xfId="18279"/>
    <cellStyle name="entry box 5 24 4" xfId="18280"/>
    <cellStyle name="entry box 5 24 5" xfId="18281"/>
    <cellStyle name="entry box 5 24 6" xfId="18282"/>
    <cellStyle name="entry box 5 24 7" xfId="18283"/>
    <cellStyle name="entry box 5 25" xfId="4036"/>
    <cellStyle name="entry box 5 25 2" xfId="18284"/>
    <cellStyle name="entry box 5 25 3" xfId="18285"/>
    <cellStyle name="entry box 5 25 4" xfId="18286"/>
    <cellStyle name="entry box 5 25 5" xfId="18287"/>
    <cellStyle name="entry box 5 25 6" xfId="18288"/>
    <cellStyle name="entry box 5 25 7" xfId="18289"/>
    <cellStyle name="entry box 5 26" xfId="4037"/>
    <cellStyle name="entry box 5 26 2" xfId="18290"/>
    <cellStyle name="entry box 5 26 3" xfId="18291"/>
    <cellStyle name="entry box 5 26 4" xfId="18292"/>
    <cellStyle name="entry box 5 26 5" xfId="18293"/>
    <cellStyle name="entry box 5 26 6" xfId="18294"/>
    <cellStyle name="entry box 5 26 7" xfId="18295"/>
    <cellStyle name="entry box 5 27" xfId="4038"/>
    <cellStyle name="entry box 5 27 2" xfId="18296"/>
    <cellStyle name="entry box 5 27 3" xfId="18297"/>
    <cellStyle name="entry box 5 27 4" xfId="18298"/>
    <cellStyle name="entry box 5 27 5" xfId="18299"/>
    <cellStyle name="entry box 5 27 6" xfId="18300"/>
    <cellStyle name="entry box 5 27 7" xfId="18301"/>
    <cellStyle name="entry box 5 28" xfId="4039"/>
    <cellStyle name="entry box 5 28 2" xfId="18302"/>
    <cellStyle name="entry box 5 28 3" xfId="18303"/>
    <cellStyle name="entry box 5 28 4" xfId="18304"/>
    <cellStyle name="entry box 5 28 5" xfId="18305"/>
    <cellStyle name="entry box 5 28 6" xfId="18306"/>
    <cellStyle name="entry box 5 28 7" xfId="18307"/>
    <cellStyle name="entry box 5 29" xfId="4040"/>
    <cellStyle name="entry box 5 29 2" xfId="18308"/>
    <cellStyle name="entry box 5 29 3" xfId="18309"/>
    <cellStyle name="entry box 5 29 4" xfId="18310"/>
    <cellStyle name="entry box 5 29 5" xfId="18311"/>
    <cellStyle name="entry box 5 29 6" xfId="18312"/>
    <cellStyle name="entry box 5 29 7" xfId="18313"/>
    <cellStyle name="entry box 5 3" xfId="4041"/>
    <cellStyle name="entry box 5 3 10" xfId="18314"/>
    <cellStyle name="entry box 5 3 2" xfId="18315"/>
    <cellStyle name="entry box 5 3 3" xfId="18316"/>
    <cellStyle name="entry box 5 3 4" xfId="18317"/>
    <cellStyle name="entry box 5 3 5" xfId="18318"/>
    <cellStyle name="entry box 5 3 6" xfId="18319"/>
    <cellStyle name="entry box 5 3 7" xfId="18320"/>
    <cellStyle name="entry box 5 3 8" xfId="18321"/>
    <cellStyle name="entry box 5 3 9" xfId="18322"/>
    <cellStyle name="entry box 5 30" xfId="4042"/>
    <cellStyle name="entry box 5 30 2" xfId="18323"/>
    <cellStyle name="entry box 5 30 3" xfId="18324"/>
    <cellStyle name="entry box 5 30 4" xfId="18325"/>
    <cellStyle name="entry box 5 30 5" xfId="18326"/>
    <cellStyle name="entry box 5 30 6" xfId="18327"/>
    <cellStyle name="entry box 5 30 7" xfId="18328"/>
    <cellStyle name="entry box 5 31" xfId="4043"/>
    <cellStyle name="entry box 5 31 2" xfId="18329"/>
    <cellStyle name="entry box 5 31 3" xfId="18330"/>
    <cellStyle name="entry box 5 31 4" xfId="18331"/>
    <cellStyle name="entry box 5 31 5" xfId="18332"/>
    <cellStyle name="entry box 5 31 6" xfId="18333"/>
    <cellStyle name="entry box 5 31 7" xfId="18334"/>
    <cellStyle name="entry box 5 32" xfId="4044"/>
    <cellStyle name="entry box 5 32 2" xfId="18335"/>
    <cellStyle name="entry box 5 32 3" xfId="18336"/>
    <cellStyle name="entry box 5 32 4" xfId="18337"/>
    <cellStyle name="entry box 5 32 5" xfId="18338"/>
    <cellStyle name="entry box 5 32 6" xfId="18339"/>
    <cellStyle name="entry box 5 32 7" xfId="18340"/>
    <cellStyle name="entry box 5 33" xfId="4045"/>
    <cellStyle name="entry box 5 33 2" xfId="18341"/>
    <cellStyle name="entry box 5 33 3" xfId="18342"/>
    <cellStyle name="entry box 5 33 4" xfId="18343"/>
    <cellStyle name="entry box 5 33 5" xfId="18344"/>
    <cellStyle name="entry box 5 33 6" xfId="18345"/>
    <cellStyle name="entry box 5 33 7" xfId="18346"/>
    <cellStyle name="entry box 5 34" xfId="4046"/>
    <cellStyle name="entry box 5 34 2" xfId="18347"/>
    <cellStyle name="entry box 5 34 3" xfId="18348"/>
    <cellStyle name="entry box 5 34 4" xfId="18349"/>
    <cellStyle name="entry box 5 34 5" xfId="18350"/>
    <cellStyle name="entry box 5 34 6" xfId="18351"/>
    <cellStyle name="entry box 5 34 7" xfId="18352"/>
    <cellStyle name="entry box 5 35" xfId="4047"/>
    <cellStyle name="entry box 5 35 2" xfId="18353"/>
    <cellStyle name="entry box 5 35 3" xfId="18354"/>
    <cellStyle name="entry box 5 35 4" xfId="18355"/>
    <cellStyle name="entry box 5 35 5" xfId="18356"/>
    <cellStyle name="entry box 5 35 6" xfId="18357"/>
    <cellStyle name="entry box 5 35 7" xfId="18358"/>
    <cellStyle name="entry box 5 36" xfId="4048"/>
    <cellStyle name="entry box 5 36 2" xfId="18359"/>
    <cellStyle name="entry box 5 36 3" xfId="18360"/>
    <cellStyle name="entry box 5 36 4" xfId="18361"/>
    <cellStyle name="entry box 5 36 5" xfId="18362"/>
    <cellStyle name="entry box 5 36 6" xfId="18363"/>
    <cellStyle name="entry box 5 36 7" xfId="18364"/>
    <cellStyle name="entry box 5 37" xfId="4049"/>
    <cellStyle name="entry box 5 37 2" xfId="18365"/>
    <cellStyle name="entry box 5 37 3" xfId="18366"/>
    <cellStyle name="entry box 5 37 4" xfId="18367"/>
    <cellStyle name="entry box 5 37 5" xfId="18368"/>
    <cellStyle name="entry box 5 37 6" xfId="18369"/>
    <cellStyle name="entry box 5 37 7" xfId="18370"/>
    <cellStyle name="entry box 5 38" xfId="4050"/>
    <cellStyle name="entry box 5 38 2" xfId="18371"/>
    <cellStyle name="entry box 5 38 3" xfId="18372"/>
    <cellStyle name="entry box 5 38 4" xfId="18373"/>
    <cellStyle name="entry box 5 38 5" xfId="18374"/>
    <cellStyle name="entry box 5 38 6" xfId="18375"/>
    <cellStyle name="entry box 5 38 7" xfId="18376"/>
    <cellStyle name="entry box 5 39" xfId="4051"/>
    <cellStyle name="entry box 5 39 2" xfId="18377"/>
    <cellStyle name="entry box 5 39 3" xfId="18378"/>
    <cellStyle name="entry box 5 39 4" xfId="18379"/>
    <cellStyle name="entry box 5 39 5" xfId="18380"/>
    <cellStyle name="entry box 5 39 6" xfId="18381"/>
    <cellStyle name="entry box 5 39 7" xfId="18382"/>
    <cellStyle name="entry box 5 4" xfId="4052"/>
    <cellStyle name="entry box 5 4 10" xfId="18383"/>
    <cellStyle name="entry box 5 4 2" xfId="18384"/>
    <cellStyle name="entry box 5 4 3" xfId="18385"/>
    <cellStyle name="entry box 5 4 4" xfId="18386"/>
    <cellStyle name="entry box 5 4 5" xfId="18387"/>
    <cellStyle name="entry box 5 4 6" xfId="18388"/>
    <cellStyle name="entry box 5 4 7" xfId="18389"/>
    <cellStyle name="entry box 5 4 8" xfId="18390"/>
    <cellStyle name="entry box 5 4 9" xfId="18391"/>
    <cellStyle name="entry box 5 40" xfId="4053"/>
    <cellStyle name="entry box 5 40 2" xfId="18392"/>
    <cellStyle name="entry box 5 40 3" xfId="18393"/>
    <cellStyle name="entry box 5 40 4" xfId="18394"/>
    <cellStyle name="entry box 5 40 5" xfId="18395"/>
    <cellStyle name="entry box 5 40 6" xfId="18396"/>
    <cellStyle name="entry box 5 40 7" xfId="18397"/>
    <cellStyle name="entry box 5 41" xfId="4054"/>
    <cellStyle name="entry box 5 41 2" xfId="18398"/>
    <cellStyle name="entry box 5 41 3" xfId="18399"/>
    <cellStyle name="entry box 5 41 4" xfId="18400"/>
    <cellStyle name="entry box 5 41 5" xfId="18401"/>
    <cellStyle name="entry box 5 41 6" xfId="18402"/>
    <cellStyle name="entry box 5 41 7" xfId="18403"/>
    <cellStyle name="entry box 5 42" xfId="4055"/>
    <cellStyle name="entry box 5 42 2" xfId="18404"/>
    <cellStyle name="entry box 5 42 3" xfId="18405"/>
    <cellStyle name="entry box 5 42 4" xfId="18406"/>
    <cellStyle name="entry box 5 42 5" xfId="18407"/>
    <cellStyle name="entry box 5 42 6" xfId="18408"/>
    <cellStyle name="entry box 5 42 7" xfId="18409"/>
    <cellStyle name="entry box 5 43" xfId="4056"/>
    <cellStyle name="entry box 5 43 2" xfId="18410"/>
    <cellStyle name="entry box 5 43 3" xfId="18411"/>
    <cellStyle name="entry box 5 43 4" xfId="18412"/>
    <cellStyle name="entry box 5 43 5" xfId="18413"/>
    <cellStyle name="entry box 5 43 6" xfId="18414"/>
    <cellStyle name="entry box 5 43 7" xfId="18415"/>
    <cellStyle name="entry box 5 44" xfId="4057"/>
    <cellStyle name="entry box 5 44 2" xfId="18416"/>
    <cellStyle name="entry box 5 44 3" xfId="18417"/>
    <cellStyle name="entry box 5 44 4" xfId="18418"/>
    <cellStyle name="entry box 5 44 5" xfId="18419"/>
    <cellStyle name="entry box 5 44 6" xfId="18420"/>
    <cellStyle name="entry box 5 44 7" xfId="18421"/>
    <cellStyle name="entry box 5 45" xfId="4058"/>
    <cellStyle name="entry box 5 45 2" xfId="18422"/>
    <cellStyle name="entry box 5 45 3" xfId="18423"/>
    <cellStyle name="entry box 5 45 4" xfId="18424"/>
    <cellStyle name="entry box 5 45 5" xfId="18425"/>
    <cellStyle name="entry box 5 45 6" xfId="18426"/>
    <cellStyle name="entry box 5 45 7" xfId="18427"/>
    <cellStyle name="entry box 5 46" xfId="4059"/>
    <cellStyle name="entry box 5 46 2" xfId="18428"/>
    <cellStyle name="entry box 5 46 3" xfId="18429"/>
    <cellStyle name="entry box 5 46 4" xfId="18430"/>
    <cellStyle name="entry box 5 46 5" xfId="18431"/>
    <cellStyle name="entry box 5 46 6" xfId="18432"/>
    <cellStyle name="entry box 5 46 7" xfId="18433"/>
    <cellStyle name="entry box 5 47" xfId="4060"/>
    <cellStyle name="entry box 5 47 2" xfId="18434"/>
    <cellStyle name="entry box 5 47 3" xfId="18435"/>
    <cellStyle name="entry box 5 47 4" xfId="18436"/>
    <cellStyle name="entry box 5 47 5" xfId="18437"/>
    <cellStyle name="entry box 5 47 6" xfId="18438"/>
    <cellStyle name="entry box 5 47 7" xfId="18439"/>
    <cellStyle name="entry box 5 48" xfId="4061"/>
    <cellStyle name="entry box 5 48 2" xfId="18440"/>
    <cellStyle name="entry box 5 48 3" xfId="18441"/>
    <cellStyle name="entry box 5 48 4" xfId="18442"/>
    <cellStyle name="entry box 5 48 5" xfId="18443"/>
    <cellStyle name="entry box 5 48 6" xfId="18444"/>
    <cellStyle name="entry box 5 48 7" xfId="18445"/>
    <cellStyle name="entry box 5 49" xfId="4062"/>
    <cellStyle name="entry box 5 49 2" xfId="18446"/>
    <cellStyle name="entry box 5 49 3" xfId="18447"/>
    <cellStyle name="entry box 5 49 4" xfId="18448"/>
    <cellStyle name="entry box 5 49 5" xfId="18449"/>
    <cellStyle name="entry box 5 49 6" xfId="18450"/>
    <cellStyle name="entry box 5 49 7" xfId="18451"/>
    <cellStyle name="entry box 5 5" xfId="4063"/>
    <cellStyle name="entry box 5 5 2" xfId="18452"/>
    <cellStyle name="entry box 5 5 3" xfId="18453"/>
    <cellStyle name="entry box 5 5 4" xfId="18454"/>
    <cellStyle name="entry box 5 5 5" xfId="18455"/>
    <cellStyle name="entry box 5 5 6" xfId="18456"/>
    <cellStyle name="entry box 5 5 7" xfId="18457"/>
    <cellStyle name="entry box 5 50" xfId="4064"/>
    <cellStyle name="entry box 5 50 2" xfId="18458"/>
    <cellStyle name="entry box 5 50 3" xfId="18459"/>
    <cellStyle name="entry box 5 50 4" xfId="18460"/>
    <cellStyle name="entry box 5 50 5" xfId="18461"/>
    <cellStyle name="entry box 5 50 6" xfId="18462"/>
    <cellStyle name="entry box 5 50 7" xfId="18463"/>
    <cellStyle name="entry box 5 51" xfId="4065"/>
    <cellStyle name="entry box 5 51 2" xfId="18464"/>
    <cellStyle name="entry box 5 51 3" xfId="18465"/>
    <cellStyle name="entry box 5 51 4" xfId="18466"/>
    <cellStyle name="entry box 5 51 5" xfId="18467"/>
    <cellStyle name="entry box 5 51 6" xfId="18468"/>
    <cellStyle name="entry box 5 51 7" xfId="18469"/>
    <cellStyle name="entry box 5 52" xfId="4066"/>
    <cellStyle name="entry box 5 52 2" xfId="18470"/>
    <cellStyle name="entry box 5 52 3" xfId="18471"/>
    <cellStyle name="entry box 5 52 4" xfId="18472"/>
    <cellStyle name="entry box 5 52 5" xfId="18473"/>
    <cellStyle name="entry box 5 52 6" xfId="18474"/>
    <cellStyle name="entry box 5 52 7" xfId="18475"/>
    <cellStyle name="entry box 5 53" xfId="4067"/>
    <cellStyle name="entry box 5 53 2" xfId="18476"/>
    <cellStyle name="entry box 5 53 3" xfId="18477"/>
    <cellStyle name="entry box 5 53 4" xfId="18478"/>
    <cellStyle name="entry box 5 53 5" xfId="18479"/>
    <cellStyle name="entry box 5 53 6" xfId="18480"/>
    <cellStyle name="entry box 5 53 7" xfId="18481"/>
    <cellStyle name="entry box 5 54" xfId="4068"/>
    <cellStyle name="entry box 5 54 2" xfId="18482"/>
    <cellStyle name="entry box 5 54 3" xfId="18483"/>
    <cellStyle name="entry box 5 54 4" xfId="18484"/>
    <cellStyle name="entry box 5 54 5" xfId="18485"/>
    <cellStyle name="entry box 5 54 6" xfId="18486"/>
    <cellStyle name="entry box 5 54 7" xfId="18487"/>
    <cellStyle name="entry box 5 55" xfId="4069"/>
    <cellStyle name="entry box 5 55 2" xfId="18488"/>
    <cellStyle name="entry box 5 55 3" xfId="18489"/>
    <cellStyle name="entry box 5 55 4" xfId="18490"/>
    <cellStyle name="entry box 5 55 5" xfId="18491"/>
    <cellStyle name="entry box 5 55 6" xfId="18492"/>
    <cellStyle name="entry box 5 55 7" xfId="18493"/>
    <cellStyle name="entry box 5 56" xfId="4070"/>
    <cellStyle name="entry box 5 56 2" xfId="18494"/>
    <cellStyle name="entry box 5 56 3" xfId="18495"/>
    <cellStyle name="entry box 5 56 4" xfId="18496"/>
    <cellStyle name="entry box 5 56 5" xfId="18497"/>
    <cellStyle name="entry box 5 56 6" xfId="18498"/>
    <cellStyle name="entry box 5 56 7" xfId="18499"/>
    <cellStyle name="entry box 5 57" xfId="4071"/>
    <cellStyle name="entry box 5 57 2" xfId="18500"/>
    <cellStyle name="entry box 5 57 3" xfId="18501"/>
    <cellStyle name="entry box 5 57 4" xfId="18502"/>
    <cellStyle name="entry box 5 57 5" xfId="18503"/>
    <cellStyle name="entry box 5 57 6" xfId="18504"/>
    <cellStyle name="entry box 5 57 7" xfId="18505"/>
    <cellStyle name="entry box 5 58" xfId="4072"/>
    <cellStyle name="entry box 5 58 2" xfId="18506"/>
    <cellStyle name="entry box 5 58 3" xfId="18507"/>
    <cellStyle name="entry box 5 58 4" xfId="18508"/>
    <cellStyle name="entry box 5 58 5" xfId="18509"/>
    <cellStyle name="entry box 5 58 6" xfId="18510"/>
    <cellStyle name="entry box 5 58 7" xfId="18511"/>
    <cellStyle name="entry box 5 59" xfId="4073"/>
    <cellStyle name="entry box 5 59 2" xfId="18512"/>
    <cellStyle name="entry box 5 59 3" xfId="18513"/>
    <cellStyle name="entry box 5 59 4" xfId="18514"/>
    <cellStyle name="entry box 5 59 5" xfId="18515"/>
    <cellStyle name="entry box 5 59 6" xfId="18516"/>
    <cellStyle name="entry box 5 59 7" xfId="18517"/>
    <cellStyle name="entry box 5 6" xfId="4074"/>
    <cellStyle name="entry box 5 6 2" xfId="18518"/>
    <cellStyle name="entry box 5 6 3" xfId="18519"/>
    <cellStyle name="entry box 5 6 4" xfId="18520"/>
    <cellStyle name="entry box 5 6 5" xfId="18521"/>
    <cellStyle name="entry box 5 6 6" xfId="18522"/>
    <cellStyle name="entry box 5 6 7" xfId="18523"/>
    <cellStyle name="entry box 5 60" xfId="4075"/>
    <cellStyle name="entry box 5 60 2" xfId="18524"/>
    <cellStyle name="entry box 5 60 3" xfId="18525"/>
    <cellStyle name="entry box 5 60 4" xfId="18526"/>
    <cellStyle name="entry box 5 60 5" xfId="18527"/>
    <cellStyle name="entry box 5 60 6" xfId="18528"/>
    <cellStyle name="entry box 5 60 7" xfId="18529"/>
    <cellStyle name="entry box 5 61" xfId="4076"/>
    <cellStyle name="entry box 5 61 2" xfId="18530"/>
    <cellStyle name="entry box 5 61 3" xfId="18531"/>
    <cellStyle name="entry box 5 61 4" xfId="18532"/>
    <cellStyle name="entry box 5 61 5" xfId="18533"/>
    <cellStyle name="entry box 5 61 6" xfId="18534"/>
    <cellStyle name="entry box 5 61 7" xfId="18535"/>
    <cellStyle name="entry box 5 62" xfId="4077"/>
    <cellStyle name="entry box 5 62 2" xfId="18536"/>
    <cellStyle name="entry box 5 62 3" xfId="18537"/>
    <cellStyle name="entry box 5 62 4" xfId="18538"/>
    <cellStyle name="entry box 5 62 5" xfId="18539"/>
    <cellStyle name="entry box 5 62 6" xfId="18540"/>
    <cellStyle name="entry box 5 62 7" xfId="18541"/>
    <cellStyle name="entry box 5 63" xfId="4078"/>
    <cellStyle name="entry box 5 63 2" xfId="18542"/>
    <cellStyle name="entry box 5 63 3" xfId="18543"/>
    <cellStyle name="entry box 5 63 4" xfId="18544"/>
    <cellStyle name="entry box 5 63 5" xfId="18545"/>
    <cellStyle name="entry box 5 63 6" xfId="18546"/>
    <cellStyle name="entry box 5 63 7" xfId="18547"/>
    <cellStyle name="entry box 5 64" xfId="4079"/>
    <cellStyle name="entry box 5 64 2" xfId="18548"/>
    <cellStyle name="entry box 5 64 3" xfId="18549"/>
    <cellStyle name="entry box 5 64 4" xfId="18550"/>
    <cellStyle name="entry box 5 64 5" xfId="18551"/>
    <cellStyle name="entry box 5 64 6" xfId="18552"/>
    <cellStyle name="entry box 5 64 7" xfId="18553"/>
    <cellStyle name="entry box 5 65" xfId="4080"/>
    <cellStyle name="entry box 5 65 2" xfId="18554"/>
    <cellStyle name="entry box 5 65 3" xfId="18555"/>
    <cellStyle name="entry box 5 65 4" xfId="18556"/>
    <cellStyle name="entry box 5 65 5" xfId="18557"/>
    <cellStyle name="entry box 5 65 6" xfId="18558"/>
    <cellStyle name="entry box 5 65 7" xfId="18559"/>
    <cellStyle name="entry box 5 66" xfId="4081"/>
    <cellStyle name="entry box 5 66 2" xfId="18560"/>
    <cellStyle name="entry box 5 66 3" xfId="18561"/>
    <cellStyle name="entry box 5 66 4" xfId="18562"/>
    <cellStyle name="entry box 5 66 5" xfId="18563"/>
    <cellStyle name="entry box 5 66 6" xfId="18564"/>
    <cellStyle name="entry box 5 66 7" xfId="18565"/>
    <cellStyle name="entry box 5 67" xfId="4082"/>
    <cellStyle name="entry box 5 67 2" xfId="18566"/>
    <cellStyle name="entry box 5 67 3" xfId="18567"/>
    <cellStyle name="entry box 5 67 4" xfId="18568"/>
    <cellStyle name="entry box 5 67 5" xfId="18569"/>
    <cellStyle name="entry box 5 67 6" xfId="18570"/>
    <cellStyle name="entry box 5 67 7" xfId="18571"/>
    <cellStyle name="entry box 5 68" xfId="4083"/>
    <cellStyle name="entry box 5 68 2" xfId="18572"/>
    <cellStyle name="entry box 5 68 3" xfId="18573"/>
    <cellStyle name="entry box 5 68 4" xfId="18574"/>
    <cellStyle name="entry box 5 68 5" xfId="18575"/>
    <cellStyle name="entry box 5 68 6" xfId="18576"/>
    <cellStyle name="entry box 5 68 7" xfId="18577"/>
    <cellStyle name="entry box 5 69" xfId="4084"/>
    <cellStyle name="entry box 5 69 2" xfId="18578"/>
    <cellStyle name="entry box 5 69 3" xfId="18579"/>
    <cellStyle name="entry box 5 69 4" xfId="18580"/>
    <cellStyle name="entry box 5 69 5" xfId="18581"/>
    <cellStyle name="entry box 5 69 6" xfId="18582"/>
    <cellStyle name="entry box 5 69 7" xfId="18583"/>
    <cellStyle name="entry box 5 7" xfId="4085"/>
    <cellStyle name="entry box 5 7 2" xfId="18584"/>
    <cellStyle name="entry box 5 7 3" xfId="18585"/>
    <cellStyle name="entry box 5 7 4" xfId="18586"/>
    <cellStyle name="entry box 5 7 5" xfId="18587"/>
    <cellStyle name="entry box 5 7 6" xfId="18588"/>
    <cellStyle name="entry box 5 7 7" xfId="18589"/>
    <cellStyle name="entry box 5 70" xfId="4086"/>
    <cellStyle name="entry box 5 70 2" xfId="18590"/>
    <cellStyle name="entry box 5 70 3" xfId="18591"/>
    <cellStyle name="entry box 5 70 4" xfId="18592"/>
    <cellStyle name="entry box 5 70 5" xfId="18593"/>
    <cellStyle name="entry box 5 70 6" xfId="18594"/>
    <cellStyle name="entry box 5 70 7" xfId="18595"/>
    <cellStyle name="entry box 5 71" xfId="4087"/>
    <cellStyle name="entry box 5 71 2" xfId="18596"/>
    <cellStyle name="entry box 5 71 3" xfId="18597"/>
    <cellStyle name="entry box 5 71 4" xfId="18598"/>
    <cellStyle name="entry box 5 71 5" xfId="18599"/>
    <cellStyle name="entry box 5 71 6" xfId="18600"/>
    <cellStyle name="entry box 5 71 7" xfId="18601"/>
    <cellStyle name="entry box 5 72" xfId="4088"/>
    <cellStyle name="entry box 5 72 2" xfId="18602"/>
    <cellStyle name="entry box 5 72 3" xfId="18603"/>
    <cellStyle name="entry box 5 72 4" xfId="18604"/>
    <cellStyle name="entry box 5 72 5" xfId="18605"/>
    <cellStyle name="entry box 5 72 6" xfId="18606"/>
    <cellStyle name="entry box 5 72 7" xfId="18607"/>
    <cellStyle name="entry box 5 73" xfId="4089"/>
    <cellStyle name="entry box 5 73 2" xfId="18608"/>
    <cellStyle name="entry box 5 73 3" xfId="18609"/>
    <cellStyle name="entry box 5 73 4" xfId="18610"/>
    <cellStyle name="entry box 5 73 5" xfId="18611"/>
    <cellStyle name="entry box 5 73 6" xfId="18612"/>
    <cellStyle name="entry box 5 73 7" xfId="18613"/>
    <cellStyle name="entry box 5 74" xfId="4090"/>
    <cellStyle name="entry box 5 74 2" xfId="18614"/>
    <cellStyle name="entry box 5 74 3" xfId="18615"/>
    <cellStyle name="entry box 5 74 4" xfId="18616"/>
    <cellStyle name="entry box 5 74 5" xfId="18617"/>
    <cellStyle name="entry box 5 74 6" xfId="18618"/>
    <cellStyle name="entry box 5 74 7" xfId="18619"/>
    <cellStyle name="entry box 5 75" xfId="4091"/>
    <cellStyle name="entry box 5 75 2" xfId="18620"/>
    <cellStyle name="entry box 5 75 3" xfId="18621"/>
    <cellStyle name="entry box 5 75 4" xfId="18622"/>
    <cellStyle name="entry box 5 75 5" xfId="18623"/>
    <cellStyle name="entry box 5 75 6" xfId="18624"/>
    <cellStyle name="entry box 5 75 7" xfId="18625"/>
    <cellStyle name="entry box 5 76" xfId="4092"/>
    <cellStyle name="entry box 5 76 2" xfId="18626"/>
    <cellStyle name="entry box 5 76 3" xfId="18627"/>
    <cellStyle name="entry box 5 76 4" xfId="18628"/>
    <cellStyle name="entry box 5 76 5" xfId="18629"/>
    <cellStyle name="entry box 5 76 6" xfId="18630"/>
    <cellStyle name="entry box 5 76 7" xfId="18631"/>
    <cellStyle name="entry box 5 77" xfId="4093"/>
    <cellStyle name="entry box 5 77 2" xfId="18632"/>
    <cellStyle name="entry box 5 77 3" xfId="18633"/>
    <cellStyle name="entry box 5 77 4" xfId="18634"/>
    <cellStyle name="entry box 5 77 5" xfId="18635"/>
    <cellStyle name="entry box 5 77 6" xfId="18636"/>
    <cellStyle name="entry box 5 77 7" xfId="18637"/>
    <cellStyle name="entry box 5 78" xfId="4094"/>
    <cellStyle name="entry box 5 78 2" xfId="18638"/>
    <cellStyle name="entry box 5 78 3" xfId="18639"/>
    <cellStyle name="entry box 5 78 4" xfId="18640"/>
    <cellStyle name="entry box 5 78 5" xfId="18641"/>
    <cellStyle name="entry box 5 78 6" xfId="18642"/>
    <cellStyle name="entry box 5 78 7" xfId="18643"/>
    <cellStyle name="entry box 5 79" xfId="4095"/>
    <cellStyle name="entry box 5 79 2" xfId="18644"/>
    <cellStyle name="entry box 5 79 3" xfId="18645"/>
    <cellStyle name="entry box 5 79 4" xfId="18646"/>
    <cellStyle name="entry box 5 79 5" xfId="18647"/>
    <cellStyle name="entry box 5 79 6" xfId="18648"/>
    <cellStyle name="entry box 5 79 7" xfId="18649"/>
    <cellStyle name="entry box 5 8" xfId="4096"/>
    <cellStyle name="entry box 5 8 2" xfId="18650"/>
    <cellStyle name="entry box 5 8 3" xfId="18651"/>
    <cellStyle name="entry box 5 8 4" xfId="18652"/>
    <cellStyle name="entry box 5 8 5" xfId="18653"/>
    <cellStyle name="entry box 5 8 6" xfId="18654"/>
    <cellStyle name="entry box 5 8 7" xfId="18655"/>
    <cellStyle name="entry box 5 80" xfId="4097"/>
    <cellStyle name="entry box 5 80 2" xfId="18656"/>
    <cellStyle name="entry box 5 80 3" xfId="18657"/>
    <cellStyle name="entry box 5 80 4" xfId="18658"/>
    <cellStyle name="entry box 5 80 5" xfId="18659"/>
    <cellStyle name="entry box 5 80 6" xfId="18660"/>
    <cellStyle name="entry box 5 80 7" xfId="18661"/>
    <cellStyle name="entry box 5 81" xfId="4098"/>
    <cellStyle name="entry box 5 81 2" xfId="18662"/>
    <cellStyle name="entry box 5 81 3" xfId="18663"/>
    <cellStyle name="entry box 5 81 4" xfId="18664"/>
    <cellStyle name="entry box 5 81 5" xfId="18665"/>
    <cellStyle name="entry box 5 81 6" xfId="18666"/>
    <cellStyle name="entry box 5 81 7" xfId="18667"/>
    <cellStyle name="entry box 5 82" xfId="4099"/>
    <cellStyle name="entry box 5 82 2" xfId="18668"/>
    <cellStyle name="entry box 5 82 3" xfId="18669"/>
    <cellStyle name="entry box 5 82 4" xfId="18670"/>
    <cellStyle name="entry box 5 82 5" xfId="18671"/>
    <cellStyle name="entry box 5 82 6" xfId="18672"/>
    <cellStyle name="entry box 5 82 7" xfId="18673"/>
    <cellStyle name="entry box 5 83" xfId="4100"/>
    <cellStyle name="entry box 5 83 2" xfId="18674"/>
    <cellStyle name="entry box 5 83 3" xfId="18675"/>
    <cellStyle name="entry box 5 83 4" xfId="18676"/>
    <cellStyle name="entry box 5 83 5" xfId="18677"/>
    <cellStyle name="entry box 5 83 6" xfId="18678"/>
    <cellStyle name="entry box 5 83 7" xfId="18679"/>
    <cellStyle name="entry box 5 84" xfId="4101"/>
    <cellStyle name="entry box 5 84 2" xfId="18680"/>
    <cellStyle name="entry box 5 84 3" xfId="18681"/>
    <cellStyle name="entry box 5 84 4" xfId="18682"/>
    <cellStyle name="entry box 5 84 5" xfId="18683"/>
    <cellStyle name="entry box 5 84 6" xfId="18684"/>
    <cellStyle name="entry box 5 84 7" xfId="18685"/>
    <cellStyle name="entry box 5 85" xfId="4102"/>
    <cellStyle name="entry box 5 85 2" xfId="18686"/>
    <cellStyle name="entry box 5 85 3" xfId="18687"/>
    <cellStyle name="entry box 5 85 4" xfId="18688"/>
    <cellStyle name="entry box 5 85 5" xfId="18689"/>
    <cellStyle name="entry box 5 85 6" xfId="18690"/>
    <cellStyle name="entry box 5 85 7" xfId="18691"/>
    <cellStyle name="entry box 5 86" xfId="4103"/>
    <cellStyle name="entry box 5 86 2" xfId="18692"/>
    <cellStyle name="entry box 5 86 3" xfId="18693"/>
    <cellStyle name="entry box 5 86 4" xfId="18694"/>
    <cellStyle name="entry box 5 86 5" xfId="18695"/>
    <cellStyle name="entry box 5 86 6" xfId="18696"/>
    <cellStyle name="entry box 5 86 7" xfId="18697"/>
    <cellStyle name="entry box 5 87" xfId="4104"/>
    <cellStyle name="entry box 5 87 2" xfId="18698"/>
    <cellStyle name="entry box 5 87 3" xfId="18699"/>
    <cellStyle name="entry box 5 87 4" xfId="18700"/>
    <cellStyle name="entry box 5 87 5" xfId="18701"/>
    <cellStyle name="entry box 5 87 6" xfId="18702"/>
    <cellStyle name="entry box 5 87 7" xfId="18703"/>
    <cellStyle name="entry box 5 88" xfId="4105"/>
    <cellStyle name="entry box 5 88 2" xfId="18704"/>
    <cellStyle name="entry box 5 88 3" xfId="18705"/>
    <cellStyle name="entry box 5 88 4" xfId="18706"/>
    <cellStyle name="entry box 5 88 5" xfId="18707"/>
    <cellStyle name="entry box 5 88 6" xfId="18708"/>
    <cellStyle name="entry box 5 88 7" xfId="18709"/>
    <cellStyle name="entry box 5 89" xfId="4106"/>
    <cellStyle name="entry box 5 89 2" xfId="18710"/>
    <cellStyle name="entry box 5 89 3" xfId="18711"/>
    <cellStyle name="entry box 5 89 4" xfId="18712"/>
    <cellStyle name="entry box 5 89 5" xfId="18713"/>
    <cellStyle name="entry box 5 89 6" xfId="18714"/>
    <cellStyle name="entry box 5 89 7" xfId="18715"/>
    <cellStyle name="entry box 5 9" xfId="4107"/>
    <cellStyle name="entry box 5 9 2" xfId="18716"/>
    <cellStyle name="entry box 5 9 3" xfId="18717"/>
    <cellStyle name="entry box 5 9 4" xfId="18718"/>
    <cellStyle name="entry box 5 9 5" xfId="18719"/>
    <cellStyle name="entry box 5 9 6" xfId="18720"/>
    <cellStyle name="entry box 5 9 7" xfId="18721"/>
    <cellStyle name="entry box 5 90" xfId="4108"/>
    <cellStyle name="entry box 5 90 2" xfId="18722"/>
    <cellStyle name="entry box 5 90 3" xfId="18723"/>
    <cellStyle name="entry box 5 90 4" xfId="18724"/>
    <cellStyle name="entry box 5 90 5" xfId="18725"/>
    <cellStyle name="entry box 5 90 6" xfId="18726"/>
    <cellStyle name="entry box 5 90 7" xfId="18727"/>
    <cellStyle name="entry box 5 91" xfId="4109"/>
    <cellStyle name="entry box 5 91 2" xfId="18728"/>
    <cellStyle name="entry box 5 91 3" xfId="18729"/>
    <cellStyle name="entry box 5 91 4" xfId="18730"/>
    <cellStyle name="entry box 5 91 5" xfId="18731"/>
    <cellStyle name="entry box 5 91 6" xfId="18732"/>
    <cellStyle name="entry box 5 91 7" xfId="18733"/>
    <cellStyle name="entry box 5 92" xfId="4110"/>
    <cellStyle name="entry box 5 92 2" xfId="18734"/>
    <cellStyle name="entry box 5 92 3" xfId="18735"/>
    <cellStyle name="entry box 5 92 4" xfId="18736"/>
    <cellStyle name="entry box 5 92 5" xfId="18737"/>
    <cellStyle name="entry box 5 92 6" xfId="18738"/>
    <cellStyle name="entry box 5 92 7" xfId="18739"/>
    <cellStyle name="entry box 5 93" xfId="4111"/>
    <cellStyle name="entry box 5 93 2" xfId="18740"/>
    <cellStyle name="entry box 5 93 3" xfId="18741"/>
    <cellStyle name="entry box 5 93 4" xfId="18742"/>
    <cellStyle name="entry box 5 93 5" xfId="18743"/>
    <cellStyle name="entry box 5 93 6" xfId="18744"/>
    <cellStyle name="entry box 5 94" xfId="18745"/>
    <cellStyle name="entry box 5 95" xfId="18746"/>
    <cellStyle name="entry box 5 96" xfId="18747"/>
    <cellStyle name="entry box 5 97" xfId="18748"/>
    <cellStyle name="entry box 5 98" xfId="18749"/>
    <cellStyle name="entry box 5 99" xfId="18750"/>
    <cellStyle name="entry box 50" xfId="4112"/>
    <cellStyle name="entry box 50 2" xfId="18751"/>
    <cellStyle name="entry box 50 3" xfId="18752"/>
    <cellStyle name="entry box 50 4" xfId="18753"/>
    <cellStyle name="entry box 50 5" xfId="18754"/>
    <cellStyle name="entry box 50 6" xfId="18755"/>
    <cellStyle name="entry box 50 7" xfId="18756"/>
    <cellStyle name="entry box 51" xfId="4113"/>
    <cellStyle name="entry box 51 2" xfId="18757"/>
    <cellStyle name="entry box 51 3" xfId="18758"/>
    <cellStyle name="entry box 51 4" xfId="18759"/>
    <cellStyle name="entry box 51 5" xfId="18760"/>
    <cellStyle name="entry box 51 6" xfId="18761"/>
    <cellStyle name="entry box 51 7" xfId="18762"/>
    <cellStyle name="entry box 52" xfId="4114"/>
    <cellStyle name="entry box 52 2" xfId="18763"/>
    <cellStyle name="entry box 52 3" xfId="18764"/>
    <cellStyle name="entry box 52 4" xfId="18765"/>
    <cellStyle name="entry box 52 5" xfId="18766"/>
    <cellStyle name="entry box 52 6" xfId="18767"/>
    <cellStyle name="entry box 52 7" xfId="18768"/>
    <cellStyle name="entry box 53" xfId="4115"/>
    <cellStyle name="entry box 53 2" xfId="18769"/>
    <cellStyle name="entry box 53 3" xfId="18770"/>
    <cellStyle name="entry box 53 4" xfId="18771"/>
    <cellStyle name="entry box 53 5" xfId="18772"/>
    <cellStyle name="entry box 53 6" xfId="18773"/>
    <cellStyle name="entry box 53 7" xfId="18774"/>
    <cellStyle name="entry box 54" xfId="4116"/>
    <cellStyle name="entry box 54 2" xfId="18775"/>
    <cellStyle name="entry box 54 3" xfId="18776"/>
    <cellStyle name="entry box 54 4" xfId="18777"/>
    <cellStyle name="entry box 54 5" xfId="18778"/>
    <cellStyle name="entry box 54 6" xfId="18779"/>
    <cellStyle name="entry box 54 7" xfId="18780"/>
    <cellStyle name="entry box 55" xfId="4117"/>
    <cellStyle name="entry box 55 2" xfId="18781"/>
    <cellStyle name="entry box 55 3" xfId="18782"/>
    <cellStyle name="entry box 55 4" xfId="18783"/>
    <cellStyle name="entry box 55 5" xfId="18784"/>
    <cellStyle name="entry box 55 6" xfId="18785"/>
    <cellStyle name="entry box 55 7" xfId="18786"/>
    <cellStyle name="entry box 56" xfId="4118"/>
    <cellStyle name="entry box 56 2" xfId="18787"/>
    <cellStyle name="entry box 56 3" xfId="18788"/>
    <cellStyle name="entry box 56 4" xfId="18789"/>
    <cellStyle name="entry box 56 5" xfId="18790"/>
    <cellStyle name="entry box 56 6" xfId="18791"/>
    <cellStyle name="entry box 56 7" xfId="18792"/>
    <cellStyle name="entry box 57" xfId="4119"/>
    <cellStyle name="entry box 57 2" xfId="18793"/>
    <cellStyle name="entry box 57 3" xfId="18794"/>
    <cellStyle name="entry box 57 4" xfId="18795"/>
    <cellStyle name="entry box 57 5" xfId="18796"/>
    <cellStyle name="entry box 57 6" xfId="18797"/>
    <cellStyle name="entry box 57 7" xfId="18798"/>
    <cellStyle name="entry box 58" xfId="4120"/>
    <cellStyle name="entry box 58 2" xfId="18799"/>
    <cellStyle name="entry box 58 3" xfId="18800"/>
    <cellStyle name="entry box 58 4" xfId="18801"/>
    <cellStyle name="entry box 58 5" xfId="18802"/>
    <cellStyle name="entry box 58 6" xfId="18803"/>
    <cellStyle name="entry box 58 7" xfId="18804"/>
    <cellStyle name="entry box 59" xfId="4121"/>
    <cellStyle name="entry box 59 2" xfId="18805"/>
    <cellStyle name="entry box 59 3" xfId="18806"/>
    <cellStyle name="entry box 59 4" xfId="18807"/>
    <cellStyle name="entry box 59 5" xfId="18808"/>
    <cellStyle name="entry box 59 6" xfId="18809"/>
    <cellStyle name="entry box 59 7" xfId="18810"/>
    <cellStyle name="entry box 6" xfId="4122"/>
    <cellStyle name="entry box 6 10" xfId="4123"/>
    <cellStyle name="entry box 6 10 2" xfId="18811"/>
    <cellStyle name="entry box 6 10 3" xfId="18812"/>
    <cellStyle name="entry box 6 10 4" xfId="18813"/>
    <cellStyle name="entry box 6 10 5" xfId="18814"/>
    <cellStyle name="entry box 6 10 6" xfId="18815"/>
    <cellStyle name="entry box 6 10 7" xfId="18816"/>
    <cellStyle name="entry box 6 100" xfId="18817"/>
    <cellStyle name="entry box 6 101" xfId="18818"/>
    <cellStyle name="entry box 6 102" xfId="18819"/>
    <cellStyle name="entry box 6 11" xfId="4124"/>
    <cellStyle name="entry box 6 11 2" xfId="18820"/>
    <cellStyle name="entry box 6 11 3" xfId="18821"/>
    <cellStyle name="entry box 6 11 4" xfId="18822"/>
    <cellStyle name="entry box 6 11 5" xfId="18823"/>
    <cellStyle name="entry box 6 11 6" xfId="18824"/>
    <cellStyle name="entry box 6 11 7" xfId="18825"/>
    <cellStyle name="entry box 6 12" xfId="4125"/>
    <cellStyle name="entry box 6 12 2" xfId="18826"/>
    <cellStyle name="entry box 6 12 3" xfId="18827"/>
    <cellStyle name="entry box 6 12 4" xfId="18828"/>
    <cellStyle name="entry box 6 12 5" xfId="18829"/>
    <cellStyle name="entry box 6 12 6" xfId="18830"/>
    <cellStyle name="entry box 6 12 7" xfId="18831"/>
    <cellStyle name="entry box 6 13" xfId="4126"/>
    <cellStyle name="entry box 6 13 2" xfId="18832"/>
    <cellStyle name="entry box 6 13 3" xfId="18833"/>
    <cellStyle name="entry box 6 13 4" xfId="18834"/>
    <cellStyle name="entry box 6 13 5" xfId="18835"/>
    <cellStyle name="entry box 6 13 6" xfId="18836"/>
    <cellStyle name="entry box 6 13 7" xfId="18837"/>
    <cellStyle name="entry box 6 14" xfId="4127"/>
    <cellStyle name="entry box 6 14 2" xfId="18838"/>
    <cellStyle name="entry box 6 14 3" xfId="18839"/>
    <cellStyle name="entry box 6 14 4" xfId="18840"/>
    <cellStyle name="entry box 6 14 5" xfId="18841"/>
    <cellStyle name="entry box 6 14 6" xfId="18842"/>
    <cellStyle name="entry box 6 14 7" xfId="18843"/>
    <cellStyle name="entry box 6 15" xfId="4128"/>
    <cellStyle name="entry box 6 15 2" xfId="18844"/>
    <cellStyle name="entry box 6 15 3" xfId="18845"/>
    <cellStyle name="entry box 6 15 4" xfId="18846"/>
    <cellStyle name="entry box 6 15 5" xfId="18847"/>
    <cellStyle name="entry box 6 15 6" xfId="18848"/>
    <cellStyle name="entry box 6 15 7" xfId="18849"/>
    <cellStyle name="entry box 6 16" xfId="4129"/>
    <cellStyle name="entry box 6 16 2" xfId="18850"/>
    <cellStyle name="entry box 6 16 3" xfId="18851"/>
    <cellStyle name="entry box 6 16 4" xfId="18852"/>
    <cellStyle name="entry box 6 16 5" xfId="18853"/>
    <cellStyle name="entry box 6 16 6" xfId="18854"/>
    <cellStyle name="entry box 6 16 7" xfId="18855"/>
    <cellStyle name="entry box 6 17" xfId="4130"/>
    <cellStyle name="entry box 6 17 2" xfId="18856"/>
    <cellStyle name="entry box 6 17 3" xfId="18857"/>
    <cellStyle name="entry box 6 17 4" xfId="18858"/>
    <cellStyle name="entry box 6 17 5" xfId="18859"/>
    <cellStyle name="entry box 6 17 6" xfId="18860"/>
    <cellStyle name="entry box 6 17 7" xfId="18861"/>
    <cellStyle name="entry box 6 18" xfId="4131"/>
    <cellStyle name="entry box 6 18 2" xfId="18862"/>
    <cellStyle name="entry box 6 18 3" xfId="18863"/>
    <cellStyle name="entry box 6 18 4" xfId="18864"/>
    <cellStyle name="entry box 6 18 5" xfId="18865"/>
    <cellStyle name="entry box 6 18 6" xfId="18866"/>
    <cellStyle name="entry box 6 18 7" xfId="18867"/>
    <cellStyle name="entry box 6 19" xfId="4132"/>
    <cellStyle name="entry box 6 19 2" xfId="18868"/>
    <cellStyle name="entry box 6 19 3" xfId="18869"/>
    <cellStyle name="entry box 6 19 4" xfId="18870"/>
    <cellStyle name="entry box 6 19 5" xfId="18871"/>
    <cellStyle name="entry box 6 19 6" xfId="18872"/>
    <cellStyle name="entry box 6 19 7" xfId="18873"/>
    <cellStyle name="entry box 6 2" xfId="4133"/>
    <cellStyle name="entry box 6 2 10" xfId="18874"/>
    <cellStyle name="entry box 6 2 11" xfId="18875"/>
    <cellStyle name="entry box 6 2 2" xfId="18876"/>
    <cellStyle name="entry box 6 2 3" xfId="18877"/>
    <cellStyle name="entry box 6 2 4" xfId="18878"/>
    <cellStyle name="entry box 6 2 5" xfId="18879"/>
    <cellStyle name="entry box 6 2 6" xfId="18880"/>
    <cellStyle name="entry box 6 2 7" xfId="18881"/>
    <cellStyle name="entry box 6 2 8" xfId="18882"/>
    <cellStyle name="entry box 6 2 9" xfId="18883"/>
    <cellStyle name="entry box 6 20" xfId="4134"/>
    <cellStyle name="entry box 6 20 2" xfId="18884"/>
    <cellStyle name="entry box 6 20 3" xfId="18885"/>
    <cellStyle name="entry box 6 20 4" xfId="18886"/>
    <cellStyle name="entry box 6 20 5" xfId="18887"/>
    <cellStyle name="entry box 6 20 6" xfId="18888"/>
    <cellStyle name="entry box 6 20 7" xfId="18889"/>
    <cellStyle name="entry box 6 21" xfId="4135"/>
    <cellStyle name="entry box 6 21 2" xfId="18890"/>
    <cellStyle name="entry box 6 21 3" xfId="18891"/>
    <cellStyle name="entry box 6 21 4" xfId="18892"/>
    <cellStyle name="entry box 6 21 5" xfId="18893"/>
    <cellStyle name="entry box 6 21 6" xfId="18894"/>
    <cellStyle name="entry box 6 21 7" xfId="18895"/>
    <cellStyle name="entry box 6 22" xfId="4136"/>
    <cellStyle name="entry box 6 22 2" xfId="18896"/>
    <cellStyle name="entry box 6 22 3" xfId="18897"/>
    <cellStyle name="entry box 6 22 4" xfId="18898"/>
    <cellStyle name="entry box 6 22 5" xfId="18899"/>
    <cellStyle name="entry box 6 22 6" xfId="18900"/>
    <cellStyle name="entry box 6 22 7" xfId="18901"/>
    <cellStyle name="entry box 6 23" xfId="4137"/>
    <cellStyle name="entry box 6 23 2" xfId="18902"/>
    <cellStyle name="entry box 6 23 3" xfId="18903"/>
    <cellStyle name="entry box 6 23 4" xfId="18904"/>
    <cellStyle name="entry box 6 23 5" xfId="18905"/>
    <cellStyle name="entry box 6 23 6" xfId="18906"/>
    <cellStyle name="entry box 6 23 7" xfId="18907"/>
    <cellStyle name="entry box 6 24" xfId="4138"/>
    <cellStyle name="entry box 6 24 2" xfId="18908"/>
    <cellStyle name="entry box 6 24 3" xfId="18909"/>
    <cellStyle name="entry box 6 24 4" xfId="18910"/>
    <cellStyle name="entry box 6 24 5" xfId="18911"/>
    <cellStyle name="entry box 6 24 6" xfId="18912"/>
    <cellStyle name="entry box 6 24 7" xfId="18913"/>
    <cellStyle name="entry box 6 25" xfId="4139"/>
    <cellStyle name="entry box 6 25 2" xfId="18914"/>
    <cellStyle name="entry box 6 25 3" xfId="18915"/>
    <cellStyle name="entry box 6 25 4" xfId="18916"/>
    <cellStyle name="entry box 6 25 5" xfId="18917"/>
    <cellStyle name="entry box 6 25 6" xfId="18918"/>
    <cellStyle name="entry box 6 25 7" xfId="18919"/>
    <cellStyle name="entry box 6 26" xfId="4140"/>
    <cellStyle name="entry box 6 26 2" xfId="18920"/>
    <cellStyle name="entry box 6 26 3" xfId="18921"/>
    <cellStyle name="entry box 6 26 4" xfId="18922"/>
    <cellStyle name="entry box 6 26 5" xfId="18923"/>
    <cellStyle name="entry box 6 26 6" xfId="18924"/>
    <cellStyle name="entry box 6 26 7" xfId="18925"/>
    <cellStyle name="entry box 6 27" xfId="4141"/>
    <cellStyle name="entry box 6 27 2" xfId="18926"/>
    <cellStyle name="entry box 6 27 3" xfId="18927"/>
    <cellStyle name="entry box 6 27 4" xfId="18928"/>
    <cellStyle name="entry box 6 27 5" xfId="18929"/>
    <cellStyle name="entry box 6 27 6" xfId="18930"/>
    <cellStyle name="entry box 6 27 7" xfId="18931"/>
    <cellStyle name="entry box 6 28" xfId="4142"/>
    <cellStyle name="entry box 6 28 2" xfId="18932"/>
    <cellStyle name="entry box 6 28 3" xfId="18933"/>
    <cellStyle name="entry box 6 28 4" xfId="18934"/>
    <cellStyle name="entry box 6 28 5" xfId="18935"/>
    <cellStyle name="entry box 6 28 6" xfId="18936"/>
    <cellStyle name="entry box 6 28 7" xfId="18937"/>
    <cellStyle name="entry box 6 29" xfId="4143"/>
    <cellStyle name="entry box 6 29 2" xfId="18938"/>
    <cellStyle name="entry box 6 29 3" xfId="18939"/>
    <cellStyle name="entry box 6 29 4" xfId="18940"/>
    <cellStyle name="entry box 6 29 5" xfId="18941"/>
    <cellStyle name="entry box 6 29 6" xfId="18942"/>
    <cellStyle name="entry box 6 29 7" xfId="18943"/>
    <cellStyle name="entry box 6 3" xfId="4144"/>
    <cellStyle name="entry box 6 3 10" xfId="18944"/>
    <cellStyle name="entry box 6 3 2" xfId="18945"/>
    <cellStyle name="entry box 6 3 3" xfId="18946"/>
    <cellStyle name="entry box 6 3 4" xfId="18947"/>
    <cellStyle name="entry box 6 3 5" xfId="18948"/>
    <cellStyle name="entry box 6 3 6" xfId="18949"/>
    <cellStyle name="entry box 6 3 7" xfId="18950"/>
    <cellStyle name="entry box 6 3 8" xfId="18951"/>
    <cellStyle name="entry box 6 3 9" xfId="18952"/>
    <cellStyle name="entry box 6 30" xfId="4145"/>
    <cellStyle name="entry box 6 30 2" xfId="18953"/>
    <cellStyle name="entry box 6 30 3" xfId="18954"/>
    <cellStyle name="entry box 6 30 4" xfId="18955"/>
    <cellStyle name="entry box 6 30 5" xfId="18956"/>
    <cellStyle name="entry box 6 30 6" xfId="18957"/>
    <cellStyle name="entry box 6 30 7" xfId="18958"/>
    <cellStyle name="entry box 6 31" xfId="4146"/>
    <cellStyle name="entry box 6 31 2" xfId="18959"/>
    <cellStyle name="entry box 6 31 3" xfId="18960"/>
    <cellStyle name="entry box 6 31 4" xfId="18961"/>
    <cellStyle name="entry box 6 31 5" xfId="18962"/>
    <cellStyle name="entry box 6 31 6" xfId="18963"/>
    <cellStyle name="entry box 6 31 7" xfId="18964"/>
    <cellStyle name="entry box 6 32" xfId="4147"/>
    <cellStyle name="entry box 6 32 2" xfId="18965"/>
    <cellStyle name="entry box 6 32 3" xfId="18966"/>
    <cellStyle name="entry box 6 32 4" xfId="18967"/>
    <cellStyle name="entry box 6 32 5" xfId="18968"/>
    <cellStyle name="entry box 6 32 6" xfId="18969"/>
    <cellStyle name="entry box 6 32 7" xfId="18970"/>
    <cellStyle name="entry box 6 33" xfId="4148"/>
    <cellStyle name="entry box 6 33 2" xfId="18971"/>
    <cellStyle name="entry box 6 33 3" xfId="18972"/>
    <cellStyle name="entry box 6 33 4" xfId="18973"/>
    <cellStyle name="entry box 6 33 5" xfId="18974"/>
    <cellStyle name="entry box 6 33 6" xfId="18975"/>
    <cellStyle name="entry box 6 33 7" xfId="18976"/>
    <cellStyle name="entry box 6 34" xfId="4149"/>
    <cellStyle name="entry box 6 34 2" xfId="18977"/>
    <cellStyle name="entry box 6 34 3" xfId="18978"/>
    <cellStyle name="entry box 6 34 4" xfId="18979"/>
    <cellStyle name="entry box 6 34 5" xfId="18980"/>
    <cellStyle name="entry box 6 34 6" xfId="18981"/>
    <cellStyle name="entry box 6 34 7" xfId="18982"/>
    <cellStyle name="entry box 6 35" xfId="4150"/>
    <cellStyle name="entry box 6 35 2" xfId="18983"/>
    <cellStyle name="entry box 6 35 3" xfId="18984"/>
    <cellStyle name="entry box 6 35 4" xfId="18985"/>
    <cellStyle name="entry box 6 35 5" xfId="18986"/>
    <cellStyle name="entry box 6 35 6" xfId="18987"/>
    <cellStyle name="entry box 6 35 7" xfId="18988"/>
    <cellStyle name="entry box 6 36" xfId="4151"/>
    <cellStyle name="entry box 6 36 2" xfId="18989"/>
    <cellStyle name="entry box 6 36 3" xfId="18990"/>
    <cellStyle name="entry box 6 36 4" xfId="18991"/>
    <cellStyle name="entry box 6 36 5" xfId="18992"/>
    <cellStyle name="entry box 6 36 6" xfId="18993"/>
    <cellStyle name="entry box 6 36 7" xfId="18994"/>
    <cellStyle name="entry box 6 37" xfId="4152"/>
    <cellStyle name="entry box 6 37 2" xfId="18995"/>
    <cellStyle name="entry box 6 37 3" xfId="18996"/>
    <cellStyle name="entry box 6 37 4" xfId="18997"/>
    <cellStyle name="entry box 6 37 5" xfId="18998"/>
    <cellStyle name="entry box 6 37 6" xfId="18999"/>
    <cellStyle name="entry box 6 37 7" xfId="19000"/>
    <cellStyle name="entry box 6 38" xfId="4153"/>
    <cellStyle name="entry box 6 38 2" xfId="19001"/>
    <cellStyle name="entry box 6 38 3" xfId="19002"/>
    <cellStyle name="entry box 6 38 4" xfId="19003"/>
    <cellStyle name="entry box 6 38 5" xfId="19004"/>
    <cellStyle name="entry box 6 38 6" xfId="19005"/>
    <cellStyle name="entry box 6 38 7" xfId="19006"/>
    <cellStyle name="entry box 6 39" xfId="4154"/>
    <cellStyle name="entry box 6 39 2" xfId="19007"/>
    <cellStyle name="entry box 6 39 3" xfId="19008"/>
    <cellStyle name="entry box 6 39 4" xfId="19009"/>
    <cellStyle name="entry box 6 39 5" xfId="19010"/>
    <cellStyle name="entry box 6 39 6" xfId="19011"/>
    <cellStyle name="entry box 6 39 7" xfId="19012"/>
    <cellStyle name="entry box 6 4" xfId="4155"/>
    <cellStyle name="entry box 6 4 10" xfId="19013"/>
    <cellStyle name="entry box 6 4 2" xfId="19014"/>
    <cellStyle name="entry box 6 4 3" xfId="19015"/>
    <cellStyle name="entry box 6 4 4" xfId="19016"/>
    <cellStyle name="entry box 6 4 5" xfId="19017"/>
    <cellStyle name="entry box 6 4 6" xfId="19018"/>
    <cellStyle name="entry box 6 4 7" xfId="19019"/>
    <cellStyle name="entry box 6 4 8" xfId="19020"/>
    <cellStyle name="entry box 6 4 9" xfId="19021"/>
    <cellStyle name="entry box 6 40" xfId="4156"/>
    <cellStyle name="entry box 6 40 2" xfId="19022"/>
    <cellStyle name="entry box 6 40 3" xfId="19023"/>
    <cellStyle name="entry box 6 40 4" xfId="19024"/>
    <cellStyle name="entry box 6 40 5" xfId="19025"/>
    <cellStyle name="entry box 6 40 6" xfId="19026"/>
    <cellStyle name="entry box 6 40 7" xfId="19027"/>
    <cellStyle name="entry box 6 41" xfId="4157"/>
    <cellStyle name="entry box 6 41 2" xfId="19028"/>
    <cellStyle name="entry box 6 41 3" xfId="19029"/>
    <cellStyle name="entry box 6 41 4" xfId="19030"/>
    <cellStyle name="entry box 6 41 5" xfId="19031"/>
    <cellStyle name="entry box 6 41 6" xfId="19032"/>
    <cellStyle name="entry box 6 41 7" xfId="19033"/>
    <cellStyle name="entry box 6 42" xfId="4158"/>
    <cellStyle name="entry box 6 42 2" xfId="19034"/>
    <cellStyle name="entry box 6 42 3" xfId="19035"/>
    <cellStyle name="entry box 6 42 4" xfId="19036"/>
    <cellStyle name="entry box 6 42 5" xfId="19037"/>
    <cellStyle name="entry box 6 42 6" xfId="19038"/>
    <cellStyle name="entry box 6 42 7" xfId="19039"/>
    <cellStyle name="entry box 6 43" xfId="4159"/>
    <cellStyle name="entry box 6 43 2" xfId="19040"/>
    <cellStyle name="entry box 6 43 3" xfId="19041"/>
    <cellStyle name="entry box 6 43 4" xfId="19042"/>
    <cellStyle name="entry box 6 43 5" xfId="19043"/>
    <cellStyle name="entry box 6 43 6" xfId="19044"/>
    <cellStyle name="entry box 6 43 7" xfId="19045"/>
    <cellStyle name="entry box 6 44" xfId="4160"/>
    <cellStyle name="entry box 6 44 2" xfId="19046"/>
    <cellStyle name="entry box 6 44 3" xfId="19047"/>
    <cellStyle name="entry box 6 44 4" xfId="19048"/>
    <cellStyle name="entry box 6 44 5" xfId="19049"/>
    <cellStyle name="entry box 6 44 6" xfId="19050"/>
    <cellStyle name="entry box 6 44 7" xfId="19051"/>
    <cellStyle name="entry box 6 45" xfId="4161"/>
    <cellStyle name="entry box 6 45 2" xfId="19052"/>
    <cellStyle name="entry box 6 45 3" xfId="19053"/>
    <cellStyle name="entry box 6 45 4" xfId="19054"/>
    <cellStyle name="entry box 6 45 5" xfId="19055"/>
    <cellStyle name="entry box 6 45 6" xfId="19056"/>
    <cellStyle name="entry box 6 45 7" xfId="19057"/>
    <cellStyle name="entry box 6 46" xfId="4162"/>
    <cellStyle name="entry box 6 46 2" xfId="19058"/>
    <cellStyle name="entry box 6 46 3" xfId="19059"/>
    <cellStyle name="entry box 6 46 4" xfId="19060"/>
    <cellStyle name="entry box 6 46 5" xfId="19061"/>
    <cellStyle name="entry box 6 46 6" xfId="19062"/>
    <cellStyle name="entry box 6 46 7" xfId="19063"/>
    <cellStyle name="entry box 6 47" xfId="4163"/>
    <cellStyle name="entry box 6 47 2" xfId="19064"/>
    <cellStyle name="entry box 6 47 3" xfId="19065"/>
    <cellStyle name="entry box 6 47 4" xfId="19066"/>
    <cellStyle name="entry box 6 47 5" xfId="19067"/>
    <cellStyle name="entry box 6 47 6" xfId="19068"/>
    <cellStyle name="entry box 6 47 7" xfId="19069"/>
    <cellStyle name="entry box 6 48" xfId="4164"/>
    <cellStyle name="entry box 6 48 2" xfId="19070"/>
    <cellStyle name="entry box 6 48 3" xfId="19071"/>
    <cellStyle name="entry box 6 48 4" xfId="19072"/>
    <cellStyle name="entry box 6 48 5" xfId="19073"/>
    <cellStyle name="entry box 6 48 6" xfId="19074"/>
    <cellStyle name="entry box 6 48 7" xfId="19075"/>
    <cellStyle name="entry box 6 49" xfId="4165"/>
    <cellStyle name="entry box 6 49 2" xfId="19076"/>
    <cellStyle name="entry box 6 49 3" xfId="19077"/>
    <cellStyle name="entry box 6 49 4" xfId="19078"/>
    <cellStyle name="entry box 6 49 5" xfId="19079"/>
    <cellStyle name="entry box 6 49 6" xfId="19080"/>
    <cellStyle name="entry box 6 49 7" xfId="19081"/>
    <cellStyle name="entry box 6 5" xfId="4166"/>
    <cellStyle name="entry box 6 5 2" xfId="19082"/>
    <cellStyle name="entry box 6 5 3" xfId="19083"/>
    <cellStyle name="entry box 6 5 4" xfId="19084"/>
    <cellStyle name="entry box 6 5 5" xfId="19085"/>
    <cellStyle name="entry box 6 5 6" xfId="19086"/>
    <cellStyle name="entry box 6 5 7" xfId="19087"/>
    <cellStyle name="entry box 6 50" xfId="4167"/>
    <cellStyle name="entry box 6 50 2" xfId="19088"/>
    <cellStyle name="entry box 6 50 3" xfId="19089"/>
    <cellStyle name="entry box 6 50 4" xfId="19090"/>
    <cellStyle name="entry box 6 50 5" xfId="19091"/>
    <cellStyle name="entry box 6 50 6" xfId="19092"/>
    <cellStyle name="entry box 6 50 7" xfId="19093"/>
    <cellStyle name="entry box 6 51" xfId="4168"/>
    <cellStyle name="entry box 6 51 2" xfId="19094"/>
    <cellStyle name="entry box 6 51 3" xfId="19095"/>
    <cellStyle name="entry box 6 51 4" xfId="19096"/>
    <cellStyle name="entry box 6 51 5" xfId="19097"/>
    <cellStyle name="entry box 6 51 6" xfId="19098"/>
    <cellStyle name="entry box 6 51 7" xfId="19099"/>
    <cellStyle name="entry box 6 52" xfId="4169"/>
    <cellStyle name="entry box 6 52 2" xfId="19100"/>
    <cellStyle name="entry box 6 52 3" xfId="19101"/>
    <cellStyle name="entry box 6 52 4" xfId="19102"/>
    <cellStyle name="entry box 6 52 5" xfId="19103"/>
    <cellStyle name="entry box 6 52 6" xfId="19104"/>
    <cellStyle name="entry box 6 52 7" xfId="19105"/>
    <cellStyle name="entry box 6 53" xfId="4170"/>
    <cellStyle name="entry box 6 53 2" xfId="19106"/>
    <cellStyle name="entry box 6 53 3" xfId="19107"/>
    <cellStyle name="entry box 6 53 4" xfId="19108"/>
    <cellStyle name="entry box 6 53 5" xfId="19109"/>
    <cellStyle name="entry box 6 53 6" xfId="19110"/>
    <cellStyle name="entry box 6 53 7" xfId="19111"/>
    <cellStyle name="entry box 6 54" xfId="4171"/>
    <cellStyle name="entry box 6 54 2" xfId="19112"/>
    <cellStyle name="entry box 6 54 3" xfId="19113"/>
    <cellStyle name="entry box 6 54 4" xfId="19114"/>
    <cellStyle name="entry box 6 54 5" xfId="19115"/>
    <cellStyle name="entry box 6 54 6" xfId="19116"/>
    <cellStyle name="entry box 6 54 7" xfId="19117"/>
    <cellStyle name="entry box 6 55" xfId="4172"/>
    <cellStyle name="entry box 6 55 2" xfId="19118"/>
    <cellStyle name="entry box 6 55 3" xfId="19119"/>
    <cellStyle name="entry box 6 55 4" xfId="19120"/>
    <cellStyle name="entry box 6 55 5" xfId="19121"/>
    <cellStyle name="entry box 6 55 6" xfId="19122"/>
    <cellStyle name="entry box 6 55 7" xfId="19123"/>
    <cellStyle name="entry box 6 56" xfId="4173"/>
    <cellStyle name="entry box 6 56 2" xfId="19124"/>
    <cellStyle name="entry box 6 56 3" xfId="19125"/>
    <cellStyle name="entry box 6 56 4" xfId="19126"/>
    <cellStyle name="entry box 6 56 5" xfId="19127"/>
    <cellStyle name="entry box 6 56 6" xfId="19128"/>
    <cellStyle name="entry box 6 56 7" xfId="19129"/>
    <cellStyle name="entry box 6 57" xfId="4174"/>
    <cellStyle name="entry box 6 57 2" xfId="19130"/>
    <cellStyle name="entry box 6 57 3" xfId="19131"/>
    <cellStyle name="entry box 6 57 4" xfId="19132"/>
    <cellStyle name="entry box 6 57 5" xfId="19133"/>
    <cellStyle name="entry box 6 57 6" xfId="19134"/>
    <cellStyle name="entry box 6 57 7" xfId="19135"/>
    <cellStyle name="entry box 6 58" xfId="4175"/>
    <cellStyle name="entry box 6 58 2" xfId="19136"/>
    <cellStyle name="entry box 6 58 3" xfId="19137"/>
    <cellStyle name="entry box 6 58 4" xfId="19138"/>
    <cellStyle name="entry box 6 58 5" xfId="19139"/>
    <cellStyle name="entry box 6 58 6" xfId="19140"/>
    <cellStyle name="entry box 6 58 7" xfId="19141"/>
    <cellStyle name="entry box 6 59" xfId="4176"/>
    <cellStyle name="entry box 6 59 2" xfId="19142"/>
    <cellStyle name="entry box 6 59 3" xfId="19143"/>
    <cellStyle name="entry box 6 59 4" xfId="19144"/>
    <cellStyle name="entry box 6 59 5" xfId="19145"/>
    <cellStyle name="entry box 6 59 6" xfId="19146"/>
    <cellStyle name="entry box 6 59 7" xfId="19147"/>
    <cellStyle name="entry box 6 6" xfId="4177"/>
    <cellStyle name="entry box 6 6 2" xfId="19148"/>
    <cellStyle name="entry box 6 6 3" xfId="19149"/>
    <cellStyle name="entry box 6 6 4" xfId="19150"/>
    <cellStyle name="entry box 6 6 5" xfId="19151"/>
    <cellStyle name="entry box 6 6 6" xfId="19152"/>
    <cellStyle name="entry box 6 6 7" xfId="19153"/>
    <cellStyle name="entry box 6 60" xfId="4178"/>
    <cellStyle name="entry box 6 60 2" xfId="19154"/>
    <cellStyle name="entry box 6 60 3" xfId="19155"/>
    <cellStyle name="entry box 6 60 4" xfId="19156"/>
    <cellStyle name="entry box 6 60 5" xfId="19157"/>
    <cellStyle name="entry box 6 60 6" xfId="19158"/>
    <cellStyle name="entry box 6 60 7" xfId="19159"/>
    <cellStyle name="entry box 6 61" xfId="4179"/>
    <cellStyle name="entry box 6 61 2" xfId="19160"/>
    <cellStyle name="entry box 6 61 3" xfId="19161"/>
    <cellStyle name="entry box 6 61 4" xfId="19162"/>
    <cellStyle name="entry box 6 61 5" xfId="19163"/>
    <cellStyle name="entry box 6 61 6" xfId="19164"/>
    <cellStyle name="entry box 6 61 7" xfId="19165"/>
    <cellStyle name="entry box 6 62" xfId="4180"/>
    <cellStyle name="entry box 6 62 2" xfId="19166"/>
    <cellStyle name="entry box 6 62 3" xfId="19167"/>
    <cellStyle name="entry box 6 62 4" xfId="19168"/>
    <cellStyle name="entry box 6 62 5" xfId="19169"/>
    <cellStyle name="entry box 6 62 6" xfId="19170"/>
    <cellStyle name="entry box 6 62 7" xfId="19171"/>
    <cellStyle name="entry box 6 63" xfId="4181"/>
    <cellStyle name="entry box 6 63 2" xfId="19172"/>
    <cellStyle name="entry box 6 63 3" xfId="19173"/>
    <cellStyle name="entry box 6 63 4" xfId="19174"/>
    <cellStyle name="entry box 6 63 5" xfId="19175"/>
    <cellStyle name="entry box 6 63 6" xfId="19176"/>
    <cellStyle name="entry box 6 63 7" xfId="19177"/>
    <cellStyle name="entry box 6 64" xfId="4182"/>
    <cellStyle name="entry box 6 64 2" xfId="19178"/>
    <cellStyle name="entry box 6 64 3" xfId="19179"/>
    <cellStyle name="entry box 6 64 4" xfId="19180"/>
    <cellStyle name="entry box 6 64 5" xfId="19181"/>
    <cellStyle name="entry box 6 64 6" xfId="19182"/>
    <cellStyle name="entry box 6 64 7" xfId="19183"/>
    <cellStyle name="entry box 6 65" xfId="4183"/>
    <cellStyle name="entry box 6 65 2" xfId="19184"/>
    <cellStyle name="entry box 6 65 3" xfId="19185"/>
    <cellStyle name="entry box 6 65 4" xfId="19186"/>
    <cellStyle name="entry box 6 65 5" xfId="19187"/>
    <cellStyle name="entry box 6 65 6" xfId="19188"/>
    <cellStyle name="entry box 6 65 7" xfId="19189"/>
    <cellStyle name="entry box 6 66" xfId="4184"/>
    <cellStyle name="entry box 6 66 2" xfId="19190"/>
    <cellStyle name="entry box 6 66 3" xfId="19191"/>
    <cellStyle name="entry box 6 66 4" xfId="19192"/>
    <cellStyle name="entry box 6 66 5" xfId="19193"/>
    <cellStyle name="entry box 6 66 6" xfId="19194"/>
    <cellStyle name="entry box 6 66 7" xfId="19195"/>
    <cellStyle name="entry box 6 67" xfId="4185"/>
    <cellStyle name="entry box 6 67 2" xfId="19196"/>
    <cellStyle name="entry box 6 67 3" xfId="19197"/>
    <cellStyle name="entry box 6 67 4" xfId="19198"/>
    <cellStyle name="entry box 6 67 5" xfId="19199"/>
    <cellStyle name="entry box 6 67 6" xfId="19200"/>
    <cellStyle name="entry box 6 67 7" xfId="19201"/>
    <cellStyle name="entry box 6 68" xfId="4186"/>
    <cellStyle name="entry box 6 68 2" xfId="19202"/>
    <cellStyle name="entry box 6 68 3" xfId="19203"/>
    <cellStyle name="entry box 6 68 4" xfId="19204"/>
    <cellStyle name="entry box 6 68 5" xfId="19205"/>
    <cellStyle name="entry box 6 68 6" xfId="19206"/>
    <cellStyle name="entry box 6 68 7" xfId="19207"/>
    <cellStyle name="entry box 6 69" xfId="4187"/>
    <cellStyle name="entry box 6 69 2" xfId="19208"/>
    <cellStyle name="entry box 6 69 3" xfId="19209"/>
    <cellStyle name="entry box 6 69 4" xfId="19210"/>
    <cellStyle name="entry box 6 69 5" xfId="19211"/>
    <cellStyle name="entry box 6 69 6" xfId="19212"/>
    <cellStyle name="entry box 6 69 7" xfId="19213"/>
    <cellStyle name="entry box 6 7" xfId="4188"/>
    <cellStyle name="entry box 6 7 2" xfId="19214"/>
    <cellStyle name="entry box 6 7 3" xfId="19215"/>
    <cellStyle name="entry box 6 7 4" xfId="19216"/>
    <cellStyle name="entry box 6 7 5" xfId="19217"/>
    <cellStyle name="entry box 6 7 6" xfId="19218"/>
    <cellStyle name="entry box 6 7 7" xfId="19219"/>
    <cellStyle name="entry box 6 70" xfId="4189"/>
    <cellStyle name="entry box 6 70 2" xfId="19220"/>
    <cellStyle name="entry box 6 70 3" xfId="19221"/>
    <cellStyle name="entry box 6 70 4" xfId="19222"/>
    <cellStyle name="entry box 6 70 5" xfId="19223"/>
    <cellStyle name="entry box 6 70 6" xfId="19224"/>
    <cellStyle name="entry box 6 70 7" xfId="19225"/>
    <cellStyle name="entry box 6 71" xfId="4190"/>
    <cellStyle name="entry box 6 71 2" xfId="19226"/>
    <cellStyle name="entry box 6 71 3" xfId="19227"/>
    <cellStyle name="entry box 6 71 4" xfId="19228"/>
    <cellStyle name="entry box 6 71 5" xfId="19229"/>
    <cellStyle name="entry box 6 71 6" xfId="19230"/>
    <cellStyle name="entry box 6 71 7" xfId="19231"/>
    <cellStyle name="entry box 6 72" xfId="4191"/>
    <cellStyle name="entry box 6 72 2" xfId="19232"/>
    <cellStyle name="entry box 6 72 3" xfId="19233"/>
    <cellStyle name="entry box 6 72 4" xfId="19234"/>
    <cellStyle name="entry box 6 72 5" xfId="19235"/>
    <cellStyle name="entry box 6 72 6" xfId="19236"/>
    <cellStyle name="entry box 6 72 7" xfId="19237"/>
    <cellStyle name="entry box 6 73" xfId="4192"/>
    <cellStyle name="entry box 6 73 2" xfId="19238"/>
    <cellStyle name="entry box 6 73 3" xfId="19239"/>
    <cellStyle name="entry box 6 73 4" xfId="19240"/>
    <cellStyle name="entry box 6 73 5" xfId="19241"/>
    <cellStyle name="entry box 6 73 6" xfId="19242"/>
    <cellStyle name="entry box 6 73 7" xfId="19243"/>
    <cellStyle name="entry box 6 74" xfId="4193"/>
    <cellStyle name="entry box 6 74 2" xfId="19244"/>
    <cellStyle name="entry box 6 74 3" xfId="19245"/>
    <cellStyle name="entry box 6 74 4" xfId="19246"/>
    <cellStyle name="entry box 6 74 5" xfId="19247"/>
    <cellStyle name="entry box 6 74 6" xfId="19248"/>
    <cellStyle name="entry box 6 74 7" xfId="19249"/>
    <cellStyle name="entry box 6 75" xfId="4194"/>
    <cellStyle name="entry box 6 75 2" xfId="19250"/>
    <cellStyle name="entry box 6 75 3" xfId="19251"/>
    <cellStyle name="entry box 6 75 4" xfId="19252"/>
    <cellStyle name="entry box 6 75 5" xfId="19253"/>
    <cellStyle name="entry box 6 75 6" xfId="19254"/>
    <cellStyle name="entry box 6 75 7" xfId="19255"/>
    <cellStyle name="entry box 6 76" xfId="4195"/>
    <cellStyle name="entry box 6 76 2" xfId="19256"/>
    <cellStyle name="entry box 6 76 3" xfId="19257"/>
    <cellStyle name="entry box 6 76 4" xfId="19258"/>
    <cellStyle name="entry box 6 76 5" xfId="19259"/>
    <cellStyle name="entry box 6 76 6" xfId="19260"/>
    <cellStyle name="entry box 6 76 7" xfId="19261"/>
    <cellStyle name="entry box 6 77" xfId="4196"/>
    <cellStyle name="entry box 6 77 2" xfId="19262"/>
    <cellStyle name="entry box 6 77 3" xfId="19263"/>
    <cellStyle name="entry box 6 77 4" xfId="19264"/>
    <cellStyle name="entry box 6 77 5" xfId="19265"/>
    <cellStyle name="entry box 6 77 6" xfId="19266"/>
    <cellStyle name="entry box 6 77 7" xfId="19267"/>
    <cellStyle name="entry box 6 78" xfId="4197"/>
    <cellStyle name="entry box 6 78 2" xfId="19268"/>
    <cellStyle name="entry box 6 78 3" xfId="19269"/>
    <cellStyle name="entry box 6 78 4" xfId="19270"/>
    <cellStyle name="entry box 6 78 5" xfId="19271"/>
    <cellStyle name="entry box 6 78 6" xfId="19272"/>
    <cellStyle name="entry box 6 78 7" xfId="19273"/>
    <cellStyle name="entry box 6 79" xfId="4198"/>
    <cellStyle name="entry box 6 79 2" xfId="19274"/>
    <cellStyle name="entry box 6 79 3" xfId="19275"/>
    <cellStyle name="entry box 6 79 4" xfId="19276"/>
    <cellStyle name="entry box 6 79 5" xfId="19277"/>
    <cellStyle name="entry box 6 79 6" xfId="19278"/>
    <cellStyle name="entry box 6 79 7" xfId="19279"/>
    <cellStyle name="entry box 6 8" xfId="4199"/>
    <cellStyle name="entry box 6 8 2" xfId="19280"/>
    <cellStyle name="entry box 6 8 3" xfId="19281"/>
    <cellStyle name="entry box 6 8 4" xfId="19282"/>
    <cellStyle name="entry box 6 8 5" xfId="19283"/>
    <cellStyle name="entry box 6 8 6" xfId="19284"/>
    <cellStyle name="entry box 6 8 7" xfId="19285"/>
    <cellStyle name="entry box 6 80" xfId="4200"/>
    <cellStyle name="entry box 6 80 2" xfId="19286"/>
    <cellStyle name="entry box 6 80 3" xfId="19287"/>
    <cellStyle name="entry box 6 80 4" xfId="19288"/>
    <cellStyle name="entry box 6 80 5" xfId="19289"/>
    <cellStyle name="entry box 6 80 6" xfId="19290"/>
    <cellStyle name="entry box 6 80 7" xfId="19291"/>
    <cellStyle name="entry box 6 81" xfId="4201"/>
    <cellStyle name="entry box 6 81 2" xfId="19292"/>
    <cellStyle name="entry box 6 81 3" xfId="19293"/>
    <cellStyle name="entry box 6 81 4" xfId="19294"/>
    <cellStyle name="entry box 6 81 5" xfId="19295"/>
    <cellStyle name="entry box 6 81 6" xfId="19296"/>
    <cellStyle name="entry box 6 81 7" xfId="19297"/>
    <cellStyle name="entry box 6 82" xfId="4202"/>
    <cellStyle name="entry box 6 82 2" xfId="19298"/>
    <cellStyle name="entry box 6 82 3" xfId="19299"/>
    <cellStyle name="entry box 6 82 4" xfId="19300"/>
    <cellStyle name="entry box 6 82 5" xfId="19301"/>
    <cellStyle name="entry box 6 82 6" xfId="19302"/>
    <cellStyle name="entry box 6 82 7" xfId="19303"/>
    <cellStyle name="entry box 6 83" xfId="4203"/>
    <cellStyle name="entry box 6 83 2" xfId="19304"/>
    <cellStyle name="entry box 6 83 3" xfId="19305"/>
    <cellStyle name="entry box 6 83 4" xfId="19306"/>
    <cellStyle name="entry box 6 83 5" xfId="19307"/>
    <cellStyle name="entry box 6 83 6" xfId="19308"/>
    <cellStyle name="entry box 6 83 7" xfId="19309"/>
    <cellStyle name="entry box 6 84" xfId="4204"/>
    <cellStyle name="entry box 6 84 2" xfId="19310"/>
    <cellStyle name="entry box 6 84 3" xfId="19311"/>
    <cellStyle name="entry box 6 84 4" xfId="19312"/>
    <cellStyle name="entry box 6 84 5" xfId="19313"/>
    <cellStyle name="entry box 6 84 6" xfId="19314"/>
    <cellStyle name="entry box 6 84 7" xfId="19315"/>
    <cellStyle name="entry box 6 85" xfId="4205"/>
    <cellStyle name="entry box 6 85 2" xfId="19316"/>
    <cellStyle name="entry box 6 85 3" xfId="19317"/>
    <cellStyle name="entry box 6 85 4" xfId="19318"/>
    <cellStyle name="entry box 6 85 5" xfId="19319"/>
    <cellStyle name="entry box 6 85 6" xfId="19320"/>
    <cellStyle name="entry box 6 85 7" xfId="19321"/>
    <cellStyle name="entry box 6 86" xfId="4206"/>
    <cellStyle name="entry box 6 86 2" xfId="19322"/>
    <cellStyle name="entry box 6 86 3" xfId="19323"/>
    <cellStyle name="entry box 6 86 4" xfId="19324"/>
    <cellStyle name="entry box 6 86 5" xfId="19325"/>
    <cellStyle name="entry box 6 86 6" xfId="19326"/>
    <cellStyle name="entry box 6 86 7" xfId="19327"/>
    <cellStyle name="entry box 6 87" xfId="4207"/>
    <cellStyle name="entry box 6 87 2" xfId="19328"/>
    <cellStyle name="entry box 6 87 3" xfId="19329"/>
    <cellStyle name="entry box 6 87 4" xfId="19330"/>
    <cellStyle name="entry box 6 87 5" xfId="19331"/>
    <cellStyle name="entry box 6 87 6" xfId="19332"/>
    <cellStyle name="entry box 6 87 7" xfId="19333"/>
    <cellStyle name="entry box 6 88" xfId="4208"/>
    <cellStyle name="entry box 6 88 2" xfId="19334"/>
    <cellStyle name="entry box 6 88 3" xfId="19335"/>
    <cellStyle name="entry box 6 88 4" xfId="19336"/>
    <cellStyle name="entry box 6 88 5" xfId="19337"/>
    <cellStyle name="entry box 6 88 6" xfId="19338"/>
    <cellStyle name="entry box 6 88 7" xfId="19339"/>
    <cellStyle name="entry box 6 89" xfId="4209"/>
    <cellStyle name="entry box 6 89 2" xfId="19340"/>
    <cellStyle name="entry box 6 89 3" xfId="19341"/>
    <cellStyle name="entry box 6 89 4" xfId="19342"/>
    <cellStyle name="entry box 6 89 5" xfId="19343"/>
    <cellStyle name="entry box 6 89 6" xfId="19344"/>
    <cellStyle name="entry box 6 89 7" xfId="19345"/>
    <cellStyle name="entry box 6 9" xfId="4210"/>
    <cellStyle name="entry box 6 9 2" xfId="19346"/>
    <cellStyle name="entry box 6 9 3" xfId="19347"/>
    <cellStyle name="entry box 6 9 4" xfId="19348"/>
    <cellStyle name="entry box 6 9 5" xfId="19349"/>
    <cellStyle name="entry box 6 9 6" xfId="19350"/>
    <cellStyle name="entry box 6 9 7" xfId="19351"/>
    <cellStyle name="entry box 6 90" xfId="4211"/>
    <cellStyle name="entry box 6 90 2" xfId="19352"/>
    <cellStyle name="entry box 6 90 3" xfId="19353"/>
    <cellStyle name="entry box 6 90 4" xfId="19354"/>
    <cellStyle name="entry box 6 90 5" xfId="19355"/>
    <cellStyle name="entry box 6 90 6" xfId="19356"/>
    <cellStyle name="entry box 6 90 7" xfId="19357"/>
    <cellStyle name="entry box 6 91" xfId="4212"/>
    <cellStyle name="entry box 6 91 2" xfId="19358"/>
    <cellStyle name="entry box 6 91 3" xfId="19359"/>
    <cellStyle name="entry box 6 91 4" xfId="19360"/>
    <cellStyle name="entry box 6 91 5" xfId="19361"/>
    <cellStyle name="entry box 6 91 6" xfId="19362"/>
    <cellStyle name="entry box 6 91 7" xfId="19363"/>
    <cellStyle name="entry box 6 92" xfId="4213"/>
    <cellStyle name="entry box 6 92 2" xfId="19364"/>
    <cellStyle name="entry box 6 92 3" xfId="19365"/>
    <cellStyle name="entry box 6 92 4" xfId="19366"/>
    <cellStyle name="entry box 6 92 5" xfId="19367"/>
    <cellStyle name="entry box 6 92 6" xfId="19368"/>
    <cellStyle name="entry box 6 92 7" xfId="19369"/>
    <cellStyle name="entry box 6 93" xfId="4214"/>
    <cellStyle name="entry box 6 93 2" xfId="19370"/>
    <cellStyle name="entry box 6 93 3" xfId="19371"/>
    <cellStyle name="entry box 6 93 4" xfId="19372"/>
    <cellStyle name="entry box 6 93 5" xfId="19373"/>
    <cellStyle name="entry box 6 93 6" xfId="19374"/>
    <cellStyle name="entry box 6 94" xfId="19375"/>
    <cellStyle name="entry box 6 95" xfId="19376"/>
    <cellStyle name="entry box 6 96" xfId="19377"/>
    <cellStyle name="entry box 6 97" xfId="19378"/>
    <cellStyle name="entry box 6 98" xfId="19379"/>
    <cellStyle name="entry box 6 99" xfId="19380"/>
    <cellStyle name="entry box 60" xfId="4215"/>
    <cellStyle name="entry box 60 2" xfId="19381"/>
    <cellStyle name="entry box 60 3" xfId="19382"/>
    <cellStyle name="entry box 60 4" xfId="19383"/>
    <cellStyle name="entry box 60 5" xfId="19384"/>
    <cellStyle name="entry box 60 6" xfId="19385"/>
    <cellStyle name="entry box 60 7" xfId="19386"/>
    <cellStyle name="entry box 61" xfId="4216"/>
    <cellStyle name="entry box 61 2" xfId="19387"/>
    <cellStyle name="entry box 61 3" xfId="19388"/>
    <cellStyle name="entry box 61 4" xfId="19389"/>
    <cellStyle name="entry box 61 5" xfId="19390"/>
    <cellStyle name="entry box 61 6" xfId="19391"/>
    <cellStyle name="entry box 61 7" xfId="19392"/>
    <cellStyle name="entry box 62" xfId="4217"/>
    <cellStyle name="entry box 62 2" xfId="19393"/>
    <cellStyle name="entry box 62 3" xfId="19394"/>
    <cellStyle name="entry box 62 4" xfId="19395"/>
    <cellStyle name="entry box 62 5" xfId="19396"/>
    <cellStyle name="entry box 62 6" xfId="19397"/>
    <cellStyle name="entry box 62 7" xfId="19398"/>
    <cellStyle name="entry box 63" xfId="4218"/>
    <cellStyle name="entry box 63 2" xfId="19399"/>
    <cellStyle name="entry box 63 3" xfId="19400"/>
    <cellStyle name="entry box 63 4" xfId="19401"/>
    <cellStyle name="entry box 63 5" xfId="19402"/>
    <cellStyle name="entry box 63 6" xfId="19403"/>
    <cellStyle name="entry box 63 7" xfId="19404"/>
    <cellStyle name="entry box 64" xfId="4219"/>
    <cellStyle name="entry box 64 2" xfId="19405"/>
    <cellStyle name="entry box 64 3" xfId="19406"/>
    <cellStyle name="entry box 64 4" xfId="19407"/>
    <cellStyle name="entry box 64 5" xfId="19408"/>
    <cellStyle name="entry box 64 6" xfId="19409"/>
    <cellStyle name="entry box 64 7" xfId="19410"/>
    <cellStyle name="entry box 65" xfId="4220"/>
    <cellStyle name="entry box 65 2" xfId="19411"/>
    <cellStyle name="entry box 65 3" xfId="19412"/>
    <cellStyle name="entry box 65 4" xfId="19413"/>
    <cellStyle name="entry box 65 5" xfId="19414"/>
    <cellStyle name="entry box 65 6" xfId="19415"/>
    <cellStyle name="entry box 65 7" xfId="19416"/>
    <cellStyle name="entry box 66" xfId="4221"/>
    <cellStyle name="entry box 66 2" xfId="19417"/>
    <cellStyle name="entry box 66 3" xfId="19418"/>
    <cellStyle name="entry box 66 4" xfId="19419"/>
    <cellStyle name="entry box 66 5" xfId="19420"/>
    <cellStyle name="entry box 66 6" xfId="19421"/>
    <cellStyle name="entry box 66 7" xfId="19422"/>
    <cellStyle name="entry box 67" xfId="4222"/>
    <cellStyle name="entry box 67 2" xfId="19423"/>
    <cellStyle name="entry box 67 3" xfId="19424"/>
    <cellStyle name="entry box 67 4" xfId="19425"/>
    <cellStyle name="entry box 67 5" xfId="19426"/>
    <cellStyle name="entry box 67 6" xfId="19427"/>
    <cellStyle name="entry box 67 7" xfId="19428"/>
    <cellStyle name="entry box 68" xfId="4223"/>
    <cellStyle name="entry box 68 2" xfId="19429"/>
    <cellStyle name="entry box 68 3" xfId="19430"/>
    <cellStyle name="entry box 68 4" xfId="19431"/>
    <cellStyle name="entry box 68 5" xfId="19432"/>
    <cellStyle name="entry box 68 6" xfId="19433"/>
    <cellStyle name="entry box 68 7" xfId="19434"/>
    <cellStyle name="entry box 69" xfId="4224"/>
    <cellStyle name="entry box 69 2" xfId="19435"/>
    <cellStyle name="entry box 69 3" xfId="19436"/>
    <cellStyle name="entry box 69 4" xfId="19437"/>
    <cellStyle name="entry box 69 5" xfId="19438"/>
    <cellStyle name="entry box 69 6" xfId="19439"/>
    <cellStyle name="entry box 69 7" xfId="19440"/>
    <cellStyle name="entry box 7" xfId="4225"/>
    <cellStyle name="entry box 7 10" xfId="19441"/>
    <cellStyle name="entry box 7 11" xfId="19442"/>
    <cellStyle name="entry box 7 2" xfId="19443"/>
    <cellStyle name="entry box 7 3" xfId="19444"/>
    <cellStyle name="entry box 7 4" xfId="19445"/>
    <cellStyle name="entry box 7 5" xfId="19446"/>
    <cellStyle name="entry box 7 6" xfId="19447"/>
    <cellStyle name="entry box 7 7" xfId="19448"/>
    <cellStyle name="entry box 7 8" xfId="19449"/>
    <cellStyle name="entry box 7 9" xfId="19450"/>
    <cellStyle name="entry box 70" xfId="4226"/>
    <cellStyle name="entry box 70 2" xfId="19451"/>
    <cellStyle name="entry box 70 3" xfId="19452"/>
    <cellStyle name="entry box 70 4" xfId="19453"/>
    <cellStyle name="entry box 70 5" xfId="19454"/>
    <cellStyle name="entry box 70 6" xfId="19455"/>
    <cellStyle name="entry box 70 7" xfId="19456"/>
    <cellStyle name="entry box 71" xfId="4227"/>
    <cellStyle name="entry box 71 2" xfId="19457"/>
    <cellStyle name="entry box 71 3" xfId="19458"/>
    <cellStyle name="entry box 71 4" xfId="19459"/>
    <cellStyle name="entry box 71 5" xfId="19460"/>
    <cellStyle name="entry box 71 6" xfId="19461"/>
    <cellStyle name="entry box 71 7" xfId="19462"/>
    <cellStyle name="entry box 72" xfId="4228"/>
    <cellStyle name="entry box 72 2" xfId="19463"/>
    <cellStyle name="entry box 72 3" xfId="19464"/>
    <cellStyle name="entry box 72 4" xfId="19465"/>
    <cellStyle name="entry box 72 5" xfId="19466"/>
    <cellStyle name="entry box 72 6" xfId="19467"/>
    <cellStyle name="entry box 72 7" xfId="19468"/>
    <cellStyle name="entry box 73" xfId="4229"/>
    <cellStyle name="entry box 73 2" xfId="19469"/>
    <cellStyle name="entry box 73 3" xfId="19470"/>
    <cellStyle name="entry box 73 4" xfId="19471"/>
    <cellStyle name="entry box 73 5" xfId="19472"/>
    <cellStyle name="entry box 73 6" xfId="19473"/>
    <cellStyle name="entry box 73 7" xfId="19474"/>
    <cellStyle name="entry box 74" xfId="4230"/>
    <cellStyle name="entry box 74 2" xfId="19475"/>
    <cellStyle name="entry box 74 3" xfId="19476"/>
    <cellStyle name="entry box 74 4" xfId="19477"/>
    <cellStyle name="entry box 74 5" xfId="19478"/>
    <cellStyle name="entry box 74 6" xfId="19479"/>
    <cellStyle name="entry box 74 7" xfId="19480"/>
    <cellStyle name="entry box 75" xfId="4231"/>
    <cellStyle name="entry box 75 2" xfId="19481"/>
    <cellStyle name="entry box 75 3" xfId="19482"/>
    <cellStyle name="entry box 75 4" xfId="19483"/>
    <cellStyle name="entry box 75 5" xfId="19484"/>
    <cellStyle name="entry box 75 6" xfId="19485"/>
    <cellStyle name="entry box 75 7" xfId="19486"/>
    <cellStyle name="entry box 8" xfId="4232"/>
    <cellStyle name="entry box 8 10" xfId="19487"/>
    <cellStyle name="entry box 8 11" xfId="19488"/>
    <cellStyle name="entry box 8 2" xfId="19489"/>
    <cellStyle name="entry box 8 3" xfId="19490"/>
    <cellStyle name="entry box 8 4" xfId="19491"/>
    <cellStyle name="entry box 8 5" xfId="19492"/>
    <cellStyle name="entry box 8 6" xfId="19493"/>
    <cellStyle name="entry box 8 7" xfId="19494"/>
    <cellStyle name="entry box 8 8" xfId="19495"/>
    <cellStyle name="entry box 8 9" xfId="19496"/>
    <cellStyle name="entry box 9" xfId="4233"/>
    <cellStyle name="entry box 9 10" xfId="19497"/>
    <cellStyle name="entry box 9 11" xfId="19498"/>
    <cellStyle name="entry box 9 2" xfId="19499"/>
    <cellStyle name="entry box 9 3" xfId="19500"/>
    <cellStyle name="entry box 9 4" xfId="19501"/>
    <cellStyle name="entry box 9 5" xfId="19502"/>
    <cellStyle name="entry box 9 6" xfId="19503"/>
    <cellStyle name="entry box 9 7" xfId="19504"/>
    <cellStyle name="entry box 9 8" xfId="19505"/>
    <cellStyle name="entry box 9 9" xfId="19506"/>
    <cellStyle name="entry box_Cashflow trend" xfId="1059"/>
    <cellStyle name="Euro" xfId="1060"/>
    <cellStyle name="Explanatory Text 2" xfId="1061"/>
    <cellStyle name="Explanatory Text 2 2" xfId="1062"/>
    <cellStyle name="EY House" xfId="1063"/>
    <cellStyle name="F2" xfId="1064"/>
    <cellStyle name="F3" xfId="1065"/>
    <cellStyle name="F4" xfId="1066"/>
    <cellStyle name="F5" xfId="1067"/>
    <cellStyle name="F6" xfId="1068"/>
    <cellStyle name="F7" xfId="1069"/>
    <cellStyle name="F8" xfId="1070"/>
    <cellStyle name="Fixed" xfId="1071"/>
    <cellStyle name="ƒnƒCƒp[ƒŠƒ“ƒN" xfId="1072"/>
    <cellStyle name="Footnote" xfId="1073"/>
    <cellStyle name="Fraction" xfId="1074"/>
    <cellStyle name="General" xfId="1075"/>
    <cellStyle name="Good 2" xfId="1076"/>
    <cellStyle name="Good 2 2" xfId="1077"/>
    <cellStyle name="Grey" xfId="1078"/>
    <cellStyle name="Hard Percent" xfId="1079"/>
    <cellStyle name="HEADER" xfId="1080"/>
    <cellStyle name="Header1" xfId="1081"/>
    <cellStyle name="Header1 2" xfId="4234"/>
    <cellStyle name="Header1 2 2" xfId="19507"/>
    <cellStyle name="Header1 3" xfId="19508"/>
    <cellStyle name="Header2" xfId="1082"/>
    <cellStyle name="Header2 10" xfId="4235"/>
    <cellStyle name="Header2 10 10" xfId="19509"/>
    <cellStyle name="Header2 10 2" xfId="19510"/>
    <cellStyle name="Header2 10 3" xfId="19511"/>
    <cellStyle name="Header2 10 4" xfId="19512"/>
    <cellStyle name="Header2 10 5" xfId="19513"/>
    <cellStyle name="Header2 10 6" xfId="19514"/>
    <cellStyle name="Header2 10 7" xfId="19515"/>
    <cellStyle name="Header2 10 8" xfId="19516"/>
    <cellStyle name="Header2 10 9" xfId="19517"/>
    <cellStyle name="Header2 11" xfId="4236"/>
    <cellStyle name="Header2 11 2" xfId="19518"/>
    <cellStyle name="Header2 11 3" xfId="19519"/>
    <cellStyle name="Header2 11 4" xfId="19520"/>
    <cellStyle name="Header2 11 5" xfId="19521"/>
    <cellStyle name="Header2 11 6" xfId="19522"/>
    <cellStyle name="Header2 11 7" xfId="19523"/>
    <cellStyle name="Header2 11 8" xfId="19524"/>
    <cellStyle name="Header2 11 9" xfId="19525"/>
    <cellStyle name="Header2 12" xfId="4237"/>
    <cellStyle name="Header2 12 2" xfId="19526"/>
    <cellStyle name="Header2 12 3" xfId="19527"/>
    <cellStyle name="Header2 12 4" xfId="19528"/>
    <cellStyle name="Header2 12 5" xfId="19529"/>
    <cellStyle name="Header2 12 6" xfId="19530"/>
    <cellStyle name="Header2 12 7" xfId="19531"/>
    <cellStyle name="Header2 12 8" xfId="19532"/>
    <cellStyle name="Header2 12 9" xfId="19533"/>
    <cellStyle name="Header2 13" xfId="4238"/>
    <cellStyle name="Header2 13 2" xfId="19534"/>
    <cellStyle name="Header2 13 3" xfId="19535"/>
    <cellStyle name="Header2 13 4" xfId="19536"/>
    <cellStyle name="Header2 13 5" xfId="19537"/>
    <cellStyle name="Header2 13 6" xfId="19538"/>
    <cellStyle name="Header2 13 7" xfId="19539"/>
    <cellStyle name="Header2 13 8" xfId="19540"/>
    <cellStyle name="Header2 13 9" xfId="19541"/>
    <cellStyle name="Header2 14" xfId="4239"/>
    <cellStyle name="Header2 14 2" xfId="19542"/>
    <cellStyle name="Header2 14 3" xfId="19543"/>
    <cellStyle name="Header2 14 4" xfId="19544"/>
    <cellStyle name="Header2 14 5" xfId="19545"/>
    <cellStyle name="Header2 14 6" xfId="19546"/>
    <cellStyle name="Header2 14 7" xfId="19547"/>
    <cellStyle name="Header2 14 8" xfId="19548"/>
    <cellStyle name="Header2 14 9" xfId="19549"/>
    <cellStyle name="Header2 15" xfId="4240"/>
    <cellStyle name="Header2 15 2" xfId="19550"/>
    <cellStyle name="Header2 15 3" xfId="19551"/>
    <cellStyle name="Header2 15 4" xfId="19552"/>
    <cellStyle name="Header2 15 5" xfId="19553"/>
    <cellStyle name="Header2 15 6" xfId="19554"/>
    <cellStyle name="Header2 15 7" xfId="19555"/>
    <cellStyle name="Header2 15 8" xfId="19556"/>
    <cellStyle name="Header2 15 9" xfId="19557"/>
    <cellStyle name="Header2 16" xfId="4241"/>
    <cellStyle name="Header2 16 2" xfId="19558"/>
    <cellStyle name="Header2 16 3" xfId="19559"/>
    <cellStyle name="Header2 16 4" xfId="19560"/>
    <cellStyle name="Header2 16 5" xfId="19561"/>
    <cellStyle name="Header2 16 6" xfId="19562"/>
    <cellStyle name="Header2 16 7" xfId="19563"/>
    <cellStyle name="Header2 16 8" xfId="19564"/>
    <cellStyle name="Header2 16 9" xfId="19565"/>
    <cellStyle name="Header2 17" xfId="4242"/>
    <cellStyle name="Header2 17 2" xfId="19566"/>
    <cellStyle name="Header2 17 3" xfId="19567"/>
    <cellStyle name="Header2 17 4" xfId="19568"/>
    <cellStyle name="Header2 17 5" xfId="19569"/>
    <cellStyle name="Header2 17 6" xfId="19570"/>
    <cellStyle name="Header2 17 7" xfId="19571"/>
    <cellStyle name="Header2 17 8" xfId="19572"/>
    <cellStyle name="Header2 17 9" xfId="19573"/>
    <cellStyle name="Header2 18" xfId="4243"/>
    <cellStyle name="Header2 18 2" xfId="19574"/>
    <cellStyle name="Header2 18 3" xfId="19575"/>
    <cellStyle name="Header2 18 4" xfId="19576"/>
    <cellStyle name="Header2 18 5" xfId="19577"/>
    <cellStyle name="Header2 18 6" xfId="19578"/>
    <cellStyle name="Header2 18 7" xfId="19579"/>
    <cellStyle name="Header2 18 8" xfId="19580"/>
    <cellStyle name="Header2 18 9" xfId="19581"/>
    <cellStyle name="Header2 19" xfId="4244"/>
    <cellStyle name="Header2 19 2" xfId="19582"/>
    <cellStyle name="Header2 19 3" xfId="19583"/>
    <cellStyle name="Header2 19 4" xfId="19584"/>
    <cellStyle name="Header2 19 5" xfId="19585"/>
    <cellStyle name="Header2 19 6" xfId="19586"/>
    <cellStyle name="Header2 19 7" xfId="19587"/>
    <cellStyle name="Header2 19 8" xfId="19588"/>
    <cellStyle name="Header2 19 9" xfId="19589"/>
    <cellStyle name="Header2 2" xfId="1083"/>
    <cellStyle name="Header2 2 10" xfId="4245"/>
    <cellStyle name="Header2 2 10 2" xfId="19590"/>
    <cellStyle name="Header2 2 10 3" xfId="19591"/>
    <cellStyle name="Header2 2 10 4" xfId="19592"/>
    <cellStyle name="Header2 2 10 5" xfId="19593"/>
    <cellStyle name="Header2 2 10 6" xfId="19594"/>
    <cellStyle name="Header2 2 10 7" xfId="19595"/>
    <cellStyle name="Header2 2 10 8" xfId="19596"/>
    <cellStyle name="Header2 2 10 9" xfId="19597"/>
    <cellStyle name="Header2 2 100" xfId="19598"/>
    <cellStyle name="Header2 2 11" xfId="4246"/>
    <cellStyle name="Header2 2 11 2" xfId="19599"/>
    <cellStyle name="Header2 2 11 3" xfId="19600"/>
    <cellStyle name="Header2 2 11 4" xfId="19601"/>
    <cellStyle name="Header2 2 11 5" xfId="19602"/>
    <cellStyle name="Header2 2 11 6" xfId="19603"/>
    <cellStyle name="Header2 2 11 7" xfId="19604"/>
    <cellStyle name="Header2 2 11 8" xfId="19605"/>
    <cellStyle name="Header2 2 11 9" xfId="19606"/>
    <cellStyle name="Header2 2 12" xfId="4247"/>
    <cellStyle name="Header2 2 12 2" xfId="19607"/>
    <cellStyle name="Header2 2 12 3" xfId="19608"/>
    <cellStyle name="Header2 2 12 4" xfId="19609"/>
    <cellStyle name="Header2 2 12 5" xfId="19610"/>
    <cellStyle name="Header2 2 12 6" xfId="19611"/>
    <cellStyle name="Header2 2 12 7" xfId="19612"/>
    <cellStyle name="Header2 2 12 8" xfId="19613"/>
    <cellStyle name="Header2 2 12 9" xfId="19614"/>
    <cellStyle name="Header2 2 13" xfId="4248"/>
    <cellStyle name="Header2 2 13 2" xfId="19615"/>
    <cellStyle name="Header2 2 13 3" xfId="19616"/>
    <cellStyle name="Header2 2 13 4" xfId="19617"/>
    <cellStyle name="Header2 2 13 5" xfId="19618"/>
    <cellStyle name="Header2 2 13 6" xfId="19619"/>
    <cellStyle name="Header2 2 13 7" xfId="19620"/>
    <cellStyle name="Header2 2 13 8" xfId="19621"/>
    <cellStyle name="Header2 2 13 9" xfId="19622"/>
    <cellStyle name="Header2 2 14" xfId="4249"/>
    <cellStyle name="Header2 2 14 2" xfId="19623"/>
    <cellStyle name="Header2 2 14 3" xfId="19624"/>
    <cellStyle name="Header2 2 14 4" xfId="19625"/>
    <cellStyle name="Header2 2 14 5" xfId="19626"/>
    <cellStyle name="Header2 2 14 6" xfId="19627"/>
    <cellStyle name="Header2 2 14 7" xfId="19628"/>
    <cellStyle name="Header2 2 14 8" xfId="19629"/>
    <cellStyle name="Header2 2 14 9" xfId="19630"/>
    <cellStyle name="Header2 2 15" xfId="4250"/>
    <cellStyle name="Header2 2 15 2" xfId="19631"/>
    <cellStyle name="Header2 2 15 3" xfId="19632"/>
    <cellStyle name="Header2 2 15 4" xfId="19633"/>
    <cellStyle name="Header2 2 15 5" xfId="19634"/>
    <cellStyle name="Header2 2 15 6" xfId="19635"/>
    <cellStyle name="Header2 2 15 7" xfId="19636"/>
    <cellStyle name="Header2 2 15 8" xfId="19637"/>
    <cellStyle name="Header2 2 15 9" xfId="19638"/>
    <cellStyle name="Header2 2 16" xfId="4251"/>
    <cellStyle name="Header2 2 16 2" xfId="19639"/>
    <cellStyle name="Header2 2 16 3" xfId="19640"/>
    <cellStyle name="Header2 2 16 4" xfId="19641"/>
    <cellStyle name="Header2 2 16 5" xfId="19642"/>
    <cellStyle name="Header2 2 16 6" xfId="19643"/>
    <cellStyle name="Header2 2 16 7" xfId="19644"/>
    <cellStyle name="Header2 2 16 8" xfId="19645"/>
    <cellStyle name="Header2 2 16 9" xfId="19646"/>
    <cellStyle name="Header2 2 17" xfId="4252"/>
    <cellStyle name="Header2 2 17 2" xfId="19647"/>
    <cellStyle name="Header2 2 17 3" xfId="19648"/>
    <cellStyle name="Header2 2 17 4" xfId="19649"/>
    <cellStyle name="Header2 2 17 5" xfId="19650"/>
    <cellStyle name="Header2 2 17 6" xfId="19651"/>
    <cellStyle name="Header2 2 17 7" xfId="19652"/>
    <cellStyle name="Header2 2 17 8" xfId="19653"/>
    <cellStyle name="Header2 2 17 9" xfId="19654"/>
    <cellStyle name="Header2 2 18" xfId="4253"/>
    <cellStyle name="Header2 2 18 2" xfId="19655"/>
    <cellStyle name="Header2 2 18 3" xfId="19656"/>
    <cellStyle name="Header2 2 18 4" xfId="19657"/>
    <cellStyle name="Header2 2 18 5" xfId="19658"/>
    <cellStyle name="Header2 2 18 6" xfId="19659"/>
    <cellStyle name="Header2 2 18 7" xfId="19660"/>
    <cellStyle name="Header2 2 18 8" xfId="19661"/>
    <cellStyle name="Header2 2 18 9" xfId="19662"/>
    <cellStyle name="Header2 2 19" xfId="4254"/>
    <cellStyle name="Header2 2 19 2" xfId="19663"/>
    <cellStyle name="Header2 2 19 3" xfId="19664"/>
    <cellStyle name="Header2 2 19 4" xfId="19665"/>
    <cellStyle name="Header2 2 19 5" xfId="19666"/>
    <cellStyle name="Header2 2 19 6" xfId="19667"/>
    <cellStyle name="Header2 2 19 7" xfId="19668"/>
    <cellStyle name="Header2 2 19 8" xfId="19669"/>
    <cellStyle name="Header2 2 19 9" xfId="19670"/>
    <cellStyle name="Header2 2 2" xfId="1084"/>
    <cellStyle name="Header2 2 2 10" xfId="4255"/>
    <cellStyle name="Header2 2 2 10 2" xfId="19671"/>
    <cellStyle name="Header2 2 2 10 3" xfId="19672"/>
    <cellStyle name="Header2 2 2 10 4" xfId="19673"/>
    <cellStyle name="Header2 2 2 10 5" xfId="19674"/>
    <cellStyle name="Header2 2 2 10 6" xfId="19675"/>
    <cellStyle name="Header2 2 2 10 7" xfId="19676"/>
    <cellStyle name="Header2 2 2 10 8" xfId="19677"/>
    <cellStyle name="Header2 2 2 10 9" xfId="19678"/>
    <cellStyle name="Header2 2 2 100" xfId="19679"/>
    <cellStyle name="Header2 2 2 101" xfId="19680"/>
    <cellStyle name="Header2 2 2 102" xfId="19681"/>
    <cellStyle name="Header2 2 2 11" xfId="4256"/>
    <cellStyle name="Header2 2 2 11 2" xfId="19682"/>
    <cellStyle name="Header2 2 2 11 3" xfId="19683"/>
    <cellStyle name="Header2 2 2 11 4" xfId="19684"/>
    <cellStyle name="Header2 2 2 11 5" xfId="19685"/>
    <cellStyle name="Header2 2 2 11 6" xfId="19686"/>
    <cellStyle name="Header2 2 2 11 7" xfId="19687"/>
    <cellStyle name="Header2 2 2 11 8" xfId="19688"/>
    <cellStyle name="Header2 2 2 11 9" xfId="19689"/>
    <cellStyle name="Header2 2 2 12" xfId="4257"/>
    <cellStyle name="Header2 2 2 12 2" xfId="19690"/>
    <cellStyle name="Header2 2 2 12 3" xfId="19691"/>
    <cellStyle name="Header2 2 2 12 4" xfId="19692"/>
    <cellStyle name="Header2 2 2 12 5" xfId="19693"/>
    <cellStyle name="Header2 2 2 12 6" xfId="19694"/>
    <cellStyle name="Header2 2 2 12 7" xfId="19695"/>
    <cellStyle name="Header2 2 2 12 8" xfId="19696"/>
    <cellStyle name="Header2 2 2 12 9" xfId="19697"/>
    <cellStyle name="Header2 2 2 13" xfId="4258"/>
    <cellStyle name="Header2 2 2 13 2" xfId="19698"/>
    <cellStyle name="Header2 2 2 13 3" xfId="19699"/>
    <cellStyle name="Header2 2 2 13 4" xfId="19700"/>
    <cellStyle name="Header2 2 2 13 5" xfId="19701"/>
    <cellStyle name="Header2 2 2 13 6" xfId="19702"/>
    <cellStyle name="Header2 2 2 13 7" xfId="19703"/>
    <cellStyle name="Header2 2 2 13 8" xfId="19704"/>
    <cellStyle name="Header2 2 2 13 9" xfId="19705"/>
    <cellStyle name="Header2 2 2 14" xfId="4259"/>
    <cellStyle name="Header2 2 2 14 2" xfId="19706"/>
    <cellStyle name="Header2 2 2 14 3" xfId="19707"/>
    <cellStyle name="Header2 2 2 14 4" xfId="19708"/>
    <cellStyle name="Header2 2 2 14 5" xfId="19709"/>
    <cellStyle name="Header2 2 2 14 6" xfId="19710"/>
    <cellStyle name="Header2 2 2 14 7" xfId="19711"/>
    <cellStyle name="Header2 2 2 14 8" xfId="19712"/>
    <cellStyle name="Header2 2 2 14 9" xfId="19713"/>
    <cellStyle name="Header2 2 2 15" xfId="4260"/>
    <cellStyle name="Header2 2 2 15 2" xfId="19714"/>
    <cellStyle name="Header2 2 2 15 3" xfId="19715"/>
    <cellStyle name="Header2 2 2 15 4" xfId="19716"/>
    <cellStyle name="Header2 2 2 15 5" xfId="19717"/>
    <cellStyle name="Header2 2 2 15 6" xfId="19718"/>
    <cellStyle name="Header2 2 2 15 7" xfId="19719"/>
    <cellStyle name="Header2 2 2 15 8" xfId="19720"/>
    <cellStyle name="Header2 2 2 15 9" xfId="19721"/>
    <cellStyle name="Header2 2 2 16" xfId="4261"/>
    <cellStyle name="Header2 2 2 16 2" xfId="19722"/>
    <cellStyle name="Header2 2 2 16 3" xfId="19723"/>
    <cellStyle name="Header2 2 2 16 4" xfId="19724"/>
    <cellStyle name="Header2 2 2 16 5" xfId="19725"/>
    <cellStyle name="Header2 2 2 16 6" xfId="19726"/>
    <cellStyle name="Header2 2 2 16 7" xfId="19727"/>
    <cellStyle name="Header2 2 2 16 8" xfId="19728"/>
    <cellStyle name="Header2 2 2 16 9" xfId="19729"/>
    <cellStyle name="Header2 2 2 17" xfId="4262"/>
    <cellStyle name="Header2 2 2 17 2" xfId="19730"/>
    <cellStyle name="Header2 2 2 17 3" xfId="19731"/>
    <cellStyle name="Header2 2 2 17 4" xfId="19732"/>
    <cellStyle name="Header2 2 2 17 5" xfId="19733"/>
    <cellStyle name="Header2 2 2 17 6" xfId="19734"/>
    <cellStyle name="Header2 2 2 17 7" xfId="19735"/>
    <cellStyle name="Header2 2 2 17 8" xfId="19736"/>
    <cellStyle name="Header2 2 2 17 9" xfId="19737"/>
    <cellStyle name="Header2 2 2 18" xfId="4263"/>
    <cellStyle name="Header2 2 2 18 2" xfId="19738"/>
    <cellStyle name="Header2 2 2 18 3" xfId="19739"/>
    <cellStyle name="Header2 2 2 18 4" xfId="19740"/>
    <cellStyle name="Header2 2 2 18 5" xfId="19741"/>
    <cellStyle name="Header2 2 2 18 6" xfId="19742"/>
    <cellStyle name="Header2 2 2 18 7" xfId="19743"/>
    <cellStyle name="Header2 2 2 18 8" xfId="19744"/>
    <cellStyle name="Header2 2 2 18 9" xfId="19745"/>
    <cellStyle name="Header2 2 2 19" xfId="4264"/>
    <cellStyle name="Header2 2 2 19 2" xfId="19746"/>
    <cellStyle name="Header2 2 2 19 3" xfId="19747"/>
    <cellStyle name="Header2 2 2 19 4" xfId="19748"/>
    <cellStyle name="Header2 2 2 19 5" xfId="19749"/>
    <cellStyle name="Header2 2 2 19 6" xfId="19750"/>
    <cellStyle name="Header2 2 2 19 7" xfId="19751"/>
    <cellStyle name="Header2 2 2 19 8" xfId="19752"/>
    <cellStyle name="Header2 2 2 19 9" xfId="19753"/>
    <cellStyle name="Header2 2 2 2" xfId="1085"/>
    <cellStyle name="Header2 2 2 2 10" xfId="19754"/>
    <cellStyle name="Header2 2 2 2 11" xfId="19755"/>
    <cellStyle name="Header2 2 2 2 2" xfId="1086"/>
    <cellStyle name="Header2 2 2 2 2 2" xfId="1087"/>
    <cellStyle name="Header2 2 2 2 2 2 2" xfId="12754"/>
    <cellStyle name="Header2 2 2 2 2 2_YL Capex Cashflow &amp; Dep" xfId="11314"/>
    <cellStyle name="Header2 2 2 2 2 3" xfId="12052"/>
    <cellStyle name="Header2 2 2 2 2_Cashflow trend" xfId="1088"/>
    <cellStyle name="Header2 2 2 2 3" xfId="1089"/>
    <cellStyle name="Header2 2 2 2 3 2" xfId="1090"/>
    <cellStyle name="Header2 2 2 2 3 2 2" xfId="12686"/>
    <cellStyle name="Header2 2 2 2 3 2_YL Capex Cashflow &amp; Dep" xfId="11313"/>
    <cellStyle name="Header2 2 2 2 3 3" xfId="11987"/>
    <cellStyle name="Header2 2 2 2 3_Cashflow trend" xfId="1091"/>
    <cellStyle name="Header2 2 2 2 4" xfId="1092"/>
    <cellStyle name="Header2 2 2 2 4 2" xfId="11682"/>
    <cellStyle name="Header2 2 2 2 4_YL Capex Cashflow &amp; Dep" xfId="11724"/>
    <cellStyle name="Header2 2 2 2 5" xfId="1093"/>
    <cellStyle name="Header2 2 2 2 5 2" xfId="1094"/>
    <cellStyle name="Header2 2 2 2 5 2 2" xfId="12828"/>
    <cellStyle name="Header2 2 2 2 5 2_YL Capex Cashflow &amp; Dep" xfId="13263"/>
    <cellStyle name="Header2 2 2 2 5 3" xfId="12092"/>
    <cellStyle name="Header2 2 2 2 5_Cashflow trend" xfId="1095"/>
    <cellStyle name="Header2 2 2 2 6" xfId="1096"/>
    <cellStyle name="Header2 2 2 2 6 2" xfId="1097"/>
    <cellStyle name="Header2 2 2 2 6 2 2" xfId="13031"/>
    <cellStyle name="Header2 2 2 2 6 2_YL Capex Cashflow &amp; Dep" xfId="11356"/>
    <cellStyle name="Header2 2 2 2 6 3" xfId="1098"/>
    <cellStyle name="Header2 2 2 2 6 3 2" xfId="12787"/>
    <cellStyle name="Header2 2 2 2 6 3_YL Capex Cashflow &amp; Dep" xfId="10882"/>
    <cellStyle name="Header2 2 2 2 6 4" xfId="12418"/>
    <cellStyle name="Header2 2 2 2 6_Cashflow trend" xfId="1099"/>
    <cellStyle name="Header2 2 2 2 7" xfId="11503"/>
    <cellStyle name="Header2 2 2 2 8" xfId="19756"/>
    <cellStyle name="Header2 2 2 2 9" xfId="19757"/>
    <cellStyle name="Header2 2 2 2_Cashflow trend" xfId="1100"/>
    <cellStyle name="Header2 2 2 20" xfId="4265"/>
    <cellStyle name="Header2 2 2 20 10" xfId="19758"/>
    <cellStyle name="Header2 2 2 20 2" xfId="19759"/>
    <cellStyle name="Header2 2 2 20 3" xfId="19760"/>
    <cellStyle name="Header2 2 2 20 4" xfId="19761"/>
    <cellStyle name="Header2 2 2 20 5" xfId="19762"/>
    <cellStyle name="Header2 2 2 20 6" xfId="19763"/>
    <cellStyle name="Header2 2 2 20 7" xfId="19764"/>
    <cellStyle name="Header2 2 2 20 8" xfId="19765"/>
    <cellStyle name="Header2 2 2 20 9" xfId="19766"/>
    <cellStyle name="Header2 2 2 21" xfId="4266"/>
    <cellStyle name="Header2 2 2 21 10" xfId="19767"/>
    <cellStyle name="Header2 2 2 21 2" xfId="19768"/>
    <cellStyle name="Header2 2 2 21 3" xfId="19769"/>
    <cellStyle name="Header2 2 2 21 4" xfId="19770"/>
    <cellStyle name="Header2 2 2 21 5" xfId="19771"/>
    <cellStyle name="Header2 2 2 21 6" xfId="19772"/>
    <cellStyle name="Header2 2 2 21 7" xfId="19773"/>
    <cellStyle name="Header2 2 2 21 8" xfId="19774"/>
    <cellStyle name="Header2 2 2 21 9" xfId="19775"/>
    <cellStyle name="Header2 2 2 22" xfId="4267"/>
    <cellStyle name="Header2 2 2 22 10" xfId="19776"/>
    <cellStyle name="Header2 2 2 22 2" xfId="19777"/>
    <cellStyle name="Header2 2 2 22 3" xfId="19778"/>
    <cellStyle name="Header2 2 2 22 4" xfId="19779"/>
    <cellStyle name="Header2 2 2 22 5" xfId="19780"/>
    <cellStyle name="Header2 2 2 22 6" xfId="19781"/>
    <cellStyle name="Header2 2 2 22 7" xfId="19782"/>
    <cellStyle name="Header2 2 2 22 8" xfId="19783"/>
    <cellStyle name="Header2 2 2 22 9" xfId="19784"/>
    <cellStyle name="Header2 2 2 23" xfId="4268"/>
    <cellStyle name="Header2 2 2 23 10" xfId="19785"/>
    <cellStyle name="Header2 2 2 23 2" xfId="19786"/>
    <cellStyle name="Header2 2 2 23 3" xfId="19787"/>
    <cellStyle name="Header2 2 2 23 4" xfId="19788"/>
    <cellStyle name="Header2 2 2 23 5" xfId="19789"/>
    <cellStyle name="Header2 2 2 23 6" xfId="19790"/>
    <cellStyle name="Header2 2 2 23 7" xfId="19791"/>
    <cellStyle name="Header2 2 2 23 8" xfId="19792"/>
    <cellStyle name="Header2 2 2 23 9" xfId="19793"/>
    <cellStyle name="Header2 2 2 24" xfId="4269"/>
    <cellStyle name="Header2 2 2 24 10" xfId="19794"/>
    <cellStyle name="Header2 2 2 24 2" xfId="19795"/>
    <cellStyle name="Header2 2 2 24 3" xfId="19796"/>
    <cellStyle name="Header2 2 2 24 4" xfId="19797"/>
    <cellStyle name="Header2 2 2 24 5" xfId="19798"/>
    <cellStyle name="Header2 2 2 24 6" xfId="19799"/>
    <cellStyle name="Header2 2 2 24 7" xfId="19800"/>
    <cellStyle name="Header2 2 2 24 8" xfId="19801"/>
    <cellStyle name="Header2 2 2 24 9" xfId="19802"/>
    <cellStyle name="Header2 2 2 25" xfId="4270"/>
    <cellStyle name="Header2 2 2 25 10" xfId="19803"/>
    <cellStyle name="Header2 2 2 25 2" xfId="19804"/>
    <cellStyle name="Header2 2 2 25 3" xfId="19805"/>
    <cellStyle name="Header2 2 2 25 4" xfId="19806"/>
    <cellStyle name="Header2 2 2 25 5" xfId="19807"/>
    <cellStyle name="Header2 2 2 25 6" xfId="19808"/>
    <cellStyle name="Header2 2 2 25 7" xfId="19809"/>
    <cellStyle name="Header2 2 2 25 8" xfId="19810"/>
    <cellStyle name="Header2 2 2 25 9" xfId="19811"/>
    <cellStyle name="Header2 2 2 26" xfId="4271"/>
    <cellStyle name="Header2 2 2 26 10" xfId="19812"/>
    <cellStyle name="Header2 2 2 26 2" xfId="19813"/>
    <cellStyle name="Header2 2 2 26 3" xfId="19814"/>
    <cellStyle name="Header2 2 2 26 4" xfId="19815"/>
    <cellStyle name="Header2 2 2 26 5" xfId="19816"/>
    <cellStyle name="Header2 2 2 26 6" xfId="19817"/>
    <cellStyle name="Header2 2 2 26 7" xfId="19818"/>
    <cellStyle name="Header2 2 2 26 8" xfId="19819"/>
    <cellStyle name="Header2 2 2 26 9" xfId="19820"/>
    <cellStyle name="Header2 2 2 27" xfId="4272"/>
    <cellStyle name="Header2 2 2 27 10" xfId="19821"/>
    <cellStyle name="Header2 2 2 27 2" xfId="19822"/>
    <cellStyle name="Header2 2 2 27 3" xfId="19823"/>
    <cellStyle name="Header2 2 2 27 4" xfId="19824"/>
    <cellStyle name="Header2 2 2 27 5" xfId="19825"/>
    <cellStyle name="Header2 2 2 27 6" xfId="19826"/>
    <cellStyle name="Header2 2 2 27 7" xfId="19827"/>
    <cellStyle name="Header2 2 2 27 8" xfId="19828"/>
    <cellStyle name="Header2 2 2 27 9" xfId="19829"/>
    <cellStyle name="Header2 2 2 28" xfId="4273"/>
    <cellStyle name="Header2 2 2 28 10" xfId="19830"/>
    <cellStyle name="Header2 2 2 28 2" xfId="19831"/>
    <cellStyle name="Header2 2 2 28 3" xfId="19832"/>
    <cellStyle name="Header2 2 2 28 4" xfId="19833"/>
    <cellStyle name="Header2 2 2 28 5" xfId="19834"/>
    <cellStyle name="Header2 2 2 28 6" xfId="19835"/>
    <cellStyle name="Header2 2 2 28 7" xfId="19836"/>
    <cellStyle name="Header2 2 2 28 8" xfId="19837"/>
    <cellStyle name="Header2 2 2 28 9" xfId="19838"/>
    <cellStyle name="Header2 2 2 29" xfId="4274"/>
    <cellStyle name="Header2 2 2 29 10" xfId="19839"/>
    <cellStyle name="Header2 2 2 29 2" xfId="19840"/>
    <cellStyle name="Header2 2 2 29 3" xfId="19841"/>
    <cellStyle name="Header2 2 2 29 4" xfId="19842"/>
    <cellStyle name="Header2 2 2 29 5" xfId="19843"/>
    <cellStyle name="Header2 2 2 29 6" xfId="19844"/>
    <cellStyle name="Header2 2 2 29 7" xfId="19845"/>
    <cellStyle name="Header2 2 2 29 8" xfId="19846"/>
    <cellStyle name="Header2 2 2 29 9" xfId="19847"/>
    <cellStyle name="Header2 2 2 3" xfId="1101"/>
    <cellStyle name="Header2 2 2 3 10" xfId="19848"/>
    <cellStyle name="Header2 2 2 3 2" xfId="1102"/>
    <cellStyle name="Header2 2 2 3 2 2" xfId="12568"/>
    <cellStyle name="Header2 2 2 3 2_YL Capex Cashflow &amp; Dep" xfId="10958"/>
    <cellStyle name="Header2 2 2 3 3" xfId="11873"/>
    <cellStyle name="Header2 2 2 3 4" xfId="19849"/>
    <cellStyle name="Header2 2 2 3 5" xfId="19850"/>
    <cellStyle name="Header2 2 2 3 6" xfId="19851"/>
    <cellStyle name="Header2 2 2 3 7" xfId="19852"/>
    <cellStyle name="Header2 2 2 3 8" xfId="19853"/>
    <cellStyle name="Header2 2 2 3 9" xfId="19854"/>
    <cellStyle name="Header2 2 2 3_Cashflow trend" xfId="1103"/>
    <cellStyle name="Header2 2 2 30" xfId="4275"/>
    <cellStyle name="Header2 2 2 30 10" xfId="19855"/>
    <cellStyle name="Header2 2 2 30 2" xfId="19856"/>
    <cellStyle name="Header2 2 2 30 3" xfId="19857"/>
    <cellStyle name="Header2 2 2 30 4" xfId="19858"/>
    <cellStyle name="Header2 2 2 30 5" xfId="19859"/>
    <cellStyle name="Header2 2 2 30 6" xfId="19860"/>
    <cellStyle name="Header2 2 2 30 7" xfId="19861"/>
    <cellStyle name="Header2 2 2 30 8" xfId="19862"/>
    <cellStyle name="Header2 2 2 30 9" xfId="19863"/>
    <cellStyle name="Header2 2 2 31" xfId="4276"/>
    <cellStyle name="Header2 2 2 31 10" xfId="19864"/>
    <cellStyle name="Header2 2 2 31 2" xfId="19865"/>
    <cellStyle name="Header2 2 2 31 3" xfId="19866"/>
    <cellStyle name="Header2 2 2 31 4" xfId="19867"/>
    <cellStyle name="Header2 2 2 31 5" xfId="19868"/>
    <cellStyle name="Header2 2 2 31 6" xfId="19869"/>
    <cellStyle name="Header2 2 2 31 7" xfId="19870"/>
    <cellStyle name="Header2 2 2 31 8" xfId="19871"/>
    <cellStyle name="Header2 2 2 31 9" xfId="19872"/>
    <cellStyle name="Header2 2 2 32" xfId="4277"/>
    <cellStyle name="Header2 2 2 32 10" xfId="19873"/>
    <cellStyle name="Header2 2 2 32 2" xfId="19874"/>
    <cellStyle name="Header2 2 2 32 3" xfId="19875"/>
    <cellStyle name="Header2 2 2 32 4" xfId="19876"/>
    <cellStyle name="Header2 2 2 32 5" xfId="19877"/>
    <cellStyle name="Header2 2 2 32 6" xfId="19878"/>
    <cellStyle name="Header2 2 2 32 7" xfId="19879"/>
    <cellStyle name="Header2 2 2 32 8" xfId="19880"/>
    <cellStyle name="Header2 2 2 32 9" xfId="19881"/>
    <cellStyle name="Header2 2 2 33" xfId="4278"/>
    <cellStyle name="Header2 2 2 33 10" xfId="19882"/>
    <cellStyle name="Header2 2 2 33 2" xfId="19883"/>
    <cellStyle name="Header2 2 2 33 3" xfId="19884"/>
    <cellStyle name="Header2 2 2 33 4" xfId="19885"/>
    <cellStyle name="Header2 2 2 33 5" xfId="19886"/>
    <cellStyle name="Header2 2 2 33 6" xfId="19887"/>
    <cellStyle name="Header2 2 2 33 7" xfId="19888"/>
    <cellStyle name="Header2 2 2 33 8" xfId="19889"/>
    <cellStyle name="Header2 2 2 33 9" xfId="19890"/>
    <cellStyle name="Header2 2 2 34" xfId="4279"/>
    <cellStyle name="Header2 2 2 34 10" xfId="19891"/>
    <cellStyle name="Header2 2 2 34 2" xfId="19892"/>
    <cellStyle name="Header2 2 2 34 3" xfId="19893"/>
    <cellStyle name="Header2 2 2 34 4" xfId="19894"/>
    <cellStyle name="Header2 2 2 34 5" xfId="19895"/>
    <cellStyle name="Header2 2 2 34 6" xfId="19896"/>
    <cellStyle name="Header2 2 2 34 7" xfId="19897"/>
    <cellStyle name="Header2 2 2 34 8" xfId="19898"/>
    <cellStyle name="Header2 2 2 34 9" xfId="19899"/>
    <cellStyle name="Header2 2 2 35" xfId="4280"/>
    <cellStyle name="Header2 2 2 35 10" xfId="19900"/>
    <cellStyle name="Header2 2 2 35 2" xfId="19901"/>
    <cellStyle name="Header2 2 2 35 3" xfId="19902"/>
    <cellStyle name="Header2 2 2 35 4" xfId="19903"/>
    <cellStyle name="Header2 2 2 35 5" xfId="19904"/>
    <cellStyle name="Header2 2 2 35 6" xfId="19905"/>
    <cellStyle name="Header2 2 2 35 7" xfId="19906"/>
    <cellStyle name="Header2 2 2 35 8" xfId="19907"/>
    <cellStyle name="Header2 2 2 35 9" xfId="19908"/>
    <cellStyle name="Header2 2 2 36" xfId="4281"/>
    <cellStyle name="Header2 2 2 36 10" xfId="19909"/>
    <cellStyle name="Header2 2 2 36 2" xfId="19910"/>
    <cellStyle name="Header2 2 2 36 3" xfId="19911"/>
    <cellStyle name="Header2 2 2 36 4" xfId="19912"/>
    <cellStyle name="Header2 2 2 36 5" xfId="19913"/>
    <cellStyle name="Header2 2 2 36 6" xfId="19914"/>
    <cellStyle name="Header2 2 2 36 7" xfId="19915"/>
    <cellStyle name="Header2 2 2 36 8" xfId="19916"/>
    <cellStyle name="Header2 2 2 36 9" xfId="19917"/>
    <cellStyle name="Header2 2 2 37" xfId="4282"/>
    <cellStyle name="Header2 2 2 37 10" xfId="19918"/>
    <cellStyle name="Header2 2 2 37 2" xfId="19919"/>
    <cellStyle name="Header2 2 2 37 3" xfId="19920"/>
    <cellStyle name="Header2 2 2 37 4" xfId="19921"/>
    <cellStyle name="Header2 2 2 37 5" xfId="19922"/>
    <cellStyle name="Header2 2 2 37 6" xfId="19923"/>
    <cellStyle name="Header2 2 2 37 7" xfId="19924"/>
    <cellStyle name="Header2 2 2 37 8" xfId="19925"/>
    <cellStyle name="Header2 2 2 37 9" xfId="19926"/>
    <cellStyle name="Header2 2 2 38" xfId="4283"/>
    <cellStyle name="Header2 2 2 38 10" xfId="19927"/>
    <cellStyle name="Header2 2 2 38 2" xfId="19928"/>
    <cellStyle name="Header2 2 2 38 3" xfId="19929"/>
    <cellStyle name="Header2 2 2 38 4" xfId="19930"/>
    <cellStyle name="Header2 2 2 38 5" xfId="19931"/>
    <cellStyle name="Header2 2 2 38 6" xfId="19932"/>
    <cellStyle name="Header2 2 2 38 7" xfId="19933"/>
    <cellStyle name="Header2 2 2 38 8" xfId="19934"/>
    <cellStyle name="Header2 2 2 38 9" xfId="19935"/>
    <cellStyle name="Header2 2 2 39" xfId="4284"/>
    <cellStyle name="Header2 2 2 39 10" xfId="19936"/>
    <cellStyle name="Header2 2 2 39 2" xfId="19937"/>
    <cellStyle name="Header2 2 2 39 3" xfId="19938"/>
    <cellStyle name="Header2 2 2 39 4" xfId="19939"/>
    <cellStyle name="Header2 2 2 39 5" xfId="19940"/>
    <cellStyle name="Header2 2 2 39 6" xfId="19941"/>
    <cellStyle name="Header2 2 2 39 7" xfId="19942"/>
    <cellStyle name="Header2 2 2 39 8" xfId="19943"/>
    <cellStyle name="Header2 2 2 39 9" xfId="19944"/>
    <cellStyle name="Header2 2 2 4" xfId="1104"/>
    <cellStyle name="Header2 2 2 4 10" xfId="19945"/>
    <cellStyle name="Header2 2 2 4 2" xfId="1105"/>
    <cellStyle name="Header2 2 2 4 2 2" xfId="12497"/>
    <cellStyle name="Header2 2 2 4 2_YL Capex Cashflow &amp; Dep" xfId="10983"/>
    <cellStyle name="Header2 2 2 4 3" xfId="11787"/>
    <cellStyle name="Header2 2 2 4 4" xfId="19946"/>
    <cellStyle name="Header2 2 2 4 5" xfId="19947"/>
    <cellStyle name="Header2 2 2 4 6" xfId="19948"/>
    <cellStyle name="Header2 2 2 4 7" xfId="19949"/>
    <cellStyle name="Header2 2 2 4 8" xfId="19950"/>
    <cellStyle name="Header2 2 2 4 9" xfId="19951"/>
    <cellStyle name="Header2 2 2 4_Cashflow trend" xfId="1106"/>
    <cellStyle name="Header2 2 2 40" xfId="4285"/>
    <cellStyle name="Header2 2 2 40 10" xfId="19952"/>
    <cellStyle name="Header2 2 2 40 2" xfId="19953"/>
    <cellStyle name="Header2 2 2 40 3" xfId="19954"/>
    <cellStyle name="Header2 2 2 40 4" xfId="19955"/>
    <cellStyle name="Header2 2 2 40 5" xfId="19956"/>
    <cellStyle name="Header2 2 2 40 6" xfId="19957"/>
    <cellStyle name="Header2 2 2 40 7" xfId="19958"/>
    <cellStyle name="Header2 2 2 40 8" xfId="19959"/>
    <cellStyle name="Header2 2 2 40 9" xfId="19960"/>
    <cellStyle name="Header2 2 2 41" xfId="4286"/>
    <cellStyle name="Header2 2 2 41 10" xfId="19961"/>
    <cellStyle name="Header2 2 2 41 2" xfId="19962"/>
    <cellStyle name="Header2 2 2 41 3" xfId="19963"/>
    <cellStyle name="Header2 2 2 41 4" xfId="19964"/>
    <cellStyle name="Header2 2 2 41 5" xfId="19965"/>
    <cellStyle name="Header2 2 2 41 6" xfId="19966"/>
    <cellStyle name="Header2 2 2 41 7" xfId="19967"/>
    <cellStyle name="Header2 2 2 41 8" xfId="19968"/>
    <cellStyle name="Header2 2 2 41 9" xfId="19969"/>
    <cellStyle name="Header2 2 2 42" xfId="4287"/>
    <cellStyle name="Header2 2 2 42 10" xfId="19970"/>
    <cellStyle name="Header2 2 2 42 2" xfId="19971"/>
    <cellStyle name="Header2 2 2 42 3" xfId="19972"/>
    <cellStyle name="Header2 2 2 42 4" xfId="19973"/>
    <cellStyle name="Header2 2 2 42 5" xfId="19974"/>
    <cellStyle name="Header2 2 2 42 6" xfId="19975"/>
    <cellStyle name="Header2 2 2 42 7" xfId="19976"/>
    <cellStyle name="Header2 2 2 42 8" xfId="19977"/>
    <cellStyle name="Header2 2 2 42 9" xfId="19978"/>
    <cellStyle name="Header2 2 2 43" xfId="4288"/>
    <cellStyle name="Header2 2 2 43 10" xfId="19979"/>
    <cellStyle name="Header2 2 2 43 2" xfId="19980"/>
    <cellStyle name="Header2 2 2 43 3" xfId="19981"/>
    <cellStyle name="Header2 2 2 43 4" xfId="19982"/>
    <cellStyle name="Header2 2 2 43 5" xfId="19983"/>
    <cellStyle name="Header2 2 2 43 6" xfId="19984"/>
    <cellStyle name="Header2 2 2 43 7" xfId="19985"/>
    <cellStyle name="Header2 2 2 43 8" xfId="19986"/>
    <cellStyle name="Header2 2 2 43 9" xfId="19987"/>
    <cellStyle name="Header2 2 2 44" xfId="4289"/>
    <cellStyle name="Header2 2 2 44 10" xfId="19988"/>
    <cellStyle name="Header2 2 2 44 2" xfId="19989"/>
    <cellStyle name="Header2 2 2 44 3" xfId="19990"/>
    <cellStyle name="Header2 2 2 44 4" xfId="19991"/>
    <cellStyle name="Header2 2 2 44 5" xfId="19992"/>
    <cellStyle name="Header2 2 2 44 6" xfId="19993"/>
    <cellStyle name="Header2 2 2 44 7" xfId="19994"/>
    <cellStyle name="Header2 2 2 44 8" xfId="19995"/>
    <cellStyle name="Header2 2 2 44 9" xfId="19996"/>
    <cellStyle name="Header2 2 2 45" xfId="4290"/>
    <cellStyle name="Header2 2 2 45 10" xfId="19997"/>
    <cellStyle name="Header2 2 2 45 2" xfId="19998"/>
    <cellStyle name="Header2 2 2 45 3" xfId="19999"/>
    <cellStyle name="Header2 2 2 45 4" xfId="20000"/>
    <cellStyle name="Header2 2 2 45 5" xfId="20001"/>
    <cellStyle name="Header2 2 2 45 6" xfId="20002"/>
    <cellStyle name="Header2 2 2 45 7" xfId="20003"/>
    <cellStyle name="Header2 2 2 45 8" xfId="20004"/>
    <cellStyle name="Header2 2 2 45 9" xfId="20005"/>
    <cellStyle name="Header2 2 2 46" xfId="4291"/>
    <cellStyle name="Header2 2 2 46 10" xfId="20006"/>
    <cellStyle name="Header2 2 2 46 2" xfId="20007"/>
    <cellStyle name="Header2 2 2 46 3" xfId="20008"/>
    <cellStyle name="Header2 2 2 46 4" xfId="20009"/>
    <cellStyle name="Header2 2 2 46 5" xfId="20010"/>
    <cellStyle name="Header2 2 2 46 6" xfId="20011"/>
    <cellStyle name="Header2 2 2 46 7" xfId="20012"/>
    <cellStyle name="Header2 2 2 46 8" xfId="20013"/>
    <cellStyle name="Header2 2 2 46 9" xfId="20014"/>
    <cellStyle name="Header2 2 2 47" xfId="4292"/>
    <cellStyle name="Header2 2 2 47 10" xfId="20015"/>
    <cellStyle name="Header2 2 2 47 2" xfId="20016"/>
    <cellStyle name="Header2 2 2 47 3" xfId="20017"/>
    <cellStyle name="Header2 2 2 47 4" xfId="20018"/>
    <cellStyle name="Header2 2 2 47 5" xfId="20019"/>
    <cellStyle name="Header2 2 2 47 6" xfId="20020"/>
    <cellStyle name="Header2 2 2 47 7" xfId="20021"/>
    <cellStyle name="Header2 2 2 47 8" xfId="20022"/>
    <cellStyle name="Header2 2 2 47 9" xfId="20023"/>
    <cellStyle name="Header2 2 2 48" xfId="4293"/>
    <cellStyle name="Header2 2 2 48 10" xfId="20024"/>
    <cellStyle name="Header2 2 2 48 2" xfId="20025"/>
    <cellStyle name="Header2 2 2 48 3" xfId="20026"/>
    <cellStyle name="Header2 2 2 48 4" xfId="20027"/>
    <cellStyle name="Header2 2 2 48 5" xfId="20028"/>
    <cellStyle name="Header2 2 2 48 6" xfId="20029"/>
    <cellStyle name="Header2 2 2 48 7" xfId="20030"/>
    <cellStyle name="Header2 2 2 48 8" xfId="20031"/>
    <cellStyle name="Header2 2 2 48 9" xfId="20032"/>
    <cellStyle name="Header2 2 2 49" xfId="4294"/>
    <cellStyle name="Header2 2 2 49 10" xfId="20033"/>
    <cellStyle name="Header2 2 2 49 2" xfId="20034"/>
    <cellStyle name="Header2 2 2 49 3" xfId="20035"/>
    <cellStyle name="Header2 2 2 49 4" xfId="20036"/>
    <cellStyle name="Header2 2 2 49 5" xfId="20037"/>
    <cellStyle name="Header2 2 2 49 6" xfId="20038"/>
    <cellStyle name="Header2 2 2 49 7" xfId="20039"/>
    <cellStyle name="Header2 2 2 49 8" xfId="20040"/>
    <cellStyle name="Header2 2 2 49 9" xfId="20041"/>
    <cellStyle name="Header2 2 2 5" xfId="1107"/>
    <cellStyle name="Header2 2 2 5 2" xfId="11573"/>
    <cellStyle name="Header2 2 2 5 3" xfId="20042"/>
    <cellStyle name="Header2 2 2 5 4" xfId="20043"/>
    <cellStyle name="Header2 2 2 5 5" xfId="20044"/>
    <cellStyle name="Header2 2 2 5 6" xfId="20045"/>
    <cellStyle name="Header2 2 2 5 7" xfId="20046"/>
    <cellStyle name="Header2 2 2 5 8" xfId="20047"/>
    <cellStyle name="Header2 2 2 5 9" xfId="20048"/>
    <cellStyle name="Header2 2 2 5_YL Capex Cashflow &amp; Dep" xfId="13273"/>
    <cellStyle name="Header2 2 2 50" xfId="4295"/>
    <cellStyle name="Header2 2 2 50 10" xfId="20049"/>
    <cellStyle name="Header2 2 2 50 2" xfId="20050"/>
    <cellStyle name="Header2 2 2 50 3" xfId="20051"/>
    <cellStyle name="Header2 2 2 50 4" xfId="20052"/>
    <cellStyle name="Header2 2 2 50 5" xfId="20053"/>
    <cellStyle name="Header2 2 2 50 6" xfId="20054"/>
    <cellStyle name="Header2 2 2 50 7" xfId="20055"/>
    <cellStyle name="Header2 2 2 50 8" xfId="20056"/>
    <cellStyle name="Header2 2 2 50 9" xfId="20057"/>
    <cellStyle name="Header2 2 2 51" xfId="4296"/>
    <cellStyle name="Header2 2 2 51 10" xfId="20058"/>
    <cellStyle name="Header2 2 2 51 2" xfId="20059"/>
    <cellStyle name="Header2 2 2 51 3" xfId="20060"/>
    <cellStyle name="Header2 2 2 51 4" xfId="20061"/>
    <cellStyle name="Header2 2 2 51 5" xfId="20062"/>
    <cellStyle name="Header2 2 2 51 6" xfId="20063"/>
    <cellStyle name="Header2 2 2 51 7" xfId="20064"/>
    <cellStyle name="Header2 2 2 51 8" xfId="20065"/>
    <cellStyle name="Header2 2 2 51 9" xfId="20066"/>
    <cellStyle name="Header2 2 2 52" xfId="4297"/>
    <cellStyle name="Header2 2 2 52 10" xfId="20067"/>
    <cellStyle name="Header2 2 2 52 2" xfId="20068"/>
    <cellStyle name="Header2 2 2 52 3" xfId="20069"/>
    <cellStyle name="Header2 2 2 52 4" xfId="20070"/>
    <cellStyle name="Header2 2 2 52 5" xfId="20071"/>
    <cellStyle name="Header2 2 2 52 6" xfId="20072"/>
    <cellStyle name="Header2 2 2 52 7" xfId="20073"/>
    <cellStyle name="Header2 2 2 52 8" xfId="20074"/>
    <cellStyle name="Header2 2 2 52 9" xfId="20075"/>
    <cellStyle name="Header2 2 2 53" xfId="4298"/>
    <cellStyle name="Header2 2 2 53 10" xfId="20076"/>
    <cellStyle name="Header2 2 2 53 2" xfId="20077"/>
    <cellStyle name="Header2 2 2 53 3" xfId="20078"/>
    <cellStyle name="Header2 2 2 53 4" xfId="20079"/>
    <cellStyle name="Header2 2 2 53 5" xfId="20080"/>
    <cellStyle name="Header2 2 2 53 6" xfId="20081"/>
    <cellStyle name="Header2 2 2 53 7" xfId="20082"/>
    <cellStyle name="Header2 2 2 53 8" xfId="20083"/>
    <cellStyle name="Header2 2 2 53 9" xfId="20084"/>
    <cellStyle name="Header2 2 2 54" xfId="4299"/>
    <cellStyle name="Header2 2 2 54 10" xfId="20085"/>
    <cellStyle name="Header2 2 2 54 2" xfId="20086"/>
    <cellStyle name="Header2 2 2 54 3" xfId="20087"/>
    <cellStyle name="Header2 2 2 54 4" xfId="20088"/>
    <cellStyle name="Header2 2 2 54 5" xfId="20089"/>
    <cellStyle name="Header2 2 2 54 6" xfId="20090"/>
    <cellStyle name="Header2 2 2 54 7" xfId="20091"/>
    <cellStyle name="Header2 2 2 54 8" xfId="20092"/>
    <cellStyle name="Header2 2 2 54 9" xfId="20093"/>
    <cellStyle name="Header2 2 2 55" xfId="4300"/>
    <cellStyle name="Header2 2 2 55 10" xfId="20094"/>
    <cellStyle name="Header2 2 2 55 2" xfId="20095"/>
    <cellStyle name="Header2 2 2 55 3" xfId="20096"/>
    <cellStyle name="Header2 2 2 55 4" xfId="20097"/>
    <cellStyle name="Header2 2 2 55 5" xfId="20098"/>
    <cellStyle name="Header2 2 2 55 6" xfId="20099"/>
    <cellStyle name="Header2 2 2 55 7" xfId="20100"/>
    <cellStyle name="Header2 2 2 55 8" xfId="20101"/>
    <cellStyle name="Header2 2 2 55 9" xfId="20102"/>
    <cellStyle name="Header2 2 2 56" xfId="4301"/>
    <cellStyle name="Header2 2 2 56 10" xfId="20103"/>
    <cellStyle name="Header2 2 2 56 2" xfId="20104"/>
    <cellStyle name="Header2 2 2 56 3" xfId="20105"/>
    <cellStyle name="Header2 2 2 56 4" xfId="20106"/>
    <cellStyle name="Header2 2 2 56 5" xfId="20107"/>
    <cellStyle name="Header2 2 2 56 6" xfId="20108"/>
    <cellStyle name="Header2 2 2 56 7" xfId="20109"/>
    <cellStyle name="Header2 2 2 56 8" xfId="20110"/>
    <cellStyle name="Header2 2 2 56 9" xfId="20111"/>
    <cellStyle name="Header2 2 2 57" xfId="4302"/>
    <cellStyle name="Header2 2 2 57 10" xfId="20112"/>
    <cellStyle name="Header2 2 2 57 2" xfId="20113"/>
    <cellStyle name="Header2 2 2 57 3" xfId="20114"/>
    <cellStyle name="Header2 2 2 57 4" xfId="20115"/>
    <cellStyle name="Header2 2 2 57 5" xfId="20116"/>
    <cellStyle name="Header2 2 2 57 6" xfId="20117"/>
    <cellStyle name="Header2 2 2 57 7" xfId="20118"/>
    <cellStyle name="Header2 2 2 57 8" xfId="20119"/>
    <cellStyle name="Header2 2 2 57 9" xfId="20120"/>
    <cellStyle name="Header2 2 2 58" xfId="4303"/>
    <cellStyle name="Header2 2 2 58 10" xfId="20121"/>
    <cellStyle name="Header2 2 2 58 2" xfId="20122"/>
    <cellStyle name="Header2 2 2 58 3" xfId="20123"/>
    <cellStyle name="Header2 2 2 58 4" xfId="20124"/>
    <cellStyle name="Header2 2 2 58 5" xfId="20125"/>
    <cellStyle name="Header2 2 2 58 6" xfId="20126"/>
    <cellStyle name="Header2 2 2 58 7" xfId="20127"/>
    <cellStyle name="Header2 2 2 58 8" xfId="20128"/>
    <cellStyle name="Header2 2 2 58 9" xfId="20129"/>
    <cellStyle name="Header2 2 2 59" xfId="4304"/>
    <cellStyle name="Header2 2 2 59 10" xfId="20130"/>
    <cellStyle name="Header2 2 2 59 2" xfId="20131"/>
    <cellStyle name="Header2 2 2 59 3" xfId="20132"/>
    <cellStyle name="Header2 2 2 59 4" xfId="20133"/>
    <cellStyle name="Header2 2 2 59 5" xfId="20134"/>
    <cellStyle name="Header2 2 2 59 6" xfId="20135"/>
    <cellStyle name="Header2 2 2 59 7" xfId="20136"/>
    <cellStyle name="Header2 2 2 59 8" xfId="20137"/>
    <cellStyle name="Header2 2 2 59 9" xfId="20138"/>
    <cellStyle name="Header2 2 2 6" xfId="1108"/>
    <cellStyle name="Header2 2 2 6 2" xfId="12300"/>
    <cellStyle name="Header2 2 2 6 3" xfId="20139"/>
    <cellStyle name="Header2 2 2 6 4" xfId="20140"/>
    <cellStyle name="Header2 2 2 6 5" xfId="20141"/>
    <cellStyle name="Header2 2 2 6 6" xfId="20142"/>
    <cellStyle name="Header2 2 2 6 7" xfId="20143"/>
    <cellStyle name="Header2 2 2 6 8" xfId="20144"/>
    <cellStyle name="Header2 2 2 6 9" xfId="20145"/>
    <cellStyle name="Header2 2 2 6_YL Capex Cashflow &amp; Dep" xfId="11312"/>
    <cellStyle name="Header2 2 2 60" xfId="4305"/>
    <cellStyle name="Header2 2 2 60 10" xfId="20146"/>
    <cellStyle name="Header2 2 2 60 2" xfId="20147"/>
    <cellStyle name="Header2 2 2 60 3" xfId="20148"/>
    <cellStyle name="Header2 2 2 60 4" xfId="20149"/>
    <cellStyle name="Header2 2 2 60 5" xfId="20150"/>
    <cellStyle name="Header2 2 2 60 6" xfId="20151"/>
    <cellStyle name="Header2 2 2 60 7" xfId="20152"/>
    <cellStyle name="Header2 2 2 60 8" xfId="20153"/>
    <cellStyle name="Header2 2 2 60 9" xfId="20154"/>
    <cellStyle name="Header2 2 2 61" xfId="4306"/>
    <cellStyle name="Header2 2 2 61 10" xfId="20155"/>
    <cellStyle name="Header2 2 2 61 2" xfId="20156"/>
    <cellStyle name="Header2 2 2 61 3" xfId="20157"/>
    <cellStyle name="Header2 2 2 61 4" xfId="20158"/>
    <cellStyle name="Header2 2 2 61 5" xfId="20159"/>
    <cellStyle name="Header2 2 2 61 6" xfId="20160"/>
    <cellStyle name="Header2 2 2 61 7" xfId="20161"/>
    <cellStyle name="Header2 2 2 61 8" xfId="20162"/>
    <cellStyle name="Header2 2 2 61 9" xfId="20163"/>
    <cellStyle name="Header2 2 2 62" xfId="4307"/>
    <cellStyle name="Header2 2 2 62 10" xfId="20164"/>
    <cellStyle name="Header2 2 2 62 2" xfId="20165"/>
    <cellStyle name="Header2 2 2 62 3" xfId="20166"/>
    <cellStyle name="Header2 2 2 62 4" xfId="20167"/>
    <cellStyle name="Header2 2 2 62 5" xfId="20168"/>
    <cellStyle name="Header2 2 2 62 6" xfId="20169"/>
    <cellStyle name="Header2 2 2 62 7" xfId="20170"/>
    <cellStyle name="Header2 2 2 62 8" xfId="20171"/>
    <cellStyle name="Header2 2 2 62 9" xfId="20172"/>
    <cellStyle name="Header2 2 2 63" xfId="4308"/>
    <cellStyle name="Header2 2 2 63 10" xfId="20173"/>
    <cellStyle name="Header2 2 2 63 2" xfId="20174"/>
    <cellStyle name="Header2 2 2 63 3" xfId="20175"/>
    <cellStyle name="Header2 2 2 63 4" xfId="20176"/>
    <cellStyle name="Header2 2 2 63 5" xfId="20177"/>
    <cellStyle name="Header2 2 2 63 6" xfId="20178"/>
    <cellStyle name="Header2 2 2 63 7" xfId="20179"/>
    <cellStyle name="Header2 2 2 63 8" xfId="20180"/>
    <cellStyle name="Header2 2 2 63 9" xfId="20181"/>
    <cellStyle name="Header2 2 2 64" xfId="4309"/>
    <cellStyle name="Header2 2 2 64 10" xfId="20182"/>
    <cellStyle name="Header2 2 2 64 2" xfId="20183"/>
    <cellStyle name="Header2 2 2 64 3" xfId="20184"/>
    <cellStyle name="Header2 2 2 64 4" xfId="20185"/>
    <cellStyle name="Header2 2 2 64 5" xfId="20186"/>
    <cellStyle name="Header2 2 2 64 6" xfId="20187"/>
    <cellStyle name="Header2 2 2 64 7" xfId="20188"/>
    <cellStyle name="Header2 2 2 64 8" xfId="20189"/>
    <cellStyle name="Header2 2 2 64 9" xfId="20190"/>
    <cellStyle name="Header2 2 2 65" xfId="4310"/>
    <cellStyle name="Header2 2 2 65 10" xfId="20191"/>
    <cellStyle name="Header2 2 2 65 2" xfId="20192"/>
    <cellStyle name="Header2 2 2 65 3" xfId="20193"/>
    <cellStyle name="Header2 2 2 65 4" xfId="20194"/>
    <cellStyle name="Header2 2 2 65 5" xfId="20195"/>
    <cellStyle name="Header2 2 2 65 6" xfId="20196"/>
    <cellStyle name="Header2 2 2 65 7" xfId="20197"/>
    <cellStyle name="Header2 2 2 65 8" xfId="20198"/>
    <cellStyle name="Header2 2 2 65 9" xfId="20199"/>
    <cellStyle name="Header2 2 2 66" xfId="4311"/>
    <cellStyle name="Header2 2 2 66 10" xfId="20200"/>
    <cellStyle name="Header2 2 2 66 2" xfId="20201"/>
    <cellStyle name="Header2 2 2 66 3" xfId="20202"/>
    <cellStyle name="Header2 2 2 66 4" xfId="20203"/>
    <cellStyle name="Header2 2 2 66 5" xfId="20204"/>
    <cellStyle name="Header2 2 2 66 6" xfId="20205"/>
    <cellStyle name="Header2 2 2 66 7" xfId="20206"/>
    <cellStyle name="Header2 2 2 66 8" xfId="20207"/>
    <cellStyle name="Header2 2 2 66 9" xfId="20208"/>
    <cellStyle name="Header2 2 2 67" xfId="4312"/>
    <cellStyle name="Header2 2 2 67 10" xfId="20209"/>
    <cellStyle name="Header2 2 2 67 2" xfId="20210"/>
    <cellStyle name="Header2 2 2 67 3" xfId="20211"/>
    <cellStyle name="Header2 2 2 67 4" xfId="20212"/>
    <cellStyle name="Header2 2 2 67 5" xfId="20213"/>
    <cellStyle name="Header2 2 2 67 6" xfId="20214"/>
    <cellStyle name="Header2 2 2 67 7" xfId="20215"/>
    <cellStyle name="Header2 2 2 67 8" xfId="20216"/>
    <cellStyle name="Header2 2 2 67 9" xfId="20217"/>
    <cellStyle name="Header2 2 2 68" xfId="4313"/>
    <cellStyle name="Header2 2 2 68 10" xfId="20218"/>
    <cellStyle name="Header2 2 2 68 2" xfId="20219"/>
    <cellStyle name="Header2 2 2 68 3" xfId="20220"/>
    <cellStyle name="Header2 2 2 68 4" xfId="20221"/>
    <cellStyle name="Header2 2 2 68 5" xfId="20222"/>
    <cellStyle name="Header2 2 2 68 6" xfId="20223"/>
    <cellStyle name="Header2 2 2 68 7" xfId="20224"/>
    <cellStyle name="Header2 2 2 68 8" xfId="20225"/>
    <cellStyle name="Header2 2 2 68 9" xfId="20226"/>
    <cellStyle name="Header2 2 2 69" xfId="4314"/>
    <cellStyle name="Header2 2 2 69 10" xfId="20227"/>
    <cellStyle name="Header2 2 2 69 2" xfId="20228"/>
    <cellStyle name="Header2 2 2 69 3" xfId="20229"/>
    <cellStyle name="Header2 2 2 69 4" xfId="20230"/>
    <cellStyle name="Header2 2 2 69 5" xfId="20231"/>
    <cellStyle name="Header2 2 2 69 6" xfId="20232"/>
    <cellStyle name="Header2 2 2 69 7" xfId="20233"/>
    <cellStyle name="Header2 2 2 69 8" xfId="20234"/>
    <cellStyle name="Header2 2 2 69 9" xfId="20235"/>
    <cellStyle name="Header2 2 2 7" xfId="1109"/>
    <cellStyle name="Header2 2 2 7 2" xfId="12788"/>
    <cellStyle name="Header2 2 2 7 3" xfId="20236"/>
    <cellStyle name="Header2 2 2 7 4" xfId="20237"/>
    <cellStyle name="Header2 2 2 7 5" xfId="20238"/>
    <cellStyle name="Header2 2 2 7 6" xfId="20239"/>
    <cellStyle name="Header2 2 2 7 7" xfId="20240"/>
    <cellStyle name="Header2 2 2 7 8" xfId="20241"/>
    <cellStyle name="Header2 2 2 7 9" xfId="20242"/>
    <cellStyle name="Header2 2 2 7_YL Capex Cashflow &amp; Dep" xfId="10894"/>
    <cellStyle name="Header2 2 2 70" xfId="4315"/>
    <cellStyle name="Header2 2 2 70 10" xfId="20243"/>
    <cellStyle name="Header2 2 2 70 2" xfId="20244"/>
    <cellStyle name="Header2 2 2 70 3" xfId="20245"/>
    <cellStyle name="Header2 2 2 70 4" xfId="20246"/>
    <cellStyle name="Header2 2 2 70 5" xfId="20247"/>
    <cellStyle name="Header2 2 2 70 6" xfId="20248"/>
    <cellStyle name="Header2 2 2 70 7" xfId="20249"/>
    <cellStyle name="Header2 2 2 70 8" xfId="20250"/>
    <cellStyle name="Header2 2 2 70 9" xfId="20251"/>
    <cellStyle name="Header2 2 2 71" xfId="4316"/>
    <cellStyle name="Header2 2 2 71 10" xfId="20252"/>
    <cellStyle name="Header2 2 2 71 2" xfId="20253"/>
    <cellStyle name="Header2 2 2 71 3" xfId="20254"/>
    <cellStyle name="Header2 2 2 71 4" xfId="20255"/>
    <cellStyle name="Header2 2 2 71 5" xfId="20256"/>
    <cellStyle name="Header2 2 2 71 6" xfId="20257"/>
    <cellStyle name="Header2 2 2 71 7" xfId="20258"/>
    <cellStyle name="Header2 2 2 71 8" xfId="20259"/>
    <cellStyle name="Header2 2 2 71 9" xfId="20260"/>
    <cellStyle name="Header2 2 2 72" xfId="4317"/>
    <cellStyle name="Header2 2 2 72 10" xfId="20261"/>
    <cellStyle name="Header2 2 2 72 2" xfId="20262"/>
    <cellStyle name="Header2 2 2 72 3" xfId="20263"/>
    <cellStyle name="Header2 2 2 72 4" xfId="20264"/>
    <cellStyle name="Header2 2 2 72 5" xfId="20265"/>
    <cellStyle name="Header2 2 2 72 6" xfId="20266"/>
    <cellStyle name="Header2 2 2 72 7" xfId="20267"/>
    <cellStyle name="Header2 2 2 72 8" xfId="20268"/>
    <cellStyle name="Header2 2 2 72 9" xfId="20269"/>
    <cellStyle name="Header2 2 2 73" xfId="4318"/>
    <cellStyle name="Header2 2 2 73 10" xfId="20270"/>
    <cellStyle name="Header2 2 2 73 2" xfId="20271"/>
    <cellStyle name="Header2 2 2 73 3" xfId="20272"/>
    <cellStyle name="Header2 2 2 73 4" xfId="20273"/>
    <cellStyle name="Header2 2 2 73 5" xfId="20274"/>
    <cellStyle name="Header2 2 2 73 6" xfId="20275"/>
    <cellStyle name="Header2 2 2 73 7" xfId="20276"/>
    <cellStyle name="Header2 2 2 73 8" xfId="20277"/>
    <cellStyle name="Header2 2 2 73 9" xfId="20278"/>
    <cellStyle name="Header2 2 2 74" xfId="4319"/>
    <cellStyle name="Header2 2 2 74 10" xfId="20279"/>
    <cellStyle name="Header2 2 2 74 2" xfId="20280"/>
    <cellStyle name="Header2 2 2 74 3" xfId="20281"/>
    <cellStyle name="Header2 2 2 74 4" xfId="20282"/>
    <cellStyle name="Header2 2 2 74 5" xfId="20283"/>
    <cellStyle name="Header2 2 2 74 6" xfId="20284"/>
    <cellStyle name="Header2 2 2 74 7" xfId="20285"/>
    <cellStyle name="Header2 2 2 74 8" xfId="20286"/>
    <cellStyle name="Header2 2 2 74 9" xfId="20287"/>
    <cellStyle name="Header2 2 2 75" xfId="4320"/>
    <cellStyle name="Header2 2 2 75 10" xfId="20288"/>
    <cellStyle name="Header2 2 2 75 2" xfId="20289"/>
    <cellStyle name="Header2 2 2 75 3" xfId="20290"/>
    <cellStyle name="Header2 2 2 75 4" xfId="20291"/>
    <cellStyle name="Header2 2 2 75 5" xfId="20292"/>
    <cellStyle name="Header2 2 2 75 6" xfId="20293"/>
    <cellStyle name="Header2 2 2 75 7" xfId="20294"/>
    <cellStyle name="Header2 2 2 75 8" xfId="20295"/>
    <cellStyle name="Header2 2 2 75 9" xfId="20296"/>
    <cellStyle name="Header2 2 2 76" xfId="4321"/>
    <cellStyle name="Header2 2 2 76 10" xfId="20297"/>
    <cellStyle name="Header2 2 2 76 2" xfId="20298"/>
    <cellStyle name="Header2 2 2 76 3" xfId="20299"/>
    <cellStyle name="Header2 2 2 76 4" xfId="20300"/>
    <cellStyle name="Header2 2 2 76 5" xfId="20301"/>
    <cellStyle name="Header2 2 2 76 6" xfId="20302"/>
    <cellStyle name="Header2 2 2 76 7" xfId="20303"/>
    <cellStyle name="Header2 2 2 76 8" xfId="20304"/>
    <cellStyle name="Header2 2 2 76 9" xfId="20305"/>
    <cellStyle name="Header2 2 2 77" xfId="4322"/>
    <cellStyle name="Header2 2 2 77 10" xfId="20306"/>
    <cellStyle name="Header2 2 2 77 2" xfId="20307"/>
    <cellStyle name="Header2 2 2 77 3" xfId="20308"/>
    <cellStyle name="Header2 2 2 77 4" xfId="20309"/>
    <cellStyle name="Header2 2 2 77 5" xfId="20310"/>
    <cellStyle name="Header2 2 2 77 6" xfId="20311"/>
    <cellStyle name="Header2 2 2 77 7" xfId="20312"/>
    <cellStyle name="Header2 2 2 77 8" xfId="20313"/>
    <cellStyle name="Header2 2 2 77 9" xfId="20314"/>
    <cellStyle name="Header2 2 2 78" xfId="4323"/>
    <cellStyle name="Header2 2 2 78 10" xfId="20315"/>
    <cellStyle name="Header2 2 2 78 2" xfId="20316"/>
    <cellStyle name="Header2 2 2 78 3" xfId="20317"/>
    <cellStyle name="Header2 2 2 78 4" xfId="20318"/>
    <cellStyle name="Header2 2 2 78 5" xfId="20319"/>
    <cellStyle name="Header2 2 2 78 6" xfId="20320"/>
    <cellStyle name="Header2 2 2 78 7" xfId="20321"/>
    <cellStyle name="Header2 2 2 78 8" xfId="20322"/>
    <cellStyle name="Header2 2 2 78 9" xfId="20323"/>
    <cellStyle name="Header2 2 2 79" xfId="4324"/>
    <cellStyle name="Header2 2 2 79 10" xfId="20324"/>
    <cellStyle name="Header2 2 2 79 2" xfId="20325"/>
    <cellStyle name="Header2 2 2 79 3" xfId="20326"/>
    <cellStyle name="Header2 2 2 79 4" xfId="20327"/>
    <cellStyle name="Header2 2 2 79 5" xfId="20328"/>
    <cellStyle name="Header2 2 2 79 6" xfId="20329"/>
    <cellStyle name="Header2 2 2 79 7" xfId="20330"/>
    <cellStyle name="Header2 2 2 79 8" xfId="20331"/>
    <cellStyle name="Header2 2 2 79 9" xfId="20332"/>
    <cellStyle name="Header2 2 2 8" xfId="4325"/>
    <cellStyle name="Header2 2 2 8 2" xfId="20333"/>
    <cellStyle name="Header2 2 2 8 3" xfId="20334"/>
    <cellStyle name="Header2 2 2 8 4" xfId="20335"/>
    <cellStyle name="Header2 2 2 8 5" xfId="20336"/>
    <cellStyle name="Header2 2 2 8 6" xfId="20337"/>
    <cellStyle name="Header2 2 2 8 7" xfId="20338"/>
    <cellStyle name="Header2 2 2 8 8" xfId="20339"/>
    <cellStyle name="Header2 2 2 8 9" xfId="20340"/>
    <cellStyle name="Header2 2 2 80" xfId="4326"/>
    <cellStyle name="Header2 2 2 80 10" xfId="20341"/>
    <cellStyle name="Header2 2 2 80 2" xfId="20342"/>
    <cellStyle name="Header2 2 2 80 3" xfId="20343"/>
    <cellStyle name="Header2 2 2 80 4" xfId="20344"/>
    <cellStyle name="Header2 2 2 80 5" xfId="20345"/>
    <cellStyle name="Header2 2 2 80 6" xfId="20346"/>
    <cellStyle name="Header2 2 2 80 7" xfId="20347"/>
    <cellStyle name="Header2 2 2 80 8" xfId="20348"/>
    <cellStyle name="Header2 2 2 80 9" xfId="20349"/>
    <cellStyle name="Header2 2 2 81" xfId="4327"/>
    <cellStyle name="Header2 2 2 81 10" xfId="20350"/>
    <cellStyle name="Header2 2 2 81 2" xfId="20351"/>
    <cellStyle name="Header2 2 2 81 3" xfId="20352"/>
    <cellStyle name="Header2 2 2 81 4" xfId="20353"/>
    <cellStyle name="Header2 2 2 81 5" xfId="20354"/>
    <cellStyle name="Header2 2 2 81 6" xfId="20355"/>
    <cellStyle name="Header2 2 2 81 7" xfId="20356"/>
    <cellStyle name="Header2 2 2 81 8" xfId="20357"/>
    <cellStyle name="Header2 2 2 81 9" xfId="20358"/>
    <cellStyle name="Header2 2 2 82" xfId="4328"/>
    <cellStyle name="Header2 2 2 82 10" xfId="20359"/>
    <cellStyle name="Header2 2 2 82 2" xfId="20360"/>
    <cellStyle name="Header2 2 2 82 3" xfId="20361"/>
    <cellStyle name="Header2 2 2 82 4" xfId="20362"/>
    <cellStyle name="Header2 2 2 82 5" xfId="20363"/>
    <cellStyle name="Header2 2 2 82 6" xfId="20364"/>
    <cellStyle name="Header2 2 2 82 7" xfId="20365"/>
    <cellStyle name="Header2 2 2 82 8" xfId="20366"/>
    <cellStyle name="Header2 2 2 82 9" xfId="20367"/>
    <cellStyle name="Header2 2 2 83" xfId="4329"/>
    <cellStyle name="Header2 2 2 83 10" xfId="20368"/>
    <cellStyle name="Header2 2 2 83 2" xfId="20369"/>
    <cellStyle name="Header2 2 2 83 3" xfId="20370"/>
    <cellStyle name="Header2 2 2 83 4" xfId="20371"/>
    <cellStyle name="Header2 2 2 83 5" xfId="20372"/>
    <cellStyle name="Header2 2 2 83 6" xfId="20373"/>
    <cellStyle name="Header2 2 2 83 7" xfId="20374"/>
    <cellStyle name="Header2 2 2 83 8" xfId="20375"/>
    <cellStyle name="Header2 2 2 83 9" xfId="20376"/>
    <cellStyle name="Header2 2 2 84" xfId="4330"/>
    <cellStyle name="Header2 2 2 84 10" xfId="20377"/>
    <cellStyle name="Header2 2 2 84 2" xfId="20378"/>
    <cellStyle name="Header2 2 2 84 3" xfId="20379"/>
    <cellStyle name="Header2 2 2 84 4" xfId="20380"/>
    <cellStyle name="Header2 2 2 84 5" xfId="20381"/>
    <cellStyle name="Header2 2 2 84 6" xfId="20382"/>
    <cellStyle name="Header2 2 2 84 7" xfId="20383"/>
    <cellStyle name="Header2 2 2 84 8" xfId="20384"/>
    <cellStyle name="Header2 2 2 84 9" xfId="20385"/>
    <cellStyle name="Header2 2 2 85" xfId="4331"/>
    <cellStyle name="Header2 2 2 85 10" xfId="20386"/>
    <cellStyle name="Header2 2 2 85 2" xfId="20387"/>
    <cellStyle name="Header2 2 2 85 3" xfId="20388"/>
    <cellStyle name="Header2 2 2 85 4" xfId="20389"/>
    <cellStyle name="Header2 2 2 85 5" xfId="20390"/>
    <cellStyle name="Header2 2 2 85 6" xfId="20391"/>
    <cellStyle name="Header2 2 2 85 7" xfId="20392"/>
    <cellStyle name="Header2 2 2 85 8" xfId="20393"/>
    <cellStyle name="Header2 2 2 85 9" xfId="20394"/>
    <cellStyle name="Header2 2 2 86" xfId="4332"/>
    <cellStyle name="Header2 2 2 86 10" xfId="20395"/>
    <cellStyle name="Header2 2 2 86 2" xfId="20396"/>
    <cellStyle name="Header2 2 2 86 3" xfId="20397"/>
    <cellStyle name="Header2 2 2 86 4" xfId="20398"/>
    <cellStyle name="Header2 2 2 86 5" xfId="20399"/>
    <cellStyle name="Header2 2 2 86 6" xfId="20400"/>
    <cellStyle name="Header2 2 2 86 7" xfId="20401"/>
    <cellStyle name="Header2 2 2 86 8" xfId="20402"/>
    <cellStyle name="Header2 2 2 86 9" xfId="20403"/>
    <cellStyle name="Header2 2 2 87" xfId="4333"/>
    <cellStyle name="Header2 2 2 87 10" xfId="20404"/>
    <cellStyle name="Header2 2 2 87 2" xfId="20405"/>
    <cellStyle name="Header2 2 2 87 3" xfId="20406"/>
    <cellStyle name="Header2 2 2 87 4" xfId="20407"/>
    <cellStyle name="Header2 2 2 87 5" xfId="20408"/>
    <cellStyle name="Header2 2 2 87 6" xfId="20409"/>
    <cellStyle name="Header2 2 2 87 7" xfId="20410"/>
    <cellStyle name="Header2 2 2 87 8" xfId="20411"/>
    <cellStyle name="Header2 2 2 87 9" xfId="20412"/>
    <cellStyle name="Header2 2 2 88" xfId="4334"/>
    <cellStyle name="Header2 2 2 88 10" xfId="20413"/>
    <cellStyle name="Header2 2 2 88 2" xfId="20414"/>
    <cellStyle name="Header2 2 2 88 3" xfId="20415"/>
    <cellStyle name="Header2 2 2 88 4" xfId="20416"/>
    <cellStyle name="Header2 2 2 88 5" xfId="20417"/>
    <cellStyle name="Header2 2 2 88 6" xfId="20418"/>
    <cellStyle name="Header2 2 2 88 7" xfId="20419"/>
    <cellStyle name="Header2 2 2 88 8" xfId="20420"/>
    <cellStyle name="Header2 2 2 88 9" xfId="20421"/>
    <cellStyle name="Header2 2 2 89" xfId="4335"/>
    <cellStyle name="Header2 2 2 89 10" xfId="20422"/>
    <cellStyle name="Header2 2 2 89 2" xfId="20423"/>
    <cellStyle name="Header2 2 2 89 3" xfId="20424"/>
    <cellStyle name="Header2 2 2 89 4" xfId="20425"/>
    <cellStyle name="Header2 2 2 89 5" xfId="20426"/>
    <cellStyle name="Header2 2 2 89 6" xfId="20427"/>
    <cellStyle name="Header2 2 2 89 7" xfId="20428"/>
    <cellStyle name="Header2 2 2 89 8" xfId="20429"/>
    <cellStyle name="Header2 2 2 89 9" xfId="20430"/>
    <cellStyle name="Header2 2 2 9" xfId="4336"/>
    <cellStyle name="Header2 2 2 9 2" xfId="20431"/>
    <cellStyle name="Header2 2 2 9 3" xfId="20432"/>
    <cellStyle name="Header2 2 2 9 4" xfId="20433"/>
    <cellStyle name="Header2 2 2 9 5" xfId="20434"/>
    <cellStyle name="Header2 2 2 9 6" xfId="20435"/>
    <cellStyle name="Header2 2 2 9 7" xfId="20436"/>
    <cellStyle name="Header2 2 2 9 8" xfId="20437"/>
    <cellStyle name="Header2 2 2 9 9" xfId="20438"/>
    <cellStyle name="Header2 2 2 90" xfId="4337"/>
    <cellStyle name="Header2 2 2 90 10" xfId="20439"/>
    <cellStyle name="Header2 2 2 90 2" xfId="20440"/>
    <cellStyle name="Header2 2 2 90 3" xfId="20441"/>
    <cellStyle name="Header2 2 2 90 4" xfId="20442"/>
    <cellStyle name="Header2 2 2 90 5" xfId="20443"/>
    <cellStyle name="Header2 2 2 90 6" xfId="20444"/>
    <cellStyle name="Header2 2 2 90 7" xfId="20445"/>
    <cellStyle name="Header2 2 2 90 8" xfId="20446"/>
    <cellStyle name="Header2 2 2 90 9" xfId="20447"/>
    <cellStyle name="Header2 2 2 91" xfId="4338"/>
    <cellStyle name="Header2 2 2 91 10" xfId="20448"/>
    <cellStyle name="Header2 2 2 91 2" xfId="20449"/>
    <cellStyle name="Header2 2 2 91 3" xfId="20450"/>
    <cellStyle name="Header2 2 2 91 4" xfId="20451"/>
    <cellStyle name="Header2 2 2 91 5" xfId="20452"/>
    <cellStyle name="Header2 2 2 91 6" xfId="20453"/>
    <cellStyle name="Header2 2 2 91 7" xfId="20454"/>
    <cellStyle name="Header2 2 2 91 8" xfId="20455"/>
    <cellStyle name="Header2 2 2 91 9" xfId="20456"/>
    <cellStyle name="Header2 2 2 92" xfId="4339"/>
    <cellStyle name="Header2 2 2 92 10" xfId="20457"/>
    <cellStyle name="Header2 2 2 92 2" xfId="20458"/>
    <cellStyle name="Header2 2 2 92 3" xfId="20459"/>
    <cellStyle name="Header2 2 2 92 4" xfId="20460"/>
    <cellStyle name="Header2 2 2 92 5" xfId="20461"/>
    <cellStyle name="Header2 2 2 92 6" xfId="20462"/>
    <cellStyle name="Header2 2 2 92 7" xfId="20463"/>
    <cellStyle name="Header2 2 2 92 8" xfId="20464"/>
    <cellStyle name="Header2 2 2 92 9" xfId="20465"/>
    <cellStyle name="Header2 2 2 93" xfId="4340"/>
    <cellStyle name="Header2 2 2 93 2" xfId="20466"/>
    <cellStyle name="Header2 2 2 93 3" xfId="20467"/>
    <cellStyle name="Header2 2 2 93 4" xfId="20468"/>
    <cellStyle name="Header2 2 2 93 5" xfId="20469"/>
    <cellStyle name="Header2 2 2 93 6" xfId="20470"/>
    <cellStyle name="Header2 2 2 93 7" xfId="20471"/>
    <cellStyle name="Header2 2 2 93 8" xfId="20472"/>
    <cellStyle name="Header2 2 2 93 9" xfId="20473"/>
    <cellStyle name="Header2 2 2 94" xfId="20474"/>
    <cellStyle name="Header2 2 2 95" xfId="20475"/>
    <cellStyle name="Header2 2 2 96" xfId="20476"/>
    <cellStyle name="Header2 2 2 97" xfId="20477"/>
    <cellStyle name="Header2 2 2 98" xfId="20478"/>
    <cellStyle name="Header2 2 2 99" xfId="20479"/>
    <cellStyle name="Header2 2 2_Cashflow trend" xfId="1110"/>
    <cellStyle name="Header2 2 20" xfId="4341"/>
    <cellStyle name="Header2 2 20 2" xfId="20480"/>
    <cellStyle name="Header2 2 20 3" xfId="20481"/>
    <cellStyle name="Header2 2 20 4" xfId="20482"/>
    <cellStyle name="Header2 2 20 5" xfId="20483"/>
    <cellStyle name="Header2 2 20 6" xfId="20484"/>
    <cellStyle name="Header2 2 20 7" xfId="20485"/>
    <cellStyle name="Header2 2 20 8" xfId="20486"/>
    <cellStyle name="Header2 2 20 9" xfId="20487"/>
    <cellStyle name="Header2 2 21" xfId="4342"/>
    <cellStyle name="Header2 2 21 2" xfId="20488"/>
    <cellStyle name="Header2 2 21 3" xfId="20489"/>
    <cellStyle name="Header2 2 21 4" xfId="20490"/>
    <cellStyle name="Header2 2 21 5" xfId="20491"/>
    <cellStyle name="Header2 2 21 6" xfId="20492"/>
    <cellStyle name="Header2 2 21 7" xfId="20493"/>
    <cellStyle name="Header2 2 21 8" xfId="20494"/>
    <cellStyle name="Header2 2 21 9" xfId="20495"/>
    <cellStyle name="Header2 2 22" xfId="4343"/>
    <cellStyle name="Header2 2 22 2" xfId="20496"/>
    <cellStyle name="Header2 2 22 3" xfId="20497"/>
    <cellStyle name="Header2 2 22 4" xfId="20498"/>
    <cellStyle name="Header2 2 22 5" xfId="20499"/>
    <cellStyle name="Header2 2 22 6" xfId="20500"/>
    <cellStyle name="Header2 2 22 7" xfId="20501"/>
    <cellStyle name="Header2 2 22 8" xfId="20502"/>
    <cellStyle name="Header2 2 22 9" xfId="20503"/>
    <cellStyle name="Header2 2 23" xfId="4344"/>
    <cellStyle name="Header2 2 23 10" xfId="20504"/>
    <cellStyle name="Header2 2 23 2" xfId="20505"/>
    <cellStyle name="Header2 2 23 3" xfId="20506"/>
    <cellStyle name="Header2 2 23 4" xfId="20507"/>
    <cellStyle name="Header2 2 23 5" xfId="20508"/>
    <cellStyle name="Header2 2 23 6" xfId="20509"/>
    <cellStyle name="Header2 2 23 7" xfId="20510"/>
    <cellStyle name="Header2 2 23 8" xfId="20511"/>
    <cellStyle name="Header2 2 23 9" xfId="20512"/>
    <cellStyle name="Header2 2 24" xfId="4345"/>
    <cellStyle name="Header2 2 24 10" xfId="20513"/>
    <cellStyle name="Header2 2 24 2" xfId="20514"/>
    <cellStyle name="Header2 2 24 3" xfId="20515"/>
    <cellStyle name="Header2 2 24 4" xfId="20516"/>
    <cellStyle name="Header2 2 24 5" xfId="20517"/>
    <cellStyle name="Header2 2 24 6" xfId="20518"/>
    <cellStyle name="Header2 2 24 7" xfId="20519"/>
    <cellStyle name="Header2 2 24 8" xfId="20520"/>
    <cellStyle name="Header2 2 24 9" xfId="20521"/>
    <cellStyle name="Header2 2 25" xfId="4346"/>
    <cellStyle name="Header2 2 25 10" xfId="20522"/>
    <cellStyle name="Header2 2 25 2" xfId="20523"/>
    <cellStyle name="Header2 2 25 3" xfId="20524"/>
    <cellStyle name="Header2 2 25 4" xfId="20525"/>
    <cellStyle name="Header2 2 25 5" xfId="20526"/>
    <cellStyle name="Header2 2 25 6" xfId="20527"/>
    <cellStyle name="Header2 2 25 7" xfId="20528"/>
    <cellStyle name="Header2 2 25 8" xfId="20529"/>
    <cellStyle name="Header2 2 25 9" xfId="20530"/>
    <cellStyle name="Header2 2 26" xfId="4347"/>
    <cellStyle name="Header2 2 26 10" xfId="20531"/>
    <cellStyle name="Header2 2 26 2" xfId="20532"/>
    <cellStyle name="Header2 2 26 3" xfId="20533"/>
    <cellStyle name="Header2 2 26 4" xfId="20534"/>
    <cellStyle name="Header2 2 26 5" xfId="20535"/>
    <cellStyle name="Header2 2 26 6" xfId="20536"/>
    <cellStyle name="Header2 2 26 7" xfId="20537"/>
    <cellStyle name="Header2 2 26 8" xfId="20538"/>
    <cellStyle name="Header2 2 26 9" xfId="20539"/>
    <cellStyle name="Header2 2 27" xfId="4348"/>
    <cellStyle name="Header2 2 27 10" xfId="20540"/>
    <cellStyle name="Header2 2 27 2" xfId="20541"/>
    <cellStyle name="Header2 2 27 3" xfId="20542"/>
    <cellStyle name="Header2 2 27 4" xfId="20543"/>
    <cellStyle name="Header2 2 27 5" xfId="20544"/>
    <cellStyle name="Header2 2 27 6" xfId="20545"/>
    <cellStyle name="Header2 2 27 7" xfId="20546"/>
    <cellStyle name="Header2 2 27 8" xfId="20547"/>
    <cellStyle name="Header2 2 27 9" xfId="20548"/>
    <cellStyle name="Header2 2 28" xfId="4349"/>
    <cellStyle name="Header2 2 28 10" xfId="20549"/>
    <cellStyle name="Header2 2 28 2" xfId="20550"/>
    <cellStyle name="Header2 2 28 3" xfId="20551"/>
    <cellStyle name="Header2 2 28 4" xfId="20552"/>
    <cellStyle name="Header2 2 28 5" xfId="20553"/>
    <cellStyle name="Header2 2 28 6" xfId="20554"/>
    <cellStyle name="Header2 2 28 7" xfId="20555"/>
    <cellStyle name="Header2 2 28 8" xfId="20556"/>
    <cellStyle name="Header2 2 28 9" xfId="20557"/>
    <cellStyle name="Header2 2 29" xfId="4350"/>
    <cellStyle name="Header2 2 29 10" xfId="20558"/>
    <cellStyle name="Header2 2 29 2" xfId="20559"/>
    <cellStyle name="Header2 2 29 3" xfId="20560"/>
    <cellStyle name="Header2 2 29 4" xfId="20561"/>
    <cellStyle name="Header2 2 29 5" xfId="20562"/>
    <cellStyle name="Header2 2 29 6" xfId="20563"/>
    <cellStyle name="Header2 2 29 7" xfId="20564"/>
    <cellStyle name="Header2 2 29 8" xfId="20565"/>
    <cellStyle name="Header2 2 29 9" xfId="20566"/>
    <cellStyle name="Header2 2 3" xfId="1111"/>
    <cellStyle name="Header2 2 3 10" xfId="4351"/>
    <cellStyle name="Header2 2 3 10 2" xfId="20567"/>
    <cellStyle name="Header2 2 3 10 3" xfId="20568"/>
    <cellStyle name="Header2 2 3 10 4" xfId="20569"/>
    <cellStyle name="Header2 2 3 10 5" xfId="20570"/>
    <cellStyle name="Header2 2 3 10 6" xfId="20571"/>
    <cellStyle name="Header2 2 3 10 7" xfId="20572"/>
    <cellStyle name="Header2 2 3 10 8" xfId="20573"/>
    <cellStyle name="Header2 2 3 10 9" xfId="20574"/>
    <cellStyle name="Header2 2 3 100" xfId="20575"/>
    <cellStyle name="Header2 2 3 101" xfId="20576"/>
    <cellStyle name="Header2 2 3 102" xfId="20577"/>
    <cellStyle name="Header2 2 3 11" xfId="4352"/>
    <cellStyle name="Header2 2 3 11 2" xfId="20578"/>
    <cellStyle name="Header2 2 3 11 3" xfId="20579"/>
    <cellStyle name="Header2 2 3 11 4" xfId="20580"/>
    <cellStyle name="Header2 2 3 11 5" xfId="20581"/>
    <cellStyle name="Header2 2 3 11 6" xfId="20582"/>
    <cellStyle name="Header2 2 3 11 7" xfId="20583"/>
    <cellStyle name="Header2 2 3 11 8" xfId="20584"/>
    <cellStyle name="Header2 2 3 11 9" xfId="20585"/>
    <cellStyle name="Header2 2 3 12" xfId="4353"/>
    <cellStyle name="Header2 2 3 12 2" xfId="20586"/>
    <cellStyle name="Header2 2 3 12 3" xfId="20587"/>
    <cellStyle name="Header2 2 3 12 4" xfId="20588"/>
    <cellStyle name="Header2 2 3 12 5" xfId="20589"/>
    <cellStyle name="Header2 2 3 12 6" xfId="20590"/>
    <cellStyle name="Header2 2 3 12 7" xfId="20591"/>
    <cellStyle name="Header2 2 3 12 8" xfId="20592"/>
    <cellStyle name="Header2 2 3 12 9" xfId="20593"/>
    <cellStyle name="Header2 2 3 13" xfId="4354"/>
    <cellStyle name="Header2 2 3 13 2" xfId="20594"/>
    <cellStyle name="Header2 2 3 13 3" xfId="20595"/>
    <cellStyle name="Header2 2 3 13 4" xfId="20596"/>
    <cellStyle name="Header2 2 3 13 5" xfId="20597"/>
    <cellStyle name="Header2 2 3 13 6" xfId="20598"/>
    <cellStyle name="Header2 2 3 13 7" xfId="20599"/>
    <cellStyle name="Header2 2 3 13 8" xfId="20600"/>
    <cellStyle name="Header2 2 3 13 9" xfId="20601"/>
    <cellStyle name="Header2 2 3 14" xfId="4355"/>
    <cellStyle name="Header2 2 3 14 2" xfId="20602"/>
    <cellStyle name="Header2 2 3 14 3" xfId="20603"/>
    <cellStyle name="Header2 2 3 14 4" xfId="20604"/>
    <cellStyle name="Header2 2 3 14 5" xfId="20605"/>
    <cellStyle name="Header2 2 3 14 6" xfId="20606"/>
    <cellStyle name="Header2 2 3 14 7" xfId="20607"/>
    <cellStyle name="Header2 2 3 14 8" xfId="20608"/>
    <cellStyle name="Header2 2 3 14 9" xfId="20609"/>
    <cellStyle name="Header2 2 3 15" xfId="4356"/>
    <cellStyle name="Header2 2 3 15 2" xfId="20610"/>
    <cellStyle name="Header2 2 3 15 3" xfId="20611"/>
    <cellStyle name="Header2 2 3 15 4" xfId="20612"/>
    <cellStyle name="Header2 2 3 15 5" xfId="20613"/>
    <cellStyle name="Header2 2 3 15 6" xfId="20614"/>
    <cellStyle name="Header2 2 3 15 7" xfId="20615"/>
    <cellStyle name="Header2 2 3 15 8" xfId="20616"/>
    <cellStyle name="Header2 2 3 15 9" xfId="20617"/>
    <cellStyle name="Header2 2 3 16" xfId="4357"/>
    <cellStyle name="Header2 2 3 16 2" xfId="20618"/>
    <cellStyle name="Header2 2 3 16 3" xfId="20619"/>
    <cellStyle name="Header2 2 3 16 4" xfId="20620"/>
    <cellStyle name="Header2 2 3 16 5" xfId="20621"/>
    <cellStyle name="Header2 2 3 16 6" xfId="20622"/>
    <cellStyle name="Header2 2 3 16 7" xfId="20623"/>
    <cellStyle name="Header2 2 3 16 8" xfId="20624"/>
    <cellStyle name="Header2 2 3 16 9" xfId="20625"/>
    <cellStyle name="Header2 2 3 17" xfId="4358"/>
    <cellStyle name="Header2 2 3 17 2" xfId="20626"/>
    <cellStyle name="Header2 2 3 17 3" xfId="20627"/>
    <cellStyle name="Header2 2 3 17 4" xfId="20628"/>
    <cellStyle name="Header2 2 3 17 5" xfId="20629"/>
    <cellStyle name="Header2 2 3 17 6" xfId="20630"/>
    <cellStyle name="Header2 2 3 17 7" xfId="20631"/>
    <cellStyle name="Header2 2 3 17 8" xfId="20632"/>
    <cellStyle name="Header2 2 3 17 9" xfId="20633"/>
    <cellStyle name="Header2 2 3 18" xfId="4359"/>
    <cellStyle name="Header2 2 3 18 2" xfId="20634"/>
    <cellStyle name="Header2 2 3 18 3" xfId="20635"/>
    <cellStyle name="Header2 2 3 18 4" xfId="20636"/>
    <cellStyle name="Header2 2 3 18 5" xfId="20637"/>
    <cellStyle name="Header2 2 3 18 6" xfId="20638"/>
    <cellStyle name="Header2 2 3 18 7" xfId="20639"/>
    <cellStyle name="Header2 2 3 18 8" xfId="20640"/>
    <cellStyle name="Header2 2 3 18 9" xfId="20641"/>
    <cellStyle name="Header2 2 3 19" xfId="4360"/>
    <cellStyle name="Header2 2 3 19 2" xfId="20642"/>
    <cellStyle name="Header2 2 3 19 3" xfId="20643"/>
    <cellStyle name="Header2 2 3 19 4" xfId="20644"/>
    <cellStyle name="Header2 2 3 19 5" xfId="20645"/>
    <cellStyle name="Header2 2 3 19 6" xfId="20646"/>
    <cellStyle name="Header2 2 3 19 7" xfId="20647"/>
    <cellStyle name="Header2 2 3 19 8" xfId="20648"/>
    <cellStyle name="Header2 2 3 19 9" xfId="20649"/>
    <cellStyle name="Header2 2 3 2" xfId="1112"/>
    <cellStyle name="Header2 2 3 2 10" xfId="20650"/>
    <cellStyle name="Header2 2 3 2 11" xfId="20651"/>
    <cellStyle name="Header2 2 3 2 2" xfId="1113"/>
    <cellStyle name="Header2 2 3 2 2 2" xfId="12678"/>
    <cellStyle name="Header2 2 3 2 2_YL Capex Cashflow &amp; Dep" xfId="11718"/>
    <cellStyle name="Header2 2 3 2 3" xfId="11980"/>
    <cellStyle name="Header2 2 3 2 4" xfId="20652"/>
    <cellStyle name="Header2 2 3 2 5" xfId="20653"/>
    <cellStyle name="Header2 2 3 2 6" xfId="20654"/>
    <cellStyle name="Header2 2 3 2 7" xfId="20655"/>
    <cellStyle name="Header2 2 3 2 8" xfId="20656"/>
    <cellStyle name="Header2 2 3 2 9" xfId="20657"/>
    <cellStyle name="Header2 2 3 2_Cashflow trend" xfId="1114"/>
    <cellStyle name="Header2 2 3 20" xfId="4361"/>
    <cellStyle name="Header2 2 3 20 10" xfId="20658"/>
    <cellStyle name="Header2 2 3 20 2" xfId="20659"/>
    <cellStyle name="Header2 2 3 20 3" xfId="20660"/>
    <cellStyle name="Header2 2 3 20 4" xfId="20661"/>
    <cellStyle name="Header2 2 3 20 5" xfId="20662"/>
    <cellStyle name="Header2 2 3 20 6" xfId="20663"/>
    <cellStyle name="Header2 2 3 20 7" xfId="20664"/>
    <cellStyle name="Header2 2 3 20 8" xfId="20665"/>
    <cellStyle name="Header2 2 3 20 9" xfId="20666"/>
    <cellStyle name="Header2 2 3 21" xfId="4362"/>
    <cellStyle name="Header2 2 3 21 10" xfId="20667"/>
    <cellStyle name="Header2 2 3 21 2" xfId="20668"/>
    <cellStyle name="Header2 2 3 21 3" xfId="20669"/>
    <cellStyle name="Header2 2 3 21 4" xfId="20670"/>
    <cellStyle name="Header2 2 3 21 5" xfId="20671"/>
    <cellStyle name="Header2 2 3 21 6" xfId="20672"/>
    <cellStyle name="Header2 2 3 21 7" xfId="20673"/>
    <cellStyle name="Header2 2 3 21 8" xfId="20674"/>
    <cellStyle name="Header2 2 3 21 9" xfId="20675"/>
    <cellStyle name="Header2 2 3 22" xfId="4363"/>
    <cellStyle name="Header2 2 3 22 10" xfId="20676"/>
    <cellStyle name="Header2 2 3 22 2" xfId="20677"/>
    <cellStyle name="Header2 2 3 22 3" xfId="20678"/>
    <cellStyle name="Header2 2 3 22 4" xfId="20679"/>
    <cellStyle name="Header2 2 3 22 5" xfId="20680"/>
    <cellStyle name="Header2 2 3 22 6" xfId="20681"/>
    <cellStyle name="Header2 2 3 22 7" xfId="20682"/>
    <cellStyle name="Header2 2 3 22 8" xfId="20683"/>
    <cellStyle name="Header2 2 3 22 9" xfId="20684"/>
    <cellStyle name="Header2 2 3 23" xfId="4364"/>
    <cellStyle name="Header2 2 3 23 10" xfId="20685"/>
    <cellStyle name="Header2 2 3 23 2" xfId="20686"/>
    <cellStyle name="Header2 2 3 23 3" xfId="20687"/>
    <cellStyle name="Header2 2 3 23 4" xfId="20688"/>
    <cellStyle name="Header2 2 3 23 5" xfId="20689"/>
    <cellStyle name="Header2 2 3 23 6" xfId="20690"/>
    <cellStyle name="Header2 2 3 23 7" xfId="20691"/>
    <cellStyle name="Header2 2 3 23 8" xfId="20692"/>
    <cellStyle name="Header2 2 3 23 9" xfId="20693"/>
    <cellStyle name="Header2 2 3 24" xfId="4365"/>
    <cellStyle name="Header2 2 3 24 10" xfId="20694"/>
    <cellStyle name="Header2 2 3 24 2" xfId="20695"/>
    <cellStyle name="Header2 2 3 24 3" xfId="20696"/>
    <cellStyle name="Header2 2 3 24 4" xfId="20697"/>
    <cellStyle name="Header2 2 3 24 5" xfId="20698"/>
    <cellStyle name="Header2 2 3 24 6" xfId="20699"/>
    <cellStyle name="Header2 2 3 24 7" xfId="20700"/>
    <cellStyle name="Header2 2 3 24 8" xfId="20701"/>
    <cellStyle name="Header2 2 3 24 9" xfId="20702"/>
    <cellStyle name="Header2 2 3 25" xfId="4366"/>
    <cellStyle name="Header2 2 3 25 10" xfId="20703"/>
    <cellStyle name="Header2 2 3 25 2" xfId="20704"/>
    <cellStyle name="Header2 2 3 25 3" xfId="20705"/>
    <cellStyle name="Header2 2 3 25 4" xfId="20706"/>
    <cellStyle name="Header2 2 3 25 5" xfId="20707"/>
    <cellStyle name="Header2 2 3 25 6" xfId="20708"/>
    <cellStyle name="Header2 2 3 25 7" xfId="20709"/>
    <cellStyle name="Header2 2 3 25 8" xfId="20710"/>
    <cellStyle name="Header2 2 3 25 9" xfId="20711"/>
    <cellStyle name="Header2 2 3 26" xfId="4367"/>
    <cellStyle name="Header2 2 3 26 10" xfId="20712"/>
    <cellStyle name="Header2 2 3 26 2" xfId="20713"/>
    <cellStyle name="Header2 2 3 26 3" xfId="20714"/>
    <cellStyle name="Header2 2 3 26 4" xfId="20715"/>
    <cellStyle name="Header2 2 3 26 5" xfId="20716"/>
    <cellStyle name="Header2 2 3 26 6" xfId="20717"/>
    <cellStyle name="Header2 2 3 26 7" xfId="20718"/>
    <cellStyle name="Header2 2 3 26 8" xfId="20719"/>
    <cellStyle name="Header2 2 3 26 9" xfId="20720"/>
    <cellStyle name="Header2 2 3 27" xfId="4368"/>
    <cellStyle name="Header2 2 3 27 10" xfId="20721"/>
    <cellStyle name="Header2 2 3 27 2" xfId="20722"/>
    <cellStyle name="Header2 2 3 27 3" xfId="20723"/>
    <cellStyle name="Header2 2 3 27 4" xfId="20724"/>
    <cellStyle name="Header2 2 3 27 5" xfId="20725"/>
    <cellStyle name="Header2 2 3 27 6" xfId="20726"/>
    <cellStyle name="Header2 2 3 27 7" xfId="20727"/>
    <cellStyle name="Header2 2 3 27 8" xfId="20728"/>
    <cellStyle name="Header2 2 3 27 9" xfId="20729"/>
    <cellStyle name="Header2 2 3 28" xfId="4369"/>
    <cellStyle name="Header2 2 3 28 10" xfId="20730"/>
    <cellStyle name="Header2 2 3 28 2" xfId="20731"/>
    <cellStyle name="Header2 2 3 28 3" xfId="20732"/>
    <cellStyle name="Header2 2 3 28 4" xfId="20733"/>
    <cellStyle name="Header2 2 3 28 5" xfId="20734"/>
    <cellStyle name="Header2 2 3 28 6" xfId="20735"/>
    <cellStyle name="Header2 2 3 28 7" xfId="20736"/>
    <cellStyle name="Header2 2 3 28 8" xfId="20737"/>
    <cellStyle name="Header2 2 3 28 9" xfId="20738"/>
    <cellStyle name="Header2 2 3 29" xfId="4370"/>
    <cellStyle name="Header2 2 3 29 10" xfId="20739"/>
    <cellStyle name="Header2 2 3 29 2" xfId="20740"/>
    <cellStyle name="Header2 2 3 29 3" xfId="20741"/>
    <cellStyle name="Header2 2 3 29 4" xfId="20742"/>
    <cellStyle name="Header2 2 3 29 5" xfId="20743"/>
    <cellStyle name="Header2 2 3 29 6" xfId="20744"/>
    <cellStyle name="Header2 2 3 29 7" xfId="20745"/>
    <cellStyle name="Header2 2 3 29 8" xfId="20746"/>
    <cellStyle name="Header2 2 3 29 9" xfId="20747"/>
    <cellStyle name="Header2 2 3 3" xfId="1115"/>
    <cellStyle name="Header2 2 3 3 10" xfId="20748"/>
    <cellStyle name="Header2 2 3 3 2" xfId="1116"/>
    <cellStyle name="Header2 2 3 3 2 2" xfId="12503"/>
    <cellStyle name="Header2 2 3 3 2_YL Capex Cashflow &amp; Dep" xfId="11311"/>
    <cellStyle name="Header2 2 3 3 3" xfId="11793"/>
    <cellStyle name="Header2 2 3 3 4" xfId="20749"/>
    <cellStyle name="Header2 2 3 3 5" xfId="20750"/>
    <cellStyle name="Header2 2 3 3 6" xfId="20751"/>
    <cellStyle name="Header2 2 3 3 7" xfId="20752"/>
    <cellStyle name="Header2 2 3 3 8" xfId="20753"/>
    <cellStyle name="Header2 2 3 3 9" xfId="20754"/>
    <cellStyle name="Header2 2 3 3_Cashflow trend" xfId="1117"/>
    <cellStyle name="Header2 2 3 30" xfId="4371"/>
    <cellStyle name="Header2 2 3 30 10" xfId="20755"/>
    <cellStyle name="Header2 2 3 30 2" xfId="20756"/>
    <cellStyle name="Header2 2 3 30 3" xfId="20757"/>
    <cellStyle name="Header2 2 3 30 4" xfId="20758"/>
    <cellStyle name="Header2 2 3 30 5" xfId="20759"/>
    <cellStyle name="Header2 2 3 30 6" xfId="20760"/>
    <cellStyle name="Header2 2 3 30 7" xfId="20761"/>
    <cellStyle name="Header2 2 3 30 8" xfId="20762"/>
    <cellStyle name="Header2 2 3 30 9" xfId="20763"/>
    <cellStyle name="Header2 2 3 31" xfId="4372"/>
    <cellStyle name="Header2 2 3 31 10" xfId="20764"/>
    <cellStyle name="Header2 2 3 31 2" xfId="20765"/>
    <cellStyle name="Header2 2 3 31 3" xfId="20766"/>
    <cellStyle name="Header2 2 3 31 4" xfId="20767"/>
    <cellStyle name="Header2 2 3 31 5" xfId="20768"/>
    <cellStyle name="Header2 2 3 31 6" xfId="20769"/>
    <cellStyle name="Header2 2 3 31 7" xfId="20770"/>
    <cellStyle name="Header2 2 3 31 8" xfId="20771"/>
    <cellStyle name="Header2 2 3 31 9" xfId="20772"/>
    <cellStyle name="Header2 2 3 32" xfId="4373"/>
    <cellStyle name="Header2 2 3 32 10" xfId="20773"/>
    <cellStyle name="Header2 2 3 32 2" xfId="20774"/>
    <cellStyle name="Header2 2 3 32 3" xfId="20775"/>
    <cellStyle name="Header2 2 3 32 4" xfId="20776"/>
    <cellStyle name="Header2 2 3 32 5" xfId="20777"/>
    <cellStyle name="Header2 2 3 32 6" xfId="20778"/>
    <cellStyle name="Header2 2 3 32 7" xfId="20779"/>
    <cellStyle name="Header2 2 3 32 8" xfId="20780"/>
    <cellStyle name="Header2 2 3 32 9" xfId="20781"/>
    <cellStyle name="Header2 2 3 33" xfId="4374"/>
    <cellStyle name="Header2 2 3 33 10" xfId="20782"/>
    <cellStyle name="Header2 2 3 33 2" xfId="20783"/>
    <cellStyle name="Header2 2 3 33 3" xfId="20784"/>
    <cellStyle name="Header2 2 3 33 4" xfId="20785"/>
    <cellStyle name="Header2 2 3 33 5" xfId="20786"/>
    <cellStyle name="Header2 2 3 33 6" xfId="20787"/>
    <cellStyle name="Header2 2 3 33 7" xfId="20788"/>
    <cellStyle name="Header2 2 3 33 8" xfId="20789"/>
    <cellStyle name="Header2 2 3 33 9" xfId="20790"/>
    <cellStyle name="Header2 2 3 34" xfId="4375"/>
    <cellStyle name="Header2 2 3 34 10" xfId="20791"/>
    <cellStyle name="Header2 2 3 34 2" xfId="20792"/>
    <cellStyle name="Header2 2 3 34 3" xfId="20793"/>
    <cellStyle name="Header2 2 3 34 4" xfId="20794"/>
    <cellStyle name="Header2 2 3 34 5" xfId="20795"/>
    <cellStyle name="Header2 2 3 34 6" xfId="20796"/>
    <cellStyle name="Header2 2 3 34 7" xfId="20797"/>
    <cellStyle name="Header2 2 3 34 8" xfId="20798"/>
    <cellStyle name="Header2 2 3 34 9" xfId="20799"/>
    <cellStyle name="Header2 2 3 35" xfId="4376"/>
    <cellStyle name="Header2 2 3 35 10" xfId="20800"/>
    <cellStyle name="Header2 2 3 35 2" xfId="20801"/>
    <cellStyle name="Header2 2 3 35 3" xfId="20802"/>
    <cellStyle name="Header2 2 3 35 4" xfId="20803"/>
    <cellStyle name="Header2 2 3 35 5" xfId="20804"/>
    <cellStyle name="Header2 2 3 35 6" xfId="20805"/>
    <cellStyle name="Header2 2 3 35 7" xfId="20806"/>
    <cellStyle name="Header2 2 3 35 8" xfId="20807"/>
    <cellStyle name="Header2 2 3 35 9" xfId="20808"/>
    <cellStyle name="Header2 2 3 36" xfId="4377"/>
    <cellStyle name="Header2 2 3 36 10" xfId="20809"/>
    <cellStyle name="Header2 2 3 36 2" xfId="20810"/>
    <cellStyle name="Header2 2 3 36 3" xfId="20811"/>
    <cellStyle name="Header2 2 3 36 4" xfId="20812"/>
    <cellStyle name="Header2 2 3 36 5" xfId="20813"/>
    <cellStyle name="Header2 2 3 36 6" xfId="20814"/>
    <cellStyle name="Header2 2 3 36 7" xfId="20815"/>
    <cellStyle name="Header2 2 3 36 8" xfId="20816"/>
    <cellStyle name="Header2 2 3 36 9" xfId="20817"/>
    <cellStyle name="Header2 2 3 37" xfId="4378"/>
    <cellStyle name="Header2 2 3 37 10" xfId="20818"/>
    <cellStyle name="Header2 2 3 37 2" xfId="20819"/>
    <cellStyle name="Header2 2 3 37 3" xfId="20820"/>
    <cellStyle name="Header2 2 3 37 4" xfId="20821"/>
    <cellStyle name="Header2 2 3 37 5" xfId="20822"/>
    <cellStyle name="Header2 2 3 37 6" xfId="20823"/>
    <cellStyle name="Header2 2 3 37 7" xfId="20824"/>
    <cellStyle name="Header2 2 3 37 8" xfId="20825"/>
    <cellStyle name="Header2 2 3 37 9" xfId="20826"/>
    <cellStyle name="Header2 2 3 38" xfId="4379"/>
    <cellStyle name="Header2 2 3 38 10" xfId="20827"/>
    <cellStyle name="Header2 2 3 38 2" xfId="20828"/>
    <cellStyle name="Header2 2 3 38 3" xfId="20829"/>
    <cellStyle name="Header2 2 3 38 4" xfId="20830"/>
    <cellStyle name="Header2 2 3 38 5" xfId="20831"/>
    <cellStyle name="Header2 2 3 38 6" xfId="20832"/>
    <cellStyle name="Header2 2 3 38 7" xfId="20833"/>
    <cellStyle name="Header2 2 3 38 8" xfId="20834"/>
    <cellStyle name="Header2 2 3 38 9" xfId="20835"/>
    <cellStyle name="Header2 2 3 39" xfId="4380"/>
    <cellStyle name="Header2 2 3 39 10" xfId="20836"/>
    <cellStyle name="Header2 2 3 39 2" xfId="20837"/>
    <cellStyle name="Header2 2 3 39 3" xfId="20838"/>
    <cellStyle name="Header2 2 3 39 4" xfId="20839"/>
    <cellStyle name="Header2 2 3 39 5" xfId="20840"/>
    <cellStyle name="Header2 2 3 39 6" xfId="20841"/>
    <cellStyle name="Header2 2 3 39 7" xfId="20842"/>
    <cellStyle name="Header2 2 3 39 8" xfId="20843"/>
    <cellStyle name="Header2 2 3 39 9" xfId="20844"/>
    <cellStyle name="Header2 2 3 4" xfId="1118"/>
    <cellStyle name="Header2 2 3 4 10" xfId="20845"/>
    <cellStyle name="Header2 2 3 4 2" xfId="11678"/>
    <cellStyle name="Header2 2 3 4 3" xfId="20846"/>
    <cellStyle name="Header2 2 3 4 4" xfId="20847"/>
    <cellStyle name="Header2 2 3 4 5" xfId="20848"/>
    <cellStyle name="Header2 2 3 4 6" xfId="20849"/>
    <cellStyle name="Header2 2 3 4 7" xfId="20850"/>
    <cellStyle name="Header2 2 3 4 8" xfId="20851"/>
    <cellStyle name="Header2 2 3 4 9" xfId="20852"/>
    <cellStyle name="Header2 2 3 4_YL Capex Cashflow &amp; Dep" xfId="13259"/>
    <cellStyle name="Header2 2 3 40" xfId="4381"/>
    <cellStyle name="Header2 2 3 40 10" xfId="20853"/>
    <cellStyle name="Header2 2 3 40 2" xfId="20854"/>
    <cellStyle name="Header2 2 3 40 3" xfId="20855"/>
    <cellStyle name="Header2 2 3 40 4" xfId="20856"/>
    <cellStyle name="Header2 2 3 40 5" xfId="20857"/>
    <cellStyle name="Header2 2 3 40 6" xfId="20858"/>
    <cellStyle name="Header2 2 3 40 7" xfId="20859"/>
    <cellStyle name="Header2 2 3 40 8" xfId="20860"/>
    <cellStyle name="Header2 2 3 40 9" xfId="20861"/>
    <cellStyle name="Header2 2 3 41" xfId="4382"/>
    <cellStyle name="Header2 2 3 41 10" xfId="20862"/>
    <cellStyle name="Header2 2 3 41 2" xfId="20863"/>
    <cellStyle name="Header2 2 3 41 3" xfId="20864"/>
    <cellStyle name="Header2 2 3 41 4" xfId="20865"/>
    <cellStyle name="Header2 2 3 41 5" xfId="20866"/>
    <cellStyle name="Header2 2 3 41 6" xfId="20867"/>
    <cellStyle name="Header2 2 3 41 7" xfId="20868"/>
    <cellStyle name="Header2 2 3 41 8" xfId="20869"/>
    <cellStyle name="Header2 2 3 41 9" xfId="20870"/>
    <cellStyle name="Header2 2 3 42" xfId="4383"/>
    <cellStyle name="Header2 2 3 42 10" xfId="20871"/>
    <cellStyle name="Header2 2 3 42 2" xfId="20872"/>
    <cellStyle name="Header2 2 3 42 3" xfId="20873"/>
    <cellStyle name="Header2 2 3 42 4" xfId="20874"/>
    <cellStyle name="Header2 2 3 42 5" xfId="20875"/>
    <cellStyle name="Header2 2 3 42 6" xfId="20876"/>
    <cellStyle name="Header2 2 3 42 7" xfId="20877"/>
    <cellStyle name="Header2 2 3 42 8" xfId="20878"/>
    <cellStyle name="Header2 2 3 42 9" xfId="20879"/>
    <cellStyle name="Header2 2 3 43" xfId="4384"/>
    <cellStyle name="Header2 2 3 43 10" xfId="20880"/>
    <cellStyle name="Header2 2 3 43 2" xfId="20881"/>
    <cellStyle name="Header2 2 3 43 3" xfId="20882"/>
    <cellStyle name="Header2 2 3 43 4" xfId="20883"/>
    <cellStyle name="Header2 2 3 43 5" xfId="20884"/>
    <cellStyle name="Header2 2 3 43 6" xfId="20885"/>
    <cellStyle name="Header2 2 3 43 7" xfId="20886"/>
    <cellStyle name="Header2 2 3 43 8" xfId="20887"/>
    <cellStyle name="Header2 2 3 43 9" xfId="20888"/>
    <cellStyle name="Header2 2 3 44" xfId="4385"/>
    <cellStyle name="Header2 2 3 44 10" xfId="20889"/>
    <cellStyle name="Header2 2 3 44 2" xfId="20890"/>
    <cellStyle name="Header2 2 3 44 3" xfId="20891"/>
    <cellStyle name="Header2 2 3 44 4" xfId="20892"/>
    <cellStyle name="Header2 2 3 44 5" xfId="20893"/>
    <cellStyle name="Header2 2 3 44 6" xfId="20894"/>
    <cellStyle name="Header2 2 3 44 7" xfId="20895"/>
    <cellStyle name="Header2 2 3 44 8" xfId="20896"/>
    <cellStyle name="Header2 2 3 44 9" xfId="20897"/>
    <cellStyle name="Header2 2 3 45" xfId="4386"/>
    <cellStyle name="Header2 2 3 45 10" xfId="20898"/>
    <cellStyle name="Header2 2 3 45 2" xfId="20899"/>
    <cellStyle name="Header2 2 3 45 3" xfId="20900"/>
    <cellStyle name="Header2 2 3 45 4" xfId="20901"/>
    <cellStyle name="Header2 2 3 45 5" xfId="20902"/>
    <cellStyle name="Header2 2 3 45 6" xfId="20903"/>
    <cellStyle name="Header2 2 3 45 7" xfId="20904"/>
    <cellStyle name="Header2 2 3 45 8" xfId="20905"/>
    <cellStyle name="Header2 2 3 45 9" xfId="20906"/>
    <cellStyle name="Header2 2 3 46" xfId="4387"/>
    <cellStyle name="Header2 2 3 46 10" xfId="20907"/>
    <cellStyle name="Header2 2 3 46 2" xfId="20908"/>
    <cellStyle name="Header2 2 3 46 3" xfId="20909"/>
    <cellStyle name="Header2 2 3 46 4" xfId="20910"/>
    <cellStyle name="Header2 2 3 46 5" xfId="20911"/>
    <cellStyle name="Header2 2 3 46 6" xfId="20912"/>
    <cellStyle name="Header2 2 3 46 7" xfId="20913"/>
    <cellStyle name="Header2 2 3 46 8" xfId="20914"/>
    <cellStyle name="Header2 2 3 46 9" xfId="20915"/>
    <cellStyle name="Header2 2 3 47" xfId="4388"/>
    <cellStyle name="Header2 2 3 47 10" xfId="20916"/>
    <cellStyle name="Header2 2 3 47 2" xfId="20917"/>
    <cellStyle name="Header2 2 3 47 3" xfId="20918"/>
    <cellStyle name="Header2 2 3 47 4" xfId="20919"/>
    <cellStyle name="Header2 2 3 47 5" xfId="20920"/>
    <cellStyle name="Header2 2 3 47 6" xfId="20921"/>
    <cellStyle name="Header2 2 3 47 7" xfId="20922"/>
    <cellStyle name="Header2 2 3 47 8" xfId="20923"/>
    <cellStyle name="Header2 2 3 47 9" xfId="20924"/>
    <cellStyle name="Header2 2 3 48" xfId="4389"/>
    <cellStyle name="Header2 2 3 48 10" xfId="20925"/>
    <cellStyle name="Header2 2 3 48 2" xfId="20926"/>
    <cellStyle name="Header2 2 3 48 3" xfId="20927"/>
    <cellStyle name="Header2 2 3 48 4" xfId="20928"/>
    <cellStyle name="Header2 2 3 48 5" xfId="20929"/>
    <cellStyle name="Header2 2 3 48 6" xfId="20930"/>
    <cellStyle name="Header2 2 3 48 7" xfId="20931"/>
    <cellStyle name="Header2 2 3 48 8" xfId="20932"/>
    <cellStyle name="Header2 2 3 48 9" xfId="20933"/>
    <cellStyle name="Header2 2 3 49" xfId="4390"/>
    <cellStyle name="Header2 2 3 49 10" xfId="20934"/>
    <cellStyle name="Header2 2 3 49 2" xfId="20935"/>
    <cellStyle name="Header2 2 3 49 3" xfId="20936"/>
    <cellStyle name="Header2 2 3 49 4" xfId="20937"/>
    <cellStyle name="Header2 2 3 49 5" xfId="20938"/>
    <cellStyle name="Header2 2 3 49 6" xfId="20939"/>
    <cellStyle name="Header2 2 3 49 7" xfId="20940"/>
    <cellStyle name="Header2 2 3 49 8" xfId="20941"/>
    <cellStyle name="Header2 2 3 49 9" xfId="20942"/>
    <cellStyle name="Header2 2 3 5" xfId="1119"/>
    <cellStyle name="Header2 2 3 5 2" xfId="12410"/>
    <cellStyle name="Header2 2 3 5 3" xfId="20943"/>
    <cellStyle name="Header2 2 3 5 4" xfId="20944"/>
    <cellStyle name="Header2 2 3 5 5" xfId="20945"/>
    <cellStyle name="Header2 2 3 5 6" xfId="20946"/>
    <cellStyle name="Header2 2 3 5 7" xfId="20947"/>
    <cellStyle name="Header2 2 3 5 8" xfId="20948"/>
    <cellStyle name="Header2 2 3 5 9" xfId="20949"/>
    <cellStyle name="Header2 2 3 5_YL Capex Cashflow &amp; Dep" xfId="11804"/>
    <cellStyle name="Header2 2 3 50" xfId="4391"/>
    <cellStyle name="Header2 2 3 50 10" xfId="20950"/>
    <cellStyle name="Header2 2 3 50 2" xfId="20951"/>
    <cellStyle name="Header2 2 3 50 3" xfId="20952"/>
    <cellStyle name="Header2 2 3 50 4" xfId="20953"/>
    <cellStyle name="Header2 2 3 50 5" xfId="20954"/>
    <cellStyle name="Header2 2 3 50 6" xfId="20955"/>
    <cellStyle name="Header2 2 3 50 7" xfId="20956"/>
    <cellStyle name="Header2 2 3 50 8" xfId="20957"/>
    <cellStyle name="Header2 2 3 50 9" xfId="20958"/>
    <cellStyle name="Header2 2 3 51" xfId="4392"/>
    <cellStyle name="Header2 2 3 51 10" xfId="20959"/>
    <cellStyle name="Header2 2 3 51 2" xfId="20960"/>
    <cellStyle name="Header2 2 3 51 3" xfId="20961"/>
    <cellStyle name="Header2 2 3 51 4" xfId="20962"/>
    <cellStyle name="Header2 2 3 51 5" xfId="20963"/>
    <cellStyle name="Header2 2 3 51 6" xfId="20964"/>
    <cellStyle name="Header2 2 3 51 7" xfId="20965"/>
    <cellStyle name="Header2 2 3 51 8" xfId="20966"/>
    <cellStyle name="Header2 2 3 51 9" xfId="20967"/>
    <cellStyle name="Header2 2 3 52" xfId="4393"/>
    <cellStyle name="Header2 2 3 52 10" xfId="20968"/>
    <cellStyle name="Header2 2 3 52 2" xfId="20969"/>
    <cellStyle name="Header2 2 3 52 3" xfId="20970"/>
    <cellStyle name="Header2 2 3 52 4" xfId="20971"/>
    <cellStyle name="Header2 2 3 52 5" xfId="20972"/>
    <cellStyle name="Header2 2 3 52 6" xfId="20973"/>
    <cellStyle name="Header2 2 3 52 7" xfId="20974"/>
    <cellStyle name="Header2 2 3 52 8" xfId="20975"/>
    <cellStyle name="Header2 2 3 52 9" xfId="20976"/>
    <cellStyle name="Header2 2 3 53" xfId="4394"/>
    <cellStyle name="Header2 2 3 53 10" xfId="20977"/>
    <cellStyle name="Header2 2 3 53 2" xfId="20978"/>
    <cellStyle name="Header2 2 3 53 3" xfId="20979"/>
    <cellStyle name="Header2 2 3 53 4" xfId="20980"/>
    <cellStyle name="Header2 2 3 53 5" xfId="20981"/>
    <cellStyle name="Header2 2 3 53 6" xfId="20982"/>
    <cellStyle name="Header2 2 3 53 7" xfId="20983"/>
    <cellStyle name="Header2 2 3 53 8" xfId="20984"/>
    <cellStyle name="Header2 2 3 53 9" xfId="20985"/>
    <cellStyle name="Header2 2 3 54" xfId="4395"/>
    <cellStyle name="Header2 2 3 54 10" xfId="20986"/>
    <cellStyle name="Header2 2 3 54 2" xfId="20987"/>
    <cellStyle name="Header2 2 3 54 3" xfId="20988"/>
    <cellStyle name="Header2 2 3 54 4" xfId="20989"/>
    <cellStyle name="Header2 2 3 54 5" xfId="20990"/>
    <cellStyle name="Header2 2 3 54 6" xfId="20991"/>
    <cellStyle name="Header2 2 3 54 7" xfId="20992"/>
    <cellStyle name="Header2 2 3 54 8" xfId="20993"/>
    <cellStyle name="Header2 2 3 54 9" xfId="20994"/>
    <cellStyle name="Header2 2 3 55" xfId="4396"/>
    <cellStyle name="Header2 2 3 55 10" xfId="20995"/>
    <cellStyle name="Header2 2 3 55 2" xfId="20996"/>
    <cellStyle name="Header2 2 3 55 3" xfId="20997"/>
    <cellStyle name="Header2 2 3 55 4" xfId="20998"/>
    <cellStyle name="Header2 2 3 55 5" xfId="20999"/>
    <cellStyle name="Header2 2 3 55 6" xfId="21000"/>
    <cellStyle name="Header2 2 3 55 7" xfId="21001"/>
    <cellStyle name="Header2 2 3 55 8" xfId="21002"/>
    <cellStyle name="Header2 2 3 55 9" xfId="21003"/>
    <cellStyle name="Header2 2 3 56" xfId="4397"/>
    <cellStyle name="Header2 2 3 56 10" xfId="21004"/>
    <cellStyle name="Header2 2 3 56 2" xfId="21005"/>
    <cellStyle name="Header2 2 3 56 3" xfId="21006"/>
    <cellStyle name="Header2 2 3 56 4" xfId="21007"/>
    <cellStyle name="Header2 2 3 56 5" xfId="21008"/>
    <cellStyle name="Header2 2 3 56 6" xfId="21009"/>
    <cellStyle name="Header2 2 3 56 7" xfId="21010"/>
    <cellStyle name="Header2 2 3 56 8" xfId="21011"/>
    <cellStyle name="Header2 2 3 56 9" xfId="21012"/>
    <cellStyle name="Header2 2 3 57" xfId="4398"/>
    <cellStyle name="Header2 2 3 57 10" xfId="21013"/>
    <cellStyle name="Header2 2 3 57 2" xfId="21014"/>
    <cellStyle name="Header2 2 3 57 3" xfId="21015"/>
    <cellStyle name="Header2 2 3 57 4" xfId="21016"/>
    <cellStyle name="Header2 2 3 57 5" xfId="21017"/>
    <cellStyle name="Header2 2 3 57 6" xfId="21018"/>
    <cellStyle name="Header2 2 3 57 7" xfId="21019"/>
    <cellStyle name="Header2 2 3 57 8" xfId="21020"/>
    <cellStyle name="Header2 2 3 57 9" xfId="21021"/>
    <cellStyle name="Header2 2 3 58" xfId="4399"/>
    <cellStyle name="Header2 2 3 58 10" xfId="21022"/>
    <cellStyle name="Header2 2 3 58 2" xfId="21023"/>
    <cellStyle name="Header2 2 3 58 3" xfId="21024"/>
    <cellStyle name="Header2 2 3 58 4" xfId="21025"/>
    <cellStyle name="Header2 2 3 58 5" xfId="21026"/>
    <cellStyle name="Header2 2 3 58 6" xfId="21027"/>
    <cellStyle name="Header2 2 3 58 7" xfId="21028"/>
    <cellStyle name="Header2 2 3 58 8" xfId="21029"/>
    <cellStyle name="Header2 2 3 58 9" xfId="21030"/>
    <cellStyle name="Header2 2 3 59" xfId="4400"/>
    <cellStyle name="Header2 2 3 59 10" xfId="21031"/>
    <cellStyle name="Header2 2 3 59 2" xfId="21032"/>
    <cellStyle name="Header2 2 3 59 3" xfId="21033"/>
    <cellStyle name="Header2 2 3 59 4" xfId="21034"/>
    <cellStyle name="Header2 2 3 59 5" xfId="21035"/>
    <cellStyle name="Header2 2 3 59 6" xfId="21036"/>
    <cellStyle name="Header2 2 3 59 7" xfId="21037"/>
    <cellStyle name="Header2 2 3 59 8" xfId="21038"/>
    <cellStyle name="Header2 2 3 59 9" xfId="21039"/>
    <cellStyle name="Header2 2 3 6" xfId="4401"/>
    <cellStyle name="Header2 2 3 6 2" xfId="21040"/>
    <cellStyle name="Header2 2 3 6 3" xfId="21041"/>
    <cellStyle name="Header2 2 3 6 4" xfId="21042"/>
    <cellStyle name="Header2 2 3 6 5" xfId="21043"/>
    <cellStyle name="Header2 2 3 6 6" xfId="21044"/>
    <cellStyle name="Header2 2 3 6 7" xfId="21045"/>
    <cellStyle name="Header2 2 3 6 8" xfId="21046"/>
    <cellStyle name="Header2 2 3 6 9" xfId="21047"/>
    <cellStyle name="Header2 2 3 60" xfId="4402"/>
    <cellStyle name="Header2 2 3 60 10" xfId="21048"/>
    <cellStyle name="Header2 2 3 60 2" xfId="21049"/>
    <cellStyle name="Header2 2 3 60 3" xfId="21050"/>
    <cellStyle name="Header2 2 3 60 4" xfId="21051"/>
    <cellStyle name="Header2 2 3 60 5" xfId="21052"/>
    <cellStyle name="Header2 2 3 60 6" xfId="21053"/>
    <cellStyle name="Header2 2 3 60 7" xfId="21054"/>
    <cellStyle name="Header2 2 3 60 8" xfId="21055"/>
    <cellStyle name="Header2 2 3 60 9" xfId="21056"/>
    <cellStyle name="Header2 2 3 61" xfId="4403"/>
    <cellStyle name="Header2 2 3 61 10" xfId="21057"/>
    <cellStyle name="Header2 2 3 61 2" xfId="21058"/>
    <cellStyle name="Header2 2 3 61 3" xfId="21059"/>
    <cellStyle name="Header2 2 3 61 4" xfId="21060"/>
    <cellStyle name="Header2 2 3 61 5" xfId="21061"/>
    <cellStyle name="Header2 2 3 61 6" xfId="21062"/>
    <cellStyle name="Header2 2 3 61 7" xfId="21063"/>
    <cellStyle name="Header2 2 3 61 8" xfId="21064"/>
    <cellStyle name="Header2 2 3 61 9" xfId="21065"/>
    <cellStyle name="Header2 2 3 62" xfId="4404"/>
    <cellStyle name="Header2 2 3 62 10" xfId="21066"/>
    <cellStyle name="Header2 2 3 62 2" xfId="21067"/>
    <cellStyle name="Header2 2 3 62 3" xfId="21068"/>
    <cellStyle name="Header2 2 3 62 4" xfId="21069"/>
    <cellStyle name="Header2 2 3 62 5" xfId="21070"/>
    <cellStyle name="Header2 2 3 62 6" xfId="21071"/>
    <cellStyle name="Header2 2 3 62 7" xfId="21072"/>
    <cellStyle name="Header2 2 3 62 8" xfId="21073"/>
    <cellStyle name="Header2 2 3 62 9" xfId="21074"/>
    <cellStyle name="Header2 2 3 63" xfId="4405"/>
    <cellStyle name="Header2 2 3 63 10" xfId="21075"/>
    <cellStyle name="Header2 2 3 63 2" xfId="21076"/>
    <cellStyle name="Header2 2 3 63 3" xfId="21077"/>
    <cellStyle name="Header2 2 3 63 4" xfId="21078"/>
    <cellStyle name="Header2 2 3 63 5" xfId="21079"/>
    <cellStyle name="Header2 2 3 63 6" xfId="21080"/>
    <cellStyle name="Header2 2 3 63 7" xfId="21081"/>
    <cellStyle name="Header2 2 3 63 8" xfId="21082"/>
    <cellStyle name="Header2 2 3 63 9" xfId="21083"/>
    <cellStyle name="Header2 2 3 64" xfId="4406"/>
    <cellStyle name="Header2 2 3 64 10" xfId="21084"/>
    <cellStyle name="Header2 2 3 64 2" xfId="21085"/>
    <cellStyle name="Header2 2 3 64 3" xfId="21086"/>
    <cellStyle name="Header2 2 3 64 4" xfId="21087"/>
    <cellStyle name="Header2 2 3 64 5" xfId="21088"/>
    <cellStyle name="Header2 2 3 64 6" xfId="21089"/>
    <cellStyle name="Header2 2 3 64 7" xfId="21090"/>
    <cellStyle name="Header2 2 3 64 8" xfId="21091"/>
    <cellStyle name="Header2 2 3 64 9" xfId="21092"/>
    <cellStyle name="Header2 2 3 65" xfId="4407"/>
    <cellStyle name="Header2 2 3 65 10" xfId="21093"/>
    <cellStyle name="Header2 2 3 65 2" xfId="21094"/>
    <cellStyle name="Header2 2 3 65 3" xfId="21095"/>
    <cellStyle name="Header2 2 3 65 4" xfId="21096"/>
    <cellStyle name="Header2 2 3 65 5" xfId="21097"/>
    <cellStyle name="Header2 2 3 65 6" xfId="21098"/>
    <cellStyle name="Header2 2 3 65 7" xfId="21099"/>
    <cellStyle name="Header2 2 3 65 8" xfId="21100"/>
    <cellStyle name="Header2 2 3 65 9" xfId="21101"/>
    <cellStyle name="Header2 2 3 66" xfId="4408"/>
    <cellStyle name="Header2 2 3 66 10" xfId="21102"/>
    <cellStyle name="Header2 2 3 66 2" xfId="21103"/>
    <cellStyle name="Header2 2 3 66 3" xfId="21104"/>
    <cellStyle name="Header2 2 3 66 4" xfId="21105"/>
    <cellStyle name="Header2 2 3 66 5" xfId="21106"/>
    <cellStyle name="Header2 2 3 66 6" xfId="21107"/>
    <cellStyle name="Header2 2 3 66 7" xfId="21108"/>
    <cellStyle name="Header2 2 3 66 8" xfId="21109"/>
    <cellStyle name="Header2 2 3 66 9" xfId="21110"/>
    <cellStyle name="Header2 2 3 67" xfId="4409"/>
    <cellStyle name="Header2 2 3 67 10" xfId="21111"/>
    <cellStyle name="Header2 2 3 67 2" xfId="21112"/>
    <cellStyle name="Header2 2 3 67 3" xfId="21113"/>
    <cellStyle name="Header2 2 3 67 4" xfId="21114"/>
    <cellStyle name="Header2 2 3 67 5" xfId="21115"/>
    <cellStyle name="Header2 2 3 67 6" xfId="21116"/>
    <cellStyle name="Header2 2 3 67 7" xfId="21117"/>
    <cellStyle name="Header2 2 3 67 8" xfId="21118"/>
    <cellStyle name="Header2 2 3 67 9" xfId="21119"/>
    <cellStyle name="Header2 2 3 68" xfId="4410"/>
    <cellStyle name="Header2 2 3 68 10" xfId="21120"/>
    <cellStyle name="Header2 2 3 68 2" xfId="21121"/>
    <cellStyle name="Header2 2 3 68 3" xfId="21122"/>
    <cellStyle name="Header2 2 3 68 4" xfId="21123"/>
    <cellStyle name="Header2 2 3 68 5" xfId="21124"/>
    <cellStyle name="Header2 2 3 68 6" xfId="21125"/>
    <cellStyle name="Header2 2 3 68 7" xfId="21126"/>
    <cellStyle name="Header2 2 3 68 8" xfId="21127"/>
    <cellStyle name="Header2 2 3 68 9" xfId="21128"/>
    <cellStyle name="Header2 2 3 69" xfId="4411"/>
    <cellStyle name="Header2 2 3 69 10" xfId="21129"/>
    <cellStyle name="Header2 2 3 69 2" xfId="21130"/>
    <cellStyle name="Header2 2 3 69 3" xfId="21131"/>
    <cellStyle name="Header2 2 3 69 4" xfId="21132"/>
    <cellStyle name="Header2 2 3 69 5" xfId="21133"/>
    <cellStyle name="Header2 2 3 69 6" xfId="21134"/>
    <cellStyle name="Header2 2 3 69 7" xfId="21135"/>
    <cellStyle name="Header2 2 3 69 8" xfId="21136"/>
    <cellStyle name="Header2 2 3 69 9" xfId="21137"/>
    <cellStyle name="Header2 2 3 7" xfId="4412"/>
    <cellStyle name="Header2 2 3 7 2" xfId="21138"/>
    <cellStyle name="Header2 2 3 7 3" xfId="21139"/>
    <cellStyle name="Header2 2 3 7 4" xfId="21140"/>
    <cellStyle name="Header2 2 3 7 5" xfId="21141"/>
    <cellStyle name="Header2 2 3 7 6" xfId="21142"/>
    <cellStyle name="Header2 2 3 7 7" xfId="21143"/>
    <cellStyle name="Header2 2 3 7 8" xfId="21144"/>
    <cellStyle name="Header2 2 3 7 9" xfId="21145"/>
    <cellStyle name="Header2 2 3 70" xfId="4413"/>
    <cellStyle name="Header2 2 3 70 10" xfId="21146"/>
    <cellStyle name="Header2 2 3 70 2" xfId="21147"/>
    <cellStyle name="Header2 2 3 70 3" xfId="21148"/>
    <cellStyle name="Header2 2 3 70 4" xfId="21149"/>
    <cellStyle name="Header2 2 3 70 5" xfId="21150"/>
    <cellStyle name="Header2 2 3 70 6" xfId="21151"/>
    <cellStyle name="Header2 2 3 70 7" xfId="21152"/>
    <cellStyle name="Header2 2 3 70 8" xfId="21153"/>
    <cellStyle name="Header2 2 3 70 9" xfId="21154"/>
    <cellStyle name="Header2 2 3 71" xfId="4414"/>
    <cellStyle name="Header2 2 3 71 10" xfId="21155"/>
    <cellStyle name="Header2 2 3 71 2" xfId="21156"/>
    <cellStyle name="Header2 2 3 71 3" xfId="21157"/>
    <cellStyle name="Header2 2 3 71 4" xfId="21158"/>
    <cellStyle name="Header2 2 3 71 5" xfId="21159"/>
    <cellStyle name="Header2 2 3 71 6" xfId="21160"/>
    <cellStyle name="Header2 2 3 71 7" xfId="21161"/>
    <cellStyle name="Header2 2 3 71 8" xfId="21162"/>
    <cellStyle name="Header2 2 3 71 9" xfId="21163"/>
    <cellStyle name="Header2 2 3 72" xfId="4415"/>
    <cellStyle name="Header2 2 3 72 10" xfId="21164"/>
    <cellStyle name="Header2 2 3 72 2" xfId="21165"/>
    <cellStyle name="Header2 2 3 72 3" xfId="21166"/>
    <cellStyle name="Header2 2 3 72 4" xfId="21167"/>
    <cellStyle name="Header2 2 3 72 5" xfId="21168"/>
    <cellStyle name="Header2 2 3 72 6" xfId="21169"/>
    <cellStyle name="Header2 2 3 72 7" xfId="21170"/>
    <cellStyle name="Header2 2 3 72 8" xfId="21171"/>
    <cellStyle name="Header2 2 3 72 9" xfId="21172"/>
    <cellStyle name="Header2 2 3 73" xfId="4416"/>
    <cellStyle name="Header2 2 3 73 10" xfId="21173"/>
    <cellStyle name="Header2 2 3 73 2" xfId="21174"/>
    <cellStyle name="Header2 2 3 73 3" xfId="21175"/>
    <cellStyle name="Header2 2 3 73 4" xfId="21176"/>
    <cellStyle name="Header2 2 3 73 5" xfId="21177"/>
    <cellStyle name="Header2 2 3 73 6" xfId="21178"/>
    <cellStyle name="Header2 2 3 73 7" xfId="21179"/>
    <cellStyle name="Header2 2 3 73 8" xfId="21180"/>
    <cellStyle name="Header2 2 3 73 9" xfId="21181"/>
    <cellStyle name="Header2 2 3 74" xfId="4417"/>
    <cellStyle name="Header2 2 3 74 10" xfId="21182"/>
    <cellStyle name="Header2 2 3 74 2" xfId="21183"/>
    <cellStyle name="Header2 2 3 74 3" xfId="21184"/>
    <cellStyle name="Header2 2 3 74 4" xfId="21185"/>
    <cellStyle name="Header2 2 3 74 5" xfId="21186"/>
    <cellStyle name="Header2 2 3 74 6" xfId="21187"/>
    <cellStyle name="Header2 2 3 74 7" xfId="21188"/>
    <cellStyle name="Header2 2 3 74 8" xfId="21189"/>
    <cellStyle name="Header2 2 3 74 9" xfId="21190"/>
    <cellStyle name="Header2 2 3 75" xfId="4418"/>
    <cellStyle name="Header2 2 3 75 10" xfId="21191"/>
    <cellStyle name="Header2 2 3 75 2" xfId="21192"/>
    <cellStyle name="Header2 2 3 75 3" xfId="21193"/>
    <cellStyle name="Header2 2 3 75 4" xfId="21194"/>
    <cellStyle name="Header2 2 3 75 5" xfId="21195"/>
    <cellStyle name="Header2 2 3 75 6" xfId="21196"/>
    <cellStyle name="Header2 2 3 75 7" xfId="21197"/>
    <cellStyle name="Header2 2 3 75 8" xfId="21198"/>
    <cellStyle name="Header2 2 3 75 9" xfId="21199"/>
    <cellStyle name="Header2 2 3 76" xfId="4419"/>
    <cellStyle name="Header2 2 3 76 10" xfId="21200"/>
    <cellStyle name="Header2 2 3 76 2" xfId="21201"/>
    <cellStyle name="Header2 2 3 76 3" xfId="21202"/>
    <cellStyle name="Header2 2 3 76 4" xfId="21203"/>
    <cellStyle name="Header2 2 3 76 5" xfId="21204"/>
    <cellStyle name="Header2 2 3 76 6" xfId="21205"/>
    <cellStyle name="Header2 2 3 76 7" xfId="21206"/>
    <cellStyle name="Header2 2 3 76 8" xfId="21207"/>
    <cellStyle name="Header2 2 3 76 9" xfId="21208"/>
    <cellStyle name="Header2 2 3 77" xfId="4420"/>
    <cellStyle name="Header2 2 3 77 10" xfId="21209"/>
    <cellStyle name="Header2 2 3 77 2" xfId="21210"/>
    <cellStyle name="Header2 2 3 77 3" xfId="21211"/>
    <cellStyle name="Header2 2 3 77 4" xfId="21212"/>
    <cellStyle name="Header2 2 3 77 5" xfId="21213"/>
    <cellStyle name="Header2 2 3 77 6" xfId="21214"/>
    <cellStyle name="Header2 2 3 77 7" xfId="21215"/>
    <cellStyle name="Header2 2 3 77 8" xfId="21216"/>
    <cellStyle name="Header2 2 3 77 9" xfId="21217"/>
    <cellStyle name="Header2 2 3 78" xfId="4421"/>
    <cellStyle name="Header2 2 3 78 10" xfId="21218"/>
    <cellStyle name="Header2 2 3 78 2" xfId="21219"/>
    <cellStyle name="Header2 2 3 78 3" xfId="21220"/>
    <cellStyle name="Header2 2 3 78 4" xfId="21221"/>
    <cellStyle name="Header2 2 3 78 5" xfId="21222"/>
    <cellStyle name="Header2 2 3 78 6" xfId="21223"/>
    <cellStyle name="Header2 2 3 78 7" xfId="21224"/>
    <cellStyle name="Header2 2 3 78 8" xfId="21225"/>
    <cellStyle name="Header2 2 3 78 9" xfId="21226"/>
    <cellStyle name="Header2 2 3 79" xfId="4422"/>
    <cellStyle name="Header2 2 3 79 10" xfId="21227"/>
    <cellStyle name="Header2 2 3 79 2" xfId="21228"/>
    <cellStyle name="Header2 2 3 79 3" xfId="21229"/>
    <cellStyle name="Header2 2 3 79 4" xfId="21230"/>
    <cellStyle name="Header2 2 3 79 5" xfId="21231"/>
    <cellStyle name="Header2 2 3 79 6" xfId="21232"/>
    <cellStyle name="Header2 2 3 79 7" xfId="21233"/>
    <cellStyle name="Header2 2 3 79 8" xfId="21234"/>
    <cellStyle name="Header2 2 3 79 9" xfId="21235"/>
    <cellStyle name="Header2 2 3 8" xfId="4423"/>
    <cellStyle name="Header2 2 3 8 2" xfId="21236"/>
    <cellStyle name="Header2 2 3 8 3" xfId="21237"/>
    <cellStyle name="Header2 2 3 8 4" xfId="21238"/>
    <cellStyle name="Header2 2 3 8 5" xfId="21239"/>
    <cellStyle name="Header2 2 3 8 6" xfId="21240"/>
    <cellStyle name="Header2 2 3 8 7" xfId="21241"/>
    <cellStyle name="Header2 2 3 8 8" xfId="21242"/>
    <cellStyle name="Header2 2 3 8 9" xfId="21243"/>
    <cellStyle name="Header2 2 3 80" xfId="4424"/>
    <cellStyle name="Header2 2 3 80 10" xfId="21244"/>
    <cellStyle name="Header2 2 3 80 2" xfId="21245"/>
    <cellStyle name="Header2 2 3 80 3" xfId="21246"/>
    <cellStyle name="Header2 2 3 80 4" xfId="21247"/>
    <cellStyle name="Header2 2 3 80 5" xfId="21248"/>
    <cellStyle name="Header2 2 3 80 6" xfId="21249"/>
    <cellStyle name="Header2 2 3 80 7" xfId="21250"/>
    <cellStyle name="Header2 2 3 80 8" xfId="21251"/>
    <cellStyle name="Header2 2 3 80 9" xfId="21252"/>
    <cellStyle name="Header2 2 3 81" xfId="4425"/>
    <cellStyle name="Header2 2 3 81 10" xfId="21253"/>
    <cellStyle name="Header2 2 3 81 2" xfId="21254"/>
    <cellStyle name="Header2 2 3 81 3" xfId="21255"/>
    <cellStyle name="Header2 2 3 81 4" xfId="21256"/>
    <cellStyle name="Header2 2 3 81 5" xfId="21257"/>
    <cellStyle name="Header2 2 3 81 6" xfId="21258"/>
    <cellStyle name="Header2 2 3 81 7" xfId="21259"/>
    <cellStyle name="Header2 2 3 81 8" xfId="21260"/>
    <cellStyle name="Header2 2 3 81 9" xfId="21261"/>
    <cellStyle name="Header2 2 3 82" xfId="4426"/>
    <cellStyle name="Header2 2 3 82 10" xfId="21262"/>
    <cellStyle name="Header2 2 3 82 2" xfId="21263"/>
    <cellStyle name="Header2 2 3 82 3" xfId="21264"/>
    <cellStyle name="Header2 2 3 82 4" xfId="21265"/>
    <cellStyle name="Header2 2 3 82 5" xfId="21266"/>
    <cellStyle name="Header2 2 3 82 6" xfId="21267"/>
    <cellStyle name="Header2 2 3 82 7" xfId="21268"/>
    <cellStyle name="Header2 2 3 82 8" xfId="21269"/>
    <cellStyle name="Header2 2 3 82 9" xfId="21270"/>
    <cellStyle name="Header2 2 3 83" xfId="4427"/>
    <cellStyle name="Header2 2 3 83 10" xfId="21271"/>
    <cellStyle name="Header2 2 3 83 2" xfId="21272"/>
    <cellStyle name="Header2 2 3 83 3" xfId="21273"/>
    <cellStyle name="Header2 2 3 83 4" xfId="21274"/>
    <cellStyle name="Header2 2 3 83 5" xfId="21275"/>
    <cellStyle name="Header2 2 3 83 6" xfId="21276"/>
    <cellStyle name="Header2 2 3 83 7" xfId="21277"/>
    <cellStyle name="Header2 2 3 83 8" xfId="21278"/>
    <cellStyle name="Header2 2 3 83 9" xfId="21279"/>
    <cellStyle name="Header2 2 3 84" xfId="4428"/>
    <cellStyle name="Header2 2 3 84 10" xfId="21280"/>
    <cellStyle name="Header2 2 3 84 2" xfId="21281"/>
    <cellStyle name="Header2 2 3 84 3" xfId="21282"/>
    <cellStyle name="Header2 2 3 84 4" xfId="21283"/>
    <cellStyle name="Header2 2 3 84 5" xfId="21284"/>
    <cellStyle name="Header2 2 3 84 6" xfId="21285"/>
    <cellStyle name="Header2 2 3 84 7" xfId="21286"/>
    <cellStyle name="Header2 2 3 84 8" xfId="21287"/>
    <cellStyle name="Header2 2 3 84 9" xfId="21288"/>
    <cellStyle name="Header2 2 3 85" xfId="4429"/>
    <cellStyle name="Header2 2 3 85 10" xfId="21289"/>
    <cellStyle name="Header2 2 3 85 2" xfId="21290"/>
    <cellStyle name="Header2 2 3 85 3" xfId="21291"/>
    <cellStyle name="Header2 2 3 85 4" xfId="21292"/>
    <cellStyle name="Header2 2 3 85 5" xfId="21293"/>
    <cellStyle name="Header2 2 3 85 6" xfId="21294"/>
    <cellStyle name="Header2 2 3 85 7" xfId="21295"/>
    <cellStyle name="Header2 2 3 85 8" xfId="21296"/>
    <cellStyle name="Header2 2 3 85 9" xfId="21297"/>
    <cellStyle name="Header2 2 3 86" xfId="4430"/>
    <cellStyle name="Header2 2 3 86 10" xfId="21298"/>
    <cellStyle name="Header2 2 3 86 2" xfId="21299"/>
    <cellStyle name="Header2 2 3 86 3" xfId="21300"/>
    <cellStyle name="Header2 2 3 86 4" xfId="21301"/>
    <cellStyle name="Header2 2 3 86 5" xfId="21302"/>
    <cellStyle name="Header2 2 3 86 6" xfId="21303"/>
    <cellStyle name="Header2 2 3 86 7" xfId="21304"/>
    <cellStyle name="Header2 2 3 86 8" xfId="21305"/>
    <cellStyle name="Header2 2 3 86 9" xfId="21306"/>
    <cellStyle name="Header2 2 3 87" xfId="4431"/>
    <cellStyle name="Header2 2 3 87 10" xfId="21307"/>
    <cellStyle name="Header2 2 3 87 2" xfId="21308"/>
    <cellStyle name="Header2 2 3 87 3" xfId="21309"/>
    <cellStyle name="Header2 2 3 87 4" xfId="21310"/>
    <cellStyle name="Header2 2 3 87 5" xfId="21311"/>
    <cellStyle name="Header2 2 3 87 6" xfId="21312"/>
    <cellStyle name="Header2 2 3 87 7" xfId="21313"/>
    <cellStyle name="Header2 2 3 87 8" xfId="21314"/>
    <cellStyle name="Header2 2 3 87 9" xfId="21315"/>
    <cellStyle name="Header2 2 3 88" xfId="4432"/>
    <cellStyle name="Header2 2 3 88 10" xfId="21316"/>
    <cellStyle name="Header2 2 3 88 2" xfId="21317"/>
    <cellStyle name="Header2 2 3 88 3" xfId="21318"/>
    <cellStyle name="Header2 2 3 88 4" xfId="21319"/>
    <cellStyle name="Header2 2 3 88 5" xfId="21320"/>
    <cellStyle name="Header2 2 3 88 6" xfId="21321"/>
    <cellStyle name="Header2 2 3 88 7" xfId="21322"/>
    <cellStyle name="Header2 2 3 88 8" xfId="21323"/>
    <cellStyle name="Header2 2 3 88 9" xfId="21324"/>
    <cellStyle name="Header2 2 3 89" xfId="4433"/>
    <cellStyle name="Header2 2 3 89 10" xfId="21325"/>
    <cellStyle name="Header2 2 3 89 2" xfId="21326"/>
    <cellStyle name="Header2 2 3 89 3" xfId="21327"/>
    <cellStyle name="Header2 2 3 89 4" xfId="21328"/>
    <cellStyle name="Header2 2 3 89 5" xfId="21329"/>
    <cellStyle name="Header2 2 3 89 6" xfId="21330"/>
    <cellStyle name="Header2 2 3 89 7" xfId="21331"/>
    <cellStyle name="Header2 2 3 89 8" xfId="21332"/>
    <cellStyle name="Header2 2 3 89 9" xfId="21333"/>
    <cellStyle name="Header2 2 3 9" xfId="4434"/>
    <cellStyle name="Header2 2 3 9 2" xfId="21334"/>
    <cellStyle name="Header2 2 3 9 3" xfId="21335"/>
    <cellStyle name="Header2 2 3 9 4" xfId="21336"/>
    <cellStyle name="Header2 2 3 9 5" xfId="21337"/>
    <cellStyle name="Header2 2 3 9 6" xfId="21338"/>
    <cellStyle name="Header2 2 3 9 7" xfId="21339"/>
    <cellStyle name="Header2 2 3 9 8" xfId="21340"/>
    <cellStyle name="Header2 2 3 9 9" xfId="21341"/>
    <cellStyle name="Header2 2 3 90" xfId="4435"/>
    <cellStyle name="Header2 2 3 90 10" xfId="21342"/>
    <cellStyle name="Header2 2 3 90 2" xfId="21343"/>
    <cellStyle name="Header2 2 3 90 3" xfId="21344"/>
    <cellStyle name="Header2 2 3 90 4" xfId="21345"/>
    <cellStyle name="Header2 2 3 90 5" xfId="21346"/>
    <cellStyle name="Header2 2 3 90 6" xfId="21347"/>
    <cellStyle name="Header2 2 3 90 7" xfId="21348"/>
    <cellStyle name="Header2 2 3 90 8" xfId="21349"/>
    <cellStyle name="Header2 2 3 90 9" xfId="21350"/>
    <cellStyle name="Header2 2 3 91" xfId="4436"/>
    <cellStyle name="Header2 2 3 91 10" xfId="21351"/>
    <cellStyle name="Header2 2 3 91 2" xfId="21352"/>
    <cellStyle name="Header2 2 3 91 3" xfId="21353"/>
    <cellStyle name="Header2 2 3 91 4" xfId="21354"/>
    <cellStyle name="Header2 2 3 91 5" xfId="21355"/>
    <cellStyle name="Header2 2 3 91 6" xfId="21356"/>
    <cellStyle name="Header2 2 3 91 7" xfId="21357"/>
    <cellStyle name="Header2 2 3 91 8" xfId="21358"/>
    <cellStyle name="Header2 2 3 91 9" xfId="21359"/>
    <cellStyle name="Header2 2 3 92" xfId="4437"/>
    <cellStyle name="Header2 2 3 92 10" xfId="21360"/>
    <cellStyle name="Header2 2 3 92 2" xfId="21361"/>
    <cellStyle name="Header2 2 3 92 3" xfId="21362"/>
    <cellStyle name="Header2 2 3 92 4" xfId="21363"/>
    <cellStyle name="Header2 2 3 92 5" xfId="21364"/>
    <cellStyle name="Header2 2 3 92 6" xfId="21365"/>
    <cellStyle name="Header2 2 3 92 7" xfId="21366"/>
    <cellStyle name="Header2 2 3 92 8" xfId="21367"/>
    <cellStyle name="Header2 2 3 92 9" xfId="21368"/>
    <cellStyle name="Header2 2 3 93" xfId="4438"/>
    <cellStyle name="Header2 2 3 93 2" xfId="21369"/>
    <cellStyle name="Header2 2 3 93 3" xfId="21370"/>
    <cellStyle name="Header2 2 3 93 4" xfId="21371"/>
    <cellStyle name="Header2 2 3 93 5" xfId="21372"/>
    <cellStyle name="Header2 2 3 93 6" xfId="21373"/>
    <cellStyle name="Header2 2 3 93 7" xfId="21374"/>
    <cellStyle name="Header2 2 3 93 8" xfId="21375"/>
    <cellStyle name="Header2 2 3 93 9" xfId="21376"/>
    <cellStyle name="Header2 2 3 94" xfId="11441"/>
    <cellStyle name="Header2 2 3 95" xfId="21377"/>
    <cellStyle name="Header2 2 3 96" xfId="21378"/>
    <cellStyle name="Header2 2 3 97" xfId="21379"/>
    <cellStyle name="Header2 2 3 98" xfId="21380"/>
    <cellStyle name="Header2 2 3 99" xfId="21381"/>
    <cellStyle name="Header2 2 3_Cashflow trend" xfId="1120"/>
    <cellStyle name="Header2 2 30" xfId="4439"/>
    <cellStyle name="Header2 2 30 10" xfId="21382"/>
    <cellStyle name="Header2 2 30 2" xfId="21383"/>
    <cellStyle name="Header2 2 30 3" xfId="21384"/>
    <cellStyle name="Header2 2 30 4" xfId="21385"/>
    <cellStyle name="Header2 2 30 5" xfId="21386"/>
    <cellStyle name="Header2 2 30 6" xfId="21387"/>
    <cellStyle name="Header2 2 30 7" xfId="21388"/>
    <cellStyle name="Header2 2 30 8" xfId="21389"/>
    <cellStyle name="Header2 2 30 9" xfId="21390"/>
    <cellStyle name="Header2 2 31" xfId="4440"/>
    <cellStyle name="Header2 2 31 10" xfId="21391"/>
    <cellStyle name="Header2 2 31 2" xfId="21392"/>
    <cellStyle name="Header2 2 31 3" xfId="21393"/>
    <cellStyle name="Header2 2 31 4" xfId="21394"/>
    <cellStyle name="Header2 2 31 5" xfId="21395"/>
    <cellStyle name="Header2 2 31 6" xfId="21396"/>
    <cellStyle name="Header2 2 31 7" xfId="21397"/>
    <cellStyle name="Header2 2 31 8" xfId="21398"/>
    <cellStyle name="Header2 2 31 9" xfId="21399"/>
    <cellStyle name="Header2 2 32" xfId="4441"/>
    <cellStyle name="Header2 2 32 10" xfId="21400"/>
    <cellStyle name="Header2 2 32 2" xfId="21401"/>
    <cellStyle name="Header2 2 32 3" xfId="21402"/>
    <cellStyle name="Header2 2 32 4" xfId="21403"/>
    <cellStyle name="Header2 2 32 5" xfId="21404"/>
    <cellStyle name="Header2 2 32 6" xfId="21405"/>
    <cellStyle name="Header2 2 32 7" xfId="21406"/>
    <cellStyle name="Header2 2 32 8" xfId="21407"/>
    <cellStyle name="Header2 2 32 9" xfId="21408"/>
    <cellStyle name="Header2 2 33" xfId="4442"/>
    <cellStyle name="Header2 2 33 10" xfId="21409"/>
    <cellStyle name="Header2 2 33 2" xfId="21410"/>
    <cellStyle name="Header2 2 33 3" xfId="21411"/>
    <cellStyle name="Header2 2 33 4" xfId="21412"/>
    <cellStyle name="Header2 2 33 5" xfId="21413"/>
    <cellStyle name="Header2 2 33 6" xfId="21414"/>
    <cellStyle name="Header2 2 33 7" xfId="21415"/>
    <cellStyle name="Header2 2 33 8" xfId="21416"/>
    <cellStyle name="Header2 2 33 9" xfId="21417"/>
    <cellStyle name="Header2 2 34" xfId="4443"/>
    <cellStyle name="Header2 2 34 10" xfId="21418"/>
    <cellStyle name="Header2 2 34 2" xfId="21419"/>
    <cellStyle name="Header2 2 34 3" xfId="21420"/>
    <cellStyle name="Header2 2 34 4" xfId="21421"/>
    <cellStyle name="Header2 2 34 5" xfId="21422"/>
    <cellStyle name="Header2 2 34 6" xfId="21423"/>
    <cellStyle name="Header2 2 34 7" xfId="21424"/>
    <cellStyle name="Header2 2 34 8" xfId="21425"/>
    <cellStyle name="Header2 2 34 9" xfId="21426"/>
    <cellStyle name="Header2 2 35" xfId="4444"/>
    <cellStyle name="Header2 2 35 10" xfId="21427"/>
    <cellStyle name="Header2 2 35 2" xfId="21428"/>
    <cellStyle name="Header2 2 35 3" xfId="21429"/>
    <cellStyle name="Header2 2 35 4" xfId="21430"/>
    <cellStyle name="Header2 2 35 5" xfId="21431"/>
    <cellStyle name="Header2 2 35 6" xfId="21432"/>
    <cellStyle name="Header2 2 35 7" xfId="21433"/>
    <cellStyle name="Header2 2 35 8" xfId="21434"/>
    <cellStyle name="Header2 2 35 9" xfId="21435"/>
    <cellStyle name="Header2 2 36" xfId="4445"/>
    <cellStyle name="Header2 2 36 10" xfId="21436"/>
    <cellStyle name="Header2 2 36 2" xfId="21437"/>
    <cellStyle name="Header2 2 36 3" xfId="21438"/>
    <cellStyle name="Header2 2 36 4" xfId="21439"/>
    <cellStyle name="Header2 2 36 5" xfId="21440"/>
    <cellStyle name="Header2 2 36 6" xfId="21441"/>
    <cellStyle name="Header2 2 36 7" xfId="21442"/>
    <cellStyle name="Header2 2 36 8" xfId="21443"/>
    <cellStyle name="Header2 2 36 9" xfId="21444"/>
    <cellStyle name="Header2 2 37" xfId="4446"/>
    <cellStyle name="Header2 2 37 10" xfId="21445"/>
    <cellStyle name="Header2 2 37 2" xfId="21446"/>
    <cellStyle name="Header2 2 37 3" xfId="21447"/>
    <cellStyle name="Header2 2 37 4" xfId="21448"/>
    <cellStyle name="Header2 2 37 5" xfId="21449"/>
    <cellStyle name="Header2 2 37 6" xfId="21450"/>
    <cellStyle name="Header2 2 37 7" xfId="21451"/>
    <cellStyle name="Header2 2 37 8" xfId="21452"/>
    <cellStyle name="Header2 2 37 9" xfId="21453"/>
    <cellStyle name="Header2 2 38" xfId="4447"/>
    <cellStyle name="Header2 2 38 10" xfId="21454"/>
    <cellStyle name="Header2 2 38 2" xfId="21455"/>
    <cellStyle name="Header2 2 38 3" xfId="21456"/>
    <cellStyle name="Header2 2 38 4" xfId="21457"/>
    <cellStyle name="Header2 2 38 5" xfId="21458"/>
    <cellStyle name="Header2 2 38 6" xfId="21459"/>
    <cellStyle name="Header2 2 38 7" xfId="21460"/>
    <cellStyle name="Header2 2 38 8" xfId="21461"/>
    <cellStyle name="Header2 2 38 9" xfId="21462"/>
    <cellStyle name="Header2 2 39" xfId="4448"/>
    <cellStyle name="Header2 2 39 10" xfId="21463"/>
    <cellStyle name="Header2 2 39 2" xfId="21464"/>
    <cellStyle name="Header2 2 39 3" xfId="21465"/>
    <cellStyle name="Header2 2 39 4" xfId="21466"/>
    <cellStyle name="Header2 2 39 5" xfId="21467"/>
    <cellStyle name="Header2 2 39 6" xfId="21468"/>
    <cellStyle name="Header2 2 39 7" xfId="21469"/>
    <cellStyle name="Header2 2 39 8" xfId="21470"/>
    <cellStyle name="Header2 2 39 9" xfId="21471"/>
    <cellStyle name="Header2 2 4" xfId="1121"/>
    <cellStyle name="Header2 2 4 10" xfId="4449"/>
    <cellStyle name="Header2 2 4 10 2" xfId="21472"/>
    <cellStyle name="Header2 2 4 10 3" xfId="21473"/>
    <cellStyle name="Header2 2 4 10 4" xfId="21474"/>
    <cellStyle name="Header2 2 4 10 5" xfId="21475"/>
    <cellStyle name="Header2 2 4 10 6" xfId="21476"/>
    <cellStyle name="Header2 2 4 10 7" xfId="21477"/>
    <cellStyle name="Header2 2 4 10 8" xfId="21478"/>
    <cellStyle name="Header2 2 4 10 9" xfId="21479"/>
    <cellStyle name="Header2 2 4 100" xfId="21480"/>
    <cellStyle name="Header2 2 4 101" xfId="21481"/>
    <cellStyle name="Header2 2 4 102" xfId="21482"/>
    <cellStyle name="Header2 2 4 11" xfId="4450"/>
    <cellStyle name="Header2 2 4 11 2" xfId="21483"/>
    <cellStyle name="Header2 2 4 11 3" xfId="21484"/>
    <cellStyle name="Header2 2 4 11 4" xfId="21485"/>
    <cellStyle name="Header2 2 4 11 5" xfId="21486"/>
    <cellStyle name="Header2 2 4 11 6" xfId="21487"/>
    <cellStyle name="Header2 2 4 11 7" xfId="21488"/>
    <cellStyle name="Header2 2 4 11 8" xfId="21489"/>
    <cellStyle name="Header2 2 4 11 9" xfId="21490"/>
    <cellStyle name="Header2 2 4 12" xfId="4451"/>
    <cellStyle name="Header2 2 4 12 2" xfId="21491"/>
    <cellStyle name="Header2 2 4 12 3" xfId="21492"/>
    <cellStyle name="Header2 2 4 12 4" xfId="21493"/>
    <cellStyle name="Header2 2 4 12 5" xfId="21494"/>
    <cellStyle name="Header2 2 4 12 6" xfId="21495"/>
    <cellStyle name="Header2 2 4 12 7" xfId="21496"/>
    <cellStyle name="Header2 2 4 12 8" xfId="21497"/>
    <cellStyle name="Header2 2 4 12 9" xfId="21498"/>
    <cellStyle name="Header2 2 4 13" xfId="4452"/>
    <cellStyle name="Header2 2 4 13 2" xfId="21499"/>
    <cellStyle name="Header2 2 4 13 3" xfId="21500"/>
    <cellStyle name="Header2 2 4 13 4" xfId="21501"/>
    <cellStyle name="Header2 2 4 13 5" xfId="21502"/>
    <cellStyle name="Header2 2 4 13 6" xfId="21503"/>
    <cellStyle name="Header2 2 4 13 7" xfId="21504"/>
    <cellStyle name="Header2 2 4 13 8" xfId="21505"/>
    <cellStyle name="Header2 2 4 13 9" xfId="21506"/>
    <cellStyle name="Header2 2 4 14" xfId="4453"/>
    <cellStyle name="Header2 2 4 14 2" xfId="21507"/>
    <cellStyle name="Header2 2 4 14 3" xfId="21508"/>
    <cellStyle name="Header2 2 4 14 4" xfId="21509"/>
    <cellStyle name="Header2 2 4 14 5" xfId="21510"/>
    <cellStyle name="Header2 2 4 14 6" xfId="21511"/>
    <cellStyle name="Header2 2 4 14 7" xfId="21512"/>
    <cellStyle name="Header2 2 4 14 8" xfId="21513"/>
    <cellStyle name="Header2 2 4 14 9" xfId="21514"/>
    <cellStyle name="Header2 2 4 15" xfId="4454"/>
    <cellStyle name="Header2 2 4 15 2" xfId="21515"/>
    <cellStyle name="Header2 2 4 15 3" xfId="21516"/>
    <cellStyle name="Header2 2 4 15 4" xfId="21517"/>
    <cellStyle name="Header2 2 4 15 5" xfId="21518"/>
    <cellStyle name="Header2 2 4 15 6" xfId="21519"/>
    <cellStyle name="Header2 2 4 15 7" xfId="21520"/>
    <cellStyle name="Header2 2 4 15 8" xfId="21521"/>
    <cellStyle name="Header2 2 4 15 9" xfId="21522"/>
    <cellStyle name="Header2 2 4 16" xfId="4455"/>
    <cellStyle name="Header2 2 4 16 2" xfId="21523"/>
    <cellStyle name="Header2 2 4 16 3" xfId="21524"/>
    <cellStyle name="Header2 2 4 16 4" xfId="21525"/>
    <cellStyle name="Header2 2 4 16 5" xfId="21526"/>
    <cellStyle name="Header2 2 4 16 6" xfId="21527"/>
    <cellStyle name="Header2 2 4 16 7" xfId="21528"/>
    <cellStyle name="Header2 2 4 16 8" xfId="21529"/>
    <cellStyle name="Header2 2 4 16 9" xfId="21530"/>
    <cellStyle name="Header2 2 4 17" xfId="4456"/>
    <cellStyle name="Header2 2 4 17 2" xfId="21531"/>
    <cellStyle name="Header2 2 4 17 3" xfId="21532"/>
    <cellStyle name="Header2 2 4 17 4" xfId="21533"/>
    <cellStyle name="Header2 2 4 17 5" xfId="21534"/>
    <cellStyle name="Header2 2 4 17 6" xfId="21535"/>
    <cellStyle name="Header2 2 4 17 7" xfId="21536"/>
    <cellStyle name="Header2 2 4 17 8" xfId="21537"/>
    <cellStyle name="Header2 2 4 17 9" xfId="21538"/>
    <cellStyle name="Header2 2 4 18" xfId="4457"/>
    <cellStyle name="Header2 2 4 18 2" xfId="21539"/>
    <cellStyle name="Header2 2 4 18 3" xfId="21540"/>
    <cellStyle name="Header2 2 4 18 4" xfId="21541"/>
    <cellStyle name="Header2 2 4 18 5" xfId="21542"/>
    <cellStyle name="Header2 2 4 18 6" xfId="21543"/>
    <cellStyle name="Header2 2 4 18 7" xfId="21544"/>
    <cellStyle name="Header2 2 4 18 8" xfId="21545"/>
    <cellStyle name="Header2 2 4 18 9" xfId="21546"/>
    <cellStyle name="Header2 2 4 19" xfId="4458"/>
    <cellStyle name="Header2 2 4 19 2" xfId="21547"/>
    <cellStyle name="Header2 2 4 19 3" xfId="21548"/>
    <cellStyle name="Header2 2 4 19 4" xfId="21549"/>
    <cellStyle name="Header2 2 4 19 5" xfId="21550"/>
    <cellStyle name="Header2 2 4 19 6" xfId="21551"/>
    <cellStyle name="Header2 2 4 19 7" xfId="21552"/>
    <cellStyle name="Header2 2 4 19 8" xfId="21553"/>
    <cellStyle name="Header2 2 4 19 9" xfId="21554"/>
    <cellStyle name="Header2 2 4 2" xfId="1122"/>
    <cellStyle name="Header2 2 4 2 10" xfId="21555"/>
    <cellStyle name="Header2 2 4 2 11" xfId="21556"/>
    <cellStyle name="Header2 2 4 2 2" xfId="1123"/>
    <cellStyle name="Header2 2 4 2 2 2" xfId="12752"/>
    <cellStyle name="Header2 2 4 2 2_YL Capex Cashflow &amp; Dep" xfId="11310"/>
    <cellStyle name="Header2 2 4 2 3" xfId="12050"/>
    <cellStyle name="Header2 2 4 2 4" xfId="21557"/>
    <cellStyle name="Header2 2 4 2 5" xfId="21558"/>
    <cellStyle name="Header2 2 4 2 6" xfId="21559"/>
    <cellStyle name="Header2 2 4 2 7" xfId="21560"/>
    <cellStyle name="Header2 2 4 2 8" xfId="21561"/>
    <cellStyle name="Header2 2 4 2 9" xfId="21562"/>
    <cellStyle name="Header2 2 4 2_Cashflow trend" xfId="1124"/>
    <cellStyle name="Header2 2 4 20" xfId="4459"/>
    <cellStyle name="Header2 2 4 20 10" xfId="21563"/>
    <cellStyle name="Header2 2 4 20 2" xfId="21564"/>
    <cellStyle name="Header2 2 4 20 3" xfId="21565"/>
    <cellStyle name="Header2 2 4 20 4" xfId="21566"/>
    <cellStyle name="Header2 2 4 20 5" xfId="21567"/>
    <cellStyle name="Header2 2 4 20 6" xfId="21568"/>
    <cellStyle name="Header2 2 4 20 7" xfId="21569"/>
    <cellStyle name="Header2 2 4 20 8" xfId="21570"/>
    <cellStyle name="Header2 2 4 20 9" xfId="21571"/>
    <cellStyle name="Header2 2 4 21" xfId="4460"/>
    <cellStyle name="Header2 2 4 21 10" xfId="21572"/>
    <cellStyle name="Header2 2 4 21 2" xfId="21573"/>
    <cellStyle name="Header2 2 4 21 3" xfId="21574"/>
    <cellStyle name="Header2 2 4 21 4" xfId="21575"/>
    <cellStyle name="Header2 2 4 21 5" xfId="21576"/>
    <cellStyle name="Header2 2 4 21 6" xfId="21577"/>
    <cellStyle name="Header2 2 4 21 7" xfId="21578"/>
    <cellStyle name="Header2 2 4 21 8" xfId="21579"/>
    <cellStyle name="Header2 2 4 21 9" xfId="21580"/>
    <cellStyle name="Header2 2 4 22" xfId="4461"/>
    <cellStyle name="Header2 2 4 22 10" xfId="21581"/>
    <cellStyle name="Header2 2 4 22 2" xfId="21582"/>
    <cellStyle name="Header2 2 4 22 3" xfId="21583"/>
    <cellStyle name="Header2 2 4 22 4" xfId="21584"/>
    <cellStyle name="Header2 2 4 22 5" xfId="21585"/>
    <cellStyle name="Header2 2 4 22 6" xfId="21586"/>
    <cellStyle name="Header2 2 4 22 7" xfId="21587"/>
    <cellStyle name="Header2 2 4 22 8" xfId="21588"/>
    <cellStyle name="Header2 2 4 22 9" xfId="21589"/>
    <cellStyle name="Header2 2 4 23" xfId="4462"/>
    <cellStyle name="Header2 2 4 23 10" xfId="21590"/>
    <cellStyle name="Header2 2 4 23 2" xfId="21591"/>
    <cellStyle name="Header2 2 4 23 3" xfId="21592"/>
    <cellStyle name="Header2 2 4 23 4" xfId="21593"/>
    <cellStyle name="Header2 2 4 23 5" xfId="21594"/>
    <cellStyle name="Header2 2 4 23 6" xfId="21595"/>
    <cellStyle name="Header2 2 4 23 7" xfId="21596"/>
    <cellStyle name="Header2 2 4 23 8" xfId="21597"/>
    <cellStyle name="Header2 2 4 23 9" xfId="21598"/>
    <cellStyle name="Header2 2 4 24" xfId="4463"/>
    <cellStyle name="Header2 2 4 24 10" xfId="21599"/>
    <cellStyle name="Header2 2 4 24 2" xfId="21600"/>
    <cellStyle name="Header2 2 4 24 3" xfId="21601"/>
    <cellStyle name="Header2 2 4 24 4" xfId="21602"/>
    <cellStyle name="Header2 2 4 24 5" xfId="21603"/>
    <cellStyle name="Header2 2 4 24 6" xfId="21604"/>
    <cellStyle name="Header2 2 4 24 7" xfId="21605"/>
    <cellStyle name="Header2 2 4 24 8" xfId="21606"/>
    <cellStyle name="Header2 2 4 24 9" xfId="21607"/>
    <cellStyle name="Header2 2 4 25" xfId="4464"/>
    <cellStyle name="Header2 2 4 25 10" xfId="21608"/>
    <cellStyle name="Header2 2 4 25 2" xfId="21609"/>
    <cellStyle name="Header2 2 4 25 3" xfId="21610"/>
    <cellStyle name="Header2 2 4 25 4" xfId="21611"/>
    <cellStyle name="Header2 2 4 25 5" xfId="21612"/>
    <cellStyle name="Header2 2 4 25 6" xfId="21613"/>
    <cellStyle name="Header2 2 4 25 7" xfId="21614"/>
    <cellStyle name="Header2 2 4 25 8" xfId="21615"/>
    <cellStyle name="Header2 2 4 25 9" xfId="21616"/>
    <cellStyle name="Header2 2 4 26" xfId="4465"/>
    <cellStyle name="Header2 2 4 26 10" xfId="21617"/>
    <cellStyle name="Header2 2 4 26 2" xfId="21618"/>
    <cellStyle name="Header2 2 4 26 3" xfId="21619"/>
    <cellStyle name="Header2 2 4 26 4" xfId="21620"/>
    <cellStyle name="Header2 2 4 26 5" xfId="21621"/>
    <cellStyle name="Header2 2 4 26 6" xfId="21622"/>
    <cellStyle name="Header2 2 4 26 7" xfId="21623"/>
    <cellStyle name="Header2 2 4 26 8" xfId="21624"/>
    <cellStyle name="Header2 2 4 26 9" xfId="21625"/>
    <cellStyle name="Header2 2 4 27" xfId="4466"/>
    <cellStyle name="Header2 2 4 27 10" xfId="21626"/>
    <cellStyle name="Header2 2 4 27 2" xfId="21627"/>
    <cellStyle name="Header2 2 4 27 3" xfId="21628"/>
    <cellStyle name="Header2 2 4 27 4" xfId="21629"/>
    <cellStyle name="Header2 2 4 27 5" xfId="21630"/>
    <cellStyle name="Header2 2 4 27 6" xfId="21631"/>
    <cellStyle name="Header2 2 4 27 7" xfId="21632"/>
    <cellStyle name="Header2 2 4 27 8" xfId="21633"/>
    <cellStyle name="Header2 2 4 27 9" xfId="21634"/>
    <cellStyle name="Header2 2 4 28" xfId="4467"/>
    <cellStyle name="Header2 2 4 28 10" xfId="21635"/>
    <cellStyle name="Header2 2 4 28 2" xfId="21636"/>
    <cellStyle name="Header2 2 4 28 3" xfId="21637"/>
    <cellStyle name="Header2 2 4 28 4" xfId="21638"/>
    <cellStyle name="Header2 2 4 28 5" xfId="21639"/>
    <cellStyle name="Header2 2 4 28 6" xfId="21640"/>
    <cellStyle name="Header2 2 4 28 7" xfId="21641"/>
    <cellStyle name="Header2 2 4 28 8" xfId="21642"/>
    <cellStyle name="Header2 2 4 28 9" xfId="21643"/>
    <cellStyle name="Header2 2 4 29" xfId="4468"/>
    <cellStyle name="Header2 2 4 29 10" xfId="21644"/>
    <cellStyle name="Header2 2 4 29 2" xfId="21645"/>
    <cellStyle name="Header2 2 4 29 3" xfId="21646"/>
    <cellStyle name="Header2 2 4 29 4" xfId="21647"/>
    <cellStyle name="Header2 2 4 29 5" xfId="21648"/>
    <cellStyle name="Header2 2 4 29 6" xfId="21649"/>
    <cellStyle name="Header2 2 4 29 7" xfId="21650"/>
    <cellStyle name="Header2 2 4 29 8" xfId="21651"/>
    <cellStyle name="Header2 2 4 29 9" xfId="21652"/>
    <cellStyle name="Header2 2 4 3" xfId="1125"/>
    <cellStyle name="Header2 2 4 3 10" xfId="21653"/>
    <cellStyle name="Header2 2 4 3 2" xfId="1126"/>
    <cellStyle name="Header2 2 4 3 2 2" xfId="12684"/>
    <cellStyle name="Header2 2 4 3 2_YL Capex Cashflow &amp; Dep" xfId="11309"/>
    <cellStyle name="Header2 2 4 3 3" xfId="11985"/>
    <cellStyle name="Header2 2 4 3 4" xfId="21654"/>
    <cellStyle name="Header2 2 4 3 5" xfId="21655"/>
    <cellStyle name="Header2 2 4 3 6" xfId="21656"/>
    <cellStyle name="Header2 2 4 3 7" xfId="21657"/>
    <cellStyle name="Header2 2 4 3 8" xfId="21658"/>
    <cellStyle name="Header2 2 4 3 9" xfId="21659"/>
    <cellStyle name="Header2 2 4 3_Cashflow trend" xfId="1127"/>
    <cellStyle name="Header2 2 4 30" xfId="4469"/>
    <cellStyle name="Header2 2 4 30 10" xfId="21660"/>
    <cellStyle name="Header2 2 4 30 2" xfId="21661"/>
    <cellStyle name="Header2 2 4 30 3" xfId="21662"/>
    <cellStyle name="Header2 2 4 30 4" xfId="21663"/>
    <cellStyle name="Header2 2 4 30 5" xfId="21664"/>
    <cellStyle name="Header2 2 4 30 6" xfId="21665"/>
    <cellStyle name="Header2 2 4 30 7" xfId="21666"/>
    <cellStyle name="Header2 2 4 30 8" xfId="21667"/>
    <cellStyle name="Header2 2 4 30 9" xfId="21668"/>
    <cellStyle name="Header2 2 4 31" xfId="4470"/>
    <cellStyle name="Header2 2 4 31 10" xfId="21669"/>
    <cellStyle name="Header2 2 4 31 2" xfId="21670"/>
    <cellStyle name="Header2 2 4 31 3" xfId="21671"/>
    <cellStyle name="Header2 2 4 31 4" xfId="21672"/>
    <cellStyle name="Header2 2 4 31 5" xfId="21673"/>
    <cellStyle name="Header2 2 4 31 6" xfId="21674"/>
    <cellStyle name="Header2 2 4 31 7" xfId="21675"/>
    <cellStyle name="Header2 2 4 31 8" xfId="21676"/>
    <cellStyle name="Header2 2 4 31 9" xfId="21677"/>
    <cellStyle name="Header2 2 4 32" xfId="4471"/>
    <cellStyle name="Header2 2 4 32 10" xfId="21678"/>
    <cellStyle name="Header2 2 4 32 2" xfId="21679"/>
    <cellStyle name="Header2 2 4 32 3" xfId="21680"/>
    <cellStyle name="Header2 2 4 32 4" xfId="21681"/>
    <cellStyle name="Header2 2 4 32 5" xfId="21682"/>
    <cellStyle name="Header2 2 4 32 6" xfId="21683"/>
    <cellStyle name="Header2 2 4 32 7" xfId="21684"/>
    <cellStyle name="Header2 2 4 32 8" xfId="21685"/>
    <cellStyle name="Header2 2 4 32 9" xfId="21686"/>
    <cellStyle name="Header2 2 4 33" xfId="4472"/>
    <cellStyle name="Header2 2 4 33 10" xfId="21687"/>
    <cellStyle name="Header2 2 4 33 2" xfId="21688"/>
    <cellStyle name="Header2 2 4 33 3" xfId="21689"/>
    <cellStyle name="Header2 2 4 33 4" xfId="21690"/>
    <cellStyle name="Header2 2 4 33 5" xfId="21691"/>
    <cellStyle name="Header2 2 4 33 6" xfId="21692"/>
    <cellStyle name="Header2 2 4 33 7" xfId="21693"/>
    <cellStyle name="Header2 2 4 33 8" xfId="21694"/>
    <cellStyle name="Header2 2 4 33 9" xfId="21695"/>
    <cellStyle name="Header2 2 4 34" xfId="4473"/>
    <cellStyle name="Header2 2 4 34 10" xfId="21696"/>
    <cellStyle name="Header2 2 4 34 2" xfId="21697"/>
    <cellStyle name="Header2 2 4 34 3" xfId="21698"/>
    <cellStyle name="Header2 2 4 34 4" xfId="21699"/>
    <cellStyle name="Header2 2 4 34 5" xfId="21700"/>
    <cellStyle name="Header2 2 4 34 6" xfId="21701"/>
    <cellStyle name="Header2 2 4 34 7" xfId="21702"/>
    <cellStyle name="Header2 2 4 34 8" xfId="21703"/>
    <cellStyle name="Header2 2 4 34 9" xfId="21704"/>
    <cellStyle name="Header2 2 4 35" xfId="4474"/>
    <cellStyle name="Header2 2 4 35 10" xfId="21705"/>
    <cellStyle name="Header2 2 4 35 2" xfId="21706"/>
    <cellStyle name="Header2 2 4 35 3" xfId="21707"/>
    <cellStyle name="Header2 2 4 35 4" xfId="21708"/>
    <cellStyle name="Header2 2 4 35 5" xfId="21709"/>
    <cellStyle name="Header2 2 4 35 6" xfId="21710"/>
    <cellStyle name="Header2 2 4 35 7" xfId="21711"/>
    <cellStyle name="Header2 2 4 35 8" xfId="21712"/>
    <cellStyle name="Header2 2 4 35 9" xfId="21713"/>
    <cellStyle name="Header2 2 4 36" xfId="4475"/>
    <cellStyle name="Header2 2 4 36 10" xfId="21714"/>
    <cellStyle name="Header2 2 4 36 2" xfId="21715"/>
    <cellStyle name="Header2 2 4 36 3" xfId="21716"/>
    <cellStyle name="Header2 2 4 36 4" xfId="21717"/>
    <cellStyle name="Header2 2 4 36 5" xfId="21718"/>
    <cellStyle name="Header2 2 4 36 6" xfId="21719"/>
    <cellStyle name="Header2 2 4 36 7" xfId="21720"/>
    <cellStyle name="Header2 2 4 36 8" xfId="21721"/>
    <cellStyle name="Header2 2 4 36 9" xfId="21722"/>
    <cellStyle name="Header2 2 4 37" xfId="4476"/>
    <cellStyle name="Header2 2 4 37 10" xfId="21723"/>
    <cellStyle name="Header2 2 4 37 2" xfId="21724"/>
    <cellStyle name="Header2 2 4 37 3" xfId="21725"/>
    <cellStyle name="Header2 2 4 37 4" xfId="21726"/>
    <cellStyle name="Header2 2 4 37 5" xfId="21727"/>
    <cellStyle name="Header2 2 4 37 6" xfId="21728"/>
    <cellStyle name="Header2 2 4 37 7" xfId="21729"/>
    <cellStyle name="Header2 2 4 37 8" xfId="21730"/>
    <cellStyle name="Header2 2 4 37 9" xfId="21731"/>
    <cellStyle name="Header2 2 4 38" xfId="4477"/>
    <cellStyle name="Header2 2 4 38 10" xfId="21732"/>
    <cellStyle name="Header2 2 4 38 2" xfId="21733"/>
    <cellStyle name="Header2 2 4 38 3" xfId="21734"/>
    <cellStyle name="Header2 2 4 38 4" xfId="21735"/>
    <cellStyle name="Header2 2 4 38 5" xfId="21736"/>
    <cellStyle name="Header2 2 4 38 6" xfId="21737"/>
    <cellStyle name="Header2 2 4 38 7" xfId="21738"/>
    <cellStyle name="Header2 2 4 38 8" xfId="21739"/>
    <cellStyle name="Header2 2 4 38 9" xfId="21740"/>
    <cellStyle name="Header2 2 4 39" xfId="4478"/>
    <cellStyle name="Header2 2 4 39 10" xfId="21741"/>
    <cellStyle name="Header2 2 4 39 2" xfId="21742"/>
    <cellStyle name="Header2 2 4 39 3" xfId="21743"/>
    <cellStyle name="Header2 2 4 39 4" xfId="21744"/>
    <cellStyle name="Header2 2 4 39 5" xfId="21745"/>
    <cellStyle name="Header2 2 4 39 6" xfId="21746"/>
    <cellStyle name="Header2 2 4 39 7" xfId="21747"/>
    <cellStyle name="Header2 2 4 39 8" xfId="21748"/>
    <cellStyle name="Header2 2 4 39 9" xfId="21749"/>
    <cellStyle name="Header2 2 4 4" xfId="1128"/>
    <cellStyle name="Header2 2 4 4 10" xfId="21750"/>
    <cellStyle name="Header2 2 4 4 2" xfId="11680"/>
    <cellStyle name="Header2 2 4 4 3" xfId="21751"/>
    <cellStyle name="Header2 2 4 4 4" xfId="21752"/>
    <cellStyle name="Header2 2 4 4 5" xfId="21753"/>
    <cellStyle name="Header2 2 4 4 6" xfId="21754"/>
    <cellStyle name="Header2 2 4 4 7" xfId="21755"/>
    <cellStyle name="Header2 2 4 4 8" xfId="21756"/>
    <cellStyle name="Header2 2 4 4 9" xfId="21757"/>
    <cellStyle name="Header2 2 4 4_YL Capex Cashflow &amp; Dep" xfId="11308"/>
    <cellStyle name="Header2 2 4 40" xfId="4479"/>
    <cellStyle name="Header2 2 4 40 10" xfId="21758"/>
    <cellStyle name="Header2 2 4 40 2" xfId="21759"/>
    <cellStyle name="Header2 2 4 40 3" xfId="21760"/>
    <cellStyle name="Header2 2 4 40 4" xfId="21761"/>
    <cellStyle name="Header2 2 4 40 5" xfId="21762"/>
    <cellStyle name="Header2 2 4 40 6" xfId="21763"/>
    <cellStyle name="Header2 2 4 40 7" xfId="21764"/>
    <cellStyle name="Header2 2 4 40 8" xfId="21765"/>
    <cellStyle name="Header2 2 4 40 9" xfId="21766"/>
    <cellStyle name="Header2 2 4 41" xfId="4480"/>
    <cellStyle name="Header2 2 4 41 10" xfId="21767"/>
    <cellStyle name="Header2 2 4 41 2" xfId="21768"/>
    <cellStyle name="Header2 2 4 41 3" xfId="21769"/>
    <cellStyle name="Header2 2 4 41 4" xfId="21770"/>
    <cellStyle name="Header2 2 4 41 5" xfId="21771"/>
    <cellStyle name="Header2 2 4 41 6" xfId="21772"/>
    <cellStyle name="Header2 2 4 41 7" xfId="21773"/>
    <cellStyle name="Header2 2 4 41 8" xfId="21774"/>
    <cellStyle name="Header2 2 4 41 9" xfId="21775"/>
    <cellStyle name="Header2 2 4 42" xfId="4481"/>
    <cellStyle name="Header2 2 4 42 10" xfId="21776"/>
    <cellStyle name="Header2 2 4 42 2" xfId="21777"/>
    <cellStyle name="Header2 2 4 42 3" xfId="21778"/>
    <cellStyle name="Header2 2 4 42 4" xfId="21779"/>
    <cellStyle name="Header2 2 4 42 5" xfId="21780"/>
    <cellStyle name="Header2 2 4 42 6" xfId="21781"/>
    <cellStyle name="Header2 2 4 42 7" xfId="21782"/>
    <cellStyle name="Header2 2 4 42 8" xfId="21783"/>
    <cellStyle name="Header2 2 4 42 9" xfId="21784"/>
    <cellStyle name="Header2 2 4 43" xfId="4482"/>
    <cellStyle name="Header2 2 4 43 10" xfId="21785"/>
    <cellStyle name="Header2 2 4 43 2" xfId="21786"/>
    <cellStyle name="Header2 2 4 43 3" xfId="21787"/>
    <cellStyle name="Header2 2 4 43 4" xfId="21788"/>
    <cellStyle name="Header2 2 4 43 5" xfId="21789"/>
    <cellStyle name="Header2 2 4 43 6" xfId="21790"/>
    <cellStyle name="Header2 2 4 43 7" xfId="21791"/>
    <cellStyle name="Header2 2 4 43 8" xfId="21792"/>
    <cellStyle name="Header2 2 4 43 9" xfId="21793"/>
    <cellStyle name="Header2 2 4 44" xfId="4483"/>
    <cellStyle name="Header2 2 4 44 10" xfId="21794"/>
    <cellStyle name="Header2 2 4 44 2" xfId="21795"/>
    <cellStyle name="Header2 2 4 44 3" xfId="21796"/>
    <cellStyle name="Header2 2 4 44 4" xfId="21797"/>
    <cellStyle name="Header2 2 4 44 5" xfId="21798"/>
    <cellStyle name="Header2 2 4 44 6" xfId="21799"/>
    <cellStyle name="Header2 2 4 44 7" xfId="21800"/>
    <cellStyle name="Header2 2 4 44 8" xfId="21801"/>
    <cellStyle name="Header2 2 4 44 9" xfId="21802"/>
    <cellStyle name="Header2 2 4 45" xfId="4484"/>
    <cellStyle name="Header2 2 4 45 10" xfId="21803"/>
    <cellStyle name="Header2 2 4 45 2" xfId="21804"/>
    <cellStyle name="Header2 2 4 45 3" xfId="21805"/>
    <cellStyle name="Header2 2 4 45 4" xfId="21806"/>
    <cellStyle name="Header2 2 4 45 5" xfId="21807"/>
    <cellStyle name="Header2 2 4 45 6" xfId="21808"/>
    <cellStyle name="Header2 2 4 45 7" xfId="21809"/>
    <cellStyle name="Header2 2 4 45 8" xfId="21810"/>
    <cellStyle name="Header2 2 4 45 9" xfId="21811"/>
    <cellStyle name="Header2 2 4 46" xfId="4485"/>
    <cellStyle name="Header2 2 4 46 10" xfId="21812"/>
    <cellStyle name="Header2 2 4 46 2" xfId="21813"/>
    <cellStyle name="Header2 2 4 46 3" xfId="21814"/>
    <cellStyle name="Header2 2 4 46 4" xfId="21815"/>
    <cellStyle name="Header2 2 4 46 5" xfId="21816"/>
    <cellStyle name="Header2 2 4 46 6" xfId="21817"/>
    <cellStyle name="Header2 2 4 46 7" xfId="21818"/>
    <cellStyle name="Header2 2 4 46 8" xfId="21819"/>
    <cellStyle name="Header2 2 4 46 9" xfId="21820"/>
    <cellStyle name="Header2 2 4 47" xfId="4486"/>
    <cellStyle name="Header2 2 4 47 10" xfId="21821"/>
    <cellStyle name="Header2 2 4 47 2" xfId="21822"/>
    <cellStyle name="Header2 2 4 47 3" xfId="21823"/>
    <cellStyle name="Header2 2 4 47 4" xfId="21824"/>
    <cellStyle name="Header2 2 4 47 5" xfId="21825"/>
    <cellStyle name="Header2 2 4 47 6" xfId="21826"/>
    <cellStyle name="Header2 2 4 47 7" xfId="21827"/>
    <cellStyle name="Header2 2 4 47 8" xfId="21828"/>
    <cellStyle name="Header2 2 4 47 9" xfId="21829"/>
    <cellStyle name="Header2 2 4 48" xfId="4487"/>
    <cellStyle name="Header2 2 4 48 10" xfId="21830"/>
    <cellStyle name="Header2 2 4 48 2" xfId="21831"/>
    <cellStyle name="Header2 2 4 48 3" xfId="21832"/>
    <cellStyle name="Header2 2 4 48 4" xfId="21833"/>
    <cellStyle name="Header2 2 4 48 5" xfId="21834"/>
    <cellStyle name="Header2 2 4 48 6" xfId="21835"/>
    <cellStyle name="Header2 2 4 48 7" xfId="21836"/>
    <cellStyle name="Header2 2 4 48 8" xfId="21837"/>
    <cellStyle name="Header2 2 4 48 9" xfId="21838"/>
    <cellStyle name="Header2 2 4 49" xfId="4488"/>
    <cellStyle name="Header2 2 4 49 10" xfId="21839"/>
    <cellStyle name="Header2 2 4 49 2" xfId="21840"/>
    <cellStyle name="Header2 2 4 49 3" xfId="21841"/>
    <cellStyle name="Header2 2 4 49 4" xfId="21842"/>
    <cellStyle name="Header2 2 4 49 5" xfId="21843"/>
    <cellStyle name="Header2 2 4 49 6" xfId="21844"/>
    <cellStyle name="Header2 2 4 49 7" xfId="21845"/>
    <cellStyle name="Header2 2 4 49 8" xfId="21846"/>
    <cellStyle name="Header2 2 4 49 9" xfId="21847"/>
    <cellStyle name="Header2 2 4 5" xfId="1129"/>
    <cellStyle name="Header2 2 4 5 2" xfId="1130"/>
    <cellStyle name="Header2 2 4 5 2 2" xfId="12795"/>
    <cellStyle name="Header2 2 4 5 2_YL Capex Cashflow &amp; Dep" xfId="11307"/>
    <cellStyle name="Header2 2 4 5 3" xfId="12090"/>
    <cellStyle name="Header2 2 4 5 4" xfId="21848"/>
    <cellStyle name="Header2 2 4 5 5" xfId="21849"/>
    <cellStyle name="Header2 2 4 5 6" xfId="21850"/>
    <cellStyle name="Header2 2 4 5 7" xfId="21851"/>
    <cellStyle name="Header2 2 4 5 8" xfId="21852"/>
    <cellStyle name="Header2 2 4 5 9" xfId="21853"/>
    <cellStyle name="Header2 2 4 5_Cashflow trend" xfId="1131"/>
    <cellStyle name="Header2 2 4 50" xfId="4489"/>
    <cellStyle name="Header2 2 4 50 10" xfId="21854"/>
    <cellStyle name="Header2 2 4 50 2" xfId="21855"/>
    <cellStyle name="Header2 2 4 50 3" xfId="21856"/>
    <cellStyle name="Header2 2 4 50 4" xfId="21857"/>
    <cellStyle name="Header2 2 4 50 5" xfId="21858"/>
    <cellStyle name="Header2 2 4 50 6" xfId="21859"/>
    <cellStyle name="Header2 2 4 50 7" xfId="21860"/>
    <cellStyle name="Header2 2 4 50 8" xfId="21861"/>
    <cellStyle name="Header2 2 4 50 9" xfId="21862"/>
    <cellStyle name="Header2 2 4 51" xfId="4490"/>
    <cellStyle name="Header2 2 4 51 10" xfId="21863"/>
    <cellStyle name="Header2 2 4 51 2" xfId="21864"/>
    <cellStyle name="Header2 2 4 51 3" xfId="21865"/>
    <cellStyle name="Header2 2 4 51 4" xfId="21866"/>
    <cellStyle name="Header2 2 4 51 5" xfId="21867"/>
    <cellStyle name="Header2 2 4 51 6" xfId="21868"/>
    <cellStyle name="Header2 2 4 51 7" xfId="21869"/>
    <cellStyle name="Header2 2 4 51 8" xfId="21870"/>
    <cellStyle name="Header2 2 4 51 9" xfId="21871"/>
    <cellStyle name="Header2 2 4 52" xfId="4491"/>
    <cellStyle name="Header2 2 4 52 10" xfId="21872"/>
    <cellStyle name="Header2 2 4 52 2" xfId="21873"/>
    <cellStyle name="Header2 2 4 52 3" xfId="21874"/>
    <cellStyle name="Header2 2 4 52 4" xfId="21875"/>
    <cellStyle name="Header2 2 4 52 5" xfId="21876"/>
    <cellStyle name="Header2 2 4 52 6" xfId="21877"/>
    <cellStyle name="Header2 2 4 52 7" xfId="21878"/>
    <cellStyle name="Header2 2 4 52 8" xfId="21879"/>
    <cellStyle name="Header2 2 4 52 9" xfId="21880"/>
    <cellStyle name="Header2 2 4 53" xfId="4492"/>
    <cellStyle name="Header2 2 4 53 10" xfId="21881"/>
    <cellStyle name="Header2 2 4 53 2" xfId="21882"/>
    <cellStyle name="Header2 2 4 53 3" xfId="21883"/>
    <cellStyle name="Header2 2 4 53 4" xfId="21884"/>
    <cellStyle name="Header2 2 4 53 5" xfId="21885"/>
    <cellStyle name="Header2 2 4 53 6" xfId="21886"/>
    <cellStyle name="Header2 2 4 53 7" xfId="21887"/>
    <cellStyle name="Header2 2 4 53 8" xfId="21888"/>
    <cellStyle name="Header2 2 4 53 9" xfId="21889"/>
    <cellStyle name="Header2 2 4 54" xfId="4493"/>
    <cellStyle name="Header2 2 4 54 10" xfId="21890"/>
    <cellStyle name="Header2 2 4 54 2" xfId="21891"/>
    <cellStyle name="Header2 2 4 54 3" xfId="21892"/>
    <cellStyle name="Header2 2 4 54 4" xfId="21893"/>
    <cellStyle name="Header2 2 4 54 5" xfId="21894"/>
    <cellStyle name="Header2 2 4 54 6" xfId="21895"/>
    <cellStyle name="Header2 2 4 54 7" xfId="21896"/>
    <cellStyle name="Header2 2 4 54 8" xfId="21897"/>
    <cellStyle name="Header2 2 4 54 9" xfId="21898"/>
    <cellStyle name="Header2 2 4 55" xfId="4494"/>
    <cellStyle name="Header2 2 4 55 10" xfId="21899"/>
    <cellStyle name="Header2 2 4 55 2" xfId="21900"/>
    <cellStyle name="Header2 2 4 55 3" xfId="21901"/>
    <cellStyle name="Header2 2 4 55 4" xfId="21902"/>
    <cellStyle name="Header2 2 4 55 5" xfId="21903"/>
    <cellStyle name="Header2 2 4 55 6" xfId="21904"/>
    <cellStyle name="Header2 2 4 55 7" xfId="21905"/>
    <cellStyle name="Header2 2 4 55 8" xfId="21906"/>
    <cellStyle name="Header2 2 4 55 9" xfId="21907"/>
    <cellStyle name="Header2 2 4 56" xfId="4495"/>
    <cellStyle name="Header2 2 4 56 10" xfId="21908"/>
    <cellStyle name="Header2 2 4 56 2" xfId="21909"/>
    <cellStyle name="Header2 2 4 56 3" xfId="21910"/>
    <cellStyle name="Header2 2 4 56 4" xfId="21911"/>
    <cellStyle name="Header2 2 4 56 5" xfId="21912"/>
    <cellStyle name="Header2 2 4 56 6" xfId="21913"/>
    <cellStyle name="Header2 2 4 56 7" xfId="21914"/>
    <cellStyle name="Header2 2 4 56 8" xfId="21915"/>
    <cellStyle name="Header2 2 4 56 9" xfId="21916"/>
    <cellStyle name="Header2 2 4 57" xfId="4496"/>
    <cellStyle name="Header2 2 4 57 10" xfId="21917"/>
    <cellStyle name="Header2 2 4 57 2" xfId="21918"/>
    <cellStyle name="Header2 2 4 57 3" xfId="21919"/>
    <cellStyle name="Header2 2 4 57 4" xfId="21920"/>
    <cellStyle name="Header2 2 4 57 5" xfId="21921"/>
    <cellStyle name="Header2 2 4 57 6" xfId="21922"/>
    <cellStyle name="Header2 2 4 57 7" xfId="21923"/>
    <cellStyle name="Header2 2 4 57 8" xfId="21924"/>
    <cellStyle name="Header2 2 4 57 9" xfId="21925"/>
    <cellStyle name="Header2 2 4 58" xfId="4497"/>
    <cellStyle name="Header2 2 4 58 10" xfId="21926"/>
    <cellStyle name="Header2 2 4 58 2" xfId="21927"/>
    <cellStyle name="Header2 2 4 58 3" xfId="21928"/>
    <cellStyle name="Header2 2 4 58 4" xfId="21929"/>
    <cellStyle name="Header2 2 4 58 5" xfId="21930"/>
    <cellStyle name="Header2 2 4 58 6" xfId="21931"/>
    <cellStyle name="Header2 2 4 58 7" xfId="21932"/>
    <cellStyle name="Header2 2 4 58 8" xfId="21933"/>
    <cellStyle name="Header2 2 4 58 9" xfId="21934"/>
    <cellStyle name="Header2 2 4 59" xfId="4498"/>
    <cellStyle name="Header2 2 4 59 10" xfId="21935"/>
    <cellStyle name="Header2 2 4 59 2" xfId="21936"/>
    <cellStyle name="Header2 2 4 59 3" xfId="21937"/>
    <cellStyle name="Header2 2 4 59 4" xfId="21938"/>
    <cellStyle name="Header2 2 4 59 5" xfId="21939"/>
    <cellStyle name="Header2 2 4 59 6" xfId="21940"/>
    <cellStyle name="Header2 2 4 59 7" xfId="21941"/>
    <cellStyle name="Header2 2 4 59 8" xfId="21942"/>
    <cellStyle name="Header2 2 4 59 9" xfId="21943"/>
    <cellStyle name="Header2 2 4 6" xfId="1132"/>
    <cellStyle name="Header2 2 4 6 2" xfId="1133"/>
    <cellStyle name="Header2 2 4 6 2 2" xfId="13029"/>
    <cellStyle name="Header2 2 4 6 2_YL Capex Cashflow &amp; Dep" xfId="11532"/>
    <cellStyle name="Header2 2 4 6 3" xfId="1134"/>
    <cellStyle name="Header2 2 4 6 3 2" xfId="12777"/>
    <cellStyle name="Header2 2 4 6 3_YL Capex Cashflow &amp; Dep" xfId="12524"/>
    <cellStyle name="Header2 2 4 6 4" xfId="12416"/>
    <cellStyle name="Header2 2 4 6 5" xfId="21944"/>
    <cellStyle name="Header2 2 4 6 6" xfId="21945"/>
    <cellStyle name="Header2 2 4 6 7" xfId="21946"/>
    <cellStyle name="Header2 2 4 6 8" xfId="21947"/>
    <cellStyle name="Header2 2 4 6 9" xfId="21948"/>
    <cellStyle name="Header2 2 4 6_Cashflow trend" xfId="1135"/>
    <cellStyle name="Header2 2 4 60" xfId="4499"/>
    <cellStyle name="Header2 2 4 60 10" xfId="21949"/>
    <cellStyle name="Header2 2 4 60 2" xfId="21950"/>
    <cellStyle name="Header2 2 4 60 3" xfId="21951"/>
    <cellStyle name="Header2 2 4 60 4" xfId="21952"/>
    <cellStyle name="Header2 2 4 60 5" xfId="21953"/>
    <cellStyle name="Header2 2 4 60 6" xfId="21954"/>
    <cellStyle name="Header2 2 4 60 7" xfId="21955"/>
    <cellStyle name="Header2 2 4 60 8" xfId="21956"/>
    <cellStyle name="Header2 2 4 60 9" xfId="21957"/>
    <cellStyle name="Header2 2 4 61" xfId="4500"/>
    <cellStyle name="Header2 2 4 61 10" xfId="21958"/>
    <cellStyle name="Header2 2 4 61 2" xfId="21959"/>
    <cellStyle name="Header2 2 4 61 3" xfId="21960"/>
    <cellStyle name="Header2 2 4 61 4" xfId="21961"/>
    <cellStyle name="Header2 2 4 61 5" xfId="21962"/>
    <cellStyle name="Header2 2 4 61 6" xfId="21963"/>
    <cellStyle name="Header2 2 4 61 7" xfId="21964"/>
    <cellStyle name="Header2 2 4 61 8" xfId="21965"/>
    <cellStyle name="Header2 2 4 61 9" xfId="21966"/>
    <cellStyle name="Header2 2 4 62" xfId="4501"/>
    <cellStyle name="Header2 2 4 62 10" xfId="21967"/>
    <cellStyle name="Header2 2 4 62 2" xfId="21968"/>
    <cellStyle name="Header2 2 4 62 3" xfId="21969"/>
    <cellStyle name="Header2 2 4 62 4" xfId="21970"/>
    <cellStyle name="Header2 2 4 62 5" xfId="21971"/>
    <cellStyle name="Header2 2 4 62 6" xfId="21972"/>
    <cellStyle name="Header2 2 4 62 7" xfId="21973"/>
    <cellStyle name="Header2 2 4 62 8" xfId="21974"/>
    <cellStyle name="Header2 2 4 62 9" xfId="21975"/>
    <cellStyle name="Header2 2 4 63" xfId="4502"/>
    <cellStyle name="Header2 2 4 63 10" xfId="21976"/>
    <cellStyle name="Header2 2 4 63 2" xfId="21977"/>
    <cellStyle name="Header2 2 4 63 3" xfId="21978"/>
    <cellStyle name="Header2 2 4 63 4" xfId="21979"/>
    <cellStyle name="Header2 2 4 63 5" xfId="21980"/>
    <cellStyle name="Header2 2 4 63 6" xfId="21981"/>
    <cellStyle name="Header2 2 4 63 7" xfId="21982"/>
    <cellStyle name="Header2 2 4 63 8" xfId="21983"/>
    <cellStyle name="Header2 2 4 63 9" xfId="21984"/>
    <cellStyle name="Header2 2 4 64" xfId="4503"/>
    <cellStyle name="Header2 2 4 64 10" xfId="21985"/>
    <cellStyle name="Header2 2 4 64 2" xfId="21986"/>
    <cellStyle name="Header2 2 4 64 3" xfId="21987"/>
    <cellStyle name="Header2 2 4 64 4" xfId="21988"/>
    <cellStyle name="Header2 2 4 64 5" xfId="21989"/>
    <cellStyle name="Header2 2 4 64 6" xfId="21990"/>
    <cellStyle name="Header2 2 4 64 7" xfId="21991"/>
    <cellStyle name="Header2 2 4 64 8" xfId="21992"/>
    <cellStyle name="Header2 2 4 64 9" xfId="21993"/>
    <cellStyle name="Header2 2 4 65" xfId="4504"/>
    <cellStyle name="Header2 2 4 65 10" xfId="21994"/>
    <cellStyle name="Header2 2 4 65 2" xfId="21995"/>
    <cellStyle name="Header2 2 4 65 3" xfId="21996"/>
    <cellStyle name="Header2 2 4 65 4" xfId="21997"/>
    <cellStyle name="Header2 2 4 65 5" xfId="21998"/>
    <cellStyle name="Header2 2 4 65 6" xfId="21999"/>
    <cellStyle name="Header2 2 4 65 7" xfId="22000"/>
    <cellStyle name="Header2 2 4 65 8" xfId="22001"/>
    <cellStyle name="Header2 2 4 65 9" xfId="22002"/>
    <cellStyle name="Header2 2 4 66" xfId="4505"/>
    <cellStyle name="Header2 2 4 66 10" xfId="22003"/>
    <cellStyle name="Header2 2 4 66 2" xfId="22004"/>
    <cellStyle name="Header2 2 4 66 3" xfId="22005"/>
    <cellStyle name="Header2 2 4 66 4" xfId="22006"/>
    <cellStyle name="Header2 2 4 66 5" xfId="22007"/>
    <cellStyle name="Header2 2 4 66 6" xfId="22008"/>
    <cellStyle name="Header2 2 4 66 7" xfId="22009"/>
    <cellStyle name="Header2 2 4 66 8" xfId="22010"/>
    <cellStyle name="Header2 2 4 66 9" xfId="22011"/>
    <cellStyle name="Header2 2 4 67" xfId="4506"/>
    <cellStyle name="Header2 2 4 67 10" xfId="22012"/>
    <cellStyle name="Header2 2 4 67 2" xfId="22013"/>
    <cellStyle name="Header2 2 4 67 3" xfId="22014"/>
    <cellStyle name="Header2 2 4 67 4" xfId="22015"/>
    <cellStyle name="Header2 2 4 67 5" xfId="22016"/>
    <cellStyle name="Header2 2 4 67 6" xfId="22017"/>
    <cellStyle name="Header2 2 4 67 7" xfId="22018"/>
    <cellStyle name="Header2 2 4 67 8" xfId="22019"/>
    <cellStyle name="Header2 2 4 67 9" xfId="22020"/>
    <cellStyle name="Header2 2 4 68" xfId="4507"/>
    <cellStyle name="Header2 2 4 68 10" xfId="22021"/>
    <cellStyle name="Header2 2 4 68 2" xfId="22022"/>
    <cellStyle name="Header2 2 4 68 3" xfId="22023"/>
    <cellStyle name="Header2 2 4 68 4" xfId="22024"/>
    <cellStyle name="Header2 2 4 68 5" xfId="22025"/>
    <cellStyle name="Header2 2 4 68 6" xfId="22026"/>
    <cellStyle name="Header2 2 4 68 7" xfId="22027"/>
    <cellStyle name="Header2 2 4 68 8" xfId="22028"/>
    <cellStyle name="Header2 2 4 68 9" xfId="22029"/>
    <cellStyle name="Header2 2 4 69" xfId="4508"/>
    <cellStyle name="Header2 2 4 69 10" xfId="22030"/>
    <cellStyle name="Header2 2 4 69 2" xfId="22031"/>
    <cellStyle name="Header2 2 4 69 3" xfId="22032"/>
    <cellStyle name="Header2 2 4 69 4" xfId="22033"/>
    <cellStyle name="Header2 2 4 69 5" xfId="22034"/>
    <cellStyle name="Header2 2 4 69 6" xfId="22035"/>
    <cellStyle name="Header2 2 4 69 7" xfId="22036"/>
    <cellStyle name="Header2 2 4 69 8" xfId="22037"/>
    <cellStyle name="Header2 2 4 69 9" xfId="22038"/>
    <cellStyle name="Header2 2 4 7" xfId="4509"/>
    <cellStyle name="Header2 2 4 7 2" xfId="22039"/>
    <cellStyle name="Header2 2 4 7 3" xfId="22040"/>
    <cellStyle name="Header2 2 4 7 4" xfId="22041"/>
    <cellStyle name="Header2 2 4 7 5" xfId="22042"/>
    <cellStyle name="Header2 2 4 7 6" xfId="22043"/>
    <cellStyle name="Header2 2 4 7 7" xfId="22044"/>
    <cellStyle name="Header2 2 4 7 8" xfId="22045"/>
    <cellStyle name="Header2 2 4 7 9" xfId="22046"/>
    <cellStyle name="Header2 2 4 70" xfId="4510"/>
    <cellStyle name="Header2 2 4 70 10" xfId="22047"/>
    <cellStyle name="Header2 2 4 70 2" xfId="22048"/>
    <cellStyle name="Header2 2 4 70 3" xfId="22049"/>
    <cellStyle name="Header2 2 4 70 4" xfId="22050"/>
    <cellStyle name="Header2 2 4 70 5" xfId="22051"/>
    <cellStyle name="Header2 2 4 70 6" xfId="22052"/>
    <cellStyle name="Header2 2 4 70 7" xfId="22053"/>
    <cellStyle name="Header2 2 4 70 8" xfId="22054"/>
    <cellStyle name="Header2 2 4 70 9" xfId="22055"/>
    <cellStyle name="Header2 2 4 71" xfId="4511"/>
    <cellStyle name="Header2 2 4 71 10" xfId="22056"/>
    <cellStyle name="Header2 2 4 71 2" xfId="22057"/>
    <cellStyle name="Header2 2 4 71 3" xfId="22058"/>
    <cellStyle name="Header2 2 4 71 4" xfId="22059"/>
    <cellStyle name="Header2 2 4 71 5" xfId="22060"/>
    <cellStyle name="Header2 2 4 71 6" xfId="22061"/>
    <cellStyle name="Header2 2 4 71 7" xfId="22062"/>
    <cellStyle name="Header2 2 4 71 8" xfId="22063"/>
    <cellStyle name="Header2 2 4 71 9" xfId="22064"/>
    <cellStyle name="Header2 2 4 72" xfId="4512"/>
    <cellStyle name="Header2 2 4 72 10" xfId="22065"/>
    <cellStyle name="Header2 2 4 72 2" xfId="22066"/>
    <cellStyle name="Header2 2 4 72 3" xfId="22067"/>
    <cellStyle name="Header2 2 4 72 4" xfId="22068"/>
    <cellStyle name="Header2 2 4 72 5" xfId="22069"/>
    <cellStyle name="Header2 2 4 72 6" xfId="22070"/>
    <cellStyle name="Header2 2 4 72 7" xfId="22071"/>
    <cellStyle name="Header2 2 4 72 8" xfId="22072"/>
    <cellStyle name="Header2 2 4 72 9" xfId="22073"/>
    <cellStyle name="Header2 2 4 73" xfId="4513"/>
    <cellStyle name="Header2 2 4 73 10" xfId="22074"/>
    <cellStyle name="Header2 2 4 73 2" xfId="22075"/>
    <cellStyle name="Header2 2 4 73 3" xfId="22076"/>
    <cellStyle name="Header2 2 4 73 4" xfId="22077"/>
    <cellStyle name="Header2 2 4 73 5" xfId="22078"/>
    <cellStyle name="Header2 2 4 73 6" xfId="22079"/>
    <cellStyle name="Header2 2 4 73 7" xfId="22080"/>
    <cellStyle name="Header2 2 4 73 8" xfId="22081"/>
    <cellStyle name="Header2 2 4 73 9" xfId="22082"/>
    <cellStyle name="Header2 2 4 74" xfId="4514"/>
    <cellStyle name="Header2 2 4 74 10" xfId="22083"/>
    <cellStyle name="Header2 2 4 74 2" xfId="22084"/>
    <cellStyle name="Header2 2 4 74 3" xfId="22085"/>
    <cellStyle name="Header2 2 4 74 4" xfId="22086"/>
    <cellStyle name="Header2 2 4 74 5" xfId="22087"/>
    <cellStyle name="Header2 2 4 74 6" xfId="22088"/>
    <cellStyle name="Header2 2 4 74 7" xfId="22089"/>
    <cellStyle name="Header2 2 4 74 8" xfId="22090"/>
    <cellStyle name="Header2 2 4 74 9" xfId="22091"/>
    <cellStyle name="Header2 2 4 75" xfId="4515"/>
    <cellStyle name="Header2 2 4 75 10" xfId="22092"/>
    <cellStyle name="Header2 2 4 75 2" xfId="22093"/>
    <cellStyle name="Header2 2 4 75 3" xfId="22094"/>
    <cellStyle name="Header2 2 4 75 4" xfId="22095"/>
    <cellStyle name="Header2 2 4 75 5" xfId="22096"/>
    <cellStyle name="Header2 2 4 75 6" xfId="22097"/>
    <cellStyle name="Header2 2 4 75 7" xfId="22098"/>
    <cellStyle name="Header2 2 4 75 8" xfId="22099"/>
    <cellStyle name="Header2 2 4 75 9" xfId="22100"/>
    <cellStyle name="Header2 2 4 76" xfId="4516"/>
    <cellStyle name="Header2 2 4 76 10" xfId="22101"/>
    <cellStyle name="Header2 2 4 76 2" xfId="22102"/>
    <cellStyle name="Header2 2 4 76 3" xfId="22103"/>
    <cellStyle name="Header2 2 4 76 4" xfId="22104"/>
    <cellStyle name="Header2 2 4 76 5" xfId="22105"/>
    <cellStyle name="Header2 2 4 76 6" xfId="22106"/>
    <cellStyle name="Header2 2 4 76 7" xfId="22107"/>
    <cellStyle name="Header2 2 4 76 8" xfId="22108"/>
    <cellStyle name="Header2 2 4 76 9" xfId="22109"/>
    <cellStyle name="Header2 2 4 77" xfId="4517"/>
    <cellStyle name="Header2 2 4 77 10" xfId="22110"/>
    <cellStyle name="Header2 2 4 77 2" xfId="22111"/>
    <cellStyle name="Header2 2 4 77 3" xfId="22112"/>
    <cellStyle name="Header2 2 4 77 4" xfId="22113"/>
    <cellStyle name="Header2 2 4 77 5" xfId="22114"/>
    <cellStyle name="Header2 2 4 77 6" xfId="22115"/>
    <cellStyle name="Header2 2 4 77 7" xfId="22116"/>
    <cellStyle name="Header2 2 4 77 8" xfId="22117"/>
    <cellStyle name="Header2 2 4 77 9" xfId="22118"/>
    <cellStyle name="Header2 2 4 78" xfId="4518"/>
    <cellStyle name="Header2 2 4 78 10" xfId="22119"/>
    <cellStyle name="Header2 2 4 78 2" xfId="22120"/>
    <cellStyle name="Header2 2 4 78 3" xfId="22121"/>
    <cellStyle name="Header2 2 4 78 4" xfId="22122"/>
    <cellStyle name="Header2 2 4 78 5" xfId="22123"/>
    <cellStyle name="Header2 2 4 78 6" xfId="22124"/>
    <cellStyle name="Header2 2 4 78 7" xfId="22125"/>
    <cellStyle name="Header2 2 4 78 8" xfId="22126"/>
    <cellStyle name="Header2 2 4 78 9" xfId="22127"/>
    <cellStyle name="Header2 2 4 79" xfId="4519"/>
    <cellStyle name="Header2 2 4 79 10" xfId="22128"/>
    <cellStyle name="Header2 2 4 79 2" xfId="22129"/>
    <cellStyle name="Header2 2 4 79 3" xfId="22130"/>
    <cellStyle name="Header2 2 4 79 4" xfId="22131"/>
    <cellStyle name="Header2 2 4 79 5" xfId="22132"/>
    <cellStyle name="Header2 2 4 79 6" xfId="22133"/>
    <cellStyle name="Header2 2 4 79 7" xfId="22134"/>
    <cellStyle name="Header2 2 4 79 8" xfId="22135"/>
    <cellStyle name="Header2 2 4 79 9" xfId="22136"/>
    <cellStyle name="Header2 2 4 8" xfId="4520"/>
    <cellStyle name="Header2 2 4 8 2" xfId="22137"/>
    <cellStyle name="Header2 2 4 8 3" xfId="22138"/>
    <cellStyle name="Header2 2 4 8 4" xfId="22139"/>
    <cellStyle name="Header2 2 4 8 5" xfId="22140"/>
    <cellStyle name="Header2 2 4 8 6" xfId="22141"/>
    <cellStyle name="Header2 2 4 8 7" xfId="22142"/>
    <cellStyle name="Header2 2 4 8 8" xfId="22143"/>
    <cellStyle name="Header2 2 4 8 9" xfId="22144"/>
    <cellStyle name="Header2 2 4 80" xfId="4521"/>
    <cellStyle name="Header2 2 4 80 10" xfId="22145"/>
    <cellStyle name="Header2 2 4 80 2" xfId="22146"/>
    <cellStyle name="Header2 2 4 80 3" xfId="22147"/>
    <cellStyle name="Header2 2 4 80 4" xfId="22148"/>
    <cellStyle name="Header2 2 4 80 5" xfId="22149"/>
    <cellStyle name="Header2 2 4 80 6" xfId="22150"/>
    <cellStyle name="Header2 2 4 80 7" xfId="22151"/>
    <cellStyle name="Header2 2 4 80 8" xfId="22152"/>
    <cellStyle name="Header2 2 4 80 9" xfId="22153"/>
    <cellStyle name="Header2 2 4 81" xfId="4522"/>
    <cellStyle name="Header2 2 4 81 10" xfId="22154"/>
    <cellStyle name="Header2 2 4 81 2" xfId="22155"/>
    <cellStyle name="Header2 2 4 81 3" xfId="22156"/>
    <cellStyle name="Header2 2 4 81 4" xfId="22157"/>
    <cellStyle name="Header2 2 4 81 5" xfId="22158"/>
    <cellStyle name="Header2 2 4 81 6" xfId="22159"/>
    <cellStyle name="Header2 2 4 81 7" xfId="22160"/>
    <cellStyle name="Header2 2 4 81 8" xfId="22161"/>
    <cellStyle name="Header2 2 4 81 9" xfId="22162"/>
    <cellStyle name="Header2 2 4 82" xfId="4523"/>
    <cellStyle name="Header2 2 4 82 10" xfId="22163"/>
    <cellStyle name="Header2 2 4 82 2" xfId="22164"/>
    <cellStyle name="Header2 2 4 82 3" xfId="22165"/>
    <cellStyle name="Header2 2 4 82 4" xfId="22166"/>
    <cellStyle name="Header2 2 4 82 5" xfId="22167"/>
    <cellStyle name="Header2 2 4 82 6" xfId="22168"/>
    <cellStyle name="Header2 2 4 82 7" xfId="22169"/>
    <cellStyle name="Header2 2 4 82 8" xfId="22170"/>
    <cellStyle name="Header2 2 4 82 9" xfId="22171"/>
    <cellStyle name="Header2 2 4 83" xfId="4524"/>
    <cellStyle name="Header2 2 4 83 10" xfId="22172"/>
    <cellStyle name="Header2 2 4 83 2" xfId="22173"/>
    <cellStyle name="Header2 2 4 83 3" xfId="22174"/>
    <cellStyle name="Header2 2 4 83 4" xfId="22175"/>
    <cellStyle name="Header2 2 4 83 5" xfId="22176"/>
    <cellStyle name="Header2 2 4 83 6" xfId="22177"/>
    <cellStyle name="Header2 2 4 83 7" xfId="22178"/>
    <cellStyle name="Header2 2 4 83 8" xfId="22179"/>
    <cellStyle name="Header2 2 4 83 9" xfId="22180"/>
    <cellStyle name="Header2 2 4 84" xfId="4525"/>
    <cellStyle name="Header2 2 4 84 10" xfId="22181"/>
    <cellStyle name="Header2 2 4 84 2" xfId="22182"/>
    <cellStyle name="Header2 2 4 84 3" xfId="22183"/>
    <cellStyle name="Header2 2 4 84 4" xfId="22184"/>
    <cellStyle name="Header2 2 4 84 5" xfId="22185"/>
    <cellStyle name="Header2 2 4 84 6" xfId="22186"/>
    <cellStyle name="Header2 2 4 84 7" xfId="22187"/>
    <cellStyle name="Header2 2 4 84 8" xfId="22188"/>
    <cellStyle name="Header2 2 4 84 9" xfId="22189"/>
    <cellStyle name="Header2 2 4 85" xfId="4526"/>
    <cellStyle name="Header2 2 4 85 10" xfId="22190"/>
    <cellStyle name="Header2 2 4 85 2" xfId="22191"/>
    <cellStyle name="Header2 2 4 85 3" xfId="22192"/>
    <cellStyle name="Header2 2 4 85 4" xfId="22193"/>
    <cellStyle name="Header2 2 4 85 5" xfId="22194"/>
    <cellStyle name="Header2 2 4 85 6" xfId="22195"/>
    <cellStyle name="Header2 2 4 85 7" xfId="22196"/>
    <cellStyle name="Header2 2 4 85 8" xfId="22197"/>
    <cellStyle name="Header2 2 4 85 9" xfId="22198"/>
    <cellStyle name="Header2 2 4 86" xfId="4527"/>
    <cellStyle name="Header2 2 4 86 10" xfId="22199"/>
    <cellStyle name="Header2 2 4 86 2" xfId="22200"/>
    <cellStyle name="Header2 2 4 86 3" xfId="22201"/>
    <cellStyle name="Header2 2 4 86 4" xfId="22202"/>
    <cellStyle name="Header2 2 4 86 5" xfId="22203"/>
    <cellStyle name="Header2 2 4 86 6" xfId="22204"/>
    <cellStyle name="Header2 2 4 86 7" xfId="22205"/>
    <cellStyle name="Header2 2 4 86 8" xfId="22206"/>
    <cellStyle name="Header2 2 4 86 9" xfId="22207"/>
    <cellStyle name="Header2 2 4 87" xfId="4528"/>
    <cellStyle name="Header2 2 4 87 10" xfId="22208"/>
    <cellStyle name="Header2 2 4 87 2" xfId="22209"/>
    <cellStyle name="Header2 2 4 87 3" xfId="22210"/>
    <cellStyle name="Header2 2 4 87 4" xfId="22211"/>
    <cellStyle name="Header2 2 4 87 5" xfId="22212"/>
    <cellStyle name="Header2 2 4 87 6" xfId="22213"/>
    <cellStyle name="Header2 2 4 87 7" xfId="22214"/>
    <cellStyle name="Header2 2 4 87 8" xfId="22215"/>
    <cellStyle name="Header2 2 4 87 9" xfId="22216"/>
    <cellStyle name="Header2 2 4 88" xfId="4529"/>
    <cellStyle name="Header2 2 4 88 10" xfId="22217"/>
    <cellStyle name="Header2 2 4 88 2" xfId="22218"/>
    <cellStyle name="Header2 2 4 88 3" xfId="22219"/>
    <cellStyle name="Header2 2 4 88 4" xfId="22220"/>
    <cellStyle name="Header2 2 4 88 5" xfId="22221"/>
    <cellStyle name="Header2 2 4 88 6" xfId="22222"/>
    <cellStyle name="Header2 2 4 88 7" xfId="22223"/>
    <cellStyle name="Header2 2 4 88 8" xfId="22224"/>
    <cellStyle name="Header2 2 4 88 9" xfId="22225"/>
    <cellStyle name="Header2 2 4 89" xfId="4530"/>
    <cellStyle name="Header2 2 4 89 10" xfId="22226"/>
    <cellStyle name="Header2 2 4 89 2" xfId="22227"/>
    <cellStyle name="Header2 2 4 89 3" xfId="22228"/>
    <cellStyle name="Header2 2 4 89 4" xfId="22229"/>
    <cellStyle name="Header2 2 4 89 5" xfId="22230"/>
    <cellStyle name="Header2 2 4 89 6" xfId="22231"/>
    <cellStyle name="Header2 2 4 89 7" xfId="22232"/>
    <cellStyle name="Header2 2 4 89 8" xfId="22233"/>
    <cellStyle name="Header2 2 4 89 9" xfId="22234"/>
    <cellStyle name="Header2 2 4 9" xfId="4531"/>
    <cellStyle name="Header2 2 4 9 2" xfId="22235"/>
    <cellStyle name="Header2 2 4 9 3" xfId="22236"/>
    <cellStyle name="Header2 2 4 9 4" xfId="22237"/>
    <cellStyle name="Header2 2 4 9 5" xfId="22238"/>
    <cellStyle name="Header2 2 4 9 6" xfId="22239"/>
    <cellStyle name="Header2 2 4 9 7" xfId="22240"/>
    <cellStyle name="Header2 2 4 9 8" xfId="22241"/>
    <cellStyle name="Header2 2 4 9 9" xfId="22242"/>
    <cellStyle name="Header2 2 4 90" xfId="4532"/>
    <cellStyle name="Header2 2 4 90 10" xfId="22243"/>
    <cellStyle name="Header2 2 4 90 2" xfId="22244"/>
    <cellStyle name="Header2 2 4 90 3" xfId="22245"/>
    <cellStyle name="Header2 2 4 90 4" xfId="22246"/>
    <cellStyle name="Header2 2 4 90 5" xfId="22247"/>
    <cellStyle name="Header2 2 4 90 6" xfId="22248"/>
    <cellStyle name="Header2 2 4 90 7" xfId="22249"/>
    <cellStyle name="Header2 2 4 90 8" xfId="22250"/>
    <cellStyle name="Header2 2 4 90 9" xfId="22251"/>
    <cellStyle name="Header2 2 4 91" xfId="4533"/>
    <cellStyle name="Header2 2 4 91 10" xfId="22252"/>
    <cellStyle name="Header2 2 4 91 2" xfId="22253"/>
    <cellStyle name="Header2 2 4 91 3" xfId="22254"/>
    <cellStyle name="Header2 2 4 91 4" xfId="22255"/>
    <cellStyle name="Header2 2 4 91 5" xfId="22256"/>
    <cellStyle name="Header2 2 4 91 6" xfId="22257"/>
    <cellStyle name="Header2 2 4 91 7" xfId="22258"/>
    <cellStyle name="Header2 2 4 91 8" xfId="22259"/>
    <cellStyle name="Header2 2 4 91 9" xfId="22260"/>
    <cellStyle name="Header2 2 4 92" xfId="4534"/>
    <cellStyle name="Header2 2 4 92 10" xfId="22261"/>
    <cellStyle name="Header2 2 4 92 2" xfId="22262"/>
    <cellStyle name="Header2 2 4 92 3" xfId="22263"/>
    <cellStyle name="Header2 2 4 92 4" xfId="22264"/>
    <cellStyle name="Header2 2 4 92 5" xfId="22265"/>
    <cellStyle name="Header2 2 4 92 6" xfId="22266"/>
    <cellStyle name="Header2 2 4 92 7" xfId="22267"/>
    <cellStyle name="Header2 2 4 92 8" xfId="22268"/>
    <cellStyle name="Header2 2 4 92 9" xfId="22269"/>
    <cellStyle name="Header2 2 4 93" xfId="4535"/>
    <cellStyle name="Header2 2 4 93 2" xfId="22270"/>
    <cellStyle name="Header2 2 4 93 3" xfId="22271"/>
    <cellStyle name="Header2 2 4 93 4" xfId="22272"/>
    <cellStyle name="Header2 2 4 93 5" xfId="22273"/>
    <cellStyle name="Header2 2 4 93 6" xfId="22274"/>
    <cellStyle name="Header2 2 4 93 7" xfId="22275"/>
    <cellStyle name="Header2 2 4 93 8" xfId="22276"/>
    <cellStyle name="Header2 2 4 93 9" xfId="22277"/>
    <cellStyle name="Header2 2 4 94" xfId="11479"/>
    <cellStyle name="Header2 2 4 95" xfId="22278"/>
    <cellStyle name="Header2 2 4 96" xfId="22279"/>
    <cellStyle name="Header2 2 4 97" xfId="22280"/>
    <cellStyle name="Header2 2 4 98" xfId="22281"/>
    <cellStyle name="Header2 2 4 99" xfId="22282"/>
    <cellStyle name="Header2 2 4_Cashflow trend" xfId="1136"/>
    <cellStyle name="Header2 2 40" xfId="4536"/>
    <cellStyle name="Header2 2 40 10" xfId="22283"/>
    <cellStyle name="Header2 2 40 2" xfId="22284"/>
    <cellStyle name="Header2 2 40 3" xfId="22285"/>
    <cellStyle name="Header2 2 40 4" xfId="22286"/>
    <cellStyle name="Header2 2 40 5" xfId="22287"/>
    <cellStyle name="Header2 2 40 6" xfId="22288"/>
    <cellStyle name="Header2 2 40 7" xfId="22289"/>
    <cellStyle name="Header2 2 40 8" xfId="22290"/>
    <cellStyle name="Header2 2 40 9" xfId="22291"/>
    <cellStyle name="Header2 2 41" xfId="4537"/>
    <cellStyle name="Header2 2 41 10" xfId="22292"/>
    <cellStyle name="Header2 2 41 2" xfId="22293"/>
    <cellStyle name="Header2 2 41 3" xfId="22294"/>
    <cellStyle name="Header2 2 41 4" xfId="22295"/>
    <cellStyle name="Header2 2 41 5" xfId="22296"/>
    <cellStyle name="Header2 2 41 6" xfId="22297"/>
    <cellStyle name="Header2 2 41 7" xfId="22298"/>
    <cellStyle name="Header2 2 41 8" xfId="22299"/>
    <cellStyle name="Header2 2 41 9" xfId="22300"/>
    <cellStyle name="Header2 2 42" xfId="4538"/>
    <cellStyle name="Header2 2 42 10" xfId="22301"/>
    <cellStyle name="Header2 2 42 2" xfId="22302"/>
    <cellStyle name="Header2 2 42 3" xfId="22303"/>
    <cellStyle name="Header2 2 42 4" xfId="22304"/>
    <cellStyle name="Header2 2 42 5" xfId="22305"/>
    <cellStyle name="Header2 2 42 6" xfId="22306"/>
    <cellStyle name="Header2 2 42 7" xfId="22307"/>
    <cellStyle name="Header2 2 42 8" xfId="22308"/>
    <cellStyle name="Header2 2 42 9" xfId="22309"/>
    <cellStyle name="Header2 2 43" xfId="4539"/>
    <cellStyle name="Header2 2 43 10" xfId="22310"/>
    <cellStyle name="Header2 2 43 2" xfId="22311"/>
    <cellStyle name="Header2 2 43 3" xfId="22312"/>
    <cellStyle name="Header2 2 43 4" xfId="22313"/>
    <cellStyle name="Header2 2 43 5" xfId="22314"/>
    <cellStyle name="Header2 2 43 6" xfId="22315"/>
    <cellStyle name="Header2 2 43 7" xfId="22316"/>
    <cellStyle name="Header2 2 43 8" xfId="22317"/>
    <cellStyle name="Header2 2 43 9" xfId="22318"/>
    <cellStyle name="Header2 2 44" xfId="4540"/>
    <cellStyle name="Header2 2 44 10" xfId="22319"/>
    <cellStyle name="Header2 2 44 2" xfId="22320"/>
    <cellStyle name="Header2 2 44 3" xfId="22321"/>
    <cellStyle name="Header2 2 44 4" xfId="22322"/>
    <cellStyle name="Header2 2 44 5" xfId="22323"/>
    <cellStyle name="Header2 2 44 6" xfId="22324"/>
    <cellStyle name="Header2 2 44 7" xfId="22325"/>
    <cellStyle name="Header2 2 44 8" xfId="22326"/>
    <cellStyle name="Header2 2 44 9" xfId="22327"/>
    <cellStyle name="Header2 2 45" xfId="4541"/>
    <cellStyle name="Header2 2 45 10" xfId="22328"/>
    <cellStyle name="Header2 2 45 2" xfId="22329"/>
    <cellStyle name="Header2 2 45 3" xfId="22330"/>
    <cellStyle name="Header2 2 45 4" xfId="22331"/>
    <cellStyle name="Header2 2 45 5" xfId="22332"/>
    <cellStyle name="Header2 2 45 6" xfId="22333"/>
    <cellStyle name="Header2 2 45 7" xfId="22334"/>
    <cellStyle name="Header2 2 45 8" xfId="22335"/>
    <cellStyle name="Header2 2 45 9" xfId="22336"/>
    <cellStyle name="Header2 2 46" xfId="4542"/>
    <cellStyle name="Header2 2 46 10" xfId="22337"/>
    <cellStyle name="Header2 2 46 2" xfId="22338"/>
    <cellStyle name="Header2 2 46 3" xfId="22339"/>
    <cellStyle name="Header2 2 46 4" xfId="22340"/>
    <cellStyle name="Header2 2 46 5" xfId="22341"/>
    <cellStyle name="Header2 2 46 6" xfId="22342"/>
    <cellStyle name="Header2 2 46 7" xfId="22343"/>
    <cellStyle name="Header2 2 46 8" xfId="22344"/>
    <cellStyle name="Header2 2 46 9" xfId="22345"/>
    <cellStyle name="Header2 2 47" xfId="4543"/>
    <cellStyle name="Header2 2 47 10" xfId="22346"/>
    <cellStyle name="Header2 2 47 2" xfId="22347"/>
    <cellStyle name="Header2 2 47 3" xfId="22348"/>
    <cellStyle name="Header2 2 47 4" xfId="22349"/>
    <cellStyle name="Header2 2 47 5" xfId="22350"/>
    <cellStyle name="Header2 2 47 6" xfId="22351"/>
    <cellStyle name="Header2 2 47 7" xfId="22352"/>
    <cellStyle name="Header2 2 47 8" xfId="22353"/>
    <cellStyle name="Header2 2 47 9" xfId="22354"/>
    <cellStyle name="Header2 2 48" xfId="4544"/>
    <cellStyle name="Header2 2 48 10" xfId="22355"/>
    <cellStyle name="Header2 2 48 2" xfId="22356"/>
    <cellStyle name="Header2 2 48 3" xfId="22357"/>
    <cellStyle name="Header2 2 48 4" xfId="22358"/>
    <cellStyle name="Header2 2 48 5" xfId="22359"/>
    <cellStyle name="Header2 2 48 6" xfId="22360"/>
    <cellStyle name="Header2 2 48 7" xfId="22361"/>
    <cellStyle name="Header2 2 48 8" xfId="22362"/>
    <cellStyle name="Header2 2 48 9" xfId="22363"/>
    <cellStyle name="Header2 2 49" xfId="4545"/>
    <cellStyle name="Header2 2 49 10" xfId="22364"/>
    <cellStyle name="Header2 2 49 2" xfId="22365"/>
    <cellStyle name="Header2 2 49 3" xfId="22366"/>
    <cellStyle name="Header2 2 49 4" xfId="22367"/>
    <cellStyle name="Header2 2 49 5" xfId="22368"/>
    <cellStyle name="Header2 2 49 6" xfId="22369"/>
    <cellStyle name="Header2 2 49 7" xfId="22370"/>
    <cellStyle name="Header2 2 49 8" xfId="22371"/>
    <cellStyle name="Header2 2 49 9" xfId="22372"/>
    <cellStyle name="Header2 2 5" xfId="1137"/>
    <cellStyle name="Header2 2 5 10" xfId="4546"/>
    <cellStyle name="Header2 2 5 10 2" xfId="22373"/>
    <cellStyle name="Header2 2 5 10 3" xfId="22374"/>
    <cellStyle name="Header2 2 5 10 4" xfId="22375"/>
    <cellStyle name="Header2 2 5 10 5" xfId="22376"/>
    <cellStyle name="Header2 2 5 10 6" xfId="22377"/>
    <cellStyle name="Header2 2 5 10 7" xfId="22378"/>
    <cellStyle name="Header2 2 5 10 8" xfId="22379"/>
    <cellStyle name="Header2 2 5 10 9" xfId="22380"/>
    <cellStyle name="Header2 2 5 100" xfId="22381"/>
    <cellStyle name="Header2 2 5 101" xfId="22382"/>
    <cellStyle name="Header2 2 5 102" xfId="22383"/>
    <cellStyle name="Header2 2 5 11" xfId="4547"/>
    <cellStyle name="Header2 2 5 11 2" xfId="22384"/>
    <cellStyle name="Header2 2 5 11 3" xfId="22385"/>
    <cellStyle name="Header2 2 5 11 4" xfId="22386"/>
    <cellStyle name="Header2 2 5 11 5" xfId="22387"/>
    <cellStyle name="Header2 2 5 11 6" xfId="22388"/>
    <cellStyle name="Header2 2 5 11 7" xfId="22389"/>
    <cellStyle name="Header2 2 5 11 8" xfId="22390"/>
    <cellStyle name="Header2 2 5 11 9" xfId="22391"/>
    <cellStyle name="Header2 2 5 12" xfId="4548"/>
    <cellStyle name="Header2 2 5 12 2" xfId="22392"/>
    <cellStyle name="Header2 2 5 12 3" xfId="22393"/>
    <cellStyle name="Header2 2 5 12 4" xfId="22394"/>
    <cellStyle name="Header2 2 5 12 5" xfId="22395"/>
    <cellStyle name="Header2 2 5 12 6" xfId="22396"/>
    <cellStyle name="Header2 2 5 12 7" xfId="22397"/>
    <cellStyle name="Header2 2 5 12 8" xfId="22398"/>
    <cellStyle name="Header2 2 5 12 9" xfId="22399"/>
    <cellStyle name="Header2 2 5 13" xfId="4549"/>
    <cellStyle name="Header2 2 5 13 2" xfId="22400"/>
    <cellStyle name="Header2 2 5 13 3" xfId="22401"/>
    <cellStyle name="Header2 2 5 13 4" xfId="22402"/>
    <cellStyle name="Header2 2 5 13 5" xfId="22403"/>
    <cellStyle name="Header2 2 5 13 6" xfId="22404"/>
    <cellStyle name="Header2 2 5 13 7" xfId="22405"/>
    <cellStyle name="Header2 2 5 13 8" xfId="22406"/>
    <cellStyle name="Header2 2 5 13 9" xfId="22407"/>
    <cellStyle name="Header2 2 5 14" xfId="4550"/>
    <cellStyle name="Header2 2 5 14 2" xfId="22408"/>
    <cellStyle name="Header2 2 5 14 3" xfId="22409"/>
    <cellStyle name="Header2 2 5 14 4" xfId="22410"/>
    <cellStyle name="Header2 2 5 14 5" xfId="22411"/>
    <cellStyle name="Header2 2 5 14 6" xfId="22412"/>
    <cellStyle name="Header2 2 5 14 7" xfId="22413"/>
    <cellStyle name="Header2 2 5 14 8" xfId="22414"/>
    <cellStyle name="Header2 2 5 14 9" xfId="22415"/>
    <cellStyle name="Header2 2 5 15" xfId="4551"/>
    <cellStyle name="Header2 2 5 15 2" xfId="22416"/>
    <cellStyle name="Header2 2 5 15 3" xfId="22417"/>
    <cellStyle name="Header2 2 5 15 4" xfId="22418"/>
    <cellStyle name="Header2 2 5 15 5" xfId="22419"/>
    <cellStyle name="Header2 2 5 15 6" xfId="22420"/>
    <cellStyle name="Header2 2 5 15 7" xfId="22421"/>
    <cellStyle name="Header2 2 5 15 8" xfId="22422"/>
    <cellStyle name="Header2 2 5 15 9" xfId="22423"/>
    <cellStyle name="Header2 2 5 16" xfId="4552"/>
    <cellStyle name="Header2 2 5 16 2" xfId="22424"/>
    <cellStyle name="Header2 2 5 16 3" xfId="22425"/>
    <cellStyle name="Header2 2 5 16 4" xfId="22426"/>
    <cellStyle name="Header2 2 5 16 5" xfId="22427"/>
    <cellStyle name="Header2 2 5 16 6" xfId="22428"/>
    <cellStyle name="Header2 2 5 16 7" xfId="22429"/>
    <cellStyle name="Header2 2 5 16 8" xfId="22430"/>
    <cellStyle name="Header2 2 5 16 9" xfId="22431"/>
    <cellStyle name="Header2 2 5 17" xfId="4553"/>
    <cellStyle name="Header2 2 5 17 2" xfId="22432"/>
    <cellStyle name="Header2 2 5 17 3" xfId="22433"/>
    <cellStyle name="Header2 2 5 17 4" xfId="22434"/>
    <cellStyle name="Header2 2 5 17 5" xfId="22435"/>
    <cellStyle name="Header2 2 5 17 6" xfId="22436"/>
    <cellStyle name="Header2 2 5 17 7" xfId="22437"/>
    <cellStyle name="Header2 2 5 17 8" xfId="22438"/>
    <cellStyle name="Header2 2 5 17 9" xfId="22439"/>
    <cellStyle name="Header2 2 5 18" xfId="4554"/>
    <cellStyle name="Header2 2 5 18 2" xfId="22440"/>
    <cellStyle name="Header2 2 5 18 3" xfId="22441"/>
    <cellStyle name="Header2 2 5 18 4" xfId="22442"/>
    <cellStyle name="Header2 2 5 18 5" xfId="22443"/>
    <cellStyle name="Header2 2 5 18 6" xfId="22444"/>
    <cellStyle name="Header2 2 5 18 7" xfId="22445"/>
    <cellStyle name="Header2 2 5 18 8" xfId="22446"/>
    <cellStyle name="Header2 2 5 18 9" xfId="22447"/>
    <cellStyle name="Header2 2 5 19" xfId="4555"/>
    <cellStyle name="Header2 2 5 19 2" xfId="22448"/>
    <cellStyle name="Header2 2 5 19 3" xfId="22449"/>
    <cellStyle name="Header2 2 5 19 4" xfId="22450"/>
    <cellStyle name="Header2 2 5 19 5" xfId="22451"/>
    <cellStyle name="Header2 2 5 19 6" xfId="22452"/>
    <cellStyle name="Header2 2 5 19 7" xfId="22453"/>
    <cellStyle name="Header2 2 5 19 8" xfId="22454"/>
    <cellStyle name="Header2 2 5 19 9" xfId="22455"/>
    <cellStyle name="Header2 2 5 2" xfId="1138"/>
    <cellStyle name="Header2 2 5 2 10" xfId="22456"/>
    <cellStyle name="Header2 2 5 2 11" xfId="22457"/>
    <cellStyle name="Header2 2 5 2 2" xfId="12526"/>
    <cellStyle name="Header2 2 5 2 3" xfId="22458"/>
    <cellStyle name="Header2 2 5 2 4" xfId="22459"/>
    <cellStyle name="Header2 2 5 2 5" xfId="22460"/>
    <cellStyle name="Header2 2 5 2 6" xfId="22461"/>
    <cellStyle name="Header2 2 5 2 7" xfId="22462"/>
    <cellStyle name="Header2 2 5 2 8" xfId="22463"/>
    <cellStyle name="Header2 2 5 2 9" xfId="22464"/>
    <cellStyle name="Header2 2 5 2_YL Capex Cashflow &amp; Dep" xfId="12126"/>
    <cellStyle name="Header2 2 5 20" xfId="4556"/>
    <cellStyle name="Header2 2 5 20 10" xfId="22465"/>
    <cellStyle name="Header2 2 5 20 2" xfId="22466"/>
    <cellStyle name="Header2 2 5 20 3" xfId="22467"/>
    <cellStyle name="Header2 2 5 20 4" xfId="22468"/>
    <cellStyle name="Header2 2 5 20 5" xfId="22469"/>
    <cellStyle name="Header2 2 5 20 6" xfId="22470"/>
    <cellStyle name="Header2 2 5 20 7" xfId="22471"/>
    <cellStyle name="Header2 2 5 20 8" xfId="22472"/>
    <cellStyle name="Header2 2 5 20 9" xfId="22473"/>
    <cellStyle name="Header2 2 5 21" xfId="4557"/>
    <cellStyle name="Header2 2 5 21 10" xfId="22474"/>
    <cellStyle name="Header2 2 5 21 2" xfId="22475"/>
    <cellStyle name="Header2 2 5 21 3" xfId="22476"/>
    <cellStyle name="Header2 2 5 21 4" xfId="22477"/>
    <cellStyle name="Header2 2 5 21 5" xfId="22478"/>
    <cellStyle name="Header2 2 5 21 6" xfId="22479"/>
    <cellStyle name="Header2 2 5 21 7" xfId="22480"/>
    <cellStyle name="Header2 2 5 21 8" xfId="22481"/>
    <cellStyle name="Header2 2 5 21 9" xfId="22482"/>
    <cellStyle name="Header2 2 5 22" xfId="4558"/>
    <cellStyle name="Header2 2 5 22 10" xfId="22483"/>
    <cellStyle name="Header2 2 5 22 2" xfId="22484"/>
    <cellStyle name="Header2 2 5 22 3" xfId="22485"/>
    <cellStyle name="Header2 2 5 22 4" xfId="22486"/>
    <cellStyle name="Header2 2 5 22 5" xfId="22487"/>
    <cellStyle name="Header2 2 5 22 6" xfId="22488"/>
    <cellStyle name="Header2 2 5 22 7" xfId="22489"/>
    <cellStyle name="Header2 2 5 22 8" xfId="22490"/>
    <cellStyle name="Header2 2 5 22 9" xfId="22491"/>
    <cellStyle name="Header2 2 5 23" xfId="4559"/>
    <cellStyle name="Header2 2 5 23 10" xfId="22492"/>
    <cellStyle name="Header2 2 5 23 2" xfId="22493"/>
    <cellStyle name="Header2 2 5 23 3" xfId="22494"/>
    <cellStyle name="Header2 2 5 23 4" xfId="22495"/>
    <cellStyle name="Header2 2 5 23 5" xfId="22496"/>
    <cellStyle name="Header2 2 5 23 6" xfId="22497"/>
    <cellStyle name="Header2 2 5 23 7" xfId="22498"/>
    <cellStyle name="Header2 2 5 23 8" xfId="22499"/>
    <cellStyle name="Header2 2 5 23 9" xfId="22500"/>
    <cellStyle name="Header2 2 5 24" xfId="4560"/>
    <cellStyle name="Header2 2 5 24 10" xfId="22501"/>
    <cellStyle name="Header2 2 5 24 2" xfId="22502"/>
    <cellStyle name="Header2 2 5 24 3" xfId="22503"/>
    <cellStyle name="Header2 2 5 24 4" xfId="22504"/>
    <cellStyle name="Header2 2 5 24 5" xfId="22505"/>
    <cellStyle name="Header2 2 5 24 6" xfId="22506"/>
    <cellStyle name="Header2 2 5 24 7" xfId="22507"/>
    <cellStyle name="Header2 2 5 24 8" xfId="22508"/>
    <cellStyle name="Header2 2 5 24 9" xfId="22509"/>
    <cellStyle name="Header2 2 5 25" xfId="4561"/>
    <cellStyle name="Header2 2 5 25 10" xfId="22510"/>
    <cellStyle name="Header2 2 5 25 2" xfId="22511"/>
    <cellStyle name="Header2 2 5 25 3" xfId="22512"/>
    <cellStyle name="Header2 2 5 25 4" xfId="22513"/>
    <cellStyle name="Header2 2 5 25 5" xfId="22514"/>
    <cellStyle name="Header2 2 5 25 6" xfId="22515"/>
    <cellStyle name="Header2 2 5 25 7" xfId="22516"/>
    <cellStyle name="Header2 2 5 25 8" xfId="22517"/>
    <cellStyle name="Header2 2 5 25 9" xfId="22518"/>
    <cellStyle name="Header2 2 5 26" xfId="4562"/>
    <cellStyle name="Header2 2 5 26 10" xfId="22519"/>
    <cellStyle name="Header2 2 5 26 2" xfId="22520"/>
    <cellStyle name="Header2 2 5 26 3" xfId="22521"/>
    <cellStyle name="Header2 2 5 26 4" xfId="22522"/>
    <cellStyle name="Header2 2 5 26 5" xfId="22523"/>
    <cellStyle name="Header2 2 5 26 6" xfId="22524"/>
    <cellStyle name="Header2 2 5 26 7" xfId="22525"/>
    <cellStyle name="Header2 2 5 26 8" xfId="22526"/>
    <cellStyle name="Header2 2 5 26 9" xfId="22527"/>
    <cellStyle name="Header2 2 5 27" xfId="4563"/>
    <cellStyle name="Header2 2 5 27 10" xfId="22528"/>
    <cellStyle name="Header2 2 5 27 2" xfId="22529"/>
    <cellStyle name="Header2 2 5 27 3" xfId="22530"/>
    <cellStyle name="Header2 2 5 27 4" xfId="22531"/>
    <cellStyle name="Header2 2 5 27 5" xfId="22532"/>
    <cellStyle name="Header2 2 5 27 6" xfId="22533"/>
    <cellStyle name="Header2 2 5 27 7" xfId="22534"/>
    <cellStyle name="Header2 2 5 27 8" xfId="22535"/>
    <cellStyle name="Header2 2 5 27 9" xfId="22536"/>
    <cellStyle name="Header2 2 5 28" xfId="4564"/>
    <cellStyle name="Header2 2 5 28 10" xfId="22537"/>
    <cellStyle name="Header2 2 5 28 2" xfId="22538"/>
    <cellStyle name="Header2 2 5 28 3" xfId="22539"/>
    <cellStyle name="Header2 2 5 28 4" xfId="22540"/>
    <cellStyle name="Header2 2 5 28 5" xfId="22541"/>
    <cellStyle name="Header2 2 5 28 6" xfId="22542"/>
    <cellStyle name="Header2 2 5 28 7" xfId="22543"/>
    <cellStyle name="Header2 2 5 28 8" xfId="22544"/>
    <cellStyle name="Header2 2 5 28 9" xfId="22545"/>
    <cellStyle name="Header2 2 5 29" xfId="4565"/>
    <cellStyle name="Header2 2 5 29 10" xfId="22546"/>
    <cellStyle name="Header2 2 5 29 2" xfId="22547"/>
    <cellStyle name="Header2 2 5 29 3" xfId="22548"/>
    <cellStyle name="Header2 2 5 29 4" xfId="22549"/>
    <cellStyle name="Header2 2 5 29 5" xfId="22550"/>
    <cellStyle name="Header2 2 5 29 6" xfId="22551"/>
    <cellStyle name="Header2 2 5 29 7" xfId="22552"/>
    <cellStyle name="Header2 2 5 29 8" xfId="22553"/>
    <cellStyle name="Header2 2 5 29 9" xfId="22554"/>
    <cellStyle name="Header2 2 5 3" xfId="4566"/>
    <cellStyle name="Header2 2 5 3 10" xfId="22555"/>
    <cellStyle name="Header2 2 5 3 2" xfId="22556"/>
    <cellStyle name="Header2 2 5 3 3" xfId="22557"/>
    <cellStyle name="Header2 2 5 3 4" xfId="22558"/>
    <cellStyle name="Header2 2 5 3 5" xfId="22559"/>
    <cellStyle name="Header2 2 5 3 6" xfId="22560"/>
    <cellStyle name="Header2 2 5 3 7" xfId="22561"/>
    <cellStyle name="Header2 2 5 3 8" xfId="22562"/>
    <cellStyle name="Header2 2 5 3 9" xfId="22563"/>
    <cellStyle name="Header2 2 5 30" xfId="4567"/>
    <cellStyle name="Header2 2 5 30 10" xfId="22564"/>
    <cellStyle name="Header2 2 5 30 2" xfId="22565"/>
    <cellStyle name="Header2 2 5 30 3" xfId="22566"/>
    <cellStyle name="Header2 2 5 30 4" xfId="22567"/>
    <cellStyle name="Header2 2 5 30 5" xfId="22568"/>
    <cellStyle name="Header2 2 5 30 6" xfId="22569"/>
    <cellStyle name="Header2 2 5 30 7" xfId="22570"/>
    <cellStyle name="Header2 2 5 30 8" xfId="22571"/>
    <cellStyle name="Header2 2 5 30 9" xfId="22572"/>
    <cellStyle name="Header2 2 5 31" xfId="4568"/>
    <cellStyle name="Header2 2 5 31 10" xfId="22573"/>
    <cellStyle name="Header2 2 5 31 2" xfId="22574"/>
    <cellStyle name="Header2 2 5 31 3" xfId="22575"/>
    <cellStyle name="Header2 2 5 31 4" xfId="22576"/>
    <cellStyle name="Header2 2 5 31 5" xfId="22577"/>
    <cellStyle name="Header2 2 5 31 6" xfId="22578"/>
    <cellStyle name="Header2 2 5 31 7" xfId="22579"/>
    <cellStyle name="Header2 2 5 31 8" xfId="22580"/>
    <cellStyle name="Header2 2 5 31 9" xfId="22581"/>
    <cellStyle name="Header2 2 5 32" xfId="4569"/>
    <cellStyle name="Header2 2 5 32 10" xfId="22582"/>
    <cellStyle name="Header2 2 5 32 2" xfId="22583"/>
    <cellStyle name="Header2 2 5 32 3" xfId="22584"/>
    <cellStyle name="Header2 2 5 32 4" xfId="22585"/>
    <cellStyle name="Header2 2 5 32 5" xfId="22586"/>
    <cellStyle name="Header2 2 5 32 6" xfId="22587"/>
    <cellStyle name="Header2 2 5 32 7" xfId="22588"/>
    <cellStyle name="Header2 2 5 32 8" xfId="22589"/>
    <cellStyle name="Header2 2 5 32 9" xfId="22590"/>
    <cellStyle name="Header2 2 5 33" xfId="4570"/>
    <cellStyle name="Header2 2 5 33 10" xfId="22591"/>
    <cellStyle name="Header2 2 5 33 2" xfId="22592"/>
    <cellStyle name="Header2 2 5 33 3" xfId="22593"/>
    <cellStyle name="Header2 2 5 33 4" xfId="22594"/>
    <cellStyle name="Header2 2 5 33 5" xfId="22595"/>
    <cellStyle name="Header2 2 5 33 6" xfId="22596"/>
    <cellStyle name="Header2 2 5 33 7" xfId="22597"/>
    <cellStyle name="Header2 2 5 33 8" xfId="22598"/>
    <cellStyle name="Header2 2 5 33 9" xfId="22599"/>
    <cellStyle name="Header2 2 5 34" xfId="4571"/>
    <cellStyle name="Header2 2 5 34 10" xfId="22600"/>
    <cellStyle name="Header2 2 5 34 2" xfId="22601"/>
    <cellStyle name="Header2 2 5 34 3" xfId="22602"/>
    <cellStyle name="Header2 2 5 34 4" xfId="22603"/>
    <cellStyle name="Header2 2 5 34 5" xfId="22604"/>
    <cellStyle name="Header2 2 5 34 6" xfId="22605"/>
    <cellStyle name="Header2 2 5 34 7" xfId="22606"/>
    <cellStyle name="Header2 2 5 34 8" xfId="22607"/>
    <cellStyle name="Header2 2 5 34 9" xfId="22608"/>
    <cellStyle name="Header2 2 5 35" xfId="4572"/>
    <cellStyle name="Header2 2 5 35 10" xfId="22609"/>
    <cellStyle name="Header2 2 5 35 2" xfId="22610"/>
    <cellStyle name="Header2 2 5 35 3" xfId="22611"/>
    <cellStyle name="Header2 2 5 35 4" xfId="22612"/>
    <cellStyle name="Header2 2 5 35 5" xfId="22613"/>
    <cellStyle name="Header2 2 5 35 6" xfId="22614"/>
    <cellStyle name="Header2 2 5 35 7" xfId="22615"/>
    <cellStyle name="Header2 2 5 35 8" xfId="22616"/>
    <cellStyle name="Header2 2 5 35 9" xfId="22617"/>
    <cellStyle name="Header2 2 5 36" xfId="4573"/>
    <cellStyle name="Header2 2 5 36 10" xfId="22618"/>
    <cellStyle name="Header2 2 5 36 2" xfId="22619"/>
    <cellStyle name="Header2 2 5 36 3" xfId="22620"/>
    <cellStyle name="Header2 2 5 36 4" xfId="22621"/>
    <cellStyle name="Header2 2 5 36 5" xfId="22622"/>
    <cellStyle name="Header2 2 5 36 6" xfId="22623"/>
    <cellStyle name="Header2 2 5 36 7" xfId="22624"/>
    <cellStyle name="Header2 2 5 36 8" xfId="22625"/>
    <cellStyle name="Header2 2 5 36 9" xfId="22626"/>
    <cellStyle name="Header2 2 5 37" xfId="4574"/>
    <cellStyle name="Header2 2 5 37 10" xfId="22627"/>
    <cellStyle name="Header2 2 5 37 2" xfId="22628"/>
    <cellStyle name="Header2 2 5 37 3" xfId="22629"/>
    <cellStyle name="Header2 2 5 37 4" xfId="22630"/>
    <cellStyle name="Header2 2 5 37 5" xfId="22631"/>
    <cellStyle name="Header2 2 5 37 6" xfId="22632"/>
    <cellStyle name="Header2 2 5 37 7" xfId="22633"/>
    <cellStyle name="Header2 2 5 37 8" xfId="22634"/>
    <cellStyle name="Header2 2 5 37 9" xfId="22635"/>
    <cellStyle name="Header2 2 5 38" xfId="4575"/>
    <cellStyle name="Header2 2 5 38 10" xfId="22636"/>
    <cellStyle name="Header2 2 5 38 2" xfId="22637"/>
    <cellStyle name="Header2 2 5 38 3" xfId="22638"/>
    <cellStyle name="Header2 2 5 38 4" xfId="22639"/>
    <cellStyle name="Header2 2 5 38 5" xfId="22640"/>
    <cellStyle name="Header2 2 5 38 6" xfId="22641"/>
    <cellStyle name="Header2 2 5 38 7" xfId="22642"/>
    <cellStyle name="Header2 2 5 38 8" xfId="22643"/>
    <cellStyle name="Header2 2 5 38 9" xfId="22644"/>
    <cellStyle name="Header2 2 5 39" xfId="4576"/>
    <cellStyle name="Header2 2 5 39 10" xfId="22645"/>
    <cellStyle name="Header2 2 5 39 2" xfId="22646"/>
    <cellStyle name="Header2 2 5 39 3" xfId="22647"/>
    <cellStyle name="Header2 2 5 39 4" xfId="22648"/>
    <cellStyle name="Header2 2 5 39 5" xfId="22649"/>
    <cellStyle name="Header2 2 5 39 6" xfId="22650"/>
    <cellStyle name="Header2 2 5 39 7" xfId="22651"/>
    <cellStyle name="Header2 2 5 39 8" xfId="22652"/>
    <cellStyle name="Header2 2 5 39 9" xfId="22653"/>
    <cellStyle name="Header2 2 5 4" xfId="4577"/>
    <cellStyle name="Header2 2 5 4 10" xfId="22654"/>
    <cellStyle name="Header2 2 5 4 2" xfId="22655"/>
    <cellStyle name="Header2 2 5 4 3" xfId="22656"/>
    <cellStyle name="Header2 2 5 4 4" xfId="22657"/>
    <cellStyle name="Header2 2 5 4 5" xfId="22658"/>
    <cellStyle name="Header2 2 5 4 6" xfId="22659"/>
    <cellStyle name="Header2 2 5 4 7" xfId="22660"/>
    <cellStyle name="Header2 2 5 4 8" xfId="22661"/>
    <cellStyle name="Header2 2 5 4 9" xfId="22662"/>
    <cellStyle name="Header2 2 5 40" xfId="4578"/>
    <cellStyle name="Header2 2 5 40 10" xfId="22663"/>
    <cellStyle name="Header2 2 5 40 2" xfId="22664"/>
    <cellStyle name="Header2 2 5 40 3" xfId="22665"/>
    <cellStyle name="Header2 2 5 40 4" xfId="22666"/>
    <cellStyle name="Header2 2 5 40 5" xfId="22667"/>
    <cellStyle name="Header2 2 5 40 6" xfId="22668"/>
    <cellStyle name="Header2 2 5 40 7" xfId="22669"/>
    <cellStyle name="Header2 2 5 40 8" xfId="22670"/>
    <cellStyle name="Header2 2 5 40 9" xfId="22671"/>
    <cellStyle name="Header2 2 5 41" xfId="4579"/>
    <cellStyle name="Header2 2 5 41 10" xfId="22672"/>
    <cellStyle name="Header2 2 5 41 2" xfId="22673"/>
    <cellStyle name="Header2 2 5 41 3" xfId="22674"/>
    <cellStyle name="Header2 2 5 41 4" xfId="22675"/>
    <cellStyle name="Header2 2 5 41 5" xfId="22676"/>
    <cellStyle name="Header2 2 5 41 6" xfId="22677"/>
    <cellStyle name="Header2 2 5 41 7" xfId="22678"/>
    <cellStyle name="Header2 2 5 41 8" xfId="22679"/>
    <cellStyle name="Header2 2 5 41 9" xfId="22680"/>
    <cellStyle name="Header2 2 5 42" xfId="4580"/>
    <cellStyle name="Header2 2 5 42 10" xfId="22681"/>
    <cellStyle name="Header2 2 5 42 2" xfId="22682"/>
    <cellStyle name="Header2 2 5 42 3" xfId="22683"/>
    <cellStyle name="Header2 2 5 42 4" xfId="22684"/>
    <cellStyle name="Header2 2 5 42 5" xfId="22685"/>
    <cellStyle name="Header2 2 5 42 6" xfId="22686"/>
    <cellStyle name="Header2 2 5 42 7" xfId="22687"/>
    <cellStyle name="Header2 2 5 42 8" xfId="22688"/>
    <cellStyle name="Header2 2 5 42 9" xfId="22689"/>
    <cellStyle name="Header2 2 5 43" xfId="4581"/>
    <cellStyle name="Header2 2 5 43 10" xfId="22690"/>
    <cellStyle name="Header2 2 5 43 2" xfId="22691"/>
    <cellStyle name="Header2 2 5 43 3" xfId="22692"/>
    <cellStyle name="Header2 2 5 43 4" xfId="22693"/>
    <cellStyle name="Header2 2 5 43 5" xfId="22694"/>
    <cellStyle name="Header2 2 5 43 6" xfId="22695"/>
    <cellStyle name="Header2 2 5 43 7" xfId="22696"/>
    <cellStyle name="Header2 2 5 43 8" xfId="22697"/>
    <cellStyle name="Header2 2 5 43 9" xfId="22698"/>
    <cellStyle name="Header2 2 5 44" xfId="4582"/>
    <cellStyle name="Header2 2 5 44 10" xfId="22699"/>
    <cellStyle name="Header2 2 5 44 2" xfId="22700"/>
    <cellStyle name="Header2 2 5 44 3" xfId="22701"/>
    <cellStyle name="Header2 2 5 44 4" xfId="22702"/>
    <cellStyle name="Header2 2 5 44 5" xfId="22703"/>
    <cellStyle name="Header2 2 5 44 6" xfId="22704"/>
    <cellStyle name="Header2 2 5 44 7" xfId="22705"/>
    <cellStyle name="Header2 2 5 44 8" xfId="22706"/>
    <cellStyle name="Header2 2 5 44 9" xfId="22707"/>
    <cellStyle name="Header2 2 5 45" xfId="4583"/>
    <cellStyle name="Header2 2 5 45 10" xfId="22708"/>
    <cellStyle name="Header2 2 5 45 2" xfId="22709"/>
    <cellStyle name="Header2 2 5 45 3" xfId="22710"/>
    <cellStyle name="Header2 2 5 45 4" xfId="22711"/>
    <cellStyle name="Header2 2 5 45 5" xfId="22712"/>
    <cellStyle name="Header2 2 5 45 6" xfId="22713"/>
    <cellStyle name="Header2 2 5 45 7" xfId="22714"/>
    <cellStyle name="Header2 2 5 45 8" xfId="22715"/>
    <cellStyle name="Header2 2 5 45 9" xfId="22716"/>
    <cellStyle name="Header2 2 5 46" xfId="4584"/>
    <cellStyle name="Header2 2 5 46 10" xfId="22717"/>
    <cellStyle name="Header2 2 5 46 2" xfId="22718"/>
    <cellStyle name="Header2 2 5 46 3" xfId="22719"/>
    <cellStyle name="Header2 2 5 46 4" xfId="22720"/>
    <cellStyle name="Header2 2 5 46 5" xfId="22721"/>
    <cellStyle name="Header2 2 5 46 6" xfId="22722"/>
    <cellStyle name="Header2 2 5 46 7" xfId="22723"/>
    <cellStyle name="Header2 2 5 46 8" xfId="22724"/>
    <cellStyle name="Header2 2 5 46 9" xfId="22725"/>
    <cellStyle name="Header2 2 5 47" xfId="4585"/>
    <cellStyle name="Header2 2 5 47 10" xfId="22726"/>
    <cellStyle name="Header2 2 5 47 2" xfId="22727"/>
    <cellStyle name="Header2 2 5 47 3" xfId="22728"/>
    <cellStyle name="Header2 2 5 47 4" xfId="22729"/>
    <cellStyle name="Header2 2 5 47 5" xfId="22730"/>
    <cellStyle name="Header2 2 5 47 6" xfId="22731"/>
    <cellStyle name="Header2 2 5 47 7" xfId="22732"/>
    <cellStyle name="Header2 2 5 47 8" xfId="22733"/>
    <cellStyle name="Header2 2 5 47 9" xfId="22734"/>
    <cellStyle name="Header2 2 5 48" xfId="4586"/>
    <cellStyle name="Header2 2 5 48 10" xfId="22735"/>
    <cellStyle name="Header2 2 5 48 2" xfId="22736"/>
    <cellStyle name="Header2 2 5 48 3" xfId="22737"/>
    <cellStyle name="Header2 2 5 48 4" xfId="22738"/>
    <cellStyle name="Header2 2 5 48 5" xfId="22739"/>
    <cellStyle name="Header2 2 5 48 6" xfId="22740"/>
    <cellStyle name="Header2 2 5 48 7" xfId="22741"/>
    <cellStyle name="Header2 2 5 48 8" xfId="22742"/>
    <cellStyle name="Header2 2 5 48 9" xfId="22743"/>
    <cellStyle name="Header2 2 5 49" xfId="4587"/>
    <cellStyle name="Header2 2 5 49 10" xfId="22744"/>
    <cellStyle name="Header2 2 5 49 2" xfId="22745"/>
    <cellStyle name="Header2 2 5 49 3" xfId="22746"/>
    <cellStyle name="Header2 2 5 49 4" xfId="22747"/>
    <cellStyle name="Header2 2 5 49 5" xfId="22748"/>
    <cellStyle name="Header2 2 5 49 6" xfId="22749"/>
    <cellStyle name="Header2 2 5 49 7" xfId="22750"/>
    <cellStyle name="Header2 2 5 49 8" xfId="22751"/>
    <cellStyle name="Header2 2 5 49 9" xfId="22752"/>
    <cellStyle name="Header2 2 5 5" xfId="4588"/>
    <cellStyle name="Header2 2 5 5 2" xfId="22753"/>
    <cellStyle name="Header2 2 5 5 3" xfId="22754"/>
    <cellStyle name="Header2 2 5 5 4" xfId="22755"/>
    <cellStyle name="Header2 2 5 5 5" xfId="22756"/>
    <cellStyle name="Header2 2 5 5 6" xfId="22757"/>
    <cellStyle name="Header2 2 5 5 7" xfId="22758"/>
    <cellStyle name="Header2 2 5 5 8" xfId="22759"/>
    <cellStyle name="Header2 2 5 5 9" xfId="22760"/>
    <cellStyle name="Header2 2 5 50" xfId="4589"/>
    <cellStyle name="Header2 2 5 50 10" xfId="22761"/>
    <cellStyle name="Header2 2 5 50 2" xfId="22762"/>
    <cellStyle name="Header2 2 5 50 3" xfId="22763"/>
    <cellStyle name="Header2 2 5 50 4" xfId="22764"/>
    <cellStyle name="Header2 2 5 50 5" xfId="22765"/>
    <cellStyle name="Header2 2 5 50 6" xfId="22766"/>
    <cellStyle name="Header2 2 5 50 7" xfId="22767"/>
    <cellStyle name="Header2 2 5 50 8" xfId="22768"/>
    <cellStyle name="Header2 2 5 50 9" xfId="22769"/>
    <cellStyle name="Header2 2 5 51" xfId="4590"/>
    <cellStyle name="Header2 2 5 51 10" xfId="22770"/>
    <cellStyle name="Header2 2 5 51 2" xfId="22771"/>
    <cellStyle name="Header2 2 5 51 3" xfId="22772"/>
    <cellStyle name="Header2 2 5 51 4" xfId="22773"/>
    <cellStyle name="Header2 2 5 51 5" xfId="22774"/>
    <cellStyle name="Header2 2 5 51 6" xfId="22775"/>
    <cellStyle name="Header2 2 5 51 7" xfId="22776"/>
    <cellStyle name="Header2 2 5 51 8" xfId="22777"/>
    <cellStyle name="Header2 2 5 51 9" xfId="22778"/>
    <cellStyle name="Header2 2 5 52" xfId="4591"/>
    <cellStyle name="Header2 2 5 52 10" xfId="22779"/>
    <cellStyle name="Header2 2 5 52 2" xfId="22780"/>
    <cellStyle name="Header2 2 5 52 3" xfId="22781"/>
    <cellStyle name="Header2 2 5 52 4" xfId="22782"/>
    <cellStyle name="Header2 2 5 52 5" xfId="22783"/>
    <cellStyle name="Header2 2 5 52 6" xfId="22784"/>
    <cellStyle name="Header2 2 5 52 7" xfId="22785"/>
    <cellStyle name="Header2 2 5 52 8" xfId="22786"/>
    <cellStyle name="Header2 2 5 52 9" xfId="22787"/>
    <cellStyle name="Header2 2 5 53" xfId="4592"/>
    <cellStyle name="Header2 2 5 53 10" xfId="22788"/>
    <cellStyle name="Header2 2 5 53 2" xfId="22789"/>
    <cellStyle name="Header2 2 5 53 3" xfId="22790"/>
    <cellStyle name="Header2 2 5 53 4" xfId="22791"/>
    <cellStyle name="Header2 2 5 53 5" xfId="22792"/>
    <cellStyle name="Header2 2 5 53 6" xfId="22793"/>
    <cellStyle name="Header2 2 5 53 7" xfId="22794"/>
    <cellStyle name="Header2 2 5 53 8" xfId="22795"/>
    <cellStyle name="Header2 2 5 53 9" xfId="22796"/>
    <cellStyle name="Header2 2 5 54" xfId="4593"/>
    <cellStyle name="Header2 2 5 54 10" xfId="22797"/>
    <cellStyle name="Header2 2 5 54 2" xfId="22798"/>
    <cellStyle name="Header2 2 5 54 3" xfId="22799"/>
    <cellStyle name="Header2 2 5 54 4" xfId="22800"/>
    <cellStyle name="Header2 2 5 54 5" xfId="22801"/>
    <cellStyle name="Header2 2 5 54 6" xfId="22802"/>
    <cellStyle name="Header2 2 5 54 7" xfId="22803"/>
    <cellStyle name="Header2 2 5 54 8" xfId="22804"/>
    <cellStyle name="Header2 2 5 54 9" xfId="22805"/>
    <cellStyle name="Header2 2 5 55" xfId="4594"/>
    <cellStyle name="Header2 2 5 55 10" xfId="22806"/>
    <cellStyle name="Header2 2 5 55 2" xfId="22807"/>
    <cellStyle name="Header2 2 5 55 3" xfId="22808"/>
    <cellStyle name="Header2 2 5 55 4" xfId="22809"/>
    <cellStyle name="Header2 2 5 55 5" xfId="22810"/>
    <cellStyle name="Header2 2 5 55 6" xfId="22811"/>
    <cellStyle name="Header2 2 5 55 7" xfId="22812"/>
    <cellStyle name="Header2 2 5 55 8" xfId="22813"/>
    <cellStyle name="Header2 2 5 55 9" xfId="22814"/>
    <cellStyle name="Header2 2 5 56" xfId="4595"/>
    <cellStyle name="Header2 2 5 56 10" xfId="22815"/>
    <cellStyle name="Header2 2 5 56 2" xfId="22816"/>
    <cellStyle name="Header2 2 5 56 3" xfId="22817"/>
    <cellStyle name="Header2 2 5 56 4" xfId="22818"/>
    <cellStyle name="Header2 2 5 56 5" xfId="22819"/>
    <cellStyle name="Header2 2 5 56 6" xfId="22820"/>
    <cellStyle name="Header2 2 5 56 7" xfId="22821"/>
    <cellStyle name="Header2 2 5 56 8" xfId="22822"/>
    <cellStyle name="Header2 2 5 56 9" xfId="22823"/>
    <cellStyle name="Header2 2 5 57" xfId="4596"/>
    <cellStyle name="Header2 2 5 57 10" xfId="22824"/>
    <cellStyle name="Header2 2 5 57 2" xfId="22825"/>
    <cellStyle name="Header2 2 5 57 3" xfId="22826"/>
    <cellStyle name="Header2 2 5 57 4" xfId="22827"/>
    <cellStyle name="Header2 2 5 57 5" xfId="22828"/>
    <cellStyle name="Header2 2 5 57 6" xfId="22829"/>
    <cellStyle name="Header2 2 5 57 7" xfId="22830"/>
    <cellStyle name="Header2 2 5 57 8" xfId="22831"/>
    <cellStyle name="Header2 2 5 57 9" xfId="22832"/>
    <cellStyle name="Header2 2 5 58" xfId="4597"/>
    <cellStyle name="Header2 2 5 58 10" xfId="22833"/>
    <cellStyle name="Header2 2 5 58 2" xfId="22834"/>
    <cellStyle name="Header2 2 5 58 3" xfId="22835"/>
    <cellStyle name="Header2 2 5 58 4" xfId="22836"/>
    <cellStyle name="Header2 2 5 58 5" xfId="22837"/>
    <cellStyle name="Header2 2 5 58 6" xfId="22838"/>
    <cellStyle name="Header2 2 5 58 7" xfId="22839"/>
    <cellStyle name="Header2 2 5 58 8" xfId="22840"/>
    <cellStyle name="Header2 2 5 58 9" xfId="22841"/>
    <cellStyle name="Header2 2 5 59" xfId="4598"/>
    <cellStyle name="Header2 2 5 59 10" xfId="22842"/>
    <cellStyle name="Header2 2 5 59 2" xfId="22843"/>
    <cellStyle name="Header2 2 5 59 3" xfId="22844"/>
    <cellStyle name="Header2 2 5 59 4" xfId="22845"/>
    <cellStyle name="Header2 2 5 59 5" xfId="22846"/>
    <cellStyle name="Header2 2 5 59 6" xfId="22847"/>
    <cellStyle name="Header2 2 5 59 7" xfId="22848"/>
    <cellStyle name="Header2 2 5 59 8" xfId="22849"/>
    <cellStyle name="Header2 2 5 59 9" xfId="22850"/>
    <cellStyle name="Header2 2 5 6" xfId="4599"/>
    <cellStyle name="Header2 2 5 6 2" xfId="22851"/>
    <cellStyle name="Header2 2 5 6 3" xfId="22852"/>
    <cellStyle name="Header2 2 5 6 4" xfId="22853"/>
    <cellStyle name="Header2 2 5 6 5" xfId="22854"/>
    <cellStyle name="Header2 2 5 6 6" xfId="22855"/>
    <cellStyle name="Header2 2 5 6 7" xfId="22856"/>
    <cellStyle name="Header2 2 5 6 8" xfId="22857"/>
    <cellStyle name="Header2 2 5 6 9" xfId="22858"/>
    <cellStyle name="Header2 2 5 60" xfId="4600"/>
    <cellStyle name="Header2 2 5 60 10" xfId="22859"/>
    <cellStyle name="Header2 2 5 60 2" xfId="22860"/>
    <cellStyle name="Header2 2 5 60 3" xfId="22861"/>
    <cellStyle name="Header2 2 5 60 4" xfId="22862"/>
    <cellStyle name="Header2 2 5 60 5" xfId="22863"/>
    <cellStyle name="Header2 2 5 60 6" xfId="22864"/>
    <cellStyle name="Header2 2 5 60 7" xfId="22865"/>
    <cellStyle name="Header2 2 5 60 8" xfId="22866"/>
    <cellStyle name="Header2 2 5 60 9" xfId="22867"/>
    <cellStyle name="Header2 2 5 61" xfId="4601"/>
    <cellStyle name="Header2 2 5 61 10" xfId="22868"/>
    <cellStyle name="Header2 2 5 61 2" xfId="22869"/>
    <cellStyle name="Header2 2 5 61 3" xfId="22870"/>
    <cellStyle name="Header2 2 5 61 4" xfId="22871"/>
    <cellStyle name="Header2 2 5 61 5" xfId="22872"/>
    <cellStyle name="Header2 2 5 61 6" xfId="22873"/>
    <cellStyle name="Header2 2 5 61 7" xfId="22874"/>
    <cellStyle name="Header2 2 5 61 8" xfId="22875"/>
    <cellStyle name="Header2 2 5 61 9" xfId="22876"/>
    <cellStyle name="Header2 2 5 62" xfId="4602"/>
    <cellStyle name="Header2 2 5 62 10" xfId="22877"/>
    <cellStyle name="Header2 2 5 62 2" xfId="22878"/>
    <cellStyle name="Header2 2 5 62 3" xfId="22879"/>
    <cellStyle name="Header2 2 5 62 4" xfId="22880"/>
    <cellStyle name="Header2 2 5 62 5" xfId="22881"/>
    <cellStyle name="Header2 2 5 62 6" xfId="22882"/>
    <cellStyle name="Header2 2 5 62 7" xfId="22883"/>
    <cellStyle name="Header2 2 5 62 8" xfId="22884"/>
    <cellStyle name="Header2 2 5 62 9" xfId="22885"/>
    <cellStyle name="Header2 2 5 63" xfId="4603"/>
    <cellStyle name="Header2 2 5 63 10" xfId="22886"/>
    <cellStyle name="Header2 2 5 63 2" xfId="22887"/>
    <cellStyle name="Header2 2 5 63 3" xfId="22888"/>
    <cellStyle name="Header2 2 5 63 4" xfId="22889"/>
    <cellStyle name="Header2 2 5 63 5" xfId="22890"/>
    <cellStyle name="Header2 2 5 63 6" xfId="22891"/>
    <cellStyle name="Header2 2 5 63 7" xfId="22892"/>
    <cellStyle name="Header2 2 5 63 8" xfId="22893"/>
    <cellStyle name="Header2 2 5 63 9" xfId="22894"/>
    <cellStyle name="Header2 2 5 64" xfId="4604"/>
    <cellStyle name="Header2 2 5 64 10" xfId="22895"/>
    <cellStyle name="Header2 2 5 64 2" xfId="22896"/>
    <cellStyle name="Header2 2 5 64 3" xfId="22897"/>
    <cellStyle name="Header2 2 5 64 4" xfId="22898"/>
    <cellStyle name="Header2 2 5 64 5" xfId="22899"/>
    <cellStyle name="Header2 2 5 64 6" xfId="22900"/>
    <cellStyle name="Header2 2 5 64 7" xfId="22901"/>
    <cellStyle name="Header2 2 5 64 8" xfId="22902"/>
    <cellStyle name="Header2 2 5 64 9" xfId="22903"/>
    <cellStyle name="Header2 2 5 65" xfId="4605"/>
    <cellStyle name="Header2 2 5 65 10" xfId="22904"/>
    <cellStyle name="Header2 2 5 65 2" xfId="22905"/>
    <cellStyle name="Header2 2 5 65 3" xfId="22906"/>
    <cellStyle name="Header2 2 5 65 4" xfId="22907"/>
    <cellStyle name="Header2 2 5 65 5" xfId="22908"/>
    <cellStyle name="Header2 2 5 65 6" xfId="22909"/>
    <cellStyle name="Header2 2 5 65 7" xfId="22910"/>
    <cellStyle name="Header2 2 5 65 8" xfId="22911"/>
    <cellStyle name="Header2 2 5 65 9" xfId="22912"/>
    <cellStyle name="Header2 2 5 66" xfId="4606"/>
    <cellStyle name="Header2 2 5 66 10" xfId="22913"/>
    <cellStyle name="Header2 2 5 66 2" xfId="22914"/>
    <cellStyle name="Header2 2 5 66 3" xfId="22915"/>
    <cellStyle name="Header2 2 5 66 4" xfId="22916"/>
    <cellStyle name="Header2 2 5 66 5" xfId="22917"/>
    <cellStyle name="Header2 2 5 66 6" xfId="22918"/>
    <cellStyle name="Header2 2 5 66 7" xfId="22919"/>
    <cellStyle name="Header2 2 5 66 8" xfId="22920"/>
    <cellStyle name="Header2 2 5 66 9" xfId="22921"/>
    <cellStyle name="Header2 2 5 67" xfId="4607"/>
    <cellStyle name="Header2 2 5 67 10" xfId="22922"/>
    <cellStyle name="Header2 2 5 67 2" xfId="22923"/>
    <cellStyle name="Header2 2 5 67 3" xfId="22924"/>
    <cellStyle name="Header2 2 5 67 4" xfId="22925"/>
    <cellStyle name="Header2 2 5 67 5" xfId="22926"/>
    <cellStyle name="Header2 2 5 67 6" xfId="22927"/>
    <cellStyle name="Header2 2 5 67 7" xfId="22928"/>
    <cellStyle name="Header2 2 5 67 8" xfId="22929"/>
    <cellStyle name="Header2 2 5 67 9" xfId="22930"/>
    <cellStyle name="Header2 2 5 68" xfId="4608"/>
    <cellStyle name="Header2 2 5 68 10" xfId="22931"/>
    <cellStyle name="Header2 2 5 68 2" xfId="22932"/>
    <cellStyle name="Header2 2 5 68 3" xfId="22933"/>
    <cellStyle name="Header2 2 5 68 4" xfId="22934"/>
    <cellStyle name="Header2 2 5 68 5" xfId="22935"/>
    <cellStyle name="Header2 2 5 68 6" xfId="22936"/>
    <cellStyle name="Header2 2 5 68 7" xfId="22937"/>
    <cellStyle name="Header2 2 5 68 8" xfId="22938"/>
    <cellStyle name="Header2 2 5 68 9" xfId="22939"/>
    <cellStyle name="Header2 2 5 69" xfId="4609"/>
    <cellStyle name="Header2 2 5 69 10" xfId="22940"/>
    <cellStyle name="Header2 2 5 69 2" xfId="22941"/>
    <cellStyle name="Header2 2 5 69 3" xfId="22942"/>
    <cellStyle name="Header2 2 5 69 4" xfId="22943"/>
    <cellStyle name="Header2 2 5 69 5" xfId="22944"/>
    <cellStyle name="Header2 2 5 69 6" xfId="22945"/>
    <cellStyle name="Header2 2 5 69 7" xfId="22946"/>
    <cellStyle name="Header2 2 5 69 8" xfId="22947"/>
    <cellStyle name="Header2 2 5 69 9" xfId="22948"/>
    <cellStyle name="Header2 2 5 7" xfId="4610"/>
    <cellStyle name="Header2 2 5 7 2" xfId="22949"/>
    <cellStyle name="Header2 2 5 7 3" xfId="22950"/>
    <cellStyle name="Header2 2 5 7 4" xfId="22951"/>
    <cellStyle name="Header2 2 5 7 5" xfId="22952"/>
    <cellStyle name="Header2 2 5 7 6" xfId="22953"/>
    <cellStyle name="Header2 2 5 7 7" xfId="22954"/>
    <cellStyle name="Header2 2 5 7 8" xfId="22955"/>
    <cellStyle name="Header2 2 5 7 9" xfId="22956"/>
    <cellStyle name="Header2 2 5 70" xfId="4611"/>
    <cellStyle name="Header2 2 5 70 10" xfId="22957"/>
    <cellStyle name="Header2 2 5 70 2" xfId="22958"/>
    <cellStyle name="Header2 2 5 70 3" xfId="22959"/>
    <cellStyle name="Header2 2 5 70 4" xfId="22960"/>
    <cellStyle name="Header2 2 5 70 5" xfId="22961"/>
    <cellStyle name="Header2 2 5 70 6" xfId="22962"/>
    <cellStyle name="Header2 2 5 70 7" xfId="22963"/>
    <cellStyle name="Header2 2 5 70 8" xfId="22964"/>
    <cellStyle name="Header2 2 5 70 9" xfId="22965"/>
    <cellStyle name="Header2 2 5 71" xfId="4612"/>
    <cellStyle name="Header2 2 5 71 10" xfId="22966"/>
    <cellStyle name="Header2 2 5 71 2" xfId="22967"/>
    <cellStyle name="Header2 2 5 71 3" xfId="22968"/>
    <cellStyle name="Header2 2 5 71 4" xfId="22969"/>
    <cellStyle name="Header2 2 5 71 5" xfId="22970"/>
    <cellStyle name="Header2 2 5 71 6" xfId="22971"/>
    <cellStyle name="Header2 2 5 71 7" xfId="22972"/>
    <cellStyle name="Header2 2 5 71 8" xfId="22973"/>
    <cellStyle name="Header2 2 5 71 9" xfId="22974"/>
    <cellStyle name="Header2 2 5 72" xfId="4613"/>
    <cellStyle name="Header2 2 5 72 10" xfId="22975"/>
    <cellStyle name="Header2 2 5 72 2" xfId="22976"/>
    <cellStyle name="Header2 2 5 72 3" xfId="22977"/>
    <cellStyle name="Header2 2 5 72 4" xfId="22978"/>
    <cellStyle name="Header2 2 5 72 5" xfId="22979"/>
    <cellStyle name="Header2 2 5 72 6" xfId="22980"/>
    <cellStyle name="Header2 2 5 72 7" xfId="22981"/>
    <cellStyle name="Header2 2 5 72 8" xfId="22982"/>
    <cellStyle name="Header2 2 5 72 9" xfId="22983"/>
    <cellStyle name="Header2 2 5 73" xfId="4614"/>
    <cellStyle name="Header2 2 5 73 10" xfId="22984"/>
    <cellStyle name="Header2 2 5 73 2" xfId="22985"/>
    <cellStyle name="Header2 2 5 73 3" xfId="22986"/>
    <cellStyle name="Header2 2 5 73 4" xfId="22987"/>
    <cellStyle name="Header2 2 5 73 5" xfId="22988"/>
    <cellStyle name="Header2 2 5 73 6" xfId="22989"/>
    <cellStyle name="Header2 2 5 73 7" xfId="22990"/>
    <cellStyle name="Header2 2 5 73 8" xfId="22991"/>
    <cellStyle name="Header2 2 5 73 9" xfId="22992"/>
    <cellStyle name="Header2 2 5 74" xfId="4615"/>
    <cellStyle name="Header2 2 5 74 10" xfId="22993"/>
    <cellStyle name="Header2 2 5 74 2" xfId="22994"/>
    <cellStyle name="Header2 2 5 74 3" xfId="22995"/>
    <cellStyle name="Header2 2 5 74 4" xfId="22996"/>
    <cellStyle name="Header2 2 5 74 5" xfId="22997"/>
    <cellStyle name="Header2 2 5 74 6" xfId="22998"/>
    <cellStyle name="Header2 2 5 74 7" xfId="22999"/>
    <cellStyle name="Header2 2 5 74 8" xfId="23000"/>
    <cellStyle name="Header2 2 5 74 9" xfId="23001"/>
    <cellStyle name="Header2 2 5 75" xfId="4616"/>
    <cellStyle name="Header2 2 5 75 10" xfId="23002"/>
    <cellStyle name="Header2 2 5 75 2" xfId="23003"/>
    <cellStyle name="Header2 2 5 75 3" xfId="23004"/>
    <cellStyle name="Header2 2 5 75 4" xfId="23005"/>
    <cellStyle name="Header2 2 5 75 5" xfId="23006"/>
    <cellStyle name="Header2 2 5 75 6" xfId="23007"/>
    <cellStyle name="Header2 2 5 75 7" xfId="23008"/>
    <cellStyle name="Header2 2 5 75 8" xfId="23009"/>
    <cellStyle name="Header2 2 5 75 9" xfId="23010"/>
    <cellStyle name="Header2 2 5 76" xfId="4617"/>
    <cellStyle name="Header2 2 5 76 10" xfId="23011"/>
    <cellStyle name="Header2 2 5 76 2" xfId="23012"/>
    <cellStyle name="Header2 2 5 76 3" xfId="23013"/>
    <cellStyle name="Header2 2 5 76 4" xfId="23014"/>
    <cellStyle name="Header2 2 5 76 5" xfId="23015"/>
    <cellStyle name="Header2 2 5 76 6" xfId="23016"/>
    <cellStyle name="Header2 2 5 76 7" xfId="23017"/>
    <cellStyle name="Header2 2 5 76 8" xfId="23018"/>
    <cellStyle name="Header2 2 5 76 9" xfId="23019"/>
    <cellStyle name="Header2 2 5 77" xfId="4618"/>
    <cellStyle name="Header2 2 5 77 10" xfId="23020"/>
    <cellStyle name="Header2 2 5 77 2" xfId="23021"/>
    <cellStyle name="Header2 2 5 77 3" xfId="23022"/>
    <cellStyle name="Header2 2 5 77 4" xfId="23023"/>
    <cellStyle name="Header2 2 5 77 5" xfId="23024"/>
    <cellStyle name="Header2 2 5 77 6" xfId="23025"/>
    <cellStyle name="Header2 2 5 77 7" xfId="23026"/>
    <cellStyle name="Header2 2 5 77 8" xfId="23027"/>
    <cellStyle name="Header2 2 5 77 9" xfId="23028"/>
    <cellStyle name="Header2 2 5 78" xfId="4619"/>
    <cellStyle name="Header2 2 5 78 10" xfId="23029"/>
    <cellStyle name="Header2 2 5 78 2" xfId="23030"/>
    <cellStyle name="Header2 2 5 78 3" xfId="23031"/>
    <cellStyle name="Header2 2 5 78 4" xfId="23032"/>
    <cellStyle name="Header2 2 5 78 5" xfId="23033"/>
    <cellStyle name="Header2 2 5 78 6" xfId="23034"/>
    <cellStyle name="Header2 2 5 78 7" xfId="23035"/>
    <cellStyle name="Header2 2 5 78 8" xfId="23036"/>
    <cellStyle name="Header2 2 5 78 9" xfId="23037"/>
    <cellStyle name="Header2 2 5 79" xfId="4620"/>
    <cellStyle name="Header2 2 5 79 10" xfId="23038"/>
    <cellStyle name="Header2 2 5 79 2" xfId="23039"/>
    <cellStyle name="Header2 2 5 79 3" xfId="23040"/>
    <cellStyle name="Header2 2 5 79 4" xfId="23041"/>
    <cellStyle name="Header2 2 5 79 5" xfId="23042"/>
    <cellStyle name="Header2 2 5 79 6" xfId="23043"/>
    <cellStyle name="Header2 2 5 79 7" xfId="23044"/>
    <cellStyle name="Header2 2 5 79 8" xfId="23045"/>
    <cellStyle name="Header2 2 5 79 9" xfId="23046"/>
    <cellStyle name="Header2 2 5 8" xfId="4621"/>
    <cellStyle name="Header2 2 5 8 2" xfId="23047"/>
    <cellStyle name="Header2 2 5 8 3" xfId="23048"/>
    <cellStyle name="Header2 2 5 8 4" xfId="23049"/>
    <cellStyle name="Header2 2 5 8 5" xfId="23050"/>
    <cellStyle name="Header2 2 5 8 6" xfId="23051"/>
    <cellStyle name="Header2 2 5 8 7" xfId="23052"/>
    <cellStyle name="Header2 2 5 8 8" xfId="23053"/>
    <cellStyle name="Header2 2 5 8 9" xfId="23054"/>
    <cellStyle name="Header2 2 5 80" xfId="4622"/>
    <cellStyle name="Header2 2 5 80 10" xfId="23055"/>
    <cellStyle name="Header2 2 5 80 2" xfId="23056"/>
    <cellStyle name="Header2 2 5 80 3" xfId="23057"/>
    <cellStyle name="Header2 2 5 80 4" xfId="23058"/>
    <cellStyle name="Header2 2 5 80 5" xfId="23059"/>
    <cellStyle name="Header2 2 5 80 6" xfId="23060"/>
    <cellStyle name="Header2 2 5 80 7" xfId="23061"/>
    <cellStyle name="Header2 2 5 80 8" xfId="23062"/>
    <cellStyle name="Header2 2 5 80 9" xfId="23063"/>
    <cellStyle name="Header2 2 5 81" xfId="4623"/>
    <cellStyle name="Header2 2 5 81 10" xfId="23064"/>
    <cellStyle name="Header2 2 5 81 2" xfId="23065"/>
    <cellStyle name="Header2 2 5 81 3" xfId="23066"/>
    <cellStyle name="Header2 2 5 81 4" xfId="23067"/>
    <cellStyle name="Header2 2 5 81 5" xfId="23068"/>
    <cellStyle name="Header2 2 5 81 6" xfId="23069"/>
    <cellStyle name="Header2 2 5 81 7" xfId="23070"/>
    <cellStyle name="Header2 2 5 81 8" xfId="23071"/>
    <cellStyle name="Header2 2 5 81 9" xfId="23072"/>
    <cellStyle name="Header2 2 5 82" xfId="4624"/>
    <cellStyle name="Header2 2 5 82 10" xfId="23073"/>
    <cellStyle name="Header2 2 5 82 2" xfId="23074"/>
    <cellStyle name="Header2 2 5 82 3" xfId="23075"/>
    <cellStyle name="Header2 2 5 82 4" xfId="23076"/>
    <cellStyle name="Header2 2 5 82 5" xfId="23077"/>
    <cellStyle name="Header2 2 5 82 6" xfId="23078"/>
    <cellStyle name="Header2 2 5 82 7" xfId="23079"/>
    <cellStyle name="Header2 2 5 82 8" xfId="23080"/>
    <cellStyle name="Header2 2 5 82 9" xfId="23081"/>
    <cellStyle name="Header2 2 5 83" xfId="4625"/>
    <cellStyle name="Header2 2 5 83 10" xfId="23082"/>
    <cellStyle name="Header2 2 5 83 2" xfId="23083"/>
    <cellStyle name="Header2 2 5 83 3" xfId="23084"/>
    <cellStyle name="Header2 2 5 83 4" xfId="23085"/>
    <cellStyle name="Header2 2 5 83 5" xfId="23086"/>
    <cellStyle name="Header2 2 5 83 6" xfId="23087"/>
    <cellStyle name="Header2 2 5 83 7" xfId="23088"/>
    <cellStyle name="Header2 2 5 83 8" xfId="23089"/>
    <cellStyle name="Header2 2 5 83 9" xfId="23090"/>
    <cellStyle name="Header2 2 5 84" xfId="4626"/>
    <cellStyle name="Header2 2 5 84 10" xfId="23091"/>
    <cellStyle name="Header2 2 5 84 2" xfId="23092"/>
    <cellStyle name="Header2 2 5 84 3" xfId="23093"/>
    <cellStyle name="Header2 2 5 84 4" xfId="23094"/>
    <cellStyle name="Header2 2 5 84 5" xfId="23095"/>
    <cellStyle name="Header2 2 5 84 6" xfId="23096"/>
    <cellStyle name="Header2 2 5 84 7" xfId="23097"/>
    <cellStyle name="Header2 2 5 84 8" xfId="23098"/>
    <cellStyle name="Header2 2 5 84 9" xfId="23099"/>
    <cellStyle name="Header2 2 5 85" xfId="4627"/>
    <cellStyle name="Header2 2 5 85 10" xfId="23100"/>
    <cellStyle name="Header2 2 5 85 2" xfId="23101"/>
    <cellStyle name="Header2 2 5 85 3" xfId="23102"/>
    <cellStyle name="Header2 2 5 85 4" xfId="23103"/>
    <cellStyle name="Header2 2 5 85 5" xfId="23104"/>
    <cellStyle name="Header2 2 5 85 6" xfId="23105"/>
    <cellStyle name="Header2 2 5 85 7" xfId="23106"/>
    <cellStyle name="Header2 2 5 85 8" xfId="23107"/>
    <cellStyle name="Header2 2 5 85 9" xfId="23108"/>
    <cellStyle name="Header2 2 5 86" xfId="4628"/>
    <cellStyle name="Header2 2 5 86 10" xfId="23109"/>
    <cellStyle name="Header2 2 5 86 2" xfId="23110"/>
    <cellStyle name="Header2 2 5 86 3" xfId="23111"/>
    <cellStyle name="Header2 2 5 86 4" xfId="23112"/>
    <cellStyle name="Header2 2 5 86 5" xfId="23113"/>
    <cellStyle name="Header2 2 5 86 6" xfId="23114"/>
    <cellStyle name="Header2 2 5 86 7" xfId="23115"/>
    <cellStyle name="Header2 2 5 86 8" xfId="23116"/>
    <cellStyle name="Header2 2 5 86 9" xfId="23117"/>
    <cellStyle name="Header2 2 5 87" xfId="4629"/>
    <cellStyle name="Header2 2 5 87 10" xfId="23118"/>
    <cellStyle name="Header2 2 5 87 2" xfId="23119"/>
    <cellStyle name="Header2 2 5 87 3" xfId="23120"/>
    <cellStyle name="Header2 2 5 87 4" xfId="23121"/>
    <cellStyle name="Header2 2 5 87 5" xfId="23122"/>
    <cellStyle name="Header2 2 5 87 6" xfId="23123"/>
    <cellStyle name="Header2 2 5 87 7" xfId="23124"/>
    <cellStyle name="Header2 2 5 87 8" xfId="23125"/>
    <cellStyle name="Header2 2 5 87 9" xfId="23126"/>
    <cellStyle name="Header2 2 5 88" xfId="4630"/>
    <cellStyle name="Header2 2 5 88 10" xfId="23127"/>
    <cellStyle name="Header2 2 5 88 2" xfId="23128"/>
    <cellStyle name="Header2 2 5 88 3" xfId="23129"/>
    <cellStyle name="Header2 2 5 88 4" xfId="23130"/>
    <cellStyle name="Header2 2 5 88 5" xfId="23131"/>
    <cellStyle name="Header2 2 5 88 6" xfId="23132"/>
    <cellStyle name="Header2 2 5 88 7" xfId="23133"/>
    <cellStyle name="Header2 2 5 88 8" xfId="23134"/>
    <cellStyle name="Header2 2 5 88 9" xfId="23135"/>
    <cellStyle name="Header2 2 5 89" xfId="4631"/>
    <cellStyle name="Header2 2 5 89 10" xfId="23136"/>
    <cellStyle name="Header2 2 5 89 2" xfId="23137"/>
    <cellStyle name="Header2 2 5 89 3" xfId="23138"/>
    <cellStyle name="Header2 2 5 89 4" xfId="23139"/>
    <cellStyle name="Header2 2 5 89 5" xfId="23140"/>
    <cellStyle name="Header2 2 5 89 6" xfId="23141"/>
    <cellStyle name="Header2 2 5 89 7" xfId="23142"/>
    <cellStyle name="Header2 2 5 89 8" xfId="23143"/>
    <cellStyle name="Header2 2 5 89 9" xfId="23144"/>
    <cellStyle name="Header2 2 5 9" xfId="4632"/>
    <cellStyle name="Header2 2 5 9 2" xfId="23145"/>
    <cellStyle name="Header2 2 5 9 3" xfId="23146"/>
    <cellStyle name="Header2 2 5 9 4" xfId="23147"/>
    <cellStyle name="Header2 2 5 9 5" xfId="23148"/>
    <cellStyle name="Header2 2 5 9 6" xfId="23149"/>
    <cellStyle name="Header2 2 5 9 7" xfId="23150"/>
    <cellStyle name="Header2 2 5 9 8" xfId="23151"/>
    <cellStyle name="Header2 2 5 9 9" xfId="23152"/>
    <cellStyle name="Header2 2 5 90" xfId="4633"/>
    <cellStyle name="Header2 2 5 90 10" xfId="23153"/>
    <cellStyle name="Header2 2 5 90 2" xfId="23154"/>
    <cellStyle name="Header2 2 5 90 3" xfId="23155"/>
    <cellStyle name="Header2 2 5 90 4" xfId="23156"/>
    <cellStyle name="Header2 2 5 90 5" xfId="23157"/>
    <cellStyle name="Header2 2 5 90 6" xfId="23158"/>
    <cellStyle name="Header2 2 5 90 7" xfId="23159"/>
    <cellStyle name="Header2 2 5 90 8" xfId="23160"/>
    <cellStyle name="Header2 2 5 90 9" xfId="23161"/>
    <cellStyle name="Header2 2 5 91" xfId="4634"/>
    <cellStyle name="Header2 2 5 91 10" xfId="23162"/>
    <cellStyle name="Header2 2 5 91 2" xfId="23163"/>
    <cellStyle name="Header2 2 5 91 3" xfId="23164"/>
    <cellStyle name="Header2 2 5 91 4" xfId="23165"/>
    <cellStyle name="Header2 2 5 91 5" xfId="23166"/>
    <cellStyle name="Header2 2 5 91 6" xfId="23167"/>
    <cellStyle name="Header2 2 5 91 7" xfId="23168"/>
    <cellStyle name="Header2 2 5 91 8" xfId="23169"/>
    <cellStyle name="Header2 2 5 91 9" xfId="23170"/>
    <cellStyle name="Header2 2 5 92" xfId="4635"/>
    <cellStyle name="Header2 2 5 92 10" xfId="23171"/>
    <cellStyle name="Header2 2 5 92 2" xfId="23172"/>
    <cellStyle name="Header2 2 5 92 3" xfId="23173"/>
    <cellStyle name="Header2 2 5 92 4" xfId="23174"/>
    <cellStyle name="Header2 2 5 92 5" xfId="23175"/>
    <cellStyle name="Header2 2 5 92 6" xfId="23176"/>
    <cellStyle name="Header2 2 5 92 7" xfId="23177"/>
    <cellStyle name="Header2 2 5 92 8" xfId="23178"/>
    <cellStyle name="Header2 2 5 92 9" xfId="23179"/>
    <cellStyle name="Header2 2 5 93" xfId="4636"/>
    <cellStyle name="Header2 2 5 93 2" xfId="23180"/>
    <cellStyle name="Header2 2 5 93 3" xfId="23181"/>
    <cellStyle name="Header2 2 5 93 4" xfId="23182"/>
    <cellStyle name="Header2 2 5 93 5" xfId="23183"/>
    <cellStyle name="Header2 2 5 93 6" xfId="23184"/>
    <cellStyle name="Header2 2 5 93 7" xfId="23185"/>
    <cellStyle name="Header2 2 5 93 8" xfId="23186"/>
    <cellStyle name="Header2 2 5 93 9" xfId="23187"/>
    <cellStyle name="Header2 2 5 94" xfId="11827"/>
    <cellStyle name="Header2 2 5 95" xfId="23188"/>
    <cellStyle name="Header2 2 5 96" xfId="23189"/>
    <cellStyle name="Header2 2 5 97" xfId="23190"/>
    <cellStyle name="Header2 2 5 98" xfId="23191"/>
    <cellStyle name="Header2 2 5 99" xfId="23192"/>
    <cellStyle name="Header2 2 5_Cashflow trend" xfId="1139"/>
    <cellStyle name="Header2 2 50" xfId="4637"/>
    <cellStyle name="Header2 2 50 10" xfId="23193"/>
    <cellStyle name="Header2 2 50 2" xfId="23194"/>
    <cellStyle name="Header2 2 50 3" xfId="23195"/>
    <cellStyle name="Header2 2 50 4" xfId="23196"/>
    <cellStyle name="Header2 2 50 5" xfId="23197"/>
    <cellStyle name="Header2 2 50 6" xfId="23198"/>
    <cellStyle name="Header2 2 50 7" xfId="23199"/>
    <cellStyle name="Header2 2 50 8" xfId="23200"/>
    <cellStyle name="Header2 2 50 9" xfId="23201"/>
    <cellStyle name="Header2 2 51" xfId="4638"/>
    <cellStyle name="Header2 2 51 10" xfId="23202"/>
    <cellStyle name="Header2 2 51 2" xfId="23203"/>
    <cellStyle name="Header2 2 51 3" xfId="23204"/>
    <cellStyle name="Header2 2 51 4" xfId="23205"/>
    <cellStyle name="Header2 2 51 5" xfId="23206"/>
    <cellStyle name="Header2 2 51 6" xfId="23207"/>
    <cellStyle name="Header2 2 51 7" xfId="23208"/>
    <cellStyle name="Header2 2 51 8" xfId="23209"/>
    <cellStyle name="Header2 2 51 9" xfId="23210"/>
    <cellStyle name="Header2 2 52" xfId="4639"/>
    <cellStyle name="Header2 2 52 10" xfId="23211"/>
    <cellStyle name="Header2 2 52 2" xfId="23212"/>
    <cellStyle name="Header2 2 52 3" xfId="23213"/>
    <cellStyle name="Header2 2 52 4" xfId="23214"/>
    <cellStyle name="Header2 2 52 5" xfId="23215"/>
    <cellStyle name="Header2 2 52 6" xfId="23216"/>
    <cellStyle name="Header2 2 52 7" xfId="23217"/>
    <cellStyle name="Header2 2 52 8" xfId="23218"/>
    <cellStyle name="Header2 2 52 9" xfId="23219"/>
    <cellStyle name="Header2 2 53" xfId="4640"/>
    <cellStyle name="Header2 2 53 10" xfId="23220"/>
    <cellStyle name="Header2 2 53 2" xfId="23221"/>
    <cellStyle name="Header2 2 53 3" xfId="23222"/>
    <cellStyle name="Header2 2 53 4" xfId="23223"/>
    <cellStyle name="Header2 2 53 5" xfId="23224"/>
    <cellStyle name="Header2 2 53 6" xfId="23225"/>
    <cellStyle name="Header2 2 53 7" xfId="23226"/>
    <cellStyle name="Header2 2 53 8" xfId="23227"/>
    <cellStyle name="Header2 2 53 9" xfId="23228"/>
    <cellStyle name="Header2 2 54" xfId="4641"/>
    <cellStyle name="Header2 2 54 10" xfId="23229"/>
    <cellStyle name="Header2 2 54 2" xfId="23230"/>
    <cellStyle name="Header2 2 54 3" xfId="23231"/>
    <cellStyle name="Header2 2 54 4" xfId="23232"/>
    <cellStyle name="Header2 2 54 5" xfId="23233"/>
    <cellStyle name="Header2 2 54 6" xfId="23234"/>
    <cellStyle name="Header2 2 54 7" xfId="23235"/>
    <cellStyle name="Header2 2 54 8" xfId="23236"/>
    <cellStyle name="Header2 2 54 9" xfId="23237"/>
    <cellStyle name="Header2 2 55" xfId="4642"/>
    <cellStyle name="Header2 2 55 10" xfId="23238"/>
    <cellStyle name="Header2 2 55 2" xfId="23239"/>
    <cellStyle name="Header2 2 55 3" xfId="23240"/>
    <cellStyle name="Header2 2 55 4" xfId="23241"/>
    <cellStyle name="Header2 2 55 5" xfId="23242"/>
    <cellStyle name="Header2 2 55 6" xfId="23243"/>
    <cellStyle name="Header2 2 55 7" xfId="23244"/>
    <cellStyle name="Header2 2 55 8" xfId="23245"/>
    <cellStyle name="Header2 2 55 9" xfId="23246"/>
    <cellStyle name="Header2 2 56" xfId="4643"/>
    <cellStyle name="Header2 2 56 10" xfId="23247"/>
    <cellStyle name="Header2 2 56 2" xfId="23248"/>
    <cellStyle name="Header2 2 56 3" xfId="23249"/>
    <cellStyle name="Header2 2 56 4" xfId="23250"/>
    <cellStyle name="Header2 2 56 5" xfId="23251"/>
    <cellStyle name="Header2 2 56 6" xfId="23252"/>
    <cellStyle name="Header2 2 56 7" xfId="23253"/>
    <cellStyle name="Header2 2 56 8" xfId="23254"/>
    <cellStyle name="Header2 2 56 9" xfId="23255"/>
    <cellStyle name="Header2 2 57" xfId="4644"/>
    <cellStyle name="Header2 2 57 10" xfId="23256"/>
    <cellStyle name="Header2 2 57 2" xfId="23257"/>
    <cellStyle name="Header2 2 57 3" xfId="23258"/>
    <cellStyle name="Header2 2 57 4" xfId="23259"/>
    <cellStyle name="Header2 2 57 5" xfId="23260"/>
    <cellStyle name="Header2 2 57 6" xfId="23261"/>
    <cellStyle name="Header2 2 57 7" xfId="23262"/>
    <cellStyle name="Header2 2 57 8" xfId="23263"/>
    <cellStyle name="Header2 2 57 9" xfId="23264"/>
    <cellStyle name="Header2 2 58" xfId="4645"/>
    <cellStyle name="Header2 2 58 2" xfId="23265"/>
    <cellStyle name="Header2 2 58 3" xfId="23266"/>
    <cellStyle name="Header2 2 58 4" xfId="23267"/>
    <cellStyle name="Header2 2 58 5" xfId="23268"/>
    <cellStyle name="Header2 2 58 6" xfId="23269"/>
    <cellStyle name="Header2 2 58 7" xfId="23270"/>
    <cellStyle name="Header2 2 58 8" xfId="23271"/>
    <cellStyle name="Header2 2 58 9" xfId="23272"/>
    <cellStyle name="Header2 2 59" xfId="4646"/>
    <cellStyle name="Header2 2 59 10" xfId="23273"/>
    <cellStyle name="Header2 2 59 2" xfId="23274"/>
    <cellStyle name="Header2 2 59 3" xfId="23275"/>
    <cellStyle name="Header2 2 59 4" xfId="23276"/>
    <cellStyle name="Header2 2 59 5" xfId="23277"/>
    <cellStyle name="Header2 2 59 6" xfId="23278"/>
    <cellStyle name="Header2 2 59 7" xfId="23279"/>
    <cellStyle name="Header2 2 59 8" xfId="23280"/>
    <cellStyle name="Header2 2 59 9" xfId="23281"/>
    <cellStyle name="Header2 2 6" xfId="1140"/>
    <cellStyle name="Header2 2 6 10" xfId="23282"/>
    <cellStyle name="Header2 2 6 11" xfId="23283"/>
    <cellStyle name="Header2 2 6 2" xfId="11548"/>
    <cellStyle name="Header2 2 6 3" xfId="23284"/>
    <cellStyle name="Header2 2 6 4" xfId="23285"/>
    <cellStyle name="Header2 2 6 5" xfId="23286"/>
    <cellStyle name="Header2 2 6 6" xfId="23287"/>
    <cellStyle name="Header2 2 6 7" xfId="23288"/>
    <cellStyle name="Header2 2 6 8" xfId="23289"/>
    <cellStyle name="Header2 2 6 9" xfId="23290"/>
    <cellStyle name="Header2 2 6_YL Capex Cashflow &amp; Dep" xfId="12203"/>
    <cellStyle name="Header2 2 60" xfId="4647"/>
    <cellStyle name="Header2 2 60 10" xfId="23291"/>
    <cellStyle name="Header2 2 60 2" xfId="23292"/>
    <cellStyle name="Header2 2 60 3" xfId="23293"/>
    <cellStyle name="Header2 2 60 4" xfId="23294"/>
    <cellStyle name="Header2 2 60 5" xfId="23295"/>
    <cellStyle name="Header2 2 60 6" xfId="23296"/>
    <cellStyle name="Header2 2 60 7" xfId="23297"/>
    <cellStyle name="Header2 2 60 8" xfId="23298"/>
    <cellStyle name="Header2 2 60 9" xfId="23299"/>
    <cellStyle name="Header2 2 61" xfId="4648"/>
    <cellStyle name="Header2 2 61 10" xfId="23300"/>
    <cellStyle name="Header2 2 61 2" xfId="23301"/>
    <cellStyle name="Header2 2 61 3" xfId="23302"/>
    <cellStyle name="Header2 2 61 4" xfId="23303"/>
    <cellStyle name="Header2 2 61 5" xfId="23304"/>
    <cellStyle name="Header2 2 61 6" xfId="23305"/>
    <cellStyle name="Header2 2 61 7" xfId="23306"/>
    <cellStyle name="Header2 2 61 8" xfId="23307"/>
    <cellStyle name="Header2 2 61 9" xfId="23308"/>
    <cellStyle name="Header2 2 62" xfId="4649"/>
    <cellStyle name="Header2 2 62 10" xfId="23309"/>
    <cellStyle name="Header2 2 62 2" xfId="23310"/>
    <cellStyle name="Header2 2 62 3" xfId="23311"/>
    <cellStyle name="Header2 2 62 4" xfId="23312"/>
    <cellStyle name="Header2 2 62 5" xfId="23313"/>
    <cellStyle name="Header2 2 62 6" xfId="23314"/>
    <cellStyle name="Header2 2 62 7" xfId="23315"/>
    <cellStyle name="Header2 2 62 8" xfId="23316"/>
    <cellStyle name="Header2 2 62 9" xfId="23317"/>
    <cellStyle name="Header2 2 63" xfId="4650"/>
    <cellStyle name="Header2 2 63 10" xfId="23318"/>
    <cellStyle name="Header2 2 63 2" xfId="23319"/>
    <cellStyle name="Header2 2 63 3" xfId="23320"/>
    <cellStyle name="Header2 2 63 4" xfId="23321"/>
    <cellStyle name="Header2 2 63 5" xfId="23322"/>
    <cellStyle name="Header2 2 63 6" xfId="23323"/>
    <cellStyle name="Header2 2 63 7" xfId="23324"/>
    <cellStyle name="Header2 2 63 8" xfId="23325"/>
    <cellStyle name="Header2 2 63 9" xfId="23326"/>
    <cellStyle name="Header2 2 64" xfId="4651"/>
    <cellStyle name="Header2 2 64 10" xfId="23327"/>
    <cellStyle name="Header2 2 64 2" xfId="23328"/>
    <cellStyle name="Header2 2 64 3" xfId="23329"/>
    <cellStyle name="Header2 2 64 4" xfId="23330"/>
    <cellStyle name="Header2 2 64 5" xfId="23331"/>
    <cellStyle name="Header2 2 64 6" xfId="23332"/>
    <cellStyle name="Header2 2 64 7" xfId="23333"/>
    <cellStyle name="Header2 2 64 8" xfId="23334"/>
    <cellStyle name="Header2 2 64 9" xfId="23335"/>
    <cellStyle name="Header2 2 65" xfId="4652"/>
    <cellStyle name="Header2 2 65 10" xfId="23336"/>
    <cellStyle name="Header2 2 65 2" xfId="23337"/>
    <cellStyle name="Header2 2 65 3" xfId="23338"/>
    <cellStyle name="Header2 2 65 4" xfId="23339"/>
    <cellStyle name="Header2 2 65 5" xfId="23340"/>
    <cellStyle name="Header2 2 65 6" xfId="23341"/>
    <cellStyle name="Header2 2 65 7" xfId="23342"/>
    <cellStyle name="Header2 2 65 8" xfId="23343"/>
    <cellStyle name="Header2 2 65 9" xfId="23344"/>
    <cellStyle name="Header2 2 66" xfId="4653"/>
    <cellStyle name="Header2 2 66 10" xfId="23345"/>
    <cellStyle name="Header2 2 66 2" xfId="23346"/>
    <cellStyle name="Header2 2 66 3" xfId="23347"/>
    <cellStyle name="Header2 2 66 4" xfId="23348"/>
    <cellStyle name="Header2 2 66 5" xfId="23349"/>
    <cellStyle name="Header2 2 66 6" xfId="23350"/>
    <cellStyle name="Header2 2 66 7" xfId="23351"/>
    <cellStyle name="Header2 2 66 8" xfId="23352"/>
    <cellStyle name="Header2 2 66 9" xfId="23353"/>
    <cellStyle name="Header2 2 67" xfId="4654"/>
    <cellStyle name="Header2 2 67 10" xfId="23354"/>
    <cellStyle name="Header2 2 67 2" xfId="23355"/>
    <cellStyle name="Header2 2 67 3" xfId="23356"/>
    <cellStyle name="Header2 2 67 4" xfId="23357"/>
    <cellStyle name="Header2 2 67 5" xfId="23358"/>
    <cellStyle name="Header2 2 67 6" xfId="23359"/>
    <cellStyle name="Header2 2 67 7" xfId="23360"/>
    <cellStyle name="Header2 2 67 8" xfId="23361"/>
    <cellStyle name="Header2 2 67 9" xfId="23362"/>
    <cellStyle name="Header2 2 68" xfId="4655"/>
    <cellStyle name="Header2 2 68 10" xfId="23363"/>
    <cellStyle name="Header2 2 68 2" xfId="23364"/>
    <cellStyle name="Header2 2 68 3" xfId="23365"/>
    <cellStyle name="Header2 2 68 4" xfId="23366"/>
    <cellStyle name="Header2 2 68 5" xfId="23367"/>
    <cellStyle name="Header2 2 68 6" xfId="23368"/>
    <cellStyle name="Header2 2 68 7" xfId="23369"/>
    <cellStyle name="Header2 2 68 8" xfId="23370"/>
    <cellStyle name="Header2 2 68 9" xfId="23371"/>
    <cellStyle name="Header2 2 69" xfId="4656"/>
    <cellStyle name="Header2 2 69 10" xfId="23372"/>
    <cellStyle name="Header2 2 69 2" xfId="23373"/>
    <cellStyle name="Header2 2 69 3" xfId="23374"/>
    <cellStyle name="Header2 2 69 4" xfId="23375"/>
    <cellStyle name="Header2 2 69 5" xfId="23376"/>
    <cellStyle name="Header2 2 69 6" xfId="23377"/>
    <cellStyle name="Header2 2 69 7" xfId="23378"/>
    <cellStyle name="Header2 2 69 8" xfId="23379"/>
    <cellStyle name="Header2 2 69 9" xfId="23380"/>
    <cellStyle name="Header2 2 7" xfId="1141"/>
    <cellStyle name="Header2 2 7 10" xfId="23381"/>
    <cellStyle name="Header2 2 7 2" xfId="12258"/>
    <cellStyle name="Header2 2 7 3" xfId="23382"/>
    <cellStyle name="Header2 2 7 4" xfId="23383"/>
    <cellStyle name="Header2 2 7 5" xfId="23384"/>
    <cellStyle name="Header2 2 7 6" xfId="23385"/>
    <cellStyle name="Header2 2 7 7" xfId="23386"/>
    <cellStyle name="Header2 2 7 8" xfId="23387"/>
    <cellStyle name="Header2 2 7 9" xfId="23388"/>
    <cellStyle name="Header2 2 7_YL Capex Cashflow &amp; Dep" xfId="12032"/>
    <cellStyle name="Header2 2 70" xfId="4657"/>
    <cellStyle name="Header2 2 70 2" xfId="23389"/>
    <cellStyle name="Header2 2 70 3" xfId="23390"/>
    <cellStyle name="Header2 2 70 4" xfId="23391"/>
    <cellStyle name="Header2 2 70 5" xfId="23392"/>
    <cellStyle name="Header2 2 70 6" xfId="23393"/>
    <cellStyle name="Header2 2 70 7" xfId="23394"/>
    <cellStyle name="Header2 2 70 8" xfId="23395"/>
    <cellStyle name="Header2 2 70 9" xfId="23396"/>
    <cellStyle name="Header2 2 71" xfId="4658"/>
    <cellStyle name="Header2 2 71 10" xfId="23397"/>
    <cellStyle name="Header2 2 71 2" xfId="23398"/>
    <cellStyle name="Header2 2 71 3" xfId="23399"/>
    <cellStyle name="Header2 2 71 4" xfId="23400"/>
    <cellStyle name="Header2 2 71 5" xfId="23401"/>
    <cellStyle name="Header2 2 71 6" xfId="23402"/>
    <cellStyle name="Header2 2 71 7" xfId="23403"/>
    <cellStyle name="Header2 2 71 8" xfId="23404"/>
    <cellStyle name="Header2 2 71 9" xfId="23405"/>
    <cellStyle name="Header2 2 72" xfId="4659"/>
    <cellStyle name="Header2 2 72 10" xfId="23406"/>
    <cellStyle name="Header2 2 72 2" xfId="23407"/>
    <cellStyle name="Header2 2 72 3" xfId="23408"/>
    <cellStyle name="Header2 2 72 4" xfId="23409"/>
    <cellStyle name="Header2 2 72 5" xfId="23410"/>
    <cellStyle name="Header2 2 72 6" xfId="23411"/>
    <cellStyle name="Header2 2 72 7" xfId="23412"/>
    <cellStyle name="Header2 2 72 8" xfId="23413"/>
    <cellStyle name="Header2 2 72 9" xfId="23414"/>
    <cellStyle name="Header2 2 73" xfId="4660"/>
    <cellStyle name="Header2 2 73 10" xfId="23415"/>
    <cellStyle name="Header2 2 73 2" xfId="23416"/>
    <cellStyle name="Header2 2 73 3" xfId="23417"/>
    <cellStyle name="Header2 2 73 4" xfId="23418"/>
    <cellStyle name="Header2 2 73 5" xfId="23419"/>
    <cellStyle name="Header2 2 73 6" xfId="23420"/>
    <cellStyle name="Header2 2 73 7" xfId="23421"/>
    <cellStyle name="Header2 2 73 8" xfId="23422"/>
    <cellStyle name="Header2 2 73 9" xfId="23423"/>
    <cellStyle name="Header2 2 74" xfId="4661"/>
    <cellStyle name="Header2 2 74 10" xfId="23424"/>
    <cellStyle name="Header2 2 74 2" xfId="23425"/>
    <cellStyle name="Header2 2 74 3" xfId="23426"/>
    <cellStyle name="Header2 2 74 4" xfId="23427"/>
    <cellStyle name="Header2 2 74 5" xfId="23428"/>
    <cellStyle name="Header2 2 74 6" xfId="23429"/>
    <cellStyle name="Header2 2 74 7" xfId="23430"/>
    <cellStyle name="Header2 2 74 8" xfId="23431"/>
    <cellStyle name="Header2 2 74 9" xfId="23432"/>
    <cellStyle name="Header2 2 75" xfId="4662"/>
    <cellStyle name="Header2 2 75 10" xfId="23433"/>
    <cellStyle name="Header2 2 75 2" xfId="23434"/>
    <cellStyle name="Header2 2 75 3" xfId="23435"/>
    <cellStyle name="Header2 2 75 4" xfId="23436"/>
    <cellStyle name="Header2 2 75 5" xfId="23437"/>
    <cellStyle name="Header2 2 75 6" xfId="23438"/>
    <cellStyle name="Header2 2 75 7" xfId="23439"/>
    <cellStyle name="Header2 2 75 8" xfId="23440"/>
    <cellStyle name="Header2 2 75 9" xfId="23441"/>
    <cellStyle name="Header2 2 76" xfId="4663"/>
    <cellStyle name="Header2 2 76 10" xfId="23442"/>
    <cellStyle name="Header2 2 76 2" xfId="23443"/>
    <cellStyle name="Header2 2 76 3" xfId="23444"/>
    <cellStyle name="Header2 2 76 4" xfId="23445"/>
    <cellStyle name="Header2 2 76 5" xfId="23446"/>
    <cellStyle name="Header2 2 76 6" xfId="23447"/>
    <cellStyle name="Header2 2 76 7" xfId="23448"/>
    <cellStyle name="Header2 2 76 8" xfId="23449"/>
    <cellStyle name="Header2 2 76 9" xfId="23450"/>
    <cellStyle name="Header2 2 77" xfId="4664"/>
    <cellStyle name="Header2 2 77 10" xfId="23451"/>
    <cellStyle name="Header2 2 77 2" xfId="23452"/>
    <cellStyle name="Header2 2 77 3" xfId="23453"/>
    <cellStyle name="Header2 2 77 4" xfId="23454"/>
    <cellStyle name="Header2 2 77 5" xfId="23455"/>
    <cellStyle name="Header2 2 77 6" xfId="23456"/>
    <cellStyle name="Header2 2 77 7" xfId="23457"/>
    <cellStyle name="Header2 2 77 8" xfId="23458"/>
    <cellStyle name="Header2 2 77 9" xfId="23459"/>
    <cellStyle name="Header2 2 78" xfId="4665"/>
    <cellStyle name="Header2 2 78 10" xfId="23460"/>
    <cellStyle name="Header2 2 78 2" xfId="23461"/>
    <cellStyle name="Header2 2 78 3" xfId="23462"/>
    <cellStyle name="Header2 2 78 4" xfId="23463"/>
    <cellStyle name="Header2 2 78 5" xfId="23464"/>
    <cellStyle name="Header2 2 78 6" xfId="23465"/>
    <cellStyle name="Header2 2 78 7" xfId="23466"/>
    <cellStyle name="Header2 2 78 8" xfId="23467"/>
    <cellStyle name="Header2 2 78 9" xfId="23468"/>
    <cellStyle name="Header2 2 79" xfId="4666"/>
    <cellStyle name="Header2 2 79 10" xfId="23469"/>
    <cellStyle name="Header2 2 79 2" xfId="23470"/>
    <cellStyle name="Header2 2 79 3" xfId="23471"/>
    <cellStyle name="Header2 2 79 4" xfId="23472"/>
    <cellStyle name="Header2 2 79 5" xfId="23473"/>
    <cellStyle name="Header2 2 79 6" xfId="23474"/>
    <cellStyle name="Header2 2 79 7" xfId="23475"/>
    <cellStyle name="Header2 2 79 8" xfId="23476"/>
    <cellStyle name="Header2 2 79 9" xfId="23477"/>
    <cellStyle name="Header2 2 8" xfId="1142"/>
    <cellStyle name="Header2 2 8 10" xfId="23478"/>
    <cellStyle name="Header2 2 8 11" xfId="23479"/>
    <cellStyle name="Header2 2 8 2" xfId="12904"/>
    <cellStyle name="Header2 2 8 3" xfId="23480"/>
    <cellStyle name="Header2 2 8 4" xfId="23481"/>
    <cellStyle name="Header2 2 8 5" xfId="23482"/>
    <cellStyle name="Header2 2 8 6" xfId="23483"/>
    <cellStyle name="Header2 2 8 7" xfId="23484"/>
    <cellStyle name="Header2 2 8 8" xfId="23485"/>
    <cellStyle name="Header2 2 8 9" xfId="23486"/>
    <cellStyle name="Header2 2 8_YL Capex Cashflow &amp; Dep" xfId="11792"/>
    <cellStyle name="Header2 2 80" xfId="4667"/>
    <cellStyle name="Header2 2 80 10" xfId="23487"/>
    <cellStyle name="Header2 2 80 2" xfId="23488"/>
    <cellStyle name="Header2 2 80 3" xfId="23489"/>
    <cellStyle name="Header2 2 80 4" xfId="23490"/>
    <cellStyle name="Header2 2 80 5" xfId="23491"/>
    <cellStyle name="Header2 2 80 6" xfId="23492"/>
    <cellStyle name="Header2 2 80 7" xfId="23493"/>
    <cellStyle name="Header2 2 80 8" xfId="23494"/>
    <cellStyle name="Header2 2 80 9" xfId="23495"/>
    <cellStyle name="Header2 2 81" xfId="4668"/>
    <cellStyle name="Header2 2 81 10" xfId="23496"/>
    <cellStyle name="Header2 2 81 2" xfId="23497"/>
    <cellStyle name="Header2 2 81 3" xfId="23498"/>
    <cellStyle name="Header2 2 81 4" xfId="23499"/>
    <cellStyle name="Header2 2 81 5" xfId="23500"/>
    <cellStyle name="Header2 2 81 6" xfId="23501"/>
    <cellStyle name="Header2 2 81 7" xfId="23502"/>
    <cellStyle name="Header2 2 81 8" xfId="23503"/>
    <cellStyle name="Header2 2 81 9" xfId="23504"/>
    <cellStyle name="Header2 2 82" xfId="4669"/>
    <cellStyle name="Header2 2 82 10" xfId="23505"/>
    <cellStyle name="Header2 2 82 2" xfId="23506"/>
    <cellStyle name="Header2 2 82 3" xfId="23507"/>
    <cellStyle name="Header2 2 82 4" xfId="23508"/>
    <cellStyle name="Header2 2 82 5" xfId="23509"/>
    <cellStyle name="Header2 2 82 6" xfId="23510"/>
    <cellStyle name="Header2 2 82 7" xfId="23511"/>
    <cellStyle name="Header2 2 82 8" xfId="23512"/>
    <cellStyle name="Header2 2 82 9" xfId="23513"/>
    <cellStyle name="Header2 2 83" xfId="4670"/>
    <cellStyle name="Header2 2 83 10" xfId="23514"/>
    <cellStyle name="Header2 2 83 2" xfId="23515"/>
    <cellStyle name="Header2 2 83 3" xfId="23516"/>
    <cellStyle name="Header2 2 83 4" xfId="23517"/>
    <cellStyle name="Header2 2 83 5" xfId="23518"/>
    <cellStyle name="Header2 2 83 6" xfId="23519"/>
    <cellStyle name="Header2 2 83 7" xfId="23520"/>
    <cellStyle name="Header2 2 83 8" xfId="23521"/>
    <cellStyle name="Header2 2 83 9" xfId="23522"/>
    <cellStyle name="Header2 2 84" xfId="4671"/>
    <cellStyle name="Header2 2 84 10" xfId="23523"/>
    <cellStyle name="Header2 2 84 2" xfId="23524"/>
    <cellStyle name="Header2 2 84 3" xfId="23525"/>
    <cellStyle name="Header2 2 84 4" xfId="23526"/>
    <cellStyle name="Header2 2 84 5" xfId="23527"/>
    <cellStyle name="Header2 2 84 6" xfId="23528"/>
    <cellStyle name="Header2 2 84 7" xfId="23529"/>
    <cellStyle name="Header2 2 84 8" xfId="23530"/>
    <cellStyle name="Header2 2 84 9" xfId="23531"/>
    <cellStyle name="Header2 2 85" xfId="4672"/>
    <cellStyle name="Header2 2 85 10" xfId="23532"/>
    <cellStyle name="Header2 2 85 2" xfId="23533"/>
    <cellStyle name="Header2 2 85 3" xfId="23534"/>
    <cellStyle name="Header2 2 85 4" xfId="23535"/>
    <cellStyle name="Header2 2 85 5" xfId="23536"/>
    <cellStyle name="Header2 2 85 6" xfId="23537"/>
    <cellStyle name="Header2 2 85 7" xfId="23538"/>
    <cellStyle name="Header2 2 85 8" xfId="23539"/>
    <cellStyle name="Header2 2 85 9" xfId="23540"/>
    <cellStyle name="Header2 2 86" xfId="4673"/>
    <cellStyle name="Header2 2 86 10" xfId="23541"/>
    <cellStyle name="Header2 2 86 2" xfId="23542"/>
    <cellStyle name="Header2 2 86 3" xfId="23543"/>
    <cellStyle name="Header2 2 86 4" xfId="23544"/>
    <cellStyle name="Header2 2 86 5" xfId="23545"/>
    <cellStyle name="Header2 2 86 6" xfId="23546"/>
    <cellStyle name="Header2 2 86 7" xfId="23547"/>
    <cellStyle name="Header2 2 86 8" xfId="23548"/>
    <cellStyle name="Header2 2 86 9" xfId="23549"/>
    <cellStyle name="Header2 2 87" xfId="4674"/>
    <cellStyle name="Header2 2 87 10" xfId="23550"/>
    <cellStyle name="Header2 2 87 2" xfId="23551"/>
    <cellStyle name="Header2 2 87 3" xfId="23552"/>
    <cellStyle name="Header2 2 87 4" xfId="23553"/>
    <cellStyle name="Header2 2 87 5" xfId="23554"/>
    <cellStyle name="Header2 2 87 6" xfId="23555"/>
    <cellStyle name="Header2 2 87 7" xfId="23556"/>
    <cellStyle name="Header2 2 87 8" xfId="23557"/>
    <cellStyle name="Header2 2 87 9" xfId="23558"/>
    <cellStyle name="Header2 2 88" xfId="4675"/>
    <cellStyle name="Header2 2 88 10" xfId="23559"/>
    <cellStyle name="Header2 2 88 2" xfId="23560"/>
    <cellStyle name="Header2 2 88 3" xfId="23561"/>
    <cellStyle name="Header2 2 88 4" xfId="23562"/>
    <cellStyle name="Header2 2 88 5" xfId="23563"/>
    <cellStyle name="Header2 2 88 6" xfId="23564"/>
    <cellStyle name="Header2 2 88 7" xfId="23565"/>
    <cellStyle name="Header2 2 88 8" xfId="23566"/>
    <cellStyle name="Header2 2 88 9" xfId="23567"/>
    <cellStyle name="Header2 2 89" xfId="4676"/>
    <cellStyle name="Header2 2 89 10" xfId="23568"/>
    <cellStyle name="Header2 2 89 2" xfId="23569"/>
    <cellStyle name="Header2 2 89 3" xfId="23570"/>
    <cellStyle name="Header2 2 89 4" xfId="23571"/>
    <cellStyle name="Header2 2 89 5" xfId="23572"/>
    <cellStyle name="Header2 2 89 6" xfId="23573"/>
    <cellStyle name="Header2 2 89 7" xfId="23574"/>
    <cellStyle name="Header2 2 89 8" xfId="23575"/>
    <cellStyle name="Header2 2 89 9" xfId="23576"/>
    <cellStyle name="Header2 2 9" xfId="4677"/>
    <cellStyle name="Header2 2 9 10" xfId="23577"/>
    <cellStyle name="Header2 2 9 2" xfId="23578"/>
    <cellStyle name="Header2 2 9 3" xfId="23579"/>
    <cellStyle name="Header2 2 9 4" xfId="23580"/>
    <cellStyle name="Header2 2 9 5" xfId="23581"/>
    <cellStyle name="Header2 2 9 6" xfId="23582"/>
    <cellStyle name="Header2 2 9 7" xfId="23583"/>
    <cellStyle name="Header2 2 9 8" xfId="23584"/>
    <cellStyle name="Header2 2 9 9" xfId="23585"/>
    <cellStyle name="Header2 2 90" xfId="4678"/>
    <cellStyle name="Header2 2 90 10" xfId="23586"/>
    <cellStyle name="Header2 2 90 2" xfId="23587"/>
    <cellStyle name="Header2 2 90 3" xfId="23588"/>
    <cellStyle name="Header2 2 90 4" xfId="23589"/>
    <cellStyle name="Header2 2 90 5" xfId="23590"/>
    <cellStyle name="Header2 2 90 6" xfId="23591"/>
    <cellStyle name="Header2 2 90 7" xfId="23592"/>
    <cellStyle name="Header2 2 90 8" xfId="23593"/>
    <cellStyle name="Header2 2 90 9" xfId="23594"/>
    <cellStyle name="Header2 2 91" xfId="4679"/>
    <cellStyle name="Header2 2 91 10" xfId="23595"/>
    <cellStyle name="Header2 2 91 2" xfId="23596"/>
    <cellStyle name="Header2 2 91 3" xfId="23597"/>
    <cellStyle name="Header2 2 91 4" xfId="23598"/>
    <cellStyle name="Header2 2 91 5" xfId="23599"/>
    <cellStyle name="Header2 2 91 6" xfId="23600"/>
    <cellStyle name="Header2 2 91 7" xfId="23601"/>
    <cellStyle name="Header2 2 91 8" xfId="23602"/>
    <cellStyle name="Header2 2 91 9" xfId="23603"/>
    <cellStyle name="Header2 2 92" xfId="4680"/>
    <cellStyle name="Header2 2 92 10" xfId="23604"/>
    <cellStyle name="Header2 2 92 2" xfId="23605"/>
    <cellStyle name="Header2 2 92 3" xfId="23606"/>
    <cellStyle name="Header2 2 92 4" xfId="23607"/>
    <cellStyle name="Header2 2 92 5" xfId="23608"/>
    <cellStyle name="Header2 2 92 6" xfId="23609"/>
    <cellStyle name="Header2 2 92 7" xfId="23610"/>
    <cellStyle name="Header2 2 92 8" xfId="23611"/>
    <cellStyle name="Header2 2 92 9" xfId="23612"/>
    <cellStyle name="Header2 2 93" xfId="4681"/>
    <cellStyle name="Header2 2 93 10" xfId="23613"/>
    <cellStyle name="Header2 2 93 2" xfId="23614"/>
    <cellStyle name="Header2 2 93 3" xfId="23615"/>
    <cellStyle name="Header2 2 93 4" xfId="23616"/>
    <cellStyle name="Header2 2 93 5" xfId="23617"/>
    <cellStyle name="Header2 2 93 6" xfId="23618"/>
    <cellStyle name="Header2 2 93 7" xfId="23619"/>
    <cellStyle name="Header2 2 93 8" xfId="23620"/>
    <cellStyle name="Header2 2 93 9" xfId="23621"/>
    <cellStyle name="Header2 2 94" xfId="4682"/>
    <cellStyle name="Header2 2 94 10" xfId="23622"/>
    <cellStyle name="Header2 2 94 2" xfId="23623"/>
    <cellStyle name="Header2 2 94 3" xfId="23624"/>
    <cellStyle name="Header2 2 94 4" xfId="23625"/>
    <cellStyle name="Header2 2 94 5" xfId="23626"/>
    <cellStyle name="Header2 2 94 6" xfId="23627"/>
    <cellStyle name="Header2 2 94 7" xfId="23628"/>
    <cellStyle name="Header2 2 94 8" xfId="23629"/>
    <cellStyle name="Header2 2 94 9" xfId="23630"/>
    <cellStyle name="Header2 2 95" xfId="23631"/>
    <cellStyle name="Header2 2 96" xfId="23632"/>
    <cellStyle name="Header2 2 97" xfId="23633"/>
    <cellStyle name="Header2 2 98" xfId="23634"/>
    <cellStyle name="Header2 2 99" xfId="23635"/>
    <cellStyle name="Header2 2_Cashflow trend" xfId="1143"/>
    <cellStyle name="Header2 20" xfId="4683"/>
    <cellStyle name="Header2 20 2" xfId="23636"/>
    <cellStyle name="Header2 20 3" xfId="23637"/>
    <cellStyle name="Header2 20 4" xfId="23638"/>
    <cellStyle name="Header2 20 5" xfId="23639"/>
    <cellStyle name="Header2 20 6" xfId="23640"/>
    <cellStyle name="Header2 20 7" xfId="23641"/>
    <cellStyle name="Header2 20 8" xfId="23642"/>
    <cellStyle name="Header2 20 9" xfId="23643"/>
    <cellStyle name="Header2 21" xfId="4684"/>
    <cellStyle name="Header2 21 2" xfId="23644"/>
    <cellStyle name="Header2 21 3" xfId="23645"/>
    <cellStyle name="Header2 21 4" xfId="23646"/>
    <cellStyle name="Header2 21 5" xfId="23647"/>
    <cellStyle name="Header2 21 6" xfId="23648"/>
    <cellStyle name="Header2 21 7" xfId="23649"/>
    <cellStyle name="Header2 21 8" xfId="23650"/>
    <cellStyle name="Header2 21 9" xfId="23651"/>
    <cellStyle name="Header2 22" xfId="4685"/>
    <cellStyle name="Header2 22 2" xfId="23652"/>
    <cellStyle name="Header2 22 3" xfId="23653"/>
    <cellStyle name="Header2 22 4" xfId="23654"/>
    <cellStyle name="Header2 22 5" xfId="23655"/>
    <cellStyle name="Header2 22 6" xfId="23656"/>
    <cellStyle name="Header2 22 7" xfId="23657"/>
    <cellStyle name="Header2 22 8" xfId="23658"/>
    <cellStyle name="Header2 22 9" xfId="23659"/>
    <cellStyle name="Header2 23" xfId="4686"/>
    <cellStyle name="Header2 23 2" xfId="23660"/>
    <cellStyle name="Header2 23 3" xfId="23661"/>
    <cellStyle name="Header2 23 4" xfId="23662"/>
    <cellStyle name="Header2 23 5" xfId="23663"/>
    <cellStyle name="Header2 23 6" xfId="23664"/>
    <cellStyle name="Header2 23 7" xfId="23665"/>
    <cellStyle name="Header2 23 8" xfId="23666"/>
    <cellStyle name="Header2 23 9" xfId="23667"/>
    <cellStyle name="Header2 24" xfId="4687"/>
    <cellStyle name="Header2 24 10" xfId="23668"/>
    <cellStyle name="Header2 24 2" xfId="23669"/>
    <cellStyle name="Header2 24 3" xfId="23670"/>
    <cellStyle name="Header2 24 4" xfId="23671"/>
    <cellStyle name="Header2 24 5" xfId="23672"/>
    <cellStyle name="Header2 24 6" xfId="23673"/>
    <cellStyle name="Header2 24 7" xfId="23674"/>
    <cellStyle name="Header2 24 8" xfId="23675"/>
    <cellStyle name="Header2 24 9" xfId="23676"/>
    <cellStyle name="Header2 25" xfId="4688"/>
    <cellStyle name="Header2 25 10" xfId="23677"/>
    <cellStyle name="Header2 25 2" xfId="23678"/>
    <cellStyle name="Header2 25 3" xfId="23679"/>
    <cellStyle name="Header2 25 4" xfId="23680"/>
    <cellStyle name="Header2 25 5" xfId="23681"/>
    <cellStyle name="Header2 25 6" xfId="23682"/>
    <cellStyle name="Header2 25 7" xfId="23683"/>
    <cellStyle name="Header2 25 8" xfId="23684"/>
    <cellStyle name="Header2 25 9" xfId="23685"/>
    <cellStyle name="Header2 26" xfId="4689"/>
    <cellStyle name="Header2 26 10" xfId="23686"/>
    <cellStyle name="Header2 26 2" xfId="23687"/>
    <cellStyle name="Header2 26 3" xfId="23688"/>
    <cellStyle name="Header2 26 4" xfId="23689"/>
    <cellStyle name="Header2 26 5" xfId="23690"/>
    <cellStyle name="Header2 26 6" xfId="23691"/>
    <cellStyle name="Header2 26 7" xfId="23692"/>
    <cellStyle name="Header2 26 8" xfId="23693"/>
    <cellStyle name="Header2 26 9" xfId="23694"/>
    <cellStyle name="Header2 27" xfId="4690"/>
    <cellStyle name="Header2 27 10" xfId="23695"/>
    <cellStyle name="Header2 27 2" xfId="23696"/>
    <cellStyle name="Header2 27 3" xfId="23697"/>
    <cellStyle name="Header2 27 4" xfId="23698"/>
    <cellStyle name="Header2 27 5" xfId="23699"/>
    <cellStyle name="Header2 27 6" xfId="23700"/>
    <cellStyle name="Header2 27 7" xfId="23701"/>
    <cellStyle name="Header2 27 8" xfId="23702"/>
    <cellStyle name="Header2 27 9" xfId="23703"/>
    <cellStyle name="Header2 28" xfId="4691"/>
    <cellStyle name="Header2 28 10" xfId="23704"/>
    <cellStyle name="Header2 28 2" xfId="23705"/>
    <cellStyle name="Header2 28 3" xfId="23706"/>
    <cellStyle name="Header2 28 4" xfId="23707"/>
    <cellStyle name="Header2 28 5" xfId="23708"/>
    <cellStyle name="Header2 28 6" xfId="23709"/>
    <cellStyle name="Header2 28 7" xfId="23710"/>
    <cellStyle name="Header2 28 8" xfId="23711"/>
    <cellStyle name="Header2 28 9" xfId="23712"/>
    <cellStyle name="Header2 29" xfId="4692"/>
    <cellStyle name="Header2 29 10" xfId="23713"/>
    <cellStyle name="Header2 29 2" xfId="23714"/>
    <cellStyle name="Header2 29 3" xfId="23715"/>
    <cellStyle name="Header2 29 4" xfId="23716"/>
    <cellStyle name="Header2 29 5" xfId="23717"/>
    <cellStyle name="Header2 29 6" xfId="23718"/>
    <cellStyle name="Header2 29 7" xfId="23719"/>
    <cellStyle name="Header2 29 8" xfId="23720"/>
    <cellStyle name="Header2 29 9" xfId="23721"/>
    <cellStyle name="Header2 3" xfId="1144"/>
    <cellStyle name="Header2 3 10" xfId="4693"/>
    <cellStyle name="Header2 3 10 2" xfId="23722"/>
    <cellStyle name="Header2 3 10 3" xfId="23723"/>
    <cellStyle name="Header2 3 10 4" xfId="23724"/>
    <cellStyle name="Header2 3 10 5" xfId="23725"/>
    <cellStyle name="Header2 3 10 6" xfId="23726"/>
    <cellStyle name="Header2 3 10 7" xfId="23727"/>
    <cellStyle name="Header2 3 10 8" xfId="23728"/>
    <cellStyle name="Header2 3 10 9" xfId="23729"/>
    <cellStyle name="Header2 3 100" xfId="23730"/>
    <cellStyle name="Header2 3 101" xfId="23731"/>
    <cellStyle name="Header2 3 102" xfId="23732"/>
    <cellStyle name="Header2 3 11" xfId="4694"/>
    <cellStyle name="Header2 3 11 2" xfId="23733"/>
    <cellStyle name="Header2 3 11 3" xfId="23734"/>
    <cellStyle name="Header2 3 11 4" xfId="23735"/>
    <cellStyle name="Header2 3 11 5" xfId="23736"/>
    <cellStyle name="Header2 3 11 6" xfId="23737"/>
    <cellStyle name="Header2 3 11 7" xfId="23738"/>
    <cellStyle name="Header2 3 11 8" xfId="23739"/>
    <cellStyle name="Header2 3 11 9" xfId="23740"/>
    <cellStyle name="Header2 3 12" xfId="4695"/>
    <cellStyle name="Header2 3 12 2" xfId="23741"/>
    <cellStyle name="Header2 3 12 3" xfId="23742"/>
    <cellStyle name="Header2 3 12 4" xfId="23743"/>
    <cellStyle name="Header2 3 12 5" xfId="23744"/>
    <cellStyle name="Header2 3 12 6" xfId="23745"/>
    <cellStyle name="Header2 3 12 7" xfId="23746"/>
    <cellStyle name="Header2 3 12 8" xfId="23747"/>
    <cellStyle name="Header2 3 12 9" xfId="23748"/>
    <cellStyle name="Header2 3 13" xfId="4696"/>
    <cellStyle name="Header2 3 13 2" xfId="23749"/>
    <cellStyle name="Header2 3 13 3" xfId="23750"/>
    <cellStyle name="Header2 3 13 4" xfId="23751"/>
    <cellStyle name="Header2 3 13 5" xfId="23752"/>
    <cellStyle name="Header2 3 13 6" xfId="23753"/>
    <cellStyle name="Header2 3 13 7" xfId="23754"/>
    <cellStyle name="Header2 3 13 8" xfId="23755"/>
    <cellStyle name="Header2 3 13 9" xfId="23756"/>
    <cellStyle name="Header2 3 14" xfId="4697"/>
    <cellStyle name="Header2 3 14 2" xfId="23757"/>
    <cellStyle name="Header2 3 14 3" xfId="23758"/>
    <cellStyle name="Header2 3 14 4" xfId="23759"/>
    <cellStyle name="Header2 3 14 5" xfId="23760"/>
    <cellStyle name="Header2 3 14 6" xfId="23761"/>
    <cellStyle name="Header2 3 14 7" xfId="23762"/>
    <cellStyle name="Header2 3 14 8" xfId="23763"/>
    <cellStyle name="Header2 3 14 9" xfId="23764"/>
    <cellStyle name="Header2 3 15" xfId="4698"/>
    <cellStyle name="Header2 3 15 2" xfId="23765"/>
    <cellStyle name="Header2 3 15 3" xfId="23766"/>
    <cellStyle name="Header2 3 15 4" xfId="23767"/>
    <cellStyle name="Header2 3 15 5" xfId="23768"/>
    <cellStyle name="Header2 3 15 6" xfId="23769"/>
    <cellStyle name="Header2 3 15 7" xfId="23770"/>
    <cellStyle name="Header2 3 15 8" xfId="23771"/>
    <cellStyle name="Header2 3 15 9" xfId="23772"/>
    <cellStyle name="Header2 3 16" xfId="4699"/>
    <cellStyle name="Header2 3 16 2" xfId="23773"/>
    <cellStyle name="Header2 3 16 3" xfId="23774"/>
    <cellStyle name="Header2 3 16 4" xfId="23775"/>
    <cellStyle name="Header2 3 16 5" xfId="23776"/>
    <cellStyle name="Header2 3 16 6" xfId="23777"/>
    <cellStyle name="Header2 3 16 7" xfId="23778"/>
    <cellStyle name="Header2 3 16 8" xfId="23779"/>
    <cellStyle name="Header2 3 16 9" xfId="23780"/>
    <cellStyle name="Header2 3 17" xfId="4700"/>
    <cellStyle name="Header2 3 17 2" xfId="23781"/>
    <cellStyle name="Header2 3 17 3" xfId="23782"/>
    <cellStyle name="Header2 3 17 4" xfId="23783"/>
    <cellStyle name="Header2 3 17 5" xfId="23784"/>
    <cellStyle name="Header2 3 17 6" xfId="23785"/>
    <cellStyle name="Header2 3 17 7" xfId="23786"/>
    <cellStyle name="Header2 3 17 8" xfId="23787"/>
    <cellStyle name="Header2 3 17 9" xfId="23788"/>
    <cellStyle name="Header2 3 18" xfId="4701"/>
    <cellStyle name="Header2 3 18 2" xfId="23789"/>
    <cellStyle name="Header2 3 18 3" xfId="23790"/>
    <cellStyle name="Header2 3 18 4" xfId="23791"/>
    <cellStyle name="Header2 3 18 5" xfId="23792"/>
    <cellStyle name="Header2 3 18 6" xfId="23793"/>
    <cellStyle name="Header2 3 18 7" xfId="23794"/>
    <cellStyle name="Header2 3 18 8" xfId="23795"/>
    <cellStyle name="Header2 3 18 9" xfId="23796"/>
    <cellStyle name="Header2 3 19" xfId="4702"/>
    <cellStyle name="Header2 3 19 2" xfId="23797"/>
    <cellStyle name="Header2 3 19 3" xfId="23798"/>
    <cellStyle name="Header2 3 19 4" xfId="23799"/>
    <cellStyle name="Header2 3 19 5" xfId="23800"/>
    <cellStyle name="Header2 3 19 6" xfId="23801"/>
    <cellStyle name="Header2 3 19 7" xfId="23802"/>
    <cellStyle name="Header2 3 19 8" xfId="23803"/>
    <cellStyle name="Header2 3 19 9" xfId="23804"/>
    <cellStyle name="Header2 3 2" xfId="1145"/>
    <cellStyle name="Header2 3 2 10" xfId="23805"/>
    <cellStyle name="Header2 3 2 11" xfId="23806"/>
    <cellStyle name="Header2 3 2 2" xfId="1146"/>
    <cellStyle name="Header2 3 2 2 2" xfId="12751"/>
    <cellStyle name="Header2 3 2 2_YL Capex Cashflow &amp; Dep" xfId="12161"/>
    <cellStyle name="Header2 3 2 3" xfId="12049"/>
    <cellStyle name="Header2 3 2 4" xfId="23807"/>
    <cellStyle name="Header2 3 2 5" xfId="23808"/>
    <cellStyle name="Header2 3 2 6" xfId="23809"/>
    <cellStyle name="Header2 3 2 7" xfId="23810"/>
    <cellStyle name="Header2 3 2 8" xfId="23811"/>
    <cellStyle name="Header2 3 2 9" xfId="23812"/>
    <cellStyle name="Header2 3 2_Cashflow trend" xfId="1147"/>
    <cellStyle name="Header2 3 20" xfId="4703"/>
    <cellStyle name="Header2 3 20 10" xfId="23813"/>
    <cellStyle name="Header2 3 20 2" xfId="23814"/>
    <cellStyle name="Header2 3 20 3" xfId="23815"/>
    <cellStyle name="Header2 3 20 4" xfId="23816"/>
    <cellStyle name="Header2 3 20 5" xfId="23817"/>
    <cellStyle name="Header2 3 20 6" xfId="23818"/>
    <cellStyle name="Header2 3 20 7" xfId="23819"/>
    <cellStyle name="Header2 3 20 8" xfId="23820"/>
    <cellStyle name="Header2 3 20 9" xfId="23821"/>
    <cellStyle name="Header2 3 21" xfId="4704"/>
    <cellStyle name="Header2 3 21 10" xfId="23822"/>
    <cellStyle name="Header2 3 21 2" xfId="23823"/>
    <cellStyle name="Header2 3 21 3" xfId="23824"/>
    <cellStyle name="Header2 3 21 4" xfId="23825"/>
    <cellStyle name="Header2 3 21 5" xfId="23826"/>
    <cellStyle name="Header2 3 21 6" xfId="23827"/>
    <cellStyle name="Header2 3 21 7" xfId="23828"/>
    <cellStyle name="Header2 3 21 8" xfId="23829"/>
    <cellStyle name="Header2 3 21 9" xfId="23830"/>
    <cellStyle name="Header2 3 22" xfId="4705"/>
    <cellStyle name="Header2 3 22 10" xfId="23831"/>
    <cellStyle name="Header2 3 22 2" xfId="23832"/>
    <cellStyle name="Header2 3 22 3" xfId="23833"/>
    <cellStyle name="Header2 3 22 4" xfId="23834"/>
    <cellStyle name="Header2 3 22 5" xfId="23835"/>
    <cellStyle name="Header2 3 22 6" xfId="23836"/>
    <cellStyle name="Header2 3 22 7" xfId="23837"/>
    <cellStyle name="Header2 3 22 8" xfId="23838"/>
    <cellStyle name="Header2 3 22 9" xfId="23839"/>
    <cellStyle name="Header2 3 23" xfId="4706"/>
    <cellStyle name="Header2 3 23 10" xfId="23840"/>
    <cellStyle name="Header2 3 23 2" xfId="23841"/>
    <cellStyle name="Header2 3 23 3" xfId="23842"/>
    <cellStyle name="Header2 3 23 4" xfId="23843"/>
    <cellStyle name="Header2 3 23 5" xfId="23844"/>
    <cellStyle name="Header2 3 23 6" xfId="23845"/>
    <cellStyle name="Header2 3 23 7" xfId="23846"/>
    <cellStyle name="Header2 3 23 8" xfId="23847"/>
    <cellStyle name="Header2 3 23 9" xfId="23848"/>
    <cellStyle name="Header2 3 24" xfId="4707"/>
    <cellStyle name="Header2 3 24 10" xfId="23849"/>
    <cellStyle name="Header2 3 24 2" xfId="23850"/>
    <cellStyle name="Header2 3 24 3" xfId="23851"/>
    <cellStyle name="Header2 3 24 4" xfId="23852"/>
    <cellStyle name="Header2 3 24 5" xfId="23853"/>
    <cellStyle name="Header2 3 24 6" xfId="23854"/>
    <cellStyle name="Header2 3 24 7" xfId="23855"/>
    <cellStyle name="Header2 3 24 8" xfId="23856"/>
    <cellStyle name="Header2 3 24 9" xfId="23857"/>
    <cellStyle name="Header2 3 25" xfId="4708"/>
    <cellStyle name="Header2 3 25 10" xfId="23858"/>
    <cellStyle name="Header2 3 25 2" xfId="23859"/>
    <cellStyle name="Header2 3 25 3" xfId="23860"/>
    <cellStyle name="Header2 3 25 4" xfId="23861"/>
    <cellStyle name="Header2 3 25 5" xfId="23862"/>
    <cellStyle name="Header2 3 25 6" xfId="23863"/>
    <cellStyle name="Header2 3 25 7" xfId="23864"/>
    <cellStyle name="Header2 3 25 8" xfId="23865"/>
    <cellStyle name="Header2 3 25 9" xfId="23866"/>
    <cellStyle name="Header2 3 26" xfId="4709"/>
    <cellStyle name="Header2 3 26 10" xfId="23867"/>
    <cellStyle name="Header2 3 26 2" xfId="23868"/>
    <cellStyle name="Header2 3 26 3" xfId="23869"/>
    <cellStyle name="Header2 3 26 4" xfId="23870"/>
    <cellStyle name="Header2 3 26 5" xfId="23871"/>
    <cellStyle name="Header2 3 26 6" xfId="23872"/>
    <cellStyle name="Header2 3 26 7" xfId="23873"/>
    <cellStyle name="Header2 3 26 8" xfId="23874"/>
    <cellStyle name="Header2 3 26 9" xfId="23875"/>
    <cellStyle name="Header2 3 27" xfId="4710"/>
    <cellStyle name="Header2 3 27 10" xfId="23876"/>
    <cellStyle name="Header2 3 27 2" xfId="23877"/>
    <cellStyle name="Header2 3 27 3" xfId="23878"/>
    <cellStyle name="Header2 3 27 4" xfId="23879"/>
    <cellStyle name="Header2 3 27 5" xfId="23880"/>
    <cellStyle name="Header2 3 27 6" xfId="23881"/>
    <cellStyle name="Header2 3 27 7" xfId="23882"/>
    <cellStyle name="Header2 3 27 8" xfId="23883"/>
    <cellStyle name="Header2 3 27 9" xfId="23884"/>
    <cellStyle name="Header2 3 28" xfId="4711"/>
    <cellStyle name="Header2 3 28 10" xfId="23885"/>
    <cellStyle name="Header2 3 28 2" xfId="23886"/>
    <cellStyle name="Header2 3 28 3" xfId="23887"/>
    <cellStyle name="Header2 3 28 4" xfId="23888"/>
    <cellStyle name="Header2 3 28 5" xfId="23889"/>
    <cellStyle name="Header2 3 28 6" xfId="23890"/>
    <cellStyle name="Header2 3 28 7" xfId="23891"/>
    <cellStyle name="Header2 3 28 8" xfId="23892"/>
    <cellStyle name="Header2 3 28 9" xfId="23893"/>
    <cellStyle name="Header2 3 29" xfId="4712"/>
    <cellStyle name="Header2 3 29 10" xfId="23894"/>
    <cellStyle name="Header2 3 29 2" xfId="23895"/>
    <cellStyle name="Header2 3 29 3" xfId="23896"/>
    <cellStyle name="Header2 3 29 4" xfId="23897"/>
    <cellStyle name="Header2 3 29 5" xfId="23898"/>
    <cellStyle name="Header2 3 29 6" xfId="23899"/>
    <cellStyle name="Header2 3 29 7" xfId="23900"/>
    <cellStyle name="Header2 3 29 8" xfId="23901"/>
    <cellStyle name="Header2 3 29 9" xfId="23902"/>
    <cellStyle name="Header2 3 3" xfId="1148"/>
    <cellStyle name="Header2 3 3 10" xfId="23903"/>
    <cellStyle name="Header2 3 3 2" xfId="1149"/>
    <cellStyle name="Header2 3 3 2 2" xfId="12651"/>
    <cellStyle name="Header2 3 3 2_YL Capex Cashflow &amp; Dep" xfId="11393"/>
    <cellStyle name="Header2 3 3 3" xfId="11954"/>
    <cellStyle name="Header2 3 3 4" xfId="23904"/>
    <cellStyle name="Header2 3 3 5" xfId="23905"/>
    <cellStyle name="Header2 3 3 6" xfId="23906"/>
    <cellStyle name="Header2 3 3 7" xfId="23907"/>
    <cellStyle name="Header2 3 3 8" xfId="23908"/>
    <cellStyle name="Header2 3 3 9" xfId="23909"/>
    <cellStyle name="Header2 3 3_Cashflow trend" xfId="1150"/>
    <cellStyle name="Header2 3 30" xfId="4713"/>
    <cellStyle name="Header2 3 30 10" xfId="23910"/>
    <cellStyle name="Header2 3 30 2" xfId="23911"/>
    <cellStyle name="Header2 3 30 3" xfId="23912"/>
    <cellStyle name="Header2 3 30 4" xfId="23913"/>
    <cellStyle name="Header2 3 30 5" xfId="23914"/>
    <cellStyle name="Header2 3 30 6" xfId="23915"/>
    <cellStyle name="Header2 3 30 7" xfId="23916"/>
    <cellStyle name="Header2 3 30 8" xfId="23917"/>
    <cellStyle name="Header2 3 30 9" xfId="23918"/>
    <cellStyle name="Header2 3 31" xfId="4714"/>
    <cellStyle name="Header2 3 31 10" xfId="23919"/>
    <cellStyle name="Header2 3 31 2" xfId="23920"/>
    <cellStyle name="Header2 3 31 3" xfId="23921"/>
    <cellStyle name="Header2 3 31 4" xfId="23922"/>
    <cellStyle name="Header2 3 31 5" xfId="23923"/>
    <cellStyle name="Header2 3 31 6" xfId="23924"/>
    <cellStyle name="Header2 3 31 7" xfId="23925"/>
    <cellStyle name="Header2 3 31 8" xfId="23926"/>
    <cellStyle name="Header2 3 31 9" xfId="23927"/>
    <cellStyle name="Header2 3 32" xfId="4715"/>
    <cellStyle name="Header2 3 32 10" xfId="23928"/>
    <cellStyle name="Header2 3 32 2" xfId="23929"/>
    <cellStyle name="Header2 3 32 3" xfId="23930"/>
    <cellStyle name="Header2 3 32 4" xfId="23931"/>
    <cellStyle name="Header2 3 32 5" xfId="23932"/>
    <cellStyle name="Header2 3 32 6" xfId="23933"/>
    <cellStyle name="Header2 3 32 7" xfId="23934"/>
    <cellStyle name="Header2 3 32 8" xfId="23935"/>
    <cellStyle name="Header2 3 32 9" xfId="23936"/>
    <cellStyle name="Header2 3 33" xfId="4716"/>
    <cellStyle name="Header2 3 33 10" xfId="23937"/>
    <cellStyle name="Header2 3 33 2" xfId="23938"/>
    <cellStyle name="Header2 3 33 3" xfId="23939"/>
    <cellStyle name="Header2 3 33 4" xfId="23940"/>
    <cellStyle name="Header2 3 33 5" xfId="23941"/>
    <cellStyle name="Header2 3 33 6" xfId="23942"/>
    <cellStyle name="Header2 3 33 7" xfId="23943"/>
    <cellStyle name="Header2 3 33 8" xfId="23944"/>
    <cellStyle name="Header2 3 33 9" xfId="23945"/>
    <cellStyle name="Header2 3 34" xfId="4717"/>
    <cellStyle name="Header2 3 34 10" xfId="23946"/>
    <cellStyle name="Header2 3 34 2" xfId="23947"/>
    <cellStyle name="Header2 3 34 3" xfId="23948"/>
    <cellStyle name="Header2 3 34 4" xfId="23949"/>
    <cellStyle name="Header2 3 34 5" xfId="23950"/>
    <cellStyle name="Header2 3 34 6" xfId="23951"/>
    <cellStyle name="Header2 3 34 7" xfId="23952"/>
    <cellStyle name="Header2 3 34 8" xfId="23953"/>
    <cellStyle name="Header2 3 34 9" xfId="23954"/>
    <cellStyle name="Header2 3 35" xfId="4718"/>
    <cellStyle name="Header2 3 35 10" xfId="23955"/>
    <cellStyle name="Header2 3 35 2" xfId="23956"/>
    <cellStyle name="Header2 3 35 3" xfId="23957"/>
    <cellStyle name="Header2 3 35 4" xfId="23958"/>
    <cellStyle name="Header2 3 35 5" xfId="23959"/>
    <cellStyle name="Header2 3 35 6" xfId="23960"/>
    <cellStyle name="Header2 3 35 7" xfId="23961"/>
    <cellStyle name="Header2 3 35 8" xfId="23962"/>
    <cellStyle name="Header2 3 35 9" xfId="23963"/>
    <cellStyle name="Header2 3 36" xfId="4719"/>
    <cellStyle name="Header2 3 36 10" xfId="23964"/>
    <cellStyle name="Header2 3 36 2" xfId="23965"/>
    <cellStyle name="Header2 3 36 3" xfId="23966"/>
    <cellStyle name="Header2 3 36 4" xfId="23967"/>
    <cellStyle name="Header2 3 36 5" xfId="23968"/>
    <cellStyle name="Header2 3 36 6" xfId="23969"/>
    <cellStyle name="Header2 3 36 7" xfId="23970"/>
    <cellStyle name="Header2 3 36 8" xfId="23971"/>
    <cellStyle name="Header2 3 36 9" xfId="23972"/>
    <cellStyle name="Header2 3 37" xfId="4720"/>
    <cellStyle name="Header2 3 37 10" xfId="23973"/>
    <cellStyle name="Header2 3 37 2" xfId="23974"/>
    <cellStyle name="Header2 3 37 3" xfId="23975"/>
    <cellStyle name="Header2 3 37 4" xfId="23976"/>
    <cellStyle name="Header2 3 37 5" xfId="23977"/>
    <cellStyle name="Header2 3 37 6" xfId="23978"/>
    <cellStyle name="Header2 3 37 7" xfId="23979"/>
    <cellStyle name="Header2 3 37 8" xfId="23980"/>
    <cellStyle name="Header2 3 37 9" xfId="23981"/>
    <cellStyle name="Header2 3 38" xfId="4721"/>
    <cellStyle name="Header2 3 38 10" xfId="23982"/>
    <cellStyle name="Header2 3 38 2" xfId="23983"/>
    <cellStyle name="Header2 3 38 3" xfId="23984"/>
    <cellStyle name="Header2 3 38 4" xfId="23985"/>
    <cellStyle name="Header2 3 38 5" xfId="23986"/>
    <cellStyle name="Header2 3 38 6" xfId="23987"/>
    <cellStyle name="Header2 3 38 7" xfId="23988"/>
    <cellStyle name="Header2 3 38 8" xfId="23989"/>
    <cellStyle name="Header2 3 38 9" xfId="23990"/>
    <cellStyle name="Header2 3 39" xfId="4722"/>
    <cellStyle name="Header2 3 39 10" xfId="23991"/>
    <cellStyle name="Header2 3 39 2" xfId="23992"/>
    <cellStyle name="Header2 3 39 3" xfId="23993"/>
    <cellStyle name="Header2 3 39 4" xfId="23994"/>
    <cellStyle name="Header2 3 39 5" xfId="23995"/>
    <cellStyle name="Header2 3 39 6" xfId="23996"/>
    <cellStyle name="Header2 3 39 7" xfId="23997"/>
    <cellStyle name="Header2 3 39 8" xfId="23998"/>
    <cellStyle name="Header2 3 39 9" xfId="23999"/>
    <cellStyle name="Header2 3 4" xfId="1151"/>
    <cellStyle name="Header2 3 4 10" xfId="24000"/>
    <cellStyle name="Header2 3 4 2" xfId="11655"/>
    <cellStyle name="Header2 3 4 3" xfId="24001"/>
    <cellStyle name="Header2 3 4 4" xfId="24002"/>
    <cellStyle name="Header2 3 4 5" xfId="24003"/>
    <cellStyle name="Header2 3 4 6" xfId="24004"/>
    <cellStyle name="Header2 3 4 7" xfId="24005"/>
    <cellStyle name="Header2 3 4 8" xfId="24006"/>
    <cellStyle name="Header2 3 4 9" xfId="24007"/>
    <cellStyle name="Header2 3 4_YL Capex Cashflow &amp; Dep" xfId="11545"/>
    <cellStyle name="Header2 3 40" xfId="4723"/>
    <cellStyle name="Header2 3 40 10" xfId="24008"/>
    <cellStyle name="Header2 3 40 2" xfId="24009"/>
    <cellStyle name="Header2 3 40 3" xfId="24010"/>
    <cellStyle name="Header2 3 40 4" xfId="24011"/>
    <cellStyle name="Header2 3 40 5" xfId="24012"/>
    <cellStyle name="Header2 3 40 6" xfId="24013"/>
    <cellStyle name="Header2 3 40 7" xfId="24014"/>
    <cellStyle name="Header2 3 40 8" xfId="24015"/>
    <cellStyle name="Header2 3 40 9" xfId="24016"/>
    <cellStyle name="Header2 3 41" xfId="4724"/>
    <cellStyle name="Header2 3 41 10" xfId="24017"/>
    <cellStyle name="Header2 3 41 2" xfId="24018"/>
    <cellStyle name="Header2 3 41 3" xfId="24019"/>
    <cellStyle name="Header2 3 41 4" xfId="24020"/>
    <cellStyle name="Header2 3 41 5" xfId="24021"/>
    <cellStyle name="Header2 3 41 6" xfId="24022"/>
    <cellStyle name="Header2 3 41 7" xfId="24023"/>
    <cellStyle name="Header2 3 41 8" xfId="24024"/>
    <cellStyle name="Header2 3 41 9" xfId="24025"/>
    <cellStyle name="Header2 3 42" xfId="4725"/>
    <cellStyle name="Header2 3 42 10" xfId="24026"/>
    <cellStyle name="Header2 3 42 2" xfId="24027"/>
    <cellStyle name="Header2 3 42 3" xfId="24028"/>
    <cellStyle name="Header2 3 42 4" xfId="24029"/>
    <cellStyle name="Header2 3 42 5" xfId="24030"/>
    <cellStyle name="Header2 3 42 6" xfId="24031"/>
    <cellStyle name="Header2 3 42 7" xfId="24032"/>
    <cellStyle name="Header2 3 42 8" xfId="24033"/>
    <cellStyle name="Header2 3 42 9" xfId="24034"/>
    <cellStyle name="Header2 3 43" xfId="4726"/>
    <cellStyle name="Header2 3 43 10" xfId="24035"/>
    <cellStyle name="Header2 3 43 2" xfId="24036"/>
    <cellStyle name="Header2 3 43 3" xfId="24037"/>
    <cellStyle name="Header2 3 43 4" xfId="24038"/>
    <cellStyle name="Header2 3 43 5" xfId="24039"/>
    <cellStyle name="Header2 3 43 6" xfId="24040"/>
    <cellStyle name="Header2 3 43 7" xfId="24041"/>
    <cellStyle name="Header2 3 43 8" xfId="24042"/>
    <cellStyle name="Header2 3 43 9" xfId="24043"/>
    <cellStyle name="Header2 3 44" xfId="4727"/>
    <cellStyle name="Header2 3 44 10" xfId="24044"/>
    <cellStyle name="Header2 3 44 2" xfId="24045"/>
    <cellStyle name="Header2 3 44 3" xfId="24046"/>
    <cellStyle name="Header2 3 44 4" xfId="24047"/>
    <cellStyle name="Header2 3 44 5" xfId="24048"/>
    <cellStyle name="Header2 3 44 6" xfId="24049"/>
    <cellStyle name="Header2 3 44 7" xfId="24050"/>
    <cellStyle name="Header2 3 44 8" xfId="24051"/>
    <cellStyle name="Header2 3 44 9" xfId="24052"/>
    <cellStyle name="Header2 3 45" xfId="4728"/>
    <cellStyle name="Header2 3 45 10" xfId="24053"/>
    <cellStyle name="Header2 3 45 2" xfId="24054"/>
    <cellStyle name="Header2 3 45 3" xfId="24055"/>
    <cellStyle name="Header2 3 45 4" xfId="24056"/>
    <cellStyle name="Header2 3 45 5" xfId="24057"/>
    <cellStyle name="Header2 3 45 6" xfId="24058"/>
    <cellStyle name="Header2 3 45 7" xfId="24059"/>
    <cellStyle name="Header2 3 45 8" xfId="24060"/>
    <cellStyle name="Header2 3 45 9" xfId="24061"/>
    <cellStyle name="Header2 3 46" xfId="4729"/>
    <cellStyle name="Header2 3 46 10" xfId="24062"/>
    <cellStyle name="Header2 3 46 2" xfId="24063"/>
    <cellStyle name="Header2 3 46 3" xfId="24064"/>
    <cellStyle name="Header2 3 46 4" xfId="24065"/>
    <cellStyle name="Header2 3 46 5" xfId="24066"/>
    <cellStyle name="Header2 3 46 6" xfId="24067"/>
    <cellStyle name="Header2 3 46 7" xfId="24068"/>
    <cellStyle name="Header2 3 46 8" xfId="24069"/>
    <cellStyle name="Header2 3 46 9" xfId="24070"/>
    <cellStyle name="Header2 3 47" xfId="4730"/>
    <cellStyle name="Header2 3 47 10" xfId="24071"/>
    <cellStyle name="Header2 3 47 2" xfId="24072"/>
    <cellStyle name="Header2 3 47 3" xfId="24073"/>
    <cellStyle name="Header2 3 47 4" xfId="24074"/>
    <cellStyle name="Header2 3 47 5" xfId="24075"/>
    <cellStyle name="Header2 3 47 6" xfId="24076"/>
    <cellStyle name="Header2 3 47 7" xfId="24077"/>
    <cellStyle name="Header2 3 47 8" xfId="24078"/>
    <cellStyle name="Header2 3 47 9" xfId="24079"/>
    <cellStyle name="Header2 3 48" xfId="4731"/>
    <cellStyle name="Header2 3 48 10" xfId="24080"/>
    <cellStyle name="Header2 3 48 2" xfId="24081"/>
    <cellStyle name="Header2 3 48 3" xfId="24082"/>
    <cellStyle name="Header2 3 48 4" xfId="24083"/>
    <cellStyle name="Header2 3 48 5" xfId="24084"/>
    <cellStyle name="Header2 3 48 6" xfId="24085"/>
    <cellStyle name="Header2 3 48 7" xfId="24086"/>
    <cellStyle name="Header2 3 48 8" xfId="24087"/>
    <cellStyle name="Header2 3 48 9" xfId="24088"/>
    <cellStyle name="Header2 3 49" xfId="4732"/>
    <cellStyle name="Header2 3 49 10" xfId="24089"/>
    <cellStyle name="Header2 3 49 2" xfId="24090"/>
    <cellStyle name="Header2 3 49 3" xfId="24091"/>
    <cellStyle name="Header2 3 49 4" xfId="24092"/>
    <cellStyle name="Header2 3 49 5" xfId="24093"/>
    <cellStyle name="Header2 3 49 6" xfId="24094"/>
    <cellStyle name="Header2 3 49 7" xfId="24095"/>
    <cellStyle name="Header2 3 49 8" xfId="24096"/>
    <cellStyle name="Header2 3 49 9" xfId="24097"/>
    <cellStyle name="Header2 3 5" xfId="1152"/>
    <cellStyle name="Header2 3 5 2" xfId="1153"/>
    <cellStyle name="Header2 3 5 2 2" xfId="13005"/>
    <cellStyle name="Header2 3 5 2_YL Capex Cashflow &amp; Dep" xfId="12138"/>
    <cellStyle name="Header2 3 5 3" xfId="12081"/>
    <cellStyle name="Header2 3 5 4" xfId="24098"/>
    <cellStyle name="Header2 3 5 5" xfId="24099"/>
    <cellStyle name="Header2 3 5 6" xfId="24100"/>
    <cellStyle name="Header2 3 5 7" xfId="24101"/>
    <cellStyle name="Header2 3 5 8" xfId="24102"/>
    <cellStyle name="Header2 3 5 9" xfId="24103"/>
    <cellStyle name="Header2 3 5_Cashflow trend" xfId="1154"/>
    <cellStyle name="Header2 3 50" xfId="4733"/>
    <cellStyle name="Header2 3 50 10" xfId="24104"/>
    <cellStyle name="Header2 3 50 2" xfId="24105"/>
    <cellStyle name="Header2 3 50 3" xfId="24106"/>
    <cellStyle name="Header2 3 50 4" xfId="24107"/>
    <cellStyle name="Header2 3 50 5" xfId="24108"/>
    <cellStyle name="Header2 3 50 6" xfId="24109"/>
    <cellStyle name="Header2 3 50 7" xfId="24110"/>
    <cellStyle name="Header2 3 50 8" xfId="24111"/>
    <cellStyle name="Header2 3 50 9" xfId="24112"/>
    <cellStyle name="Header2 3 51" xfId="4734"/>
    <cellStyle name="Header2 3 51 10" xfId="24113"/>
    <cellStyle name="Header2 3 51 2" xfId="24114"/>
    <cellStyle name="Header2 3 51 3" xfId="24115"/>
    <cellStyle name="Header2 3 51 4" xfId="24116"/>
    <cellStyle name="Header2 3 51 5" xfId="24117"/>
    <cellStyle name="Header2 3 51 6" xfId="24118"/>
    <cellStyle name="Header2 3 51 7" xfId="24119"/>
    <cellStyle name="Header2 3 51 8" xfId="24120"/>
    <cellStyle name="Header2 3 51 9" xfId="24121"/>
    <cellStyle name="Header2 3 52" xfId="4735"/>
    <cellStyle name="Header2 3 52 10" xfId="24122"/>
    <cellStyle name="Header2 3 52 2" xfId="24123"/>
    <cellStyle name="Header2 3 52 3" xfId="24124"/>
    <cellStyle name="Header2 3 52 4" xfId="24125"/>
    <cellStyle name="Header2 3 52 5" xfId="24126"/>
    <cellStyle name="Header2 3 52 6" xfId="24127"/>
    <cellStyle name="Header2 3 52 7" xfId="24128"/>
    <cellStyle name="Header2 3 52 8" xfId="24129"/>
    <cellStyle name="Header2 3 52 9" xfId="24130"/>
    <cellStyle name="Header2 3 53" xfId="4736"/>
    <cellStyle name="Header2 3 53 10" xfId="24131"/>
    <cellStyle name="Header2 3 53 2" xfId="24132"/>
    <cellStyle name="Header2 3 53 3" xfId="24133"/>
    <cellStyle name="Header2 3 53 4" xfId="24134"/>
    <cellStyle name="Header2 3 53 5" xfId="24135"/>
    <cellStyle name="Header2 3 53 6" xfId="24136"/>
    <cellStyle name="Header2 3 53 7" xfId="24137"/>
    <cellStyle name="Header2 3 53 8" xfId="24138"/>
    <cellStyle name="Header2 3 53 9" xfId="24139"/>
    <cellStyle name="Header2 3 54" xfId="4737"/>
    <cellStyle name="Header2 3 54 10" xfId="24140"/>
    <cellStyle name="Header2 3 54 2" xfId="24141"/>
    <cellStyle name="Header2 3 54 3" xfId="24142"/>
    <cellStyle name="Header2 3 54 4" xfId="24143"/>
    <cellStyle name="Header2 3 54 5" xfId="24144"/>
    <cellStyle name="Header2 3 54 6" xfId="24145"/>
    <cellStyle name="Header2 3 54 7" xfId="24146"/>
    <cellStyle name="Header2 3 54 8" xfId="24147"/>
    <cellStyle name="Header2 3 54 9" xfId="24148"/>
    <cellStyle name="Header2 3 55" xfId="4738"/>
    <cellStyle name="Header2 3 55 10" xfId="24149"/>
    <cellStyle name="Header2 3 55 2" xfId="24150"/>
    <cellStyle name="Header2 3 55 3" xfId="24151"/>
    <cellStyle name="Header2 3 55 4" xfId="24152"/>
    <cellStyle name="Header2 3 55 5" xfId="24153"/>
    <cellStyle name="Header2 3 55 6" xfId="24154"/>
    <cellStyle name="Header2 3 55 7" xfId="24155"/>
    <cellStyle name="Header2 3 55 8" xfId="24156"/>
    <cellStyle name="Header2 3 55 9" xfId="24157"/>
    <cellStyle name="Header2 3 56" xfId="4739"/>
    <cellStyle name="Header2 3 56 10" xfId="24158"/>
    <cellStyle name="Header2 3 56 2" xfId="24159"/>
    <cellStyle name="Header2 3 56 3" xfId="24160"/>
    <cellStyle name="Header2 3 56 4" xfId="24161"/>
    <cellStyle name="Header2 3 56 5" xfId="24162"/>
    <cellStyle name="Header2 3 56 6" xfId="24163"/>
    <cellStyle name="Header2 3 56 7" xfId="24164"/>
    <cellStyle name="Header2 3 56 8" xfId="24165"/>
    <cellStyle name="Header2 3 56 9" xfId="24166"/>
    <cellStyle name="Header2 3 57" xfId="4740"/>
    <cellStyle name="Header2 3 57 10" xfId="24167"/>
    <cellStyle name="Header2 3 57 2" xfId="24168"/>
    <cellStyle name="Header2 3 57 3" xfId="24169"/>
    <cellStyle name="Header2 3 57 4" xfId="24170"/>
    <cellStyle name="Header2 3 57 5" xfId="24171"/>
    <cellStyle name="Header2 3 57 6" xfId="24172"/>
    <cellStyle name="Header2 3 57 7" xfId="24173"/>
    <cellStyle name="Header2 3 57 8" xfId="24174"/>
    <cellStyle name="Header2 3 57 9" xfId="24175"/>
    <cellStyle name="Header2 3 58" xfId="4741"/>
    <cellStyle name="Header2 3 58 10" xfId="24176"/>
    <cellStyle name="Header2 3 58 2" xfId="24177"/>
    <cellStyle name="Header2 3 58 3" xfId="24178"/>
    <cellStyle name="Header2 3 58 4" xfId="24179"/>
    <cellStyle name="Header2 3 58 5" xfId="24180"/>
    <cellStyle name="Header2 3 58 6" xfId="24181"/>
    <cellStyle name="Header2 3 58 7" xfId="24182"/>
    <cellStyle name="Header2 3 58 8" xfId="24183"/>
    <cellStyle name="Header2 3 58 9" xfId="24184"/>
    <cellStyle name="Header2 3 59" xfId="4742"/>
    <cellStyle name="Header2 3 59 10" xfId="24185"/>
    <cellStyle name="Header2 3 59 2" xfId="24186"/>
    <cellStyle name="Header2 3 59 3" xfId="24187"/>
    <cellStyle name="Header2 3 59 4" xfId="24188"/>
    <cellStyle name="Header2 3 59 5" xfId="24189"/>
    <cellStyle name="Header2 3 59 6" xfId="24190"/>
    <cellStyle name="Header2 3 59 7" xfId="24191"/>
    <cellStyle name="Header2 3 59 8" xfId="24192"/>
    <cellStyle name="Header2 3 59 9" xfId="24193"/>
    <cellStyle name="Header2 3 6" xfId="1155"/>
    <cellStyle name="Header2 3 6 2" xfId="1156"/>
    <cellStyle name="Header2 3 6 2 2" xfId="13013"/>
    <cellStyle name="Header2 3 6 2_YL Capex Cashflow &amp; Dep" xfId="12115"/>
    <cellStyle name="Header2 3 6 3" xfId="1157"/>
    <cellStyle name="Header2 3 6 3 2" xfId="12919"/>
    <cellStyle name="Header2 3 6 3_YL Capex Cashflow &amp; Dep" xfId="12722"/>
    <cellStyle name="Header2 3 6 4" xfId="12383"/>
    <cellStyle name="Header2 3 6 5" xfId="24194"/>
    <cellStyle name="Header2 3 6 6" xfId="24195"/>
    <cellStyle name="Header2 3 6 7" xfId="24196"/>
    <cellStyle name="Header2 3 6 8" xfId="24197"/>
    <cellStyle name="Header2 3 6 9" xfId="24198"/>
    <cellStyle name="Header2 3 6_Cashflow trend" xfId="1158"/>
    <cellStyle name="Header2 3 60" xfId="4743"/>
    <cellStyle name="Header2 3 60 10" xfId="24199"/>
    <cellStyle name="Header2 3 60 2" xfId="24200"/>
    <cellStyle name="Header2 3 60 3" xfId="24201"/>
    <cellStyle name="Header2 3 60 4" xfId="24202"/>
    <cellStyle name="Header2 3 60 5" xfId="24203"/>
    <cellStyle name="Header2 3 60 6" xfId="24204"/>
    <cellStyle name="Header2 3 60 7" xfId="24205"/>
    <cellStyle name="Header2 3 60 8" xfId="24206"/>
    <cellStyle name="Header2 3 60 9" xfId="24207"/>
    <cellStyle name="Header2 3 61" xfId="4744"/>
    <cellStyle name="Header2 3 61 10" xfId="24208"/>
    <cellStyle name="Header2 3 61 2" xfId="24209"/>
    <cellStyle name="Header2 3 61 3" xfId="24210"/>
    <cellStyle name="Header2 3 61 4" xfId="24211"/>
    <cellStyle name="Header2 3 61 5" xfId="24212"/>
    <cellStyle name="Header2 3 61 6" xfId="24213"/>
    <cellStyle name="Header2 3 61 7" xfId="24214"/>
    <cellStyle name="Header2 3 61 8" xfId="24215"/>
    <cellStyle name="Header2 3 61 9" xfId="24216"/>
    <cellStyle name="Header2 3 62" xfId="4745"/>
    <cellStyle name="Header2 3 62 10" xfId="24217"/>
    <cellStyle name="Header2 3 62 2" xfId="24218"/>
    <cellStyle name="Header2 3 62 3" xfId="24219"/>
    <cellStyle name="Header2 3 62 4" xfId="24220"/>
    <cellStyle name="Header2 3 62 5" xfId="24221"/>
    <cellStyle name="Header2 3 62 6" xfId="24222"/>
    <cellStyle name="Header2 3 62 7" xfId="24223"/>
    <cellStyle name="Header2 3 62 8" xfId="24224"/>
    <cellStyle name="Header2 3 62 9" xfId="24225"/>
    <cellStyle name="Header2 3 63" xfId="4746"/>
    <cellStyle name="Header2 3 63 10" xfId="24226"/>
    <cellStyle name="Header2 3 63 2" xfId="24227"/>
    <cellStyle name="Header2 3 63 3" xfId="24228"/>
    <cellStyle name="Header2 3 63 4" xfId="24229"/>
    <cellStyle name="Header2 3 63 5" xfId="24230"/>
    <cellStyle name="Header2 3 63 6" xfId="24231"/>
    <cellStyle name="Header2 3 63 7" xfId="24232"/>
    <cellStyle name="Header2 3 63 8" xfId="24233"/>
    <cellStyle name="Header2 3 63 9" xfId="24234"/>
    <cellStyle name="Header2 3 64" xfId="4747"/>
    <cellStyle name="Header2 3 64 10" xfId="24235"/>
    <cellStyle name="Header2 3 64 2" xfId="24236"/>
    <cellStyle name="Header2 3 64 3" xfId="24237"/>
    <cellStyle name="Header2 3 64 4" xfId="24238"/>
    <cellStyle name="Header2 3 64 5" xfId="24239"/>
    <cellStyle name="Header2 3 64 6" xfId="24240"/>
    <cellStyle name="Header2 3 64 7" xfId="24241"/>
    <cellStyle name="Header2 3 64 8" xfId="24242"/>
    <cellStyle name="Header2 3 64 9" xfId="24243"/>
    <cellStyle name="Header2 3 65" xfId="4748"/>
    <cellStyle name="Header2 3 65 10" xfId="24244"/>
    <cellStyle name="Header2 3 65 2" xfId="24245"/>
    <cellStyle name="Header2 3 65 3" xfId="24246"/>
    <cellStyle name="Header2 3 65 4" xfId="24247"/>
    <cellStyle name="Header2 3 65 5" xfId="24248"/>
    <cellStyle name="Header2 3 65 6" xfId="24249"/>
    <cellStyle name="Header2 3 65 7" xfId="24250"/>
    <cellStyle name="Header2 3 65 8" xfId="24251"/>
    <cellStyle name="Header2 3 65 9" xfId="24252"/>
    <cellStyle name="Header2 3 66" xfId="4749"/>
    <cellStyle name="Header2 3 66 10" xfId="24253"/>
    <cellStyle name="Header2 3 66 2" xfId="24254"/>
    <cellStyle name="Header2 3 66 3" xfId="24255"/>
    <cellStyle name="Header2 3 66 4" xfId="24256"/>
    <cellStyle name="Header2 3 66 5" xfId="24257"/>
    <cellStyle name="Header2 3 66 6" xfId="24258"/>
    <cellStyle name="Header2 3 66 7" xfId="24259"/>
    <cellStyle name="Header2 3 66 8" xfId="24260"/>
    <cellStyle name="Header2 3 66 9" xfId="24261"/>
    <cellStyle name="Header2 3 67" xfId="4750"/>
    <cellStyle name="Header2 3 67 10" xfId="24262"/>
    <cellStyle name="Header2 3 67 2" xfId="24263"/>
    <cellStyle name="Header2 3 67 3" xfId="24264"/>
    <cellStyle name="Header2 3 67 4" xfId="24265"/>
    <cellStyle name="Header2 3 67 5" xfId="24266"/>
    <cellStyle name="Header2 3 67 6" xfId="24267"/>
    <cellStyle name="Header2 3 67 7" xfId="24268"/>
    <cellStyle name="Header2 3 67 8" xfId="24269"/>
    <cellStyle name="Header2 3 67 9" xfId="24270"/>
    <cellStyle name="Header2 3 68" xfId="4751"/>
    <cellStyle name="Header2 3 68 10" xfId="24271"/>
    <cellStyle name="Header2 3 68 2" xfId="24272"/>
    <cellStyle name="Header2 3 68 3" xfId="24273"/>
    <cellStyle name="Header2 3 68 4" xfId="24274"/>
    <cellStyle name="Header2 3 68 5" xfId="24275"/>
    <cellStyle name="Header2 3 68 6" xfId="24276"/>
    <cellStyle name="Header2 3 68 7" xfId="24277"/>
    <cellStyle name="Header2 3 68 8" xfId="24278"/>
    <cellStyle name="Header2 3 68 9" xfId="24279"/>
    <cellStyle name="Header2 3 69" xfId="4752"/>
    <cellStyle name="Header2 3 69 10" xfId="24280"/>
    <cellStyle name="Header2 3 69 2" xfId="24281"/>
    <cellStyle name="Header2 3 69 3" xfId="24282"/>
    <cellStyle name="Header2 3 69 4" xfId="24283"/>
    <cellStyle name="Header2 3 69 5" xfId="24284"/>
    <cellStyle name="Header2 3 69 6" xfId="24285"/>
    <cellStyle name="Header2 3 69 7" xfId="24286"/>
    <cellStyle name="Header2 3 69 8" xfId="24287"/>
    <cellStyle name="Header2 3 69 9" xfId="24288"/>
    <cellStyle name="Header2 3 7" xfId="4753"/>
    <cellStyle name="Header2 3 7 2" xfId="24289"/>
    <cellStyle name="Header2 3 7 3" xfId="24290"/>
    <cellStyle name="Header2 3 7 4" xfId="24291"/>
    <cellStyle name="Header2 3 7 5" xfId="24292"/>
    <cellStyle name="Header2 3 7 6" xfId="24293"/>
    <cellStyle name="Header2 3 7 7" xfId="24294"/>
    <cellStyle name="Header2 3 7 8" xfId="24295"/>
    <cellStyle name="Header2 3 7 9" xfId="24296"/>
    <cellStyle name="Header2 3 70" xfId="4754"/>
    <cellStyle name="Header2 3 70 10" xfId="24297"/>
    <cellStyle name="Header2 3 70 2" xfId="24298"/>
    <cellStyle name="Header2 3 70 3" xfId="24299"/>
    <cellStyle name="Header2 3 70 4" xfId="24300"/>
    <cellStyle name="Header2 3 70 5" xfId="24301"/>
    <cellStyle name="Header2 3 70 6" xfId="24302"/>
    <cellStyle name="Header2 3 70 7" xfId="24303"/>
    <cellStyle name="Header2 3 70 8" xfId="24304"/>
    <cellStyle name="Header2 3 70 9" xfId="24305"/>
    <cellStyle name="Header2 3 71" xfId="4755"/>
    <cellStyle name="Header2 3 71 10" xfId="24306"/>
    <cellStyle name="Header2 3 71 2" xfId="24307"/>
    <cellStyle name="Header2 3 71 3" xfId="24308"/>
    <cellStyle name="Header2 3 71 4" xfId="24309"/>
    <cellStyle name="Header2 3 71 5" xfId="24310"/>
    <cellStyle name="Header2 3 71 6" xfId="24311"/>
    <cellStyle name="Header2 3 71 7" xfId="24312"/>
    <cellStyle name="Header2 3 71 8" xfId="24313"/>
    <cellStyle name="Header2 3 71 9" xfId="24314"/>
    <cellStyle name="Header2 3 72" xfId="4756"/>
    <cellStyle name="Header2 3 72 10" xfId="24315"/>
    <cellStyle name="Header2 3 72 2" xfId="24316"/>
    <cellStyle name="Header2 3 72 3" xfId="24317"/>
    <cellStyle name="Header2 3 72 4" xfId="24318"/>
    <cellStyle name="Header2 3 72 5" xfId="24319"/>
    <cellStyle name="Header2 3 72 6" xfId="24320"/>
    <cellStyle name="Header2 3 72 7" xfId="24321"/>
    <cellStyle name="Header2 3 72 8" xfId="24322"/>
    <cellStyle name="Header2 3 72 9" xfId="24323"/>
    <cellStyle name="Header2 3 73" xfId="4757"/>
    <cellStyle name="Header2 3 73 10" xfId="24324"/>
    <cellStyle name="Header2 3 73 2" xfId="24325"/>
    <cellStyle name="Header2 3 73 3" xfId="24326"/>
    <cellStyle name="Header2 3 73 4" xfId="24327"/>
    <cellStyle name="Header2 3 73 5" xfId="24328"/>
    <cellStyle name="Header2 3 73 6" xfId="24329"/>
    <cellStyle name="Header2 3 73 7" xfId="24330"/>
    <cellStyle name="Header2 3 73 8" xfId="24331"/>
    <cellStyle name="Header2 3 73 9" xfId="24332"/>
    <cellStyle name="Header2 3 74" xfId="4758"/>
    <cellStyle name="Header2 3 74 10" xfId="24333"/>
    <cellStyle name="Header2 3 74 2" xfId="24334"/>
    <cellStyle name="Header2 3 74 3" xfId="24335"/>
    <cellStyle name="Header2 3 74 4" xfId="24336"/>
    <cellStyle name="Header2 3 74 5" xfId="24337"/>
    <cellStyle name="Header2 3 74 6" xfId="24338"/>
    <cellStyle name="Header2 3 74 7" xfId="24339"/>
    <cellStyle name="Header2 3 74 8" xfId="24340"/>
    <cellStyle name="Header2 3 74 9" xfId="24341"/>
    <cellStyle name="Header2 3 75" xfId="4759"/>
    <cellStyle name="Header2 3 75 10" xfId="24342"/>
    <cellStyle name="Header2 3 75 2" xfId="24343"/>
    <cellStyle name="Header2 3 75 3" xfId="24344"/>
    <cellStyle name="Header2 3 75 4" xfId="24345"/>
    <cellStyle name="Header2 3 75 5" xfId="24346"/>
    <cellStyle name="Header2 3 75 6" xfId="24347"/>
    <cellStyle name="Header2 3 75 7" xfId="24348"/>
    <cellStyle name="Header2 3 75 8" xfId="24349"/>
    <cellStyle name="Header2 3 75 9" xfId="24350"/>
    <cellStyle name="Header2 3 76" xfId="4760"/>
    <cellStyle name="Header2 3 76 10" xfId="24351"/>
    <cellStyle name="Header2 3 76 2" xfId="24352"/>
    <cellStyle name="Header2 3 76 3" xfId="24353"/>
    <cellStyle name="Header2 3 76 4" xfId="24354"/>
    <cellStyle name="Header2 3 76 5" xfId="24355"/>
    <cellStyle name="Header2 3 76 6" xfId="24356"/>
    <cellStyle name="Header2 3 76 7" xfId="24357"/>
    <cellStyle name="Header2 3 76 8" xfId="24358"/>
    <cellStyle name="Header2 3 76 9" xfId="24359"/>
    <cellStyle name="Header2 3 77" xfId="4761"/>
    <cellStyle name="Header2 3 77 10" xfId="24360"/>
    <cellStyle name="Header2 3 77 2" xfId="24361"/>
    <cellStyle name="Header2 3 77 3" xfId="24362"/>
    <cellStyle name="Header2 3 77 4" xfId="24363"/>
    <cellStyle name="Header2 3 77 5" xfId="24364"/>
    <cellStyle name="Header2 3 77 6" xfId="24365"/>
    <cellStyle name="Header2 3 77 7" xfId="24366"/>
    <cellStyle name="Header2 3 77 8" xfId="24367"/>
    <cellStyle name="Header2 3 77 9" xfId="24368"/>
    <cellStyle name="Header2 3 78" xfId="4762"/>
    <cellStyle name="Header2 3 78 10" xfId="24369"/>
    <cellStyle name="Header2 3 78 2" xfId="24370"/>
    <cellStyle name="Header2 3 78 3" xfId="24371"/>
    <cellStyle name="Header2 3 78 4" xfId="24372"/>
    <cellStyle name="Header2 3 78 5" xfId="24373"/>
    <cellStyle name="Header2 3 78 6" xfId="24374"/>
    <cellStyle name="Header2 3 78 7" xfId="24375"/>
    <cellStyle name="Header2 3 78 8" xfId="24376"/>
    <cellStyle name="Header2 3 78 9" xfId="24377"/>
    <cellStyle name="Header2 3 79" xfId="4763"/>
    <cellStyle name="Header2 3 79 10" xfId="24378"/>
    <cellStyle name="Header2 3 79 2" xfId="24379"/>
    <cellStyle name="Header2 3 79 3" xfId="24380"/>
    <cellStyle name="Header2 3 79 4" xfId="24381"/>
    <cellStyle name="Header2 3 79 5" xfId="24382"/>
    <cellStyle name="Header2 3 79 6" xfId="24383"/>
    <cellStyle name="Header2 3 79 7" xfId="24384"/>
    <cellStyle name="Header2 3 79 8" xfId="24385"/>
    <cellStyle name="Header2 3 79 9" xfId="24386"/>
    <cellStyle name="Header2 3 8" xfId="4764"/>
    <cellStyle name="Header2 3 8 2" xfId="24387"/>
    <cellStyle name="Header2 3 8 3" xfId="24388"/>
    <cellStyle name="Header2 3 8 4" xfId="24389"/>
    <cellStyle name="Header2 3 8 5" xfId="24390"/>
    <cellStyle name="Header2 3 8 6" xfId="24391"/>
    <cellStyle name="Header2 3 8 7" xfId="24392"/>
    <cellStyle name="Header2 3 8 8" xfId="24393"/>
    <cellStyle name="Header2 3 8 9" xfId="24394"/>
    <cellStyle name="Header2 3 80" xfId="4765"/>
    <cellStyle name="Header2 3 80 10" xfId="24395"/>
    <cellStyle name="Header2 3 80 2" xfId="24396"/>
    <cellStyle name="Header2 3 80 3" xfId="24397"/>
    <cellStyle name="Header2 3 80 4" xfId="24398"/>
    <cellStyle name="Header2 3 80 5" xfId="24399"/>
    <cellStyle name="Header2 3 80 6" xfId="24400"/>
    <cellStyle name="Header2 3 80 7" xfId="24401"/>
    <cellStyle name="Header2 3 80 8" xfId="24402"/>
    <cellStyle name="Header2 3 80 9" xfId="24403"/>
    <cellStyle name="Header2 3 81" xfId="4766"/>
    <cellStyle name="Header2 3 81 10" xfId="24404"/>
    <cellStyle name="Header2 3 81 2" xfId="24405"/>
    <cellStyle name="Header2 3 81 3" xfId="24406"/>
    <cellStyle name="Header2 3 81 4" xfId="24407"/>
    <cellStyle name="Header2 3 81 5" xfId="24408"/>
    <cellStyle name="Header2 3 81 6" xfId="24409"/>
    <cellStyle name="Header2 3 81 7" xfId="24410"/>
    <cellStyle name="Header2 3 81 8" xfId="24411"/>
    <cellStyle name="Header2 3 81 9" xfId="24412"/>
    <cellStyle name="Header2 3 82" xfId="4767"/>
    <cellStyle name="Header2 3 82 10" xfId="24413"/>
    <cellStyle name="Header2 3 82 2" xfId="24414"/>
    <cellStyle name="Header2 3 82 3" xfId="24415"/>
    <cellStyle name="Header2 3 82 4" xfId="24416"/>
    <cellStyle name="Header2 3 82 5" xfId="24417"/>
    <cellStyle name="Header2 3 82 6" xfId="24418"/>
    <cellStyle name="Header2 3 82 7" xfId="24419"/>
    <cellStyle name="Header2 3 82 8" xfId="24420"/>
    <cellStyle name="Header2 3 82 9" xfId="24421"/>
    <cellStyle name="Header2 3 83" xfId="4768"/>
    <cellStyle name="Header2 3 83 10" xfId="24422"/>
    <cellStyle name="Header2 3 83 2" xfId="24423"/>
    <cellStyle name="Header2 3 83 3" xfId="24424"/>
    <cellStyle name="Header2 3 83 4" xfId="24425"/>
    <cellStyle name="Header2 3 83 5" xfId="24426"/>
    <cellStyle name="Header2 3 83 6" xfId="24427"/>
    <cellStyle name="Header2 3 83 7" xfId="24428"/>
    <cellStyle name="Header2 3 83 8" xfId="24429"/>
    <cellStyle name="Header2 3 83 9" xfId="24430"/>
    <cellStyle name="Header2 3 84" xfId="4769"/>
    <cellStyle name="Header2 3 84 10" xfId="24431"/>
    <cellStyle name="Header2 3 84 2" xfId="24432"/>
    <cellStyle name="Header2 3 84 3" xfId="24433"/>
    <cellStyle name="Header2 3 84 4" xfId="24434"/>
    <cellStyle name="Header2 3 84 5" xfId="24435"/>
    <cellStyle name="Header2 3 84 6" xfId="24436"/>
    <cellStyle name="Header2 3 84 7" xfId="24437"/>
    <cellStyle name="Header2 3 84 8" xfId="24438"/>
    <cellStyle name="Header2 3 84 9" xfId="24439"/>
    <cellStyle name="Header2 3 85" xfId="4770"/>
    <cellStyle name="Header2 3 85 10" xfId="24440"/>
    <cellStyle name="Header2 3 85 2" xfId="24441"/>
    <cellStyle name="Header2 3 85 3" xfId="24442"/>
    <cellStyle name="Header2 3 85 4" xfId="24443"/>
    <cellStyle name="Header2 3 85 5" xfId="24444"/>
    <cellStyle name="Header2 3 85 6" xfId="24445"/>
    <cellStyle name="Header2 3 85 7" xfId="24446"/>
    <cellStyle name="Header2 3 85 8" xfId="24447"/>
    <cellStyle name="Header2 3 85 9" xfId="24448"/>
    <cellStyle name="Header2 3 86" xfId="4771"/>
    <cellStyle name="Header2 3 86 10" xfId="24449"/>
    <cellStyle name="Header2 3 86 2" xfId="24450"/>
    <cellStyle name="Header2 3 86 3" xfId="24451"/>
    <cellStyle name="Header2 3 86 4" xfId="24452"/>
    <cellStyle name="Header2 3 86 5" xfId="24453"/>
    <cellStyle name="Header2 3 86 6" xfId="24454"/>
    <cellStyle name="Header2 3 86 7" xfId="24455"/>
    <cellStyle name="Header2 3 86 8" xfId="24456"/>
    <cellStyle name="Header2 3 86 9" xfId="24457"/>
    <cellStyle name="Header2 3 87" xfId="4772"/>
    <cellStyle name="Header2 3 87 10" xfId="24458"/>
    <cellStyle name="Header2 3 87 2" xfId="24459"/>
    <cellStyle name="Header2 3 87 3" xfId="24460"/>
    <cellStyle name="Header2 3 87 4" xfId="24461"/>
    <cellStyle name="Header2 3 87 5" xfId="24462"/>
    <cellStyle name="Header2 3 87 6" xfId="24463"/>
    <cellStyle name="Header2 3 87 7" xfId="24464"/>
    <cellStyle name="Header2 3 87 8" xfId="24465"/>
    <cellStyle name="Header2 3 87 9" xfId="24466"/>
    <cellStyle name="Header2 3 88" xfId="4773"/>
    <cellStyle name="Header2 3 88 10" xfId="24467"/>
    <cellStyle name="Header2 3 88 2" xfId="24468"/>
    <cellStyle name="Header2 3 88 3" xfId="24469"/>
    <cellStyle name="Header2 3 88 4" xfId="24470"/>
    <cellStyle name="Header2 3 88 5" xfId="24471"/>
    <cellStyle name="Header2 3 88 6" xfId="24472"/>
    <cellStyle name="Header2 3 88 7" xfId="24473"/>
    <cellStyle name="Header2 3 88 8" xfId="24474"/>
    <cellStyle name="Header2 3 88 9" xfId="24475"/>
    <cellStyle name="Header2 3 89" xfId="4774"/>
    <cellStyle name="Header2 3 89 10" xfId="24476"/>
    <cellStyle name="Header2 3 89 2" xfId="24477"/>
    <cellStyle name="Header2 3 89 3" xfId="24478"/>
    <cellStyle name="Header2 3 89 4" xfId="24479"/>
    <cellStyle name="Header2 3 89 5" xfId="24480"/>
    <cellStyle name="Header2 3 89 6" xfId="24481"/>
    <cellStyle name="Header2 3 89 7" xfId="24482"/>
    <cellStyle name="Header2 3 89 8" xfId="24483"/>
    <cellStyle name="Header2 3 89 9" xfId="24484"/>
    <cellStyle name="Header2 3 9" xfId="4775"/>
    <cellStyle name="Header2 3 9 2" xfId="24485"/>
    <cellStyle name="Header2 3 9 3" xfId="24486"/>
    <cellStyle name="Header2 3 9 4" xfId="24487"/>
    <cellStyle name="Header2 3 9 5" xfId="24488"/>
    <cellStyle name="Header2 3 9 6" xfId="24489"/>
    <cellStyle name="Header2 3 9 7" xfId="24490"/>
    <cellStyle name="Header2 3 9 8" xfId="24491"/>
    <cellStyle name="Header2 3 9 9" xfId="24492"/>
    <cellStyle name="Header2 3 90" xfId="4776"/>
    <cellStyle name="Header2 3 90 10" xfId="24493"/>
    <cellStyle name="Header2 3 90 2" xfId="24494"/>
    <cellStyle name="Header2 3 90 3" xfId="24495"/>
    <cellStyle name="Header2 3 90 4" xfId="24496"/>
    <cellStyle name="Header2 3 90 5" xfId="24497"/>
    <cellStyle name="Header2 3 90 6" xfId="24498"/>
    <cellStyle name="Header2 3 90 7" xfId="24499"/>
    <cellStyle name="Header2 3 90 8" xfId="24500"/>
    <cellStyle name="Header2 3 90 9" xfId="24501"/>
    <cellStyle name="Header2 3 91" xfId="4777"/>
    <cellStyle name="Header2 3 91 10" xfId="24502"/>
    <cellStyle name="Header2 3 91 2" xfId="24503"/>
    <cellStyle name="Header2 3 91 3" xfId="24504"/>
    <cellStyle name="Header2 3 91 4" xfId="24505"/>
    <cellStyle name="Header2 3 91 5" xfId="24506"/>
    <cellStyle name="Header2 3 91 6" xfId="24507"/>
    <cellStyle name="Header2 3 91 7" xfId="24508"/>
    <cellStyle name="Header2 3 91 8" xfId="24509"/>
    <cellStyle name="Header2 3 91 9" xfId="24510"/>
    <cellStyle name="Header2 3 92" xfId="4778"/>
    <cellStyle name="Header2 3 92 10" xfId="24511"/>
    <cellStyle name="Header2 3 92 2" xfId="24512"/>
    <cellStyle name="Header2 3 92 3" xfId="24513"/>
    <cellStyle name="Header2 3 92 4" xfId="24514"/>
    <cellStyle name="Header2 3 92 5" xfId="24515"/>
    <cellStyle name="Header2 3 92 6" xfId="24516"/>
    <cellStyle name="Header2 3 92 7" xfId="24517"/>
    <cellStyle name="Header2 3 92 8" xfId="24518"/>
    <cellStyle name="Header2 3 92 9" xfId="24519"/>
    <cellStyle name="Header2 3 93" xfId="4779"/>
    <cellStyle name="Header2 3 93 2" xfId="24520"/>
    <cellStyle name="Header2 3 93 3" xfId="24521"/>
    <cellStyle name="Header2 3 93 4" xfId="24522"/>
    <cellStyle name="Header2 3 93 5" xfId="24523"/>
    <cellStyle name="Header2 3 93 6" xfId="24524"/>
    <cellStyle name="Header2 3 93 7" xfId="24525"/>
    <cellStyle name="Header2 3 93 8" xfId="24526"/>
    <cellStyle name="Header2 3 93 9" xfId="24527"/>
    <cellStyle name="Header2 3 94" xfId="11477"/>
    <cellStyle name="Header2 3 95" xfId="24528"/>
    <cellStyle name="Header2 3 96" xfId="24529"/>
    <cellStyle name="Header2 3 97" xfId="24530"/>
    <cellStyle name="Header2 3 98" xfId="24531"/>
    <cellStyle name="Header2 3 99" xfId="24532"/>
    <cellStyle name="Header2 3_Cashflow trend" xfId="1159"/>
    <cellStyle name="Header2 30" xfId="4780"/>
    <cellStyle name="Header2 30 10" xfId="24533"/>
    <cellStyle name="Header2 30 2" xfId="24534"/>
    <cellStyle name="Header2 30 3" xfId="24535"/>
    <cellStyle name="Header2 30 4" xfId="24536"/>
    <cellStyle name="Header2 30 5" xfId="24537"/>
    <cellStyle name="Header2 30 6" xfId="24538"/>
    <cellStyle name="Header2 30 7" xfId="24539"/>
    <cellStyle name="Header2 30 8" xfId="24540"/>
    <cellStyle name="Header2 30 9" xfId="24541"/>
    <cellStyle name="Header2 31" xfId="4781"/>
    <cellStyle name="Header2 31 10" xfId="24542"/>
    <cellStyle name="Header2 31 2" xfId="24543"/>
    <cellStyle name="Header2 31 3" xfId="24544"/>
    <cellStyle name="Header2 31 4" xfId="24545"/>
    <cellStyle name="Header2 31 5" xfId="24546"/>
    <cellStyle name="Header2 31 6" xfId="24547"/>
    <cellStyle name="Header2 31 7" xfId="24548"/>
    <cellStyle name="Header2 31 8" xfId="24549"/>
    <cellStyle name="Header2 31 9" xfId="24550"/>
    <cellStyle name="Header2 32" xfId="4782"/>
    <cellStyle name="Header2 32 10" xfId="24551"/>
    <cellStyle name="Header2 32 2" xfId="24552"/>
    <cellStyle name="Header2 32 3" xfId="24553"/>
    <cellStyle name="Header2 32 4" xfId="24554"/>
    <cellStyle name="Header2 32 5" xfId="24555"/>
    <cellStyle name="Header2 32 6" xfId="24556"/>
    <cellStyle name="Header2 32 7" xfId="24557"/>
    <cellStyle name="Header2 32 8" xfId="24558"/>
    <cellStyle name="Header2 32 9" xfId="24559"/>
    <cellStyle name="Header2 33" xfId="4783"/>
    <cellStyle name="Header2 33 2" xfId="24560"/>
    <cellStyle name="Header2 33 3" xfId="24561"/>
    <cellStyle name="Header2 33 4" xfId="24562"/>
    <cellStyle name="Header2 33 5" xfId="24563"/>
    <cellStyle name="Header2 33 6" xfId="24564"/>
    <cellStyle name="Header2 33 7" xfId="24565"/>
    <cellStyle name="Header2 33 8" xfId="24566"/>
    <cellStyle name="Header2 33 9" xfId="24567"/>
    <cellStyle name="Header2 34" xfId="4784"/>
    <cellStyle name="Header2 34 10" xfId="24568"/>
    <cellStyle name="Header2 34 2" xfId="24569"/>
    <cellStyle name="Header2 34 3" xfId="24570"/>
    <cellStyle name="Header2 34 4" xfId="24571"/>
    <cellStyle name="Header2 34 5" xfId="24572"/>
    <cellStyle name="Header2 34 6" xfId="24573"/>
    <cellStyle name="Header2 34 7" xfId="24574"/>
    <cellStyle name="Header2 34 8" xfId="24575"/>
    <cellStyle name="Header2 34 9" xfId="24576"/>
    <cellStyle name="Header2 35" xfId="4785"/>
    <cellStyle name="Header2 35 10" xfId="24577"/>
    <cellStyle name="Header2 35 2" xfId="24578"/>
    <cellStyle name="Header2 35 3" xfId="24579"/>
    <cellStyle name="Header2 35 4" xfId="24580"/>
    <cellStyle name="Header2 35 5" xfId="24581"/>
    <cellStyle name="Header2 35 6" xfId="24582"/>
    <cellStyle name="Header2 35 7" xfId="24583"/>
    <cellStyle name="Header2 35 8" xfId="24584"/>
    <cellStyle name="Header2 35 9" xfId="24585"/>
    <cellStyle name="Header2 36" xfId="4786"/>
    <cellStyle name="Header2 36 10" xfId="24586"/>
    <cellStyle name="Header2 36 2" xfId="24587"/>
    <cellStyle name="Header2 36 3" xfId="24588"/>
    <cellStyle name="Header2 36 4" xfId="24589"/>
    <cellStyle name="Header2 36 5" xfId="24590"/>
    <cellStyle name="Header2 36 6" xfId="24591"/>
    <cellStyle name="Header2 36 7" xfId="24592"/>
    <cellStyle name="Header2 36 8" xfId="24593"/>
    <cellStyle name="Header2 36 9" xfId="24594"/>
    <cellStyle name="Header2 37" xfId="4787"/>
    <cellStyle name="Header2 37 10" xfId="24595"/>
    <cellStyle name="Header2 37 2" xfId="24596"/>
    <cellStyle name="Header2 37 3" xfId="24597"/>
    <cellStyle name="Header2 37 4" xfId="24598"/>
    <cellStyle name="Header2 37 5" xfId="24599"/>
    <cellStyle name="Header2 37 6" xfId="24600"/>
    <cellStyle name="Header2 37 7" xfId="24601"/>
    <cellStyle name="Header2 37 8" xfId="24602"/>
    <cellStyle name="Header2 37 9" xfId="24603"/>
    <cellStyle name="Header2 38" xfId="4788"/>
    <cellStyle name="Header2 38 10" xfId="24604"/>
    <cellStyle name="Header2 38 2" xfId="24605"/>
    <cellStyle name="Header2 38 3" xfId="24606"/>
    <cellStyle name="Header2 38 4" xfId="24607"/>
    <cellStyle name="Header2 38 5" xfId="24608"/>
    <cellStyle name="Header2 38 6" xfId="24609"/>
    <cellStyle name="Header2 38 7" xfId="24610"/>
    <cellStyle name="Header2 38 8" xfId="24611"/>
    <cellStyle name="Header2 38 9" xfId="24612"/>
    <cellStyle name="Header2 39" xfId="4789"/>
    <cellStyle name="Header2 39 10" xfId="24613"/>
    <cellStyle name="Header2 39 2" xfId="24614"/>
    <cellStyle name="Header2 39 3" xfId="24615"/>
    <cellStyle name="Header2 39 4" xfId="24616"/>
    <cellStyle name="Header2 39 5" xfId="24617"/>
    <cellStyle name="Header2 39 6" xfId="24618"/>
    <cellStyle name="Header2 39 7" xfId="24619"/>
    <cellStyle name="Header2 39 8" xfId="24620"/>
    <cellStyle name="Header2 39 9" xfId="24621"/>
    <cellStyle name="Header2 4" xfId="1160"/>
    <cellStyle name="Header2 4 10" xfId="4790"/>
    <cellStyle name="Header2 4 10 2" xfId="24622"/>
    <cellStyle name="Header2 4 10 3" xfId="24623"/>
    <cellStyle name="Header2 4 10 4" xfId="24624"/>
    <cellStyle name="Header2 4 10 5" xfId="24625"/>
    <cellStyle name="Header2 4 10 6" xfId="24626"/>
    <cellStyle name="Header2 4 10 7" xfId="24627"/>
    <cellStyle name="Header2 4 10 8" xfId="24628"/>
    <cellStyle name="Header2 4 10 9" xfId="24629"/>
    <cellStyle name="Header2 4 100" xfId="24630"/>
    <cellStyle name="Header2 4 101" xfId="24631"/>
    <cellStyle name="Header2 4 102" xfId="24632"/>
    <cellStyle name="Header2 4 11" xfId="4791"/>
    <cellStyle name="Header2 4 11 2" xfId="24633"/>
    <cellStyle name="Header2 4 11 3" xfId="24634"/>
    <cellStyle name="Header2 4 11 4" xfId="24635"/>
    <cellStyle name="Header2 4 11 5" xfId="24636"/>
    <cellStyle name="Header2 4 11 6" xfId="24637"/>
    <cellStyle name="Header2 4 11 7" xfId="24638"/>
    <cellStyle name="Header2 4 11 8" xfId="24639"/>
    <cellStyle name="Header2 4 11 9" xfId="24640"/>
    <cellStyle name="Header2 4 12" xfId="4792"/>
    <cellStyle name="Header2 4 12 2" xfId="24641"/>
    <cellStyle name="Header2 4 12 3" xfId="24642"/>
    <cellStyle name="Header2 4 12 4" xfId="24643"/>
    <cellStyle name="Header2 4 12 5" xfId="24644"/>
    <cellStyle name="Header2 4 12 6" xfId="24645"/>
    <cellStyle name="Header2 4 12 7" xfId="24646"/>
    <cellStyle name="Header2 4 12 8" xfId="24647"/>
    <cellStyle name="Header2 4 12 9" xfId="24648"/>
    <cellStyle name="Header2 4 13" xfId="4793"/>
    <cellStyle name="Header2 4 13 2" xfId="24649"/>
    <cellStyle name="Header2 4 13 3" xfId="24650"/>
    <cellStyle name="Header2 4 13 4" xfId="24651"/>
    <cellStyle name="Header2 4 13 5" xfId="24652"/>
    <cellStyle name="Header2 4 13 6" xfId="24653"/>
    <cellStyle name="Header2 4 13 7" xfId="24654"/>
    <cellStyle name="Header2 4 13 8" xfId="24655"/>
    <cellStyle name="Header2 4 13 9" xfId="24656"/>
    <cellStyle name="Header2 4 14" xfId="4794"/>
    <cellStyle name="Header2 4 14 2" xfId="24657"/>
    <cellStyle name="Header2 4 14 3" xfId="24658"/>
    <cellStyle name="Header2 4 14 4" xfId="24659"/>
    <cellStyle name="Header2 4 14 5" xfId="24660"/>
    <cellStyle name="Header2 4 14 6" xfId="24661"/>
    <cellStyle name="Header2 4 14 7" xfId="24662"/>
    <cellStyle name="Header2 4 14 8" xfId="24663"/>
    <cellStyle name="Header2 4 14 9" xfId="24664"/>
    <cellStyle name="Header2 4 15" xfId="4795"/>
    <cellStyle name="Header2 4 15 2" xfId="24665"/>
    <cellStyle name="Header2 4 15 3" xfId="24666"/>
    <cellStyle name="Header2 4 15 4" xfId="24667"/>
    <cellStyle name="Header2 4 15 5" xfId="24668"/>
    <cellStyle name="Header2 4 15 6" xfId="24669"/>
    <cellStyle name="Header2 4 15 7" xfId="24670"/>
    <cellStyle name="Header2 4 15 8" xfId="24671"/>
    <cellStyle name="Header2 4 15 9" xfId="24672"/>
    <cellStyle name="Header2 4 16" xfId="4796"/>
    <cellStyle name="Header2 4 16 2" xfId="24673"/>
    <cellStyle name="Header2 4 16 3" xfId="24674"/>
    <cellStyle name="Header2 4 16 4" xfId="24675"/>
    <cellStyle name="Header2 4 16 5" xfId="24676"/>
    <cellStyle name="Header2 4 16 6" xfId="24677"/>
    <cellStyle name="Header2 4 16 7" xfId="24678"/>
    <cellStyle name="Header2 4 16 8" xfId="24679"/>
    <cellStyle name="Header2 4 16 9" xfId="24680"/>
    <cellStyle name="Header2 4 17" xfId="4797"/>
    <cellStyle name="Header2 4 17 2" xfId="24681"/>
    <cellStyle name="Header2 4 17 3" xfId="24682"/>
    <cellStyle name="Header2 4 17 4" xfId="24683"/>
    <cellStyle name="Header2 4 17 5" xfId="24684"/>
    <cellStyle name="Header2 4 17 6" xfId="24685"/>
    <cellStyle name="Header2 4 17 7" xfId="24686"/>
    <cellStyle name="Header2 4 17 8" xfId="24687"/>
    <cellStyle name="Header2 4 17 9" xfId="24688"/>
    <cellStyle name="Header2 4 18" xfId="4798"/>
    <cellStyle name="Header2 4 18 2" xfId="24689"/>
    <cellStyle name="Header2 4 18 3" xfId="24690"/>
    <cellStyle name="Header2 4 18 4" xfId="24691"/>
    <cellStyle name="Header2 4 18 5" xfId="24692"/>
    <cellStyle name="Header2 4 18 6" xfId="24693"/>
    <cellStyle name="Header2 4 18 7" xfId="24694"/>
    <cellStyle name="Header2 4 18 8" xfId="24695"/>
    <cellStyle name="Header2 4 18 9" xfId="24696"/>
    <cellStyle name="Header2 4 19" xfId="4799"/>
    <cellStyle name="Header2 4 19 2" xfId="24697"/>
    <cellStyle name="Header2 4 19 3" xfId="24698"/>
    <cellStyle name="Header2 4 19 4" xfId="24699"/>
    <cellStyle name="Header2 4 19 5" xfId="24700"/>
    <cellStyle name="Header2 4 19 6" xfId="24701"/>
    <cellStyle name="Header2 4 19 7" xfId="24702"/>
    <cellStyle name="Header2 4 19 8" xfId="24703"/>
    <cellStyle name="Header2 4 19 9" xfId="24704"/>
    <cellStyle name="Header2 4 2" xfId="1161"/>
    <cellStyle name="Header2 4 2 10" xfId="24705"/>
    <cellStyle name="Header2 4 2 11" xfId="24706"/>
    <cellStyle name="Header2 4 2 2" xfId="1162"/>
    <cellStyle name="Header2 4 2 2 2" xfId="12748"/>
    <cellStyle name="Header2 4 2 2_YL Capex Cashflow &amp; Dep" xfId="12106"/>
    <cellStyle name="Header2 4 2 3" xfId="12046"/>
    <cellStyle name="Header2 4 2 4" xfId="24707"/>
    <cellStyle name="Header2 4 2 5" xfId="24708"/>
    <cellStyle name="Header2 4 2 6" xfId="24709"/>
    <cellStyle name="Header2 4 2 7" xfId="24710"/>
    <cellStyle name="Header2 4 2 8" xfId="24711"/>
    <cellStyle name="Header2 4 2 9" xfId="24712"/>
    <cellStyle name="Header2 4 2_Cashflow trend" xfId="1163"/>
    <cellStyle name="Header2 4 20" xfId="4800"/>
    <cellStyle name="Header2 4 20 10" xfId="24713"/>
    <cellStyle name="Header2 4 20 2" xfId="24714"/>
    <cellStyle name="Header2 4 20 3" xfId="24715"/>
    <cellStyle name="Header2 4 20 4" xfId="24716"/>
    <cellStyle name="Header2 4 20 5" xfId="24717"/>
    <cellStyle name="Header2 4 20 6" xfId="24718"/>
    <cellStyle name="Header2 4 20 7" xfId="24719"/>
    <cellStyle name="Header2 4 20 8" xfId="24720"/>
    <cellStyle name="Header2 4 20 9" xfId="24721"/>
    <cellStyle name="Header2 4 21" xfId="4801"/>
    <cellStyle name="Header2 4 21 10" xfId="24722"/>
    <cellStyle name="Header2 4 21 2" xfId="24723"/>
    <cellStyle name="Header2 4 21 3" xfId="24724"/>
    <cellStyle name="Header2 4 21 4" xfId="24725"/>
    <cellStyle name="Header2 4 21 5" xfId="24726"/>
    <cellStyle name="Header2 4 21 6" xfId="24727"/>
    <cellStyle name="Header2 4 21 7" xfId="24728"/>
    <cellStyle name="Header2 4 21 8" xfId="24729"/>
    <cellStyle name="Header2 4 21 9" xfId="24730"/>
    <cellStyle name="Header2 4 22" xfId="4802"/>
    <cellStyle name="Header2 4 22 10" xfId="24731"/>
    <cellStyle name="Header2 4 22 2" xfId="24732"/>
    <cellStyle name="Header2 4 22 3" xfId="24733"/>
    <cellStyle name="Header2 4 22 4" xfId="24734"/>
    <cellStyle name="Header2 4 22 5" xfId="24735"/>
    <cellStyle name="Header2 4 22 6" xfId="24736"/>
    <cellStyle name="Header2 4 22 7" xfId="24737"/>
    <cellStyle name="Header2 4 22 8" xfId="24738"/>
    <cellStyle name="Header2 4 22 9" xfId="24739"/>
    <cellStyle name="Header2 4 23" xfId="4803"/>
    <cellStyle name="Header2 4 23 10" xfId="24740"/>
    <cellStyle name="Header2 4 23 2" xfId="24741"/>
    <cellStyle name="Header2 4 23 3" xfId="24742"/>
    <cellStyle name="Header2 4 23 4" xfId="24743"/>
    <cellStyle name="Header2 4 23 5" xfId="24744"/>
    <cellStyle name="Header2 4 23 6" xfId="24745"/>
    <cellStyle name="Header2 4 23 7" xfId="24746"/>
    <cellStyle name="Header2 4 23 8" xfId="24747"/>
    <cellStyle name="Header2 4 23 9" xfId="24748"/>
    <cellStyle name="Header2 4 24" xfId="4804"/>
    <cellStyle name="Header2 4 24 10" xfId="24749"/>
    <cellStyle name="Header2 4 24 2" xfId="24750"/>
    <cellStyle name="Header2 4 24 3" xfId="24751"/>
    <cellStyle name="Header2 4 24 4" xfId="24752"/>
    <cellStyle name="Header2 4 24 5" xfId="24753"/>
    <cellStyle name="Header2 4 24 6" xfId="24754"/>
    <cellStyle name="Header2 4 24 7" xfId="24755"/>
    <cellStyle name="Header2 4 24 8" xfId="24756"/>
    <cellStyle name="Header2 4 24 9" xfId="24757"/>
    <cellStyle name="Header2 4 25" xfId="4805"/>
    <cellStyle name="Header2 4 25 10" xfId="24758"/>
    <cellStyle name="Header2 4 25 2" xfId="24759"/>
    <cellStyle name="Header2 4 25 3" xfId="24760"/>
    <cellStyle name="Header2 4 25 4" xfId="24761"/>
    <cellStyle name="Header2 4 25 5" xfId="24762"/>
    <cellStyle name="Header2 4 25 6" xfId="24763"/>
    <cellStyle name="Header2 4 25 7" xfId="24764"/>
    <cellStyle name="Header2 4 25 8" xfId="24765"/>
    <cellStyle name="Header2 4 25 9" xfId="24766"/>
    <cellStyle name="Header2 4 26" xfId="4806"/>
    <cellStyle name="Header2 4 26 10" xfId="24767"/>
    <cellStyle name="Header2 4 26 2" xfId="24768"/>
    <cellStyle name="Header2 4 26 3" xfId="24769"/>
    <cellStyle name="Header2 4 26 4" xfId="24770"/>
    <cellStyle name="Header2 4 26 5" xfId="24771"/>
    <cellStyle name="Header2 4 26 6" xfId="24772"/>
    <cellStyle name="Header2 4 26 7" xfId="24773"/>
    <cellStyle name="Header2 4 26 8" xfId="24774"/>
    <cellStyle name="Header2 4 26 9" xfId="24775"/>
    <cellStyle name="Header2 4 27" xfId="4807"/>
    <cellStyle name="Header2 4 27 10" xfId="24776"/>
    <cellStyle name="Header2 4 27 2" xfId="24777"/>
    <cellStyle name="Header2 4 27 3" xfId="24778"/>
    <cellStyle name="Header2 4 27 4" xfId="24779"/>
    <cellStyle name="Header2 4 27 5" xfId="24780"/>
    <cellStyle name="Header2 4 27 6" xfId="24781"/>
    <cellStyle name="Header2 4 27 7" xfId="24782"/>
    <cellStyle name="Header2 4 27 8" xfId="24783"/>
    <cellStyle name="Header2 4 27 9" xfId="24784"/>
    <cellStyle name="Header2 4 28" xfId="4808"/>
    <cellStyle name="Header2 4 28 10" xfId="24785"/>
    <cellStyle name="Header2 4 28 2" xfId="24786"/>
    <cellStyle name="Header2 4 28 3" xfId="24787"/>
    <cellStyle name="Header2 4 28 4" xfId="24788"/>
    <cellStyle name="Header2 4 28 5" xfId="24789"/>
    <cellStyle name="Header2 4 28 6" xfId="24790"/>
    <cellStyle name="Header2 4 28 7" xfId="24791"/>
    <cellStyle name="Header2 4 28 8" xfId="24792"/>
    <cellStyle name="Header2 4 28 9" xfId="24793"/>
    <cellStyle name="Header2 4 29" xfId="4809"/>
    <cellStyle name="Header2 4 29 10" xfId="24794"/>
    <cellStyle name="Header2 4 29 2" xfId="24795"/>
    <cellStyle name="Header2 4 29 3" xfId="24796"/>
    <cellStyle name="Header2 4 29 4" xfId="24797"/>
    <cellStyle name="Header2 4 29 5" xfId="24798"/>
    <cellStyle name="Header2 4 29 6" xfId="24799"/>
    <cellStyle name="Header2 4 29 7" xfId="24800"/>
    <cellStyle name="Header2 4 29 8" xfId="24801"/>
    <cellStyle name="Header2 4 29 9" xfId="24802"/>
    <cellStyle name="Header2 4 3" xfId="1164"/>
    <cellStyle name="Header2 4 3 10" xfId="24803"/>
    <cellStyle name="Header2 4 3 2" xfId="1165"/>
    <cellStyle name="Header2 4 3 2 2" xfId="12600"/>
    <cellStyle name="Header2 4 3 2_YL Capex Cashflow &amp; Dep" xfId="12018"/>
    <cellStyle name="Header2 4 3 3" xfId="11903"/>
    <cellStyle name="Header2 4 3 4" xfId="24804"/>
    <cellStyle name="Header2 4 3 5" xfId="24805"/>
    <cellStyle name="Header2 4 3 6" xfId="24806"/>
    <cellStyle name="Header2 4 3 7" xfId="24807"/>
    <cellStyle name="Header2 4 3 8" xfId="24808"/>
    <cellStyle name="Header2 4 3 9" xfId="24809"/>
    <cellStyle name="Header2 4 3_Cashflow trend" xfId="1166"/>
    <cellStyle name="Header2 4 30" xfId="4810"/>
    <cellStyle name="Header2 4 30 10" xfId="24810"/>
    <cellStyle name="Header2 4 30 2" xfId="24811"/>
    <cellStyle name="Header2 4 30 3" xfId="24812"/>
    <cellStyle name="Header2 4 30 4" xfId="24813"/>
    <cellStyle name="Header2 4 30 5" xfId="24814"/>
    <cellStyle name="Header2 4 30 6" xfId="24815"/>
    <cellStyle name="Header2 4 30 7" xfId="24816"/>
    <cellStyle name="Header2 4 30 8" xfId="24817"/>
    <cellStyle name="Header2 4 30 9" xfId="24818"/>
    <cellStyle name="Header2 4 31" xfId="4811"/>
    <cellStyle name="Header2 4 31 10" xfId="24819"/>
    <cellStyle name="Header2 4 31 2" xfId="24820"/>
    <cellStyle name="Header2 4 31 3" xfId="24821"/>
    <cellStyle name="Header2 4 31 4" xfId="24822"/>
    <cellStyle name="Header2 4 31 5" xfId="24823"/>
    <cellStyle name="Header2 4 31 6" xfId="24824"/>
    <cellStyle name="Header2 4 31 7" xfId="24825"/>
    <cellStyle name="Header2 4 31 8" xfId="24826"/>
    <cellStyle name="Header2 4 31 9" xfId="24827"/>
    <cellStyle name="Header2 4 32" xfId="4812"/>
    <cellStyle name="Header2 4 32 10" xfId="24828"/>
    <cellStyle name="Header2 4 32 2" xfId="24829"/>
    <cellStyle name="Header2 4 32 3" xfId="24830"/>
    <cellStyle name="Header2 4 32 4" xfId="24831"/>
    <cellStyle name="Header2 4 32 5" xfId="24832"/>
    <cellStyle name="Header2 4 32 6" xfId="24833"/>
    <cellStyle name="Header2 4 32 7" xfId="24834"/>
    <cellStyle name="Header2 4 32 8" xfId="24835"/>
    <cellStyle name="Header2 4 32 9" xfId="24836"/>
    <cellStyle name="Header2 4 33" xfId="4813"/>
    <cellStyle name="Header2 4 33 10" xfId="24837"/>
    <cellStyle name="Header2 4 33 2" xfId="24838"/>
    <cellStyle name="Header2 4 33 3" xfId="24839"/>
    <cellStyle name="Header2 4 33 4" xfId="24840"/>
    <cellStyle name="Header2 4 33 5" xfId="24841"/>
    <cellStyle name="Header2 4 33 6" xfId="24842"/>
    <cellStyle name="Header2 4 33 7" xfId="24843"/>
    <cellStyle name="Header2 4 33 8" xfId="24844"/>
    <cellStyle name="Header2 4 33 9" xfId="24845"/>
    <cellStyle name="Header2 4 34" xfId="4814"/>
    <cellStyle name="Header2 4 34 10" xfId="24846"/>
    <cellStyle name="Header2 4 34 2" xfId="24847"/>
    <cellStyle name="Header2 4 34 3" xfId="24848"/>
    <cellStyle name="Header2 4 34 4" xfId="24849"/>
    <cellStyle name="Header2 4 34 5" xfId="24850"/>
    <cellStyle name="Header2 4 34 6" xfId="24851"/>
    <cellStyle name="Header2 4 34 7" xfId="24852"/>
    <cellStyle name="Header2 4 34 8" xfId="24853"/>
    <cellStyle name="Header2 4 34 9" xfId="24854"/>
    <cellStyle name="Header2 4 35" xfId="4815"/>
    <cellStyle name="Header2 4 35 10" xfId="24855"/>
    <cellStyle name="Header2 4 35 2" xfId="24856"/>
    <cellStyle name="Header2 4 35 3" xfId="24857"/>
    <cellStyle name="Header2 4 35 4" xfId="24858"/>
    <cellStyle name="Header2 4 35 5" xfId="24859"/>
    <cellStyle name="Header2 4 35 6" xfId="24860"/>
    <cellStyle name="Header2 4 35 7" xfId="24861"/>
    <cellStyle name="Header2 4 35 8" xfId="24862"/>
    <cellStyle name="Header2 4 35 9" xfId="24863"/>
    <cellStyle name="Header2 4 36" xfId="4816"/>
    <cellStyle name="Header2 4 36 10" xfId="24864"/>
    <cellStyle name="Header2 4 36 2" xfId="24865"/>
    <cellStyle name="Header2 4 36 3" xfId="24866"/>
    <cellStyle name="Header2 4 36 4" xfId="24867"/>
    <cellStyle name="Header2 4 36 5" xfId="24868"/>
    <cellStyle name="Header2 4 36 6" xfId="24869"/>
    <cellStyle name="Header2 4 36 7" xfId="24870"/>
    <cellStyle name="Header2 4 36 8" xfId="24871"/>
    <cellStyle name="Header2 4 36 9" xfId="24872"/>
    <cellStyle name="Header2 4 37" xfId="4817"/>
    <cellStyle name="Header2 4 37 10" xfId="24873"/>
    <cellStyle name="Header2 4 37 2" xfId="24874"/>
    <cellStyle name="Header2 4 37 3" xfId="24875"/>
    <cellStyle name="Header2 4 37 4" xfId="24876"/>
    <cellStyle name="Header2 4 37 5" xfId="24877"/>
    <cellStyle name="Header2 4 37 6" xfId="24878"/>
    <cellStyle name="Header2 4 37 7" xfId="24879"/>
    <cellStyle name="Header2 4 37 8" xfId="24880"/>
    <cellStyle name="Header2 4 37 9" xfId="24881"/>
    <cellStyle name="Header2 4 38" xfId="4818"/>
    <cellStyle name="Header2 4 38 10" xfId="24882"/>
    <cellStyle name="Header2 4 38 2" xfId="24883"/>
    <cellStyle name="Header2 4 38 3" xfId="24884"/>
    <cellStyle name="Header2 4 38 4" xfId="24885"/>
    <cellStyle name="Header2 4 38 5" xfId="24886"/>
    <cellStyle name="Header2 4 38 6" xfId="24887"/>
    <cellStyle name="Header2 4 38 7" xfId="24888"/>
    <cellStyle name="Header2 4 38 8" xfId="24889"/>
    <cellStyle name="Header2 4 38 9" xfId="24890"/>
    <cellStyle name="Header2 4 39" xfId="4819"/>
    <cellStyle name="Header2 4 39 10" xfId="24891"/>
    <cellStyle name="Header2 4 39 2" xfId="24892"/>
    <cellStyle name="Header2 4 39 3" xfId="24893"/>
    <cellStyle name="Header2 4 39 4" xfId="24894"/>
    <cellStyle name="Header2 4 39 5" xfId="24895"/>
    <cellStyle name="Header2 4 39 6" xfId="24896"/>
    <cellStyle name="Header2 4 39 7" xfId="24897"/>
    <cellStyle name="Header2 4 39 8" xfId="24898"/>
    <cellStyle name="Header2 4 39 9" xfId="24899"/>
    <cellStyle name="Header2 4 4" xfId="1167"/>
    <cellStyle name="Header2 4 4 10" xfId="24900"/>
    <cellStyle name="Header2 4 4 2" xfId="1168"/>
    <cellStyle name="Header2 4 4 2 2" xfId="13191"/>
    <cellStyle name="Header2 4 4 2_YL Capex Cashflow &amp; Dep" xfId="12068"/>
    <cellStyle name="Header2 4 4 3" xfId="12078"/>
    <cellStyle name="Header2 4 4 4" xfId="24901"/>
    <cellStyle name="Header2 4 4 5" xfId="24902"/>
    <cellStyle name="Header2 4 4 6" xfId="24903"/>
    <cellStyle name="Header2 4 4 7" xfId="24904"/>
    <cellStyle name="Header2 4 4 8" xfId="24905"/>
    <cellStyle name="Header2 4 4 9" xfId="24906"/>
    <cellStyle name="Header2 4 4_Cashflow trend" xfId="1169"/>
    <cellStyle name="Header2 4 40" xfId="4820"/>
    <cellStyle name="Header2 4 40 10" xfId="24907"/>
    <cellStyle name="Header2 4 40 2" xfId="24908"/>
    <cellStyle name="Header2 4 40 3" xfId="24909"/>
    <cellStyle name="Header2 4 40 4" xfId="24910"/>
    <cellStyle name="Header2 4 40 5" xfId="24911"/>
    <cellStyle name="Header2 4 40 6" xfId="24912"/>
    <cellStyle name="Header2 4 40 7" xfId="24913"/>
    <cellStyle name="Header2 4 40 8" xfId="24914"/>
    <cellStyle name="Header2 4 40 9" xfId="24915"/>
    <cellStyle name="Header2 4 41" xfId="4821"/>
    <cellStyle name="Header2 4 41 10" xfId="24916"/>
    <cellStyle name="Header2 4 41 2" xfId="24917"/>
    <cellStyle name="Header2 4 41 3" xfId="24918"/>
    <cellStyle name="Header2 4 41 4" xfId="24919"/>
    <cellStyle name="Header2 4 41 5" xfId="24920"/>
    <cellStyle name="Header2 4 41 6" xfId="24921"/>
    <cellStyle name="Header2 4 41 7" xfId="24922"/>
    <cellStyle name="Header2 4 41 8" xfId="24923"/>
    <cellStyle name="Header2 4 41 9" xfId="24924"/>
    <cellStyle name="Header2 4 42" xfId="4822"/>
    <cellStyle name="Header2 4 42 10" xfId="24925"/>
    <cellStyle name="Header2 4 42 2" xfId="24926"/>
    <cellStyle name="Header2 4 42 3" xfId="24927"/>
    <cellStyle name="Header2 4 42 4" xfId="24928"/>
    <cellStyle name="Header2 4 42 5" xfId="24929"/>
    <cellStyle name="Header2 4 42 6" xfId="24930"/>
    <cellStyle name="Header2 4 42 7" xfId="24931"/>
    <cellStyle name="Header2 4 42 8" xfId="24932"/>
    <cellStyle name="Header2 4 42 9" xfId="24933"/>
    <cellStyle name="Header2 4 43" xfId="4823"/>
    <cellStyle name="Header2 4 43 10" xfId="24934"/>
    <cellStyle name="Header2 4 43 2" xfId="24935"/>
    <cellStyle name="Header2 4 43 3" xfId="24936"/>
    <cellStyle name="Header2 4 43 4" xfId="24937"/>
    <cellStyle name="Header2 4 43 5" xfId="24938"/>
    <cellStyle name="Header2 4 43 6" xfId="24939"/>
    <cellStyle name="Header2 4 43 7" xfId="24940"/>
    <cellStyle name="Header2 4 43 8" xfId="24941"/>
    <cellStyle name="Header2 4 43 9" xfId="24942"/>
    <cellStyle name="Header2 4 44" xfId="4824"/>
    <cellStyle name="Header2 4 44 10" xfId="24943"/>
    <cellStyle name="Header2 4 44 2" xfId="24944"/>
    <cellStyle name="Header2 4 44 3" xfId="24945"/>
    <cellStyle name="Header2 4 44 4" xfId="24946"/>
    <cellStyle name="Header2 4 44 5" xfId="24947"/>
    <cellStyle name="Header2 4 44 6" xfId="24948"/>
    <cellStyle name="Header2 4 44 7" xfId="24949"/>
    <cellStyle name="Header2 4 44 8" xfId="24950"/>
    <cellStyle name="Header2 4 44 9" xfId="24951"/>
    <cellStyle name="Header2 4 45" xfId="4825"/>
    <cellStyle name="Header2 4 45 10" xfId="24952"/>
    <cellStyle name="Header2 4 45 2" xfId="24953"/>
    <cellStyle name="Header2 4 45 3" xfId="24954"/>
    <cellStyle name="Header2 4 45 4" xfId="24955"/>
    <cellStyle name="Header2 4 45 5" xfId="24956"/>
    <cellStyle name="Header2 4 45 6" xfId="24957"/>
    <cellStyle name="Header2 4 45 7" xfId="24958"/>
    <cellStyle name="Header2 4 45 8" xfId="24959"/>
    <cellStyle name="Header2 4 45 9" xfId="24960"/>
    <cellStyle name="Header2 4 46" xfId="4826"/>
    <cellStyle name="Header2 4 46 10" xfId="24961"/>
    <cellStyle name="Header2 4 46 2" xfId="24962"/>
    <cellStyle name="Header2 4 46 3" xfId="24963"/>
    <cellStyle name="Header2 4 46 4" xfId="24964"/>
    <cellStyle name="Header2 4 46 5" xfId="24965"/>
    <cellStyle name="Header2 4 46 6" xfId="24966"/>
    <cellStyle name="Header2 4 46 7" xfId="24967"/>
    <cellStyle name="Header2 4 46 8" xfId="24968"/>
    <cellStyle name="Header2 4 46 9" xfId="24969"/>
    <cellStyle name="Header2 4 47" xfId="4827"/>
    <cellStyle name="Header2 4 47 10" xfId="24970"/>
    <cellStyle name="Header2 4 47 2" xfId="24971"/>
    <cellStyle name="Header2 4 47 3" xfId="24972"/>
    <cellStyle name="Header2 4 47 4" xfId="24973"/>
    <cellStyle name="Header2 4 47 5" xfId="24974"/>
    <cellStyle name="Header2 4 47 6" xfId="24975"/>
    <cellStyle name="Header2 4 47 7" xfId="24976"/>
    <cellStyle name="Header2 4 47 8" xfId="24977"/>
    <cellStyle name="Header2 4 47 9" xfId="24978"/>
    <cellStyle name="Header2 4 48" xfId="4828"/>
    <cellStyle name="Header2 4 48 10" xfId="24979"/>
    <cellStyle name="Header2 4 48 2" xfId="24980"/>
    <cellStyle name="Header2 4 48 3" xfId="24981"/>
    <cellStyle name="Header2 4 48 4" xfId="24982"/>
    <cellStyle name="Header2 4 48 5" xfId="24983"/>
    <cellStyle name="Header2 4 48 6" xfId="24984"/>
    <cellStyle name="Header2 4 48 7" xfId="24985"/>
    <cellStyle name="Header2 4 48 8" xfId="24986"/>
    <cellStyle name="Header2 4 48 9" xfId="24987"/>
    <cellStyle name="Header2 4 49" xfId="4829"/>
    <cellStyle name="Header2 4 49 10" xfId="24988"/>
    <cellStyle name="Header2 4 49 2" xfId="24989"/>
    <cellStyle name="Header2 4 49 3" xfId="24990"/>
    <cellStyle name="Header2 4 49 4" xfId="24991"/>
    <cellStyle name="Header2 4 49 5" xfId="24992"/>
    <cellStyle name="Header2 4 49 6" xfId="24993"/>
    <cellStyle name="Header2 4 49 7" xfId="24994"/>
    <cellStyle name="Header2 4 49 8" xfId="24995"/>
    <cellStyle name="Header2 4 49 9" xfId="24996"/>
    <cellStyle name="Header2 4 5" xfId="1170"/>
    <cellStyle name="Header2 4 5 2" xfId="1171"/>
    <cellStyle name="Header2 4 5 2 2" xfId="12996"/>
    <cellStyle name="Header2 4 5 2_YL Capex Cashflow &amp; Dep" xfId="11871"/>
    <cellStyle name="Header2 4 5 3" xfId="1172"/>
    <cellStyle name="Header2 4 5 3 2" xfId="12763"/>
    <cellStyle name="Header2 4 5 3_YL Capex Cashflow &amp; Dep" xfId="11451"/>
    <cellStyle name="Header2 4 5 4" xfId="12332"/>
    <cellStyle name="Header2 4 5 5" xfId="24997"/>
    <cellStyle name="Header2 4 5 6" xfId="24998"/>
    <cellStyle name="Header2 4 5 7" xfId="24999"/>
    <cellStyle name="Header2 4 5 8" xfId="25000"/>
    <cellStyle name="Header2 4 5 9" xfId="25001"/>
    <cellStyle name="Header2 4 5_Cashflow trend" xfId="1173"/>
    <cellStyle name="Header2 4 50" xfId="4830"/>
    <cellStyle name="Header2 4 50 10" xfId="25002"/>
    <cellStyle name="Header2 4 50 2" xfId="25003"/>
    <cellStyle name="Header2 4 50 3" xfId="25004"/>
    <cellStyle name="Header2 4 50 4" xfId="25005"/>
    <cellStyle name="Header2 4 50 5" xfId="25006"/>
    <cellStyle name="Header2 4 50 6" xfId="25007"/>
    <cellStyle name="Header2 4 50 7" xfId="25008"/>
    <cellStyle name="Header2 4 50 8" xfId="25009"/>
    <cellStyle name="Header2 4 50 9" xfId="25010"/>
    <cellStyle name="Header2 4 51" xfId="4831"/>
    <cellStyle name="Header2 4 51 10" xfId="25011"/>
    <cellStyle name="Header2 4 51 2" xfId="25012"/>
    <cellStyle name="Header2 4 51 3" xfId="25013"/>
    <cellStyle name="Header2 4 51 4" xfId="25014"/>
    <cellStyle name="Header2 4 51 5" xfId="25015"/>
    <cellStyle name="Header2 4 51 6" xfId="25016"/>
    <cellStyle name="Header2 4 51 7" xfId="25017"/>
    <cellStyle name="Header2 4 51 8" xfId="25018"/>
    <cellStyle name="Header2 4 51 9" xfId="25019"/>
    <cellStyle name="Header2 4 52" xfId="4832"/>
    <cellStyle name="Header2 4 52 10" xfId="25020"/>
    <cellStyle name="Header2 4 52 2" xfId="25021"/>
    <cellStyle name="Header2 4 52 3" xfId="25022"/>
    <cellStyle name="Header2 4 52 4" xfId="25023"/>
    <cellStyle name="Header2 4 52 5" xfId="25024"/>
    <cellStyle name="Header2 4 52 6" xfId="25025"/>
    <cellStyle name="Header2 4 52 7" xfId="25026"/>
    <cellStyle name="Header2 4 52 8" xfId="25027"/>
    <cellStyle name="Header2 4 52 9" xfId="25028"/>
    <cellStyle name="Header2 4 53" xfId="4833"/>
    <cellStyle name="Header2 4 53 10" xfId="25029"/>
    <cellStyle name="Header2 4 53 2" xfId="25030"/>
    <cellStyle name="Header2 4 53 3" xfId="25031"/>
    <cellStyle name="Header2 4 53 4" xfId="25032"/>
    <cellStyle name="Header2 4 53 5" xfId="25033"/>
    <cellStyle name="Header2 4 53 6" xfId="25034"/>
    <cellStyle name="Header2 4 53 7" xfId="25035"/>
    <cellStyle name="Header2 4 53 8" xfId="25036"/>
    <cellStyle name="Header2 4 53 9" xfId="25037"/>
    <cellStyle name="Header2 4 54" xfId="4834"/>
    <cellStyle name="Header2 4 54 10" xfId="25038"/>
    <cellStyle name="Header2 4 54 2" xfId="25039"/>
    <cellStyle name="Header2 4 54 3" xfId="25040"/>
    <cellStyle name="Header2 4 54 4" xfId="25041"/>
    <cellStyle name="Header2 4 54 5" xfId="25042"/>
    <cellStyle name="Header2 4 54 6" xfId="25043"/>
    <cellStyle name="Header2 4 54 7" xfId="25044"/>
    <cellStyle name="Header2 4 54 8" xfId="25045"/>
    <cellStyle name="Header2 4 54 9" xfId="25046"/>
    <cellStyle name="Header2 4 55" xfId="4835"/>
    <cellStyle name="Header2 4 55 10" xfId="25047"/>
    <cellStyle name="Header2 4 55 2" xfId="25048"/>
    <cellStyle name="Header2 4 55 3" xfId="25049"/>
    <cellStyle name="Header2 4 55 4" xfId="25050"/>
    <cellStyle name="Header2 4 55 5" xfId="25051"/>
    <cellStyle name="Header2 4 55 6" xfId="25052"/>
    <cellStyle name="Header2 4 55 7" xfId="25053"/>
    <cellStyle name="Header2 4 55 8" xfId="25054"/>
    <cellStyle name="Header2 4 55 9" xfId="25055"/>
    <cellStyle name="Header2 4 56" xfId="4836"/>
    <cellStyle name="Header2 4 56 10" xfId="25056"/>
    <cellStyle name="Header2 4 56 2" xfId="25057"/>
    <cellStyle name="Header2 4 56 3" xfId="25058"/>
    <cellStyle name="Header2 4 56 4" xfId="25059"/>
    <cellStyle name="Header2 4 56 5" xfId="25060"/>
    <cellStyle name="Header2 4 56 6" xfId="25061"/>
    <cellStyle name="Header2 4 56 7" xfId="25062"/>
    <cellStyle name="Header2 4 56 8" xfId="25063"/>
    <cellStyle name="Header2 4 56 9" xfId="25064"/>
    <cellStyle name="Header2 4 57" xfId="4837"/>
    <cellStyle name="Header2 4 57 10" xfId="25065"/>
    <cellStyle name="Header2 4 57 2" xfId="25066"/>
    <cellStyle name="Header2 4 57 3" xfId="25067"/>
    <cellStyle name="Header2 4 57 4" xfId="25068"/>
    <cellStyle name="Header2 4 57 5" xfId="25069"/>
    <cellStyle name="Header2 4 57 6" xfId="25070"/>
    <cellStyle name="Header2 4 57 7" xfId="25071"/>
    <cellStyle name="Header2 4 57 8" xfId="25072"/>
    <cellStyle name="Header2 4 57 9" xfId="25073"/>
    <cellStyle name="Header2 4 58" xfId="4838"/>
    <cellStyle name="Header2 4 58 10" xfId="25074"/>
    <cellStyle name="Header2 4 58 2" xfId="25075"/>
    <cellStyle name="Header2 4 58 3" xfId="25076"/>
    <cellStyle name="Header2 4 58 4" xfId="25077"/>
    <cellStyle name="Header2 4 58 5" xfId="25078"/>
    <cellStyle name="Header2 4 58 6" xfId="25079"/>
    <cellStyle name="Header2 4 58 7" xfId="25080"/>
    <cellStyle name="Header2 4 58 8" xfId="25081"/>
    <cellStyle name="Header2 4 58 9" xfId="25082"/>
    <cellStyle name="Header2 4 59" xfId="4839"/>
    <cellStyle name="Header2 4 59 10" xfId="25083"/>
    <cellStyle name="Header2 4 59 2" xfId="25084"/>
    <cellStyle name="Header2 4 59 3" xfId="25085"/>
    <cellStyle name="Header2 4 59 4" xfId="25086"/>
    <cellStyle name="Header2 4 59 5" xfId="25087"/>
    <cellStyle name="Header2 4 59 6" xfId="25088"/>
    <cellStyle name="Header2 4 59 7" xfId="25089"/>
    <cellStyle name="Header2 4 59 8" xfId="25090"/>
    <cellStyle name="Header2 4 59 9" xfId="25091"/>
    <cellStyle name="Header2 4 6" xfId="4840"/>
    <cellStyle name="Header2 4 6 2" xfId="25092"/>
    <cellStyle name="Header2 4 6 3" xfId="25093"/>
    <cellStyle name="Header2 4 6 4" xfId="25094"/>
    <cellStyle name="Header2 4 6 5" xfId="25095"/>
    <cellStyle name="Header2 4 6 6" xfId="25096"/>
    <cellStyle name="Header2 4 6 7" xfId="25097"/>
    <cellStyle name="Header2 4 6 8" xfId="25098"/>
    <cellStyle name="Header2 4 6 9" xfId="25099"/>
    <cellStyle name="Header2 4 60" xfId="4841"/>
    <cellStyle name="Header2 4 60 10" xfId="25100"/>
    <cellStyle name="Header2 4 60 2" xfId="25101"/>
    <cellStyle name="Header2 4 60 3" xfId="25102"/>
    <cellStyle name="Header2 4 60 4" xfId="25103"/>
    <cellStyle name="Header2 4 60 5" xfId="25104"/>
    <cellStyle name="Header2 4 60 6" xfId="25105"/>
    <cellStyle name="Header2 4 60 7" xfId="25106"/>
    <cellStyle name="Header2 4 60 8" xfId="25107"/>
    <cellStyle name="Header2 4 60 9" xfId="25108"/>
    <cellStyle name="Header2 4 61" xfId="4842"/>
    <cellStyle name="Header2 4 61 10" xfId="25109"/>
    <cellStyle name="Header2 4 61 2" xfId="25110"/>
    <cellStyle name="Header2 4 61 3" xfId="25111"/>
    <cellStyle name="Header2 4 61 4" xfId="25112"/>
    <cellStyle name="Header2 4 61 5" xfId="25113"/>
    <cellStyle name="Header2 4 61 6" xfId="25114"/>
    <cellStyle name="Header2 4 61 7" xfId="25115"/>
    <cellStyle name="Header2 4 61 8" xfId="25116"/>
    <cellStyle name="Header2 4 61 9" xfId="25117"/>
    <cellStyle name="Header2 4 62" xfId="4843"/>
    <cellStyle name="Header2 4 62 10" xfId="25118"/>
    <cellStyle name="Header2 4 62 2" xfId="25119"/>
    <cellStyle name="Header2 4 62 3" xfId="25120"/>
    <cellStyle name="Header2 4 62 4" xfId="25121"/>
    <cellStyle name="Header2 4 62 5" xfId="25122"/>
    <cellStyle name="Header2 4 62 6" xfId="25123"/>
    <cellStyle name="Header2 4 62 7" xfId="25124"/>
    <cellStyle name="Header2 4 62 8" xfId="25125"/>
    <cellStyle name="Header2 4 62 9" xfId="25126"/>
    <cellStyle name="Header2 4 63" xfId="4844"/>
    <cellStyle name="Header2 4 63 10" xfId="25127"/>
    <cellStyle name="Header2 4 63 2" xfId="25128"/>
    <cellStyle name="Header2 4 63 3" xfId="25129"/>
    <cellStyle name="Header2 4 63 4" xfId="25130"/>
    <cellStyle name="Header2 4 63 5" xfId="25131"/>
    <cellStyle name="Header2 4 63 6" xfId="25132"/>
    <cellStyle name="Header2 4 63 7" xfId="25133"/>
    <cellStyle name="Header2 4 63 8" xfId="25134"/>
    <cellStyle name="Header2 4 63 9" xfId="25135"/>
    <cellStyle name="Header2 4 64" xfId="4845"/>
    <cellStyle name="Header2 4 64 10" xfId="25136"/>
    <cellStyle name="Header2 4 64 2" xfId="25137"/>
    <cellStyle name="Header2 4 64 3" xfId="25138"/>
    <cellStyle name="Header2 4 64 4" xfId="25139"/>
    <cellStyle name="Header2 4 64 5" xfId="25140"/>
    <cellStyle name="Header2 4 64 6" xfId="25141"/>
    <cellStyle name="Header2 4 64 7" xfId="25142"/>
    <cellStyle name="Header2 4 64 8" xfId="25143"/>
    <cellStyle name="Header2 4 64 9" xfId="25144"/>
    <cellStyle name="Header2 4 65" xfId="4846"/>
    <cellStyle name="Header2 4 65 10" xfId="25145"/>
    <cellStyle name="Header2 4 65 2" xfId="25146"/>
    <cellStyle name="Header2 4 65 3" xfId="25147"/>
    <cellStyle name="Header2 4 65 4" xfId="25148"/>
    <cellStyle name="Header2 4 65 5" xfId="25149"/>
    <cellStyle name="Header2 4 65 6" xfId="25150"/>
    <cellStyle name="Header2 4 65 7" xfId="25151"/>
    <cellStyle name="Header2 4 65 8" xfId="25152"/>
    <cellStyle name="Header2 4 65 9" xfId="25153"/>
    <cellStyle name="Header2 4 66" xfId="4847"/>
    <cellStyle name="Header2 4 66 10" xfId="25154"/>
    <cellStyle name="Header2 4 66 2" xfId="25155"/>
    <cellStyle name="Header2 4 66 3" xfId="25156"/>
    <cellStyle name="Header2 4 66 4" xfId="25157"/>
    <cellStyle name="Header2 4 66 5" xfId="25158"/>
    <cellStyle name="Header2 4 66 6" xfId="25159"/>
    <cellStyle name="Header2 4 66 7" xfId="25160"/>
    <cellStyle name="Header2 4 66 8" xfId="25161"/>
    <cellStyle name="Header2 4 66 9" xfId="25162"/>
    <cellStyle name="Header2 4 67" xfId="4848"/>
    <cellStyle name="Header2 4 67 10" xfId="25163"/>
    <cellStyle name="Header2 4 67 2" xfId="25164"/>
    <cellStyle name="Header2 4 67 3" xfId="25165"/>
    <cellStyle name="Header2 4 67 4" xfId="25166"/>
    <cellStyle name="Header2 4 67 5" xfId="25167"/>
    <cellStyle name="Header2 4 67 6" xfId="25168"/>
    <cellStyle name="Header2 4 67 7" xfId="25169"/>
    <cellStyle name="Header2 4 67 8" xfId="25170"/>
    <cellStyle name="Header2 4 67 9" xfId="25171"/>
    <cellStyle name="Header2 4 68" xfId="4849"/>
    <cellStyle name="Header2 4 68 10" xfId="25172"/>
    <cellStyle name="Header2 4 68 2" xfId="25173"/>
    <cellStyle name="Header2 4 68 3" xfId="25174"/>
    <cellStyle name="Header2 4 68 4" xfId="25175"/>
    <cellStyle name="Header2 4 68 5" xfId="25176"/>
    <cellStyle name="Header2 4 68 6" xfId="25177"/>
    <cellStyle name="Header2 4 68 7" xfId="25178"/>
    <cellStyle name="Header2 4 68 8" xfId="25179"/>
    <cellStyle name="Header2 4 68 9" xfId="25180"/>
    <cellStyle name="Header2 4 69" xfId="4850"/>
    <cellStyle name="Header2 4 69 10" xfId="25181"/>
    <cellStyle name="Header2 4 69 2" xfId="25182"/>
    <cellStyle name="Header2 4 69 3" xfId="25183"/>
    <cellStyle name="Header2 4 69 4" xfId="25184"/>
    <cellStyle name="Header2 4 69 5" xfId="25185"/>
    <cellStyle name="Header2 4 69 6" xfId="25186"/>
    <cellStyle name="Header2 4 69 7" xfId="25187"/>
    <cellStyle name="Header2 4 69 8" xfId="25188"/>
    <cellStyle name="Header2 4 69 9" xfId="25189"/>
    <cellStyle name="Header2 4 7" xfId="4851"/>
    <cellStyle name="Header2 4 7 2" xfId="25190"/>
    <cellStyle name="Header2 4 7 3" xfId="25191"/>
    <cellStyle name="Header2 4 7 4" xfId="25192"/>
    <cellStyle name="Header2 4 7 5" xfId="25193"/>
    <cellStyle name="Header2 4 7 6" xfId="25194"/>
    <cellStyle name="Header2 4 7 7" xfId="25195"/>
    <cellStyle name="Header2 4 7 8" xfId="25196"/>
    <cellStyle name="Header2 4 7 9" xfId="25197"/>
    <cellStyle name="Header2 4 70" xfId="4852"/>
    <cellStyle name="Header2 4 70 10" xfId="25198"/>
    <cellStyle name="Header2 4 70 2" xfId="25199"/>
    <cellStyle name="Header2 4 70 3" xfId="25200"/>
    <cellStyle name="Header2 4 70 4" xfId="25201"/>
    <cellStyle name="Header2 4 70 5" xfId="25202"/>
    <cellStyle name="Header2 4 70 6" xfId="25203"/>
    <cellStyle name="Header2 4 70 7" xfId="25204"/>
    <cellStyle name="Header2 4 70 8" xfId="25205"/>
    <cellStyle name="Header2 4 70 9" xfId="25206"/>
    <cellStyle name="Header2 4 71" xfId="4853"/>
    <cellStyle name="Header2 4 71 10" xfId="25207"/>
    <cellStyle name="Header2 4 71 2" xfId="25208"/>
    <cellStyle name="Header2 4 71 3" xfId="25209"/>
    <cellStyle name="Header2 4 71 4" xfId="25210"/>
    <cellStyle name="Header2 4 71 5" xfId="25211"/>
    <cellStyle name="Header2 4 71 6" xfId="25212"/>
    <cellStyle name="Header2 4 71 7" xfId="25213"/>
    <cellStyle name="Header2 4 71 8" xfId="25214"/>
    <cellStyle name="Header2 4 71 9" xfId="25215"/>
    <cellStyle name="Header2 4 72" xfId="4854"/>
    <cellStyle name="Header2 4 72 10" xfId="25216"/>
    <cellStyle name="Header2 4 72 2" xfId="25217"/>
    <cellStyle name="Header2 4 72 3" xfId="25218"/>
    <cellStyle name="Header2 4 72 4" xfId="25219"/>
    <cellStyle name="Header2 4 72 5" xfId="25220"/>
    <cellStyle name="Header2 4 72 6" xfId="25221"/>
    <cellStyle name="Header2 4 72 7" xfId="25222"/>
    <cellStyle name="Header2 4 72 8" xfId="25223"/>
    <cellStyle name="Header2 4 72 9" xfId="25224"/>
    <cellStyle name="Header2 4 73" xfId="4855"/>
    <cellStyle name="Header2 4 73 10" xfId="25225"/>
    <cellStyle name="Header2 4 73 2" xfId="25226"/>
    <cellStyle name="Header2 4 73 3" xfId="25227"/>
    <cellStyle name="Header2 4 73 4" xfId="25228"/>
    <cellStyle name="Header2 4 73 5" xfId="25229"/>
    <cellStyle name="Header2 4 73 6" xfId="25230"/>
    <cellStyle name="Header2 4 73 7" xfId="25231"/>
    <cellStyle name="Header2 4 73 8" xfId="25232"/>
    <cellStyle name="Header2 4 73 9" xfId="25233"/>
    <cellStyle name="Header2 4 74" xfId="4856"/>
    <cellStyle name="Header2 4 74 10" xfId="25234"/>
    <cellStyle name="Header2 4 74 2" xfId="25235"/>
    <cellStyle name="Header2 4 74 3" xfId="25236"/>
    <cellStyle name="Header2 4 74 4" xfId="25237"/>
    <cellStyle name="Header2 4 74 5" xfId="25238"/>
    <cellStyle name="Header2 4 74 6" xfId="25239"/>
    <cellStyle name="Header2 4 74 7" xfId="25240"/>
    <cellStyle name="Header2 4 74 8" xfId="25241"/>
    <cellStyle name="Header2 4 74 9" xfId="25242"/>
    <cellStyle name="Header2 4 75" xfId="4857"/>
    <cellStyle name="Header2 4 75 10" xfId="25243"/>
    <cellStyle name="Header2 4 75 2" xfId="25244"/>
    <cellStyle name="Header2 4 75 3" xfId="25245"/>
    <cellStyle name="Header2 4 75 4" xfId="25246"/>
    <cellStyle name="Header2 4 75 5" xfId="25247"/>
    <cellStyle name="Header2 4 75 6" xfId="25248"/>
    <cellStyle name="Header2 4 75 7" xfId="25249"/>
    <cellStyle name="Header2 4 75 8" xfId="25250"/>
    <cellStyle name="Header2 4 75 9" xfId="25251"/>
    <cellStyle name="Header2 4 76" xfId="4858"/>
    <cellStyle name="Header2 4 76 10" xfId="25252"/>
    <cellStyle name="Header2 4 76 2" xfId="25253"/>
    <cellStyle name="Header2 4 76 3" xfId="25254"/>
    <cellStyle name="Header2 4 76 4" xfId="25255"/>
    <cellStyle name="Header2 4 76 5" xfId="25256"/>
    <cellStyle name="Header2 4 76 6" xfId="25257"/>
    <cellStyle name="Header2 4 76 7" xfId="25258"/>
    <cellStyle name="Header2 4 76 8" xfId="25259"/>
    <cellStyle name="Header2 4 76 9" xfId="25260"/>
    <cellStyle name="Header2 4 77" xfId="4859"/>
    <cellStyle name="Header2 4 77 10" xfId="25261"/>
    <cellStyle name="Header2 4 77 2" xfId="25262"/>
    <cellStyle name="Header2 4 77 3" xfId="25263"/>
    <cellStyle name="Header2 4 77 4" xfId="25264"/>
    <cellStyle name="Header2 4 77 5" xfId="25265"/>
    <cellStyle name="Header2 4 77 6" xfId="25266"/>
    <cellStyle name="Header2 4 77 7" xfId="25267"/>
    <cellStyle name="Header2 4 77 8" xfId="25268"/>
    <cellStyle name="Header2 4 77 9" xfId="25269"/>
    <cellStyle name="Header2 4 78" xfId="4860"/>
    <cellStyle name="Header2 4 78 10" xfId="25270"/>
    <cellStyle name="Header2 4 78 2" xfId="25271"/>
    <cellStyle name="Header2 4 78 3" xfId="25272"/>
    <cellStyle name="Header2 4 78 4" xfId="25273"/>
    <cellStyle name="Header2 4 78 5" xfId="25274"/>
    <cellStyle name="Header2 4 78 6" xfId="25275"/>
    <cellStyle name="Header2 4 78 7" xfId="25276"/>
    <cellStyle name="Header2 4 78 8" xfId="25277"/>
    <cellStyle name="Header2 4 78 9" xfId="25278"/>
    <cellStyle name="Header2 4 79" xfId="4861"/>
    <cellStyle name="Header2 4 79 10" xfId="25279"/>
    <cellStyle name="Header2 4 79 2" xfId="25280"/>
    <cellStyle name="Header2 4 79 3" xfId="25281"/>
    <cellStyle name="Header2 4 79 4" xfId="25282"/>
    <cellStyle name="Header2 4 79 5" xfId="25283"/>
    <cellStyle name="Header2 4 79 6" xfId="25284"/>
    <cellStyle name="Header2 4 79 7" xfId="25285"/>
    <cellStyle name="Header2 4 79 8" xfId="25286"/>
    <cellStyle name="Header2 4 79 9" xfId="25287"/>
    <cellStyle name="Header2 4 8" xfId="4862"/>
    <cellStyle name="Header2 4 8 2" xfId="25288"/>
    <cellStyle name="Header2 4 8 3" xfId="25289"/>
    <cellStyle name="Header2 4 8 4" xfId="25290"/>
    <cellStyle name="Header2 4 8 5" xfId="25291"/>
    <cellStyle name="Header2 4 8 6" xfId="25292"/>
    <cellStyle name="Header2 4 8 7" xfId="25293"/>
    <cellStyle name="Header2 4 8 8" xfId="25294"/>
    <cellStyle name="Header2 4 8 9" xfId="25295"/>
    <cellStyle name="Header2 4 80" xfId="4863"/>
    <cellStyle name="Header2 4 80 10" xfId="25296"/>
    <cellStyle name="Header2 4 80 2" xfId="25297"/>
    <cellStyle name="Header2 4 80 3" xfId="25298"/>
    <cellStyle name="Header2 4 80 4" xfId="25299"/>
    <cellStyle name="Header2 4 80 5" xfId="25300"/>
    <cellStyle name="Header2 4 80 6" xfId="25301"/>
    <cellStyle name="Header2 4 80 7" xfId="25302"/>
    <cellStyle name="Header2 4 80 8" xfId="25303"/>
    <cellStyle name="Header2 4 80 9" xfId="25304"/>
    <cellStyle name="Header2 4 81" xfId="4864"/>
    <cellStyle name="Header2 4 81 10" xfId="25305"/>
    <cellStyle name="Header2 4 81 2" xfId="25306"/>
    <cellStyle name="Header2 4 81 3" xfId="25307"/>
    <cellStyle name="Header2 4 81 4" xfId="25308"/>
    <cellStyle name="Header2 4 81 5" xfId="25309"/>
    <cellStyle name="Header2 4 81 6" xfId="25310"/>
    <cellStyle name="Header2 4 81 7" xfId="25311"/>
    <cellStyle name="Header2 4 81 8" xfId="25312"/>
    <cellStyle name="Header2 4 81 9" xfId="25313"/>
    <cellStyle name="Header2 4 82" xfId="4865"/>
    <cellStyle name="Header2 4 82 10" xfId="25314"/>
    <cellStyle name="Header2 4 82 2" xfId="25315"/>
    <cellStyle name="Header2 4 82 3" xfId="25316"/>
    <cellStyle name="Header2 4 82 4" xfId="25317"/>
    <cellStyle name="Header2 4 82 5" xfId="25318"/>
    <cellStyle name="Header2 4 82 6" xfId="25319"/>
    <cellStyle name="Header2 4 82 7" xfId="25320"/>
    <cellStyle name="Header2 4 82 8" xfId="25321"/>
    <cellStyle name="Header2 4 82 9" xfId="25322"/>
    <cellStyle name="Header2 4 83" xfId="4866"/>
    <cellStyle name="Header2 4 83 10" xfId="25323"/>
    <cellStyle name="Header2 4 83 2" xfId="25324"/>
    <cellStyle name="Header2 4 83 3" xfId="25325"/>
    <cellStyle name="Header2 4 83 4" xfId="25326"/>
    <cellStyle name="Header2 4 83 5" xfId="25327"/>
    <cellStyle name="Header2 4 83 6" xfId="25328"/>
    <cellStyle name="Header2 4 83 7" xfId="25329"/>
    <cellStyle name="Header2 4 83 8" xfId="25330"/>
    <cellStyle name="Header2 4 83 9" xfId="25331"/>
    <cellStyle name="Header2 4 84" xfId="4867"/>
    <cellStyle name="Header2 4 84 10" xfId="25332"/>
    <cellStyle name="Header2 4 84 2" xfId="25333"/>
    <cellStyle name="Header2 4 84 3" xfId="25334"/>
    <cellStyle name="Header2 4 84 4" xfId="25335"/>
    <cellStyle name="Header2 4 84 5" xfId="25336"/>
    <cellStyle name="Header2 4 84 6" xfId="25337"/>
    <cellStyle name="Header2 4 84 7" xfId="25338"/>
    <cellStyle name="Header2 4 84 8" xfId="25339"/>
    <cellStyle name="Header2 4 84 9" xfId="25340"/>
    <cellStyle name="Header2 4 85" xfId="4868"/>
    <cellStyle name="Header2 4 85 10" xfId="25341"/>
    <cellStyle name="Header2 4 85 2" xfId="25342"/>
    <cellStyle name="Header2 4 85 3" xfId="25343"/>
    <cellStyle name="Header2 4 85 4" xfId="25344"/>
    <cellStyle name="Header2 4 85 5" xfId="25345"/>
    <cellStyle name="Header2 4 85 6" xfId="25346"/>
    <cellStyle name="Header2 4 85 7" xfId="25347"/>
    <cellStyle name="Header2 4 85 8" xfId="25348"/>
    <cellStyle name="Header2 4 85 9" xfId="25349"/>
    <cellStyle name="Header2 4 86" xfId="4869"/>
    <cellStyle name="Header2 4 86 10" xfId="25350"/>
    <cellStyle name="Header2 4 86 2" xfId="25351"/>
    <cellStyle name="Header2 4 86 3" xfId="25352"/>
    <cellStyle name="Header2 4 86 4" xfId="25353"/>
    <cellStyle name="Header2 4 86 5" xfId="25354"/>
    <cellStyle name="Header2 4 86 6" xfId="25355"/>
    <cellStyle name="Header2 4 86 7" xfId="25356"/>
    <cellStyle name="Header2 4 86 8" xfId="25357"/>
    <cellStyle name="Header2 4 86 9" xfId="25358"/>
    <cellStyle name="Header2 4 87" xfId="4870"/>
    <cellStyle name="Header2 4 87 10" xfId="25359"/>
    <cellStyle name="Header2 4 87 2" xfId="25360"/>
    <cellStyle name="Header2 4 87 3" xfId="25361"/>
    <cellStyle name="Header2 4 87 4" xfId="25362"/>
    <cellStyle name="Header2 4 87 5" xfId="25363"/>
    <cellStyle name="Header2 4 87 6" xfId="25364"/>
    <cellStyle name="Header2 4 87 7" xfId="25365"/>
    <cellStyle name="Header2 4 87 8" xfId="25366"/>
    <cellStyle name="Header2 4 87 9" xfId="25367"/>
    <cellStyle name="Header2 4 88" xfId="4871"/>
    <cellStyle name="Header2 4 88 10" xfId="25368"/>
    <cellStyle name="Header2 4 88 2" xfId="25369"/>
    <cellStyle name="Header2 4 88 3" xfId="25370"/>
    <cellStyle name="Header2 4 88 4" xfId="25371"/>
    <cellStyle name="Header2 4 88 5" xfId="25372"/>
    <cellStyle name="Header2 4 88 6" xfId="25373"/>
    <cellStyle name="Header2 4 88 7" xfId="25374"/>
    <cellStyle name="Header2 4 88 8" xfId="25375"/>
    <cellStyle name="Header2 4 88 9" xfId="25376"/>
    <cellStyle name="Header2 4 89" xfId="4872"/>
    <cellStyle name="Header2 4 89 10" xfId="25377"/>
    <cellStyle name="Header2 4 89 2" xfId="25378"/>
    <cellStyle name="Header2 4 89 3" xfId="25379"/>
    <cellStyle name="Header2 4 89 4" xfId="25380"/>
    <cellStyle name="Header2 4 89 5" xfId="25381"/>
    <cellStyle name="Header2 4 89 6" xfId="25382"/>
    <cellStyle name="Header2 4 89 7" xfId="25383"/>
    <cellStyle name="Header2 4 89 8" xfId="25384"/>
    <cellStyle name="Header2 4 89 9" xfId="25385"/>
    <cellStyle name="Header2 4 9" xfId="4873"/>
    <cellStyle name="Header2 4 9 2" xfId="25386"/>
    <cellStyle name="Header2 4 9 3" xfId="25387"/>
    <cellStyle name="Header2 4 9 4" xfId="25388"/>
    <cellStyle name="Header2 4 9 5" xfId="25389"/>
    <cellStyle name="Header2 4 9 6" xfId="25390"/>
    <cellStyle name="Header2 4 9 7" xfId="25391"/>
    <cellStyle name="Header2 4 9 8" xfId="25392"/>
    <cellStyle name="Header2 4 9 9" xfId="25393"/>
    <cellStyle name="Header2 4 90" xfId="4874"/>
    <cellStyle name="Header2 4 90 10" xfId="25394"/>
    <cellStyle name="Header2 4 90 2" xfId="25395"/>
    <cellStyle name="Header2 4 90 3" xfId="25396"/>
    <cellStyle name="Header2 4 90 4" xfId="25397"/>
    <cellStyle name="Header2 4 90 5" xfId="25398"/>
    <cellStyle name="Header2 4 90 6" xfId="25399"/>
    <cellStyle name="Header2 4 90 7" xfId="25400"/>
    <cellStyle name="Header2 4 90 8" xfId="25401"/>
    <cellStyle name="Header2 4 90 9" xfId="25402"/>
    <cellStyle name="Header2 4 91" xfId="4875"/>
    <cellStyle name="Header2 4 91 10" xfId="25403"/>
    <cellStyle name="Header2 4 91 2" xfId="25404"/>
    <cellStyle name="Header2 4 91 3" xfId="25405"/>
    <cellStyle name="Header2 4 91 4" xfId="25406"/>
    <cellStyle name="Header2 4 91 5" xfId="25407"/>
    <cellStyle name="Header2 4 91 6" xfId="25408"/>
    <cellStyle name="Header2 4 91 7" xfId="25409"/>
    <cellStyle name="Header2 4 91 8" xfId="25410"/>
    <cellStyle name="Header2 4 91 9" xfId="25411"/>
    <cellStyle name="Header2 4 92" xfId="4876"/>
    <cellStyle name="Header2 4 92 10" xfId="25412"/>
    <cellStyle name="Header2 4 92 2" xfId="25413"/>
    <cellStyle name="Header2 4 92 3" xfId="25414"/>
    <cellStyle name="Header2 4 92 4" xfId="25415"/>
    <cellStyle name="Header2 4 92 5" xfId="25416"/>
    <cellStyle name="Header2 4 92 6" xfId="25417"/>
    <cellStyle name="Header2 4 92 7" xfId="25418"/>
    <cellStyle name="Header2 4 92 8" xfId="25419"/>
    <cellStyle name="Header2 4 92 9" xfId="25420"/>
    <cellStyle name="Header2 4 93" xfId="4877"/>
    <cellStyle name="Header2 4 93 2" xfId="25421"/>
    <cellStyle name="Header2 4 93 3" xfId="25422"/>
    <cellStyle name="Header2 4 93 4" xfId="25423"/>
    <cellStyle name="Header2 4 93 5" xfId="25424"/>
    <cellStyle name="Header2 4 93 6" xfId="25425"/>
    <cellStyle name="Header2 4 93 7" xfId="25426"/>
    <cellStyle name="Header2 4 93 8" xfId="25427"/>
    <cellStyle name="Header2 4 93 9" xfId="25428"/>
    <cellStyle name="Header2 4 94" xfId="11604"/>
    <cellStyle name="Header2 4 95" xfId="25429"/>
    <cellStyle name="Header2 4 96" xfId="25430"/>
    <cellStyle name="Header2 4 97" xfId="25431"/>
    <cellStyle name="Header2 4 98" xfId="25432"/>
    <cellStyle name="Header2 4 99" xfId="25433"/>
    <cellStyle name="Header2 4_Cashflow trend" xfId="1174"/>
    <cellStyle name="Header2 40" xfId="4878"/>
    <cellStyle name="Header2 40 10" xfId="25434"/>
    <cellStyle name="Header2 40 2" xfId="25435"/>
    <cellStyle name="Header2 40 3" xfId="25436"/>
    <cellStyle name="Header2 40 4" xfId="25437"/>
    <cellStyle name="Header2 40 5" xfId="25438"/>
    <cellStyle name="Header2 40 6" xfId="25439"/>
    <cellStyle name="Header2 40 7" xfId="25440"/>
    <cellStyle name="Header2 40 8" xfId="25441"/>
    <cellStyle name="Header2 40 9" xfId="25442"/>
    <cellStyle name="Header2 41" xfId="4879"/>
    <cellStyle name="Header2 41 10" xfId="25443"/>
    <cellStyle name="Header2 41 2" xfId="25444"/>
    <cellStyle name="Header2 41 3" xfId="25445"/>
    <cellStyle name="Header2 41 4" xfId="25446"/>
    <cellStyle name="Header2 41 5" xfId="25447"/>
    <cellStyle name="Header2 41 6" xfId="25448"/>
    <cellStyle name="Header2 41 7" xfId="25449"/>
    <cellStyle name="Header2 41 8" xfId="25450"/>
    <cellStyle name="Header2 41 9" xfId="25451"/>
    <cellStyle name="Header2 42" xfId="4880"/>
    <cellStyle name="Header2 42 10" xfId="25452"/>
    <cellStyle name="Header2 42 2" xfId="25453"/>
    <cellStyle name="Header2 42 3" xfId="25454"/>
    <cellStyle name="Header2 42 4" xfId="25455"/>
    <cellStyle name="Header2 42 5" xfId="25456"/>
    <cellStyle name="Header2 42 6" xfId="25457"/>
    <cellStyle name="Header2 42 7" xfId="25458"/>
    <cellStyle name="Header2 42 8" xfId="25459"/>
    <cellStyle name="Header2 42 9" xfId="25460"/>
    <cellStyle name="Header2 43" xfId="4881"/>
    <cellStyle name="Header2 43 10" xfId="25461"/>
    <cellStyle name="Header2 43 2" xfId="25462"/>
    <cellStyle name="Header2 43 3" xfId="25463"/>
    <cellStyle name="Header2 43 4" xfId="25464"/>
    <cellStyle name="Header2 43 5" xfId="25465"/>
    <cellStyle name="Header2 43 6" xfId="25466"/>
    <cellStyle name="Header2 43 7" xfId="25467"/>
    <cellStyle name="Header2 43 8" xfId="25468"/>
    <cellStyle name="Header2 43 9" xfId="25469"/>
    <cellStyle name="Header2 44" xfId="4882"/>
    <cellStyle name="Header2 44 10" xfId="25470"/>
    <cellStyle name="Header2 44 2" xfId="25471"/>
    <cellStyle name="Header2 44 3" xfId="25472"/>
    <cellStyle name="Header2 44 4" xfId="25473"/>
    <cellStyle name="Header2 44 5" xfId="25474"/>
    <cellStyle name="Header2 44 6" xfId="25475"/>
    <cellStyle name="Header2 44 7" xfId="25476"/>
    <cellStyle name="Header2 44 8" xfId="25477"/>
    <cellStyle name="Header2 44 9" xfId="25478"/>
    <cellStyle name="Header2 45" xfId="4883"/>
    <cellStyle name="Header2 45 10" xfId="25479"/>
    <cellStyle name="Header2 45 2" xfId="25480"/>
    <cellStyle name="Header2 45 3" xfId="25481"/>
    <cellStyle name="Header2 45 4" xfId="25482"/>
    <cellStyle name="Header2 45 5" xfId="25483"/>
    <cellStyle name="Header2 45 6" xfId="25484"/>
    <cellStyle name="Header2 45 7" xfId="25485"/>
    <cellStyle name="Header2 45 8" xfId="25486"/>
    <cellStyle name="Header2 45 9" xfId="25487"/>
    <cellStyle name="Header2 46" xfId="4884"/>
    <cellStyle name="Header2 46 10" xfId="25488"/>
    <cellStyle name="Header2 46 2" xfId="25489"/>
    <cellStyle name="Header2 46 3" xfId="25490"/>
    <cellStyle name="Header2 46 4" xfId="25491"/>
    <cellStyle name="Header2 46 5" xfId="25492"/>
    <cellStyle name="Header2 46 6" xfId="25493"/>
    <cellStyle name="Header2 46 7" xfId="25494"/>
    <cellStyle name="Header2 46 8" xfId="25495"/>
    <cellStyle name="Header2 46 9" xfId="25496"/>
    <cellStyle name="Header2 47" xfId="4885"/>
    <cellStyle name="Header2 47 10" xfId="25497"/>
    <cellStyle name="Header2 47 2" xfId="25498"/>
    <cellStyle name="Header2 47 3" xfId="25499"/>
    <cellStyle name="Header2 47 4" xfId="25500"/>
    <cellStyle name="Header2 47 5" xfId="25501"/>
    <cellStyle name="Header2 47 6" xfId="25502"/>
    <cellStyle name="Header2 47 7" xfId="25503"/>
    <cellStyle name="Header2 47 8" xfId="25504"/>
    <cellStyle name="Header2 47 9" xfId="25505"/>
    <cellStyle name="Header2 48" xfId="4886"/>
    <cellStyle name="Header2 48 10" xfId="25506"/>
    <cellStyle name="Header2 48 2" xfId="25507"/>
    <cellStyle name="Header2 48 3" xfId="25508"/>
    <cellStyle name="Header2 48 4" xfId="25509"/>
    <cellStyle name="Header2 48 5" xfId="25510"/>
    <cellStyle name="Header2 48 6" xfId="25511"/>
    <cellStyle name="Header2 48 7" xfId="25512"/>
    <cellStyle name="Header2 48 8" xfId="25513"/>
    <cellStyle name="Header2 48 9" xfId="25514"/>
    <cellStyle name="Header2 49" xfId="4887"/>
    <cellStyle name="Header2 49 10" xfId="25515"/>
    <cellStyle name="Header2 49 2" xfId="25516"/>
    <cellStyle name="Header2 49 3" xfId="25517"/>
    <cellStyle name="Header2 49 4" xfId="25518"/>
    <cellStyle name="Header2 49 5" xfId="25519"/>
    <cellStyle name="Header2 49 6" xfId="25520"/>
    <cellStyle name="Header2 49 7" xfId="25521"/>
    <cellStyle name="Header2 49 8" xfId="25522"/>
    <cellStyle name="Header2 49 9" xfId="25523"/>
    <cellStyle name="Header2 5" xfId="1175"/>
    <cellStyle name="Header2 5 10" xfId="4888"/>
    <cellStyle name="Header2 5 10 2" xfId="25524"/>
    <cellStyle name="Header2 5 10 3" xfId="25525"/>
    <cellStyle name="Header2 5 10 4" xfId="25526"/>
    <cellStyle name="Header2 5 10 5" xfId="25527"/>
    <cellStyle name="Header2 5 10 6" xfId="25528"/>
    <cellStyle name="Header2 5 10 7" xfId="25529"/>
    <cellStyle name="Header2 5 10 8" xfId="25530"/>
    <cellStyle name="Header2 5 10 9" xfId="25531"/>
    <cellStyle name="Header2 5 100" xfId="25532"/>
    <cellStyle name="Header2 5 101" xfId="25533"/>
    <cellStyle name="Header2 5 102" xfId="25534"/>
    <cellStyle name="Header2 5 11" xfId="4889"/>
    <cellStyle name="Header2 5 11 2" xfId="25535"/>
    <cellStyle name="Header2 5 11 3" xfId="25536"/>
    <cellStyle name="Header2 5 11 4" xfId="25537"/>
    <cellStyle name="Header2 5 11 5" xfId="25538"/>
    <cellStyle name="Header2 5 11 6" xfId="25539"/>
    <cellStyle name="Header2 5 11 7" xfId="25540"/>
    <cellStyle name="Header2 5 11 8" xfId="25541"/>
    <cellStyle name="Header2 5 11 9" xfId="25542"/>
    <cellStyle name="Header2 5 12" xfId="4890"/>
    <cellStyle name="Header2 5 12 2" xfId="25543"/>
    <cellStyle name="Header2 5 12 3" xfId="25544"/>
    <cellStyle name="Header2 5 12 4" xfId="25545"/>
    <cellStyle name="Header2 5 12 5" xfId="25546"/>
    <cellStyle name="Header2 5 12 6" xfId="25547"/>
    <cellStyle name="Header2 5 12 7" xfId="25548"/>
    <cellStyle name="Header2 5 12 8" xfId="25549"/>
    <cellStyle name="Header2 5 12 9" xfId="25550"/>
    <cellStyle name="Header2 5 13" xfId="4891"/>
    <cellStyle name="Header2 5 13 2" xfId="25551"/>
    <cellStyle name="Header2 5 13 3" xfId="25552"/>
    <cellStyle name="Header2 5 13 4" xfId="25553"/>
    <cellStyle name="Header2 5 13 5" xfId="25554"/>
    <cellStyle name="Header2 5 13 6" xfId="25555"/>
    <cellStyle name="Header2 5 13 7" xfId="25556"/>
    <cellStyle name="Header2 5 13 8" xfId="25557"/>
    <cellStyle name="Header2 5 13 9" xfId="25558"/>
    <cellStyle name="Header2 5 14" xfId="4892"/>
    <cellStyle name="Header2 5 14 2" xfId="25559"/>
    <cellStyle name="Header2 5 14 3" xfId="25560"/>
    <cellStyle name="Header2 5 14 4" xfId="25561"/>
    <cellStyle name="Header2 5 14 5" xfId="25562"/>
    <cellStyle name="Header2 5 14 6" xfId="25563"/>
    <cellStyle name="Header2 5 14 7" xfId="25564"/>
    <cellStyle name="Header2 5 14 8" xfId="25565"/>
    <cellStyle name="Header2 5 14 9" xfId="25566"/>
    <cellStyle name="Header2 5 15" xfId="4893"/>
    <cellStyle name="Header2 5 15 2" xfId="25567"/>
    <cellStyle name="Header2 5 15 3" xfId="25568"/>
    <cellStyle name="Header2 5 15 4" xfId="25569"/>
    <cellStyle name="Header2 5 15 5" xfId="25570"/>
    <cellStyle name="Header2 5 15 6" xfId="25571"/>
    <cellStyle name="Header2 5 15 7" xfId="25572"/>
    <cellStyle name="Header2 5 15 8" xfId="25573"/>
    <cellStyle name="Header2 5 15 9" xfId="25574"/>
    <cellStyle name="Header2 5 16" xfId="4894"/>
    <cellStyle name="Header2 5 16 2" xfId="25575"/>
    <cellStyle name="Header2 5 16 3" xfId="25576"/>
    <cellStyle name="Header2 5 16 4" xfId="25577"/>
    <cellStyle name="Header2 5 16 5" xfId="25578"/>
    <cellStyle name="Header2 5 16 6" xfId="25579"/>
    <cellStyle name="Header2 5 16 7" xfId="25580"/>
    <cellStyle name="Header2 5 16 8" xfId="25581"/>
    <cellStyle name="Header2 5 16 9" xfId="25582"/>
    <cellStyle name="Header2 5 17" xfId="4895"/>
    <cellStyle name="Header2 5 17 2" xfId="25583"/>
    <cellStyle name="Header2 5 17 3" xfId="25584"/>
    <cellStyle name="Header2 5 17 4" xfId="25585"/>
    <cellStyle name="Header2 5 17 5" xfId="25586"/>
    <cellStyle name="Header2 5 17 6" xfId="25587"/>
    <cellStyle name="Header2 5 17 7" xfId="25588"/>
    <cellStyle name="Header2 5 17 8" xfId="25589"/>
    <cellStyle name="Header2 5 17 9" xfId="25590"/>
    <cellStyle name="Header2 5 18" xfId="4896"/>
    <cellStyle name="Header2 5 18 2" xfId="25591"/>
    <cellStyle name="Header2 5 18 3" xfId="25592"/>
    <cellStyle name="Header2 5 18 4" xfId="25593"/>
    <cellStyle name="Header2 5 18 5" xfId="25594"/>
    <cellStyle name="Header2 5 18 6" xfId="25595"/>
    <cellStyle name="Header2 5 18 7" xfId="25596"/>
    <cellStyle name="Header2 5 18 8" xfId="25597"/>
    <cellStyle name="Header2 5 18 9" xfId="25598"/>
    <cellStyle name="Header2 5 19" xfId="4897"/>
    <cellStyle name="Header2 5 19 2" xfId="25599"/>
    <cellStyle name="Header2 5 19 3" xfId="25600"/>
    <cellStyle name="Header2 5 19 4" xfId="25601"/>
    <cellStyle name="Header2 5 19 5" xfId="25602"/>
    <cellStyle name="Header2 5 19 6" xfId="25603"/>
    <cellStyle name="Header2 5 19 7" xfId="25604"/>
    <cellStyle name="Header2 5 19 8" xfId="25605"/>
    <cellStyle name="Header2 5 19 9" xfId="25606"/>
    <cellStyle name="Header2 5 2" xfId="1176"/>
    <cellStyle name="Header2 5 2 10" xfId="25607"/>
    <cellStyle name="Header2 5 2 11" xfId="25608"/>
    <cellStyle name="Header2 5 2 2" xfId="12480"/>
    <cellStyle name="Header2 5 2 3" xfId="25609"/>
    <cellStyle name="Header2 5 2 4" xfId="25610"/>
    <cellStyle name="Header2 5 2 5" xfId="25611"/>
    <cellStyle name="Header2 5 2 6" xfId="25612"/>
    <cellStyle name="Header2 5 2 7" xfId="25613"/>
    <cellStyle name="Header2 5 2 8" xfId="25614"/>
    <cellStyle name="Header2 5 2 9" xfId="25615"/>
    <cellStyle name="Header2 5 2_YL Capex Cashflow &amp; Dep" xfId="12151"/>
    <cellStyle name="Header2 5 20" xfId="4898"/>
    <cellStyle name="Header2 5 20 10" xfId="25616"/>
    <cellStyle name="Header2 5 20 2" xfId="25617"/>
    <cellStyle name="Header2 5 20 3" xfId="25618"/>
    <cellStyle name="Header2 5 20 4" xfId="25619"/>
    <cellStyle name="Header2 5 20 5" xfId="25620"/>
    <cellStyle name="Header2 5 20 6" xfId="25621"/>
    <cellStyle name="Header2 5 20 7" xfId="25622"/>
    <cellStyle name="Header2 5 20 8" xfId="25623"/>
    <cellStyle name="Header2 5 20 9" xfId="25624"/>
    <cellStyle name="Header2 5 21" xfId="4899"/>
    <cellStyle name="Header2 5 21 10" xfId="25625"/>
    <cellStyle name="Header2 5 21 2" xfId="25626"/>
    <cellStyle name="Header2 5 21 3" xfId="25627"/>
    <cellStyle name="Header2 5 21 4" xfId="25628"/>
    <cellStyle name="Header2 5 21 5" xfId="25629"/>
    <cellStyle name="Header2 5 21 6" xfId="25630"/>
    <cellStyle name="Header2 5 21 7" xfId="25631"/>
    <cellStyle name="Header2 5 21 8" xfId="25632"/>
    <cellStyle name="Header2 5 21 9" xfId="25633"/>
    <cellStyle name="Header2 5 22" xfId="4900"/>
    <cellStyle name="Header2 5 22 10" xfId="25634"/>
    <cellStyle name="Header2 5 22 2" xfId="25635"/>
    <cellStyle name="Header2 5 22 3" xfId="25636"/>
    <cellStyle name="Header2 5 22 4" xfId="25637"/>
    <cellStyle name="Header2 5 22 5" xfId="25638"/>
    <cellStyle name="Header2 5 22 6" xfId="25639"/>
    <cellStyle name="Header2 5 22 7" xfId="25640"/>
    <cellStyle name="Header2 5 22 8" xfId="25641"/>
    <cellStyle name="Header2 5 22 9" xfId="25642"/>
    <cellStyle name="Header2 5 23" xfId="4901"/>
    <cellStyle name="Header2 5 23 10" xfId="25643"/>
    <cellStyle name="Header2 5 23 2" xfId="25644"/>
    <cellStyle name="Header2 5 23 3" xfId="25645"/>
    <cellStyle name="Header2 5 23 4" xfId="25646"/>
    <cellStyle name="Header2 5 23 5" xfId="25647"/>
    <cellStyle name="Header2 5 23 6" xfId="25648"/>
    <cellStyle name="Header2 5 23 7" xfId="25649"/>
    <cellStyle name="Header2 5 23 8" xfId="25650"/>
    <cellStyle name="Header2 5 23 9" xfId="25651"/>
    <cellStyle name="Header2 5 24" xfId="4902"/>
    <cellStyle name="Header2 5 24 10" xfId="25652"/>
    <cellStyle name="Header2 5 24 2" xfId="25653"/>
    <cellStyle name="Header2 5 24 3" xfId="25654"/>
    <cellStyle name="Header2 5 24 4" xfId="25655"/>
    <cellStyle name="Header2 5 24 5" xfId="25656"/>
    <cellStyle name="Header2 5 24 6" xfId="25657"/>
    <cellStyle name="Header2 5 24 7" xfId="25658"/>
    <cellStyle name="Header2 5 24 8" xfId="25659"/>
    <cellStyle name="Header2 5 24 9" xfId="25660"/>
    <cellStyle name="Header2 5 25" xfId="4903"/>
    <cellStyle name="Header2 5 25 10" xfId="25661"/>
    <cellStyle name="Header2 5 25 2" xfId="25662"/>
    <cellStyle name="Header2 5 25 3" xfId="25663"/>
    <cellStyle name="Header2 5 25 4" xfId="25664"/>
    <cellStyle name="Header2 5 25 5" xfId="25665"/>
    <cellStyle name="Header2 5 25 6" xfId="25666"/>
    <cellStyle name="Header2 5 25 7" xfId="25667"/>
    <cellStyle name="Header2 5 25 8" xfId="25668"/>
    <cellStyle name="Header2 5 25 9" xfId="25669"/>
    <cellStyle name="Header2 5 26" xfId="4904"/>
    <cellStyle name="Header2 5 26 10" xfId="25670"/>
    <cellStyle name="Header2 5 26 2" xfId="25671"/>
    <cellStyle name="Header2 5 26 3" xfId="25672"/>
    <cellStyle name="Header2 5 26 4" xfId="25673"/>
    <cellStyle name="Header2 5 26 5" xfId="25674"/>
    <cellStyle name="Header2 5 26 6" xfId="25675"/>
    <cellStyle name="Header2 5 26 7" xfId="25676"/>
    <cellStyle name="Header2 5 26 8" xfId="25677"/>
    <cellStyle name="Header2 5 26 9" xfId="25678"/>
    <cellStyle name="Header2 5 27" xfId="4905"/>
    <cellStyle name="Header2 5 27 10" xfId="25679"/>
    <cellStyle name="Header2 5 27 2" xfId="25680"/>
    <cellStyle name="Header2 5 27 3" xfId="25681"/>
    <cellStyle name="Header2 5 27 4" xfId="25682"/>
    <cellStyle name="Header2 5 27 5" xfId="25683"/>
    <cellStyle name="Header2 5 27 6" xfId="25684"/>
    <cellStyle name="Header2 5 27 7" xfId="25685"/>
    <cellStyle name="Header2 5 27 8" xfId="25686"/>
    <cellStyle name="Header2 5 27 9" xfId="25687"/>
    <cellStyle name="Header2 5 28" xfId="4906"/>
    <cellStyle name="Header2 5 28 10" xfId="25688"/>
    <cellStyle name="Header2 5 28 2" xfId="25689"/>
    <cellStyle name="Header2 5 28 3" xfId="25690"/>
    <cellStyle name="Header2 5 28 4" xfId="25691"/>
    <cellStyle name="Header2 5 28 5" xfId="25692"/>
    <cellStyle name="Header2 5 28 6" xfId="25693"/>
    <cellStyle name="Header2 5 28 7" xfId="25694"/>
    <cellStyle name="Header2 5 28 8" xfId="25695"/>
    <cellStyle name="Header2 5 28 9" xfId="25696"/>
    <cellStyle name="Header2 5 29" xfId="4907"/>
    <cellStyle name="Header2 5 29 10" xfId="25697"/>
    <cellStyle name="Header2 5 29 2" xfId="25698"/>
    <cellStyle name="Header2 5 29 3" xfId="25699"/>
    <cellStyle name="Header2 5 29 4" xfId="25700"/>
    <cellStyle name="Header2 5 29 5" xfId="25701"/>
    <cellStyle name="Header2 5 29 6" xfId="25702"/>
    <cellStyle name="Header2 5 29 7" xfId="25703"/>
    <cellStyle name="Header2 5 29 8" xfId="25704"/>
    <cellStyle name="Header2 5 29 9" xfId="25705"/>
    <cellStyle name="Header2 5 3" xfId="4908"/>
    <cellStyle name="Header2 5 3 10" xfId="25706"/>
    <cellStyle name="Header2 5 3 2" xfId="25707"/>
    <cellStyle name="Header2 5 3 3" xfId="25708"/>
    <cellStyle name="Header2 5 3 4" xfId="25709"/>
    <cellStyle name="Header2 5 3 5" xfId="25710"/>
    <cellStyle name="Header2 5 3 6" xfId="25711"/>
    <cellStyle name="Header2 5 3 7" xfId="25712"/>
    <cellStyle name="Header2 5 3 8" xfId="25713"/>
    <cellStyle name="Header2 5 3 9" xfId="25714"/>
    <cellStyle name="Header2 5 30" xfId="4909"/>
    <cellStyle name="Header2 5 30 10" xfId="25715"/>
    <cellStyle name="Header2 5 30 2" xfId="25716"/>
    <cellStyle name="Header2 5 30 3" xfId="25717"/>
    <cellStyle name="Header2 5 30 4" xfId="25718"/>
    <cellStyle name="Header2 5 30 5" xfId="25719"/>
    <cellStyle name="Header2 5 30 6" xfId="25720"/>
    <cellStyle name="Header2 5 30 7" xfId="25721"/>
    <cellStyle name="Header2 5 30 8" xfId="25722"/>
    <cellStyle name="Header2 5 30 9" xfId="25723"/>
    <cellStyle name="Header2 5 31" xfId="4910"/>
    <cellStyle name="Header2 5 31 10" xfId="25724"/>
    <cellStyle name="Header2 5 31 2" xfId="25725"/>
    <cellStyle name="Header2 5 31 3" xfId="25726"/>
    <cellStyle name="Header2 5 31 4" xfId="25727"/>
    <cellStyle name="Header2 5 31 5" xfId="25728"/>
    <cellStyle name="Header2 5 31 6" xfId="25729"/>
    <cellStyle name="Header2 5 31 7" xfId="25730"/>
    <cellStyle name="Header2 5 31 8" xfId="25731"/>
    <cellStyle name="Header2 5 31 9" xfId="25732"/>
    <cellStyle name="Header2 5 32" xfId="4911"/>
    <cellStyle name="Header2 5 32 10" xfId="25733"/>
    <cellStyle name="Header2 5 32 2" xfId="25734"/>
    <cellStyle name="Header2 5 32 3" xfId="25735"/>
    <cellStyle name="Header2 5 32 4" xfId="25736"/>
    <cellStyle name="Header2 5 32 5" xfId="25737"/>
    <cellStyle name="Header2 5 32 6" xfId="25738"/>
    <cellStyle name="Header2 5 32 7" xfId="25739"/>
    <cellStyle name="Header2 5 32 8" xfId="25740"/>
    <cellStyle name="Header2 5 32 9" xfId="25741"/>
    <cellStyle name="Header2 5 33" xfId="4912"/>
    <cellStyle name="Header2 5 33 10" xfId="25742"/>
    <cellStyle name="Header2 5 33 2" xfId="25743"/>
    <cellStyle name="Header2 5 33 3" xfId="25744"/>
    <cellStyle name="Header2 5 33 4" xfId="25745"/>
    <cellStyle name="Header2 5 33 5" xfId="25746"/>
    <cellStyle name="Header2 5 33 6" xfId="25747"/>
    <cellStyle name="Header2 5 33 7" xfId="25748"/>
    <cellStyle name="Header2 5 33 8" xfId="25749"/>
    <cellStyle name="Header2 5 33 9" xfId="25750"/>
    <cellStyle name="Header2 5 34" xfId="4913"/>
    <cellStyle name="Header2 5 34 10" xfId="25751"/>
    <cellStyle name="Header2 5 34 2" xfId="25752"/>
    <cellStyle name="Header2 5 34 3" xfId="25753"/>
    <cellStyle name="Header2 5 34 4" xfId="25754"/>
    <cellStyle name="Header2 5 34 5" xfId="25755"/>
    <cellStyle name="Header2 5 34 6" xfId="25756"/>
    <cellStyle name="Header2 5 34 7" xfId="25757"/>
    <cellStyle name="Header2 5 34 8" xfId="25758"/>
    <cellStyle name="Header2 5 34 9" xfId="25759"/>
    <cellStyle name="Header2 5 35" xfId="4914"/>
    <cellStyle name="Header2 5 35 10" xfId="25760"/>
    <cellStyle name="Header2 5 35 2" xfId="25761"/>
    <cellStyle name="Header2 5 35 3" xfId="25762"/>
    <cellStyle name="Header2 5 35 4" xfId="25763"/>
    <cellStyle name="Header2 5 35 5" xfId="25764"/>
    <cellStyle name="Header2 5 35 6" xfId="25765"/>
    <cellStyle name="Header2 5 35 7" xfId="25766"/>
    <cellStyle name="Header2 5 35 8" xfId="25767"/>
    <cellStyle name="Header2 5 35 9" xfId="25768"/>
    <cellStyle name="Header2 5 36" xfId="4915"/>
    <cellStyle name="Header2 5 36 10" xfId="25769"/>
    <cellStyle name="Header2 5 36 2" xfId="25770"/>
    <cellStyle name="Header2 5 36 3" xfId="25771"/>
    <cellStyle name="Header2 5 36 4" xfId="25772"/>
    <cellStyle name="Header2 5 36 5" xfId="25773"/>
    <cellStyle name="Header2 5 36 6" xfId="25774"/>
    <cellStyle name="Header2 5 36 7" xfId="25775"/>
    <cellStyle name="Header2 5 36 8" xfId="25776"/>
    <cellStyle name="Header2 5 36 9" xfId="25777"/>
    <cellStyle name="Header2 5 37" xfId="4916"/>
    <cellStyle name="Header2 5 37 10" xfId="25778"/>
    <cellStyle name="Header2 5 37 2" xfId="25779"/>
    <cellStyle name="Header2 5 37 3" xfId="25780"/>
    <cellStyle name="Header2 5 37 4" xfId="25781"/>
    <cellStyle name="Header2 5 37 5" xfId="25782"/>
    <cellStyle name="Header2 5 37 6" xfId="25783"/>
    <cellStyle name="Header2 5 37 7" xfId="25784"/>
    <cellStyle name="Header2 5 37 8" xfId="25785"/>
    <cellStyle name="Header2 5 37 9" xfId="25786"/>
    <cellStyle name="Header2 5 38" xfId="4917"/>
    <cellStyle name="Header2 5 38 10" xfId="25787"/>
    <cellStyle name="Header2 5 38 2" xfId="25788"/>
    <cellStyle name="Header2 5 38 3" xfId="25789"/>
    <cellStyle name="Header2 5 38 4" xfId="25790"/>
    <cellStyle name="Header2 5 38 5" xfId="25791"/>
    <cellStyle name="Header2 5 38 6" xfId="25792"/>
    <cellStyle name="Header2 5 38 7" xfId="25793"/>
    <cellStyle name="Header2 5 38 8" xfId="25794"/>
    <cellStyle name="Header2 5 38 9" xfId="25795"/>
    <cellStyle name="Header2 5 39" xfId="4918"/>
    <cellStyle name="Header2 5 39 10" xfId="25796"/>
    <cellStyle name="Header2 5 39 2" xfId="25797"/>
    <cellStyle name="Header2 5 39 3" xfId="25798"/>
    <cellStyle name="Header2 5 39 4" xfId="25799"/>
    <cellStyle name="Header2 5 39 5" xfId="25800"/>
    <cellStyle name="Header2 5 39 6" xfId="25801"/>
    <cellStyle name="Header2 5 39 7" xfId="25802"/>
    <cellStyle name="Header2 5 39 8" xfId="25803"/>
    <cellStyle name="Header2 5 39 9" xfId="25804"/>
    <cellStyle name="Header2 5 4" xfId="4919"/>
    <cellStyle name="Header2 5 4 10" xfId="25805"/>
    <cellStyle name="Header2 5 4 2" xfId="25806"/>
    <cellStyle name="Header2 5 4 3" xfId="25807"/>
    <cellStyle name="Header2 5 4 4" xfId="25808"/>
    <cellStyle name="Header2 5 4 5" xfId="25809"/>
    <cellStyle name="Header2 5 4 6" xfId="25810"/>
    <cellStyle name="Header2 5 4 7" xfId="25811"/>
    <cellStyle name="Header2 5 4 8" xfId="25812"/>
    <cellStyle name="Header2 5 4 9" xfId="25813"/>
    <cellStyle name="Header2 5 40" xfId="4920"/>
    <cellStyle name="Header2 5 40 10" xfId="25814"/>
    <cellStyle name="Header2 5 40 2" xfId="25815"/>
    <cellStyle name="Header2 5 40 3" xfId="25816"/>
    <cellStyle name="Header2 5 40 4" xfId="25817"/>
    <cellStyle name="Header2 5 40 5" xfId="25818"/>
    <cellStyle name="Header2 5 40 6" xfId="25819"/>
    <cellStyle name="Header2 5 40 7" xfId="25820"/>
    <cellStyle name="Header2 5 40 8" xfId="25821"/>
    <cellStyle name="Header2 5 40 9" xfId="25822"/>
    <cellStyle name="Header2 5 41" xfId="4921"/>
    <cellStyle name="Header2 5 41 10" xfId="25823"/>
    <cellStyle name="Header2 5 41 2" xfId="25824"/>
    <cellStyle name="Header2 5 41 3" xfId="25825"/>
    <cellStyle name="Header2 5 41 4" xfId="25826"/>
    <cellStyle name="Header2 5 41 5" xfId="25827"/>
    <cellStyle name="Header2 5 41 6" xfId="25828"/>
    <cellStyle name="Header2 5 41 7" xfId="25829"/>
    <cellStyle name="Header2 5 41 8" xfId="25830"/>
    <cellStyle name="Header2 5 41 9" xfId="25831"/>
    <cellStyle name="Header2 5 42" xfId="4922"/>
    <cellStyle name="Header2 5 42 10" xfId="25832"/>
    <cellStyle name="Header2 5 42 2" xfId="25833"/>
    <cellStyle name="Header2 5 42 3" xfId="25834"/>
    <cellStyle name="Header2 5 42 4" xfId="25835"/>
    <cellStyle name="Header2 5 42 5" xfId="25836"/>
    <cellStyle name="Header2 5 42 6" xfId="25837"/>
    <cellStyle name="Header2 5 42 7" xfId="25838"/>
    <cellStyle name="Header2 5 42 8" xfId="25839"/>
    <cellStyle name="Header2 5 42 9" xfId="25840"/>
    <cellStyle name="Header2 5 43" xfId="4923"/>
    <cellStyle name="Header2 5 43 10" xfId="25841"/>
    <cellStyle name="Header2 5 43 2" xfId="25842"/>
    <cellStyle name="Header2 5 43 3" xfId="25843"/>
    <cellStyle name="Header2 5 43 4" xfId="25844"/>
    <cellStyle name="Header2 5 43 5" xfId="25845"/>
    <cellStyle name="Header2 5 43 6" xfId="25846"/>
    <cellStyle name="Header2 5 43 7" xfId="25847"/>
    <cellStyle name="Header2 5 43 8" xfId="25848"/>
    <cellStyle name="Header2 5 43 9" xfId="25849"/>
    <cellStyle name="Header2 5 44" xfId="4924"/>
    <cellStyle name="Header2 5 44 10" xfId="25850"/>
    <cellStyle name="Header2 5 44 2" xfId="25851"/>
    <cellStyle name="Header2 5 44 3" xfId="25852"/>
    <cellStyle name="Header2 5 44 4" xfId="25853"/>
    <cellStyle name="Header2 5 44 5" xfId="25854"/>
    <cellStyle name="Header2 5 44 6" xfId="25855"/>
    <cellStyle name="Header2 5 44 7" xfId="25856"/>
    <cellStyle name="Header2 5 44 8" xfId="25857"/>
    <cellStyle name="Header2 5 44 9" xfId="25858"/>
    <cellStyle name="Header2 5 45" xfId="4925"/>
    <cellStyle name="Header2 5 45 10" xfId="25859"/>
    <cellStyle name="Header2 5 45 2" xfId="25860"/>
    <cellStyle name="Header2 5 45 3" xfId="25861"/>
    <cellStyle name="Header2 5 45 4" xfId="25862"/>
    <cellStyle name="Header2 5 45 5" xfId="25863"/>
    <cellStyle name="Header2 5 45 6" xfId="25864"/>
    <cellStyle name="Header2 5 45 7" xfId="25865"/>
    <cellStyle name="Header2 5 45 8" xfId="25866"/>
    <cellStyle name="Header2 5 45 9" xfId="25867"/>
    <cellStyle name="Header2 5 46" xfId="4926"/>
    <cellStyle name="Header2 5 46 10" xfId="25868"/>
    <cellStyle name="Header2 5 46 2" xfId="25869"/>
    <cellStyle name="Header2 5 46 3" xfId="25870"/>
    <cellStyle name="Header2 5 46 4" xfId="25871"/>
    <cellStyle name="Header2 5 46 5" xfId="25872"/>
    <cellStyle name="Header2 5 46 6" xfId="25873"/>
    <cellStyle name="Header2 5 46 7" xfId="25874"/>
    <cellStyle name="Header2 5 46 8" xfId="25875"/>
    <cellStyle name="Header2 5 46 9" xfId="25876"/>
    <cellStyle name="Header2 5 47" xfId="4927"/>
    <cellStyle name="Header2 5 47 10" xfId="25877"/>
    <cellStyle name="Header2 5 47 2" xfId="25878"/>
    <cellStyle name="Header2 5 47 3" xfId="25879"/>
    <cellStyle name="Header2 5 47 4" xfId="25880"/>
    <cellStyle name="Header2 5 47 5" xfId="25881"/>
    <cellStyle name="Header2 5 47 6" xfId="25882"/>
    <cellStyle name="Header2 5 47 7" xfId="25883"/>
    <cellStyle name="Header2 5 47 8" xfId="25884"/>
    <cellStyle name="Header2 5 47 9" xfId="25885"/>
    <cellStyle name="Header2 5 48" xfId="4928"/>
    <cellStyle name="Header2 5 48 10" xfId="25886"/>
    <cellStyle name="Header2 5 48 2" xfId="25887"/>
    <cellStyle name="Header2 5 48 3" xfId="25888"/>
    <cellStyle name="Header2 5 48 4" xfId="25889"/>
    <cellStyle name="Header2 5 48 5" xfId="25890"/>
    <cellStyle name="Header2 5 48 6" xfId="25891"/>
    <cellStyle name="Header2 5 48 7" xfId="25892"/>
    <cellStyle name="Header2 5 48 8" xfId="25893"/>
    <cellStyle name="Header2 5 48 9" xfId="25894"/>
    <cellStyle name="Header2 5 49" xfId="4929"/>
    <cellStyle name="Header2 5 49 10" xfId="25895"/>
    <cellStyle name="Header2 5 49 2" xfId="25896"/>
    <cellStyle name="Header2 5 49 3" xfId="25897"/>
    <cellStyle name="Header2 5 49 4" xfId="25898"/>
    <cellStyle name="Header2 5 49 5" xfId="25899"/>
    <cellStyle name="Header2 5 49 6" xfId="25900"/>
    <cellStyle name="Header2 5 49 7" xfId="25901"/>
    <cellStyle name="Header2 5 49 8" xfId="25902"/>
    <cellStyle name="Header2 5 49 9" xfId="25903"/>
    <cellStyle name="Header2 5 5" xfId="4930"/>
    <cellStyle name="Header2 5 5 2" xfId="25904"/>
    <cellStyle name="Header2 5 5 3" xfId="25905"/>
    <cellStyle name="Header2 5 5 4" xfId="25906"/>
    <cellStyle name="Header2 5 5 5" xfId="25907"/>
    <cellStyle name="Header2 5 5 6" xfId="25908"/>
    <cellStyle name="Header2 5 5 7" xfId="25909"/>
    <cellStyle name="Header2 5 5 8" xfId="25910"/>
    <cellStyle name="Header2 5 5 9" xfId="25911"/>
    <cellStyle name="Header2 5 50" xfId="4931"/>
    <cellStyle name="Header2 5 50 10" xfId="25912"/>
    <cellStyle name="Header2 5 50 2" xfId="25913"/>
    <cellStyle name="Header2 5 50 3" xfId="25914"/>
    <cellStyle name="Header2 5 50 4" xfId="25915"/>
    <cellStyle name="Header2 5 50 5" xfId="25916"/>
    <cellStyle name="Header2 5 50 6" xfId="25917"/>
    <cellStyle name="Header2 5 50 7" xfId="25918"/>
    <cellStyle name="Header2 5 50 8" xfId="25919"/>
    <cellStyle name="Header2 5 50 9" xfId="25920"/>
    <cellStyle name="Header2 5 51" xfId="4932"/>
    <cellStyle name="Header2 5 51 10" xfId="25921"/>
    <cellStyle name="Header2 5 51 2" xfId="25922"/>
    <cellStyle name="Header2 5 51 3" xfId="25923"/>
    <cellStyle name="Header2 5 51 4" xfId="25924"/>
    <cellStyle name="Header2 5 51 5" xfId="25925"/>
    <cellStyle name="Header2 5 51 6" xfId="25926"/>
    <cellStyle name="Header2 5 51 7" xfId="25927"/>
    <cellStyle name="Header2 5 51 8" xfId="25928"/>
    <cellStyle name="Header2 5 51 9" xfId="25929"/>
    <cellStyle name="Header2 5 52" xfId="4933"/>
    <cellStyle name="Header2 5 52 10" xfId="25930"/>
    <cellStyle name="Header2 5 52 2" xfId="25931"/>
    <cellStyle name="Header2 5 52 3" xfId="25932"/>
    <cellStyle name="Header2 5 52 4" xfId="25933"/>
    <cellStyle name="Header2 5 52 5" xfId="25934"/>
    <cellStyle name="Header2 5 52 6" xfId="25935"/>
    <cellStyle name="Header2 5 52 7" xfId="25936"/>
    <cellStyle name="Header2 5 52 8" xfId="25937"/>
    <cellStyle name="Header2 5 52 9" xfId="25938"/>
    <cellStyle name="Header2 5 53" xfId="4934"/>
    <cellStyle name="Header2 5 53 10" xfId="25939"/>
    <cellStyle name="Header2 5 53 2" xfId="25940"/>
    <cellStyle name="Header2 5 53 3" xfId="25941"/>
    <cellStyle name="Header2 5 53 4" xfId="25942"/>
    <cellStyle name="Header2 5 53 5" xfId="25943"/>
    <cellStyle name="Header2 5 53 6" xfId="25944"/>
    <cellStyle name="Header2 5 53 7" xfId="25945"/>
    <cellStyle name="Header2 5 53 8" xfId="25946"/>
    <cellStyle name="Header2 5 53 9" xfId="25947"/>
    <cellStyle name="Header2 5 54" xfId="4935"/>
    <cellStyle name="Header2 5 54 10" xfId="25948"/>
    <cellStyle name="Header2 5 54 2" xfId="25949"/>
    <cellStyle name="Header2 5 54 3" xfId="25950"/>
    <cellStyle name="Header2 5 54 4" xfId="25951"/>
    <cellStyle name="Header2 5 54 5" xfId="25952"/>
    <cellStyle name="Header2 5 54 6" xfId="25953"/>
    <cellStyle name="Header2 5 54 7" xfId="25954"/>
    <cellStyle name="Header2 5 54 8" xfId="25955"/>
    <cellStyle name="Header2 5 54 9" xfId="25956"/>
    <cellStyle name="Header2 5 55" xfId="4936"/>
    <cellStyle name="Header2 5 55 10" xfId="25957"/>
    <cellStyle name="Header2 5 55 2" xfId="25958"/>
    <cellStyle name="Header2 5 55 3" xfId="25959"/>
    <cellStyle name="Header2 5 55 4" xfId="25960"/>
    <cellStyle name="Header2 5 55 5" xfId="25961"/>
    <cellStyle name="Header2 5 55 6" xfId="25962"/>
    <cellStyle name="Header2 5 55 7" xfId="25963"/>
    <cellStyle name="Header2 5 55 8" xfId="25964"/>
    <cellStyle name="Header2 5 55 9" xfId="25965"/>
    <cellStyle name="Header2 5 56" xfId="4937"/>
    <cellStyle name="Header2 5 56 10" xfId="25966"/>
    <cellStyle name="Header2 5 56 2" xfId="25967"/>
    <cellStyle name="Header2 5 56 3" xfId="25968"/>
    <cellStyle name="Header2 5 56 4" xfId="25969"/>
    <cellStyle name="Header2 5 56 5" xfId="25970"/>
    <cellStyle name="Header2 5 56 6" xfId="25971"/>
    <cellStyle name="Header2 5 56 7" xfId="25972"/>
    <cellStyle name="Header2 5 56 8" xfId="25973"/>
    <cellStyle name="Header2 5 56 9" xfId="25974"/>
    <cellStyle name="Header2 5 57" xfId="4938"/>
    <cellStyle name="Header2 5 57 10" xfId="25975"/>
    <cellStyle name="Header2 5 57 2" xfId="25976"/>
    <cellStyle name="Header2 5 57 3" xfId="25977"/>
    <cellStyle name="Header2 5 57 4" xfId="25978"/>
    <cellStyle name="Header2 5 57 5" xfId="25979"/>
    <cellStyle name="Header2 5 57 6" xfId="25980"/>
    <cellStyle name="Header2 5 57 7" xfId="25981"/>
    <cellStyle name="Header2 5 57 8" xfId="25982"/>
    <cellStyle name="Header2 5 57 9" xfId="25983"/>
    <cellStyle name="Header2 5 58" xfId="4939"/>
    <cellStyle name="Header2 5 58 10" xfId="25984"/>
    <cellStyle name="Header2 5 58 2" xfId="25985"/>
    <cellStyle name="Header2 5 58 3" xfId="25986"/>
    <cellStyle name="Header2 5 58 4" xfId="25987"/>
    <cellStyle name="Header2 5 58 5" xfId="25988"/>
    <cellStyle name="Header2 5 58 6" xfId="25989"/>
    <cellStyle name="Header2 5 58 7" xfId="25990"/>
    <cellStyle name="Header2 5 58 8" xfId="25991"/>
    <cellStyle name="Header2 5 58 9" xfId="25992"/>
    <cellStyle name="Header2 5 59" xfId="4940"/>
    <cellStyle name="Header2 5 59 10" xfId="25993"/>
    <cellStyle name="Header2 5 59 2" xfId="25994"/>
    <cellStyle name="Header2 5 59 3" xfId="25995"/>
    <cellStyle name="Header2 5 59 4" xfId="25996"/>
    <cellStyle name="Header2 5 59 5" xfId="25997"/>
    <cellStyle name="Header2 5 59 6" xfId="25998"/>
    <cellStyle name="Header2 5 59 7" xfId="25999"/>
    <cellStyle name="Header2 5 59 8" xfId="26000"/>
    <cellStyle name="Header2 5 59 9" xfId="26001"/>
    <cellStyle name="Header2 5 6" xfId="4941"/>
    <cellStyle name="Header2 5 6 2" xfId="26002"/>
    <cellStyle name="Header2 5 6 3" xfId="26003"/>
    <cellStyle name="Header2 5 6 4" xfId="26004"/>
    <cellStyle name="Header2 5 6 5" xfId="26005"/>
    <cellStyle name="Header2 5 6 6" xfId="26006"/>
    <cellStyle name="Header2 5 6 7" xfId="26007"/>
    <cellStyle name="Header2 5 6 8" xfId="26008"/>
    <cellStyle name="Header2 5 6 9" xfId="26009"/>
    <cellStyle name="Header2 5 60" xfId="4942"/>
    <cellStyle name="Header2 5 60 10" xfId="26010"/>
    <cellStyle name="Header2 5 60 2" xfId="26011"/>
    <cellStyle name="Header2 5 60 3" xfId="26012"/>
    <cellStyle name="Header2 5 60 4" xfId="26013"/>
    <cellStyle name="Header2 5 60 5" xfId="26014"/>
    <cellStyle name="Header2 5 60 6" xfId="26015"/>
    <cellStyle name="Header2 5 60 7" xfId="26016"/>
    <cellStyle name="Header2 5 60 8" xfId="26017"/>
    <cellStyle name="Header2 5 60 9" xfId="26018"/>
    <cellStyle name="Header2 5 61" xfId="4943"/>
    <cellStyle name="Header2 5 61 10" xfId="26019"/>
    <cellStyle name="Header2 5 61 2" xfId="26020"/>
    <cellStyle name="Header2 5 61 3" xfId="26021"/>
    <cellStyle name="Header2 5 61 4" xfId="26022"/>
    <cellStyle name="Header2 5 61 5" xfId="26023"/>
    <cellStyle name="Header2 5 61 6" xfId="26024"/>
    <cellStyle name="Header2 5 61 7" xfId="26025"/>
    <cellStyle name="Header2 5 61 8" xfId="26026"/>
    <cellStyle name="Header2 5 61 9" xfId="26027"/>
    <cellStyle name="Header2 5 62" xfId="4944"/>
    <cellStyle name="Header2 5 62 10" xfId="26028"/>
    <cellStyle name="Header2 5 62 2" xfId="26029"/>
    <cellStyle name="Header2 5 62 3" xfId="26030"/>
    <cellStyle name="Header2 5 62 4" xfId="26031"/>
    <cellStyle name="Header2 5 62 5" xfId="26032"/>
    <cellStyle name="Header2 5 62 6" xfId="26033"/>
    <cellStyle name="Header2 5 62 7" xfId="26034"/>
    <cellStyle name="Header2 5 62 8" xfId="26035"/>
    <cellStyle name="Header2 5 62 9" xfId="26036"/>
    <cellStyle name="Header2 5 63" xfId="4945"/>
    <cellStyle name="Header2 5 63 10" xfId="26037"/>
    <cellStyle name="Header2 5 63 2" xfId="26038"/>
    <cellStyle name="Header2 5 63 3" xfId="26039"/>
    <cellStyle name="Header2 5 63 4" xfId="26040"/>
    <cellStyle name="Header2 5 63 5" xfId="26041"/>
    <cellStyle name="Header2 5 63 6" xfId="26042"/>
    <cellStyle name="Header2 5 63 7" xfId="26043"/>
    <cellStyle name="Header2 5 63 8" xfId="26044"/>
    <cellStyle name="Header2 5 63 9" xfId="26045"/>
    <cellStyle name="Header2 5 64" xfId="4946"/>
    <cellStyle name="Header2 5 64 10" xfId="26046"/>
    <cellStyle name="Header2 5 64 2" xfId="26047"/>
    <cellStyle name="Header2 5 64 3" xfId="26048"/>
    <cellStyle name="Header2 5 64 4" xfId="26049"/>
    <cellStyle name="Header2 5 64 5" xfId="26050"/>
    <cellStyle name="Header2 5 64 6" xfId="26051"/>
    <cellStyle name="Header2 5 64 7" xfId="26052"/>
    <cellStyle name="Header2 5 64 8" xfId="26053"/>
    <cellStyle name="Header2 5 64 9" xfId="26054"/>
    <cellStyle name="Header2 5 65" xfId="4947"/>
    <cellStyle name="Header2 5 65 10" xfId="26055"/>
    <cellStyle name="Header2 5 65 2" xfId="26056"/>
    <cellStyle name="Header2 5 65 3" xfId="26057"/>
    <cellStyle name="Header2 5 65 4" xfId="26058"/>
    <cellStyle name="Header2 5 65 5" xfId="26059"/>
    <cellStyle name="Header2 5 65 6" xfId="26060"/>
    <cellStyle name="Header2 5 65 7" xfId="26061"/>
    <cellStyle name="Header2 5 65 8" xfId="26062"/>
    <cellStyle name="Header2 5 65 9" xfId="26063"/>
    <cellStyle name="Header2 5 66" xfId="4948"/>
    <cellStyle name="Header2 5 66 10" xfId="26064"/>
    <cellStyle name="Header2 5 66 2" xfId="26065"/>
    <cellStyle name="Header2 5 66 3" xfId="26066"/>
    <cellStyle name="Header2 5 66 4" xfId="26067"/>
    <cellStyle name="Header2 5 66 5" xfId="26068"/>
    <cellStyle name="Header2 5 66 6" xfId="26069"/>
    <cellStyle name="Header2 5 66 7" xfId="26070"/>
    <cellStyle name="Header2 5 66 8" xfId="26071"/>
    <cellStyle name="Header2 5 66 9" xfId="26072"/>
    <cellStyle name="Header2 5 67" xfId="4949"/>
    <cellStyle name="Header2 5 67 10" xfId="26073"/>
    <cellStyle name="Header2 5 67 2" xfId="26074"/>
    <cellStyle name="Header2 5 67 3" xfId="26075"/>
    <cellStyle name="Header2 5 67 4" xfId="26076"/>
    <cellStyle name="Header2 5 67 5" xfId="26077"/>
    <cellStyle name="Header2 5 67 6" xfId="26078"/>
    <cellStyle name="Header2 5 67 7" xfId="26079"/>
    <cellStyle name="Header2 5 67 8" xfId="26080"/>
    <cellStyle name="Header2 5 67 9" xfId="26081"/>
    <cellStyle name="Header2 5 68" xfId="4950"/>
    <cellStyle name="Header2 5 68 10" xfId="26082"/>
    <cellStyle name="Header2 5 68 2" xfId="26083"/>
    <cellStyle name="Header2 5 68 3" xfId="26084"/>
    <cellStyle name="Header2 5 68 4" xfId="26085"/>
    <cellStyle name="Header2 5 68 5" xfId="26086"/>
    <cellStyle name="Header2 5 68 6" xfId="26087"/>
    <cellStyle name="Header2 5 68 7" xfId="26088"/>
    <cellStyle name="Header2 5 68 8" xfId="26089"/>
    <cellStyle name="Header2 5 68 9" xfId="26090"/>
    <cellStyle name="Header2 5 69" xfId="4951"/>
    <cellStyle name="Header2 5 69 10" xfId="26091"/>
    <cellStyle name="Header2 5 69 2" xfId="26092"/>
    <cellStyle name="Header2 5 69 3" xfId="26093"/>
    <cellStyle name="Header2 5 69 4" xfId="26094"/>
    <cellStyle name="Header2 5 69 5" xfId="26095"/>
    <cellStyle name="Header2 5 69 6" xfId="26096"/>
    <cellStyle name="Header2 5 69 7" xfId="26097"/>
    <cellStyle name="Header2 5 69 8" xfId="26098"/>
    <cellStyle name="Header2 5 69 9" xfId="26099"/>
    <cellStyle name="Header2 5 7" xfId="4952"/>
    <cellStyle name="Header2 5 7 2" xfId="26100"/>
    <cellStyle name="Header2 5 7 3" xfId="26101"/>
    <cellStyle name="Header2 5 7 4" xfId="26102"/>
    <cellStyle name="Header2 5 7 5" xfId="26103"/>
    <cellStyle name="Header2 5 7 6" xfId="26104"/>
    <cellStyle name="Header2 5 7 7" xfId="26105"/>
    <cellStyle name="Header2 5 7 8" xfId="26106"/>
    <cellStyle name="Header2 5 7 9" xfId="26107"/>
    <cellStyle name="Header2 5 70" xfId="4953"/>
    <cellStyle name="Header2 5 70 10" xfId="26108"/>
    <cellStyle name="Header2 5 70 2" xfId="26109"/>
    <cellStyle name="Header2 5 70 3" xfId="26110"/>
    <cellStyle name="Header2 5 70 4" xfId="26111"/>
    <cellStyle name="Header2 5 70 5" xfId="26112"/>
    <cellStyle name="Header2 5 70 6" xfId="26113"/>
    <cellStyle name="Header2 5 70 7" xfId="26114"/>
    <cellStyle name="Header2 5 70 8" xfId="26115"/>
    <cellStyle name="Header2 5 70 9" xfId="26116"/>
    <cellStyle name="Header2 5 71" xfId="4954"/>
    <cellStyle name="Header2 5 71 10" xfId="26117"/>
    <cellStyle name="Header2 5 71 2" xfId="26118"/>
    <cellStyle name="Header2 5 71 3" xfId="26119"/>
    <cellStyle name="Header2 5 71 4" xfId="26120"/>
    <cellStyle name="Header2 5 71 5" xfId="26121"/>
    <cellStyle name="Header2 5 71 6" xfId="26122"/>
    <cellStyle name="Header2 5 71 7" xfId="26123"/>
    <cellStyle name="Header2 5 71 8" xfId="26124"/>
    <cellStyle name="Header2 5 71 9" xfId="26125"/>
    <cellStyle name="Header2 5 72" xfId="4955"/>
    <cellStyle name="Header2 5 72 10" xfId="26126"/>
    <cellStyle name="Header2 5 72 2" xfId="26127"/>
    <cellStyle name="Header2 5 72 3" xfId="26128"/>
    <cellStyle name="Header2 5 72 4" xfId="26129"/>
    <cellStyle name="Header2 5 72 5" xfId="26130"/>
    <cellStyle name="Header2 5 72 6" xfId="26131"/>
    <cellStyle name="Header2 5 72 7" xfId="26132"/>
    <cellStyle name="Header2 5 72 8" xfId="26133"/>
    <cellStyle name="Header2 5 72 9" xfId="26134"/>
    <cellStyle name="Header2 5 73" xfId="4956"/>
    <cellStyle name="Header2 5 73 10" xfId="26135"/>
    <cellStyle name="Header2 5 73 2" xfId="26136"/>
    <cellStyle name="Header2 5 73 3" xfId="26137"/>
    <cellStyle name="Header2 5 73 4" xfId="26138"/>
    <cellStyle name="Header2 5 73 5" xfId="26139"/>
    <cellStyle name="Header2 5 73 6" xfId="26140"/>
    <cellStyle name="Header2 5 73 7" xfId="26141"/>
    <cellStyle name="Header2 5 73 8" xfId="26142"/>
    <cellStyle name="Header2 5 73 9" xfId="26143"/>
    <cellStyle name="Header2 5 74" xfId="4957"/>
    <cellStyle name="Header2 5 74 10" xfId="26144"/>
    <cellStyle name="Header2 5 74 2" xfId="26145"/>
    <cellStyle name="Header2 5 74 3" xfId="26146"/>
    <cellStyle name="Header2 5 74 4" xfId="26147"/>
    <cellStyle name="Header2 5 74 5" xfId="26148"/>
    <cellStyle name="Header2 5 74 6" xfId="26149"/>
    <cellStyle name="Header2 5 74 7" xfId="26150"/>
    <cellStyle name="Header2 5 74 8" xfId="26151"/>
    <cellStyle name="Header2 5 74 9" xfId="26152"/>
    <cellStyle name="Header2 5 75" xfId="4958"/>
    <cellStyle name="Header2 5 75 10" xfId="26153"/>
    <cellStyle name="Header2 5 75 2" xfId="26154"/>
    <cellStyle name="Header2 5 75 3" xfId="26155"/>
    <cellStyle name="Header2 5 75 4" xfId="26156"/>
    <cellStyle name="Header2 5 75 5" xfId="26157"/>
    <cellStyle name="Header2 5 75 6" xfId="26158"/>
    <cellStyle name="Header2 5 75 7" xfId="26159"/>
    <cellStyle name="Header2 5 75 8" xfId="26160"/>
    <cellStyle name="Header2 5 75 9" xfId="26161"/>
    <cellStyle name="Header2 5 76" xfId="4959"/>
    <cellStyle name="Header2 5 76 10" xfId="26162"/>
    <cellStyle name="Header2 5 76 2" xfId="26163"/>
    <cellStyle name="Header2 5 76 3" xfId="26164"/>
    <cellStyle name="Header2 5 76 4" xfId="26165"/>
    <cellStyle name="Header2 5 76 5" xfId="26166"/>
    <cellStyle name="Header2 5 76 6" xfId="26167"/>
    <cellStyle name="Header2 5 76 7" xfId="26168"/>
    <cellStyle name="Header2 5 76 8" xfId="26169"/>
    <cellStyle name="Header2 5 76 9" xfId="26170"/>
    <cellStyle name="Header2 5 77" xfId="4960"/>
    <cellStyle name="Header2 5 77 10" xfId="26171"/>
    <cellStyle name="Header2 5 77 2" xfId="26172"/>
    <cellStyle name="Header2 5 77 3" xfId="26173"/>
    <cellStyle name="Header2 5 77 4" xfId="26174"/>
    <cellStyle name="Header2 5 77 5" xfId="26175"/>
    <cellStyle name="Header2 5 77 6" xfId="26176"/>
    <cellStyle name="Header2 5 77 7" xfId="26177"/>
    <cellStyle name="Header2 5 77 8" xfId="26178"/>
    <cellStyle name="Header2 5 77 9" xfId="26179"/>
    <cellStyle name="Header2 5 78" xfId="4961"/>
    <cellStyle name="Header2 5 78 10" xfId="26180"/>
    <cellStyle name="Header2 5 78 2" xfId="26181"/>
    <cellStyle name="Header2 5 78 3" xfId="26182"/>
    <cellStyle name="Header2 5 78 4" xfId="26183"/>
    <cellStyle name="Header2 5 78 5" xfId="26184"/>
    <cellStyle name="Header2 5 78 6" xfId="26185"/>
    <cellStyle name="Header2 5 78 7" xfId="26186"/>
    <cellStyle name="Header2 5 78 8" xfId="26187"/>
    <cellStyle name="Header2 5 78 9" xfId="26188"/>
    <cellStyle name="Header2 5 79" xfId="4962"/>
    <cellStyle name="Header2 5 79 10" xfId="26189"/>
    <cellStyle name="Header2 5 79 2" xfId="26190"/>
    <cellStyle name="Header2 5 79 3" xfId="26191"/>
    <cellStyle name="Header2 5 79 4" xfId="26192"/>
    <cellStyle name="Header2 5 79 5" xfId="26193"/>
    <cellStyle name="Header2 5 79 6" xfId="26194"/>
    <cellStyle name="Header2 5 79 7" xfId="26195"/>
    <cellStyle name="Header2 5 79 8" xfId="26196"/>
    <cellStyle name="Header2 5 79 9" xfId="26197"/>
    <cellStyle name="Header2 5 8" xfId="4963"/>
    <cellStyle name="Header2 5 8 2" xfId="26198"/>
    <cellStyle name="Header2 5 8 3" xfId="26199"/>
    <cellStyle name="Header2 5 8 4" xfId="26200"/>
    <cellStyle name="Header2 5 8 5" xfId="26201"/>
    <cellStyle name="Header2 5 8 6" xfId="26202"/>
    <cellStyle name="Header2 5 8 7" xfId="26203"/>
    <cellStyle name="Header2 5 8 8" xfId="26204"/>
    <cellStyle name="Header2 5 8 9" xfId="26205"/>
    <cellStyle name="Header2 5 80" xfId="4964"/>
    <cellStyle name="Header2 5 80 10" xfId="26206"/>
    <cellStyle name="Header2 5 80 2" xfId="26207"/>
    <cellStyle name="Header2 5 80 3" xfId="26208"/>
    <cellStyle name="Header2 5 80 4" xfId="26209"/>
    <cellStyle name="Header2 5 80 5" xfId="26210"/>
    <cellStyle name="Header2 5 80 6" xfId="26211"/>
    <cellStyle name="Header2 5 80 7" xfId="26212"/>
    <cellStyle name="Header2 5 80 8" xfId="26213"/>
    <cellStyle name="Header2 5 80 9" xfId="26214"/>
    <cellStyle name="Header2 5 81" xfId="4965"/>
    <cellStyle name="Header2 5 81 10" xfId="26215"/>
    <cellStyle name="Header2 5 81 2" xfId="26216"/>
    <cellStyle name="Header2 5 81 3" xfId="26217"/>
    <cellStyle name="Header2 5 81 4" xfId="26218"/>
    <cellStyle name="Header2 5 81 5" xfId="26219"/>
    <cellStyle name="Header2 5 81 6" xfId="26220"/>
    <cellStyle name="Header2 5 81 7" xfId="26221"/>
    <cellStyle name="Header2 5 81 8" xfId="26222"/>
    <cellStyle name="Header2 5 81 9" xfId="26223"/>
    <cellStyle name="Header2 5 82" xfId="4966"/>
    <cellStyle name="Header2 5 82 10" xfId="26224"/>
    <cellStyle name="Header2 5 82 2" xfId="26225"/>
    <cellStyle name="Header2 5 82 3" xfId="26226"/>
    <cellStyle name="Header2 5 82 4" xfId="26227"/>
    <cellStyle name="Header2 5 82 5" xfId="26228"/>
    <cellStyle name="Header2 5 82 6" xfId="26229"/>
    <cellStyle name="Header2 5 82 7" xfId="26230"/>
    <cellStyle name="Header2 5 82 8" xfId="26231"/>
    <cellStyle name="Header2 5 82 9" xfId="26232"/>
    <cellStyle name="Header2 5 83" xfId="4967"/>
    <cellStyle name="Header2 5 83 10" xfId="26233"/>
    <cellStyle name="Header2 5 83 2" xfId="26234"/>
    <cellStyle name="Header2 5 83 3" xfId="26235"/>
    <cellStyle name="Header2 5 83 4" xfId="26236"/>
    <cellStyle name="Header2 5 83 5" xfId="26237"/>
    <cellStyle name="Header2 5 83 6" xfId="26238"/>
    <cellStyle name="Header2 5 83 7" xfId="26239"/>
    <cellStyle name="Header2 5 83 8" xfId="26240"/>
    <cellStyle name="Header2 5 83 9" xfId="26241"/>
    <cellStyle name="Header2 5 84" xfId="4968"/>
    <cellStyle name="Header2 5 84 10" xfId="26242"/>
    <cellStyle name="Header2 5 84 2" xfId="26243"/>
    <cellStyle name="Header2 5 84 3" xfId="26244"/>
    <cellStyle name="Header2 5 84 4" xfId="26245"/>
    <cellStyle name="Header2 5 84 5" xfId="26246"/>
    <cellStyle name="Header2 5 84 6" xfId="26247"/>
    <cellStyle name="Header2 5 84 7" xfId="26248"/>
    <cellStyle name="Header2 5 84 8" xfId="26249"/>
    <cellStyle name="Header2 5 84 9" xfId="26250"/>
    <cellStyle name="Header2 5 85" xfId="4969"/>
    <cellStyle name="Header2 5 85 10" xfId="26251"/>
    <cellStyle name="Header2 5 85 2" xfId="26252"/>
    <cellStyle name="Header2 5 85 3" xfId="26253"/>
    <cellStyle name="Header2 5 85 4" xfId="26254"/>
    <cellStyle name="Header2 5 85 5" xfId="26255"/>
    <cellStyle name="Header2 5 85 6" xfId="26256"/>
    <cellStyle name="Header2 5 85 7" xfId="26257"/>
    <cellStyle name="Header2 5 85 8" xfId="26258"/>
    <cellStyle name="Header2 5 85 9" xfId="26259"/>
    <cellStyle name="Header2 5 86" xfId="4970"/>
    <cellStyle name="Header2 5 86 10" xfId="26260"/>
    <cellStyle name="Header2 5 86 2" xfId="26261"/>
    <cellStyle name="Header2 5 86 3" xfId="26262"/>
    <cellStyle name="Header2 5 86 4" xfId="26263"/>
    <cellStyle name="Header2 5 86 5" xfId="26264"/>
    <cellStyle name="Header2 5 86 6" xfId="26265"/>
    <cellStyle name="Header2 5 86 7" xfId="26266"/>
    <cellStyle name="Header2 5 86 8" xfId="26267"/>
    <cellStyle name="Header2 5 86 9" xfId="26268"/>
    <cellStyle name="Header2 5 87" xfId="4971"/>
    <cellStyle name="Header2 5 87 10" xfId="26269"/>
    <cellStyle name="Header2 5 87 2" xfId="26270"/>
    <cellStyle name="Header2 5 87 3" xfId="26271"/>
    <cellStyle name="Header2 5 87 4" xfId="26272"/>
    <cellStyle name="Header2 5 87 5" xfId="26273"/>
    <cellStyle name="Header2 5 87 6" xfId="26274"/>
    <cellStyle name="Header2 5 87 7" xfId="26275"/>
    <cellStyle name="Header2 5 87 8" xfId="26276"/>
    <cellStyle name="Header2 5 87 9" xfId="26277"/>
    <cellStyle name="Header2 5 88" xfId="4972"/>
    <cellStyle name="Header2 5 88 10" xfId="26278"/>
    <cellStyle name="Header2 5 88 2" xfId="26279"/>
    <cellStyle name="Header2 5 88 3" xfId="26280"/>
    <cellStyle name="Header2 5 88 4" xfId="26281"/>
    <cellStyle name="Header2 5 88 5" xfId="26282"/>
    <cellStyle name="Header2 5 88 6" xfId="26283"/>
    <cellStyle name="Header2 5 88 7" xfId="26284"/>
    <cellStyle name="Header2 5 88 8" xfId="26285"/>
    <cellStyle name="Header2 5 88 9" xfId="26286"/>
    <cellStyle name="Header2 5 89" xfId="4973"/>
    <cellStyle name="Header2 5 89 10" xfId="26287"/>
    <cellStyle name="Header2 5 89 2" xfId="26288"/>
    <cellStyle name="Header2 5 89 3" xfId="26289"/>
    <cellStyle name="Header2 5 89 4" xfId="26290"/>
    <cellStyle name="Header2 5 89 5" xfId="26291"/>
    <cellStyle name="Header2 5 89 6" xfId="26292"/>
    <cellStyle name="Header2 5 89 7" xfId="26293"/>
    <cellStyle name="Header2 5 89 8" xfId="26294"/>
    <cellStyle name="Header2 5 89 9" xfId="26295"/>
    <cellStyle name="Header2 5 9" xfId="4974"/>
    <cellStyle name="Header2 5 9 2" xfId="26296"/>
    <cellStyle name="Header2 5 9 3" xfId="26297"/>
    <cellStyle name="Header2 5 9 4" xfId="26298"/>
    <cellStyle name="Header2 5 9 5" xfId="26299"/>
    <cellStyle name="Header2 5 9 6" xfId="26300"/>
    <cellStyle name="Header2 5 9 7" xfId="26301"/>
    <cellStyle name="Header2 5 9 8" xfId="26302"/>
    <cellStyle name="Header2 5 9 9" xfId="26303"/>
    <cellStyle name="Header2 5 90" xfId="4975"/>
    <cellStyle name="Header2 5 90 10" xfId="26304"/>
    <cellStyle name="Header2 5 90 2" xfId="26305"/>
    <cellStyle name="Header2 5 90 3" xfId="26306"/>
    <cellStyle name="Header2 5 90 4" xfId="26307"/>
    <cellStyle name="Header2 5 90 5" xfId="26308"/>
    <cellStyle name="Header2 5 90 6" xfId="26309"/>
    <cellStyle name="Header2 5 90 7" xfId="26310"/>
    <cellStyle name="Header2 5 90 8" xfId="26311"/>
    <cellStyle name="Header2 5 90 9" xfId="26312"/>
    <cellStyle name="Header2 5 91" xfId="4976"/>
    <cellStyle name="Header2 5 91 10" xfId="26313"/>
    <cellStyle name="Header2 5 91 2" xfId="26314"/>
    <cellStyle name="Header2 5 91 3" xfId="26315"/>
    <cellStyle name="Header2 5 91 4" xfId="26316"/>
    <cellStyle name="Header2 5 91 5" xfId="26317"/>
    <cellStyle name="Header2 5 91 6" xfId="26318"/>
    <cellStyle name="Header2 5 91 7" xfId="26319"/>
    <cellStyle name="Header2 5 91 8" xfId="26320"/>
    <cellStyle name="Header2 5 91 9" xfId="26321"/>
    <cellStyle name="Header2 5 92" xfId="4977"/>
    <cellStyle name="Header2 5 92 10" xfId="26322"/>
    <cellStyle name="Header2 5 92 2" xfId="26323"/>
    <cellStyle name="Header2 5 92 3" xfId="26324"/>
    <cellStyle name="Header2 5 92 4" xfId="26325"/>
    <cellStyle name="Header2 5 92 5" xfId="26326"/>
    <cellStyle name="Header2 5 92 6" xfId="26327"/>
    <cellStyle name="Header2 5 92 7" xfId="26328"/>
    <cellStyle name="Header2 5 92 8" xfId="26329"/>
    <cellStyle name="Header2 5 92 9" xfId="26330"/>
    <cellStyle name="Header2 5 93" xfId="4978"/>
    <cellStyle name="Header2 5 93 2" xfId="26331"/>
    <cellStyle name="Header2 5 93 3" xfId="26332"/>
    <cellStyle name="Header2 5 93 4" xfId="26333"/>
    <cellStyle name="Header2 5 93 5" xfId="26334"/>
    <cellStyle name="Header2 5 93 6" xfId="26335"/>
    <cellStyle name="Header2 5 93 7" xfId="26336"/>
    <cellStyle name="Header2 5 93 8" xfId="26337"/>
    <cellStyle name="Header2 5 93 9" xfId="26338"/>
    <cellStyle name="Header2 5 94" xfId="11764"/>
    <cellStyle name="Header2 5 95" xfId="26339"/>
    <cellStyle name="Header2 5 96" xfId="26340"/>
    <cellStyle name="Header2 5 97" xfId="26341"/>
    <cellStyle name="Header2 5 98" xfId="26342"/>
    <cellStyle name="Header2 5 99" xfId="26343"/>
    <cellStyle name="Header2 5_Cashflow trend" xfId="1177"/>
    <cellStyle name="Header2 50" xfId="4979"/>
    <cellStyle name="Header2 50 10" xfId="26344"/>
    <cellStyle name="Header2 50 2" xfId="26345"/>
    <cellStyle name="Header2 50 3" xfId="26346"/>
    <cellStyle name="Header2 50 4" xfId="26347"/>
    <cellStyle name="Header2 50 5" xfId="26348"/>
    <cellStyle name="Header2 50 6" xfId="26349"/>
    <cellStyle name="Header2 50 7" xfId="26350"/>
    <cellStyle name="Header2 50 8" xfId="26351"/>
    <cellStyle name="Header2 50 9" xfId="26352"/>
    <cellStyle name="Header2 51" xfId="4980"/>
    <cellStyle name="Header2 51 10" xfId="26353"/>
    <cellStyle name="Header2 51 2" xfId="26354"/>
    <cellStyle name="Header2 51 3" xfId="26355"/>
    <cellStyle name="Header2 51 4" xfId="26356"/>
    <cellStyle name="Header2 51 5" xfId="26357"/>
    <cellStyle name="Header2 51 6" xfId="26358"/>
    <cellStyle name="Header2 51 7" xfId="26359"/>
    <cellStyle name="Header2 51 8" xfId="26360"/>
    <cellStyle name="Header2 51 9" xfId="26361"/>
    <cellStyle name="Header2 52" xfId="4981"/>
    <cellStyle name="Header2 52 2" xfId="26362"/>
    <cellStyle name="Header2 52 3" xfId="26363"/>
    <cellStyle name="Header2 52 4" xfId="26364"/>
    <cellStyle name="Header2 52 5" xfId="26365"/>
    <cellStyle name="Header2 52 6" xfId="26366"/>
    <cellStyle name="Header2 52 7" xfId="26367"/>
    <cellStyle name="Header2 52 8" xfId="26368"/>
    <cellStyle name="Header2 52 9" xfId="26369"/>
    <cellStyle name="Header2 53" xfId="4982"/>
    <cellStyle name="Header2 53 10" xfId="26370"/>
    <cellStyle name="Header2 53 2" xfId="26371"/>
    <cellStyle name="Header2 53 3" xfId="26372"/>
    <cellStyle name="Header2 53 4" xfId="26373"/>
    <cellStyle name="Header2 53 5" xfId="26374"/>
    <cellStyle name="Header2 53 6" xfId="26375"/>
    <cellStyle name="Header2 53 7" xfId="26376"/>
    <cellStyle name="Header2 53 8" xfId="26377"/>
    <cellStyle name="Header2 53 9" xfId="26378"/>
    <cellStyle name="Header2 54" xfId="4983"/>
    <cellStyle name="Header2 54 10" xfId="26379"/>
    <cellStyle name="Header2 54 2" xfId="26380"/>
    <cellStyle name="Header2 54 3" xfId="26381"/>
    <cellStyle name="Header2 54 4" xfId="26382"/>
    <cellStyle name="Header2 54 5" xfId="26383"/>
    <cellStyle name="Header2 54 6" xfId="26384"/>
    <cellStyle name="Header2 54 7" xfId="26385"/>
    <cellStyle name="Header2 54 8" xfId="26386"/>
    <cellStyle name="Header2 54 9" xfId="26387"/>
    <cellStyle name="Header2 55" xfId="4984"/>
    <cellStyle name="Header2 55 10" xfId="26388"/>
    <cellStyle name="Header2 55 2" xfId="26389"/>
    <cellStyle name="Header2 55 3" xfId="26390"/>
    <cellStyle name="Header2 55 4" xfId="26391"/>
    <cellStyle name="Header2 55 5" xfId="26392"/>
    <cellStyle name="Header2 55 6" xfId="26393"/>
    <cellStyle name="Header2 55 7" xfId="26394"/>
    <cellStyle name="Header2 55 8" xfId="26395"/>
    <cellStyle name="Header2 55 9" xfId="26396"/>
    <cellStyle name="Header2 56" xfId="4985"/>
    <cellStyle name="Header2 56 10" xfId="26397"/>
    <cellStyle name="Header2 56 2" xfId="26398"/>
    <cellStyle name="Header2 56 3" xfId="26399"/>
    <cellStyle name="Header2 56 4" xfId="26400"/>
    <cellStyle name="Header2 56 5" xfId="26401"/>
    <cellStyle name="Header2 56 6" xfId="26402"/>
    <cellStyle name="Header2 56 7" xfId="26403"/>
    <cellStyle name="Header2 56 8" xfId="26404"/>
    <cellStyle name="Header2 56 9" xfId="26405"/>
    <cellStyle name="Header2 57" xfId="4986"/>
    <cellStyle name="Header2 57 10" xfId="26406"/>
    <cellStyle name="Header2 57 2" xfId="26407"/>
    <cellStyle name="Header2 57 3" xfId="26408"/>
    <cellStyle name="Header2 57 4" xfId="26409"/>
    <cellStyle name="Header2 57 5" xfId="26410"/>
    <cellStyle name="Header2 57 6" xfId="26411"/>
    <cellStyle name="Header2 57 7" xfId="26412"/>
    <cellStyle name="Header2 57 8" xfId="26413"/>
    <cellStyle name="Header2 57 9" xfId="26414"/>
    <cellStyle name="Header2 58" xfId="4987"/>
    <cellStyle name="Header2 58 10" xfId="26415"/>
    <cellStyle name="Header2 58 2" xfId="26416"/>
    <cellStyle name="Header2 58 3" xfId="26417"/>
    <cellStyle name="Header2 58 4" xfId="26418"/>
    <cellStyle name="Header2 58 5" xfId="26419"/>
    <cellStyle name="Header2 58 6" xfId="26420"/>
    <cellStyle name="Header2 58 7" xfId="26421"/>
    <cellStyle name="Header2 58 8" xfId="26422"/>
    <cellStyle name="Header2 58 9" xfId="26423"/>
    <cellStyle name="Header2 59" xfId="4988"/>
    <cellStyle name="Header2 59 10" xfId="26424"/>
    <cellStyle name="Header2 59 2" xfId="26425"/>
    <cellStyle name="Header2 59 3" xfId="26426"/>
    <cellStyle name="Header2 59 4" xfId="26427"/>
    <cellStyle name="Header2 59 5" xfId="26428"/>
    <cellStyle name="Header2 59 6" xfId="26429"/>
    <cellStyle name="Header2 59 7" xfId="26430"/>
    <cellStyle name="Header2 59 8" xfId="26431"/>
    <cellStyle name="Header2 59 9" xfId="26432"/>
    <cellStyle name="Header2 6" xfId="1178"/>
    <cellStyle name="Header2 6 10" xfId="4989"/>
    <cellStyle name="Header2 6 10 2" xfId="26433"/>
    <cellStyle name="Header2 6 10 3" xfId="26434"/>
    <cellStyle name="Header2 6 10 4" xfId="26435"/>
    <cellStyle name="Header2 6 10 5" xfId="26436"/>
    <cellStyle name="Header2 6 10 6" xfId="26437"/>
    <cellStyle name="Header2 6 10 7" xfId="26438"/>
    <cellStyle name="Header2 6 10 8" xfId="26439"/>
    <cellStyle name="Header2 6 10 9" xfId="26440"/>
    <cellStyle name="Header2 6 100" xfId="26441"/>
    <cellStyle name="Header2 6 101" xfId="26442"/>
    <cellStyle name="Header2 6 102" xfId="26443"/>
    <cellStyle name="Header2 6 11" xfId="4990"/>
    <cellStyle name="Header2 6 11 2" xfId="26444"/>
    <cellStyle name="Header2 6 11 3" xfId="26445"/>
    <cellStyle name="Header2 6 11 4" xfId="26446"/>
    <cellStyle name="Header2 6 11 5" xfId="26447"/>
    <cellStyle name="Header2 6 11 6" xfId="26448"/>
    <cellStyle name="Header2 6 11 7" xfId="26449"/>
    <cellStyle name="Header2 6 11 8" xfId="26450"/>
    <cellStyle name="Header2 6 11 9" xfId="26451"/>
    <cellStyle name="Header2 6 12" xfId="4991"/>
    <cellStyle name="Header2 6 12 2" xfId="26452"/>
    <cellStyle name="Header2 6 12 3" xfId="26453"/>
    <cellStyle name="Header2 6 12 4" xfId="26454"/>
    <cellStyle name="Header2 6 12 5" xfId="26455"/>
    <cellStyle name="Header2 6 12 6" xfId="26456"/>
    <cellStyle name="Header2 6 12 7" xfId="26457"/>
    <cellStyle name="Header2 6 12 8" xfId="26458"/>
    <cellStyle name="Header2 6 12 9" xfId="26459"/>
    <cellStyle name="Header2 6 13" xfId="4992"/>
    <cellStyle name="Header2 6 13 2" xfId="26460"/>
    <cellStyle name="Header2 6 13 3" xfId="26461"/>
    <cellStyle name="Header2 6 13 4" xfId="26462"/>
    <cellStyle name="Header2 6 13 5" xfId="26463"/>
    <cellStyle name="Header2 6 13 6" xfId="26464"/>
    <cellStyle name="Header2 6 13 7" xfId="26465"/>
    <cellStyle name="Header2 6 13 8" xfId="26466"/>
    <cellStyle name="Header2 6 13 9" xfId="26467"/>
    <cellStyle name="Header2 6 14" xfId="4993"/>
    <cellStyle name="Header2 6 14 2" xfId="26468"/>
    <cellStyle name="Header2 6 14 3" xfId="26469"/>
    <cellStyle name="Header2 6 14 4" xfId="26470"/>
    <cellStyle name="Header2 6 14 5" xfId="26471"/>
    <cellStyle name="Header2 6 14 6" xfId="26472"/>
    <cellStyle name="Header2 6 14 7" xfId="26473"/>
    <cellStyle name="Header2 6 14 8" xfId="26474"/>
    <cellStyle name="Header2 6 14 9" xfId="26475"/>
    <cellStyle name="Header2 6 15" xfId="4994"/>
    <cellStyle name="Header2 6 15 2" xfId="26476"/>
    <cellStyle name="Header2 6 15 3" xfId="26477"/>
    <cellStyle name="Header2 6 15 4" xfId="26478"/>
    <cellStyle name="Header2 6 15 5" xfId="26479"/>
    <cellStyle name="Header2 6 15 6" xfId="26480"/>
    <cellStyle name="Header2 6 15 7" xfId="26481"/>
    <cellStyle name="Header2 6 15 8" xfId="26482"/>
    <cellStyle name="Header2 6 15 9" xfId="26483"/>
    <cellStyle name="Header2 6 16" xfId="4995"/>
    <cellStyle name="Header2 6 16 2" xfId="26484"/>
    <cellStyle name="Header2 6 16 3" xfId="26485"/>
    <cellStyle name="Header2 6 16 4" xfId="26486"/>
    <cellStyle name="Header2 6 16 5" xfId="26487"/>
    <cellStyle name="Header2 6 16 6" xfId="26488"/>
    <cellStyle name="Header2 6 16 7" xfId="26489"/>
    <cellStyle name="Header2 6 16 8" xfId="26490"/>
    <cellStyle name="Header2 6 16 9" xfId="26491"/>
    <cellStyle name="Header2 6 17" xfId="4996"/>
    <cellStyle name="Header2 6 17 2" xfId="26492"/>
    <cellStyle name="Header2 6 17 3" xfId="26493"/>
    <cellStyle name="Header2 6 17 4" xfId="26494"/>
    <cellStyle name="Header2 6 17 5" xfId="26495"/>
    <cellStyle name="Header2 6 17 6" xfId="26496"/>
    <cellStyle name="Header2 6 17 7" xfId="26497"/>
    <cellStyle name="Header2 6 17 8" xfId="26498"/>
    <cellStyle name="Header2 6 17 9" xfId="26499"/>
    <cellStyle name="Header2 6 18" xfId="4997"/>
    <cellStyle name="Header2 6 18 2" xfId="26500"/>
    <cellStyle name="Header2 6 18 3" xfId="26501"/>
    <cellStyle name="Header2 6 18 4" xfId="26502"/>
    <cellStyle name="Header2 6 18 5" xfId="26503"/>
    <cellStyle name="Header2 6 18 6" xfId="26504"/>
    <cellStyle name="Header2 6 18 7" xfId="26505"/>
    <cellStyle name="Header2 6 18 8" xfId="26506"/>
    <cellStyle name="Header2 6 18 9" xfId="26507"/>
    <cellStyle name="Header2 6 19" xfId="4998"/>
    <cellStyle name="Header2 6 19 2" xfId="26508"/>
    <cellStyle name="Header2 6 19 3" xfId="26509"/>
    <cellStyle name="Header2 6 19 4" xfId="26510"/>
    <cellStyle name="Header2 6 19 5" xfId="26511"/>
    <cellStyle name="Header2 6 19 6" xfId="26512"/>
    <cellStyle name="Header2 6 19 7" xfId="26513"/>
    <cellStyle name="Header2 6 19 8" xfId="26514"/>
    <cellStyle name="Header2 6 19 9" xfId="26515"/>
    <cellStyle name="Header2 6 2" xfId="4999"/>
    <cellStyle name="Header2 6 2 10" xfId="26516"/>
    <cellStyle name="Header2 6 2 11" xfId="26517"/>
    <cellStyle name="Header2 6 2 2" xfId="26518"/>
    <cellStyle name="Header2 6 2 3" xfId="26519"/>
    <cellStyle name="Header2 6 2 4" xfId="26520"/>
    <cellStyle name="Header2 6 2 5" xfId="26521"/>
    <cellStyle name="Header2 6 2 6" xfId="26522"/>
    <cellStyle name="Header2 6 2 7" xfId="26523"/>
    <cellStyle name="Header2 6 2 8" xfId="26524"/>
    <cellStyle name="Header2 6 2 9" xfId="26525"/>
    <cellStyle name="Header2 6 20" xfId="5000"/>
    <cellStyle name="Header2 6 20 10" xfId="26526"/>
    <cellStyle name="Header2 6 20 2" xfId="26527"/>
    <cellStyle name="Header2 6 20 3" xfId="26528"/>
    <cellStyle name="Header2 6 20 4" xfId="26529"/>
    <cellStyle name="Header2 6 20 5" xfId="26530"/>
    <cellStyle name="Header2 6 20 6" xfId="26531"/>
    <cellStyle name="Header2 6 20 7" xfId="26532"/>
    <cellStyle name="Header2 6 20 8" xfId="26533"/>
    <cellStyle name="Header2 6 20 9" xfId="26534"/>
    <cellStyle name="Header2 6 21" xfId="5001"/>
    <cellStyle name="Header2 6 21 10" xfId="26535"/>
    <cellStyle name="Header2 6 21 2" xfId="26536"/>
    <cellStyle name="Header2 6 21 3" xfId="26537"/>
    <cellStyle name="Header2 6 21 4" xfId="26538"/>
    <cellStyle name="Header2 6 21 5" xfId="26539"/>
    <cellStyle name="Header2 6 21 6" xfId="26540"/>
    <cellStyle name="Header2 6 21 7" xfId="26541"/>
    <cellStyle name="Header2 6 21 8" xfId="26542"/>
    <cellStyle name="Header2 6 21 9" xfId="26543"/>
    <cellStyle name="Header2 6 22" xfId="5002"/>
    <cellStyle name="Header2 6 22 10" xfId="26544"/>
    <cellStyle name="Header2 6 22 2" xfId="26545"/>
    <cellStyle name="Header2 6 22 3" xfId="26546"/>
    <cellStyle name="Header2 6 22 4" xfId="26547"/>
    <cellStyle name="Header2 6 22 5" xfId="26548"/>
    <cellStyle name="Header2 6 22 6" xfId="26549"/>
    <cellStyle name="Header2 6 22 7" xfId="26550"/>
    <cellStyle name="Header2 6 22 8" xfId="26551"/>
    <cellStyle name="Header2 6 22 9" xfId="26552"/>
    <cellStyle name="Header2 6 23" xfId="5003"/>
    <cellStyle name="Header2 6 23 10" xfId="26553"/>
    <cellStyle name="Header2 6 23 2" xfId="26554"/>
    <cellStyle name="Header2 6 23 3" xfId="26555"/>
    <cellStyle name="Header2 6 23 4" xfId="26556"/>
    <cellStyle name="Header2 6 23 5" xfId="26557"/>
    <cellStyle name="Header2 6 23 6" xfId="26558"/>
    <cellStyle name="Header2 6 23 7" xfId="26559"/>
    <cellStyle name="Header2 6 23 8" xfId="26560"/>
    <cellStyle name="Header2 6 23 9" xfId="26561"/>
    <cellStyle name="Header2 6 24" xfId="5004"/>
    <cellStyle name="Header2 6 24 10" xfId="26562"/>
    <cellStyle name="Header2 6 24 2" xfId="26563"/>
    <cellStyle name="Header2 6 24 3" xfId="26564"/>
    <cellStyle name="Header2 6 24 4" xfId="26565"/>
    <cellStyle name="Header2 6 24 5" xfId="26566"/>
    <cellStyle name="Header2 6 24 6" xfId="26567"/>
    <cellStyle name="Header2 6 24 7" xfId="26568"/>
    <cellStyle name="Header2 6 24 8" xfId="26569"/>
    <cellStyle name="Header2 6 24 9" xfId="26570"/>
    <cellStyle name="Header2 6 25" xfId="5005"/>
    <cellStyle name="Header2 6 25 10" xfId="26571"/>
    <cellStyle name="Header2 6 25 2" xfId="26572"/>
    <cellStyle name="Header2 6 25 3" xfId="26573"/>
    <cellStyle name="Header2 6 25 4" xfId="26574"/>
    <cellStyle name="Header2 6 25 5" xfId="26575"/>
    <cellStyle name="Header2 6 25 6" xfId="26576"/>
    <cellStyle name="Header2 6 25 7" xfId="26577"/>
    <cellStyle name="Header2 6 25 8" xfId="26578"/>
    <cellStyle name="Header2 6 25 9" xfId="26579"/>
    <cellStyle name="Header2 6 26" xfId="5006"/>
    <cellStyle name="Header2 6 26 10" xfId="26580"/>
    <cellStyle name="Header2 6 26 2" xfId="26581"/>
    <cellStyle name="Header2 6 26 3" xfId="26582"/>
    <cellStyle name="Header2 6 26 4" xfId="26583"/>
    <cellStyle name="Header2 6 26 5" xfId="26584"/>
    <cellStyle name="Header2 6 26 6" xfId="26585"/>
    <cellStyle name="Header2 6 26 7" xfId="26586"/>
    <cellStyle name="Header2 6 26 8" xfId="26587"/>
    <cellStyle name="Header2 6 26 9" xfId="26588"/>
    <cellStyle name="Header2 6 27" xfId="5007"/>
    <cellStyle name="Header2 6 27 10" xfId="26589"/>
    <cellStyle name="Header2 6 27 2" xfId="26590"/>
    <cellStyle name="Header2 6 27 3" xfId="26591"/>
    <cellStyle name="Header2 6 27 4" xfId="26592"/>
    <cellStyle name="Header2 6 27 5" xfId="26593"/>
    <cellStyle name="Header2 6 27 6" xfId="26594"/>
    <cellStyle name="Header2 6 27 7" xfId="26595"/>
    <cellStyle name="Header2 6 27 8" xfId="26596"/>
    <cellStyle name="Header2 6 27 9" xfId="26597"/>
    <cellStyle name="Header2 6 28" xfId="5008"/>
    <cellStyle name="Header2 6 28 10" xfId="26598"/>
    <cellStyle name="Header2 6 28 2" xfId="26599"/>
    <cellStyle name="Header2 6 28 3" xfId="26600"/>
    <cellStyle name="Header2 6 28 4" xfId="26601"/>
    <cellStyle name="Header2 6 28 5" xfId="26602"/>
    <cellStyle name="Header2 6 28 6" xfId="26603"/>
    <cellStyle name="Header2 6 28 7" xfId="26604"/>
    <cellStyle name="Header2 6 28 8" xfId="26605"/>
    <cellStyle name="Header2 6 28 9" xfId="26606"/>
    <cellStyle name="Header2 6 29" xfId="5009"/>
    <cellStyle name="Header2 6 29 10" xfId="26607"/>
    <cellStyle name="Header2 6 29 2" xfId="26608"/>
    <cellStyle name="Header2 6 29 3" xfId="26609"/>
    <cellStyle name="Header2 6 29 4" xfId="26610"/>
    <cellStyle name="Header2 6 29 5" xfId="26611"/>
    <cellStyle name="Header2 6 29 6" xfId="26612"/>
    <cellStyle name="Header2 6 29 7" xfId="26613"/>
    <cellStyle name="Header2 6 29 8" xfId="26614"/>
    <cellStyle name="Header2 6 29 9" xfId="26615"/>
    <cellStyle name="Header2 6 3" xfId="5010"/>
    <cellStyle name="Header2 6 3 10" xfId="26616"/>
    <cellStyle name="Header2 6 3 2" xfId="26617"/>
    <cellStyle name="Header2 6 3 3" xfId="26618"/>
    <cellStyle name="Header2 6 3 4" xfId="26619"/>
    <cellStyle name="Header2 6 3 5" xfId="26620"/>
    <cellStyle name="Header2 6 3 6" xfId="26621"/>
    <cellStyle name="Header2 6 3 7" xfId="26622"/>
    <cellStyle name="Header2 6 3 8" xfId="26623"/>
    <cellStyle name="Header2 6 3 9" xfId="26624"/>
    <cellStyle name="Header2 6 30" xfId="5011"/>
    <cellStyle name="Header2 6 30 10" xfId="26625"/>
    <cellStyle name="Header2 6 30 2" xfId="26626"/>
    <cellStyle name="Header2 6 30 3" xfId="26627"/>
    <cellStyle name="Header2 6 30 4" xfId="26628"/>
    <cellStyle name="Header2 6 30 5" xfId="26629"/>
    <cellStyle name="Header2 6 30 6" xfId="26630"/>
    <cellStyle name="Header2 6 30 7" xfId="26631"/>
    <cellStyle name="Header2 6 30 8" xfId="26632"/>
    <cellStyle name="Header2 6 30 9" xfId="26633"/>
    <cellStyle name="Header2 6 31" xfId="5012"/>
    <cellStyle name="Header2 6 31 10" xfId="26634"/>
    <cellStyle name="Header2 6 31 2" xfId="26635"/>
    <cellStyle name="Header2 6 31 3" xfId="26636"/>
    <cellStyle name="Header2 6 31 4" xfId="26637"/>
    <cellStyle name="Header2 6 31 5" xfId="26638"/>
    <cellStyle name="Header2 6 31 6" xfId="26639"/>
    <cellStyle name="Header2 6 31 7" xfId="26640"/>
    <cellStyle name="Header2 6 31 8" xfId="26641"/>
    <cellStyle name="Header2 6 31 9" xfId="26642"/>
    <cellStyle name="Header2 6 32" xfId="5013"/>
    <cellStyle name="Header2 6 32 10" xfId="26643"/>
    <cellStyle name="Header2 6 32 2" xfId="26644"/>
    <cellStyle name="Header2 6 32 3" xfId="26645"/>
    <cellStyle name="Header2 6 32 4" xfId="26646"/>
    <cellStyle name="Header2 6 32 5" xfId="26647"/>
    <cellStyle name="Header2 6 32 6" xfId="26648"/>
    <cellStyle name="Header2 6 32 7" xfId="26649"/>
    <cellStyle name="Header2 6 32 8" xfId="26650"/>
    <cellStyle name="Header2 6 32 9" xfId="26651"/>
    <cellStyle name="Header2 6 33" xfId="5014"/>
    <cellStyle name="Header2 6 33 10" xfId="26652"/>
    <cellStyle name="Header2 6 33 2" xfId="26653"/>
    <cellStyle name="Header2 6 33 3" xfId="26654"/>
    <cellStyle name="Header2 6 33 4" xfId="26655"/>
    <cellStyle name="Header2 6 33 5" xfId="26656"/>
    <cellStyle name="Header2 6 33 6" xfId="26657"/>
    <cellStyle name="Header2 6 33 7" xfId="26658"/>
    <cellStyle name="Header2 6 33 8" xfId="26659"/>
    <cellStyle name="Header2 6 33 9" xfId="26660"/>
    <cellStyle name="Header2 6 34" xfId="5015"/>
    <cellStyle name="Header2 6 34 10" xfId="26661"/>
    <cellStyle name="Header2 6 34 2" xfId="26662"/>
    <cellStyle name="Header2 6 34 3" xfId="26663"/>
    <cellStyle name="Header2 6 34 4" xfId="26664"/>
    <cellStyle name="Header2 6 34 5" xfId="26665"/>
    <cellStyle name="Header2 6 34 6" xfId="26666"/>
    <cellStyle name="Header2 6 34 7" xfId="26667"/>
    <cellStyle name="Header2 6 34 8" xfId="26668"/>
    <cellStyle name="Header2 6 34 9" xfId="26669"/>
    <cellStyle name="Header2 6 35" xfId="5016"/>
    <cellStyle name="Header2 6 35 10" xfId="26670"/>
    <cellStyle name="Header2 6 35 2" xfId="26671"/>
    <cellStyle name="Header2 6 35 3" xfId="26672"/>
    <cellStyle name="Header2 6 35 4" xfId="26673"/>
    <cellStyle name="Header2 6 35 5" xfId="26674"/>
    <cellStyle name="Header2 6 35 6" xfId="26675"/>
    <cellStyle name="Header2 6 35 7" xfId="26676"/>
    <cellStyle name="Header2 6 35 8" xfId="26677"/>
    <cellStyle name="Header2 6 35 9" xfId="26678"/>
    <cellStyle name="Header2 6 36" xfId="5017"/>
    <cellStyle name="Header2 6 36 10" xfId="26679"/>
    <cellStyle name="Header2 6 36 2" xfId="26680"/>
    <cellStyle name="Header2 6 36 3" xfId="26681"/>
    <cellStyle name="Header2 6 36 4" xfId="26682"/>
    <cellStyle name="Header2 6 36 5" xfId="26683"/>
    <cellStyle name="Header2 6 36 6" xfId="26684"/>
    <cellStyle name="Header2 6 36 7" xfId="26685"/>
    <cellStyle name="Header2 6 36 8" xfId="26686"/>
    <cellStyle name="Header2 6 36 9" xfId="26687"/>
    <cellStyle name="Header2 6 37" xfId="5018"/>
    <cellStyle name="Header2 6 37 10" xfId="26688"/>
    <cellStyle name="Header2 6 37 2" xfId="26689"/>
    <cellStyle name="Header2 6 37 3" xfId="26690"/>
    <cellStyle name="Header2 6 37 4" xfId="26691"/>
    <cellStyle name="Header2 6 37 5" xfId="26692"/>
    <cellStyle name="Header2 6 37 6" xfId="26693"/>
    <cellStyle name="Header2 6 37 7" xfId="26694"/>
    <cellStyle name="Header2 6 37 8" xfId="26695"/>
    <cellStyle name="Header2 6 37 9" xfId="26696"/>
    <cellStyle name="Header2 6 38" xfId="5019"/>
    <cellStyle name="Header2 6 38 10" xfId="26697"/>
    <cellStyle name="Header2 6 38 2" xfId="26698"/>
    <cellStyle name="Header2 6 38 3" xfId="26699"/>
    <cellStyle name="Header2 6 38 4" xfId="26700"/>
    <cellStyle name="Header2 6 38 5" xfId="26701"/>
    <cellStyle name="Header2 6 38 6" xfId="26702"/>
    <cellStyle name="Header2 6 38 7" xfId="26703"/>
    <cellStyle name="Header2 6 38 8" xfId="26704"/>
    <cellStyle name="Header2 6 38 9" xfId="26705"/>
    <cellStyle name="Header2 6 39" xfId="5020"/>
    <cellStyle name="Header2 6 39 10" xfId="26706"/>
    <cellStyle name="Header2 6 39 2" xfId="26707"/>
    <cellStyle name="Header2 6 39 3" xfId="26708"/>
    <cellStyle name="Header2 6 39 4" xfId="26709"/>
    <cellStyle name="Header2 6 39 5" xfId="26710"/>
    <cellStyle name="Header2 6 39 6" xfId="26711"/>
    <cellStyle name="Header2 6 39 7" xfId="26712"/>
    <cellStyle name="Header2 6 39 8" xfId="26713"/>
    <cellStyle name="Header2 6 39 9" xfId="26714"/>
    <cellStyle name="Header2 6 4" xfId="5021"/>
    <cellStyle name="Header2 6 4 10" xfId="26715"/>
    <cellStyle name="Header2 6 4 2" xfId="26716"/>
    <cellStyle name="Header2 6 4 3" xfId="26717"/>
    <cellStyle name="Header2 6 4 4" xfId="26718"/>
    <cellStyle name="Header2 6 4 5" xfId="26719"/>
    <cellStyle name="Header2 6 4 6" xfId="26720"/>
    <cellStyle name="Header2 6 4 7" xfId="26721"/>
    <cellStyle name="Header2 6 4 8" xfId="26722"/>
    <cellStyle name="Header2 6 4 9" xfId="26723"/>
    <cellStyle name="Header2 6 40" xfId="5022"/>
    <cellStyle name="Header2 6 40 10" xfId="26724"/>
    <cellStyle name="Header2 6 40 2" xfId="26725"/>
    <cellStyle name="Header2 6 40 3" xfId="26726"/>
    <cellStyle name="Header2 6 40 4" xfId="26727"/>
    <cellStyle name="Header2 6 40 5" xfId="26728"/>
    <cellStyle name="Header2 6 40 6" xfId="26729"/>
    <cellStyle name="Header2 6 40 7" xfId="26730"/>
    <cellStyle name="Header2 6 40 8" xfId="26731"/>
    <cellStyle name="Header2 6 40 9" xfId="26732"/>
    <cellStyle name="Header2 6 41" xfId="5023"/>
    <cellStyle name="Header2 6 41 10" xfId="26733"/>
    <cellStyle name="Header2 6 41 2" xfId="26734"/>
    <cellStyle name="Header2 6 41 3" xfId="26735"/>
    <cellStyle name="Header2 6 41 4" xfId="26736"/>
    <cellStyle name="Header2 6 41 5" xfId="26737"/>
    <cellStyle name="Header2 6 41 6" xfId="26738"/>
    <cellStyle name="Header2 6 41 7" xfId="26739"/>
    <cellStyle name="Header2 6 41 8" xfId="26740"/>
    <cellStyle name="Header2 6 41 9" xfId="26741"/>
    <cellStyle name="Header2 6 42" xfId="5024"/>
    <cellStyle name="Header2 6 42 10" xfId="26742"/>
    <cellStyle name="Header2 6 42 2" xfId="26743"/>
    <cellStyle name="Header2 6 42 3" xfId="26744"/>
    <cellStyle name="Header2 6 42 4" xfId="26745"/>
    <cellStyle name="Header2 6 42 5" xfId="26746"/>
    <cellStyle name="Header2 6 42 6" xfId="26747"/>
    <cellStyle name="Header2 6 42 7" xfId="26748"/>
    <cellStyle name="Header2 6 42 8" xfId="26749"/>
    <cellStyle name="Header2 6 42 9" xfId="26750"/>
    <cellStyle name="Header2 6 43" xfId="5025"/>
    <cellStyle name="Header2 6 43 10" xfId="26751"/>
    <cellStyle name="Header2 6 43 2" xfId="26752"/>
    <cellStyle name="Header2 6 43 3" xfId="26753"/>
    <cellStyle name="Header2 6 43 4" xfId="26754"/>
    <cellStyle name="Header2 6 43 5" xfId="26755"/>
    <cellStyle name="Header2 6 43 6" xfId="26756"/>
    <cellStyle name="Header2 6 43 7" xfId="26757"/>
    <cellStyle name="Header2 6 43 8" xfId="26758"/>
    <cellStyle name="Header2 6 43 9" xfId="26759"/>
    <cellStyle name="Header2 6 44" xfId="5026"/>
    <cellStyle name="Header2 6 44 10" xfId="26760"/>
    <cellStyle name="Header2 6 44 2" xfId="26761"/>
    <cellStyle name="Header2 6 44 3" xfId="26762"/>
    <cellStyle name="Header2 6 44 4" xfId="26763"/>
    <cellStyle name="Header2 6 44 5" xfId="26764"/>
    <cellStyle name="Header2 6 44 6" xfId="26765"/>
    <cellStyle name="Header2 6 44 7" xfId="26766"/>
    <cellStyle name="Header2 6 44 8" xfId="26767"/>
    <cellStyle name="Header2 6 44 9" xfId="26768"/>
    <cellStyle name="Header2 6 45" xfId="5027"/>
    <cellStyle name="Header2 6 45 10" xfId="26769"/>
    <cellStyle name="Header2 6 45 2" xfId="26770"/>
    <cellStyle name="Header2 6 45 3" xfId="26771"/>
    <cellStyle name="Header2 6 45 4" xfId="26772"/>
    <cellStyle name="Header2 6 45 5" xfId="26773"/>
    <cellStyle name="Header2 6 45 6" xfId="26774"/>
    <cellStyle name="Header2 6 45 7" xfId="26775"/>
    <cellStyle name="Header2 6 45 8" xfId="26776"/>
    <cellStyle name="Header2 6 45 9" xfId="26777"/>
    <cellStyle name="Header2 6 46" xfId="5028"/>
    <cellStyle name="Header2 6 46 10" xfId="26778"/>
    <cellStyle name="Header2 6 46 2" xfId="26779"/>
    <cellStyle name="Header2 6 46 3" xfId="26780"/>
    <cellStyle name="Header2 6 46 4" xfId="26781"/>
    <cellStyle name="Header2 6 46 5" xfId="26782"/>
    <cellStyle name="Header2 6 46 6" xfId="26783"/>
    <cellStyle name="Header2 6 46 7" xfId="26784"/>
    <cellStyle name="Header2 6 46 8" xfId="26785"/>
    <cellStyle name="Header2 6 46 9" xfId="26786"/>
    <cellStyle name="Header2 6 47" xfId="5029"/>
    <cellStyle name="Header2 6 47 10" xfId="26787"/>
    <cellStyle name="Header2 6 47 2" xfId="26788"/>
    <cellStyle name="Header2 6 47 3" xfId="26789"/>
    <cellStyle name="Header2 6 47 4" xfId="26790"/>
    <cellStyle name="Header2 6 47 5" xfId="26791"/>
    <cellStyle name="Header2 6 47 6" xfId="26792"/>
    <cellStyle name="Header2 6 47 7" xfId="26793"/>
    <cellStyle name="Header2 6 47 8" xfId="26794"/>
    <cellStyle name="Header2 6 47 9" xfId="26795"/>
    <cellStyle name="Header2 6 48" xfId="5030"/>
    <cellStyle name="Header2 6 48 10" xfId="26796"/>
    <cellStyle name="Header2 6 48 2" xfId="26797"/>
    <cellStyle name="Header2 6 48 3" xfId="26798"/>
    <cellStyle name="Header2 6 48 4" xfId="26799"/>
    <cellStyle name="Header2 6 48 5" xfId="26800"/>
    <cellStyle name="Header2 6 48 6" xfId="26801"/>
    <cellStyle name="Header2 6 48 7" xfId="26802"/>
    <cellStyle name="Header2 6 48 8" xfId="26803"/>
    <cellStyle name="Header2 6 48 9" xfId="26804"/>
    <cellStyle name="Header2 6 49" xfId="5031"/>
    <cellStyle name="Header2 6 49 10" xfId="26805"/>
    <cellStyle name="Header2 6 49 2" xfId="26806"/>
    <cellStyle name="Header2 6 49 3" xfId="26807"/>
    <cellStyle name="Header2 6 49 4" xfId="26808"/>
    <cellStyle name="Header2 6 49 5" xfId="26809"/>
    <cellStyle name="Header2 6 49 6" xfId="26810"/>
    <cellStyle name="Header2 6 49 7" xfId="26811"/>
    <cellStyle name="Header2 6 49 8" xfId="26812"/>
    <cellStyle name="Header2 6 49 9" xfId="26813"/>
    <cellStyle name="Header2 6 5" xfId="5032"/>
    <cellStyle name="Header2 6 5 2" xfId="26814"/>
    <cellStyle name="Header2 6 5 3" xfId="26815"/>
    <cellStyle name="Header2 6 5 4" xfId="26816"/>
    <cellStyle name="Header2 6 5 5" xfId="26817"/>
    <cellStyle name="Header2 6 5 6" xfId="26818"/>
    <cellStyle name="Header2 6 5 7" xfId="26819"/>
    <cellStyle name="Header2 6 5 8" xfId="26820"/>
    <cellStyle name="Header2 6 5 9" xfId="26821"/>
    <cellStyle name="Header2 6 50" xfId="5033"/>
    <cellStyle name="Header2 6 50 10" xfId="26822"/>
    <cellStyle name="Header2 6 50 2" xfId="26823"/>
    <cellStyle name="Header2 6 50 3" xfId="26824"/>
    <cellStyle name="Header2 6 50 4" xfId="26825"/>
    <cellStyle name="Header2 6 50 5" xfId="26826"/>
    <cellStyle name="Header2 6 50 6" xfId="26827"/>
    <cellStyle name="Header2 6 50 7" xfId="26828"/>
    <cellStyle name="Header2 6 50 8" xfId="26829"/>
    <cellStyle name="Header2 6 50 9" xfId="26830"/>
    <cellStyle name="Header2 6 51" xfId="5034"/>
    <cellStyle name="Header2 6 51 10" xfId="26831"/>
    <cellStyle name="Header2 6 51 2" xfId="26832"/>
    <cellStyle name="Header2 6 51 3" xfId="26833"/>
    <cellStyle name="Header2 6 51 4" xfId="26834"/>
    <cellStyle name="Header2 6 51 5" xfId="26835"/>
    <cellStyle name="Header2 6 51 6" xfId="26836"/>
    <cellStyle name="Header2 6 51 7" xfId="26837"/>
    <cellStyle name="Header2 6 51 8" xfId="26838"/>
    <cellStyle name="Header2 6 51 9" xfId="26839"/>
    <cellStyle name="Header2 6 52" xfId="5035"/>
    <cellStyle name="Header2 6 52 10" xfId="26840"/>
    <cellStyle name="Header2 6 52 2" xfId="26841"/>
    <cellStyle name="Header2 6 52 3" xfId="26842"/>
    <cellStyle name="Header2 6 52 4" xfId="26843"/>
    <cellStyle name="Header2 6 52 5" xfId="26844"/>
    <cellStyle name="Header2 6 52 6" xfId="26845"/>
    <cellStyle name="Header2 6 52 7" xfId="26846"/>
    <cellStyle name="Header2 6 52 8" xfId="26847"/>
    <cellStyle name="Header2 6 52 9" xfId="26848"/>
    <cellStyle name="Header2 6 53" xfId="5036"/>
    <cellStyle name="Header2 6 53 10" xfId="26849"/>
    <cellStyle name="Header2 6 53 2" xfId="26850"/>
    <cellStyle name="Header2 6 53 3" xfId="26851"/>
    <cellStyle name="Header2 6 53 4" xfId="26852"/>
    <cellStyle name="Header2 6 53 5" xfId="26853"/>
    <cellStyle name="Header2 6 53 6" xfId="26854"/>
    <cellStyle name="Header2 6 53 7" xfId="26855"/>
    <cellStyle name="Header2 6 53 8" xfId="26856"/>
    <cellStyle name="Header2 6 53 9" xfId="26857"/>
    <cellStyle name="Header2 6 54" xfId="5037"/>
    <cellStyle name="Header2 6 54 10" xfId="26858"/>
    <cellStyle name="Header2 6 54 2" xfId="26859"/>
    <cellStyle name="Header2 6 54 3" xfId="26860"/>
    <cellStyle name="Header2 6 54 4" xfId="26861"/>
    <cellStyle name="Header2 6 54 5" xfId="26862"/>
    <cellStyle name="Header2 6 54 6" xfId="26863"/>
    <cellStyle name="Header2 6 54 7" xfId="26864"/>
    <cellStyle name="Header2 6 54 8" xfId="26865"/>
    <cellStyle name="Header2 6 54 9" xfId="26866"/>
    <cellStyle name="Header2 6 55" xfId="5038"/>
    <cellStyle name="Header2 6 55 10" xfId="26867"/>
    <cellStyle name="Header2 6 55 2" xfId="26868"/>
    <cellStyle name="Header2 6 55 3" xfId="26869"/>
    <cellStyle name="Header2 6 55 4" xfId="26870"/>
    <cellStyle name="Header2 6 55 5" xfId="26871"/>
    <cellStyle name="Header2 6 55 6" xfId="26872"/>
    <cellStyle name="Header2 6 55 7" xfId="26873"/>
    <cellStyle name="Header2 6 55 8" xfId="26874"/>
    <cellStyle name="Header2 6 55 9" xfId="26875"/>
    <cellStyle name="Header2 6 56" xfId="5039"/>
    <cellStyle name="Header2 6 56 10" xfId="26876"/>
    <cellStyle name="Header2 6 56 2" xfId="26877"/>
    <cellStyle name="Header2 6 56 3" xfId="26878"/>
    <cellStyle name="Header2 6 56 4" xfId="26879"/>
    <cellStyle name="Header2 6 56 5" xfId="26880"/>
    <cellStyle name="Header2 6 56 6" xfId="26881"/>
    <cellStyle name="Header2 6 56 7" xfId="26882"/>
    <cellStyle name="Header2 6 56 8" xfId="26883"/>
    <cellStyle name="Header2 6 56 9" xfId="26884"/>
    <cellStyle name="Header2 6 57" xfId="5040"/>
    <cellStyle name="Header2 6 57 10" xfId="26885"/>
    <cellStyle name="Header2 6 57 2" xfId="26886"/>
    <cellStyle name="Header2 6 57 3" xfId="26887"/>
    <cellStyle name="Header2 6 57 4" xfId="26888"/>
    <cellStyle name="Header2 6 57 5" xfId="26889"/>
    <cellStyle name="Header2 6 57 6" xfId="26890"/>
    <cellStyle name="Header2 6 57 7" xfId="26891"/>
    <cellStyle name="Header2 6 57 8" xfId="26892"/>
    <cellStyle name="Header2 6 57 9" xfId="26893"/>
    <cellStyle name="Header2 6 58" xfId="5041"/>
    <cellStyle name="Header2 6 58 10" xfId="26894"/>
    <cellStyle name="Header2 6 58 2" xfId="26895"/>
    <cellStyle name="Header2 6 58 3" xfId="26896"/>
    <cellStyle name="Header2 6 58 4" xfId="26897"/>
    <cellStyle name="Header2 6 58 5" xfId="26898"/>
    <cellStyle name="Header2 6 58 6" xfId="26899"/>
    <cellStyle name="Header2 6 58 7" xfId="26900"/>
    <cellStyle name="Header2 6 58 8" xfId="26901"/>
    <cellStyle name="Header2 6 58 9" xfId="26902"/>
    <cellStyle name="Header2 6 59" xfId="5042"/>
    <cellStyle name="Header2 6 59 10" xfId="26903"/>
    <cellStyle name="Header2 6 59 2" xfId="26904"/>
    <cellStyle name="Header2 6 59 3" xfId="26905"/>
    <cellStyle name="Header2 6 59 4" xfId="26906"/>
    <cellStyle name="Header2 6 59 5" xfId="26907"/>
    <cellStyle name="Header2 6 59 6" xfId="26908"/>
    <cellStyle name="Header2 6 59 7" xfId="26909"/>
    <cellStyle name="Header2 6 59 8" xfId="26910"/>
    <cellStyle name="Header2 6 59 9" xfId="26911"/>
    <cellStyle name="Header2 6 6" xfId="5043"/>
    <cellStyle name="Header2 6 6 2" xfId="26912"/>
    <cellStyle name="Header2 6 6 3" xfId="26913"/>
    <cellStyle name="Header2 6 6 4" xfId="26914"/>
    <cellStyle name="Header2 6 6 5" xfId="26915"/>
    <cellStyle name="Header2 6 6 6" xfId="26916"/>
    <cellStyle name="Header2 6 6 7" xfId="26917"/>
    <cellStyle name="Header2 6 6 8" xfId="26918"/>
    <cellStyle name="Header2 6 6 9" xfId="26919"/>
    <cellStyle name="Header2 6 60" xfId="5044"/>
    <cellStyle name="Header2 6 60 10" xfId="26920"/>
    <cellStyle name="Header2 6 60 2" xfId="26921"/>
    <cellStyle name="Header2 6 60 3" xfId="26922"/>
    <cellStyle name="Header2 6 60 4" xfId="26923"/>
    <cellStyle name="Header2 6 60 5" xfId="26924"/>
    <cellStyle name="Header2 6 60 6" xfId="26925"/>
    <cellStyle name="Header2 6 60 7" xfId="26926"/>
    <cellStyle name="Header2 6 60 8" xfId="26927"/>
    <cellStyle name="Header2 6 60 9" xfId="26928"/>
    <cellStyle name="Header2 6 61" xfId="5045"/>
    <cellStyle name="Header2 6 61 10" xfId="26929"/>
    <cellStyle name="Header2 6 61 2" xfId="26930"/>
    <cellStyle name="Header2 6 61 3" xfId="26931"/>
    <cellStyle name="Header2 6 61 4" xfId="26932"/>
    <cellStyle name="Header2 6 61 5" xfId="26933"/>
    <cellStyle name="Header2 6 61 6" xfId="26934"/>
    <cellStyle name="Header2 6 61 7" xfId="26935"/>
    <cellStyle name="Header2 6 61 8" xfId="26936"/>
    <cellStyle name="Header2 6 61 9" xfId="26937"/>
    <cellStyle name="Header2 6 62" xfId="5046"/>
    <cellStyle name="Header2 6 62 10" xfId="26938"/>
    <cellStyle name="Header2 6 62 2" xfId="26939"/>
    <cellStyle name="Header2 6 62 3" xfId="26940"/>
    <cellStyle name="Header2 6 62 4" xfId="26941"/>
    <cellStyle name="Header2 6 62 5" xfId="26942"/>
    <cellStyle name="Header2 6 62 6" xfId="26943"/>
    <cellStyle name="Header2 6 62 7" xfId="26944"/>
    <cellStyle name="Header2 6 62 8" xfId="26945"/>
    <cellStyle name="Header2 6 62 9" xfId="26946"/>
    <cellStyle name="Header2 6 63" xfId="5047"/>
    <cellStyle name="Header2 6 63 10" xfId="26947"/>
    <cellStyle name="Header2 6 63 2" xfId="26948"/>
    <cellStyle name="Header2 6 63 3" xfId="26949"/>
    <cellStyle name="Header2 6 63 4" xfId="26950"/>
    <cellStyle name="Header2 6 63 5" xfId="26951"/>
    <cellStyle name="Header2 6 63 6" xfId="26952"/>
    <cellStyle name="Header2 6 63 7" xfId="26953"/>
    <cellStyle name="Header2 6 63 8" xfId="26954"/>
    <cellStyle name="Header2 6 63 9" xfId="26955"/>
    <cellStyle name="Header2 6 64" xfId="5048"/>
    <cellStyle name="Header2 6 64 10" xfId="26956"/>
    <cellStyle name="Header2 6 64 2" xfId="26957"/>
    <cellStyle name="Header2 6 64 3" xfId="26958"/>
    <cellStyle name="Header2 6 64 4" xfId="26959"/>
    <cellStyle name="Header2 6 64 5" xfId="26960"/>
    <cellStyle name="Header2 6 64 6" xfId="26961"/>
    <cellStyle name="Header2 6 64 7" xfId="26962"/>
    <cellStyle name="Header2 6 64 8" xfId="26963"/>
    <cellStyle name="Header2 6 64 9" xfId="26964"/>
    <cellStyle name="Header2 6 65" xfId="5049"/>
    <cellStyle name="Header2 6 65 10" xfId="26965"/>
    <cellStyle name="Header2 6 65 2" xfId="26966"/>
    <cellStyle name="Header2 6 65 3" xfId="26967"/>
    <cellStyle name="Header2 6 65 4" xfId="26968"/>
    <cellStyle name="Header2 6 65 5" xfId="26969"/>
    <cellStyle name="Header2 6 65 6" xfId="26970"/>
    <cellStyle name="Header2 6 65 7" xfId="26971"/>
    <cellStyle name="Header2 6 65 8" xfId="26972"/>
    <cellStyle name="Header2 6 65 9" xfId="26973"/>
    <cellStyle name="Header2 6 66" xfId="5050"/>
    <cellStyle name="Header2 6 66 10" xfId="26974"/>
    <cellStyle name="Header2 6 66 2" xfId="26975"/>
    <cellStyle name="Header2 6 66 3" xfId="26976"/>
    <cellStyle name="Header2 6 66 4" xfId="26977"/>
    <cellStyle name="Header2 6 66 5" xfId="26978"/>
    <cellStyle name="Header2 6 66 6" xfId="26979"/>
    <cellStyle name="Header2 6 66 7" xfId="26980"/>
    <cellStyle name="Header2 6 66 8" xfId="26981"/>
    <cellStyle name="Header2 6 66 9" xfId="26982"/>
    <cellStyle name="Header2 6 67" xfId="5051"/>
    <cellStyle name="Header2 6 67 10" xfId="26983"/>
    <cellStyle name="Header2 6 67 2" xfId="26984"/>
    <cellStyle name="Header2 6 67 3" xfId="26985"/>
    <cellStyle name="Header2 6 67 4" xfId="26986"/>
    <cellStyle name="Header2 6 67 5" xfId="26987"/>
    <cellStyle name="Header2 6 67 6" xfId="26988"/>
    <cellStyle name="Header2 6 67 7" xfId="26989"/>
    <cellStyle name="Header2 6 67 8" xfId="26990"/>
    <cellStyle name="Header2 6 67 9" xfId="26991"/>
    <cellStyle name="Header2 6 68" xfId="5052"/>
    <cellStyle name="Header2 6 68 10" xfId="26992"/>
    <cellStyle name="Header2 6 68 2" xfId="26993"/>
    <cellStyle name="Header2 6 68 3" xfId="26994"/>
    <cellStyle name="Header2 6 68 4" xfId="26995"/>
    <cellStyle name="Header2 6 68 5" xfId="26996"/>
    <cellStyle name="Header2 6 68 6" xfId="26997"/>
    <cellStyle name="Header2 6 68 7" xfId="26998"/>
    <cellStyle name="Header2 6 68 8" xfId="26999"/>
    <cellStyle name="Header2 6 68 9" xfId="27000"/>
    <cellStyle name="Header2 6 69" xfId="5053"/>
    <cellStyle name="Header2 6 69 10" xfId="27001"/>
    <cellStyle name="Header2 6 69 2" xfId="27002"/>
    <cellStyle name="Header2 6 69 3" xfId="27003"/>
    <cellStyle name="Header2 6 69 4" xfId="27004"/>
    <cellStyle name="Header2 6 69 5" xfId="27005"/>
    <cellStyle name="Header2 6 69 6" xfId="27006"/>
    <cellStyle name="Header2 6 69 7" xfId="27007"/>
    <cellStyle name="Header2 6 69 8" xfId="27008"/>
    <cellStyle name="Header2 6 69 9" xfId="27009"/>
    <cellStyle name="Header2 6 7" xfId="5054"/>
    <cellStyle name="Header2 6 7 2" xfId="27010"/>
    <cellStyle name="Header2 6 7 3" xfId="27011"/>
    <cellStyle name="Header2 6 7 4" xfId="27012"/>
    <cellStyle name="Header2 6 7 5" xfId="27013"/>
    <cellStyle name="Header2 6 7 6" xfId="27014"/>
    <cellStyle name="Header2 6 7 7" xfId="27015"/>
    <cellStyle name="Header2 6 7 8" xfId="27016"/>
    <cellStyle name="Header2 6 7 9" xfId="27017"/>
    <cellStyle name="Header2 6 70" xfId="5055"/>
    <cellStyle name="Header2 6 70 10" xfId="27018"/>
    <cellStyle name="Header2 6 70 2" xfId="27019"/>
    <cellStyle name="Header2 6 70 3" xfId="27020"/>
    <cellStyle name="Header2 6 70 4" xfId="27021"/>
    <cellStyle name="Header2 6 70 5" xfId="27022"/>
    <cellStyle name="Header2 6 70 6" xfId="27023"/>
    <cellStyle name="Header2 6 70 7" xfId="27024"/>
    <cellStyle name="Header2 6 70 8" xfId="27025"/>
    <cellStyle name="Header2 6 70 9" xfId="27026"/>
    <cellStyle name="Header2 6 71" xfId="5056"/>
    <cellStyle name="Header2 6 71 10" xfId="27027"/>
    <cellStyle name="Header2 6 71 2" xfId="27028"/>
    <cellStyle name="Header2 6 71 3" xfId="27029"/>
    <cellStyle name="Header2 6 71 4" xfId="27030"/>
    <cellStyle name="Header2 6 71 5" xfId="27031"/>
    <cellStyle name="Header2 6 71 6" xfId="27032"/>
    <cellStyle name="Header2 6 71 7" xfId="27033"/>
    <cellStyle name="Header2 6 71 8" xfId="27034"/>
    <cellStyle name="Header2 6 71 9" xfId="27035"/>
    <cellStyle name="Header2 6 72" xfId="5057"/>
    <cellStyle name="Header2 6 72 10" xfId="27036"/>
    <cellStyle name="Header2 6 72 2" xfId="27037"/>
    <cellStyle name="Header2 6 72 3" xfId="27038"/>
    <cellStyle name="Header2 6 72 4" xfId="27039"/>
    <cellStyle name="Header2 6 72 5" xfId="27040"/>
    <cellStyle name="Header2 6 72 6" xfId="27041"/>
    <cellStyle name="Header2 6 72 7" xfId="27042"/>
    <cellStyle name="Header2 6 72 8" xfId="27043"/>
    <cellStyle name="Header2 6 72 9" xfId="27044"/>
    <cellStyle name="Header2 6 73" xfId="5058"/>
    <cellStyle name="Header2 6 73 10" xfId="27045"/>
    <cellStyle name="Header2 6 73 2" xfId="27046"/>
    <cellStyle name="Header2 6 73 3" xfId="27047"/>
    <cellStyle name="Header2 6 73 4" xfId="27048"/>
    <cellStyle name="Header2 6 73 5" xfId="27049"/>
    <cellStyle name="Header2 6 73 6" xfId="27050"/>
    <cellStyle name="Header2 6 73 7" xfId="27051"/>
    <cellStyle name="Header2 6 73 8" xfId="27052"/>
    <cellStyle name="Header2 6 73 9" xfId="27053"/>
    <cellStyle name="Header2 6 74" xfId="5059"/>
    <cellStyle name="Header2 6 74 10" xfId="27054"/>
    <cellStyle name="Header2 6 74 2" xfId="27055"/>
    <cellStyle name="Header2 6 74 3" xfId="27056"/>
    <cellStyle name="Header2 6 74 4" xfId="27057"/>
    <cellStyle name="Header2 6 74 5" xfId="27058"/>
    <cellStyle name="Header2 6 74 6" xfId="27059"/>
    <cellStyle name="Header2 6 74 7" xfId="27060"/>
    <cellStyle name="Header2 6 74 8" xfId="27061"/>
    <cellStyle name="Header2 6 74 9" xfId="27062"/>
    <cellStyle name="Header2 6 75" xfId="5060"/>
    <cellStyle name="Header2 6 75 10" xfId="27063"/>
    <cellStyle name="Header2 6 75 2" xfId="27064"/>
    <cellStyle name="Header2 6 75 3" xfId="27065"/>
    <cellStyle name="Header2 6 75 4" xfId="27066"/>
    <cellStyle name="Header2 6 75 5" xfId="27067"/>
    <cellStyle name="Header2 6 75 6" xfId="27068"/>
    <cellStyle name="Header2 6 75 7" xfId="27069"/>
    <cellStyle name="Header2 6 75 8" xfId="27070"/>
    <cellStyle name="Header2 6 75 9" xfId="27071"/>
    <cellStyle name="Header2 6 76" xfId="5061"/>
    <cellStyle name="Header2 6 76 10" xfId="27072"/>
    <cellStyle name="Header2 6 76 2" xfId="27073"/>
    <cellStyle name="Header2 6 76 3" xfId="27074"/>
    <cellStyle name="Header2 6 76 4" xfId="27075"/>
    <cellStyle name="Header2 6 76 5" xfId="27076"/>
    <cellStyle name="Header2 6 76 6" xfId="27077"/>
    <cellStyle name="Header2 6 76 7" xfId="27078"/>
    <cellStyle name="Header2 6 76 8" xfId="27079"/>
    <cellStyle name="Header2 6 76 9" xfId="27080"/>
    <cellStyle name="Header2 6 77" xfId="5062"/>
    <cellStyle name="Header2 6 77 10" xfId="27081"/>
    <cellStyle name="Header2 6 77 2" xfId="27082"/>
    <cellStyle name="Header2 6 77 3" xfId="27083"/>
    <cellStyle name="Header2 6 77 4" xfId="27084"/>
    <cellStyle name="Header2 6 77 5" xfId="27085"/>
    <cellStyle name="Header2 6 77 6" xfId="27086"/>
    <cellStyle name="Header2 6 77 7" xfId="27087"/>
    <cellStyle name="Header2 6 77 8" xfId="27088"/>
    <cellStyle name="Header2 6 77 9" xfId="27089"/>
    <cellStyle name="Header2 6 78" xfId="5063"/>
    <cellStyle name="Header2 6 78 10" xfId="27090"/>
    <cellStyle name="Header2 6 78 2" xfId="27091"/>
    <cellStyle name="Header2 6 78 3" xfId="27092"/>
    <cellStyle name="Header2 6 78 4" xfId="27093"/>
    <cellStyle name="Header2 6 78 5" xfId="27094"/>
    <cellStyle name="Header2 6 78 6" xfId="27095"/>
    <cellStyle name="Header2 6 78 7" xfId="27096"/>
    <cellStyle name="Header2 6 78 8" xfId="27097"/>
    <cellStyle name="Header2 6 78 9" xfId="27098"/>
    <cellStyle name="Header2 6 79" xfId="5064"/>
    <cellStyle name="Header2 6 79 10" xfId="27099"/>
    <cellStyle name="Header2 6 79 2" xfId="27100"/>
    <cellStyle name="Header2 6 79 3" xfId="27101"/>
    <cellStyle name="Header2 6 79 4" xfId="27102"/>
    <cellStyle name="Header2 6 79 5" xfId="27103"/>
    <cellStyle name="Header2 6 79 6" xfId="27104"/>
    <cellStyle name="Header2 6 79 7" xfId="27105"/>
    <cellStyle name="Header2 6 79 8" xfId="27106"/>
    <cellStyle name="Header2 6 79 9" xfId="27107"/>
    <cellStyle name="Header2 6 8" xfId="5065"/>
    <cellStyle name="Header2 6 8 2" xfId="27108"/>
    <cellStyle name="Header2 6 8 3" xfId="27109"/>
    <cellStyle name="Header2 6 8 4" xfId="27110"/>
    <cellStyle name="Header2 6 8 5" xfId="27111"/>
    <cellStyle name="Header2 6 8 6" xfId="27112"/>
    <cellStyle name="Header2 6 8 7" xfId="27113"/>
    <cellStyle name="Header2 6 8 8" xfId="27114"/>
    <cellStyle name="Header2 6 8 9" xfId="27115"/>
    <cellStyle name="Header2 6 80" xfId="5066"/>
    <cellStyle name="Header2 6 80 10" xfId="27116"/>
    <cellStyle name="Header2 6 80 2" xfId="27117"/>
    <cellStyle name="Header2 6 80 3" xfId="27118"/>
    <cellStyle name="Header2 6 80 4" xfId="27119"/>
    <cellStyle name="Header2 6 80 5" xfId="27120"/>
    <cellStyle name="Header2 6 80 6" xfId="27121"/>
    <cellStyle name="Header2 6 80 7" xfId="27122"/>
    <cellStyle name="Header2 6 80 8" xfId="27123"/>
    <cellStyle name="Header2 6 80 9" xfId="27124"/>
    <cellStyle name="Header2 6 81" xfId="5067"/>
    <cellStyle name="Header2 6 81 10" xfId="27125"/>
    <cellStyle name="Header2 6 81 2" xfId="27126"/>
    <cellStyle name="Header2 6 81 3" xfId="27127"/>
    <cellStyle name="Header2 6 81 4" xfId="27128"/>
    <cellStyle name="Header2 6 81 5" xfId="27129"/>
    <cellStyle name="Header2 6 81 6" xfId="27130"/>
    <cellStyle name="Header2 6 81 7" xfId="27131"/>
    <cellStyle name="Header2 6 81 8" xfId="27132"/>
    <cellStyle name="Header2 6 81 9" xfId="27133"/>
    <cellStyle name="Header2 6 82" xfId="5068"/>
    <cellStyle name="Header2 6 82 10" xfId="27134"/>
    <cellStyle name="Header2 6 82 2" xfId="27135"/>
    <cellStyle name="Header2 6 82 3" xfId="27136"/>
    <cellStyle name="Header2 6 82 4" xfId="27137"/>
    <cellStyle name="Header2 6 82 5" xfId="27138"/>
    <cellStyle name="Header2 6 82 6" xfId="27139"/>
    <cellStyle name="Header2 6 82 7" xfId="27140"/>
    <cellStyle name="Header2 6 82 8" xfId="27141"/>
    <cellStyle name="Header2 6 82 9" xfId="27142"/>
    <cellStyle name="Header2 6 83" xfId="5069"/>
    <cellStyle name="Header2 6 83 10" xfId="27143"/>
    <cellStyle name="Header2 6 83 2" xfId="27144"/>
    <cellStyle name="Header2 6 83 3" xfId="27145"/>
    <cellStyle name="Header2 6 83 4" xfId="27146"/>
    <cellStyle name="Header2 6 83 5" xfId="27147"/>
    <cellStyle name="Header2 6 83 6" xfId="27148"/>
    <cellStyle name="Header2 6 83 7" xfId="27149"/>
    <cellStyle name="Header2 6 83 8" xfId="27150"/>
    <cellStyle name="Header2 6 83 9" xfId="27151"/>
    <cellStyle name="Header2 6 84" xfId="5070"/>
    <cellStyle name="Header2 6 84 10" xfId="27152"/>
    <cellStyle name="Header2 6 84 2" xfId="27153"/>
    <cellStyle name="Header2 6 84 3" xfId="27154"/>
    <cellStyle name="Header2 6 84 4" xfId="27155"/>
    <cellStyle name="Header2 6 84 5" xfId="27156"/>
    <cellStyle name="Header2 6 84 6" xfId="27157"/>
    <cellStyle name="Header2 6 84 7" xfId="27158"/>
    <cellStyle name="Header2 6 84 8" xfId="27159"/>
    <cellStyle name="Header2 6 84 9" xfId="27160"/>
    <cellStyle name="Header2 6 85" xfId="5071"/>
    <cellStyle name="Header2 6 85 10" xfId="27161"/>
    <cellStyle name="Header2 6 85 2" xfId="27162"/>
    <cellStyle name="Header2 6 85 3" xfId="27163"/>
    <cellStyle name="Header2 6 85 4" xfId="27164"/>
    <cellStyle name="Header2 6 85 5" xfId="27165"/>
    <cellStyle name="Header2 6 85 6" xfId="27166"/>
    <cellStyle name="Header2 6 85 7" xfId="27167"/>
    <cellStyle name="Header2 6 85 8" xfId="27168"/>
    <cellStyle name="Header2 6 85 9" xfId="27169"/>
    <cellStyle name="Header2 6 86" xfId="5072"/>
    <cellStyle name="Header2 6 86 10" xfId="27170"/>
    <cellStyle name="Header2 6 86 2" xfId="27171"/>
    <cellStyle name="Header2 6 86 3" xfId="27172"/>
    <cellStyle name="Header2 6 86 4" xfId="27173"/>
    <cellStyle name="Header2 6 86 5" xfId="27174"/>
    <cellStyle name="Header2 6 86 6" xfId="27175"/>
    <cellStyle name="Header2 6 86 7" xfId="27176"/>
    <cellStyle name="Header2 6 86 8" xfId="27177"/>
    <cellStyle name="Header2 6 86 9" xfId="27178"/>
    <cellStyle name="Header2 6 87" xfId="5073"/>
    <cellStyle name="Header2 6 87 10" xfId="27179"/>
    <cellStyle name="Header2 6 87 2" xfId="27180"/>
    <cellStyle name="Header2 6 87 3" xfId="27181"/>
    <cellStyle name="Header2 6 87 4" xfId="27182"/>
    <cellStyle name="Header2 6 87 5" xfId="27183"/>
    <cellStyle name="Header2 6 87 6" xfId="27184"/>
    <cellStyle name="Header2 6 87 7" xfId="27185"/>
    <cellStyle name="Header2 6 87 8" xfId="27186"/>
    <cellStyle name="Header2 6 87 9" xfId="27187"/>
    <cellStyle name="Header2 6 88" xfId="5074"/>
    <cellStyle name="Header2 6 88 10" xfId="27188"/>
    <cellStyle name="Header2 6 88 2" xfId="27189"/>
    <cellStyle name="Header2 6 88 3" xfId="27190"/>
    <cellStyle name="Header2 6 88 4" xfId="27191"/>
    <cellStyle name="Header2 6 88 5" xfId="27192"/>
    <cellStyle name="Header2 6 88 6" xfId="27193"/>
    <cellStyle name="Header2 6 88 7" xfId="27194"/>
    <cellStyle name="Header2 6 88 8" xfId="27195"/>
    <cellStyle name="Header2 6 88 9" xfId="27196"/>
    <cellStyle name="Header2 6 89" xfId="5075"/>
    <cellStyle name="Header2 6 89 10" xfId="27197"/>
    <cellStyle name="Header2 6 89 2" xfId="27198"/>
    <cellStyle name="Header2 6 89 3" xfId="27199"/>
    <cellStyle name="Header2 6 89 4" xfId="27200"/>
    <cellStyle name="Header2 6 89 5" xfId="27201"/>
    <cellStyle name="Header2 6 89 6" xfId="27202"/>
    <cellStyle name="Header2 6 89 7" xfId="27203"/>
    <cellStyle name="Header2 6 89 8" xfId="27204"/>
    <cellStyle name="Header2 6 89 9" xfId="27205"/>
    <cellStyle name="Header2 6 9" xfId="5076"/>
    <cellStyle name="Header2 6 9 2" xfId="27206"/>
    <cellStyle name="Header2 6 9 3" xfId="27207"/>
    <cellStyle name="Header2 6 9 4" xfId="27208"/>
    <cellStyle name="Header2 6 9 5" xfId="27209"/>
    <cellStyle name="Header2 6 9 6" xfId="27210"/>
    <cellStyle name="Header2 6 9 7" xfId="27211"/>
    <cellStyle name="Header2 6 9 8" xfId="27212"/>
    <cellStyle name="Header2 6 9 9" xfId="27213"/>
    <cellStyle name="Header2 6 90" xfId="5077"/>
    <cellStyle name="Header2 6 90 10" xfId="27214"/>
    <cellStyle name="Header2 6 90 2" xfId="27215"/>
    <cellStyle name="Header2 6 90 3" xfId="27216"/>
    <cellStyle name="Header2 6 90 4" xfId="27217"/>
    <cellStyle name="Header2 6 90 5" xfId="27218"/>
    <cellStyle name="Header2 6 90 6" xfId="27219"/>
    <cellStyle name="Header2 6 90 7" xfId="27220"/>
    <cellStyle name="Header2 6 90 8" xfId="27221"/>
    <cellStyle name="Header2 6 90 9" xfId="27222"/>
    <cellStyle name="Header2 6 91" xfId="5078"/>
    <cellStyle name="Header2 6 91 10" xfId="27223"/>
    <cellStyle name="Header2 6 91 2" xfId="27224"/>
    <cellStyle name="Header2 6 91 3" xfId="27225"/>
    <cellStyle name="Header2 6 91 4" xfId="27226"/>
    <cellStyle name="Header2 6 91 5" xfId="27227"/>
    <cellStyle name="Header2 6 91 6" xfId="27228"/>
    <cellStyle name="Header2 6 91 7" xfId="27229"/>
    <cellStyle name="Header2 6 91 8" xfId="27230"/>
    <cellStyle name="Header2 6 91 9" xfId="27231"/>
    <cellStyle name="Header2 6 92" xfId="5079"/>
    <cellStyle name="Header2 6 92 10" xfId="27232"/>
    <cellStyle name="Header2 6 92 2" xfId="27233"/>
    <cellStyle name="Header2 6 92 3" xfId="27234"/>
    <cellStyle name="Header2 6 92 4" xfId="27235"/>
    <cellStyle name="Header2 6 92 5" xfId="27236"/>
    <cellStyle name="Header2 6 92 6" xfId="27237"/>
    <cellStyle name="Header2 6 92 7" xfId="27238"/>
    <cellStyle name="Header2 6 92 8" xfId="27239"/>
    <cellStyle name="Header2 6 92 9" xfId="27240"/>
    <cellStyle name="Header2 6 93" xfId="5080"/>
    <cellStyle name="Header2 6 93 2" xfId="27241"/>
    <cellStyle name="Header2 6 93 3" xfId="27242"/>
    <cellStyle name="Header2 6 93 4" xfId="27243"/>
    <cellStyle name="Header2 6 93 5" xfId="27244"/>
    <cellStyle name="Header2 6 93 6" xfId="27245"/>
    <cellStyle name="Header2 6 93 7" xfId="27246"/>
    <cellStyle name="Header2 6 93 8" xfId="27247"/>
    <cellStyle name="Header2 6 93 9" xfId="27248"/>
    <cellStyle name="Header2 6 94" xfId="11536"/>
    <cellStyle name="Header2 6 95" xfId="27249"/>
    <cellStyle name="Header2 6 96" xfId="27250"/>
    <cellStyle name="Header2 6 97" xfId="27251"/>
    <cellStyle name="Header2 6 98" xfId="27252"/>
    <cellStyle name="Header2 6 99" xfId="27253"/>
    <cellStyle name="Header2 6_YL Capex Cashflow &amp; Dep" xfId="12509"/>
    <cellStyle name="Header2 60" xfId="5081"/>
    <cellStyle name="Header2 60 10" xfId="27254"/>
    <cellStyle name="Header2 60 2" xfId="27255"/>
    <cellStyle name="Header2 60 3" xfId="27256"/>
    <cellStyle name="Header2 60 4" xfId="27257"/>
    <cellStyle name="Header2 60 5" xfId="27258"/>
    <cellStyle name="Header2 60 6" xfId="27259"/>
    <cellStyle name="Header2 60 7" xfId="27260"/>
    <cellStyle name="Header2 60 8" xfId="27261"/>
    <cellStyle name="Header2 60 9" xfId="27262"/>
    <cellStyle name="Header2 61" xfId="5082"/>
    <cellStyle name="Header2 61 10" xfId="27263"/>
    <cellStyle name="Header2 61 2" xfId="27264"/>
    <cellStyle name="Header2 61 3" xfId="27265"/>
    <cellStyle name="Header2 61 4" xfId="27266"/>
    <cellStyle name="Header2 61 5" xfId="27267"/>
    <cellStyle name="Header2 61 6" xfId="27268"/>
    <cellStyle name="Header2 61 7" xfId="27269"/>
    <cellStyle name="Header2 61 8" xfId="27270"/>
    <cellStyle name="Header2 61 9" xfId="27271"/>
    <cellStyle name="Header2 62" xfId="5083"/>
    <cellStyle name="Header2 62 2" xfId="27272"/>
    <cellStyle name="Header2 62 3" xfId="27273"/>
    <cellStyle name="Header2 62 4" xfId="27274"/>
    <cellStyle name="Header2 62 5" xfId="27275"/>
    <cellStyle name="Header2 62 6" xfId="27276"/>
    <cellStyle name="Header2 62 7" xfId="27277"/>
    <cellStyle name="Header2 62 8" xfId="27278"/>
    <cellStyle name="Header2 62 9" xfId="27279"/>
    <cellStyle name="Header2 63" xfId="5084"/>
    <cellStyle name="Header2 63 10" xfId="27280"/>
    <cellStyle name="Header2 63 2" xfId="27281"/>
    <cellStyle name="Header2 63 3" xfId="27282"/>
    <cellStyle name="Header2 63 4" xfId="27283"/>
    <cellStyle name="Header2 63 5" xfId="27284"/>
    <cellStyle name="Header2 63 6" xfId="27285"/>
    <cellStyle name="Header2 63 7" xfId="27286"/>
    <cellStyle name="Header2 63 8" xfId="27287"/>
    <cellStyle name="Header2 63 9" xfId="27288"/>
    <cellStyle name="Header2 64" xfId="5085"/>
    <cellStyle name="Header2 64 10" xfId="27289"/>
    <cellStyle name="Header2 64 2" xfId="27290"/>
    <cellStyle name="Header2 64 3" xfId="27291"/>
    <cellStyle name="Header2 64 4" xfId="27292"/>
    <cellStyle name="Header2 64 5" xfId="27293"/>
    <cellStyle name="Header2 64 6" xfId="27294"/>
    <cellStyle name="Header2 64 7" xfId="27295"/>
    <cellStyle name="Header2 64 8" xfId="27296"/>
    <cellStyle name="Header2 64 9" xfId="27297"/>
    <cellStyle name="Header2 65" xfId="5086"/>
    <cellStyle name="Header2 65 10" xfId="27298"/>
    <cellStyle name="Header2 65 2" xfId="27299"/>
    <cellStyle name="Header2 65 3" xfId="27300"/>
    <cellStyle name="Header2 65 4" xfId="27301"/>
    <cellStyle name="Header2 65 5" xfId="27302"/>
    <cellStyle name="Header2 65 6" xfId="27303"/>
    <cellStyle name="Header2 65 7" xfId="27304"/>
    <cellStyle name="Header2 65 8" xfId="27305"/>
    <cellStyle name="Header2 65 9" xfId="27306"/>
    <cellStyle name="Header2 66" xfId="5087"/>
    <cellStyle name="Header2 66 10" xfId="27307"/>
    <cellStyle name="Header2 66 2" xfId="27308"/>
    <cellStyle name="Header2 66 3" xfId="27309"/>
    <cellStyle name="Header2 66 4" xfId="27310"/>
    <cellStyle name="Header2 66 5" xfId="27311"/>
    <cellStyle name="Header2 66 6" xfId="27312"/>
    <cellStyle name="Header2 66 7" xfId="27313"/>
    <cellStyle name="Header2 66 8" xfId="27314"/>
    <cellStyle name="Header2 66 9" xfId="27315"/>
    <cellStyle name="Header2 67" xfId="5088"/>
    <cellStyle name="Header2 67 10" xfId="27316"/>
    <cellStyle name="Header2 67 2" xfId="27317"/>
    <cellStyle name="Header2 67 3" xfId="27318"/>
    <cellStyle name="Header2 67 4" xfId="27319"/>
    <cellStyle name="Header2 67 5" xfId="27320"/>
    <cellStyle name="Header2 67 6" xfId="27321"/>
    <cellStyle name="Header2 67 7" xfId="27322"/>
    <cellStyle name="Header2 67 8" xfId="27323"/>
    <cellStyle name="Header2 67 9" xfId="27324"/>
    <cellStyle name="Header2 68" xfId="5089"/>
    <cellStyle name="Header2 68 10" xfId="27325"/>
    <cellStyle name="Header2 68 2" xfId="27326"/>
    <cellStyle name="Header2 68 3" xfId="27327"/>
    <cellStyle name="Header2 68 4" xfId="27328"/>
    <cellStyle name="Header2 68 5" xfId="27329"/>
    <cellStyle name="Header2 68 6" xfId="27330"/>
    <cellStyle name="Header2 68 7" xfId="27331"/>
    <cellStyle name="Header2 68 8" xfId="27332"/>
    <cellStyle name="Header2 68 9" xfId="27333"/>
    <cellStyle name="Header2 69" xfId="5090"/>
    <cellStyle name="Header2 69 10" xfId="27334"/>
    <cellStyle name="Header2 69 2" xfId="27335"/>
    <cellStyle name="Header2 69 3" xfId="27336"/>
    <cellStyle name="Header2 69 4" xfId="27337"/>
    <cellStyle name="Header2 69 5" xfId="27338"/>
    <cellStyle name="Header2 69 6" xfId="27339"/>
    <cellStyle name="Header2 69 7" xfId="27340"/>
    <cellStyle name="Header2 69 8" xfId="27341"/>
    <cellStyle name="Header2 69 9" xfId="27342"/>
    <cellStyle name="Header2 7" xfId="1179"/>
    <cellStyle name="Header2 7 10" xfId="27343"/>
    <cellStyle name="Header2 7 11" xfId="27344"/>
    <cellStyle name="Header2 7 2" xfId="1180"/>
    <cellStyle name="Header2 7 2 2" xfId="12942"/>
    <cellStyle name="Header2 7 2_YL Capex Cashflow &amp; Dep" xfId="12737"/>
    <cellStyle name="Header2 7 3" xfId="1181"/>
    <cellStyle name="Header2 7 3 2" xfId="12780"/>
    <cellStyle name="Header2 7 3_YL Capex Cashflow &amp; Dep" xfId="12208"/>
    <cellStyle name="Header2 7 4" xfId="12252"/>
    <cellStyle name="Header2 7 5" xfId="27345"/>
    <cellStyle name="Header2 7 6" xfId="27346"/>
    <cellStyle name="Header2 7 7" xfId="27347"/>
    <cellStyle name="Header2 7 8" xfId="27348"/>
    <cellStyle name="Header2 7 9" xfId="27349"/>
    <cellStyle name="Header2 7_Cashflow trend" xfId="1182"/>
    <cellStyle name="Header2 70" xfId="5091"/>
    <cellStyle name="Header2 70 10" xfId="27350"/>
    <cellStyle name="Header2 70 2" xfId="27351"/>
    <cellStyle name="Header2 70 3" xfId="27352"/>
    <cellStyle name="Header2 70 4" xfId="27353"/>
    <cellStyle name="Header2 70 5" xfId="27354"/>
    <cellStyle name="Header2 70 6" xfId="27355"/>
    <cellStyle name="Header2 70 7" xfId="27356"/>
    <cellStyle name="Header2 70 8" xfId="27357"/>
    <cellStyle name="Header2 70 9" xfId="27358"/>
    <cellStyle name="Header2 71" xfId="5092"/>
    <cellStyle name="Header2 71 10" xfId="27359"/>
    <cellStyle name="Header2 71 2" xfId="27360"/>
    <cellStyle name="Header2 71 3" xfId="27361"/>
    <cellStyle name="Header2 71 4" xfId="27362"/>
    <cellStyle name="Header2 71 5" xfId="27363"/>
    <cellStyle name="Header2 71 6" xfId="27364"/>
    <cellStyle name="Header2 71 7" xfId="27365"/>
    <cellStyle name="Header2 71 8" xfId="27366"/>
    <cellStyle name="Header2 71 9" xfId="27367"/>
    <cellStyle name="Header2 72" xfId="5093"/>
    <cellStyle name="Header2 72 10" xfId="27368"/>
    <cellStyle name="Header2 72 2" xfId="27369"/>
    <cellStyle name="Header2 72 3" xfId="27370"/>
    <cellStyle name="Header2 72 4" xfId="27371"/>
    <cellStyle name="Header2 72 5" xfId="27372"/>
    <cellStyle name="Header2 72 6" xfId="27373"/>
    <cellStyle name="Header2 72 7" xfId="27374"/>
    <cellStyle name="Header2 72 8" xfId="27375"/>
    <cellStyle name="Header2 72 9" xfId="27376"/>
    <cellStyle name="Header2 73" xfId="5094"/>
    <cellStyle name="Header2 73 10" xfId="27377"/>
    <cellStyle name="Header2 73 2" xfId="27378"/>
    <cellStyle name="Header2 73 3" xfId="27379"/>
    <cellStyle name="Header2 73 4" xfId="27380"/>
    <cellStyle name="Header2 73 5" xfId="27381"/>
    <cellStyle name="Header2 73 6" xfId="27382"/>
    <cellStyle name="Header2 73 7" xfId="27383"/>
    <cellStyle name="Header2 73 8" xfId="27384"/>
    <cellStyle name="Header2 73 9" xfId="27385"/>
    <cellStyle name="Header2 74" xfId="5095"/>
    <cellStyle name="Header2 74 10" xfId="27386"/>
    <cellStyle name="Header2 74 2" xfId="27387"/>
    <cellStyle name="Header2 74 3" xfId="27388"/>
    <cellStyle name="Header2 74 4" xfId="27389"/>
    <cellStyle name="Header2 74 5" xfId="27390"/>
    <cellStyle name="Header2 74 6" xfId="27391"/>
    <cellStyle name="Header2 74 7" xfId="27392"/>
    <cellStyle name="Header2 74 8" xfId="27393"/>
    <cellStyle name="Header2 74 9" xfId="27394"/>
    <cellStyle name="Header2 75" xfId="5096"/>
    <cellStyle name="Header2 75 10" xfId="27395"/>
    <cellStyle name="Header2 75 2" xfId="27396"/>
    <cellStyle name="Header2 75 3" xfId="27397"/>
    <cellStyle name="Header2 75 4" xfId="27398"/>
    <cellStyle name="Header2 75 5" xfId="27399"/>
    <cellStyle name="Header2 75 6" xfId="27400"/>
    <cellStyle name="Header2 75 7" xfId="27401"/>
    <cellStyle name="Header2 75 8" xfId="27402"/>
    <cellStyle name="Header2 75 9" xfId="27403"/>
    <cellStyle name="Header2 76" xfId="5097"/>
    <cellStyle name="Header2 76 10" xfId="27404"/>
    <cellStyle name="Header2 76 2" xfId="27405"/>
    <cellStyle name="Header2 76 3" xfId="27406"/>
    <cellStyle name="Header2 76 4" xfId="27407"/>
    <cellStyle name="Header2 76 5" xfId="27408"/>
    <cellStyle name="Header2 76 6" xfId="27409"/>
    <cellStyle name="Header2 76 7" xfId="27410"/>
    <cellStyle name="Header2 76 8" xfId="27411"/>
    <cellStyle name="Header2 76 9" xfId="27412"/>
    <cellStyle name="Header2 77" xfId="5098"/>
    <cellStyle name="Header2 77 10" xfId="27413"/>
    <cellStyle name="Header2 77 2" xfId="27414"/>
    <cellStyle name="Header2 77 3" xfId="27415"/>
    <cellStyle name="Header2 77 4" xfId="27416"/>
    <cellStyle name="Header2 77 5" xfId="27417"/>
    <cellStyle name="Header2 77 6" xfId="27418"/>
    <cellStyle name="Header2 77 7" xfId="27419"/>
    <cellStyle name="Header2 77 8" xfId="27420"/>
    <cellStyle name="Header2 77 9" xfId="27421"/>
    <cellStyle name="Header2 78" xfId="5099"/>
    <cellStyle name="Header2 78 10" xfId="27422"/>
    <cellStyle name="Header2 78 2" xfId="27423"/>
    <cellStyle name="Header2 78 3" xfId="27424"/>
    <cellStyle name="Header2 78 4" xfId="27425"/>
    <cellStyle name="Header2 78 5" xfId="27426"/>
    <cellStyle name="Header2 78 6" xfId="27427"/>
    <cellStyle name="Header2 78 7" xfId="27428"/>
    <cellStyle name="Header2 78 8" xfId="27429"/>
    <cellStyle name="Header2 78 9" xfId="27430"/>
    <cellStyle name="Header2 79" xfId="5100"/>
    <cellStyle name="Header2 79 10" xfId="27431"/>
    <cellStyle name="Header2 79 2" xfId="27432"/>
    <cellStyle name="Header2 79 3" xfId="27433"/>
    <cellStyle name="Header2 79 4" xfId="27434"/>
    <cellStyle name="Header2 79 5" xfId="27435"/>
    <cellStyle name="Header2 79 6" xfId="27436"/>
    <cellStyle name="Header2 79 7" xfId="27437"/>
    <cellStyle name="Header2 79 8" xfId="27438"/>
    <cellStyle name="Header2 79 9" xfId="27439"/>
    <cellStyle name="Header2 8" xfId="1183"/>
    <cellStyle name="Header2 8 10" xfId="27440"/>
    <cellStyle name="Header2 8 2" xfId="12785"/>
    <cellStyle name="Header2 8 3" xfId="27441"/>
    <cellStyle name="Header2 8 4" xfId="27442"/>
    <cellStyle name="Header2 8 5" xfId="27443"/>
    <cellStyle name="Header2 8 6" xfId="27444"/>
    <cellStyle name="Header2 8 7" xfId="27445"/>
    <cellStyle name="Header2 8 8" xfId="27446"/>
    <cellStyle name="Header2 8 9" xfId="27447"/>
    <cellStyle name="Header2 8_YL Capex Cashflow &amp; Dep" xfId="11799"/>
    <cellStyle name="Header2 80" xfId="5101"/>
    <cellStyle name="Header2 80 10" xfId="27448"/>
    <cellStyle name="Header2 80 2" xfId="27449"/>
    <cellStyle name="Header2 80 3" xfId="27450"/>
    <cellStyle name="Header2 80 4" xfId="27451"/>
    <cellStyle name="Header2 80 5" xfId="27452"/>
    <cellStyle name="Header2 80 6" xfId="27453"/>
    <cellStyle name="Header2 80 7" xfId="27454"/>
    <cellStyle name="Header2 80 8" xfId="27455"/>
    <cellStyle name="Header2 80 9" xfId="27456"/>
    <cellStyle name="Header2 81" xfId="5102"/>
    <cellStyle name="Header2 81 10" xfId="27457"/>
    <cellStyle name="Header2 81 2" xfId="27458"/>
    <cellStyle name="Header2 81 3" xfId="27459"/>
    <cellStyle name="Header2 81 4" xfId="27460"/>
    <cellStyle name="Header2 81 5" xfId="27461"/>
    <cellStyle name="Header2 81 6" xfId="27462"/>
    <cellStyle name="Header2 81 7" xfId="27463"/>
    <cellStyle name="Header2 81 8" xfId="27464"/>
    <cellStyle name="Header2 81 9" xfId="27465"/>
    <cellStyle name="Header2 82" xfId="5103"/>
    <cellStyle name="Header2 82 10" xfId="27466"/>
    <cellStyle name="Header2 82 2" xfId="27467"/>
    <cellStyle name="Header2 82 3" xfId="27468"/>
    <cellStyle name="Header2 82 4" xfId="27469"/>
    <cellStyle name="Header2 82 5" xfId="27470"/>
    <cellStyle name="Header2 82 6" xfId="27471"/>
    <cellStyle name="Header2 82 7" xfId="27472"/>
    <cellStyle name="Header2 82 8" xfId="27473"/>
    <cellStyle name="Header2 82 9" xfId="27474"/>
    <cellStyle name="Header2 83" xfId="5104"/>
    <cellStyle name="Header2 83 10" xfId="27475"/>
    <cellStyle name="Header2 83 2" xfId="27476"/>
    <cellStyle name="Header2 83 3" xfId="27477"/>
    <cellStyle name="Header2 83 4" xfId="27478"/>
    <cellStyle name="Header2 83 5" xfId="27479"/>
    <cellStyle name="Header2 83 6" xfId="27480"/>
    <cellStyle name="Header2 83 7" xfId="27481"/>
    <cellStyle name="Header2 83 8" xfId="27482"/>
    <cellStyle name="Header2 83 9" xfId="27483"/>
    <cellStyle name="Header2 84" xfId="5105"/>
    <cellStyle name="Header2 84 10" xfId="27484"/>
    <cellStyle name="Header2 84 2" xfId="27485"/>
    <cellStyle name="Header2 84 3" xfId="27486"/>
    <cellStyle name="Header2 84 4" xfId="27487"/>
    <cellStyle name="Header2 84 5" xfId="27488"/>
    <cellStyle name="Header2 84 6" xfId="27489"/>
    <cellStyle name="Header2 84 7" xfId="27490"/>
    <cellStyle name="Header2 84 8" xfId="27491"/>
    <cellStyle name="Header2 84 9" xfId="27492"/>
    <cellStyle name="Header2 9" xfId="5106"/>
    <cellStyle name="Header2 9 10" xfId="27493"/>
    <cellStyle name="Header2 9 11" xfId="27494"/>
    <cellStyle name="Header2 9 2" xfId="27495"/>
    <cellStyle name="Header2 9 3" xfId="27496"/>
    <cellStyle name="Header2 9 4" xfId="27497"/>
    <cellStyle name="Header2 9 5" xfId="27498"/>
    <cellStyle name="Header2 9 6" xfId="27499"/>
    <cellStyle name="Header2 9 7" xfId="27500"/>
    <cellStyle name="Header2 9 8" xfId="27501"/>
    <cellStyle name="Header2 9 9" xfId="27502"/>
    <cellStyle name="Header2_Cashflow trend" xfId="1184"/>
    <cellStyle name="Heading" xfId="1185"/>
    <cellStyle name="Heading 1 2" xfId="1186"/>
    <cellStyle name="Heading 1 2 2" xfId="1187"/>
    <cellStyle name="Heading 2 2" xfId="1188"/>
    <cellStyle name="Heading 2 2 2" xfId="1189"/>
    <cellStyle name="Heading 3 2" xfId="1190"/>
    <cellStyle name="Heading 3 2 2" xfId="1191"/>
    <cellStyle name="Heading 4 2" xfId="1192"/>
    <cellStyle name="Heading 4 2 2" xfId="1193"/>
    <cellStyle name="Heading1" xfId="1194"/>
    <cellStyle name="Heading1 1" xfId="1195"/>
    <cellStyle name="Heading1_C784_Cl_08_updated 29.5" xfId="1196"/>
    <cellStyle name="Heading2" xfId="1197"/>
    <cellStyle name="HEADINGS" xfId="1198"/>
    <cellStyle name="HEADINGSTOP" xfId="1199"/>
    <cellStyle name="Hide" xfId="1200"/>
    <cellStyle name="Hiding zero" xfId="1201"/>
    <cellStyle name="HIGHLIGHT" xfId="1202"/>
    <cellStyle name="Î¡Ýá [0]_95" xfId="1203"/>
    <cellStyle name="Î¡Ýá_95" xfId="1204"/>
    <cellStyle name="Input [yellow]" xfId="1205"/>
    <cellStyle name="Input [yellow] 10" xfId="5107"/>
    <cellStyle name="Input [yellow] 10 10" xfId="27503"/>
    <cellStyle name="Input [yellow] 10 2" xfId="27504"/>
    <cellStyle name="Input [yellow] 10 3" xfId="27505"/>
    <cellStyle name="Input [yellow] 10 4" xfId="27506"/>
    <cellStyle name="Input [yellow] 10 5" xfId="27507"/>
    <cellStyle name="Input [yellow] 10 6" xfId="27508"/>
    <cellStyle name="Input [yellow] 10 7" xfId="27509"/>
    <cellStyle name="Input [yellow] 10 8" xfId="27510"/>
    <cellStyle name="Input [yellow] 10 9" xfId="27511"/>
    <cellStyle name="Input [yellow] 11" xfId="5108"/>
    <cellStyle name="Input [yellow] 11 2" xfId="27512"/>
    <cellStyle name="Input [yellow] 11 3" xfId="27513"/>
    <cellStyle name="Input [yellow] 11 4" xfId="27514"/>
    <cellStyle name="Input [yellow] 11 5" xfId="27515"/>
    <cellStyle name="Input [yellow] 11 6" xfId="27516"/>
    <cellStyle name="Input [yellow] 11 7" xfId="27517"/>
    <cellStyle name="Input [yellow] 12" xfId="5109"/>
    <cellStyle name="Input [yellow] 12 2" xfId="27518"/>
    <cellStyle name="Input [yellow] 12 3" xfId="27519"/>
    <cellStyle name="Input [yellow] 12 4" xfId="27520"/>
    <cellStyle name="Input [yellow] 12 5" xfId="27521"/>
    <cellStyle name="Input [yellow] 12 6" xfId="27522"/>
    <cellStyle name="Input [yellow] 12 7" xfId="27523"/>
    <cellStyle name="Input [yellow] 13" xfId="5110"/>
    <cellStyle name="Input [yellow] 13 2" xfId="27524"/>
    <cellStyle name="Input [yellow] 13 3" xfId="27525"/>
    <cellStyle name="Input [yellow] 13 4" xfId="27526"/>
    <cellStyle name="Input [yellow] 13 5" xfId="27527"/>
    <cellStyle name="Input [yellow] 13 6" xfId="27528"/>
    <cellStyle name="Input [yellow] 13 7" xfId="27529"/>
    <cellStyle name="Input [yellow] 14" xfId="5111"/>
    <cellStyle name="Input [yellow] 14 2" xfId="27530"/>
    <cellStyle name="Input [yellow] 14 3" xfId="27531"/>
    <cellStyle name="Input [yellow] 14 4" xfId="27532"/>
    <cellStyle name="Input [yellow] 14 5" xfId="27533"/>
    <cellStyle name="Input [yellow] 14 6" xfId="27534"/>
    <cellStyle name="Input [yellow] 14 7" xfId="27535"/>
    <cellStyle name="Input [yellow] 15" xfId="5112"/>
    <cellStyle name="Input [yellow] 15 2" xfId="27536"/>
    <cellStyle name="Input [yellow] 15 3" xfId="27537"/>
    <cellStyle name="Input [yellow] 15 4" xfId="27538"/>
    <cellStyle name="Input [yellow] 15 5" xfId="27539"/>
    <cellStyle name="Input [yellow] 15 6" xfId="27540"/>
    <cellStyle name="Input [yellow] 15 7" xfId="27541"/>
    <cellStyle name="Input [yellow] 16" xfId="5113"/>
    <cellStyle name="Input [yellow] 16 2" xfId="27542"/>
    <cellStyle name="Input [yellow] 16 3" xfId="27543"/>
    <cellStyle name="Input [yellow] 16 4" xfId="27544"/>
    <cellStyle name="Input [yellow] 16 5" xfId="27545"/>
    <cellStyle name="Input [yellow] 16 6" xfId="27546"/>
    <cellStyle name="Input [yellow] 16 7" xfId="27547"/>
    <cellStyle name="Input [yellow] 17" xfId="5114"/>
    <cellStyle name="Input [yellow] 17 2" xfId="27548"/>
    <cellStyle name="Input [yellow] 17 3" xfId="27549"/>
    <cellStyle name="Input [yellow] 17 4" xfId="27550"/>
    <cellStyle name="Input [yellow] 17 5" xfId="27551"/>
    <cellStyle name="Input [yellow] 17 6" xfId="27552"/>
    <cellStyle name="Input [yellow] 17 7" xfId="27553"/>
    <cellStyle name="Input [yellow] 18" xfId="5115"/>
    <cellStyle name="Input [yellow] 18 2" xfId="27554"/>
    <cellStyle name="Input [yellow] 18 3" xfId="27555"/>
    <cellStyle name="Input [yellow] 18 4" xfId="27556"/>
    <cellStyle name="Input [yellow] 18 5" xfId="27557"/>
    <cellStyle name="Input [yellow] 18 6" xfId="27558"/>
    <cellStyle name="Input [yellow] 18 7" xfId="27559"/>
    <cellStyle name="Input [yellow] 19" xfId="5116"/>
    <cellStyle name="Input [yellow] 19 2" xfId="27560"/>
    <cellStyle name="Input [yellow] 19 3" xfId="27561"/>
    <cellStyle name="Input [yellow] 19 4" xfId="27562"/>
    <cellStyle name="Input [yellow] 19 5" xfId="27563"/>
    <cellStyle name="Input [yellow] 19 6" xfId="27564"/>
    <cellStyle name="Input [yellow] 19 7" xfId="27565"/>
    <cellStyle name="Input [yellow] 2" xfId="1206"/>
    <cellStyle name="Input [yellow] 2 10" xfId="5117"/>
    <cellStyle name="Input [yellow] 2 10 2" xfId="27566"/>
    <cellStyle name="Input [yellow] 2 10 3" xfId="27567"/>
    <cellStyle name="Input [yellow] 2 10 4" xfId="27568"/>
    <cellStyle name="Input [yellow] 2 10 5" xfId="27569"/>
    <cellStyle name="Input [yellow] 2 10 6" xfId="27570"/>
    <cellStyle name="Input [yellow] 2 10 7" xfId="27571"/>
    <cellStyle name="Input [yellow] 2 100" xfId="27572"/>
    <cellStyle name="Input [yellow] 2 11" xfId="5118"/>
    <cellStyle name="Input [yellow] 2 11 2" xfId="27573"/>
    <cellStyle name="Input [yellow] 2 11 3" xfId="27574"/>
    <cellStyle name="Input [yellow] 2 11 4" xfId="27575"/>
    <cellStyle name="Input [yellow] 2 11 5" xfId="27576"/>
    <cellStyle name="Input [yellow] 2 11 6" xfId="27577"/>
    <cellStyle name="Input [yellow] 2 11 7" xfId="27578"/>
    <cellStyle name="Input [yellow] 2 12" xfId="5119"/>
    <cellStyle name="Input [yellow] 2 12 2" xfId="27579"/>
    <cellStyle name="Input [yellow] 2 12 3" xfId="27580"/>
    <cellStyle name="Input [yellow] 2 12 4" xfId="27581"/>
    <cellStyle name="Input [yellow] 2 12 5" xfId="27582"/>
    <cellStyle name="Input [yellow] 2 12 6" xfId="27583"/>
    <cellStyle name="Input [yellow] 2 12 7" xfId="27584"/>
    <cellStyle name="Input [yellow] 2 13" xfId="5120"/>
    <cellStyle name="Input [yellow] 2 13 2" xfId="27585"/>
    <cellStyle name="Input [yellow] 2 13 3" xfId="27586"/>
    <cellStyle name="Input [yellow] 2 13 4" xfId="27587"/>
    <cellStyle name="Input [yellow] 2 13 5" xfId="27588"/>
    <cellStyle name="Input [yellow] 2 13 6" xfId="27589"/>
    <cellStyle name="Input [yellow] 2 13 7" xfId="27590"/>
    <cellStyle name="Input [yellow] 2 14" xfId="5121"/>
    <cellStyle name="Input [yellow] 2 14 2" xfId="27591"/>
    <cellStyle name="Input [yellow] 2 14 3" xfId="27592"/>
    <cellStyle name="Input [yellow] 2 14 4" xfId="27593"/>
    <cellStyle name="Input [yellow] 2 14 5" xfId="27594"/>
    <cellStyle name="Input [yellow] 2 14 6" xfId="27595"/>
    <cellStyle name="Input [yellow] 2 14 7" xfId="27596"/>
    <cellStyle name="Input [yellow] 2 15" xfId="5122"/>
    <cellStyle name="Input [yellow] 2 15 2" xfId="27597"/>
    <cellStyle name="Input [yellow] 2 15 3" xfId="27598"/>
    <cellStyle name="Input [yellow] 2 15 4" xfId="27599"/>
    <cellStyle name="Input [yellow] 2 15 5" xfId="27600"/>
    <cellStyle name="Input [yellow] 2 15 6" xfId="27601"/>
    <cellStyle name="Input [yellow] 2 15 7" xfId="27602"/>
    <cellStyle name="Input [yellow] 2 16" xfId="5123"/>
    <cellStyle name="Input [yellow] 2 16 2" xfId="27603"/>
    <cellStyle name="Input [yellow] 2 16 3" xfId="27604"/>
    <cellStyle name="Input [yellow] 2 16 4" xfId="27605"/>
    <cellStyle name="Input [yellow] 2 16 5" xfId="27606"/>
    <cellStyle name="Input [yellow] 2 16 6" xfId="27607"/>
    <cellStyle name="Input [yellow] 2 16 7" xfId="27608"/>
    <cellStyle name="Input [yellow] 2 17" xfId="5124"/>
    <cellStyle name="Input [yellow] 2 17 2" xfId="27609"/>
    <cellStyle name="Input [yellow] 2 17 3" xfId="27610"/>
    <cellStyle name="Input [yellow] 2 17 4" xfId="27611"/>
    <cellStyle name="Input [yellow] 2 17 5" xfId="27612"/>
    <cellStyle name="Input [yellow] 2 17 6" xfId="27613"/>
    <cellStyle name="Input [yellow] 2 17 7" xfId="27614"/>
    <cellStyle name="Input [yellow] 2 18" xfId="5125"/>
    <cellStyle name="Input [yellow] 2 18 2" xfId="27615"/>
    <cellStyle name="Input [yellow] 2 18 3" xfId="27616"/>
    <cellStyle name="Input [yellow] 2 18 4" xfId="27617"/>
    <cellStyle name="Input [yellow] 2 18 5" xfId="27618"/>
    <cellStyle name="Input [yellow] 2 18 6" xfId="27619"/>
    <cellStyle name="Input [yellow] 2 18 7" xfId="27620"/>
    <cellStyle name="Input [yellow] 2 19" xfId="5126"/>
    <cellStyle name="Input [yellow] 2 19 2" xfId="27621"/>
    <cellStyle name="Input [yellow] 2 19 3" xfId="27622"/>
    <cellStyle name="Input [yellow] 2 19 4" xfId="27623"/>
    <cellStyle name="Input [yellow] 2 19 5" xfId="27624"/>
    <cellStyle name="Input [yellow] 2 19 6" xfId="27625"/>
    <cellStyle name="Input [yellow] 2 19 7" xfId="27626"/>
    <cellStyle name="Input [yellow] 2 2" xfId="1207"/>
    <cellStyle name="Input [yellow] 2 2 10" xfId="5127"/>
    <cellStyle name="Input [yellow] 2 2 10 2" xfId="27627"/>
    <cellStyle name="Input [yellow] 2 2 10 3" xfId="27628"/>
    <cellStyle name="Input [yellow] 2 2 10 4" xfId="27629"/>
    <cellStyle name="Input [yellow] 2 2 10 5" xfId="27630"/>
    <cellStyle name="Input [yellow] 2 2 10 6" xfId="27631"/>
    <cellStyle name="Input [yellow] 2 2 10 7" xfId="27632"/>
    <cellStyle name="Input [yellow] 2 2 100" xfId="27633"/>
    <cellStyle name="Input [yellow] 2 2 101" xfId="27634"/>
    <cellStyle name="Input [yellow] 2 2 102" xfId="27635"/>
    <cellStyle name="Input [yellow] 2 2 11" xfId="5128"/>
    <cellStyle name="Input [yellow] 2 2 11 2" xfId="27636"/>
    <cellStyle name="Input [yellow] 2 2 11 3" xfId="27637"/>
    <cellStyle name="Input [yellow] 2 2 11 4" xfId="27638"/>
    <cellStyle name="Input [yellow] 2 2 11 5" xfId="27639"/>
    <cellStyle name="Input [yellow] 2 2 11 6" xfId="27640"/>
    <cellStyle name="Input [yellow] 2 2 11 7" xfId="27641"/>
    <cellStyle name="Input [yellow] 2 2 12" xfId="5129"/>
    <cellStyle name="Input [yellow] 2 2 12 2" xfId="27642"/>
    <cellStyle name="Input [yellow] 2 2 12 3" xfId="27643"/>
    <cellStyle name="Input [yellow] 2 2 12 4" xfId="27644"/>
    <cellStyle name="Input [yellow] 2 2 12 5" xfId="27645"/>
    <cellStyle name="Input [yellow] 2 2 12 6" xfId="27646"/>
    <cellStyle name="Input [yellow] 2 2 12 7" xfId="27647"/>
    <cellStyle name="Input [yellow] 2 2 13" xfId="5130"/>
    <cellStyle name="Input [yellow] 2 2 13 2" xfId="27648"/>
    <cellStyle name="Input [yellow] 2 2 13 3" xfId="27649"/>
    <cellStyle name="Input [yellow] 2 2 13 4" xfId="27650"/>
    <cellStyle name="Input [yellow] 2 2 13 5" xfId="27651"/>
    <cellStyle name="Input [yellow] 2 2 13 6" xfId="27652"/>
    <cellStyle name="Input [yellow] 2 2 13 7" xfId="27653"/>
    <cellStyle name="Input [yellow] 2 2 14" xfId="5131"/>
    <cellStyle name="Input [yellow] 2 2 14 2" xfId="27654"/>
    <cellStyle name="Input [yellow] 2 2 14 3" xfId="27655"/>
    <cellStyle name="Input [yellow] 2 2 14 4" xfId="27656"/>
    <cellStyle name="Input [yellow] 2 2 14 5" xfId="27657"/>
    <cellStyle name="Input [yellow] 2 2 14 6" xfId="27658"/>
    <cellStyle name="Input [yellow] 2 2 14 7" xfId="27659"/>
    <cellStyle name="Input [yellow] 2 2 15" xfId="5132"/>
    <cellStyle name="Input [yellow] 2 2 15 2" xfId="27660"/>
    <cellStyle name="Input [yellow] 2 2 15 3" xfId="27661"/>
    <cellStyle name="Input [yellow] 2 2 15 4" xfId="27662"/>
    <cellStyle name="Input [yellow] 2 2 15 5" xfId="27663"/>
    <cellStyle name="Input [yellow] 2 2 15 6" xfId="27664"/>
    <cellStyle name="Input [yellow] 2 2 15 7" xfId="27665"/>
    <cellStyle name="Input [yellow] 2 2 16" xfId="5133"/>
    <cellStyle name="Input [yellow] 2 2 16 2" xfId="27666"/>
    <cellStyle name="Input [yellow] 2 2 16 3" xfId="27667"/>
    <cellStyle name="Input [yellow] 2 2 16 4" xfId="27668"/>
    <cellStyle name="Input [yellow] 2 2 16 5" xfId="27669"/>
    <cellStyle name="Input [yellow] 2 2 16 6" xfId="27670"/>
    <cellStyle name="Input [yellow] 2 2 16 7" xfId="27671"/>
    <cellStyle name="Input [yellow] 2 2 17" xfId="5134"/>
    <cellStyle name="Input [yellow] 2 2 17 2" xfId="27672"/>
    <cellStyle name="Input [yellow] 2 2 17 3" xfId="27673"/>
    <cellStyle name="Input [yellow] 2 2 17 4" xfId="27674"/>
    <cellStyle name="Input [yellow] 2 2 17 5" xfId="27675"/>
    <cellStyle name="Input [yellow] 2 2 17 6" xfId="27676"/>
    <cellStyle name="Input [yellow] 2 2 17 7" xfId="27677"/>
    <cellStyle name="Input [yellow] 2 2 18" xfId="5135"/>
    <cellStyle name="Input [yellow] 2 2 18 2" xfId="27678"/>
    <cellStyle name="Input [yellow] 2 2 18 3" xfId="27679"/>
    <cellStyle name="Input [yellow] 2 2 18 4" xfId="27680"/>
    <cellStyle name="Input [yellow] 2 2 18 5" xfId="27681"/>
    <cellStyle name="Input [yellow] 2 2 18 6" xfId="27682"/>
    <cellStyle name="Input [yellow] 2 2 18 7" xfId="27683"/>
    <cellStyle name="Input [yellow] 2 2 19" xfId="5136"/>
    <cellStyle name="Input [yellow] 2 2 19 2" xfId="27684"/>
    <cellStyle name="Input [yellow] 2 2 19 3" xfId="27685"/>
    <cellStyle name="Input [yellow] 2 2 19 4" xfId="27686"/>
    <cellStyle name="Input [yellow] 2 2 19 5" xfId="27687"/>
    <cellStyle name="Input [yellow] 2 2 19 6" xfId="27688"/>
    <cellStyle name="Input [yellow] 2 2 19 7" xfId="27689"/>
    <cellStyle name="Input [yellow] 2 2 2" xfId="1208"/>
    <cellStyle name="Input [yellow] 2 2 2 10" xfId="27690"/>
    <cellStyle name="Input [yellow] 2 2 2 11" xfId="27691"/>
    <cellStyle name="Input [yellow] 2 2 2 2" xfId="12810"/>
    <cellStyle name="Input [yellow] 2 2 2 3" xfId="27692"/>
    <cellStyle name="Input [yellow] 2 2 2 4" xfId="27693"/>
    <cellStyle name="Input [yellow] 2 2 2 5" xfId="27694"/>
    <cellStyle name="Input [yellow] 2 2 2 6" xfId="27695"/>
    <cellStyle name="Input [yellow] 2 2 2 7" xfId="27696"/>
    <cellStyle name="Input [yellow] 2 2 2 8" xfId="27697"/>
    <cellStyle name="Input [yellow] 2 2 2 9" xfId="27698"/>
    <cellStyle name="Input [yellow] 2 2 20" xfId="5137"/>
    <cellStyle name="Input [yellow] 2 2 20 2" xfId="27699"/>
    <cellStyle name="Input [yellow] 2 2 20 3" xfId="27700"/>
    <cellStyle name="Input [yellow] 2 2 20 4" xfId="27701"/>
    <cellStyle name="Input [yellow] 2 2 20 5" xfId="27702"/>
    <cellStyle name="Input [yellow] 2 2 20 6" xfId="27703"/>
    <cellStyle name="Input [yellow] 2 2 20 7" xfId="27704"/>
    <cellStyle name="Input [yellow] 2 2 21" xfId="5138"/>
    <cellStyle name="Input [yellow] 2 2 21 2" xfId="27705"/>
    <cellStyle name="Input [yellow] 2 2 21 3" xfId="27706"/>
    <cellStyle name="Input [yellow] 2 2 21 4" xfId="27707"/>
    <cellStyle name="Input [yellow] 2 2 21 5" xfId="27708"/>
    <cellStyle name="Input [yellow] 2 2 21 6" xfId="27709"/>
    <cellStyle name="Input [yellow] 2 2 21 7" xfId="27710"/>
    <cellStyle name="Input [yellow] 2 2 22" xfId="5139"/>
    <cellStyle name="Input [yellow] 2 2 22 2" xfId="27711"/>
    <cellStyle name="Input [yellow] 2 2 22 3" xfId="27712"/>
    <cellStyle name="Input [yellow] 2 2 22 4" xfId="27713"/>
    <cellStyle name="Input [yellow] 2 2 22 5" xfId="27714"/>
    <cellStyle name="Input [yellow] 2 2 22 6" xfId="27715"/>
    <cellStyle name="Input [yellow] 2 2 22 7" xfId="27716"/>
    <cellStyle name="Input [yellow] 2 2 23" xfId="5140"/>
    <cellStyle name="Input [yellow] 2 2 23 2" xfId="27717"/>
    <cellStyle name="Input [yellow] 2 2 23 3" xfId="27718"/>
    <cellStyle name="Input [yellow] 2 2 23 4" xfId="27719"/>
    <cellStyle name="Input [yellow] 2 2 23 5" xfId="27720"/>
    <cellStyle name="Input [yellow] 2 2 23 6" xfId="27721"/>
    <cellStyle name="Input [yellow] 2 2 23 7" xfId="27722"/>
    <cellStyle name="Input [yellow] 2 2 24" xfId="5141"/>
    <cellStyle name="Input [yellow] 2 2 24 2" xfId="27723"/>
    <cellStyle name="Input [yellow] 2 2 24 3" xfId="27724"/>
    <cellStyle name="Input [yellow] 2 2 24 4" xfId="27725"/>
    <cellStyle name="Input [yellow] 2 2 24 5" xfId="27726"/>
    <cellStyle name="Input [yellow] 2 2 24 6" xfId="27727"/>
    <cellStyle name="Input [yellow] 2 2 24 7" xfId="27728"/>
    <cellStyle name="Input [yellow] 2 2 25" xfId="5142"/>
    <cellStyle name="Input [yellow] 2 2 25 2" xfId="27729"/>
    <cellStyle name="Input [yellow] 2 2 25 3" xfId="27730"/>
    <cellStyle name="Input [yellow] 2 2 25 4" xfId="27731"/>
    <cellStyle name="Input [yellow] 2 2 25 5" xfId="27732"/>
    <cellStyle name="Input [yellow] 2 2 25 6" xfId="27733"/>
    <cellStyle name="Input [yellow] 2 2 25 7" xfId="27734"/>
    <cellStyle name="Input [yellow] 2 2 26" xfId="5143"/>
    <cellStyle name="Input [yellow] 2 2 26 2" xfId="27735"/>
    <cellStyle name="Input [yellow] 2 2 26 3" xfId="27736"/>
    <cellStyle name="Input [yellow] 2 2 26 4" xfId="27737"/>
    <cellStyle name="Input [yellow] 2 2 26 5" xfId="27738"/>
    <cellStyle name="Input [yellow] 2 2 26 6" xfId="27739"/>
    <cellStyle name="Input [yellow] 2 2 26 7" xfId="27740"/>
    <cellStyle name="Input [yellow] 2 2 27" xfId="5144"/>
    <cellStyle name="Input [yellow] 2 2 27 2" xfId="27741"/>
    <cellStyle name="Input [yellow] 2 2 27 3" xfId="27742"/>
    <cellStyle name="Input [yellow] 2 2 27 4" xfId="27743"/>
    <cellStyle name="Input [yellow] 2 2 27 5" xfId="27744"/>
    <cellStyle name="Input [yellow] 2 2 27 6" xfId="27745"/>
    <cellStyle name="Input [yellow] 2 2 27 7" xfId="27746"/>
    <cellStyle name="Input [yellow] 2 2 28" xfId="5145"/>
    <cellStyle name="Input [yellow] 2 2 28 2" xfId="27747"/>
    <cellStyle name="Input [yellow] 2 2 28 3" xfId="27748"/>
    <cellStyle name="Input [yellow] 2 2 28 4" xfId="27749"/>
    <cellStyle name="Input [yellow] 2 2 28 5" xfId="27750"/>
    <cellStyle name="Input [yellow] 2 2 28 6" xfId="27751"/>
    <cellStyle name="Input [yellow] 2 2 28 7" xfId="27752"/>
    <cellStyle name="Input [yellow] 2 2 29" xfId="5146"/>
    <cellStyle name="Input [yellow] 2 2 29 2" xfId="27753"/>
    <cellStyle name="Input [yellow] 2 2 29 3" xfId="27754"/>
    <cellStyle name="Input [yellow] 2 2 29 4" xfId="27755"/>
    <cellStyle name="Input [yellow] 2 2 29 5" xfId="27756"/>
    <cellStyle name="Input [yellow] 2 2 29 6" xfId="27757"/>
    <cellStyle name="Input [yellow] 2 2 29 7" xfId="27758"/>
    <cellStyle name="Input [yellow] 2 2 3" xfId="5147"/>
    <cellStyle name="Input [yellow] 2 2 3 10" xfId="27759"/>
    <cellStyle name="Input [yellow] 2 2 3 2" xfId="27760"/>
    <cellStyle name="Input [yellow] 2 2 3 3" xfId="27761"/>
    <cellStyle name="Input [yellow] 2 2 3 4" xfId="27762"/>
    <cellStyle name="Input [yellow] 2 2 3 5" xfId="27763"/>
    <cellStyle name="Input [yellow] 2 2 3 6" xfId="27764"/>
    <cellStyle name="Input [yellow] 2 2 3 7" xfId="27765"/>
    <cellStyle name="Input [yellow] 2 2 3 8" xfId="27766"/>
    <cellStyle name="Input [yellow] 2 2 3 9" xfId="27767"/>
    <cellStyle name="Input [yellow] 2 2 30" xfId="5148"/>
    <cellStyle name="Input [yellow] 2 2 30 2" xfId="27768"/>
    <cellStyle name="Input [yellow] 2 2 30 3" xfId="27769"/>
    <cellStyle name="Input [yellow] 2 2 30 4" xfId="27770"/>
    <cellStyle name="Input [yellow] 2 2 30 5" xfId="27771"/>
    <cellStyle name="Input [yellow] 2 2 30 6" xfId="27772"/>
    <cellStyle name="Input [yellow] 2 2 30 7" xfId="27773"/>
    <cellStyle name="Input [yellow] 2 2 31" xfId="5149"/>
    <cellStyle name="Input [yellow] 2 2 31 2" xfId="27774"/>
    <cellStyle name="Input [yellow] 2 2 31 3" xfId="27775"/>
    <cellStyle name="Input [yellow] 2 2 31 4" xfId="27776"/>
    <cellStyle name="Input [yellow] 2 2 31 5" xfId="27777"/>
    <cellStyle name="Input [yellow] 2 2 31 6" xfId="27778"/>
    <cellStyle name="Input [yellow] 2 2 31 7" xfId="27779"/>
    <cellStyle name="Input [yellow] 2 2 32" xfId="5150"/>
    <cellStyle name="Input [yellow] 2 2 32 2" xfId="27780"/>
    <cellStyle name="Input [yellow] 2 2 32 3" xfId="27781"/>
    <cellStyle name="Input [yellow] 2 2 32 4" xfId="27782"/>
    <cellStyle name="Input [yellow] 2 2 32 5" xfId="27783"/>
    <cellStyle name="Input [yellow] 2 2 32 6" xfId="27784"/>
    <cellStyle name="Input [yellow] 2 2 32 7" xfId="27785"/>
    <cellStyle name="Input [yellow] 2 2 33" xfId="5151"/>
    <cellStyle name="Input [yellow] 2 2 33 2" xfId="27786"/>
    <cellStyle name="Input [yellow] 2 2 33 3" xfId="27787"/>
    <cellStyle name="Input [yellow] 2 2 33 4" xfId="27788"/>
    <cellStyle name="Input [yellow] 2 2 33 5" xfId="27789"/>
    <cellStyle name="Input [yellow] 2 2 33 6" xfId="27790"/>
    <cellStyle name="Input [yellow] 2 2 33 7" xfId="27791"/>
    <cellStyle name="Input [yellow] 2 2 34" xfId="5152"/>
    <cellStyle name="Input [yellow] 2 2 34 2" xfId="27792"/>
    <cellStyle name="Input [yellow] 2 2 34 3" xfId="27793"/>
    <cellStyle name="Input [yellow] 2 2 34 4" xfId="27794"/>
    <cellStyle name="Input [yellow] 2 2 34 5" xfId="27795"/>
    <cellStyle name="Input [yellow] 2 2 34 6" xfId="27796"/>
    <cellStyle name="Input [yellow] 2 2 34 7" xfId="27797"/>
    <cellStyle name="Input [yellow] 2 2 35" xfId="5153"/>
    <cellStyle name="Input [yellow] 2 2 35 2" xfId="27798"/>
    <cellStyle name="Input [yellow] 2 2 35 3" xfId="27799"/>
    <cellStyle name="Input [yellow] 2 2 35 4" xfId="27800"/>
    <cellStyle name="Input [yellow] 2 2 35 5" xfId="27801"/>
    <cellStyle name="Input [yellow] 2 2 35 6" xfId="27802"/>
    <cellStyle name="Input [yellow] 2 2 35 7" xfId="27803"/>
    <cellStyle name="Input [yellow] 2 2 36" xfId="5154"/>
    <cellStyle name="Input [yellow] 2 2 36 2" xfId="27804"/>
    <cellStyle name="Input [yellow] 2 2 36 3" xfId="27805"/>
    <cellStyle name="Input [yellow] 2 2 36 4" xfId="27806"/>
    <cellStyle name="Input [yellow] 2 2 36 5" xfId="27807"/>
    <cellStyle name="Input [yellow] 2 2 36 6" xfId="27808"/>
    <cellStyle name="Input [yellow] 2 2 36 7" xfId="27809"/>
    <cellStyle name="Input [yellow] 2 2 37" xfId="5155"/>
    <cellStyle name="Input [yellow] 2 2 37 2" xfId="27810"/>
    <cellStyle name="Input [yellow] 2 2 37 3" xfId="27811"/>
    <cellStyle name="Input [yellow] 2 2 37 4" xfId="27812"/>
    <cellStyle name="Input [yellow] 2 2 37 5" xfId="27813"/>
    <cellStyle name="Input [yellow] 2 2 37 6" xfId="27814"/>
    <cellStyle name="Input [yellow] 2 2 37 7" xfId="27815"/>
    <cellStyle name="Input [yellow] 2 2 38" xfId="5156"/>
    <cellStyle name="Input [yellow] 2 2 38 2" xfId="27816"/>
    <cellStyle name="Input [yellow] 2 2 38 3" xfId="27817"/>
    <cellStyle name="Input [yellow] 2 2 38 4" xfId="27818"/>
    <cellStyle name="Input [yellow] 2 2 38 5" xfId="27819"/>
    <cellStyle name="Input [yellow] 2 2 38 6" xfId="27820"/>
    <cellStyle name="Input [yellow] 2 2 38 7" xfId="27821"/>
    <cellStyle name="Input [yellow] 2 2 39" xfId="5157"/>
    <cellStyle name="Input [yellow] 2 2 39 2" xfId="27822"/>
    <cellStyle name="Input [yellow] 2 2 39 3" xfId="27823"/>
    <cellStyle name="Input [yellow] 2 2 39 4" xfId="27824"/>
    <cellStyle name="Input [yellow] 2 2 39 5" xfId="27825"/>
    <cellStyle name="Input [yellow] 2 2 39 6" xfId="27826"/>
    <cellStyle name="Input [yellow] 2 2 39 7" xfId="27827"/>
    <cellStyle name="Input [yellow] 2 2 4" xfId="5158"/>
    <cellStyle name="Input [yellow] 2 2 4 10" xfId="27828"/>
    <cellStyle name="Input [yellow] 2 2 4 2" xfId="27829"/>
    <cellStyle name="Input [yellow] 2 2 4 3" xfId="27830"/>
    <cellStyle name="Input [yellow] 2 2 4 4" xfId="27831"/>
    <cellStyle name="Input [yellow] 2 2 4 5" xfId="27832"/>
    <cellStyle name="Input [yellow] 2 2 4 6" xfId="27833"/>
    <cellStyle name="Input [yellow] 2 2 4 7" xfId="27834"/>
    <cellStyle name="Input [yellow] 2 2 4 8" xfId="27835"/>
    <cellStyle name="Input [yellow] 2 2 4 9" xfId="27836"/>
    <cellStyle name="Input [yellow] 2 2 40" xfId="5159"/>
    <cellStyle name="Input [yellow] 2 2 40 2" xfId="27837"/>
    <cellStyle name="Input [yellow] 2 2 40 3" xfId="27838"/>
    <cellStyle name="Input [yellow] 2 2 40 4" xfId="27839"/>
    <cellStyle name="Input [yellow] 2 2 40 5" xfId="27840"/>
    <cellStyle name="Input [yellow] 2 2 40 6" xfId="27841"/>
    <cellStyle name="Input [yellow] 2 2 40 7" xfId="27842"/>
    <cellStyle name="Input [yellow] 2 2 41" xfId="5160"/>
    <cellStyle name="Input [yellow] 2 2 41 2" xfId="27843"/>
    <cellStyle name="Input [yellow] 2 2 41 3" xfId="27844"/>
    <cellStyle name="Input [yellow] 2 2 41 4" xfId="27845"/>
    <cellStyle name="Input [yellow] 2 2 41 5" xfId="27846"/>
    <cellStyle name="Input [yellow] 2 2 41 6" xfId="27847"/>
    <cellStyle name="Input [yellow] 2 2 41 7" xfId="27848"/>
    <cellStyle name="Input [yellow] 2 2 42" xfId="5161"/>
    <cellStyle name="Input [yellow] 2 2 42 2" xfId="27849"/>
    <cellStyle name="Input [yellow] 2 2 42 3" xfId="27850"/>
    <cellStyle name="Input [yellow] 2 2 42 4" xfId="27851"/>
    <cellStyle name="Input [yellow] 2 2 42 5" xfId="27852"/>
    <cellStyle name="Input [yellow] 2 2 42 6" xfId="27853"/>
    <cellStyle name="Input [yellow] 2 2 42 7" xfId="27854"/>
    <cellStyle name="Input [yellow] 2 2 43" xfId="5162"/>
    <cellStyle name="Input [yellow] 2 2 43 2" xfId="27855"/>
    <cellStyle name="Input [yellow] 2 2 43 3" xfId="27856"/>
    <cellStyle name="Input [yellow] 2 2 43 4" xfId="27857"/>
    <cellStyle name="Input [yellow] 2 2 43 5" xfId="27858"/>
    <cellStyle name="Input [yellow] 2 2 43 6" xfId="27859"/>
    <cellStyle name="Input [yellow] 2 2 43 7" xfId="27860"/>
    <cellStyle name="Input [yellow] 2 2 44" xfId="5163"/>
    <cellStyle name="Input [yellow] 2 2 44 2" xfId="27861"/>
    <cellStyle name="Input [yellow] 2 2 44 3" xfId="27862"/>
    <cellStyle name="Input [yellow] 2 2 44 4" xfId="27863"/>
    <cellStyle name="Input [yellow] 2 2 44 5" xfId="27864"/>
    <cellStyle name="Input [yellow] 2 2 44 6" xfId="27865"/>
    <cellStyle name="Input [yellow] 2 2 44 7" xfId="27866"/>
    <cellStyle name="Input [yellow] 2 2 45" xfId="5164"/>
    <cellStyle name="Input [yellow] 2 2 45 2" xfId="27867"/>
    <cellStyle name="Input [yellow] 2 2 45 3" xfId="27868"/>
    <cellStyle name="Input [yellow] 2 2 45 4" xfId="27869"/>
    <cellStyle name="Input [yellow] 2 2 45 5" xfId="27870"/>
    <cellStyle name="Input [yellow] 2 2 45 6" xfId="27871"/>
    <cellStyle name="Input [yellow] 2 2 45 7" xfId="27872"/>
    <cellStyle name="Input [yellow] 2 2 46" xfId="5165"/>
    <cellStyle name="Input [yellow] 2 2 46 2" xfId="27873"/>
    <cellStyle name="Input [yellow] 2 2 46 3" xfId="27874"/>
    <cellStyle name="Input [yellow] 2 2 46 4" xfId="27875"/>
    <cellStyle name="Input [yellow] 2 2 46 5" xfId="27876"/>
    <cellStyle name="Input [yellow] 2 2 46 6" xfId="27877"/>
    <cellStyle name="Input [yellow] 2 2 46 7" xfId="27878"/>
    <cellStyle name="Input [yellow] 2 2 47" xfId="5166"/>
    <cellStyle name="Input [yellow] 2 2 47 2" xfId="27879"/>
    <cellStyle name="Input [yellow] 2 2 47 3" xfId="27880"/>
    <cellStyle name="Input [yellow] 2 2 47 4" xfId="27881"/>
    <cellStyle name="Input [yellow] 2 2 47 5" xfId="27882"/>
    <cellStyle name="Input [yellow] 2 2 47 6" xfId="27883"/>
    <cellStyle name="Input [yellow] 2 2 47 7" xfId="27884"/>
    <cellStyle name="Input [yellow] 2 2 48" xfId="5167"/>
    <cellStyle name="Input [yellow] 2 2 48 2" xfId="27885"/>
    <cellStyle name="Input [yellow] 2 2 48 3" xfId="27886"/>
    <cellStyle name="Input [yellow] 2 2 48 4" xfId="27887"/>
    <cellStyle name="Input [yellow] 2 2 48 5" xfId="27888"/>
    <cellStyle name="Input [yellow] 2 2 48 6" xfId="27889"/>
    <cellStyle name="Input [yellow] 2 2 48 7" xfId="27890"/>
    <cellStyle name="Input [yellow] 2 2 49" xfId="5168"/>
    <cellStyle name="Input [yellow] 2 2 49 2" xfId="27891"/>
    <cellStyle name="Input [yellow] 2 2 49 3" xfId="27892"/>
    <cellStyle name="Input [yellow] 2 2 49 4" xfId="27893"/>
    <cellStyle name="Input [yellow] 2 2 49 5" xfId="27894"/>
    <cellStyle name="Input [yellow] 2 2 49 6" xfId="27895"/>
    <cellStyle name="Input [yellow] 2 2 49 7" xfId="27896"/>
    <cellStyle name="Input [yellow] 2 2 5" xfId="5169"/>
    <cellStyle name="Input [yellow] 2 2 5 2" xfId="27897"/>
    <cellStyle name="Input [yellow] 2 2 5 3" xfId="27898"/>
    <cellStyle name="Input [yellow] 2 2 5 4" xfId="27899"/>
    <cellStyle name="Input [yellow] 2 2 5 5" xfId="27900"/>
    <cellStyle name="Input [yellow] 2 2 5 6" xfId="27901"/>
    <cellStyle name="Input [yellow] 2 2 5 7" xfId="27902"/>
    <cellStyle name="Input [yellow] 2 2 50" xfId="5170"/>
    <cellStyle name="Input [yellow] 2 2 50 2" xfId="27903"/>
    <cellStyle name="Input [yellow] 2 2 50 3" xfId="27904"/>
    <cellStyle name="Input [yellow] 2 2 50 4" xfId="27905"/>
    <cellStyle name="Input [yellow] 2 2 50 5" xfId="27906"/>
    <cellStyle name="Input [yellow] 2 2 50 6" xfId="27907"/>
    <cellStyle name="Input [yellow] 2 2 50 7" xfId="27908"/>
    <cellStyle name="Input [yellow] 2 2 51" xfId="5171"/>
    <cellStyle name="Input [yellow] 2 2 51 2" xfId="27909"/>
    <cellStyle name="Input [yellow] 2 2 51 3" xfId="27910"/>
    <cellStyle name="Input [yellow] 2 2 51 4" xfId="27911"/>
    <cellStyle name="Input [yellow] 2 2 51 5" xfId="27912"/>
    <cellStyle name="Input [yellow] 2 2 51 6" xfId="27913"/>
    <cellStyle name="Input [yellow] 2 2 51 7" xfId="27914"/>
    <cellStyle name="Input [yellow] 2 2 52" xfId="5172"/>
    <cellStyle name="Input [yellow] 2 2 52 2" xfId="27915"/>
    <cellStyle name="Input [yellow] 2 2 52 3" xfId="27916"/>
    <cellStyle name="Input [yellow] 2 2 52 4" xfId="27917"/>
    <cellStyle name="Input [yellow] 2 2 52 5" xfId="27918"/>
    <cellStyle name="Input [yellow] 2 2 52 6" xfId="27919"/>
    <cellStyle name="Input [yellow] 2 2 52 7" xfId="27920"/>
    <cellStyle name="Input [yellow] 2 2 53" xfId="5173"/>
    <cellStyle name="Input [yellow] 2 2 53 2" xfId="27921"/>
    <cellStyle name="Input [yellow] 2 2 53 3" xfId="27922"/>
    <cellStyle name="Input [yellow] 2 2 53 4" xfId="27923"/>
    <cellStyle name="Input [yellow] 2 2 53 5" xfId="27924"/>
    <cellStyle name="Input [yellow] 2 2 53 6" xfId="27925"/>
    <cellStyle name="Input [yellow] 2 2 53 7" xfId="27926"/>
    <cellStyle name="Input [yellow] 2 2 54" xfId="5174"/>
    <cellStyle name="Input [yellow] 2 2 54 2" xfId="27927"/>
    <cellStyle name="Input [yellow] 2 2 54 3" xfId="27928"/>
    <cellStyle name="Input [yellow] 2 2 54 4" xfId="27929"/>
    <cellStyle name="Input [yellow] 2 2 54 5" xfId="27930"/>
    <cellStyle name="Input [yellow] 2 2 54 6" xfId="27931"/>
    <cellStyle name="Input [yellow] 2 2 54 7" xfId="27932"/>
    <cellStyle name="Input [yellow] 2 2 55" xfId="5175"/>
    <cellStyle name="Input [yellow] 2 2 55 2" xfId="27933"/>
    <cellStyle name="Input [yellow] 2 2 55 3" xfId="27934"/>
    <cellStyle name="Input [yellow] 2 2 55 4" xfId="27935"/>
    <cellStyle name="Input [yellow] 2 2 55 5" xfId="27936"/>
    <cellStyle name="Input [yellow] 2 2 55 6" xfId="27937"/>
    <cellStyle name="Input [yellow] 2 2 55 7" xfId="27938"/>
    <cellStyle name="Input [yellow] 2 2 56" xfId="5176"/>
    <cellStyle name="Input [yellow] 2 2 56 2" xfId="27939"/>
    <cellStyle name="Input [yellow] 2 2 56 3" xfId="27940"/>
    <cellStyle name="Input [yellow] 2 2 56 4" xfId="27941"/>
    <cellStyle name="Input [yellow] 2 2 56 5" xfId="27942"/>
    <cellStyle name="Input [yellow] 2 2 56 6" xfId="27943"/>
    <cellStyle name="Input [yellow] 2 2 56 7" xfId="27944"/>
    <cellStyle name="Input [yellow] 2 2 57" xfId="5177"/>
    <cellStyle name="Input [yellow] 2 2 57 2" xfId="27945"/>
    <cellStyle name="Input [yellow] 2 2 57 3" xfId="27946"/>
    <cellStyle name="Input [yellow] 2 2 57 4" xfId="27947"/>
    <cellStyle name="Input [yellow] 2 2 57 5" xfId="27948"/>
    <cellStyle name="Input [yellow] 2 2 57 6" xfId="27949"/>
    <cellStyle name="Input [yellow] 2 2 57 7" xfId="27950"/>
    <cellStyle name="Input [yellow] 2 2 58" xfId="5178"/>
    <cellStyle name="Input [yellow] 2 2 58 2" xfId="27951"/>
    <cellStyle name="Input [yellow] 2 2 58 3" xfId="27952"/>
    <cellStyle name="Input [yellow] 2 2 58 4" xfId="27953"/>
    <cellStyle name="Input [yellow] 2 2 58 5" xfId="27954"/>
    <cellStyle name="Input [yellow] 2 2 58 6" xfId="27955"/>
    <cellStyle name="Input [yellow] 2 2 58 7" xfId="27956"/>
    <cellStyle name="Input [yellow] 2 2 59" xfId="5179"/>
    <cellStyle name="Input [yellow] 2 2 59 2" xfId="27957"/>
    <cellStyle name="Input [yellow] 2 2 59 3" xfId="27958"/>
    <cellStyle name="Input [yellow] 2 2 59 4" xfId="27959"/>
    <cellStyle name="Input [yellow] 2 2 59 5" xfId="27960"/>
    <cellStyle name="Input [yellow] 2 2 59 6" xfId="27961"/>
    <cellStyle name="Input [yellow] 2 2 59 7" xfId="27962"/>
    <cellStyle name="Input [yellow] 2 2 6" xfId="5180"/>
    <cellStyle name="Input [yellow] 2 2 6 2" xfId="27963"/>
    <cellStyle name="Input [yellow] 2 2 6 3" xfId="27964"/>
    <cellStyle name="Input [yellow] 2 2 6 4" xfId="27965"/>
    <cellStyle name="Input [yellow] 2 2 6 5" xfId="27966"/>
    <cellStyle name="Input [yellow] 2 2 6 6" xfId="27967"/>
    <cellStyle name="Input [yellow] 2 2 6 7" xfId="27968"/>
    <cellStyle name="Input [yellow] 2 2 60" xfId="5181"/>
    <cellStyle name="Input [yellow] 2 2 60 2" xfId="27969"/>
    <cellStyle name="Input [yellow] 2 2 60 3" xfId="27970"/>
    <cellStyle name="Input [yellow] 2 2 60 4" xfId="27971"/>
    <cellStyle name="Input [yellow] 2 2 60 5" xfId="27972"/>
    <cellStyle name="Input [yellow] 2 2 60 6" xfId="27973"/>
    <cellStyle name="Input [yellow] 2 2 60 7" xfId="27974"/>
    <cellStyle name="Input [yellow] 2 2 61" xfId="5182"/>
    <cellStyle name="Input [yellow] 2 2 61 2" xfId="27975"/>
    <cellStyle name="Input [yellow] 2 2 61 3" xfId="27976"/>
    <cellStyle name="Input [yellow] 2 2 61 4" xfId="27977"/>
    <cellStyle name="Input [yellow] 2 2 61 5" xfId="27978"/>
    <cellStyle name="Input [yellow] 2 2 61 6" xfId="27979"/>
    <cellStyle name="Input [yellow] 2 2 61 7" xfId="27980"/>
    <cellStyle name="Input [yellow] 2 2 62" xfId="5183"/>
    <cellStyle name="Input [yellow] 2 2 62 2" xfId="27981"/>
    <cellStyle name="Input [yellow] 2 2 62 3" xfId="27982"/>
    <cellStyle name="Input [yellow] 2 2 62 4" xfId="27983"/>
    <cellStyle name="Input [yellow] 2 2 62 5" xfId="27984"/>
    <cellStyle name="Input [yellow] 2 2 62 6" xfId="27985"/>
    <cellStyle name="Input [yellow] 2 2 62 7" xfId="27986"/>
    <cellStyle name="Input [yellow] 2 2 63" xfId="5184"/>
    <cellStyle name="Input [yellow] 2 2 63 2" xfId="27987"/>
    <cellStyle name="Input [yellow] 2 2 63 3" xfId="27988"/>
    <cellStyle name="Input [yellow] 2 2 63 4" xfId="27989"/>
    <cellStyle name="Input [yellow] 2 2 63 5" xfId="27990"/>
    <cellStyle name="Input [yellow] 2 2 63 6" xfId="27991"/>
    <cellStyle name="Input [yellow] 2 2 63 7" xfId="27992"/>
    <cellStyle name="Input [yellow] 2 2 64" xfId="5185"/>
    <cellStyle name="Input [yellow] 2 2 64 2" xfId="27993"/>
    <cellStyle name="Input [yellow] 2 2 64 3" xfId="27994"/>
    <cellStyle name="Input [yellow] 2 2 64 4" xfId="27995"/>
    <cellStyle name="Input [yellow] 2 2 64 5" xfId="27996"/>
    <cellStyle name="Input [yellow] 2 2 64 6" xfId="27997"/>
    <cellStyle name="Input [yellow] 2 2 64 7" xfId="27998"/>
    <cellStyle name="Input [yellow] 2 2 65" xfId="5186"/>
    <cellStyle name="Input [yellow] 2 2 65 2" xfId="27999"/>
    <cellStyle name="Input [yellow] 2 2 65 3" xfId="28000"/>
    <cellStyle name="Input [yellow] 2 2 65 4" xfId="28001"/>
    <cellStyle name="Input [yellow] 2 2 65 5" xfId="28002"/>
    <cellStyle name="Input [yellow] 2 2 65 6" xfId="28003"/>
    <cellStyle name="Input [yellow] 2 2 65 7" xfId="28004"/>
    <cellStyle name="Input [yellow] 2 2 66" xfId="5187"/>
    <cellStyle name="Input [yellow] 2 2 66 2" xfId="28005"/>
    <cellStyle name="Input [yellow] 2 2 66 3" xfId="28006"/>
    <cellStyle name="Input [yellow] 2 2 66 4" xfId="28007"/>
    <cellStyle name="Input [yellow] 2 2 66 5" xfId="28008"/>
    <cellStyle name="Input [yellow] 2 2 66 6" xfId="28009"/>
    <cellStyle name="Input [yellow] 2 2 66 7" xfId="28010"/>
    <cellStyle name="Input [yellow] 2 2 67" xfId="5188"/>
    <cellStyle name="Input [yellow] 2 2 67 2" xfId="28011"/>
    <cellStyle name="Input [yellow] 2 2 67 3" xfId="28012"/>
    <cellStyle name="Input [yellow] 2 2 67 4" xfId="28013"/>
    <cellStyle name="Input [yellow] 2 2 67 5" xfId="28014"/>
    <cellStyle name="Input [yellow] 2 2 67 6" xfId="28015"/>
    <cellStyle name="Input [yellow] 2 2 67 7" xfId="28016"/>
    <cellStyle name="Input [yellow] 2 2 68" xfId="5189"/>
    <cellStyle name="Input [yellow] 2 2 68 2" xfId="28017"/>
    <cellStyle name="Input [yellow] 2 2 68 3" xfId="28018"/>
    <cellStyle name="Input [yellow] 2 2 68 4" xfId="28019"/>
    <cellStyle name="Input [yellow] 2 2 68 5" xfId="28020"/>
    <cellStyle name="Input [yellow] 2 2 68 6" xfId="28021"/>
    <cellStyle name="Input [yellow] 2 2 68 7" xfId="28022"/>
    <cellStyle name="Input [yellow] 2 2 69" xfId="5190"/>
    <cellStyle name="Input [yellow] 2 2 69 2" xfId="28023"/>
    <cellStyle name="Input [yellow] 2 2 69 3" xfId="28024"/>
    <cellStyle name="Input [yellow] 2 2 69 4" xfId="28025"/>
    <cellStyle name="Input [yellow] 2 2 69 5" xfId="28026"/>
    <cellStyle name="Input [yellow] 2 2 69 6" xfId="28027"/>
    <cellStyle name="Input [yellow] 2 2 69 7" xfId="28028"/>
    <cellStyle name="Input [yellow] 2 2 7" xfId="5191"/>
    <cellStyle name="Input [yellow] 2 2 7 2" xfId="28029"/>
    <cellStyle name="Input [yellow] 2 2 7 3" xfId="28030"/>
    <cellStyle name="Input [yellow] 2 2 7 4" xfId="28031"/>
    <cellStyle name="Input [yellow] 2 2 7 5" xfId="28032"/>
    <cellStyle name="Input [yellow] 2 2 7 6" xfId="28033"/>
    <cellStyle name="Input [yellow] 2 2 7 7" xfId="28034"/>
    <cellStyle name="Input [yellow] 2 2 70" xfId="5192"/>
    <cellStyle name="Input [yellow] 2 2 70 2" xfId="28035"/>
    <cellStyle name="Input [yellow] 2 2 70 3" xfId="28036"/>
    <cellStyle name="Input [yellow] 2 2 70 4" xfId="28037"/>
    <cellStyle name="Input [yellow] 2 2 70 5" xfId="28038"/>
    <cellStyle name="Input [yellow] 2 2 70 6" xfId="28039"/>
    <cellStyle name="Input [yellow] 2 2 70 7" xfId="28040"/>
    <cellStyle name="Input [yellow] 2 2 71" xfId="5193"/>
    <cellStyle name="Input [yellow] 2 2 71 2" xfId="28041"/>
    <cellStyle name="Input [yellow] 2 2 71 3" xfId="28042"/>
    <cellStyle name="Input [yellow] 2 2 71 4" xfId="28043"/>
    <cellStyle name="Input [yellow] 2 2 71 5" xfId="28044"/>
    <cellStyle name="Input [yellow] 2 2 71 6" xfId="28045"/>
    <cellStyle name="Input [yellow] 2 2 71 7" xfId="28046"/>
    <cellStyle name="Input [yellow] 2 2 72" xfId="5194"/>
    <cellStyle name="Input [yellow] 2 2 72 2" xfId="28047"/>
    <cellStyle name="Input [yellow] 2 2 72 3" xfId="28048"/>
    <cellStyle name="Input [yellow] 2 2 72 4" xfId="28049"/>
    <cellStyle name="Input [yellow] 2 2 72 5" xfId="28050"/>
    <cellStyle name="Input [yellow] 2 2 72 6" xfId="28051"/>
    <cellStyle name="Input [yellow] 2 2 72 7" xfId="28052"/>
    <cellStyle name="Input [yellow] 2 2 73" xfId="5195"/>
    <cellStyle name="Input [yellow] 2 2 73 2" xfId="28053"/>
    <cellStyle name="Input [yellow] 2 2 73 3" xfId="28054"/>
    <cellStyle name="Input [yellow] 2 2 73 4" xfId="28055"/>
    <cellStyle name="Input [yellow] 2 2 73 5" xfId="28056"/>
    <cellStyle name="Input [yellow] 2 2 73 6" xfId="28057"/>
    <cellStyle name="Input [yellow] 2 2 73 7" xfId="28058"/>
    <cellStyle name="Input [yellow] 2 2 74" xfId="5196"/>
    <cellStyle name="Input [yellow] 2 2 74 2" xfId="28059"/>
    <cellStyle name="Input [yellow] 2 2 74 3" xfId="28060"/>
    <cellStyle name="Input [yellow] 2 2 74 4" xfId="28061"/>
    <cellStyle name="Input [yellow] 2 2 74 5" xfId="28062"/>
    <cellStyle name="Input [yellow] 2 2 74 6" xfId="28063"/>
    <cellStyle name="Input [yellow] 2 2 74 7" xfId="28064"/>
    <cellStyle name="Input [yellow] 2 2 75" xfId="5197"/>
    <cellStyle name="Input [yellow] 2 2 75 2" xfId="28065"/>
    <cellStyle name="Input [yellow] 2 2 75 3" xfId="28066"/>
    <cellStyle name="Input [yellow] 2 2 75 4" xfId="28067"/>
    <cellStyle name="Input [yellow] 2 2 75 5" xfId="28068"/>
    <cellStyle name="Input [yellow] 2 2 75 6" xfId="28069"/>
    <cellStyle name="Input [yellow] 2 2 75 7" xfId="28070"/>
    <cellStyle name="Input [yellow] 2 2 76" xfId="5198"/>
    <cellStyle name="Input [yellow] 2 2 76 2" xfId="28071"/>
    <cellStyle name="Input [yellow] 2 2 76 3" xfId="28072"/>
    <cellStyle name="Input [yellow] 2 2 76 4" xfId="28073"/>
    <cellStyle name="Input [yellow] 2 2 76 5" xfId="28074"/>
    <cellStyle name="Input [yellow] 2 2 76 6" xfId="28075"/>
    <cellStyle name="Input [yellow] 2 2 76 7" xfId="28076"/>
    <cellStyle name="Input [yellow] 2 2 77" xfId="5199"/>
    <cellStyle name="Input [yellow] 2 2 77 2" xfId="28077"/>
    <cellStyle name="Input [yellow] 2 2 77 3" xfId="28078"/>
    <cellStyle name="Input [yellow] 2 2 77 4" xfId="28079"/>
    <cellStyle name="Input [yellow] 2 2 77 5" xfId="28080"/>
    <cellStyle name="Input [yellow] 2 2 77 6" xfId="28081"/>
    <cellStyle name="Input [yellow] 2 2 77 7" xfId="28082"/>
    <cellStyle name="Input [yellow] 2 2 78" xfId="5200"/>
    <cellStyle name="Input [yellow] 2 2 78 2" xfId="28083"/>
    <cellStyle name="Input [yellow] 2 2 78 3" xfId="28084"/>
    <cellStyle name="Input [yellow] 2 2 78 4" xfId="28085"/>
    <cellStyle name="Input [yellow] 2 2 78 5" xfId="28086"/>
    <cellStyle name="Input [yellow] 2 2 78 6" xfId="28087"/>
    <cellStyle name="Input [yellow] 2 2 78 7" xfId="28088"/>
    <cellStyle name="Input [yellow] 2 2 79" xfId="5201"/>
    <cellStyle name="Input [yellow] 2 2 79 2" xfId="28089"/>
    <cellStyle name="Input [yellow] 2 2 79 3" xfId="28090"/>
    <cellStyle name="Input [yellow] 2 2 79 4" xfId="28091"/>
    <cellStyle name="Input [yellow] 2 2 79 5" xfId="28092"/>
    <cellStyle name="Input [yellow] 2 2 79 6" xfId="28093"/>
    <cellStyle name="Input [yellow] 2 2 79 7" xfId="28094"/>
    <cellStyle name="Input [yellow] 2 2 8" xfId="5202"/>
    <cellStyle name="Input [yellow] 2 2 8 2" xfId="28095"/>
    <cellStyle name="Input [yellow] 2 2 8 3" xfId="28096"/>
    <cellStyle name="Input [yellow] 2 2 8 4" xfId="28097"/>
    <cellStyle name="Input [yellow] 2 2 8 5" xfId="28098"/>
    <cellStyle name="Input [yellow] 2 2 8 6" xfId="28099"/>
    <cellStyle name="Input [yellow] 2 2 8 7" xfId="28100"/>
    <cellStyle name="Input [yellow] 2 2 80" xfId="5203"/>
    <cellStyle name="Input [yellow] 2 2 80 2" xfId="28101"/>
    <cellStyle name="Input [yellow] 2 2 80 3" xfId="28102"/>
    <cellStyle name="Input [yellow] 2 2 80 4" xfId="28103"/>
    <cellStyle name="Input [yellow] 2 2 80 5" xfId="28104"/>
    <cellStyle name="Input [yellow] 2 2 80 6" xfId="28105"/>
    <cellStyle name="Input [yellow] 2 2 80 7" xfId="28106"/>
    <cellStyle name="Input [yellow] 2 2 81" xfId="5204"/>
    <cellStyle name="Input [yellow] 2 2 81 2" xfId="28107"/>
    <cellStyle name="Input [yellow] 2 2 81 3" xfId="28108"/>
    <cellStyle name="Input [yellow] 2 2 81 4" xfId="28109"/>
    <cellStyle name="Input [yellow] 2 2 81 5" xfId="28110"/>
    <cellStyle name="Input [yellow] 2 2 81 6" xfId="28111"/>
    <cellStyle name="Input [yellow] 2 2 81 7" xfId="28112"/>
    <cellStyle name="Input [yellow] 2 2 82" xfId="5205"/>
    <cellStyle name="Input [yellow] 2 2 82 2" xfId="28113"/>
    <cellStyle name="Input [yellow] 2 2 82 3" xfId="28114"/>
    <cellStyle name="Input [yellow] 2 2 82 4" xfId="28115"/>
    <cellStyle name="Input [yellow] 2 2 82 5" xfId="28116"/>
    <cellStyle name="Input [yellow] 2 2 82 6" xfId="28117"/>
    <cellStyle name="Input [yellow] 2 2 82 7" xfId="28118"/>
    <cellStyle name="Input [yellow] 2 2 83" xfId="5206"/>
    <cellStyle name="Input [yellow] 2 2 83 2" xfId="28119"/>
    <cellStyle name="Input [yellow] 2 2 83 3" xfId="28120"/>
    <cellStyle name="Input [yellow] 2 2 83 4" xfId="28121"/>
    <cellStyle name="Input [yellow] 2 2 83 5" xfId="28122"/>
    <cellStyle name="Input [yellow] 2 2 83 6" xfId="28123"/>
    <cellStyle name="Input [yellow] 2 2 83 7" xfId="28124"/>
    <cellStyle name="Input [yellow] 2 2 84" xfId="5207"/>
    <cellStyle name="Input [yellow] 2 2 84 2" xfId="28125"/>
    <cellStyle name="Input [yellow] 2 2 84 3" xfId="28126"/>
    <cellStyle name="Input [yellow] 2 2 84 4" xfId="28127"/>
    <cellStyle name="Input [yellow] 2 2 84 5" xfId="28128"/>
    <cellStyle name="Input [yellow] 2 2 84 6" xfId="28129"/>
    <cellStyle name="Input [yellow] 2 2 84 7" xfId="28130"/>
    <cellStyle name="Input [yellow] 2 2 85" xfId="5208"/>
    <cellStyle name="Input [yellow] 2 2 85 2" xfId="28131"/>
    <cellStyle name="Input [yellow] 2 2 85 3" xfId="28132"/>
    <cellStyle name="Input [yellow] 2 2 85 4" xfId="28133"/>
    <cellStyle name="Input [yellow] 2 2 85 5" xfId="28134"/>
    <cellStyle name="Input [yellow] 2 2 85 6" xfId="28135"/>
    <cellStyle name="Input [yellow] 2 2 85 7" xfId="28136"/>
    <cellStyle name="Input [yellow] 2 2 86" xfId="5209"/>
    <cellStyle name="Input [yellow] 2 2 86 2" xfId="28137"/>
    <cellStyle name="Input [yellow] 2 2 86 3" xfId="28138"/>
    <cellStyle name="Input [yellow] 2 2 86 4" xfId="28139"/>
    <cellStyle name="Input [yellow] 2 2 86 5" xfId="28140"/>
    <cellStyle name="Input [yellow] 2 2 86 6" xfId="28141"/>
    <cellStyle name="Input [yellow] 2 2 86 7" xfId="28142"/>
    <cellStyle name="Input [yellow] 2 2 87" xfId="5210"/>
    <cellStyle name="Input [yellow] 2 2 87 2" xfId="28143"/>
    <cellStyle name="Input [yellow] 2 2 87 3" xfId="28144"/>
    <cellStyle name="Input [yellow] 2 2 87 4" xfId="28145"/>
    <cellStyle name="Input [yellow] 2 2 87 5" xfId="28146"/>
    <cellStyle name="Input [yellow] 2 2 87 6" xfId="28147"/>
    <cellStyle name="Input [yellow] 2 2 87 7" xfId="28148"/>
    <cellStyle name="Input [yellow] 2 2 88" xfId="5211"/>
    <cellStyle name="Input [yellow] 2 2 88 2" xfId="28149"/>
    <cellStyle name="Input [yellow] 2 2 88 3" xfId="28150"/>
    <cellStyle name="Input [yellow] 2 2 88 4" xfId="28151"/>
    <cellStyle name="Input [yellow] 2 2 88 5" xfId="28152"/>
    <cellStyle name="Input [yellow] 2 2 88 6" xfId="28153"/>
    <cellStyle name="Input [yellow] 2 2 88 7" xfId="28154"/>
    <cellStyle name="Input [yellow] 2 2 89" xfId="5212"/>
    <cellStyle name="Input [yellow] 2 2 89 2" xfId="28155"/>
    <cellStyle name="Input [yellow] 2 2 89 3" xfId="28156"/>
    <cellStyle name="Input [yellow] 2 2 89 4" xfId="28157"/>
    <cellStyle name="Input [yellow] 2 2 89 5" xfId="28158"/>
    <cellStyle name="Input [yellow] 2 2 89 6" xfId="28159"/>
    <cellStyle name="Input [yellow] 2 2 89 7" xfId="28160"/>
    <cellStyle name="Input [yellow] 2 2 9" xfId="5213"/>
    <cellStyle name="Input [yellow] 2 2 9 2" xfId="28161"/>
    <cellStyle name="Input [yellow] 2 2 9 3" xfId="28162"/>
    <cellStyle name="Input [yellow] 2 2 9 4" xfId="28163"/>
    <cellStyle name="Input [yellow] 2 2 9 5" xfId="28164"/>
    <cellStyle name="Input [yellow] 2 2 9 6" xfId="28165"/>
    <cellStyle name="Input [yellow] 2 2 9 7" xfId="28166"/>
    <cellStyle name="Input [yellow] 2 2 90" xfId="5214"/>
    <cellStyle name="Input [yellow] 2 2 90 2" xfId="28167"/>
    <cellStyle name="Input [yellow] 2 2 90 3" xfId="28168"/>
    <cellStyle name="Input [yellow] 2 2 90 4" xfId="28169"/>
    <cellStyle name="Input [yellow] 2 2 90 5" xfId="28170"/>
    <cellStyle name="Input [yellow] 2 2 90 6" xfId="28171"/>
    <cellStyle name="Input [yellow] 2 2 90 7" xfId="28172"/>
    <cellStyle name="Input [yellow] 2 2 91" xfId="5215"/>
    <cellStyle name="Input [yellow] 2 2 91 2" xfId="28173"/>
    <cellStyle name="Input [yellow] 2 2 91 3" xfId="28174"/>
    <cellStyle name="Input [yellow] 2 2 91 4" xfId="28175"/>
    <cellStyle name="Input [yellow] 2 2 91 5" xfId="28176"/>
    <cellStyle name="Input [yellow] 2 2 91 6" xfId="28177"/>
    <cellStyle name="Input [yellow] 2 2 91 7" xfId="28178"/>
    <cellStyle name="Input [yellow] 2 2 92" xfId="5216"/>
    <cellStyle name="Input [yellow] 2 2 92 2" xfId="28179"/>
    <cellStyle name="Input [yellow] 2 2 92 3" xfId="28180"/>
    <cellStyle name="Input [yellow] 2 2 92 4" xfId="28181"/>
    <cellStyle name="Input [yellow] 2 2 92 5" xfId="28182"/>
    <cellStyle name="Input [yellow] 2 2 92 6" xfId="28183"/>
    <cellStyle name="Input [yellow] 2 2 92 7" xfId="28184"/>
    <cellStyle name="Input [yellow] 2 2 93" xfId="5217"/>
    <cellStyle name="Input [yellow] 2 2 93 2" xfId="28185"/>
    <cellStyle name="Input [yellow] 2 2 93 3" xfId="28186"/>
    <cellStyle name="Input [yellow] 2 2 93 4" xfId="28187"/>
    <cellStyle name="Input [yellow] 2 2 93 5" xfId="28188"/>
    <cellStyle name="Input [yellow] 2 2 93 6" xfId="28189"/>
    <cellStyle name="Input [yellow] 2 2 94" xfId="12185"/>
    <cellStyle name="Input [yellow] 2 2 95" xfId="28190"/>
    <cellStyle name="Input [yellow] 2 2 96" xfId="28191"/>
    <cellStyle name="Input [yellow] 2 2 97" xfId="28192"/>
    <cellStyle name="Input [yellow] 2 2 98" xfId="28193"/>
    <cellStyle name="Input [yellow] 2 2 99" xfId="28194"/>
    <cellStyle name="Input [yellow] 2 20" xfId="5218"/>
    <cellStyle name="Input [yellow] 2 20 2" xfId="28195"/>
    <cellStyle name="Input [yellow] 2 20 3" xfId="28196"/>
    <cellStyle name="Input [yellow] 2 20 4" xfId="28197"/>
    <cellStyle name="Input [yellow] 2 20 5" xfId="28198"/>
    <cellStyle name="Input [yellow] 2 20 6" xfId="28199"/>
    <cellStyle name="Input [yellow] 2 20 7" xfId="28200"/>
    <cellStyle name="Input [yellow] 2 21" xfId="5219"/>
    <cellStyle name="Input [yellow] 2 21 2" xfId="28201"/>
    <cellStyle name="Input [yellow] 2 21 3" xfId="28202"/>
    <cellStyle name="Input [yellow] 2 21 4" xfId="28203"/>
    <cellStyle name="Input [yellow] 2 21 5" xfId="28204"/>
    <cellStyle name="Input [yellow] 2 21 6" xfId="28205"/>
    <cellStyle name="Input [yellow] 2 21 7" xfId="28206"/>
    <cellStyle name="Input [yellow] 2 22" xfId="5220"/>
    <cellStyle name="Input [yellow] 2 22 2" xfId="28207"/>
    <cellStyle name="Input [yellow] 2 22 3" xfId="28208"/>
    <cellStyle name="Input [yellow] 2 22 4" xfId="28209"/>
    <cellStyle name="Input [yellow] 2 22 5" xfId="28210"/>
    <cellStyle name="Input [yellow] 2 22 6" xfId="28211"/>
    <cellStyle name="Input [yellow] 2 22 7" xfId="28212"/>
    <cellStyle name="Input [yellow] 2 23" xfId="5221"/>
    <cellStyle name="Input [yellow] 2 23 2" xfId="28213"/>
    <cellStyle name="Input [yellow] 2 23 3" xfId="28214"/>
    <cellStyle name="Input [yellow] 2 23 4" xfId="28215"/>
    <cellStyle name="Input [yellow] 2 23 5" xfId="28216"/>
    <cellStyle name="Input [yellow] 2 23 6" xfId="28217"/>
    <cellStyle name="Input [yellow] 2 23 7" xfId="28218"/>
    <cellStyle name="Input [yellow] 2 24" xfId="5222"/>
    <cellStyle name="Input [yellow] 2 24 2" xfId="28219"/>
    <cellStyle name="Input [yellow] 2 24 3" xfId="28220"/>
    <cellStyle name="Input [yellow] 2 24 4" xfId="28221"/>
    <cellStyle name="Input [yellow] 2 24 5" xfId="28222"/>
    <cellStyle name="Input [yellow] 2 24 6" xfId="28223"/>
    <cellStyle name="Input [yellow] 2 24 7" xfId="28224"/>
    <cellStyle name="Input [yellow] 2 25" xfId="5223"/>
    <cellStyle name="Input [yellow] 2 25 2" xfId="28225"/>
    <cellStyle name="Input [yellow] 2 25 3" xfId="28226"/>
    <cellStyle name="Input [yellow] 2 25 4" xfId="28227"/>
    <cellStyle name="Input [yellow] 2 25 5" xfId="28228"/>
    <cellStyle name="Input [yellow] 2 25 6" xfId="28229"/>
    <cellStyle name="Input [yellow] 2 25 7" xfId="28230"/>
    <cellStyle name="Input [yellow] 2 26" xfId="5224"/>
    <cellStyle name="Input [yellow] 2 26 2" xfId="28231"/>
    <cellStyle name="Input [yellow] 2 26 3" xfId="28232"/>
    <cellStyle name="Input [yellow] 2 26 4" xfId="28233"/>
    <cellStyle name="Input [yellow] 2 26 5" xfId="28234"/>
    <cellStyle name="Input [yellow] 2 26 6" xfId="28235"/>
    <cellStyle name="Input [yellow] 2 26 7" xfId="28236"/>
    <cellStyle name="Input [yellow] 2 27" xfId="5225"/>
    <cellStyle name="Input [yellow] 2 27 2" xfId="28237"/>
    <cellStyle name="Input [yellow] 2 27 3" xfId="28238"/>
    <cellStyle name="Input [yellow] 2 27 4" xfId="28239"/>
    <cellStyle name="Input [yellow] 2 27 5" xfId="28240"/>
    <cellStyle name="Input [yellow] 2 27 6" xfId="28241"/>
    <cellStyle name="Input [yellow] 2 27 7" xfId="28242"/>
    <cellStyle name="Input [yellow] 2 28" xfId="5226"/>
    <cellStyle name="Input [yellow] 2 28 2" xfId="28243"/>
    <cellStyle name="Input [yellow] 2 28 3" xfId="28244"/>
    <cellStyle name="Input [yellow] 2 28 4" xfId="28245"/>
    <cellStyle name="Input [yellow] 2 28 5" xfId="28246"/>
    <cellStyle name="Input [yellow] 2 28 6" xfId="28247"/>
    <cellStyle name="Input [yellow] 2 28 7" xfId="28248"/>
    <cellStyle name="Input [yellow] 2 29" xfId="5227"/>
    <cellStyle name="Input [yellow] 2 29 2" xfId="28249"/>
    <cellStyle name="Input [yellow] 2 29 3" xfId="28250"/>
    <cellStyle name="Input [yellow] 2 29 4" xfId="28251"/>
    <cellStyle name="Input [yellow] 2 29 5" xfId="28252"/>
    <cellStyle name="Input [yellow] 2 29 6" xfId="28253"/>
    <cellStyle name="Input [yellow] 2 29 7" xfId="28254"/>
    <cellStyle name="Input [yellow] 2 3" xfId="1209"/>
    <cellStyle name="Input [yellow] 2 3 10" xfId="5228"/>
    <cellStyle name="Input [yellow] 2 3 10 2" xfId="28255"/>
    <cellStyle name="Input [yellow] 2 3 10 3" xfId="28256"/>
    <cellStyle name="Input [yellow] 2 3 10 4" xfId="28257"/>
    <cellStyle name="Input [yellow] 2 3 10 5" xfId="28258"/>
    <cellStyle name="Input [yellow] 2 3 10 6" xfId="28259"/>
    <cellStyle name="Input [yellow] 2 3 10 7" xfId="28260"/>
    <cellStyle name="Input [yellow] 2 3 100" xfId="28261"/>
    <cellStyle name="Input [yellow] 2 3 101" xfId="28262"/>
    <cellStyle name="Input [yellow] 2 3 102" xfId="28263"/>
    <cellStyle name="Input [yellow] 2 3 11" xfId="5229"/>
    <cellStyle name="Input [yellow] 2 3 11 2" xfId="28264"/>
    <cellStyle name="Input [yellow] 2 3 11 3" xfId="28265"/>
    <cellStyle name="Input [yellow] 2 3 11 4" xfId="28266"/>
    <cellStyle name="Input [yellow] 2 3 11 5" xfId="28267"/>
    <cellStyle name="Input [yellow] 2 3 11 6" xfId="28268"/>
    <cellStyle name="Input [yellow] 2 3 11 7" xfId="28269"/>
    <cellStyle name="Input [yellow] 2 3 12" xfId="5230"/>
    <cellStyle name="Input [yellow] 2 3 12 2" xfId="28270"/>
    <cellStyle name="Input [yellow] 2 3 12 3" xfId="28271"/>
    <cellStyle name="Input [yellow] 2 3 12 4" xfId="28272"/>
    <cellStyle name="Input [yellow] 2 3 12 5" xfId="28273"/>
    <cellStyle name="Input [yellow] 2 3 12 6" xfId="28274"/>
    <cellStyle name="Input [yellow] 2 3 12 7" xfId="28275"/>
    <cellStyle name="Input [yellow] 2 3 13" xfId="5231"/>
    <cellStyle name="Input [yellow] 2 3 13 2" xfId="28276"/>
    <cellStyle name="Input [yellow] 2 3 13 3" xfId="28277"/>
    <cellStyle name="Input [yellow] 2 3 13 4" xfId="28278"/>
    <cellStyle name="Input [yellow] 2 3 13 5" xfId="28279"/>
    <cellStyle name="Input [yellow] 2 3 13 6" xfId="28280"/>
    <cellStyle name="Input [yellow] 2 3 13 7" xfId="28281"/>
    <cellStyle name="Input [yellow] 2 3 14" xfId="5232"/>
    <cellStyle name="Input [yellow] 2 3 14 2" xfId="28282"/>
    <cellStyle name="Input [yellow] 2 3 14 3" xfId="28283"/>
    <cellStyle name="Input [yellow] 2 3 14 4" xfId="28284"/>
    <cellStyle name="Input [yellow] 2 3 14 5" xfId="28285"/>
    <cellStyle name="Input [yellow] 2 3 14 6" xfId="28286"/>
    <cellStyle name="Input [yellow] 2 3 14 7" xfId="28287"/>
    <cellStyle name="Input [yellow] 2 3 15" xfId="5233"/>
    <cellStyle name="Input [yellow] 2 3 15 2" xfId="28288"/>
    <cellStyle name="Input [yellow] 2 3 15 3" xfId="28289"/>
    <cellStyle name="Input [yellow] 2 3 15 4" xfId="28290"/>
    <cellStyle name="Input [yellow] 2 3 15 5" xfId="28291"/>
    <cellStyle name="Input [yellow] 2 3 15 6" xfId="28292"/>
    <cellStyle name="Input [yellow] 2 3 15 7" xfId="28293"/>
    <cellStyle name="Input [yellow] 2 3 16" xfId="5234"/>
    <cellStyle name="Input [yellow] 2 3 16 2" xfId="28294"/>
    <cellStyle name="Input [yellow] 2 3 16 3" xfId="28295"/>
    <cellStyle name="Input [yellow] 2 3 16 4" xfId="28296"/>
    <cellStyle name="Input [yellow] 2 3 16 5" xfId="28297"/>
    <cellStyle name="Input [yellow] 2 3 16 6" xfId="28298"/>
    <cellStyle name="Input [yellow] 2 3 16 7" xfId="28299"/>
    <cellStyle name="Input [yellow] 2 3 17" xfId="5235"/>
    <cellStyle name="Input [yellow] 2 3 17 2" xfId="28300"/>
    <cellStyle name="Input [yellow] 2 3 17 3" xfId="28301"/>
    <cellStyle name="Input [yellow] 2 3 17 4" xfId="28302"/>
    <cellStyle name="Input [yellow] 2 3 17 5" xfId="28303"/>
    <cellStyle name="Input [yellow] 2 3 17 6" xfId="28304"/>
    <cellStyle name="Input [yellow] 2 3 17 7" xfId="28305"/>
    <cellStyle name="Input [yellow] 2 3 18" xfId="5236"/>
    <cellStyle name="Input [yellow] 2 3 18 2" xfId="28306"/>
    <cellStyle name="Input [yellow] 2 3 18 3" xfId="28307"/>
    <cellStyle name="Input [yellow] 2 3 18 4" xfId="28308"/>
    <cellStyle name="Input [yellow] 2 3 18 5" xfId="28309"/>
    <cellStyle name="Input [yellow] 2 3 18 6" xfId="28310"/>
    <cellStyle name="Input [yellow] 2 3 18 7" xfId="28311"/>
    <cellStyle name="Input [yellow] 2 3 19" xfId="5237"/>
    <cellStyle name="Input [yellow] 2 3 19 2" xfId="28312"/>
    <cellStyle name="Input [yellow] 2 3 19 3" xfId="28313"/>
    <cellStyle name="Input [yellow] 2 3 19 4" xfId="28314"/>
    <cellStyle name="Input [yellow] 2 3 19 5" xfId="28315"/>
    <cellStyle name="Input [yellow] 2 3 19 6" xfId="28316"/>
    <cellStyle name="Input [yellow] 2 3 19 7" xfId="28317"/>
    <cellStyle name="Input [yellow] 2 3 2" xfId="1210"/>
    <cellStyle name="Input [yellow] 2 3 2 10" xfId="28318"/>
    <cellStyle name="Input [yellow] 2 3 2 11" xfId="28319"/>
    <cellStyle name="Input [yellow] 2 3 2 2" xfId="13196"/>
    <cellStyle name="Input [yellow] 2 3 2 3" xfId="28320"/>
    <cellStyle name="Input [yellow] 2 3 2 4" xfId="28321"/>
    <cellStyle name="Input [yellow] 2 3 2 5" xfId="28322"/>
    <cellStyle name="Input [yellow] 2 3 2 6" xfId="28323"/>
    <cellStyle name="Input [yellow] 2 3 2 7" xfId="28324"/>
    <cellStyle name="Input [yellow] 2 3 2 8" xfId="28325"/>
    <cellStyle name="Input [yellow] 2 3 2 9" xfId="28326"/>
    <cellStyle name="Input [yellow] 2 3 20" xfId="5238"/>
    <cellStyle name="Input [yellow] 2 3 20 2" xfId="28327"/>
    <cellStyle name="Input [yellow] 2 3 20 3" xfId="28328"/>
    <cellStyle name="Input [yellow] 2 3 20 4" xfId="28329"/>
    <cellStyle name="Input [yellow] 2 3 20 5" xfId="28330"/>
    <cellStyle name="Input [yellow] 2 3 20 6" xfId="28331"/>
    <cellStyle name="Input [yellow] 2 3 20 7" xfId="28332"/>
    <cellStyle name="Input [yellow] 2 3 21" xfId="5239"/>
    <cellStyle name="Input [yellow] 2 3 21 2" xfId="28333"/>
    <cellStyle name="Input [yellow] 2 3 21 3" xfId="28334"/>
    <cellStyle name="Input [yellow] 2 3 21 4" xfId="28335"/>
    <cellStyle name="Input [yellow] 2 3 21 5" xfId="28336"/>
    <cellStyle name="Input [yellow] 2 3 21 6" xfId="28337"/>
    <cellStyle name="Input [yellow] 2 3 21 7" xfId="28338"/>
    <cellStyle name="Input [yellow] 2 3 22" xfId="5240"/>
    <cellStyle name="Input [yellow] 2 3 22 2" xfId="28339"/>
    <cellStyle name="Input [yellow] 2 3 22 3" xfId="28340"/>
    <cellStyle name="Input [yellow] 2 3 22 4" xfId="28341"/>
    <cellStyle name="Input [yellow] 2 3 22 5" xfId="28342"/>
    <cellStyle name="Input [yellow] 2 3 22 6" xfId="28343"/>
    <cellStyle name="Input [yellow] 2 3 22 7" xfId="28344"/>
    <cellStyle name="Input [yellow] 2 3 23" xfId="5241"/>
    <cellStyle name="Input [yellow] 2 3 23 2" xfId="28345"/>
    <cellStyle name="Input [yellow] 2 3 23 3" xfId="28346"/>
    <cellStyle name="Input [yellow] 2 3 23 4" xfId="28347"/>
    <cellStyle name="Input [yellow] 2 3 23 5" xfId="28348"/>
    <cellStyle name="Input [yellow] 2 3 23 6" xfId="28349"/>
    <cellStyle name="Input [yellow] 2 3 23 7" xfId="28350"/>
    <cellStyle name="Input [yellow] 2 3 24" xfId="5242"/>
    <cellStyle name="Input [yellow] 2 3 24 2" xfId="28351"/>
    <cellStyle name="Input [yellow] 2 3 24 3" xfId="28352"/>
    <cellStyle name="Input [yellow] 2 3 24 4" xfId="28353"/>
    <cellStyle name="Input [yellow] 2 3 24 5" xfId="28354"/>
    <cellStyle name="Input [yellow] 2 3 24 6" xfId="28355"/>
    <cellStyle name="Input [yellow] 2 3 24 7" xfId="28356"/>
    <cellStyle name="Input [yellow] 2 3 25" xfId="5243"/>
    <cellStyle name="Input [yellow] 2 3 25 2" xfId="28357"/>
    <cellStyle name="Input [yellow] 2 3 25 3" xfId="28358"/>
    <cellStyle name="Input [yellow] 2 3 25 4" xfId="28359"/>
    <cellStyle name="Input [yellow] 2 3 25 5" xfId="28360"/>
    <cellStyle name="Input [yellow] 2 3 25 6" xfId="28361"/>
    <cellStyle name="Input [yellow] 2 3 25 7" xfId="28362"/>
    <cellStyle name="Input [yellow] 2 3 26" xfId="5244"/>
    <cellStyle name="Input [yellow] 2 3 26 2" xfId="28363"/>
    <cellStyle name="Input [yellow] 2 3 26 3" xfId="28364"/>
    <cellStyle name="Input [yellow] 2 3 26 4" xfId="28365"/>
    <cellStyle name="Input [yellow] 2 3 26 5" xfId="28366"/>
    <cellStyle name="Input [yellow] 2 3 26 6" xfId="28367"/>
    <cellStyle name="Input [yellow] 2 3 26 7" xfId="28368"/>
    <cellStyle name="Input [yellow] 2 3 27" xfId="5245"/>
    <cellStyle name="Input [yellow] 2 3 27 2" xfId="28369"/>
    <cellStyle name="Input [yellow] 2 3 27 3" xfId="28370"/>
    <cellStyle name="Input [yellow] 2 3 27 4" xfId="28371"/>
    <cellStyle name="Input [yellow] 2 3 27 5" xfId="28372"/>
    <cellStyle name="Input [yellow] 2 3 27 6" xfId="28373"/>
    <cellStyle name="Input [yellow] 2 3 27 7" xfId="28374"/>
    <cellStyle name="Input [yellow] 2 3 28" xfId="5246"/>
    <cellStyle name="Input [yellow] 2 3 28 2" xfId="28375"/>
    <cellStyle name="Input [yellow] 2 3 28 3" xfId="28376"/>
    <cellStyle name="Input [yellow] 2 3 28 4" xfId="28377"/>
    <cellStyle name="Input [yellow] 2 3 28 5" xfId="28378"/>
    <cellStyle name="Input [yellow] 2 3 28 6" xfId="28379"/>
    <cellStyle name="Input [yellow] 2 3 28 7" xfId="28380"/>
    <cellStyle name="Input [yellow] 2 3 29" xfId="5247"/>
    <cellStyle name="Input [yellow] 2 3 29 2" xfId="28381"/>
    <cellStyle name="Input [yellow] 2 3 29 3" xfId="28382"/>
    <cellStyle name="Input [yellow] 2 3 29 4" xfId="28383"/>
    <cellStyle name="Input [yellow] 2 3 29 5" xfId="28384"/>
    <cellStyle name="Input [yellow] 2 3 29 6" xfId="28385"/>
    <cellStyle name="Input [yellow] 2 3 29 7" xfId="28386"/>
    <cellStyle name="Input [yellow] 2 3 3" xfId="5248"/>
    <cellStyle name="Input [yellow] 2 3 3 10" xfId="28387"/>
    <cellStyle name="Input [yellow] 2 3 3 2" xfId="28388"/>
    <cellStyle name="Input [yellow] 2 3 3 3" xfId="28389"/>
    <cellStyle name="Input [yellow] 2 3 3 4" xfId="28390"/>
    <cellStyle name="Input [yellow] 2 3 3 5" xfId="28391"/>
    <cellStyle name="Input [yellow] 2 3 3 6" xfId="28392"/>
    <cellStyle name="Input [yellow] 2 3 3 7" xfId="28393"/>
    <cellStyle name="Input [yellow] 2 3 3 8" xfId="28394"/>
    <cellStyle name="Input [yellow] 2 3 3 9" xfId="28395"/>
    <cellStyle name="Input [yellow] 2 3 30" xfId="5249"/>
    <cellStyle name="Input [yellow] 2 3 30 2" xfId="28396"/>
    <cellStyle name="Input [yellow] 2 3 30 3" xfId="28397"/>
    <cellStyle name="Input [yellow] 2 3 30 4" xfId="28398"/>
    <cellStyle name="Input [yellow] 2 3 30 5" xfId="28399"/>
    <cellStyle name="Input [yellow] 2 3 30 6" xfId="28400"/>
    <cellStyle name="Input [yellow] 2 3 30 7" xfId="28401"/>
    <cellStyle name="Input [yellow] 2 3 31" xfId="5250"/>
    <cellStyle name="Input [yellow] 2 3 31 2" xfId="28402"/>
    <cellStyle name="Input [yellow] 2 3 31 3" xfId="28403"/>
    <cellStyle name="Input [yellow] 2 3 31 4" xfId="28404"/>
    <cellStyle name="Input [yellow] 2 3 31 5" xfId="28405"/>
    <cellStyle name="Input [yellow] 2 3 31 6" xfId="28406"/>
    <cellStyle name="Input [yellow] 2 3 31 7" xfId="28407"/>
    <cellStyle name="Input [yellow] 2 3 32" xfId="5251"/>
    <cellStyle name="Input [yellow] 2 3 32 2" xfId="28408"/>
    <cellStyle name="Input [yellow] 2 3 32 3" xfId="28409"/>
    <cellStyle name="Input [yellow] 2 3 32 4" xfId="28410"/>
    <cellStyle name="Input [yellow] 2 3 32 5" xfId="28411"/>
    <cellStyle name="Input [yellow] 2 3 32 6" xfId="28412"/>
    <cellStyle name="Input [yellow] 2 3 32 7" xfId="28413"/>
    <cellStyle name="Input [yellow] 2 3 33" xfId="5252"/>
    <cellStyle name="Input [yellow] 2 3 33 2" xfId="28414"/>
    <cellStyle name="Input [yellow] 2 3 33 3" xfId="28415"/>
    <cellStyle name="Input [yellow] 2 3 33 4" xfId="28416"/>
    <cellStyle name="Input [yellow] 2 3 33 5" xfId="28417"/>
    <cellStyle name="Input [yellow] 2 3 33 6" xfId="28418"/>
    <cellStyle name="Input [yellow] 2 3 33 7" xfId="28419"/>
    <cellStyle name="Input [yellow] 2 3 34" xfId="5253"/>
    <cellStyle name="Input [yellow] 2 3 34 2" xfId="28420"/>
    <cellStyle name="Input [yellow] 2 3 34 3" xfId="28421"/>
    <cellStyle name="Input [yellow] 2 3 34 4" xfId="28422"/>
    <cellStyle name="Input [yellow] 2 3 34 5" xfId="28423"/>
    <cellStyle name="Input [yellow] 2 3 34 6" xfId="28424"/>
    <cellStyle name="Input [yellow] 2 3 34 7" xfId="28425"/>
    <cellStyle name="Input [yellow] 2 3 35" xfId="5254"/>
    <cellStyle name="Input [yellow] 2 3 35 2" xfId="28426"/>
    <cellStyle name="Input [yellow] 2 3 35 3" xfId="28427"/>
    <cellStyle name="Input [yellow] 2 3 35 4" xfId="28428"/>
    <cellStyle name="Input [yellow] 2 3 35 5" xfId="28429"/>
    <cellStyle name="Input [yellow] 2 3 35 6" xfId="28430"/>
    <cellStyle name="Input [yellow] 2 3 35 7" xfId="28431"/>
    <cellStyle name="Input [yellow] 2 3 36" xfId="5255"/>
    <cellStyle name="Input [yellow] 2 3 36 2" xfId="28432"/>
    <cellStyle name="Input [yellow] 2 3 36 3" xfId="28433"/>
    <cellStyle name="Input [yellow] 2 3 36 4" xfId="28434"/>
    <cellStyle name="Input [yellow] 2 3 36 5" xfId="28435"/>
    <cellStyle name="Input [yellow] 2 3 36 6" xfId="28436"/>
    <cellStyle name="Input [yellow] 2 3 36 7" xfId="28437"/>
    <cellStyle name="Input [yellow] 2 3 37" xfId="5256"/>
    <cellStyle name="Input [yellow] 2 3 37 2" xfId="28438"/>
    <cellStyle name="Input [yellow] 2 3 37 3" xfId="28439"/>
    <cellStyle name="Input [yellow] 2 3 37 4" xfId="28440"/>
    <cellStyle name="Input [yellow] 2 3 37 5" xfId="28441"/>
    <cellStyle name="Input [yellow] 2 3 37 6" xfId="28442"/>
    <cellStyle name="Input [yellow] 2 3 37 7" xfId="28443"/>
    <cellStyle name="Input [yellow] 2 3 38" xfId="5257"/>
    <cellStyle name="Input [yellow] 2 3 38 2" xfId="28444"/>
    <cellStyle name="Input [yellow] 2 3 38 3" xfId="28445"/>
    <cellStyle name="Input [yellow] 2 3 38 4" xfId="28446"/>
    <cellStyle name="Input [yellow] 2 3 38 5" xfId="28447"/>
    <cellStyle name="Input [yellow] 2 3 38 6" xfId="28448"/>
    <cellStyle name="Input [yellow] 2 3 38 7" xfId="28449"/>
    <cellStyle name="Input [yellow] 2 3 39" xfId="5258"/>
    <cellStyle name="Input [yellow] 2 3 39 2" xfId="28450"/>
    <cellStyle name="Input [yellow] 2 3 39 3" xfId="28451"/>
    <cellStyle name="Input [yellow] 2 3 39 4" xfId="28452"/>
    <cellStyle name="Input [yellow] 2 3 39 5" xfId="28453"/>
    <cellStyle name="Input [yellow] 2 3 39 6" xfId="28454"/>
    <cellStyle name="Input [yellow] 2 3 39 7" xfId="28455"/>
    <cellStyle name="Input [yellow] 2 3 4" xfId="5259"/>
    <cellStyle name="Input [yellow] 2 3 4 10" xfId="28456"/>
    <cellStyle name="Input [yellow] 2 3 4 2" xfId="28457"/>
    <cellStyle name="Input [yellow] 2 3 4 3" xfId="28458"/>
    <cellStyle name="Input [yellow] 2 3 4 4" xfId="28459"/>
    <cellStyle name="Input [yellow] 2 3 4 5" xfId="28460"/>
    <cellStyle name="Input [yellow] 2 3 4 6" xfId="28461"/>
    <cellStyle name="Input [yellow] 2 3 4 7" xfId="28462"/>
    <cellStyle name="Input [yellow] 2 3 4 8" xfId="28463"/>
    <cellStyle name="Input [yellow] 2 3 4 9" xfId="28464"/>
    <cellStyle name="Input [yellow] 2 3 40" xfId="5260"/>
    <cellStyle name="Input [yellow] 2 3 40 2" xfId="28465"/>
    <cellStyle name="Input [yellow] 2 3 40 3" xfId="28466"/>
    <cellStyle name="Input [yellow] 2 3 40 4" xfId="28467"/>
    <cellStyle name="Input [yellow] 2 3 40 5" xfId="28468"/>
    <cellStyle name="Input [yellow] 2 3 40 6" xfId="28469"/>
    <cellStyle name="Input [yellow] 2 3 40 7" xfId="28470"/>
    <cellStyle name="Input [yellow] 2 3 41" xfId="5261"/>
    <cellStyle name="Input [yellow] 2 3 41 2" xfId="28471"/>
    <cellStyle name="Input [yellow] 2 3 41 3" xfId="28472"/>
    <cellStyle name="Input [yellow] 2 3 41 4" xfId="28473"/>
    <cellStyle name="Input [yellow] 2 3 41 5" xfId="28474"/>
    <cellStyle name="Input [yellow] 2 3 41 6" xfId="28475"/>
    <cellStyle name="Input [yellow] 2 3 41 7" xfId="28476"/>
    <cellStyle name="Input [yellow] 2 3 42" xfId="5262"/>
    <cellStyle name="Input [yellow] 2 3 42 2" xfId="28477"/>
    <cellStyle name="Input [yellow] 2 3 42 3" xfId="28478"/>
    <cellStyle name="Input [yellow] 2 3 42 4" xfId="28479"/>
    <cellStyle name="Input [yellow] 2 3 42 5" xfId="28480"/>
    <cellStyle name="Input [yellow] 2 3 42 6" xfId="28481"/>
    <cellStyle name="Input [yellow] 2 3 42 7" xfId="28482"/>
    <cellStyle name="Input [yellow] 2 3 43" xfId="5263"/>
    <cellStyle name="Input [yellow] 2 3 43 2" xfId="28483"/>
    <cellStyle name="Input [yellow] 2 3 43 3" xfId="28484"/>
    <cellStyle name="Input [yellow] 2 3 43 4" xfId="28485"/>
    <cellStyle name="Input [yellow] 2 3 43 5" xfId="28486"/>
    <cellStyle name="Input [yellow] 2 3 43 6" xfId="28487"/>
    <cellStyle name="Input [yellow] 2 3 43 7" xfId="28488"/>
    <cellStyle name="Input [yellow] 2 3 44" xfId="5264"/>
    <cellStyle name="Input [yellow] 2 3 44 2" xfId="28489"/>
    <cellStyle name="Input [yellow] 2 3 44 3" xfId="28490"/>
    <cellStyle name="Input [yellow] 2 3 44 4" xfId="28491"/>
    <cellStyle name="Input [yellow] 2 3 44 5" xfId="28492"/>
    <cellStyle name="Input [yellow] 2 3 44 6" xfId="28493"/>
    <cellStyle name="Input [yellow] 2 3 44 7" xfId="28494"/>
    <cellStyle name="Input [yellow] 2 3 45" xfId="5265"/>
    <cellStyle name="Input [yellow] 2 3 45 2" xfId="28495"/>
    <cellStyle name="Input [yellow] 2 3 45 3" xfId="28496"/>
    <cellStyle name="Input [yellow] 2 3 45 4" xfId="28497"/>
    <cellStyle name="Input [yellow] 2 3 45 5" xfId="28498"/>
    <cellStyle name="Input [yellow] 2 3 45 6" xfId="28499"/>
    <cellStyle name="Input [yellow] 2 3 45 7" xfId="28500"/>
    <cellStyle name="Input [yellow] 2 3 46" xfId="5266"/>
    <cellStyle name="Input [yellow] 2 3 46 2" xfId="28501"/>
    <cellStyle name="Input [yellow] 2 3 46 3" xfId="28502"/>
    <cellStyle name="Input [yellow] 2 3 46 4" xfId="28503"/>
    <cellStyle name="Input [yellow] 2 3 46 5" xfId="28504"/>
    <cellStyle name="Input [yellow] 2 3 46 6" xfId="28505"/>
    <cellStyle name="Input [yellow] 2 3 46 7" xfId="28506"/>
    <cellStyle name="Input [yellow] 2 3 47" xfId="5267"/>
    <cellStyle name="Input [yellow] 2 3 47 2" xfId="28507"/>
    <cellStyle name="Input [yellow] 2 3 47 3" xfId="28508"/>
    <cellStyle name="Input [yellow] 2 3 47 4" xfId="28509"/>
    <cellStyle name="Input [yellow] 2 3 47 5" xfId="28510"/>
    <cellStyle name="Input [yellow] 2 3 47 6" xfId="28511"/>
    <cellStyle name="Input [yellow] 2 3 47 7" xfId="28512"/>
    <cellStyle name="Input [yellow] 2 3 48" xfId="5268"/>
    <cellStyle name="Input [yellow] 2 3 48 2" xfId="28513"/>
    <cellStyle name="Input [yellow] 2 3 48 3" xfId="28514"/>
    <cellStyle name="Input [yellow] 2 3 48 4" xfId="28515"/>
    <cellStyle name="Input [yellow] 2 3 48 5" xfId="28516"/>
    <cellStyle name="Input [yellow] 2 3 48 6" xfId="28517"/>
    <cellStyle name="Input [yellow] 2 3 48 7" xfId="28518"/>
    <cellStyle name="Input [yellow] 2 3 49" xfId="5269"/>
    <cellStyle name="Input [yellow] 2 3 49 2" xfId="28519"/>
    <cellStyle name="Input [yellow] 2 3 49 3" xfId="28520"/>
    <cellStyle name="Input [yellow] 2 3 49 4" xfId="28521"/>
    <cellStyle name="Input [yellow] 2 3 49 5" xfId="28522"/>
    <cellStyle name="Input [yellow] 2 3 49 6" xfId="28523"/>
    <cellStyle name="Input [yellow] 2 3 49 7" xfId="28524"/>
    <cellStyle name="Input [yellow] 2 3 5" xfId="5270"/>
    <cellStyle name="Input [yellow] 2 3 5 2" xfId="28525"/>
    <cellStyle name="Input [yellow] 2 3 5 3" xfId="28526"/>
    <cellStyle name="Input [yellow] 2 3 5 4" xfId="28527"/>
    <cellStyle name="Input [yellow] 2 3 5 5" xfId="28528"/>
    <cellStyle name="Input [yellow] 2 3 5 6" xfId="28529"/>
    <cellStyle name="Input [yellow] 2 3 5 7" xfId="28530"/>
    <cellStyle name="Input [yellow] 2 3 50" xfId="5271"/>
    <cellStyle name="Input [yellow] 2 3 50 2" xfId="28531"/>
    <cellStyle name="Input [yellow] 2 3 50 3" xfId="28532"/>
    <cellStyle name="Input [yellow] 2 3 50 4" xfId="28533"/>
    <cellStyle name="Input [yellow] 2 3 50 5" xfId="28534"/>
    <cellStyle name="Input [yellow] 2 3 50 6" xfId="28535"/>
    <cellStyle name="Input [yellow] 2 3 50 7" xfId="28536"/>
    <cellStyle name="Input [yellow] 2 3 51" xfId="5272"/>
    <cellStyle name="Input [yellow] 2 3 51 2" xfId="28537"/>
    <cellStyle name="Input [yellow] 2 3 51 3" xfId="28538"/>
    <cellStyle name="Input [yellow] 2 3 51 4" xfId="28539"/>
    <cellStyle name="Input [yellow] 2 3 51 5" xfId="28540"/>
    <cellStyle name="Input [yellow] 2 3 51 6" xfId="28541"/>
    <cellStyle name="Input [yellow] 2 3 51 7" xfId="28542"/>
    <cellStyle name="Input [yellow] 2 3 52" xfId="5273"/>
    <cellStyle name="Input [yellow] 2 3 52 2" xfId="28543"/>
    <cellStyle name="Input [yellow] 2 3 52 3" xfId="28544"/>
    <cellStyle name="Input [yellow] 2 3 52 4" xfId="28545"/>
    <cellStyle name="Input [yellow] 2 3 52 5" xfId="28546"/>
    <cellStyle name="Input [yellow] 2 3 52 6" xfId="28547"/>
    <cellStyle name="Input [yellow] 2 3 52 7" xfId="28548"/>
    <cellStyle name="Input [yellow] 2 3 53" xfId="5274"/>
    <cellStyle name="Input [yellow] 2 3 53 2" xfId="28549"/>
    <cellStyle name="Input [yellow] 2 3 53 3" xfId="28550"/>
    <cellStyle name="Input [yellow] 2 3 53 4" xfId="28551"/>
    <cellStyle name="Input [yellow] 2 3 53 5" xfId="28552"/>
    <cellStyle name="Input [yellow] 2 3 53 6" xfId="28553"/>
    <cellStyle name="Input [yellow] 2 3 53 7" xfId="28554"/>
    <cellStyle name="Input [yellow] 2 3 54" xfId="5275"/>
    <cellStyle name="Input [yellow] 2 3 54 2" xfId="28555"/>
    <cellStyle name="Input [yellow] 2 3 54 3" xfId="28556"/>
    <cellStyle name="Input [yellow] 2 3 54 4" xfId="28557"/>
    <cellStyle name="Input [yellow] 2 3 54 5" xfId="28558"/>
    <cellStyle name="Input [yellow] 2 3 54 6" xfId="28559"/>
    <cellStyle name="Input [yellow] 2 3 54 7" xfId="28560"/>
    <cellStyle name="Input [yellow] 2 3 55" xfId="5276"/>
    <cellStyle name="Input [yellow] 2 3 55 2" xfId="28561"/>
    <cellStyle name="Input [yellow] 2 3 55 3" xfId="28562"/>
    <cellStyle name="Input [yellow] 2 3 55 4" xfId="28563"/>
    <cellStyle name="Input [yellow] 2 3 55 5" xfId="28564"/>
    <cellStyle name="Input [yellow] 2 3 55 6" xfId="28565"/>
    <cellStyle name="Input [yellow] 2 3 55 7" xfId="28566"/>
    <cellStyle name="Input [yellow] 2 3 56" xfId="5277"/>
    <cellStyle name="Input [yellow] 2 3 56 2" xfId="28567"/>
    <cellStyle name="Input [yellow] 2 3 56 3" xfId="28568"/>
    <cellStyle name="Input [yellow] 2 3 56 4" xfId="28569"/>
    <cellStyle name="Input [yellow] 2 3 56 5" xfId="28570"/>
    <cellStyle name="Input [yellow] 2 3 56 6" xfId="28571"/>
    <cellStyle name="Input [yellow] 2 3 56 7" xfId="28572"/>
    <cellStyle name="Input [yellow] 2 3 57" xfId="5278"/>
    <cellStyle name="Input [yellow] 2 3 57 2" xfId="28573"/>
    <cellStyle name="Input [yellow] 2 3 57 3" xfId="28574"/>
    <cellStyle name="Input [yellow] 2 3 57 4" xfId="28575"/>
    <cellStyle name="Input [yellow] 2 3 57 5" xfId="28576"/>
    <cellStyle name="Input [yellow] 2 3 57 6" xfId="28577"/>
    <cellStyle name="Input [yellow] 2 3 57 7" xfId="28578"/>
    <cellStyle name="Input [yellow] 2 3 58" xfId="5279"/>
    <cellStyle name="Input [yellow] 2 3 58 2" xfId="28579"/>
    <cellStyle name="Input [yellow] 2 3 58 3" xfId="28580"/>
    <cellStyle name="Input [yellow] 2 3 58 4" xfId="28581"/>
    <cellStyle name="Input [yellow] 2 3 58 5" xfId="28582"/>
    <cellStyle name="Input [yellow] 2 3 58 6" xfId="28583"/>
    <cellStyle name="Input [yellow] 2 3 58 7" xfId="28584"/>
    <cellStyle name="Input [yellow] 2 3 59" xfId="5280"/>
    <cellStyle name="Input [yellow] 2 3 59 2" xfId="28585"/>
    <cellStyle name="Input [yellow] 2 3 59 3" xfId="28586"/>
    <cellStyle name="Input [yellow] 2 3 59 4" xfId="28587"/>
    <cellStyle name="Input [yellow] 2 3 59 5" xfId="28588"/>
    <cellStyle name="Input [yellow] 2 3 59 6" xfId="28589"/>
    <cellStyle name="Input [yellow] 2 3 59 7" xfId="28590"/>
    <cellStyle name="Input [yellow] 2 3 6" xfId="5281"/>
    <cellStyle name="Input [yellow] 2 3 6 2" xfId="28591"/>
    <cellStyle name="Input [yellow] 2 3 6 3" xfId="28592"/>
    <cellStyle name="Input [yellow] 2 3 6 4" xfId="28593"/>
    <cellStyle name="Input [yellow] 2 3 6 5" xfId="28594"/>
    <cellStyle name="Input [yellow] 2 3 6 6" xfId="28595"/>
    <cellStyle name="Input [yellow] 2 3 6 7" xfId="28596"/>
    <cellStyle name="Input [yellow] 2 3 60" xfId="5282"/>
    <cellStyle name="Input [yellow] 2 3 60 2" xfId="28597"/>
    <cellStyle name="Input [yellow] 2 3 60 3" xfId="28598"/>
    <cellStyle name="Input [yellow] 2 3 60 4" xfId="28599"/>
    <cellStyle name="Input [yellow] 2 3 60 5" xfId="28600"/>
    <cellStyle name="Input [yellow] 2 3 60 6" xfId="28601"/>
    <cellStyle name="Input [yellow] 2 3 60 7" xfId="28602"/>
    <cellStyle name="Input [yellow] 2 3 61" xfId="5283"/>
    <cellStyle name="Input [yellow] 2 3 61 2" xfId="28603"/>
    <cellStyle name="Input [yellow] 2 3 61 3" xfId="28604"/>
    <cellStyle name="Input [yellow] 2 3 61 4" xfId="28605"/>
    <cellStyle name="Input [yellow] 2 3 61 5" xfId="28606"/>
    <cellStyle name="Input [yellow] 2 3 61 6" xfId="28607"/>
    <cellStyle name="Input [yellow] 2 3 61 7" xfId="28608"/>
    <cellStyle name="Input [yellow] 2 3 62" xfId="5284"/>
    <cellStyle name="Input [yellow] 2 3 62 2" xfId="28609"/>
    <cellStyle name="Input [yellow] 2 3 62 3" xfId="28610"/>
    <cellStyle name="Input [yellow] 2 3 62 4" xfId="28611"/>
    <cellStyle name="Input [yellow] 2 3 62 5" xfId="28612"/>
    <cellStyle name="Input [yellow] 2 3 62 6" xfId="28613"/>
    <cellStyle name="Input [yellow] 2 3 62 7" xfId="28614"/>
    <cellStyle name="Input [yellow] 2 3 63" xfId="5285"/>
    <cellStyle name="Input [yellow] 2 3 63 2" xfId="28615"/>
    <cellStyle name="Input [yellow] 2 3 63 3" xfId="28616"/>
    <cellStyle name="Input [yellow] 2 3 63 4" xfId="28617"/>
    <cellStyle name="Input [yellow] 2 3 63 5" xfId="28618"/>
    <cellStyle name="Input [yellow] 2 3 63 6" xfId="28619"/>
    <cellStyle name="Input [yellow] 2 3 63 7" xfId="28620"/>
    <cellStyle name="Input [yellow] 2 3 64" xfId="5286"/>
    <cellStyle name="Input [yellow] 2 3 64 2" xfId="28621"/>
    <cellStyle name="Input [yellow] 2 3 64 3" xfId="28622"/>
    <cellStyle name="Input [yellow] 2 3 64 4" xfId="28623"/>
    <cellStyle name="Input [yellow] 2 3 64 5" xfId="28624"/>
    <cellStyle name="Input [yellow] 2 3 64 6" xfId="28625"/>
    <cellStyle name="Input [yellow] 2 3 64 7" xfId="28626"/>
    <cellStyle name="Input [yellow] 2 3 65" xfId="5287"/>
    <cellStyle name="Input [yellow] 2 3 65 2" xfId="28627"/>
    <cellStyle name="Input [yellow] 2 3 65 3" xfId="28628"/>
    <cellStyle name="Input [yellow] 2 3 65 4" xfId="28629"/>
    <cellStyle name="Input [yellow] 2 3 65 5" xfId="28630"/>
    <cellStyle name="Input [yellow] 2 3 65 6" xfId="28631"/>
    <cellStyle name="Input [yellow] 2 3 65 7" xfId="28632"/>
    <cellStyle name="Input [yellow] 2 3 66" xfId="5288"/>
    <cellStyle name="Input [yellow] 2 3 66 2" xfId="28633"/>
    <cellStyle name="Input [yellow] 2 3 66 3" xfId="28634"/>
    <cellStyle name="Input [yellow] 2 3 66 4" xfId="28635"/>
    <cellStyle name="Input [yellow] 2 3 66 5" xfId="28636"/>
    <cellStyle name="Input [yellow] 2 3 66 6" xfId="28637"/>
    <cellStyle name="Input [yellow] 2 3 66 7" xfId="28638"/>
    <cellStyle name="Input [yellow] 2 3 67" xfId="5289"/>
    <cellStyle name="Input [yellow] 2 3 67 2" xfId="28639"/>
    <cellStyle name="Input [yellow] 2 3 67 3" xfId="28640"/>
    <cellStyle name="Input [yellow] 2 3 67 4" xfId="28641"/>
    <cellStyle name="Input [yellow] 2 3 67 5" xfId="28642"/>
    <cellStyle name="Input [yellow] 2 3 67 6" xfId="28643"/>
    <cellStyle name="Input [yellow] 2 3 67 7" xfId="28644"/>
    <cellStyle name="Input [yellow] 2 3 68" xfId="5290"/>
    <cellStyle name="Input [yellow] 2 3 68 2" xfId="28645"/>
    <cellStyle name="Input [yellow] 2 3 68 3" xfId="28646"/>
    <cellStyle name="Input [yellow] 2 3 68 4" xfId="28647"/>
    <cellStyle name="Input [yellow] 2 3 68 5" xfId="28648"/>
    <cellStyle name="Input [yellow] 2 3 68 6" xfId="28649"/>
    <cellStyle name="Input [yellow] 2 3 68 7" xfId="28650"/>
    <cellStyle name="Input [yellow] 2 3 69" xfId="5291"/>
    <cellStyle name="Input [yellow] 2 3 69 2" xfId="28651"/>
    <cellStyle name="Input [yellow] 2 3 69 3" xfId="28652"/>
    <cellStyle name="Input [yellow] 2 3 69 4" xfId="28653"/>
    <cellStyle name="Input [yellow] 2 3 69 5" xfId="28654"/>
    <cellStyle name="Input [yellow] 2 3 69 6" xfId="28655"/>
    <cellStyle name="Input [yellow] 2 3 69 7" xfId="28656"/>
    <cellStyle name="Input [yellow] 2 3 7" xfId="5292"/>
    <cellStyle name="Input [yellow] 2 3 7 2" xfId="28657"/>
    <cellStyle name="Input [yellow] 2 3 7 3" xfId="28658"/>
    <cellStyle name="Input [yellow] 2 3 7 4" xfId="28659"/>
    <cellStyle name="Input [yellow] 2 3 7 5" xfId="28660"/>
    <cellStyle name="Input [yellow] 2 3 7 6" xfId="28661"/>
    <cellStyle name="Input [yellow] 2 3 7 7" xfId="28662"/>
    <cellStyle name="Input [yellow] 2 3 70" xfId="5293"/>
    <cellStyle name="Input [yellow] 2 3 70 2" xfId="28663"/>
    <cellStyle name="Input [yellow] 2 3 70 3" xfId="28664"/>
    <cellStyle name="Input [yellow] 2 3 70 4" xfId="28665"/>
    <cellStyle name="Input [yellow] 2 3 70 5" xfId="28666"/>
    <cellStyle name="Input [yellow] 2 3 70 6" xfId="28667"/>
    <cellStyle name="Input [yellow] 2 3 70 7" xfId="28668"/>
    <cellStyle name="Input [yellow] 2 3 71" xfId="5294"/>
    <cellStyle name="Input [yellow] 2 3 71 2" xfId="28669"/>
    <cellStyle name="Input [yellow] 2 3 71 3" xfId="28670"/>
    <cellStyle name="Input [yellow] 2 3 71 4" xfId="28671"/>
    <cellStyle name="Input [yellow] 2 3 71 5" xfId="28672"/>
    <cellStyle name="Input [yellow] 2 3 71 6" xfId="28673"/>
    <cellStyle name="Input [yellow] 2 3 71 7" xfId="28674"/>
    <cellStyle name="Input [yellow] 2 3 72" xfId="5295"/>
    <cellStyle name="Input [yellow] 2 3 72 2" xfId="28675"/>
    <cellStyle name="Input [yellow] 2 3 72 3" xfId="28676"/>
    <cellStyle name="Input [yellow] 2 3 72 4" xfId="28677"/>
    <cellStyle name="Input [yellow] 2 3 72 5" xfId="28678"/>
    <cellStyle name="Input [yellow] 2 3 72 6" xfId="28679"/>
    <cellStyle name="Input [yellow] 2 3 72 7" xfId="28680"/>
    <cellStyle name="Input [yellow] 2 3 73" xfId="5296"/>
    <cellStyle name="Input [yellow] 2 3 73 2" xfId="28681"/>
    <cellStyle name="Input [yellow] 2 3 73 3" xfId="28682"/>
    <cellStyle name="Input [yellow] 2 3 73 4" xfId="28683"/>
    <cellStyle name="Input [yellow] 2 3 73 5" xfId="28684"/>
    <cellStyle name="Input [yellow] 2 3 73 6" xfId="28685"/>
    <cellStyle name="Input [yellow] 2 3 73 7" xfId="28686"/>
    <cellStyle name="Input [yellow] 2 3 74" xfId="5297"/>
    <cellStyle name="Input [yellow] 2 3 74 2" xfId="28687"/>
    <cellStyle name="Input [yellow] 2 3 74 3" xfId="28688"/>
    <cellStyle name="Input [yellow] 2 3 74 4" xfId="28689"/>
    <cellStyle name="Input [yellow] 2 3 74 5" xfId="28690"/>
    <cellStyle name="Input [yellow] 2 3 74 6" xfId="28691"/>
    <cellStyle name="Input [yellow] 2 3 74 7" xfId="28692"/>
    <cellStyle name="Input [yellow] 2 3 75" xfId="5298"/>
    <cellStyle name="Input [yellow] 2 3 75 2" xfId="28693"/>
    <cellStyle name="Input [yellow] 2 3 75 3" xfId="28694"/>
    <cellStyle name="Input [yellow] 2 3 75 4" xfId="28695"/>
    <cellStyle name="Input [yellow] 2 3 75 5" xfId="28696"/>
    <cellStyle name="Input [yellow] 2 3 75 6" xfId="28697"/>
    <cellStyle name="Input [yellow] 2 3 75 7" xfId="28698"/>
    <cellStyle name="Input [yellow] 2 3 76" xfId="5299"/>
    <cellStyle name="Input [yellow] 2 3 76 2" xfId="28699"/>
    <cellStyle name="Input [yellow] 2 3 76 3" xfId="28700"/>
    <cellStyle name="Input [yellow] 2 3 76 4" xfId="28701"/>
    <cellStyle name="Input [yellow] 2 3 76 5" xfId="28702"/>
    <cellStyle name="Input [yellow] 2 3 76 6" xfId="28703"/>
    <cellStyle name="Input [yellow] 2 3 76 7" xfId="28704"/>
    <cellStyle name="Input [yellow] 2 3 77" xfId="5300"/>
    <cellStyle name="Input [yellow] 2 3 77 2" xfId="28705"/>
    <cellStyle name="Input [yellow] 2 3 77 3" xfId="28706"/>
    <cellStyle name="Input [yellow] 2 3 77 4" xfId="28707"/>
    <cellStyle name="Input [yellow] 2 3 77 5" xfId="28708"/>
    <cellStyle name="Input [yellow] 2 3 77 6" xfId="28709"/>
    <cellStyle name="Input [yellow] 2 3 77 7" xfId="28710"/>
    <cellStyle name="Input [yellow] 2 3 78" xfId="5301"/>
    <cellStyle name="Input [yellow] 2 3 78 2" xfId="28711"/>
    <cellStyle name="Input [yellow] 2 3 78 3" xfId="28712"/>
    <cellStyle name="Input [yellow] 2 3 78 4" xfId="28713"/>
    <cellStyle name="Input [yellow] 2 3 78 5" xfId="28714"/>
    <cellStyle name="Input [yellow] 2 3 78 6" xfId="28715"/>
    <cellStyle name="Input [yellow] 2 3 78 7" xfId="28716"/>
    <cellStyle name="Input [yellow] 2 3 79" xfId="5302"/>
    <cellStyle name="Input [yellow] 2 3 79 2" xfId="28717"/>
    <cellStyle name="Input [yellow] 2 3 79 3" xfId="28718"/>
    <cellStyle name="Input [yellow] 2 3 79 4" xfId="28719"/>
    <cellStyle name="Input [yellow] 2 3 79 5" xfId="28720"/>
    <cellStyle name="Input [yellow] 2 3 79 6" xfId="28721"/>
    <cellStyle name="Input [yellow] 2 3 79 7" xfId="28722"/>
    <cellStyle name="Input [yellow] 2 3 8" xfId="5303"/>
    <cellStyle name="Input [yellow] 2 3 8 2" xfId="28723"/>
    <cellStyle name="Input [yellow] 2 3 8 3" xfId="28724"/>
    <cellStyle name="Input [yellow] 2 3 8 4" xfId="28725"/>
    <cellStyle name="Input [yellow] 2 3 8 5" xfId="28726"/>
    <cellStyle name="Input [yellow] 2 3 8 6" xfId="28727"/>
    <cellStyle name="Input [yellow] 2 3 8 7" xfId="28728"/>
    <cellStyle name="Input [yellow] 2 3 80" xfId="5304"/>
    <cellStyle name="Input [yellow] 2 3 80 2" xfId="28729"/>
    <cellStyle name="Input [yellow] 2 3 80 3" xfId="28730"/>
    <cellStyle name="Input [yellow] 2 3 80 4" xfId="28731"/>
    <cellStyle name="Input [yellow] 2 3 80 5" xfId="28732"/>
    <cellStyle name="Input [yellow] 2 3 80 6" xfId="28733"/>
    <cellStyle name="Input [yellow] 2 3 80 7" xfId="28734"/>
    <cellStyle name="Input [yellow] 2 3 81" xfId="5305"/>
    <cellStyle name="Input [yellow] 2 3 81 2" xfId="28735"/>
    <cellStyle name="Input [yellow] 2 3 81 3" xfId="28736"/>
    <cellStyle name="Input [yellow] 2 3 81 4" xfId="28737"/>
    <cellStyle name="Input [yellow] 2 3 81 5" xfId="28738"/>
    <cellStyle name="Input [yellow] 2 3 81 6" xfId="28739"/>
    <cellStyle name="Input [yellow] 2 3 81 7" xfId="28740"/>
    <cellStyle name="Input [yellow] 2 3 82" xfId="5306"/>
    <cellStyle name="Input [yellow] 2 3 82 2" xfId="28741"/>
    <cellStyle name="Input [yellow] 2 3 82 3" xfId="28742"/>
    <cellStyle name="Input [yellow] 2 3 82 4" xfId="28743"/>
    <cellStyle name="Input [yellow] 2 3 82 5" xfId="28744"/>
    <cellStyle name="Input [yellow] 2 3 82 6" xfId="28745"/>
    <cellStyle name="Input [yellow] 2 3 82 7" xfId="28746"/>
    <cellStyle name="Input [yellow] 2 3 83" xfId="5307"/>
    <cellStyle name="Input [yellow] 2 3 83 2" xfId="28747"/>
    <cellStyle name="Input [yellow] 2 3 83 3" xfId="28748"/>
    <cellStyle name="Input [yellow] 2 3 83 4" xfId="28749"/>
    <cellStyle name="Input [yellow] 2 3 83 5" xfId="28750"/>
    <cellStyle name="Input [yellow] 2 3 83 6" xfId="28751"/>
    <cellStyle name="Input [yellow] 2 3 83 7" xfId="28752"/>
    <cellStyle name="Input [yellow] 2 3 84" xfId="5308"/>
    <cellStyle name="Input [yellow] 2 3 84 2" xfId="28753"/>
    <cellStyle name="Input [yellow] 2 3 84 3" xfId="28754"/>
    <cellStyle name="Input [yellow] 2 3 84 4" xfId="28755"/>
    <cellStyle name="Input [yellow] 2 3 84 5" xfId="28756"/>
    <cellStyle name="Input [yellow] 2 3 84 6" xfId="28757"/>
    <cellStyle name="Input [yellow] 2 3 84 7" xfId="28758"/>
    <cellStyle name="Input [yellow] 2 3 85" xfId="5309"/>
    <cellStyle name="Input [yellow] 2 3 85 2" xfId="28759"/>
    <cellStyle name="Input [yellow] 2 3 85 3" xfId="28760"/>
    <cellStyle name="Input [yellow] 2 3 85 4" xfId="28761"/>
    <cellStyle name="Input [yellow] 2 3 85 5" xfId="28762"/>
    <cellStyle name="Input [yellow] 2 3 85 6" xfId="28763"/>
    <cellStyle name="Input [yellow] 2 3 85 7" xfId="28764"/>
    <cellStyle name="Input [yellow] 2 3 86" xfId="5310"/>
    <cellStyle name="Input [yellow] 2 3 86 2" xfId="28765"/>
    <cellStyle name="Input [yellow] 2 3 86 3" xfId="28766"/>
    <cellStyle name="Input [yellow] 2 3 86 4" xfId="28767"/>
    <cellStyle name="Input [yellow] 2 3 86 5" xfId="28768"/>
    <cellStyle name="Input [yellow] 2 3 86 6" xfId="28769"/>
    <cellStyle name="Input [yellow] 2 3 86 7" xfId="28770"/>
    <cellStyle name="Input [yellow] 2 3 87" xfId="5311"/>
    <cellStyle name="Input [yellow] 2 3 87 2" xfId="28771"/>
    <cellStyle name="Input [yellow] 2 3 87 3" xfId="28772"/>
    <cellStyle name="Input [yellow] 2 3 87 4" xfId="28773"/>
    <cellStyle name="Input [yellow] 2 3 87 5" xfId="28774"/>
    <cellStyle name="Input [yellow] 2 3 87 6" xfId="28775"/>
    <cellStyle name="Input [yellow] 2 3 87 7" xfId="28776"/>
    <cellStyle name="Input [yellow] 2 3 88" xfId="5312"/>
    <cellStyle name="Input [yellow] 2 3 88 2" xfId="28777"/>
    <cellStyle name="Input [yellow] 2 3 88 3" xfId="28778"/>
    <cellStyle name="Input [yellow] 2 3 88 4" xfId="28779"/>
    <cellStyle name="Input [yellow] 2 3 88 5" xfId="28780"/>
    <cellStyle name="Input [yellow] 2 3 88 6" xfId="28781"/>
    <cellStyle name="Input [yellow] 2 3 88 7" xfId="28782"/>
    <cellStyle name="Input [yellow] 2 3 89" xfId="5313"/>
    <cellStyle name="Input [yellow] 2 3 89 2" xfId="28783"/>
    <cellStyle name="Input [yellow] 2 3 89 3" xfId="28784"/>
    <cellStyle name="Input [yellow] 2 3 89 4" xfId="28785"/>
    <cellStyle name="Input [yellow] 2 3 89 5" xfId="28786"/>
    <cellStyle name="Input [yellow] 2 3 89 6" xfId="28787"/>
    <cellStyle name="Input [yellow] 2 3 89 7" xfId="28788"/>
    <cellStyle name="Input [yellow] 2 3 9" xfId="5314"/>
    <cellStyle name="Input [yellow] 2 3 9 2" xfId="28789"/>
    <cellStyle name="Input [yellow] 2 3 9 3" xfId="28790"/>
    <cellStyle name="Input [yellow] 2 3 9 4" xfId="28791"/>
    <cellStyle name="Input [yellow] 2 3 9 5" xfId="28792"/>
    <cellStyle name="Input [yellow] 2 3 9 6" xfId="28793"/>
    <cellStyle name="Input [yellow] 2 3 9 7" xfId="28794"/>
    <cellStyle name="Input [yellow] 2 3 90" xfId="5315"/>
    <cellStyle name="Input [yellow] 2 3 90 2" xfId="28795"/>
    <cellStyle name="Input [yellow] 2 3 90 3" xfId="28796"/>
    <cellStyle name="Input [yellow] 2 3 90 4" xfId="28797"/>
    <cellStyle name="Input [yellow] 2 3 90 5" xfId="28798"/>
    <cellStyle name="Input [yellow] 2 3 90 6" xfId="28799"/>
    <cellStyle name="Input [yellow] 2 3 90 7" xfId="28800"/>
    <cellStyle name="Input [yellow] 2 3 91" xfId="5316"/>
    <cellStyle name="Input [yellow] 2 3 91 2" xfId="28801"/>
    <cellStyle name="Input [yellow] 2 3 91 3" xfId="28802"/>
    <cellStyle name="Input [yellow] 2 3 91 4" xfId="28803"/>
    <cellStyle name="Input [yellow] 2 3 91 5" xfId="28804"/>
    <cellStyle name="Input [yellow] 2 3 91 6" xfId="28805"/>
    <cellStyle name="Input [yellow] 2 3 91 7" xfId="28806"/>
    <cellStyle name="Input [yellow] 2 3 92" xfId="5317"/>
    <cellStyle name="Input [yellow] 2 3 92 2" xfId="28807"/>
    <cellStyle name="Input [yellow] 2 3 92 3" xfId="28808"/>
    <cellStyle name="Input [yellow] 2 3 92 4" xfId="28809"/>
    <cellStyle name="Input [yellow] 2 3 92 5" xfId="28810"/>
    <cellStyle name="Input [yellow] 2 3 92 6" xfId="28811"/>
    <cellStyle name="Input [yellow] 2 3 92 7" xfId="28812"/>
    <cellStyle name="Input [yellow] 2 3 93" xfId="5318"/>
    <cellStyle name="Input [yellow] 2 3 93 2" xfId="28813"/>
    <cellStyle name="Input [yellow] 2 3 93 3" xfId="28814"/>
    <cellStyle name="Input [yellow] 2 3 93 4" xfId="28815"/>
    <cellStyle name="Input [yellow] 2 3 93 5" xfId="28816"/>
    <cellStyle name="Input [yellow] 2 3 93 6" xfId="28817"/>
    <cellStyle name="Input [yellow] 2 3 94" xfId="12713"/>
    <cellStyle name="Input [yellow] 2 3 95" xfId="28818"/>
    <cellStyle name="Input [yellow] 2 3 96" xfId="28819"/>
    <cellStyle name="Input [yellow] 2 3 97" xfId="28820"/>
    <cellStyle name="Input [yellow] 2 3 98" xfId="28821"/>
    <cellStyle name="Input [yellow] 2 3 99" xfId="28822"/>
    <cellStyle name="Input [yellow] 2 30" xfId="5319"/>
    <cellStyle name="Input [yellow] 2 30 2" xfId="28823"/>
    <cellStyle name="Input [yellow] 2 30 3" xfId="28824"/>
    <cellStyle name="Input [yellow] 2 30 4" xfId="28825"/>
    <cellStyle name="Input [yellow] 2 30 5" xfId="28826"/>
    <cellStyle name="Input [yellow] 2 30 6" xfId="28827"/>
    <cellStyle name="Input [yellow] 2 30 7" xfId="28828"/>
    <cellStyle name="Input [yellow] 2 31" xfId="5320"/>
    <cellStyle name="Input [yellow] 2 31 2" xfId="28829"/>
    <cellStyle name="Input [yellow] 2 31 3" xfId="28830"/>
    <cellStyle name="Input [yellow] 2 31 4" xfId="28831"/>
    <cellStyle name="Input [yellow] 2 31 5" xfId="28832"/>
    <cellStyle name="Input [yellow] 2 31 6" xfId="28833"/>
    <cellStyle name="Input [yellow] 2 31 7" xfId="28834"/>
    <cellStyle name="Input [yellow] 2 32" xfId="5321"/>
    <cellStyle name="Input [yellow] 2 32 2" xfId="28835"/>
    <cellStyle name="Input [yellow] 2 32 3" xfId="28836"/>
    <cellStyle name="Input [yellow] 2 32 4" xfId="28837"/>
    <cellStyle name="Input [yellow] 2 32 5" xfId="28838"/>
    <cellStyle name="Input [yellow] 2 32 6" xfId="28839"/>
    <cellStyle name="Input [yellow] 2 32 7" xfId="28840"/>
    <cellStyle name="Input [yellow] 2 33" xfId="5322"/>
    <cellStyle name="Input [yellow] 2 33 2" xfId="28841"/>
    <cellStyle name="Input [yellow] 2 33 3" xfId="28842"/>
    <cellStyle name="Input [yellow] 2 33 4" xfId="28843"/>
    <cellStyle name="Input [yellow] 2 33 5" xfId="28844"/>
    <cellStyle name="Input [yellow] 2 33 6" xfId="28845"/>
    <cellStyle name="Input [yellow] 2 33 7" xfId="28846"/>
    <cellStyle name="Input [yellow] 2 34" xfId="5323"/>
    <cellStyle name="Input [yellow] 2 34 2" xfId="28847"/>
    <cellStyle name="Input [yellow] 2 34 3" xfId="28848"/>
    <cellStyle name="Input [yellow] 2 34 4" xfId="28849"/>
    <cellStyle name="Input [yellow] 2 34 5" xfId="28850"/>
    <cellStyle name="Input [yellow] 2 34 6" xfId="28851"/>
    <cellStyle name="Input [yellow] 2 34 7" xfId="28852"/>
    <cellStyle name="Input [yellow] 2 35" xfId="5324"/>
    <cellStyle name="Input [yellow] 2 35 2" xfId="28853"/>
    <cellStyle name="Input [yellow] 2 35 3" xfId="28854"/>
    <cellStyle name="Input [yellow] 2 35 4" xfId="28855"/>
    <cellStyle name="Input [yellow] 2 35 5" xfId="28856"/>
    <cellStyle name="Input [yellow] 2 35 6" xfId="28857"/>
    <cellStyle name="Input [yellow] 2 35 7" xfId="28858"/>
    <cellStyle name="Input [yellow] 2 36" xfId="5325"/>
    <cellStyle name="Input [yellow] 2 36 2" xfId="28859"/>
    <cellStyle name="Input [yellow] 2 36 3" xfId="28860"/>
    <cellStyle name="Input [yellow] 2 36 4" xfId="28861"/>
    <cellStyle name="Input [yellow] 2 36 5" xfId="28862"/>
    <cellStyle name="Input [yellow] 2 36 6" xfId="28863"/>
    <cellStyle name="Input [yellow] 2 36 7" xfId="28864"/>
    <cellStyle name="Input [yellow] 2 37" xfId="5326"/>
    <cellStyle name="Input [yellow] 2 37 2" xfId="28865"/>
    <cellStyle name="Input [yellow] 2 37 3" xfId="28866"/>
    <cellStyle name="Input [yellow] 2 37 4" xfId="28867"/>
    <cellStyle name="Input [yellow] 2 37 5" xfId="28868"/>
    <cellStyle name="Input [yellow] 2 37 6" xfId="28869"/>
    <cellStyle name="Input [yellow] 2 37 7" xfId="28870"/>
    <cellStyle name="Input [yellow] 2 38" xfId="5327"/>
    <cellStyle name="Input [yellow] 2 38 2" xfId="28871"/>
    <cellStyle name="Input [yellow] 2 38 3" xfId="28872"/>
    <cellStyle name="Input [yellow] 2 38 4" xfId="28873"/>
    <cellStyle name="Input [yellow] 2 38 5" xfId="28874"/>
    <cellStyle name="Input [yellow] 2 38 6" xfId="28875"/>
    <cellStyle name="Input [yellow] 2 38 7" xfId="28876"/>
    <cellStyle name="Input [yellow] 2 39" xfId="5328"/>
    <cellStyle name="Input [yellow] 2 39 2" xfId="28877"/>
    <cellStyle name="Input [yellow] 2 39 3" xfId="28878"/>
    <cellStyle name="Input [yellow] 2 39 4" xfId="28879"/>
    <cellStyle name="Input [yellow] 2 39 5" xfId="28880"/>
    <cellStyle name="Input [yellow] 2 39 6" xfId="28881"/>
    <cellStyle name="Input [yellow] 2 39 7" xfId="28882"/>
    <cellStyle name="Input [yellow] 2 4" xfId="5329"/>
    <cellStyle name="Input [yellow] 2 4 10" xfId="5330"/>
    <cellStyle name="Input [yellow] 2 4 10 2" xfId="28883"/>
    <cellStyle name="Input [yellow] 2 4 10 3" xfId="28884"/>
    <cellStyle name="Input [yellow] 2 4 10 4" xfId="28885"/>
    <cellStyle name="Input [yellow] 2 4 10 5" xfId="28886"/>
    <cellStyle name="Input [yellow] 2 4 10 6" xfId="28887"/>
    <cellStyle name="Input [yellow] 2 4 10 7" xfId="28888"/>
    <cellStyle name="Input [yellow] 2 4 100" xfId="28889"/>
    <cellStyle name="Input [yellow] 2 4 101" xfId="28890"/>
    <cellStyle name="Input [yellow] 2 4 102" xfId="28891"/>
    <cellStyle name="Input [yellow] 2 4 11" xfId="5331"/>
    <cellStyle name="Input [yellow] 2 4 11 2" xfId="28892"/>
    <cellStyle name="Input [yellow] 2 4 11 3" xfId="28893"/>
    <cellStyle name="Input [yellow] 2 4 11 4" xfId="28894"/>
    <cellStyle name="Input [yellow] 2 4 11 5" xfId="28895"/>
    <cellStyle name="Input [yellow] 2 4 11 6" xfId="28896"/>
    <cellStyle name="Input [yellow] 2 4 11 7" xfId="28897"/>
    <cellStyle name="Input [yellow] 2 4 12" xfId="5332"/>
    <cellStyle name="Input [yellow] 2 4 12 2" xfId="28898"/>
    <cellStyle name="Input [yellow] 2 4 12 3" xfId="28899"/>
    <cellStyle name="Input [yellow] 2 4 12 4" xfId="28900"/>
    <cellStyle name="Input [yellow] 2 4 12 5" xfId="28901"/>
    <cellStyle name="Input [yellow] 2 4 12 6" xfId="28902"/>
    <cellStyle name="Input [yellow] 2 4 12 7" xfId="28903"/>
    <cellStyle name="Input [yellow] 2 4 13" xfId="5333"/>
    <cellStyle name="Input [yellow] 2 4 13 2" xfId="28904"/>
    <cellStyle name="Input [yellow] 2 4 13 3" xfId="28905"/>
    <cellStyle name="Input [yellow] 2 4 13 4" xfId="28906"/>
    <cellStyle name="Input [yellow] 2 4 13 5" xfId="28907"/>
    <cellStyle name="Input [yellow] 2 4 13 6" xfId="28908"/>
    <cellStyle name="Input [yellow] 2 4 13 7" xfId="28909"/>
    <cellStyle name="Input [yellow] 2 4 14" xfId="5334"/>
    <cellStyle name="Input [yellow] 2 4 14 2" xfId="28910"/>
    <cellStyle name="Input [yellow] 2 4 14 3" xfId="28911"/>
    <cellStyle name="Input [yellow] 2 4 14 4" xfId="28912"/>
    <cellStyle name="Input [yellow] 2 4 14 5" xfId="28913"/>
    <cellStyle name="Input [yellow] 2 4 14 6" xfId="28914"/>
    <cellStyle name="Input [yellow] 2 4 14 7" xfId="28915"/>
    <cellStyle name="Input [yellow] 2 4 15" xfId="5335"/>
    <cellStyle name="Input [yellow] 2 4 15 2" xfId="28916"/>
    <cellStyle name="Input [yellow] 2 4 15 3" xfId="28917"/>
    <cellStyle name="Input [yellow] 2 4 15 4" xfId="28918"/>
    <cellStyle name="Input [yellow] 2 4 15 5" xfId="28919"/>
    <cellStyle name="Input [yellow] 2 4 15 6" xfId="28920"/>
    <cellStyle name="Input [yellow] 2 4 15 7" xfId="28921"/>
    <cellStyle name="Input [yellow] 2 4 16" xfId="5336"/>
    <cellStyle name="Input [yellow] 2 4 16 2" xfId="28922"/>
    <cellStyle name="Input [yellow] 2 4 16 3" xfId="28923"/>
    <cellStyle name="Input [yellow] 2 4 16 4" xfId="28924"/>
    <cellStyle name="Input [yellow] 2 4 16 5" xfId="28925"/>
    <cellStyle name="Input [yellow] 2 4 16 6" xfId="28926"/>
    <cellStyle name="Input [yellow] 2 4 16 7" xfId="28927"/>
    <cellStyle name="Input [yellow] 2 4 17" xfId="5337"/>
    <cellStyle name="Input [yellow] 2 4 17 2" xfId="28928"/>
    <cellStyle name="Input [yellow] 2 4 17 3" xfId="28929"/>
    <cellStyle name="Input [yellow] 2 4 17 4" xfId="28930"/>
    <cellStyle name="Input [yellow] 2 4 17 5" xfId="28931"/>
    <cellStyle name="Input [yellow] 2 4 17 6" xfId="28932"/>
    <cellStyle name="Input [yellow] 2 4 17 7" xfId="28933"/>
    <cellStyle name="Input [yellow] 2 4 18" xfId="5338"/>
    <cellStyle name="Input [yellow] 2 4 18 2" xfId="28934"/>
    <cellStyle name="Input [yellow] 2 4 18 3" xfId="28935"/>
    <cellStyle name="Input [yellow] 2 4 18 4" xfId="28936"/>
    <cellStyle name="Input [yellow] 2 4 18 5" xfId="28937"/>
    <cellStyle name="Input [yellow] 2 4 18 6" xfId="28938"/>
    <cellStyle name="Input [yellow] 2 4 18 7" xfId="28939"/>
    <cellStyle name="Input [yellow] 2 4 19" xfId="5339"/>
    <cellStyle name="Input [yellow] 2 4 19 2" xfId="28940"/>
    <cellStyle name="Input [yellow] 2 4 19 3" xfId="28941"/>
    <cellStyle name="Input [yellow] 2 4 19 4" xfId="28942"/>
    <cellStyle name="Input [yellow] 2 4 19 5" xfId="28943"/>
    <cellStyle name="Input [yellow] 2 4 19 6" xfId="28944"/>
    <cellStyle name="Input [yellow] 2 4 19 7" xfId="28945"/>
    <cellStyle name="Input [yellow] 2 4 2" xfId="5340"/>
    <cellStyle name="Input [yellow] 2 4 2 10" xfId="28946"/>
    <cellStyle name="Input [yellow] 2 4 2 11" xfId="28947"/>
    <cellStyle name="Input [yellow] 2 4 2 2" xfId="28948"/>
    <cellStyle name="Input [yellow] 2 4 2 3" xfId="28949"/>
    <cellStyle name="Input [yellow] 2 4 2 4" xfId="28950"/>
    <cellStyle name="Input [yellow] 2 4 2 5" xfId="28951"/>
    <cellStyle name="Input [yellow] 2 4 2 6" xfId="28952"/>
    <cellStyle name="Input [yellow] 2 4 2 7" xfId="28953"/>
    <cellStyle name="Input [yellow] 2 4 2 8" xfId="28954"/>
    <cellStyle name="Input [yellow] 2 4 2 9" xfId="28955"/>
    <cellStyle name="Input [yellow] 2 4 20" xfId="5341"/>
    <cellStyle name="Input [yellow] 2 4 20 2" xfId="28956"/>
    <cellStyle name="Input [yellow] 2 4 20 3" xfId="28957"/>
    <cellStyle name="Input [yellow] 2 4 20 4" xfId="28958"/>
    <cellStyle name="Input [yellow] 2 4 20 5" xfId="28959"/>
    <cellStyle name="Input [yellow] 2 4 20 6" xfId="28960"/>
    <cellStyle name="Input [yellow] 2 4 20 7" xfId="28961"/>
    <cellStyle name="Input [yellow] 2 4 21" xfId="5342"/>
    <cellStyle name="Input [yellow] 2 4 21 2" xfId="28962"/>
    <cellStyle name="Input [yellow] 2 4 21 3" xfId="28963"/>
    <cellStyle name="Input [yellow] 2 4 21 4" xfId="28964"/>
    <cellStyle name="Input [yellow] 2 4 21 5" xfId="28965"/>
    <cellStyle name="Input [yellow] 2 4 21 6" xfId="28966"/>
    <cellStyle name="Input [yellow] 2 4 21 7" xfId="28967"/>
    <cellStyle name="Input [yellow] 2 4 22" xfId="5343"/>
    <cellStyle name="Input [yellow] 2 4 22 2" xfId="28968"/>
    <cellStyle name="Input [yellow] 2 4 22 3" xfId="28969"/>
    <cellStyle name="Input [yellow] 2 4 22 4" xfId="28970"/>
    <cellStyle name="Input [yellow] 2 4 22 5" xfId="28971"/>
    <cellStyle name="Input [yellow] 2 4 22 6" xfId="28972"/>
    <cellStyle name="Input [yellow] 2 4 22 7" xfId="28973"/>
    <cellStyle name="Input [yellow] 2 4 23" xfId="5344"/>
    <cellStyle name="Input [yellow] 2 4 23 2" xfId="28974"/>
    <cellStyle name="Input [yellow] 2 4 23 3" xfId="28975"/>
    <cellStyle name="Input [yellow] 2 4 23 4" xfId="28976"/>
    <cellStyle name="Input [yellow] 2 4 23 5" xfId="28977"/>
    <cellStyle name="Input [yellow] 2 4 23 6" xfId="28978"/>
    <cellStyle name="Input [yellow] 2 4 23 7" xfId="28979"/>
    <cellStyle name="Input [yellow] 2 4 24" xfId="5345"/>
    <cellStyle name="Input [yellow] 2 4 24 2" xfId="28980"/>
    <cellStyle name="Input [yellow] 2 4 24 3" xfId="28981"/>
    <cellStyle name="Input [yellow] 2 4 24 4" xfId="28982"/>
    <cellStyle name="Input [yellow] 2 4 24 5" xfId="28983"/>
    <cellStyle name="Input [yellow] 2 4 24 6" xfId="28984"/>
    <cellStyle name="Input [yellow] 2 4 24 7" xfId="28985"/>
    <cellStyle name="Input [yellow] 2 4 25" xfId="5346"/>
    <cellStyle name="Input [yellow] 2 4 25 2" xfId="28986"/>
    <cellStyle name="Input [yellow] 2 4 25 3" xfId="28987"/>
    <cellStyle name="Input [yellow] 2 4 25 4" xfId="28988"/>
    <cellStyle name="Input [yellow] 2 4 25 5" xfId="28989"/>
    <cellStyle name="Input [yellow] 2 4 25 6" xfId="28990"/>
    <cellStyle name="Input [yellow] 2 4 25 7" xfId="28991"/>
    <cellStyle name="Input [yellow] 2 4 26" xfId="5347"/>
    <cellStyle name="Input [yellow] 2 4 26 2" xfId="28992"/>
    <cellStyle name="Input [yellow] 2 4 26 3" xfId="28993"/>
    <cellStyle name="Input [yellow] 2 4 26 4" xfId="28994"/>
    <cellStyle name="Input [yellow] 2 4 26 5" xfId="28995"/>
    <cellStyle name="Input [yellow] 2 4 26 6" xfId="28996"/>
    <cellStyle name="Input [yellow] 2 4 26 7" xfId="28997"/>
    <cellStyle name="Input [yellow] 2 4 27" xfId="5348"/>
    <cellStyle name="Input [yellow] 2 4 27 2" xfId="28998"/>
    <cellStyle name="Input [yellow] 2 4 27 3" xfId="28999"/>
    <cellStyle name="Input [yellow] 2 4 27 4" xfId="29000"/>
    <cellStyle name="Input [yellow] 2 4 27 5" xfId="29001"/>
    <cellStyle name="Input [yellow] 2 4 27 6" xfId="29002"/>
    <cellStyle name="Input [yellow] 2 4 27 7" xfId="29003"/>
    <cellStyle name="Input [yellow] 2 4 28" xfId="5349"/>
    <cellStyle name="Input [yellow] 2 4 28 2" xfId="29004"/>
    <cellStyle name="Input [yellow] 2 4 28 3" xfId="29005"/>
    <cellStyle name="Input [yellow] 2 4 28 4" xfId="29006"/>
    <cellStyle name="Input [yellow] 2 4 28 5" xfId="29007"/>
    <cellStyle name="Input [yellow] 2 4 28 6" xfId="29008"/>
    <cellStyle name="Input [yellow] 2 4 28 7" xfId="29009"/>
    <cellStyle name="Input [yellow] 2 4 29" xfId="5350"/>
    <cellStyle name="Input [yellow] 2 4 29 2" xfId="29010"/>
    <cellStyle name="Input [yellow] 2 4 29 3" xfId="29011"/>
    <cellStyle name="Input [yellow] 2 4 29 4" xfId="29012"/>
    <cellStyle name="Input [yellow] 2 4 29 5" xfId="29013"/>
    <cellStyle name="Input [yellow] 2 4 29 6" xfId="29014"/>
    <cellStyle name="Input [yellow] 2 4 29 7" xfId="29015"/>
    <cellStyle name="Input [yellow] 2 4 3" xfId="5351"/>
    <cellStyle name="Input [yellow] 2 4 3 10" xfId="29016"/>
    <cellStyle name="Input [yellow] 2 4 3 2" xfId="29017"/>
    <cellStyle name="Input [yellow] 2 4 3 3" xfId="29018"/>
    <cellStyle name="Input [yellow] 2 4 3 4" xfId="29019"/>
    <cellStyle name="Input [yellow] 2 4 3 5" xfId="29020"/>
    <cellStyle name="Input [yellow] 2 4 3 6" xfId="29021"/>
    <cellStyle name="Input [yellow] 2 4 3 7" xfId="29022"/>
    <cellStyle name="Input [yellow] 2 4 3 8" xfId="29023"/>
    <cellStyle name="Input [yellow] 2 4 3 9" xfId="29024"/>
    <cellStyle name="Input [yellow] 2 4 30" xfId="5352"/>
    <cellStyle name="Input [yellow] 2 4 30 2" xfId="29025"/>
    <cellStyle name="Input [yellow] 2 4 30 3" xfId="29026"/>
    <cellStyle name="Input [yellow] 2 4 30 4" xfId="29027"/>
    <cellStyle name="Input [yellow] 2 4 30 5" xfId="29028"/>
    <cellStyle name="Input [yellow] 2 4 30 6" xfId="29029"/>
    <cellStyle name="Input [yellow] 2 4 30 7" xfId="29030"/>
    <cellStyle name="Input [yellow] 2 4 31" xfId="5353"/>
    <cellStyle name="Input [yellow] 2 4 31 2" xfId="29031"/>
    <cellStyle name="Input [yellow] 2 4 31 3" xfId="29032"/>
    <cellStyle name="Input [yellow] 2 4 31 4" xfId="29033"/>
    <cellStyle name="Input [yellow] 2 4 31 5" xfId="29034"/>
    <cellStyle name="Input [yellow] 2 4 31 6" xfId="29035"/>
    <cellStyle name="Input [yellow] 2 4 31 7" xfId="29036"/>
    <cellStyle name="Input [yellow] 2 4 32" xfId="5354"/>
    <cellStyle name="Input [yellow] 2 4 32 2" xfId="29037"/>
    <cellStyle name="Input [yellow] 2 4 32 3" xfId="29038"/>
    <cellStyle name="Input [yellow] 2 4 32 4" xfId="29039"/>
    <cellStyle name="Input [yellow] 2 4 32 5" xfId="29040"/>
    <cellStyle name="Input [yellow] 2 4 32 6" xfId="29041"/>
    <cellStyle name="Input [yellow] 2 4 32 7" xfId="29042"/>
    <cellStyle name="Input [yellow] 2 4 33" xfId="5355"/>
    <cellStyle name="Input [yellow] 2 4 33 2" xfId="29043"/>
    <cellStyle name="Input [yellow] 2 4 33 3" xfId="29044"/>
    <cellStyle name="Input [yellow] 2 4 33 4" xfId="29045"/>
    <cellStyle name="Input [yellow] 2 4 33 5" xfId="29046"/>
    <cellStyle name="Input [yellow] 2 4 33 6" xfId="29047"/>
    <cellStyle name="Input [yellow] 2 4 33 7" xfId="29048"/>
    <cellStyle name="Input [yellow] 2 4 34" xfId="5356"/>
    <cellStyle name="Input [yellow] 2 4 34 2" xfId="29049"/>
    <cellStyle name="Input [yellow] 2 4 34 3" xfId="29050"/>
    <cellStyle name="Input [yellow] 2 4 34 4" xfId="29051"/>
    <cellStyle name="Input [yellow] 2 4 34 5" xfId="29052"/>
    <cellStyle name="Input [yellow] 2 4 34 6" xfId="29053"/>
    <cellStyle name="Input [yellow] 2 4 34 7" xfId="29054"/>
    <cellStyle name="Input [yellow] 2 4 35" xfId="5357"/>
    <cellStyle name="Input [yellow] 2 4 35 2" xfId="29055"/>
    <cellStyle name="Input [yellow] 2 4 35 3" xfId="29056"/>
    <cellStyle name="Input [yellow] 2 4 35 4" xfId="29057"/>
    <cellStyle name="Input [yellow] 2 4 35 5" xfId="29058"/>
    <cellStyle name="Input [yellow] 2 4 35 6" xfId="29059"/>
    <cellStyle name="Input [yellow] 2 4 35 7" xfId="29060"/>
    <cellStyle name="Input [yellow] 2 4 36" xfId="5358"/>
    <cellStyle name="Input [yellow] 2 4 36 2" xfId="29061"/>
    <cellStyle name="Input [yellow] 2 4 36 3" xfId="29062"/>
    <cellStyle name="Input [yellow] 2 4 36 4" xfId="29063"/>
    <cellStyle name="Input [yellow] 2 4 36 5" xfId="29064"/>
    <cellStyle name="Input [yellow] 2 4 36 6" xfId="29065"/>
    <cellStyle name="Input [yellow] 2 4 36 7" xfId="29066"/>
    <cellStyle name="Input [yellow] 2 4 37" xfId="5359"/>
    <cellStyle name="Input [yellow] 2 4 37 2" xfId="29067"/>
    <cellStyle name="Input [yellow] 2 4 37 3" xfId="29068"/>
    <cellStyle name="Input [yellow] 2 4 37 4" xfId="29069"/>
    <cellStyle name="Input [yellow] 2 4 37 5" xfId="29070"/>
    <cellStyle name="Input [yellow] 2 4 37 6" xfId="29071"/>
    <cellStyle name="Input [yellow] 2 4 37 7" xfId="29072"/>
    <cellStyle name="Input [yellow] 2 4 38" xfId="5360"/>
    <cellStyle name="Input [yellow] 2 4 38 2" xfId="29073"/>
    <cellStyle name="Input [yellow] 2 4 38 3" xfId="29074"/>
    <cellStyle name="Input [yellow] 2 4 38 4" xfId="29075"/>
    <cellStyle name="Input [yellow] 2 4 38 5" xfId="29076"/>
    <cellStyle name="Input [yellow] 2 4 38 6" xfId="29077"/>
    <cellStyle name="Input [yellow] 2 4 38 7" xfId="29078"/>
    <cellStyle name="Input [yellow] 2 4 39" xfId="5361"/>
    <cellStyle name="Input [yellow] 2 4 39 2" xfId="29079"/>
    <cellStyle name="Input [yellow] 2 4 39 3" xfId="29080"/>
    <cellStyle name="Input [yellow] 2 4 39 4" xfId="29081"/>
    <cellStyle name="Input [yellow] 2 4 39 5" xfId="29082"/>
    <cellStyle name="Input [yellow] 2 4 39 6" xfId="29083"/>
    <cellStyle name="Input [yellow] 2 4 39 7" xfId="29084"/>
    <cellStyle name="Input [yellow] 2 4 4" xfId="5362"/>
    <cellStyle name="Input [yellow] 2 4 4 10" xfId="29085"/>
    <cellStyle name="Input [yellow] 2 4 4 2" xfId="29086"/>
    <cellStyle name="Input [yellow] 2 4 4 3" xfId="29087"/>
    <cellStyle name="Input [yellow] 2 4 4 4" xfId="29088"/>
    <cellStyle name="Input [yellow] 2 4 4 5" xfId="29089"/>
    <cellStyle name="Input [yellow] 2 4 4 6" xfId="29090"/>
    <cellStyle name="Input [yellow] 2 4 4 7" xfId="29091"/>
    <cellStyle name="Input [yellow] 2 4 4 8" xfId="29092"/>
    <cellStyle name="Input [yellow] 2 4 4 9" xfId="29093"/>
    <cellStyle name="Input [yellow] 2 4 40" xfId="5363"/>
    <cellStyle name="Input [yellow] 2 4 40 2" xfId="29094"/>
    <cellStyle name="Input [yellow] 2 4 40 3" xfId="29095"/>
    <cellStyle name="Input [yellow] 2 4 40 4" xfId="29096"/>
    <cellStyle name="Input [yellow] 2 4 40 5" xfId="29097"/>
    <cellStyle name="Input [yellow] 2 4 40 6" xfId="29098"/>
    <cellStyle name="Input [yellow] 2 4 40 7" xfId="29099"/>
    <cellStyle name="Input [yellow] 2 4 41" xfId="5364"/>
    <cellStyle name="Input [yellow] 2 4 41 2" xfId="29100"/>
    <cellStyle name="Input [yellow] 2 4 41 3" xfId="29101"/>
    <cellStyle name="Input [yellow] 2 4 41 4" xfId="29102"/>
    <cellStyle name="Input [yellow] 2 4 41 5" xfId="29103"/>
    <cellStyle name="Input [yellow] 2 4 41 6" xfId="29104"/>
    <cellStyle name="Input [yellow] 2 4 41 7" xfId="29105"/>
    <cellStyle name="Input [yellow] 2 4 42" xfId="5365"/>
    <cellStyle name="Input [yellow] 2 4 42 2" xfId="29106"/>
    <cellStyle name="Input [yellow] 2 4 42 3" xfId="29107"/>
    <cellStyle name="Input [yellow] 2 4 42 4" xfId="29108"/>
    <cellStyle name="Input [yellow] 2 4 42 5" xfId="29109"/>
    <cellStyle name="Input [yellow] 2 4 42 6" xfId="29110"/>
    <cellStyle name="Input [yellow] 2 4 42 7" xfId="29111"/>
    <cellStyle name="Input [yellow] 2 4 43" xfId="5366"/>
    <cellStyle name="Input [yellow] 2 4 43 2" xfId="29112"/>
    <cellStyle name="Input [yellow] 2 4 43 3" xfId="29113"/>
    <cellStyle name="Input [yellow] 2 4 43 4" xfId="29114"/>
    <cellStyle name="Input [yellow] 2 4 43 5" xfId="29115"/>
    <cellStyle name="Input [yellow] 2 4 43 6" xfId="29116"/>
    <cellStyle name="Input [yellow] 2 4 43 7" xfId="29117"/>
    <cellStyle name="Input [yellow] 2 4 44" xfId="5367"/>
    <cellStyle name="Input [yellow] 2 4 44 2" xfId="29118"/>
    <cellStyle name="Input [yellow] 2 4 44 3" xfId="29119"/>
    <cellStyle name="Input [yellow] 2 4 44 4" xfId="29120"/>
    <cellStyle name="Input [yellow] 2 4 44 5" xfId="29121"/>
    <cellStyle name="Input [yellow] 2 4 44 6" xfId="29122"/>
    <cellStyle name="Input [yellow] 2 4 44 7" xfId="29123"/>
    <cellStyle name="Input [yellow] 2 4 45" xfId="5368"/>
    <cellStyle name="Input [yellow] 2 4 45 2" xfId="29124"/>
    <cellStyle name="Input [yellow] 2 4 45 3" xfId="29125"/>
    <cellStyle name="Input [yellow] 2 4 45 4" xfId="29126"/>
    <cellStyle name="Input [yellow] 2 4 45 5" xfId="29127"/>
    <cellStyle name="Input [yellow] 2 4 45 6" xfId="29128"/>
    <cellStyle name="Input [yellow] 2 4 45 7" xfId="29129"/>
    <cellStyle name="Input [yellow] 2 4 46" xfId="5369"/>
    <cellStyle name="Input [yellow] 2 4 46 2" xfId="29130"/>
    <cellStyle name="Input [yellow] 2 4 46 3" xfId="29131"/>
    <cellStyle name="Input [yellow] 2 4 46 4" xfId="29132"/>
    <cellStyle name="Input [yellow] 2 4 46 5" xfId="29133"/>
    <cellStyle name="Input [yellow] 2 4 46 6" xfId="29134"/>
    <cellStyle name="Input [yellow] 2 4 46 7" xfId="29135"/>
    <cellStyle name="Input [yellow] 2 4 47" xfId="5370"/>
    <cellStyle name="Input [yellow] 2 4 47 2" xfId="29136"/>
    <cellStyle name="Input [yellow] 2 4 47 3" xfId="29137"/>
    <cellStyle name="Input [yellow] 2 4 47 4" xfId="29138"/>
    <cellStyle name="Input [yellow] 2 4 47 5" xfId="29139"/>
    <cellStyle name="Input [yellow] 2 4 47 6" xfId="29140"/>
    <cellStyle name="Input [yellow] 2 4 47 7" xfId="29141"/>
    <cellStyle name="Input [yellow] 2 4 48" xfId="5371"/>
    <cellStyle name="Input [yellow] 2 4 48 2" xfId="29142"/>
    <cellStyle name="Input [yellow] 2 4 48 3" xfId="29143"/>
    <cellStyle name="Input [yellow] 2 4 48 4" xfId="29144"/>
    <cellStyle name="Input [yellow] 2 4 48 5" xfId="29145"/>
    <cellStyle name="Input [yellow] 2 4 48 6" xfId="29146"/>
    <cellStyle name="Input [yellow] 2 4 48 7" xfId="29147"/>
    <cellStyle name="Input [yellow] 2 4 49" xfId="5372"/>
    <cellStyle name="Input [yellow] 2 4 49 2" xfId="29148"/>
    <cellStyle name="Input [yellow] 2 4 49 3" xfId="29149"/>
    <cellStyle name="Input [yellow] 2 4 49 4" xfId="29150"/>
    <cellStyle name="Input [yellow] 2 4 49 5" xfId="29151"/>
    <cellStyle name="Input [yellow] 2 4 49 6" xfId="29152"/>
    <cellStyle name="Input [yellow] 2 4 49 7" xfId="29153"/>
    <cellStyle name="Input [yellow] 2 4 5" xfId="5373"/>
    <cellStyle name="Input [yellow] 2 4 5 2" xfId="29154"/>
    <cellStyle name="Input [yellow] 2 4 5 3" xfId="29155"/>
    <cellStyle name="Input [yellow] 2 4 5 4" xfId="29156"/>
    <cellStyle name="Input [yellow] 2 4 5 5" xfId="29157"/>
    <cellStyle name="Input [yellow] 2 4 5 6" xfId="29158"/>
    <cellStyle name="Input [yellow] 2 4 5 7" xfId="29159"/>
    <cellStyle name="Input [yellow] 2 4 50" xfId="5374"/>
    <cellStyle name="Input [yellow] 2 4 50 2" xfId="29160"/>
    <cellStyle name="Input [yellow] 2 4 50 3" xfId="29161"/>
    <cellStyle name="Input [yellow] 2 4 50 4" xfId="29162"/>
    <cellStyle name="Input [yellow] 2 4 50 5" xfId="29163"/>
    <cellStyle name="Input [yellow] 2 4 50 6" xfId="29164"/>
    <cellStyle name="Input [yellow] 2 4 50 7" xfId="29165"/>
    <cellStyle name="Input [yellow] 2 4 51" xfId="5375"/>
    <cellStyle name="Input [yellow] 2 4 51 2" xfId="29166"/>
    <cellStyle name="Input [yellow] 2 4 51 3" xfId="29167"/>
    <cellStyle name="Input [yellow] 2 4 51 4" xfId="29168"/>
    <cellStyle name="Input [yellow] 2 4 51 5" xfId="29169"/>
    <cellStyle name="Input [yellow] 2 4 51 6" xfId="29170"/>
    <cellStyle name="Input [yellow] 2 4 51 7" xfId="29171"/>
    <cellStyle name="Input [yellow] 2 4 52" xfId="5376"/>
    <cellStyle name="Input [yellow] 2 4 52 2" xfId="29172"/>
    <cellStyle name="Input [yellow] 2 4 52 3" xfId="29173"/>
    <cellStyle name="Input [yellow] 2 4 52 4" xfId="29174"/>
    <cellStyle name="Input [yellow] 2 4 52 5" xfId="29175"/>
    <cellStyle name="Input [yellow] 2 4 52 6" xfId="29176"/>
    <cellStyle name="Input [yellow] 2 4 52 7" xfId="29177"/>
    <cellStyle name="Input [yellow] 2 4 53" xfId="5377"/>
    <cellStyle name="Input [yellow] 2 4 53 2" xfId="29178"/>
    <cellStyle name="Input [yellow] 2 4 53 3" xfId="29179"/>
    <cellStyle name="Input [yellow] 2 4 53 4" xfId="29180"/>
    <cellStyle name="Input [yellow] 2 4 53 5" xfId="29181"/>
    <cellStyle name="Input [yellow] 2 4 53 6" xfId="29182"/>
    <cellStyle name="Input [yellow] 2 4 53 7" xfId="29183"/>
    <cellStyle name="Input [yellow] 2 4 54" xfId="5378"/>
    <cellStyle name="Input [yellow] 2 4 54 2" xfId="29184"/>
    <cellStyle name="Input [yellow] 2 4 54 3" xfId="29185"/>
    <cellStyle name="Input [yellow] 2 4 54 4" xfId="29186"/>
    <cellStyle name="Input [yellow] 2 4 54 5" xfId="29187"/>
    <cellStyle name="Input [yellow] 2 4 54 6" xfId="29188"/>
    <cellStyle name="Input [yellow] 2 4 54 7" xfId="29189"/>
    <cellStyle name="Input [yellow] 2 4 55" xfId="5379"/>
    <cellStyle name="Input [yellow] 2 4 55 2" xfId="29190"/>
    <cellStyle name="Input [yellow] 2 4 55 3" xfId="29191"/>
    <cellStyle name="Input [yellow] 2 4 55 4" xfId="29192"/>
    <cellStyle name="Input [yellow] 2 4 55 5" xfId="29193"/>
    <cellStyle name="Input [yellow] 2 4 55 6" xfId="29194"/>
    <cellStyle name="Input [yellow] 2 4 55 7" xfId="29195"/>
    <cellStyle name="Input [yellow] 2 4 56" xfId="5380"/>
    <cellStyle name="Input [yellow] 2 4 56 2" xfId="29196"/>
    <cellStyle name="Input [yellow] 2 4 56 3" xfId="29197"/>
    <cellStyle name="Input [yellow] 2 4 56 4" xfId="29198"/>
    <cellStyle name="Input [yellow] 2 4 56 5" xfId="29199"/>
    <cellStyle name="Input [yellow] 2 4 56 6" xfId="29200"/>
    <cellStyle name="Input [yellow] 2 4 56 7" xfId="29201"/>
    <cellStyle name="Input [yellow] 2 4 57" xfId="5381"/>
    <cellStyle name="Input [yellow] 2 4 57 2" xfId="29202"/>
    <cellStyle name="Input [yellow] 2 4 57 3" xfId="29203"/>
    <cellStyle name="Input [yellow] 2 4 57 4" xfId="29204"/>
    <cellStyle name="Input [yellow] 2 4 57 5" xfId="29205"/>
    <cellStyle name="Input [yellow] 2 4 57 6" xfId="29206"/>
    <cellStyle name="Input [yellow] 2 4 57 7" xfId="29207"/>
    <cellStyle name="Input [yellow] 2 4 58" xfId="5382"/>
    <cellStyle name="Input [yellow] 2 4 58 2" xfId="29208"/>
    <cellStyle name="Input [yellow] 2 4 58 3" xfId="29209"/>
    <cellStyle name="Input [yellow] 2 4 58 4" xfId="29210"/>
    <cellStyle name="Input [yellow] 2 4 58 5" xfId="29211"/>
    <cellStyle name="Input [yellow] 2 4 58 6" xfId="29212"/>
    <cellStyle name="Input [yellow] 2 4 58 7" xfId="29213"/>
    <cellStyle name="Input [yellow] 2 4 59" xfId="5383"/>
    <cellStyle name="Input [yellow] 2 4 59 2" xfId="29214"/>
    <cellStyle name="Input [yellow] 2 4 59 3" xfId="29215"/>
    <cellStyle name="Input [yellow] 2 4 59 4" xfId="29216"/>
    <cellStyle name="Input [yellow] 2 4 59 5" xfId="29217"/>
    <cellStyle name="Input [yellow] 2 4 59 6" xfId="29218"/>
    <cellStyle name="Input [yellow] 2 4 59 7" xfId="29219"/>
    <cellStyle name="Input [yellow] 2 4 6" xfId="5384"/>
    <cellStyle name="Input [yellow] 2 4 6 2" xfId="29220"/>
    <cellStyle name="Input [yellow] 2 4 6 3" xfId="29221"/>
    <cellStyle name="Input [yellow] 2 4 6 4" xfId="29222"/>
    <cellStyle name="Input [yellow] 2 4 6 5" xfId="29223"/>
    <cellStyle name="Input [yellow] 2 4 6 6" xfId="29224"/>
    <cellStyle name="Input [yellow] 2 4 6 7" xfId="29225"/>
    <cellStyle name="Input [yellow] 2 4 60" xfId="5385"/>
    <cellStyle name="Input [yellow] 2 4 60 2" xfId="29226"/>
    <cellStyle name="Input [yellow] 2 4 60 3" xfId="29227"/>
    <cellStyle name="Input [yellow] 2 4 60 4" xfId="29228"/>
    <cellStyle name="Input [yellow] 2 4 60 5" xfId="29229"/>
    <cellStyle name="Input [yellow] 2 4 60 6" xfId="29230"/>
    <cellStyle name="Input [yellow] 2 4 60 7" xfId="29231"/>
    <cellStyle name="Input [yellow] 2 4 61" xfId="5386"/>
    <cellStyle name="Input [yellow] 2 4 61 2" xfId="29232"/>
    <cellStyle name="Input [yellow] 2 4 61 3" xfId="29233"/>
    <cellStyle name="Input [yellow] 2 4 61 4" xfId="29234"/>
    <cellStyle name="Input [yellow] 2 4 61 5" xfId="29235"/>
    <cellStyle name="Input [yellow] 2 4 61 6" xfId="29236"/>
    <cellStyle name="Input [yellow] 2 4 61 7" xfId="29237"/>
    <cellStyle name="Input [yellow] 2 4 62" xfId="5387"/>
    <cellStyle name="Input [yellow] 2 4 62 2" xfId="29238"/>
    <cellStyle name="Input [yellow] 2 4 62 3" xfId="29239"/>
    <cellStyle name="Input [yellow] 2 4 62 4" xfId="29240"/>
    <cellStyle name="Input [yellow] 2 4 62 5" xfId="29241"/>
    <cellStyle name="Input [yellow] 2 4 62 6" xfId="29242"/>
    <cellStyle name="Input [yellow] 2 4 62 7" xfId="29243"/>
    <cellStyle name="Input [yellow] 2 4 63" xfId="5388"/>
    <cellStyle name="Input [yellow] 2 4 63 2" xfId="29244"/>
    <cellStyle name="Input [yellow] 2 4 63 3" xfId="29245"/>
    <cellStyle name="Input [yellow] 2 4 63 4" xfId="29246"/>
    <cellStyle name="Input [yellow] 2 4 63 5" xfId="29247"/>
    <cellStyle name="Input [yellow] 2 4 63 6" xfId="29248"/>
    <cellStyle name="Input [yellow] 2 4 63 7" xfId="29249"/>
    <cellStyle name="Input [yellow] 2 4 64" xfId="5389"/>
    <cellStyle name="Input [yellow] 2 4 64 2" xfId="29250"/>
    <cellStyle name="Input [yellow] 2 4 64 3" xfId="29251"/>
    <cellStyle name="Input [yellow] 2 4 64 4" xfId="29252"/>
    <cellStyle name="Input [yellow] 2 4 64 5" xfId="29253"/>
    <cellStyle name="Input [yellow] 2 4 64 6" xfId="29254"/>
    <cellStyle name="Input [yellow] 2 4 64 7" xfId="29255"/>
    <cellStyle name="Input [yellow] 2 4 65" xfId="5390"/>
    <cellStyle name="Input [yellow] 2 4 65 2" xfId="29256"/>
    <cellStyle name="Input [yellow] 2 4 65 3" xfId="29257"/>
    <cellStyle name="Input [yellow] 2 4 65 4" xfId="29258"/>
    <cellStyle name="Input [yellow] 2 4 65 5" xfId="29259"/>
    <cellStyle name="Input [yellow] 2 4 65 6" xfId="29260"/>
    <cellStyle name="Input [yellow] 2 4 65 7" xfId="29261"/>
    <cellStyle name="Input [yellow] 2 4 66" xfId="5391"/>
    <cellStyle name="Input [yellow] 2 4 66 2" xfId="29262"/>
    <cellStyle name="Input [yellow] 2 4 66 3" xfId="29263"/>
    <cellStyle name="Input [yellow] 2 4 66 4" xfId="29264"/>
    <cellStyle name="Input [yellow] 2 4 66 5" xfId="29265"/>
    <cellStyle name="Input [yellow] 2 4 66 6" xfId="29266"/>
    <cellStyle name="Input [yellow] 2 4 66 7" xfId="29267"/>
    <cellStyle name="Input [yellow] 2 4 67" xfId="5392"/>
    <cellStyle name="Input [yellow] 2 4 67 2" xfId="29268"/>
    <cellStyle name="Input [yellow] 2 4 67 3" xfId="29269"/>
    <cellStyle name="Input [yellow] 2 4 67 4" xfId="29270"/>
    <cellStyle name="Input [yellow] 2 4 67 5" xfId="29271"/>
    <cellStyle name="Input [yellow] 2 4 67 6" xfId="29272"/>
    <cellStyle name="Input [yellow] 2 4 67 7" xfId="29273"/>
    <cellStyle name="Input [yellow] 2 4 68" xfId="5393"/>
    <cellStyle name="Input [yellow] 2 4 68 2" xfId="29274"/>
    <cellStyle name="Input [yellow] 2 4 68 3" xfId="29275"/>
    <cellStyle name="Input [yellow] 2 4 68 4" xfId="29276"/>
    <cellStyle name="Input [yellow] 2 4 68 5" xfId="29277"/>
    <cellStyle name="Input [yellow] 2 4 68 6" xfId="29278"/>
    <cellStyle name="Input [yellow] 2 4 68 7" xfId="29279"/>
    <cellStyle name="Input [yellow] 2 4 69" xfId="5394"/>
    <cellStyle name="Input [yellow] 2 4 69 2" xfId="29280"/>
    <cellStyle name="Input [yellow] 2 4 69 3" xfId="29281"/>
    <cellStyle name="Input [yellow] 2 4 69 4" xfId="29282"/>
    <cellStyle name="Input [yellow] 2 4 69 5" xfId="29283"/>
    <cellStyle name="Input [yellow] 2 4 69 6" xfId="29284"/>
    <cellStyle name="Input [yellow] 2 4 69 7" xfId="29285"/>
    <cellStyle name="Input [yellow] 2 4 7" xfId="5395"/>
    <cellStyle name="Input [yellow] 2 4 7 2" xfId="29286"/>
    <cellStyle name="Input [yellow] 2 4 7 3" xfId="29287"/>
    <cellStyle name="Input [yellow] 2 4 7 4" xfId="29288"/>
    <cellStyle name="Input [yellow] 2 4 7 5" xfId="29289"/>
    <cellStyle name="Input [yellow] 2 4 7 6" xfId="29290"/>
    <cellStyle name="Input [yellow] 2 4 7 7" xfId="29291"/>
    <cellStyle name="Input [yellow] 2 4 70" xfId="5396"/>
    <cellStyle name="Input [yellow] 2 4 70 2" xfId="29292"/>
    <cellStyle name="Input [yellow] 2 4 70 3" xfId="29293"/>
    <cellStyle name="Input [yellow] 2 4 70 4" xfId="29294"/>
    <cellStyle name="Input [yellow] 2 4 70 5" xfId="29295"/>
    <cellStyle name="Input [yellow] 2 4 70 6" xfId="29296"/>
    <cellStyle name="Input [yellow] 2 4 70 7" xfId="29297"/>
    <cellStyle name="Input [yellow] 2 4 71" xfId="5397"/>
    <cellStyle name="Input [yellow] 2 4 71 2" xfId="29298"/>
    <cellStyle name="Input [yellow] 2 4 71 3" xfId="29299"/>
    <cellStyle name="Input [yellow] 2 4 71 4" xfId="29300"/>
    <cellStyle name="Input [yellow] 2 4 71 5" xfId="29301"/>
    <cellStyle name="Input [yellow] 2 4 71 6" xfId="29302"/>
    <cellStyle name="Input [yellow] 2 4 71 7" xfId="29303"/>
    <cellStyle name="Input [yellow] 2 4 72" xfId="5398"/>
    <cellStyle name="Input [yellow] 2 4 72 2" xfId="29304"/>
    <cellStyle name="Input [yellow] 2 4 72 3" xfId="29305"/>
    <cellStyle name="Input [yellow] 2 4 72 4" xfId="29306"/>
    <cellStyle name="Input [yellow] 2 4 72 5" xfId="29307"/>
    <cellStyle name="Input [yellow] 2 4 72 6" xfId="29308"/>
    <cellStyle name="Input [yellow] 2 4 72 7" xfId="29309"/>
    <cellStyle name="Input [yellow] 2 4 73" xfId="5399"/>
    <cellStyle name="Input [yellow] 2 4 73 2" xfId="29310"/>
    <cellStyle name="Input [yellow] 2 4 73 3" xfId="29311"/>
    <cellStyle name="Input [yellow] 2 4 73 4" xfId="29312"/>
    <cellStyle name="Input [yellow] 2 4 73 5" xfId="29313"/>
    <cellStyle name="Input [yellow] 2 4 73 6" xfId="29314"/>
    <cellStyle name="Input [yellow] 2 4 73 7" xfId="29315"/>
    <cellStyle name="Input [yellow] 2 4 74" xfId="5400"/>
    <cellStyle name="Input [yellow] 2 4 74 2" xfId="29316"/>
    <cellStyle name="Input [yellow] 2 4 74 3" xfId="29317"/>
    <cellStyle name="Input [yellow] 2 4 74 4" xfId="29318"/>
    <cellStyle name="Input [yellow] 2 4 74 5" xfId="29319"/>
    <cellStyle name="Input [yellow] 2 4 74 6" xfId="29320"/>
    <cellStyle name="Input [yellow] 2 4 74 7" xfId="29321"/>
    <cellStyle name="Input [yellow] 2 4 75" xfId="5401"/>
    <cellStyle name="Input [yellow] 2 4 75 2" xfId="29322"/>
    <cellStyle name="Input [yellow] 2 4 75 3" xfId="29323"/>
    <cellStyle name="Input [yellow] 2 4 75 4" xfId="29324"/>
    <cellStyle name="Input [yellow] 2 4 75 5" xfId="29325"/>
    <cellStyle name="Input [yellow] 2 4 75 6" xfId="29326"/>
    <cellStyle name="Input [yellow] 2 4 75 7" xfId="29327"/>
    <cellStyle name="Input [yellow] 2 4 76" xfId="5402"/>
    <cellStyle name="Input [yellow] 2 4 76 2" xfId="29328"/>
    <cellStyle name="Input [yellow] 2 4 76 3" xfId="29329"/>
    <cellStyle name="Input [yellow] 2 4 76 4" xfId="29330"/>
    <cellStyle name="Input [yellow] 2 4 76 5" xfId="29331"/>
    <cellStyle name="Input [yellow] 2 4 76 6" xfId="29332"/>
    <cellStyle name="Input [yellow] 2 4 76 7" xfId="29333"/>
    <cellStyle name="Input [yellow] 2 4 77" xfId="5403"/>
    <cellStyle name="Input [yellow] 2 4 77 2" xfId="29334"/>
    <cellStyle name="Input [yellow] 2 4 77 3" xfId="29335"/>
    <cellStyle name="Input [yellow] 2 4 77 4" xfId="29336"/>
    <cellStyle name="Input [yellow] 2 4 77 5" xfId="29337"/>
    <cellStyle name="Input [yellow] 2 4 77 6" xfId="29338"/>
    <cellStyle name="Input [yellow] 2 4 77 7" xfId="29339"/>
    <cellStyle name="Input [yellow] 2 4 78" xfId="5404"/>
    <cellStyle name="Input [yellow] 2 4 78 2" xfId="29340"/>
    <cellStyle name="Input [yellow] 2 4 78 3" xfId="29341"/>
    <cellStyle name="Input [yellow] 2 4 78 4" xfId="29342"/>
    <cellStyle name="Input [yellow] 2 4 78 5" xfId="29343"/>
    <cellStyle name="Input [yellow] 2 4 78 6" xfId="29344"/>
    <cellStyle name="Input [yellow] 2 4 78 7" xfId="29345"/>
    <cellStyle name="Input [yellow] 2 4 79" xfId="5405"/>
    <cellStyle name="Input [yellow] 2 4 79 2" xfId="29346"/>
    <cellStyle name="Input [yellow] 2 4 79 3" xfId="29347"/>
    <cellStyle name="Input [yellow] 2 4 79 4" xfId="29348"/>
    <cellStyle name="Input [yellow] 2 4 79 5" xfId="29349"/>
    <cellStyle name="Input [yellow] 2 4 79 6" xfId="29350"/>
    <cellStyle name="Input [yellow] 2 4 79 7" xfId="29351"/>
    <cellStyle name="Input [yellow] 2 4 8" xfId="5406"/>
    <cellStyle name="Input [yellow] 2 4 8 2" xfId="29352"/>
    <cellStyle name="Input [yellow] 2 4 8 3" xfId="29353"/>
    <cellStyle name="Input [yellow] 2 4 8 4" xfId="29354"/>
    <cellStyle name="Input [yellow] 2 4 8 5" xfId="29355"/>
    <cellStyle name="Input [yellow] 2 4 8 6" xfId="29356"/>
    <cellStyle name="Input [yellow] 2 4 8 7" xfId="29357"/>
    <cellStyle name="Input [yellow] 2 4 80" xfId="5407"/>
    <cellStyle name="Input [yellow] 2 4 80 2" xfId="29358"/>
    <cellStyle name="Input [yellow] 2 4 80 3" xfId="29359"/>
    <cellStyle name="Input [yellow] 2 4 80 4" xfId="29360"/>
    <cellStyle name="Input [yellow] 2 4 80 5" xfId="29361"/>
    <cellStyle name="Input [yellow] 2 4 80 6" xfId="29362"/>
    <cellStyle name="Input [yellow] 2 4 80 7" xfId="29363"/>
    <cellStyle name="Input [yellow] 2 4 81" xfId="5408"/>
    <cellStyle name="Input [yellow] 2 4 81 2" xfId="29364"/>
    <cellStyle name="Input [yellow] 2 4 81 3" xfId="29365"/>
    <cellStyle name="Input [yellow] 2 4 81 4" xfId="29366"/>
    <cellStyle name="Input [yellow] 2 4 81 5" xfId="29367"/>
    <cellStyle name="Input [yellow] 2 4 81 6" xfId="29368"/>
    <cellStyle name="Input [yellow] 2 4 81 7" xfId="29369"/>
    <cellStyle name="Input [yellow] 2 4 82" xfId="5409"/>
    <cellStyle name="Input [yellow] 2 4 82 2" xfId="29370"/>
    <cellStyle name="Input [yellow] 2 4 82 3" xfId="29371"/>
    <cellStyle name="Input [yellow] 2 4 82 4" xfId="29372"/>
    <cellStyle name="Input [yellow] 2 4 82 5" xfId="29373"/>
    <cellStyle name="Input [yellow] 2 4 82 6" xfId="29374"/>
    <cellStyle name="Input [yellow] 2 4 82 7" xfId="29375"/>
    <cellStyle name="Input [yellow] 2 4 83" xfId="5410"/>
    <cellStyle name="Input [yellow] 2 4 83 2" xfId="29376"/>
    <cellStyle name="Input [yellow] 2 4 83 3" xfId="29377"/>
    <cellStyle name="Input [yellow] 2 4 83 4" xfId="29378"/>
    <cellStyle name="Input [yellow] 2 4 83 5" xfId="29379"/>
    <cellStyle name="Input [yellow] 2 4 83 6" xfId="29380"/>
    <cellStyle name="Input [yellow] 2 4 83 7" xfId="29381"/>
    <cellStyle name="Input [yellow] 2 4 84" xfId="5411"/>
    <cellStyle name="Input [yellow] 2 4 84 2" xfId="29382"/>
    <cellStyle name="Input [yellow] 2 4 84 3" xfId="29383"/>
    <cellStyle name="Input [yellow] 2 4 84 4" xfId="29384"/>
    <cellStyle name="Input [yellow] 2 4 84 5" xfId="29385"/>
    <cellStyle name="Input [yellow] 2 4 84 6" xfId="29386"/>
    <cellStyle name="Input [yellow] 2 4 84 7" xfId="29387"/>
    <cellStyle name="Input [yellow] 2 4 85" xfId="5412"/>
    <cellStyle name="Input [yellow] 2 4 85 2" xfId="29388"/>
    <cellStyle name="Input [yellow] 2 4 85 3" xfId="29389"/>
    <cellStyle name="Input [yellow] 2 4 85 4" xfId="29390"/>
    <cellStyle name="Input [yellow] 2 4 85 5" xfId="29391"/>
    <cellStyle name="Input [yellow] 2 4 85 6" xfId="29392"/>
    <cellStyle name="Input [yellow] 2 4 85 7" xfId="29393"/>
    <cellStyle name="Input [yellow] 2 4 86" xfId="5413"/>
    <cellStyle name="Input [yellow] 2 4 86 2" xfId="29394"/>
    <cellStyle name="Input [yellow] 2 4 86 3" xfId="29395"/>
    <cellStyle name="Input [yellow] 2 4 86 4" xfId="29396"/>
    <cellStyle name="Input [yellow] 2 4 86 5" xfId="29397"/>
    <cellStyle name="Input [yellow] 2 4 86 6" xfId="29398"/>
    <cellStyle name="Input [yellow] 2 4 86 7" xfId="29399"/>
    <cellStyle name="Input [yellow] 2 4 87" xfId="5414"/>
    <cellStyle name="Input [yellow] 2 4 87 2" xfId="29400"/>
    <cellStyle name="Input [yellow] 2 4 87 3" xfId="29401"/>
    <cellStyle name="Input [yellow] 2 4 87 4" xfId="29402"/>
    <cellStyle name="Input [yellow] 2 4 87 5" xfId="29403"/>
    <cellStyle name="Input [yellow] 2 4 87 6" xfId="29404"/>
    <cellStyle name="Input [yellow] 2 4 87 7" xfId="29405"/>
    <cellStyle name="Input [yellow] 2 4 88" xfId="5415"/>
    <cellStyle name="Input [yellow] 2 4 88 2" xfId="29406"/>
    <cellStyle name="Input [yellow] 2 4 88 3" xfId="29407"/>
    <cellStyle name="Input [yellow] 2 4 88 4" xfId="29408"/>
    <cellStyle name="Input [yellow] 2 4 88 5" xfId="29409"/>
    <cellStyle name="Input [yellow] 2 4 88 6" xfId="29410"/>
    <cellStyle name="Input [yellow] 2 4 88 7" xfId="29411"/>
    <cellStyle name="Input [yellow] 2 4 89" xfId="5416"/>
    <cellStyle name="Input [yellow] 2 4 89 2" xfId="29412"/>
    <cellStyle name="Input [yellow] 2 4 89 3" xfId="29413"/>
    <cellStyle name="Input [yellow] 2 4 89 4" xfId="29414"/>
    <cellStyle name="Input [yellow] 2 4 89 5" xfId="29415"/>
    <cellStyle name="Input [yellow] 2 4 89 6" xfId="29416"/>
    <cellStyle name="Input [yellow] 2 4 89 7" xfId="29417"/>
    <cellStyle name="Input [yellow] 2 4 9" xfId="5417"/>
    <cellStyle name="Input [yellow] 2 4 9 2" xfId="29418"/>
    <cellStyle name="Input [yellow] 2 4 9 3" xfId="29419"/>
    <cellStyle name="Input [yellow] 2 4 9 4" xfId="29420"/>
    <cellStyle name="Input [yellow] 2 4 9 5" xfId="29421"/>
    <cellStyle name="Input [yellow] 2 4 9 6" xfId="29422"/>
    <cellStyle name="Input [yellow] 2 4 9 7" xfId="29423"/>
    <cellStyle name="Input [yellow] 2 4 90" xfId="5418"/>
    <cellStyle name="Input [yellow] 2 4 90 2" xfId="29424"/>
    <cellStyle name="Input [yellow] 2 4 90 3" xfId="29425"/>
    <cellStyle name="Input [yellow] 2 4 90 4" xfId="29426"/>
    <cellStyle name="Input [yellow] 2 4 90 5" xfId="29427"/>
    <cellStyle name="Input [yellow] 2 4 90 6" xfId="29428"/>
    <cellStyle name="Input [yellow] 2 4 90 7" xfId="29429"/>
    <cellStyle name="Input [yellow] 2 4 91" xfId="5419"/>
    <cellStyle name="Input [yellow] 2 4 91 2" xfId="29430"/>
    <cellStyle name="Input [yellow] 2 4 91 3" xfId="29431"/>
    <cellStyle name="Input [yellow] 2 4 91 4" xfId="29432"/>
    <cellStyle name="Input [yellow] 2 4 91 5" xfId="29433"/>
    <cellStyle name="Input [yellow] 2 4 91 6" xfId="29434"/>
    <cellStyle name="Input [yellow] 2 4 91 7" xfId="29435"/>
    <cellStyle name="Input [yellow] 2 4 92" xfId="5420"/>
    <cellStyle name="Input [yellow] 2 4 92 2" xfId="29436"/>
    <cellStyle name="Input [yellow] 2 4 92 3" xfId="29437"/>
    <cellStyle name="Input [yellow] 2 4 92 4" xfId="29438"/>
    <cellStyle name="Input [yellow] 2 4 92 5" xfId="29439"/>
    <cellStyle name="Input [yellow] 2 4 92 6" xfId="29440"/>
    <cellStyle name="Input [yellow] 2 4 92 7" xfId="29441"/>
    <cellStyle name="Input [yellow] 2 4 93" xfId="5421"/>
    <cellStyle name="Input [yellow] 2 4 93 2" xfId="29442"/>
    <cellStyle name="Input [yellow] 2 4 93 3" xfId="29443"/>
    <cellStyle name="Input [yellow] 2 4 93 4" xfId="29444"/>
    <cellStyle name="Input [yellow] 2 4 93 5" xfId="29445"/>
    <cellStyle name="Input [yellow] 2 4 93 6" xfId="29446"/>
    <cellStyle name="Input [yellow] 2 4 94" xfId="29447"/>
    <cellStyle name="Input [yellow] 2 4 95" xfId="29448"/>
    <cellStyle name="Input [yellow] 2 4 96" xfId="29449"/>
    <cellStyle name="Input [yellow] 2 4 97" xfId="29450"/>
    <cellStyle name="Input [yellow] 2 4 98" xfId="29451"/>
    <cellStyle name="Input [yellow] 2 4 99" xfId="29452"/>
    <cellStyle name="Input [yellow] 2 40" xfId="5422"/>
    <cellStyle name="Input [yellow] 2 40 2" xfId="29453"/>
    <cellStyle name="Input [yellow] 2 40 3" xfId="29454"/>
    <cellStyle name="Input [yellow] 2 40 4" xfId="29455"/>
    <cellStyle name="Input [yellow] 2 40 5" xfId="29456"/>
    <cellStyle name="Input [yellow] 2 40 6" xfId="29457"/>
    <cellStyle name="Input [yellow] 2 40 7" xfId="29458"/>
    <cellStyle name="Input [yellow] 2 41" xfId="5423"/>
    <cellStyle name="Input [yellow] 2 41 2" xfId="29459"/>
    <cellStyle name="Input [yellow] 2 41 3" xfId="29460"/>
    <cellStyle name="Input [yellow] 2 41 4" xfId="29461"/>
    <cellStyle name="Input [yellow] 2 41 5" xfId="29462"/>
    <cellStyle name="Input [yellow] 2 41 6" xfId="29463"/>
    <cellStyle name="Input [yellow] 2 41 7" xfId="29464"/>
    <cellStyle name="Input [yellow] 2 42" xfId="5424"/>
    <cellStyle name="Input [yellow] 2 42 2" xfId="29465"/>
    <cellStyle name="Input [yellow] 2 42 3" xfId="29466"/>
    <cellStyle name="Input [yellow] 2 42 4" xfId="29467"/>
    <cellStyle name="Input [yellow] 2 42 5" xfId="29468"/>
    <cellStyle name="Input [yellow] 2 42 6" xfId="29469"/>
    <cellStyle name="Input [yellow] 2 42 7" xfId="29470"/>
    <cellStyle name="Input [yellow] 2 43" xfId="5425"/>
    <cellStyle name="Input [yellow] 2 43 2" xfId="29471"/>
    <cellStyle name="Input [yellow] 2 43 3" xfId="29472"/>
    <cellStyle name="Input [yellow] 2 43 4" xfId="29473"/>
    <cellStyle name="Input [yellow] 2 43 5" xfId="29474"/>
    <cellStyle name="Input [yellow] 2 43 6" xfId="29475"/>
    <cellStyle name="Input [yellow] 2 43 7" xfId="29476"/>
    <cellStyle name="Input [yellow] 2 44" xfId="5426"/>
    <cellStyle name="Input [yellow] 2 44 2" xfId="29477"/>
    <cellStyle name="Input [yellow] 2 44 3" xfId="29478"/>
    <cellStyle name="Input [yellow] 2 44 4" xfId="29479"/>
    <cellStyle name="Input [yellow] 2 44 5" xfId="29480"/>
    <cellStyle name="Input [yellow] 2 44 6" xfId="29481"/>
    <cellStyle name="Input [yellow] 2 44 7" xfId="29482"/>
    <cellStyle name="Input [yellow] 2 45" xfId="5427"/>
    <cellStyle name="Input [yellow] 2 45 2" xfId="29483"/>
    <cellStyle name="Input [yellow] 2 45 3" xfId="29484"/>
    <cellStyle name="Input [yellow] 2 45 4" xfId="29485"/>
    <cellStyle name="Input [yellow] 2 45 5" xfId="29486"/>
    <cellStyle name="Input [yellow] 2 45 6" xfId="29487"/>
    <cellStyle name="Input [yellow] 2 45 7" xfId="29488"/>
    <cellStyle name="Input [yellow] 2 46" xfId="5428"/>
    <cellStyle name="Input [yellow] 2 46 2" xfId="29489"/>
    <cellStyle name="Input [yellow] 2 46 3" xfId="29490"/>
    <cellStyle name="Input [yellow] 2 46 4" xfId="29491"/>
    <cellStyle name="Input [yellow] 2 46 5" xfId="29492"/>
    <cellStyle name="Input [yellow] 2 46 6" xfId="29493"/>
    <cellStyle name="Input [yellow] 2 46 7" xfId="29494"/>
    <cellStyle name="Input [yellow] 2 47" xfId="5429"/>
    <cellStyle name="Input [yellow] 2 47 2" xfId="29495"/>
    <cellStyle name="Input [yellow] 2 47 3" xfId="29496"/>
    <cellStyle name="Input [yellow] 2 47 4" xfId="29497"/>
    <cellStyle name="Input [yellow] 2 47 5" xfId="29498"/>
    <cellStyle name="Input [yellow] 2 47 6" xfId="29499"/>
    <cellStyle name="Input [yellow] 2 47 7" xfId="29500"/>
    <cellStyle name="Input [yellow] 2 48" xfId="5430"/>
    <cellStyle name="Input [yellow] 2 48 2" xfId="29501"/>
    <cellStyle name="Input [yellow] 2 48 3" xfId="29502"/>
    <cellStyle name="Input [yellow] 2 48 4" xfId="29503"/>
    <cellStyle name="Input [yellow] 2 48 5" xfId="29504"/>
    <cellStyle name="Input [yellow] 2 48 6" xfId="29505"/>
    <cellStyle name="Input [yellow] 2 48 7" xfId="29506"/>
    <cellStyle name="Input [yellow] 2 49" xfId="5431"/>
    <cellStyle name="Input [yellow] 2 49 2" xfId="29507"/>
    <cellStyle name="Input [yellow] 2 49 3" xfId="29508"/>
    <cellStyle name="Input [yellow] 2 49 4" xfId="29509"/>
    <cellStyle name="Input [yellow] 2 49 5" xfId="29510"/>
    <cellStyle name="Input [yellow] 2 49 6" xfId="29511"/>
    <cellStyle name="Input [yellow] 2 49 7" xfId="29512"/>
    <cellStyle name="Input [yellow] 2 5" xfId="5432"/>
    <cellStyle name="Input [yellow] 2 5 10" xfId="5433"/>
    <cellStyle name="Input [yellow] 2 5 10 2" xfId="29513"/>
    <cellStyle name="Input [yellow] 2 5 10 3" xfId="29514"/>
    <cellStyle name="Input [yellow] 2 5 10 4" xfId="29515"/>
    <cellStyle name="Input [yellow] 2 5 10 5" xfId="29516"/>
    <cellStyle name="Input [yellow] 2 5 10 6" xfId="29517"/>
    <cellStyle name="Input [yellow] 2 5 10 7" xfId="29518"/>
    <cellStyle name="Input [yellow] 2 5 100" xfId="29519"/>
    <cellStyle name="Input [yellow] 2 5 101" xfId="29520"/>
    <cellStyle name="Input [yellow] 2 5 102" xfId="29521"/>
    <cellStyle name="Input [yellow] 2 5 11" xfId="5434"/>
    <cellStyle name="Input [yellow] 2 5 11 2" xfId="29522"/>
    <cellStyle name="Input [yellow] 2 5 11 3" xfId="29523"/>
    <cellStyle name="Input [yellow] 2 5 11 4" xfId="29524"/>
    <cellStyle name="Input [yellow] 2 5 11 5" xfId="29525"/>
    <cellStyle name="Input [yellow] 2 5 11 6" xfId="29526"/>
    <cellStyle name="Input [yellow] 2 5 11 7" xfId="29527"/>
    <cellStyle name="Input [yellow] 2 5 12" xfId="5435"/>
    <cellStyle name="Input [yellow] 2 5 12 2" xfId="29528"/>
    <cellStyle name="Input [yellow] 2 5 12 3" xfId="29529"/>
    <cellStyle name="Input [yellow] 2 5 12 4" xfId="29530"/>
    <cellStyle name="Input [yellow] 2 5 12 5" xfId="29531"/>
    <cellStyle name="Input [yellow] 2 5 12 6" xfId="29532"/>
    <cellStyle name="Input [yellow] 2 5 12 7" xfId="29533"/>
    <cellStyle name="Input [yellow] 2 5 13" xfId="5436"/>
    <cellStyle name="Input [yellow] 2 5 13 2" xfId="29534"/>
    <cellStyle name="Input [yellow] 2 5 13 3" xfId="29535"/>
    <cellStyle name="Input [yellow] 2 5 13 4" xfId="29536"/>
    <cellStyle name="Input [yellow] 2 5 13 5" xfId="29537"/>
    <cellStyle name="Input [yellow] 2 5 13 6" xfId="29538"/>
    <cellStyle name="Input [yellow] 2 5 13 7" xfId="29539"/>
    <cellStyle name="Input [yellow] 2 5 14" xfId="5437"/>
    <cellStyle name="Input [yellow] 2 5 14 2" xfId="29540"/>
    <cellStyle name="Input [yellow] 2 5 14 3" xfId="29541"/>
    <cellStyle name="Input [yellow] 2 5 14 4" xfId="29542"/>
    <cellStyle name="Input [yellow] 2 5 14 5" xfId="29543"/>
    <cellStyle name="Input [yellow] 2 5 14 6" xfId="29544"/>
    <cellStyle name="Input [yellow] 2 5 14 7" xfId="29545"/>
    <cellStyle name="Input [yellow] 2 5 15" xfId="5438"/>
    <cellStyle name="Input [yellow] 2 5 15 2" xfId="29546"/>
    <cellStyle name="Input [yellow] 2 5 15 3" xfId="29547"/>
    <cellStyle name="Input [yellow] 2 5 15 4" xfId="29548"/>
    <cellStyle name="Input [yellow] 2 5 15 5" xfId="29549"/>
    <cellStyle name="Input [yellow] 2 5 15 6" xfId="29550"/>
    <cellStyle name="Input [yellow] 2 5 15 7" xfId="29551"/>
    <cellStyle name="Input [yellow] 2 5 16" xfId="5439"/>
    <cellStyle name="Input [yellow] 2 5 16 2" xfId="29552"/>
    <cellStyle name="Input [yellow] 2 5 16 3" xfId="29553"/>
    <cellStyle name="Input [yellow] 2 5 16 4" xfId="29554"/>
    <cellStyle name="Input [yellow] 2 5 16 5" xfId="29555"/>
    <cellStyle name="Input [yellow] 2 5 16 6" xfId="29556"/>
    <cellStyle name="Input [yellow] 2 5 16 7" xfId="29557"/>
    <cellStyle name="Input [yellow] 2 5 17" xfId="5440"/>
    <cellStyle name="Input [yellow] 2 5 17 2" xfId="29558"/>
    <cellStyle name="Input [yellow] 2 5 17 3" xfId="29559"/>
    <cellStyle name="Input [yellow] 2 5 17 4" xfId="29560"/>
    <cellStyle name="Input [yellow] 2 5 17 5" xfId="29561"/>
    <cellStyle name="Input [yellow] 2 5 17 6" xfId="29562"/>
    <cellStyle name="Input [yellow] 2 5 17 7" xfId="29563"/>
    <cellStyle name="Input [yellow] 2 5 18" xfId="5441"/>
    <cellStyle name="Input [yellow] 2 5 18 2" xfId="29564"/>
    <cellStyle name="Input [yellow] 2 5 18 3" xfId="29565"/>
    <cellStyle name="Input [yellow] 2 5 18 4" xfId="29566"/>
    <cellStyle name="Input [yellow] 2 5 18 5" xfId="29567"/>
    <cellStyle name="Input [yellow] 2 5 18 6" xfId="29568"/>
    <cellStyle name="Input [yellow] 2 5 18 7" xfId="29569"/>
    <cellStyle name="Input [yellow] 2 5 19" xfId="5442"/>
    <cellStyle name="Input [yellow] 2 5 19 2" xfId="29570"/>
    <cellStyle name="Input [yellow] 2 5 19 3" xfId="29571"/>
    <cellStyle name="Input [yellow] 2 5 19 4" xfId="29572"/>
    <cellStyle name="Input [yellow] 2 5 19 5" xfId="29573"/>
    <cellStyle name="Input [yellow] 2 5 19 6" xfId="29574"/>
    <cellStyle name="Input [yellow] 2 5 19 7" xfId="29575"/>
    <cellStyle name="Input [yellow] 2 5 2" xfId="5443"/>
    <cellStyle name="Input [yellow] 2 5 2 10" xfId="29576"/>
    <cellStyle name="Input [yellow] 2 5 2 11" xfId="29577"/>
    <cellStyle name="Input [yellow] 2 5 2 2" xfId="29578"/>
    <cellStyle name="Input [yellow] 2 5 2 3" xfId="29579"/>
    <cellStyle name="Input [yellow] 2 5 2 4" xfId="29580"/>
    <cellStyle name="Input [yellow] 2 5 2 5" xfId="29581"/>
    <cellStyle name="Input [yellow] 2 5 2 6" xfId="29582"/>
    <cellStyle name="Input [yellow] 2 5 2 7" xfId="29583"/>
    <cellStyle name="Input [yellow] 2 5 2 8" xfId="29584"/>
    <cellStyle name="Input [yellow] 2 5 2 9" xfId="29585"/>
    <cellStyle name="Input [yellow] 2 5 20" xfId="5444"/>
    <cellStyle name="Input [yellow] 2 5 20 2" xfId="29586"/>
    <cellStyle name="Input [yellow] 2 5 20 3" xfId="29587"/>
    <cellStyle name="Input [yellow] 2 5 20 4" xfId="29588"/>
    <cellStyle name="Input [yellow] 2 5 20 5" xfId="29589"/>
    <cellStyle name="Input [yellow] 2 5 20 6" xfId="29590"/>
    <cellStyle name="Input [yellow] 2 5 20 7" xfId="29591"/>
    <cellStyle name="Input [yellow] 2 5 21" xfId="5445"/>
    <cellStyle name="Input [yellow] 2 5 21 2" xfId="29592"/>
    <cellStyle name="Input [yellow] 2 5 21 3" xfId="29593"/>
    <cellStyle name="Input [yellow] 2 5 21 4" xfId="29594"/>
    <cellStyle name="Input [yellow] 2 5 21 5" xfId="29595"/>
    <cellStyle name="Input [yellow] 2 5 21 6" xfId="29596"/>
    <cellStyle name="Input [yellow] 2 5 21 7" xfId="29597"/>
    <cellStyle name="Input [yellow] 2 5 22" xfId="5446"/>
    <cellStyle name="Input [yellow] 2 5 22 2" xfId="29598"/>
    <cellStyle name="Input [yellow] 2 5 22 3" xfId="29599"/>
    <cellStyle name="Input [yellow] 2 5 22 4" xfId="29600"/>
    <cellStyle name="Input [yellow] 2 5 22 5" xfId="29601"/>
    <cellStyle name="Input [yellow] 2 5 22 6" xfId="29602"/>
    <cellStyle name="Input [yellow] 2 5 22 7" xfId="29603"/>
    <cellStyle name="Input [yellow] 2 5 23" xfId="5447"/>
    <cellStyle name="Input [yellow] 2 5 23 2" xfId="29604"/>
    <cellStyle name="Input [yellow] 2 5 23 3" xfId="29605"/>
    <cellStyle name="Input [yellow] 2 5 23 4" xfId="29606"/>
    <cellStyle name="Input [yellow] 2 5 23 5" xfId="29607"/>
    <cellStyle name="Input [yellow] 2 5 23 6" xfId="29608"/>
    <cellStyle name="Input [yellow] 2 5 23 7" xfId="29609"/>
    <cellStyle name="Input [yellow] 2 5 24" xfId="5448"/>
    <cellStyle name="Input [yellow] 2 5 24 2" xfId="29610"/>
    <cellStyle name="Input [yellow] 2 5 24 3" xfId="29611"/>
    <cellStyle name="Input [yellow] 2 5 24 4" xfId="29612"/>
    <cellStyle name="Input [yellow] 2 5 24 5" xfId="29613"/>
    <cellStyle name="Input [yellow] 2 5 24 6" xfId="29614"/>
    <cellStyle name="Input [yellow] 2 5 24 7" xfId="29615"/>
    <cellStyle name="Input [yellow] 2 5 25" xfId="5449"/>
    <cellStyle name="Input [yellow] 2 5 25 2" xfId="29616"/>
    <cellStyle name="Input [yellow] 2 5 25 3" xfId="29617"/>
    <cellStyle name="Input [yellow] 2 5 25 4" xfId="29618"/>
    <cellStyle name="Input [yellow] 2 5 25 5" xfId="29619"/>
    <cellStyle name="Input [yellow] 2 5 25 6" xfId="29620"/>
    <cellStyle name="Input [yellow] 2 5 25 7" xfId="29621"/>
    <cellStyle name="Input [yellow] 2 5 26" xfId="5450"/>
    <cellStyle name="Input [yellow] 2 5 26 2" xfId="29622"/>
    <cellStyle name="Input [yellow] 2 5 26 3" xfId="29623"/>
    <cellStyle name="Input [yellow] 2 5 26 4" xfId="29624"/>
    <cellStyle name="Input [yellow] 2 5 26 5" xfId="29625"/>
    <cellStyle name="Input [yellow] 2 5 26 6" xfId="29626"/>
    <cellStyle name="Input [yellow] 2 5 26 7" xfId="29627"/>
    <cellStyle name="Input [yellow] 2 5 27" xfId="5451"/>
    <cellStyle name="Input [yellow] 2 5 27 2" xfId="29628"/>
    <cellStyle name="Input [yellow] 2 5 27 3" xfId="29629"/>
    <cellStyle name="Input [yellow] 2 5 27 4" xfId="29630"/>
    <cellStyle name="Input [yellow] 2 5 27 5" xfId="29631"/>
    <cellStyle name="Input [yellow] 2 5 27 6" xfId="29632"/>
    <cellStyle name="Input [yellow] 2 5 27 7" xfId="29633"/>
    <cellStyle name="Input [yellow] 2 5 28" xfId="5452"/>
    <cellStyle name="Input [yellow] 2 5 28 2" xfId="29634"/>
    <cellStyle name="Input [yellow] 2 5 28 3" xfId="29635"/>
    <cellStyle name="Input [yellow] 2 5 28 4" xfId="29636"/>
    <cellStyle name="Input [yellow] 2 5 28 5" xfId="29637"/>
    <cellStyle name="Input [yellow] 2 5 28 6" xfId="29638"/>
    <cellStyle name="Input [yellow] 2 5 28 7" xfId="29639"/>
    <cellStyle name="Input [yellow] 2 5 29" xfId="5453"/>
    <cellStyle name="Input [yellow] 2 5 29 2" xfId="29640"/>
    <cellStyle name="Input [yellow] 2 5 29 3" xfId="29641"/>
    <cellStyle name="Input [yellow] 2 5 29 4" xfId="29642"/>
    <cellStyle name="Input [yellow] 2 5 29 5" xfId="29643"/>
    <cellStyle name="Input [yellow] 2 5 29 6" xfId="29644"/>
    <cellStyle name="Input [yellow] 2 5 29 7" xfId="29645"/>
    <cellStyle name="Input [yellow] 2 5 3" xfId="5454"/>
    <cellStyle name="Input [yellow] 2 5 3 10" xfId="29646"/>
    <cellStyle name="Input [yellow] 2 5 3 2" xfId="29647"/>
    <cellStyle name="Input [yellow] 2 5 3 3" xfId="29648"/>
    <cellStyle name="Input [yellow] 2 5 3 4" xfId="29649"/>
    <cellStyle name="Input [yellow] 2 5 3 5" xfId="29650"/>
    <cellStyle name="Input [yellow] 2 5 3 6" xfId="29651"/>
    <cellStyle name="Input [yellow] 2 5 3 7" xfId="29652"/>
    <cellStyle name="Input [yellow] 2 5 3 8" xfId="29653"/>
    <cellStyle name="Input [yellow] 2 5 3 9" xfId="29654"/>
    <cellStyle name="Input [yellow] 2 5 30" xfId="5455"/>
    <cellStyle name="Input [yellow] 2 5 30 2" xfId="29655"/>
    <cellStyle name="Input [yellow] 2 5 30 3" xfId="29656"/>
    <cellStyle name="Input [yellow] 2 5 30 4" xfId="29657"/>
    <cellStyle name="Input [yellow] 2 5 30 5" xfId="29658"/>
    <cellStyle name="Input [yellow] 2 5 30 6" xfId="29659"/>
    <cellStyle name="Input [yellow] 2 5 30 7" xfId="29660"/>
    <cellStyle name="Input [yellow] 2 5 31" xfId="5456"/>
    <cellStyle name="Input [yellow] 2 5 31 2" xfId="29661"/>
    <cellStyle name="Input [yellow] 2 5 31 3" xfId="29662"/>
    <cellStyle name="Input [yellow] 2 5 31 4" xfId="29663"/>
    <cellStyle name="Input [yellow] 2 5 31 5" xfId="29664"/>
    <cellStyle name="Input [yellow] 2 5 31 6" xfId="29665"/>
    <cellStyle name="Input [yellow] 2 5 31 7" xfId="29666"/>
    <cellStyle name="Input [yellow] 2 5 32" xfId="5457"/>
    <cellStyle name="Input [yellow] 2 5 32 2" xfId="29667"/>
    <cellStyle name="Input [yellow] 2 5 32 3" xfId="29668"/>
    <cellStyle name="Input [yellow] 2 5 32 4" xfId="29669"/>
    <cellStyle name="Input [yellow] 2 5 32 5" xfId="29670"/>
    <cellStyle name="Input [yellow] 2 5 32 6" xfId="29671"/>
    <cellStyle name="Input [yellow] 2 5 32 7" xfId="29672"/>
    <cellStyle name="Input [yellow] 2 5 33" xfId="5458"/>
    <cellStyle name="Input [yellow] 2 5 33 2" xfId="29673"/>
    <cellStyle name="Input [yellow] 2 5 33 3" xfId="29674"/>
    <cellStyle name="Input [yellow] 2 5 33 4" xfId="29675"/>
    <cellStyle name="Input [yellow] 2 5 33 5" xfId="29676"/>
    <cellStyle name="Input [yellow] 2 5 33 6" xfId="29677"/>
    <cellStyle name="Input [yellow] 2 5 33 7" xfId="29678"/>
    <cellStyle name="Input [yellow] 2 5 34" xfId="5459"/>
    <cellStyle name="Input [yellow] 2 5 34 2" xfId="29679"/>
    <cellStyle name="Input [yellow] 2 5 34 3" xfId="29680"/>
    <cellStyle name="Input [yellow] 2 5 34 4" xfId="29681"/>
    <cellStyle name="Input [yellow] 2 5 34 5" xfId="29682"/>
    <cellStyle name="Input [yellow] 2 5 34 6" xfId="29683"/>
    <cellStyle name="Input [yellow] 2 5 34 7" xfId="29684"/>
    <cellStyle name="Input [yellow] 2 5 35" xfId="5460"/>
    <cellStyle name="Input [yellow] 2 5 35 2" xfId="29685"/>
    <cellStyle name="Input [yellow] 2 5 35 3" xfId="29686"/>
    <cellStyle name="Input [yellow] 2 5 35 4" xfId="29687"/>
    <cellStyle name="Input [yellow] 2 5 35 5" xfId="29688"/>
    <cellStyle name="Input [yellow] 2 5 35 6" xfId="29689"/>
    <cellStyle name="Input [yellow] 2 5 35 7" xfId="29690"/>
    <cellStyle name="Input [yellow] 2 5 36" xfId="5461"/>
    <cellStyle name="Input [yellow] 2 5 36 2" xfId="29691"/>
    <cellStyle name="Input [yellow] 2 5 36 3" xfId="29692"/>
    <cellStyle name="Input [yellow] 2 5 36 4" xfId="29693"/>
    <cellStyle name="Input [yellow] 2 5 36 5" xfId="29694"/>
    <cellStyle name="Input [yellow] 2 5 36 6" xfId="29695"/>
    <cellStyle name="Input [yellow] 2 5 36 7" xfId="29696"/>
    <cellStyle name="Input [yellow] 2 5 37" xfId="5462"/>
    <cellStyle name="Input [yellow] 2 5 37 2" xfId="29697"/>
    <cellStyle name="Input [yellow] 2 5 37 3" xfId="29698"/>
    <cellStyle name="Input [yellow] 2 5 37 4" xfId="29699"/>
    <cellStyle name="Input [yellow] 2 5 37 5" xfId="29700"/>
    <cellStyle name="Input [yellow] 2 5 37 6" xfId="29701"/>
    <cellStyle name="Input [yellow] 2 5 37 7" xfId="29702"/>
    <cellStyle name="Input [yellow] 2 5 38" xfId="5463"/>
    <cellStyle name="Input [yellow] 2 5 38 2" xfId="29703"/>
    <cellStyle name="Input [yellow] 2 5 38 3" xfId="29704"/>
    <cellStyle name="Input [yellow] 2 5 38 4" xfId="29705"/>
    <cellStyle name="Input [yellow] 2 5 38 5" xfId="29706"/>
    <cellStyle name="Input [yellow] 2 5 38 6" xfId="29707"/>
    <cellStyle name="Input [yellow] 2 5 38 7" xfId="29708"/>
    <cellStyle name="Input [yellow] 2 5 39" xfId="5464"/>
    <cellStyle name="Input [yellow] 2 5 39 2" xfId="29709"/>
    <cellStyle name="Input [yellow] 2 5 39 3" xfId="29710"/>
    <cellStyle name="Input [yellow] 2 5 39 4" xfId="29711"/>
    <cellStyle name="Input [yellow] 2 5 39 5" xfId="29712"/>
    <cellStyle name="Input [yellow] 2 5 39 6" xfId="29713"/>
    <cellStyle name="Input [yellow] 2 5 39 7" xfId="29714"/>
    <cellStyle name="Input [yellow] 2 5 4" xfId="5465"/>
    <cellStyle name="Input [yellow] 2 5 4 10" xfId="29715"/>
    <cellStyle name="Input [yellow] 2 5 4 2" xfId="29716"/>
    <cellStyle name="Input [yellow] 2 5 4 3" xfId="29717"/>
    <cellStyle name="Input [yellow] 2 5 4 4" xfId="29718"/>
    <cellStyle name="Input [yellow] 2 5 4 5" xfId="29719"/>
    <cellStyle name="Input [yellow] 2 5 4 6" xfId="29720"/>
    <cellStyle name="Input [yellow] 2 5 4 7" xfId="29721"/>
    <cellStyle name="Input [yellow] 2 5 4 8" xfId="29722"/>
    <cellStyle name="Input [yellow] 2 5 4 9" xfId="29723"/>
    <cellStyle name="Input [yellow] 2 5 40" xfId="5466"/>
    <cellStyle name="Input [yellow] 2 5 40 2" xfId="29724"/>
    <cellStyle name="Input [yellow] 2 5 40 3" xfId="29725"/>
    <cellStyle name="Input [yellow] 2 5 40 4" xfId="29726"/>
    <cellStyle name="Input [yellow] 2 5 40 5" xfId="29727"/>
    <cellStyle name="Input [yellow] 2 5 40 6" xfId="29728"/>
    <cellStyle name="Input [yellow] 2 5 40 7" xfId="29729"/>
    <cellStyle name="Input [yellow] 2 5 41" xfId="5467"/>
    <cellStyle name="Input [yellow] 2 5 41 2" xfId="29730"/>
    <cellStyle name="Input [yellow] 2 5 41 3" xfId="29731"/>
    <cellStyle name="Input [yellow] 2 5 41 4" xfId="29732"/>
    <cellStyle name="Input [yellow] 2 5 41 5" xfId="29733"/>
    <cellStyle name="Input [yellow] 2 5 41 6" xfId="29734"/>
    <cellStyle name="Input [yellow] 2 5 41 7" xfId="29735"/>
    <cellStyle name="Input [yellow] 2 5 42" xfId="5468"/>
    <cellStyle name="Input [yellow] 2 5 42 2" xfId="29736"/>
    <cellStyle name="Input [yellow] 2 5 42 3" xfId="29737"/>
    <cellStyle name="Input [yellow] 2 5 42 4" xfId="29738"/>
    <cellStyle name="Input [yellow] 2 5 42 5" xfId="29739"/>
    <cellStyle name="Input [yellow] 2 5 42 6" xfId="29740"/>
    <cellStyle name="Input [yellow] 2 5 42 7" xfId="29741"/>
    <cellStyle name="Input [yellow] 2 5 43" xfId="5469"/>
    <cellStyle name="Input [yellow] 2 5 43 2" xfId="29742"/>
    <cellStyle name="Input [yellow] 2 5 43 3" xfId="29743"/>
    <cellStyle name="Input [yellow] 2 5 43 4" xfId="29744"/>
    <cellStyle name="Input [yellow] 2 5 43 5" xfId="29745"/>
    <cellStyle name="Input [yellow] 2 5 43 6" xfId="29746"/>
    <cellStyle name="Input [yellow] 2 5 43 7" xfId="29747"/>
    <cellStyle name="Input [yellow] 2 5 44" xfId="5470"/>
    <cellStyle name="Input [yellow] 2 5 44 2" xfId="29748"/>
    <cellStyle name="Input [yellow] 2 5 44 3" xfId="29749"/>
    <cellStyle name="Input [yellow] 2 5 44 4" xfId="29750"/>
    <cellStyle name="Input [yellow] 2 5 44 5" xfId="29751"/>
    <cellStyle name="Input [yellow] 2 5 44 6" xfId="29752"/>
    <cellStyle name="Input [yellow] 2 5 44 7" xfId="29753"/>
    <cellStyle name="Input [yellow] 2 5 45" xfId="5471"/>
    <cellStyle name="Input [yellow] 2 5 45 2" xfId="29754"/>
    <cellStyle name="Input [yellow] 2 5 45 3" xfId="29755"/>
    <cellStyle name="Input [yellow] 2 5 45 4" xfId="29756"/>
    <cellStyle name="Input [yellow] 2 5 45 5" xfId="29757"/>
    <cellStyle name="Input [yellow] 2 5 45 6" xfId="29758"/>
    <cellStyle name="Input [yellow] 2 5 45 7" xfId="29759"/>
    <cellStyle name="Input [yellow] 2 5 46" xfId="5472"/>
    <cellStyle name="Input [yellow] 2 5 46 2" xfId="29760"/>
    <cellStyle name="Input [yellow] 2 5 46 3" xfId="29761"/>
    <cellStyle name="Input [yellow] 2 5 46 4" xfId="29762"/>
    <cellStyle name="Input [yellow] 2 5 46 5" xfId="29763"/>
    <cellStyle name="Input [yellow] 2 5 46 6" xfId="29764"/>
    <cellStyle name="Input [yellow] 2 5 46 7" xfId="29765"/>
    <cellStyle name="Input [yellow] 2 5 47" xfId="5473"/>
    <cellStyle name="Input [yellow] 2 5 47 2" xfId="29766"/>
    <cellStyle name="Input [yellow] 2 5 47 3" xfId="29767"/>
    <cellStyle name="Input [yellow] 2 5 47 4" xfId="29768"/>
    <cellStyle name="Input [yellow] 2 5 47 5" xfId="29769"/>
    <cellStyle name="Input [yellow] 2 5 47 6" xfId="29770"/>
    <cellStyle name="Input [yellow] 2 5 47 7" xfId="29771"/>
    <cellStyle name="Input [yellow] 2 5 48" xfId="5474"/>
    <cellStyle name="Input [yellow] 2 5 48 2" xfId="29772"/>
    <cellStyle name="Input [yellow] 2 5 48 3" xfId="29773"/>
    <cellStyle name="Input [yellow] 2 5 48 4" xfId="29774"/>
    <cellStyle name="Input [yellow] 2 5 48 5" xfId="29775"/>
    <cellStyle name="Input [yellow] 2 5 48 6" xfId="29776"/>
    <cellStyle name="Input [yellow] 2 5 48 7" xfId="29777"/>
    <cellStyle name="Input [yellow] 2 5 49" xfId="5475"/>
    <cellStyle name="Input [yellow] 2 5 49 2" xfId="29778"/>
    <cellStyle name="Input [yellow] 2 5 49 3" xfId="29779"/>
    <cellStyle name="Input [yellow] 2 5 49 4" xfId="29780"/>
    <cellStyle name="Input [yellow] 2 5 49 5" xfId="29781"/>
    <cellStyle name="Input [yellow] 2 5 49 6" xfId="29782"/>
    <cellStyle name="Input [yellow] 2 5 49 7" xfId="29783"/>
    <cellStyle name="Input [yellow] 2 5 5" xfId="5476"/>
    <cellStyle name="Input [yellow] 2 5 5 2" xfId="29784"/>
    <cellStyle name="Input [yellow] 2 5 5 3" xfId="29785"/>
    <cellStyle name="Input [yellow] 2 5 5 4" xfId="29786"/>
    <cellStyle name="Input [yellow] 2 5 5 5" xfId="29787"/>
    <cellStyle name="Input [yellow] 2 5 5 6" xfId="29788"/>
    <cellStyle name="Input [yellow] 2 5 5 7" xfId="29789"/>
    <cellStyle name="Input [yellow] 2 5 50" xfId="5477"/>
    <cellStyle name="Input [yellow] 2 5 50 2" xfId="29790"/>
    <cellStyle name="Input [yellow] 2 5 50 3" xfId="29791"/>
    <cellStyle name="Input [yellow] 2 5 50 4" xfId="29792"/>
    <cellStyle name="Input [yellow] 2 5 50 5" xfId="29793"/>
    <cellStyle name="Input [yellow] 2 5 50 6" xfId="29794"/>
    <cellStyle name="Input [yellow] 2 5 50 7" xfId="29795"/>
    <cellStyle name="Input [yellow] 2 5 51" xfId="5478"/>
    <cellStyle name="Input [yellow] 2 5 51 2" xfId="29796"/>
    <cellStyle name="Input [yellow] 2 5 51 3" xfId="29797"/>
    <cellStyle name="Input [yellow] 2 5 51 4" xfId="29798"/>
    <cellStyle name="Input [yellow] 2 5 51 5" xfId="29799"/>
    <cellStyle name="Input [yellow] 2 5 51 6" xfId="29800"/>
    <cellStyle name="Input [yellow] 2 5 51 7" xfId="29801"/>
    <cellStyle name="Input [yellow] 2 5 52" xfId="5479"/>
    <cellStyle name="Input [yellow] 2 5 52 2" xfId="29802"/>
    <cellStyle name="Input [yellow] 2 5 52 3" xfId="29803"/>
    <cellStyle name="Input [yellow] 2 5 52 4" xfId="29804"/>
    <cellStyle name="Input [yellow] 2 5 52 5" xfId="29805"/>
    <cellStyle name="Input [yellow] 2 5 52 6" xfId="29806"/>
    <cellStyle name="Input [yellow] 2 5 52 7" xfId="29807"/>
    <cellStyle name="Input [yellow] 2 5 53" xfId="5480"/>
    <cellStyle name="Input [yellow] 2 5 53 2" xfId="29808"/>
    <cellStyle name="Input [yellow] 2 5 53 3" xfId="29809"/>
    <cellStyle name="Input [yellow] 2 5 53 4" xfId="29810"/>
    <cellStyle name="Input [yellow] 2 5 53 5" xfId="29811"/>
    <cellStyle name="Input [yellow] 2 5 53 6" xfId="29812"/>
    <cellStyle name="Input [yellow] 2 5 53 7" xfId="29813"/>
    <cellStyle name="Input [yellow] 2 5 54" xfId="5481"/>
    <cellStyle name="Input [yellow] 2 5 54 2" xfId="29814"/>
    <cellStyle name="Input [yellow] 2 5 54 3" xfId="29815"/>
    <cellStyle name="Input [yellow] 2 5 54 4" xfId="29816"/>
    <cellStyle name="Input [yellow] 2 5 54 5" xfId="29817"/>
    <cellStyle name="Input [yellow] 2 5 54 6" xfId="29818"/>
    <cellStyle name="Input [yellow] 2 5 54 7" xfId="29819"/>
    <cellStyle name="Input [yellow] 2 5 55" xfId="5482"/>
    <cellStyle name="Input [yellow] 2 5 55 2" xfId="29820"/>
    <cellStyle name="Input [yellow] 2 5 55 3" xfId="29821"/>
    <cellStyle name="Input [yellow] 2 5 55 4" xfId="29822"/>
    <cellStyle name="Input [yellow] 2 5 55 5" xfId="29823"/>
    <cellStyle name="Input [yellow] 2 5 55 6" xfId="29824"/>
    <cellStyle name="Input [yellow] 2 5 55 7" xfId="29825"/>
    <cellStyle name="Input [yellow] 2 5 56" xfId="5483"/>
    <cellStyle name="Input [yellow] 2 5 56 2" xfId="29826"/>
    <cellStyle name="Input [yellow] 2 5 56 3" xfId="29827"/>
    <cellStyle name="Input [yellow] 2 5 56 4" xfId="29828"/>
    <cellStyle name="Input [yellow] 2 5 56 5" xfId="29829"/>
    <cellStyle name="Input [yellow] 2 5 56 6" xfId="29830"/>
    <cellStyle name="Input [yellow] 2 5 56 7" xfId="29831"/>
    <cellStyle name="Input [yellow] 2 5 57" xfId="5484"/>
    <cellStyle name="Input [yellow] 2 5 57 2" xfId="29832"/>
    <cellStyle name="Input [yellow] 2 5 57 3" xfId="29833"/>
    <cellStyle name="Input [yellow] 2 5 57 4" xfId="29834"/>
    <cellStyle name="Input [yellow] 2 5 57 5" xfId="29835"/>
    <cellStyle name="Input [yellow] 2 5 57 6" xfId="29836"/>
    <cellStyle name="Input [yellow] 2 5 57 7" xfId="29837"/>
    <cellStyle name="Input [yellow] 2 5 58" xfId="5485"/>
    <cellStyle name="Input [yellow] 2 5 58 2" xfId="29838"/>
    <cellStyle name="Input [yellow] 2 5 58 3" xfId="29839"/>
    <cellStyle name="Input [yellow] 2 5 58 4" xfId="29840"/>
    <cellStyle name="Input [yellow] 2 5 58 5" xfId="29841"/>
    <cellStyle name="Input [yellow] 2 5 58 6" xfId="29842"/>
    <cellStyle name="Input [yellow] 2 5 58 7" xfId="29843"/>
    <cellStyle name="Input [yellow] 2 5 59" xfId="5486"/>
    <cellStyle name="Input [yellow] 2 5 59 2" xfId="29844"/>
    <cellStyle name="Input [yellow] 2 5 59 3" xfId="29845"/>
    <cellStyle name="Input [yellow] 2 5 59 4" xfId="29846"/>
    <cellStyle name="Input [yellow] 2 5 59 5" xfId="29847"/>
    <cellStyle name="Input [yellow] 2 5 59 6" xfId="29848"/>
    <cellStyle name="Input [yellow] 2 5 59 7" xfId="29849"/>
    <cellStyle name="Input [yellow] 2 5 6" xfId="5487"/>
    <cellStyle name="Input [yellow] 2 5 6 2" xfId="29850"/>
    <cellStyle name="Input [yellow] 2 5 6 3" xfId="29851"/>
    <cellStyle name="Input [yellow] 2 5 6 4" xfId="29852"/>
    <cellStyle name="Input [yellow] 2 5 6 5" xfId="29853"/>
    <cellStyle name="Input [yellow] 2 5 6 6" xfId="29854"/>
    <cellStyle name="Input [yellow] 2 5 6 7" xfId="29855"/>
    <cellStyle name="Input [yellow] 2 5 60" xfId="5488"/>
    <cellStyle name="Input [yellow] 2 5 60 2" xfId="29856"/>
    <cellStyle name="Input [yellow] 2 5 60 3" xfId="29857"/>
    <cellStyle name="Input [yellow] 2 5 60 4" xfId="29858"/>
    <cellStyle name="Input [yellow] 2 5 60 5" xfId="29859"/>
    <cellStyle name="Input [yellow] 2 5 60 6" xfId="29860"/>
    <cellStyle name="Input [yellow] 2 5 60 7" xfId="29861"/>
    <cellStyle name="Input [yellow] 2 5 61" xfId="5489"/>
    <cellStyle name="Input [yellow] 2 5 61 2" xfId="29862"/>
    <cellStyle name="Input [yellow] 2 5 61 3" xfId="29863"/>
    <cellStyle name="Input [yellow] 2 5 61 4" xfId="29864"/>
    <cellStyle name="Input [yellow] 2 5 61 5" xfId="29865"/>
    <cellStyle name="Input [yellow] 2 5 61 6" xfId="29866"/>
    <cellStyle name="Input [yellow] 2 5 61 7" xfId="29867"/>
    <cellStyle name="Input [yellow] 2 5 62" xfId="5490"/>
    <cellStyle name="Input [yellow] 2 5 62 2" xfId="29868"/>
    <cellStyle name="Input [yellow] 2 5 62 3" xfId="29869"/>
    <cellStyle name="Input [yellow] 2 5 62 4" xfId="29870"/>
    <cellStyle name="Input [yellow] 2 5 62 5" xfId="29871"/>
    <cellStyle name="Input [yellow] 2 5 62 6" xfId="29872"/>
    <cellStyle name="Input [yellow] 2 5 62 7" xfId="29873"/>
    <cellStyle name="Input [yellow] 2 5 63" xfId="5491"/>
    <cellStyle name="Input [yellow] 2 5 63 2" xfId="29874"/>
    <cellStyle name="Input [yellow] 2 5 63 3" xfId="29875"/>
    <cellStyle name="Input [yellow] 2 5 63 4" xfId="29876"/>
    <cellStyle name="Input [yellow] 2 5 63 5" xfId="29877"/>
    <cellStyle name="Input [yellow] 2 5 63 6" xfId="29878"/>
    <cellStyle name="Input [yellow] 2 5 63 7" xfId="29879"/>
    <cellStyle name="Input [yellow] 2 5 64" xfId="5492"/>
    <cellStyle name="Input [yellow] 2 5 64 2" xfId="29880"/>
    <cellStyle name="Input [yellow] 2 5 64 3" xfId="29881"/>
    <cellStyle name="Input [yellow] 2 5 64 4" xfId="29882"/>
    <cellStyle name="Input [yellow] 2 5 64 5" xfId="29883"/>
    <cellStyle name="Input [yellow] 2 5 64 6" xfId="29884"/>
    <cellStyle name="Input [yellow] 2 5 64 7" xfId="29885"/>
    <cellStyle name="Input [yellow] 2 5 65" xfId="5493"/>
    <cellStyle name="Input [yellow] 2 5 65 2" xfId="29886"/>
    <cellStyle name="Input [yellow] 2 5 65 3" xfId="29887"/>
    <cellStyle name="Input [yellow] 2 5 65 4" xfId="29888"/>
    <cellStyle name="Input [yellow] 2 5 65 5" xfId="29889"/>
    <cellStyle name="Input [yellow] 2 5 65 6" xfId="29890"/>
    <cellStyle name="Input [yellow] 2 5 65 7" xfId="29891"/>
    <cellStyle name="Input [yellow] 2 5 66" xfId="5494"/>
    <cellStyle name="Input [yellow] 2 5 66 2" xfId="29892"/>
    <cellStyle name="Input [yellow] 2 5 66 3" xfId="29893"/>
    <cellStyle name="Input [yellow] 2 5 66 4" xfId="29894"/>
    <cellStyle name="Input [yellow] 2 5 66 5" xfId="29895"/>
    <cellStyle name="Input [yellow] 2 5 66 6" xfId="29896"/>
    <cellStyle name="Input [yellow] 2 5 66 7" xfId="29897"/>
    <cellStyle name="Input [yellow] 2 5 67" xfId="5495"/>
    <cellStyle name="Input [yellow] 2 5 67 2" xfId="29898"/>
    <cellStyle name="Input [yellow] 2 5 67 3" xfId="29899"/>
    <cellStyle name="Input [yellow] 2 5 67 4" xfId="29900"/>
    <cellStyle name="Input [yellow] 2 5 67 5" xfId="29901"/>
    <cellStyle name="Input [yellow] 2 5 67 6" xfId="29902"/>
    <cellStyle name="Input [yellow] 2 5 67 7" xfId="29903"/>
    <cellStyle name="Input [yellow] 2 5 68" xfId="5496"/>
    <cellStyle name="Input [yellow] 2 5 68 2" xfId="29904"/>
    <cellStyle name="Input [yellow] 2 5 68 3" xfId="29905"/>
    <cellStyle name="Input [yellow] 2 5 68 4" xfId="29906"/>
    <cellStyle name="Input [yellow] 2 5 68 5" xfId="29907"/>
    <cellStyle name="Input [yellow] 2 5 68 6" xfId="29908"/>
    <cellStyle name="Input [yellow] 2 5 68 7" xfId="29909"/>
    <cellStyle name="Input [yellow] 2 5 69" xfId="5497"/>
    <cellStyle name="Input [yellow] 2 5 69 2" xfId="29910"/>
    <cellStyle name="Input [yellow] 2 5 69 3" xfId="29911"/>
    <cellStyle name="Input [yellow] 2 5 69 4" xfId="29912"/>
    <cellStyle name="Input [yellow] 2 5 69 5" xfId="29913"/>
    <cellStyle name="Input [yellow] 2 5 69 6" xfId="29914"/>
    <cellStyle name="Input [yellow] 2 5 69 7" xfId="29915"/>
    <cellStyle name="Input [yellow] 2 5 7" xfId="5498"/>
    <cellStyle name="Input [yellow] 2 5 7 2" xfId="29916"/>
    <cellStyle name="Input [yellow] 2 5 7 3" xfId="29917"/>
    <cellStyle name="Input [yellow] 2 5 7 4" xfId="29918"/>
    <cellStyle name="Input [yellow] 2 5 7 5" xfId="29919"/>
    <cellStyle name="Input [yellow] 2 5 7 6" xfId="29920"/>
    <cellStyle name="Input [yellow] 2 5 7 7" xfId="29921"/>
    <cellStyle name="Input [yellow] 2 5 70" xfId="5499"/>
    <cellStyle name="Input [yellow] 2 5 70 2" xfId="29922"/>
    <cellStyle name="Input [yellow] 2 5 70 3" xfId="29923"/>
    <cellStyle name="Input [yellow] 2 5 70 4" xfId="29924"/>
    <cellStyle name="Input [yellow] 2 5 70 5" xfId="29925"/>
    <cellStyle name="Input [yellow] 2 5 70 6" xfId="29926"/>
    <cellStyle name="Input [yellow] 2 5 70 7" xfId="29927"/>
    <cellStyle name="Input [yellow] 2 5 71" xfId="5500"/>
    <cellStyle name="Input [yellow] 2 5 71 2" xfId="29928"/>
    <cellStyle name="Input [yellow] 2 5 71 3" xfId="29929"/>
    <cellStyle name="Input [yellow] 2 5 71 4" xfId="29930"/>
    <cellStyle name="Input [yellow] 2 5 71 5" xfId="29931"/>
    <cellStyle name="Input [yellow] 2 5 71 6" xfId="29932"/>
    <cellStyle name="Input [yellow] 2 5 71 7" xfId="29933"/>
    <cellStyle name="Input [yellow] 2 5 72" xfId="5501"/>
    <cellStyle name="Input [yellow] 2 5 72 2" xfId="29934"/>
    <cellStyle name="Input [yellow] 2 5 72 3" xfId="29935"/>
    <cellStyle name="Input [yellow] 2 5 72 4" xfId="29936"/>
    <cellStyle name="Input [yellow] 2 5 72 5" xfId="29937"/>
    <cellStyle name="Input [yellow] 2 5 72 6" xfId="29938"/>
    <cellStyle name="Input [yellow] 2 5 72 7" xfId="29939"/>
    <cellStyle name="Input [yellow] 2 5 73" xfId="5502"/>
    <cellStyle name="Input [yellow] 2 5 73 2" xfId="29940"/>
    <cellStyle name="Input [yellow] 2 5 73 3" xfId="29941"/>
    <cellStyle name="Input [yellow] 2 5 73 4" xfId="29942"/>
    <cellStyle name="Input [yellow] 2 5 73 5" xfId="29943"/>
    <cellStyle name="Input [yellow] 2 5 73 6" xfId="29944"/>
    <cellStyle name="Input [yellow] 2 5 73 7" xfId="29945"/>
    <cellStyle name="Input [yellow] 2 5 74" xfId="5503"/>
    <cellStyle name="Input [yellow] 2 5 74 2" xfId="29946"/>
    <cellStyle name="Input [yellow] 2 5 74 3" xfId="29947"/>
    <cellStyle name="Input [yellow] 2 5 74 4" xfId="29948"/>
    <cellStyle name="Input [yellow] 2 5 74 5" xfId="29949"/>
    <cellStyle name="Input [yellow] 2 5 74 6" xfId="29950"/>
    <cellStyle name="Input [yellow] 2 5 74 7" xfId="29951"/>
    <cellStyle name="Input [yellow] 2 5 75" xfId="5504"/>
    <cellStyle name="Input [yellow] 2 5 75 2" xfId="29952"/>
    <cellStyle name="Input [yellow] 2 5 75 3" xfId="29953"/>
    <cellStyle name="Input [yellow] 2 5 75 4" xfId="29954"/>
    <cellStyle name="Input [yellow] 2 5 75 5" xfId="29955"/>
    <cellStyle name="Input [yellow] 2 5 75 6" xfId="29956"/>
    <cellStyle name="Input [yellow] 2 5 75 7" xfId="29957"/>
    <cellStyle name="Input [yellow] 2 5 76" xfId="5505"/>
    <cellStyle name="Input [yellow] 2 5 76 2" xfId="29958"/>
    <cellStyle name="Input [yellow] 2 5 76 3" xfId="29959"/>
    <cellStyle name="Input [yellow] 2 5 76 4" xfId="29960"/>
    <cellStyle name="Input [yellow] 2 5 76 5" xfId="29961"/>
    <cellStyle name="Input [yellow] 2 5 76 6" xfId="29962"/>
    <cellStyle name="Input [yellow] 2 5 76 7" xfId="29963"/>
    <cellStyle name="Input [yellow] 2 5 77" xfId="5506"/>
    <cellStyle name="Input [yellow] 2 5 77 2" xfId="29964"/>
    <cellStyle name="Input [yellow] 2 5 77 3" xfId="29965"/>
    <cellStyle name="Input [yellow] 2 5 77 4" xfId="29966"/>
    <cellStyle name="Input [yellow] 2 5 77 5" xfId="29967"/>
    <cellStyle name="Input [yellow] 2 5 77 6" xfId="29968"/>
    <cellStyle name="Input [yellow] 2 5 77 7" xfId="29969"/>
    <cellStyle name="Input [yellow] 2 5 78" xfId="5507"/>
    <cellStyle name="Input [yellow] 2 5 78 2" xfId="29970"/>
    <cellStyle name="Input [yellow] 2 5 78 3" xfId="29971"/>
    <cellStyle name="Input [yellow] 2 5 78 4" xfId="29972"/>
    <cellStyle name="Input [yellow] 2 5 78 5" xfId="29973"/>
    <cellStyle name="Input [yellow] 2 5 78 6" xfId="29974"/>
    <cellStyle name="Input [yellow] 2 5 78 7" xfId="29975"/>
    <cellStyle name="Input [yellow] 2 5 79" xfId="5508"/>
    <cellStyle name="Input [yellow] 2 5 79 2" xfId="29976"/>
    <cellStyle name="Input [yellow] 2 5 79 3" xfId="29977"/>
    <cellStyle name="Input [yellow] 2 5 79 4" xfId="29978"/>
    <cellStyle name="Input [yellow] 2 5 79 5" xfId="29979"/>
    <cellStyle name="Input [yellow] 2 5 79 6" xfId="29980"/>
    <cellStyle name="Input [yellow] 2 5 79 7" xfId="29981"/>
    <cellStyle name="Input [yellow] 2 5 8" xfId="5509"/>
    <cellStyle name="Input [yellow] 2 5 8 2" xfId="29982"/>
    <cellStyle name="Input [yellow] 2 5 8 3" xfId="29983"/>
    <cellStyle name="Input [yellow] 2 5 8 4" xfId="29984"/>
    <cellStyle name="Input [yellow] 2 5 8 5" xfId="29985"/>
    <cellStyle name="Input [yellow] 2 5 8 6" xfId="29986"/>
    <cellStyle name="Input [yellow] 2 5 8 7" xfId="29987"/>
    <cellStyle name="Input [yellow] 2 5 80" xfId="5510"/>
    <cellStyle name="Input [yellow] 2 5 80 2" xfId="29988"/>
    <cellStyle name="Input [yellow] 2 5 80 3" xfId="29989"/>
    <cellStyle name="Input [yellow] 2 5 80 4" xfId="29990"/>
    <cellStyle name="Input [yellow] 2 5 80 5" xfId="29991"/>
    <cellStyle name="Input [yellow] 2 5 80 6" xfId="29992"/>
    <cellStyle name="Input [yellow] 2 5 80 7" xfId="29993"/>
    <cellStyle name="Input [yellow] 2 5 81" xfId="5511"/>
    <cellStyle name="Input [yellow] 2 5 81 2" xfId="29994"/>
    <cellStyle name="Input [yellow] 2 5 81 3" xfId="29995"/>
    <cellStyle name="Input [yellow] 2 5 81 4" xfId="29996"/>
    <cellStyle name="Input [yellow] 2 5 81 5" xfId="29997"/>
    <cellStyle name="Input [yellow] 2 5 81 6" xfId="29998"/>
    <cellStyle name="Input [yellow] 2 5 81 7" xfId="29999"/>
    <cellStyle name="Input [yellow] 2 5 82" xfId="5512"/>
    <cellStyle name="Input [yellow] 2 5 82 2" xfId="30000"/>
    <cellStyle name="Input [yellow] 2 5 82 3" xfId="30001"/>
    <cellStyle name="Input [yellow] 2 5 82 4" xfId="30002"/>
    <cellStyle name="Input [yellow] 2 5 82 5" xfId="30003"/>
    <cellStyle name="Input [yellow] 2 5 82 6" xfId="30004"/>
    <cellStyle name="Input [yellow] 2 5 82 7" xfId="30005"/>
    <cellStyle name="Input [yellow] 2 5 83" xfId="5513"/>
    <cellStyle name="Input [yellow] 2 5 83 2" xfId="30006"/>
    <cellStyle name="Input [yellow] 2 5 83 3" xfId="30007"/>
    <cellStyle name="Input [yellow] 2 5 83 4" xfId="30008"/>
    <cellStyle name="Input [yellow] 2 5 83 5" xfId="30009"/>
    <cellStyle name="Input [yellow] 2 5 83 6" xfId="30010"/>
    <cellStyle name="Input [yellow] 2 5 83 7" xfId="30011"/>
    <cellStyle name="Input [yellow] 2 5 84" xfId="5514"/>
    <cellStyle name="Input [yellow] 2 5 84 2" xfId="30012"/>
    <cellStyle name="Input [yellow] 2 5 84 3" xfId="30013"/>
    <cellStyle name="Input [yellow] 2 5 84 4" xfId="30014"/>
    <cellStyle name="Input [yellow] 2 5 84 5" xfId="30015"/>
    <cellStyle name="Input [yellow] 2 5 84 6" xfId="30016"/>
    <cellStyle name="Input [yellow] 2 5 84 7" xfId="30017"/>
    <cellStyle name="Input [yellow] 2 5 85" xfId="5515"/>
    <cellStyle name="Input [yellow] 2 5 85 2" xfId="30018"/>
    <cellStyle name="Input [yellow] 2 5 85 3" xfId="30019"/>
    <cellStyle name="Input [yellow] 2 5 85 4" xfId="30020"/>
    <cellStyle name="Input [yellow] 2 5 85 5" xfId="30021"/>
    <cellStyle name="Input [yellow] 2 5 85 6" xfId="30022"/>
    <cellStyle name="Input [yellow] 2 5 85 7" xfId="30023"/>
    <cellStyle name="Input [yellow] 2 5 86" xfId="5516"/>
    <cellStyle name="Input [yellow] 2 5 86 2" xfId="30024"/>
    <cellStyle name="Input [yellow] 2 5 86 3" xfId="30025"/>
    <cellStyle name="Input [yellow] 2 5 86 4" xfId="30026"/>
    <cellStyle name="Input [yellow] 2 5 86 5" xfId="30027"/>
    <cellStyle name="Input [yellow] 2 5 86 6" xfId="30028"/>
    <cellStyle name="Input [yellow] 2 5 86 7" xfId="30029"/>
    <cellStyle name="Input [yellow] 2 5 87" xfId="5517"/>
    <cellStyle name="Input [yellow] 2 5 87 2" xfId="30030"/>
    <cellStyle name="Input [yellow] 2 5 87 3" xfId="30031"/>
    <cellStyle name="Input [yellow] 2 5 87 4" xfId="30032"/>
    <cellStyle name="Input [yellow] 2 5 87 5" xfId="30033"/>
    <cellStyle name="Input [yellow] 2 5 87 6" xfId="30034"/>
    <cellStyle name="Input [yellow] 2 5 87 7" xfId="30035"/>
    <cellStyle name="Input [yellow] 2 5 88" xfId="5518"/>
    <cellStyle name="Input [yellow] 2 5 88 2" xfId="30036"/>
    <cellStyle name="Input [yellow] 2 5 88 3" xfId="30037"/>
    <cellStyle name="Input [yellow] 2 5 88 4" xfId="30038"/>
    <cellStyle name="Input [yellow] 2 5 88 5" xfId="30039"/>
    <cellStyle name="Input [yellow] 2 5 88 6" xfId="30040"/>
    <cellStyle name="Input [yellow] 2 5 88 7" xfId="30041"/>
    <cellStyle name="Input [yellow] 2 5 89" xfId="5519"/>
    <cellStyle name="Input [yellow] 2 5 89 2" xfId="30042"/>
    <cellStyle name="Input [yellow] 2 5 89 3" xfId="30043"/>
    <cellStyle name="Input [yellow] 2 5 89 4" xfId="30044"/>
    <cellStyle name="Input [yellow] 2 5 89 5" xfId="30045"/>
    <cellStyle name="Input [yellow] 2 5 89 6" xfId="30046"/>
    <cellStyle name="Input [yellow] 2 5 89 7" xfId="30047"/>
    <cellStyle name="Input [yellow] 2 5 9" xfId="5520"/>
    <cellStyle name="Input [yellow] 2 5 9 2" xfId="30048"/>
    <cellStyle name="Input [yellow] 2 5 9 3" xfId="30049"/>
    <cellStyle name="Input [yellow] 2 5 9 4" xfId="30050"/>
    <cellStyle name="Input [yellow] 2 5 9 5" xfId="30051"/>
    <cellStyle name="Input [yellow] 2 5 9 6" xfId="30052"/>
    <cellStyle name="Input [yellow] 2 5 9 7" xfId="30053"/>
    <cellStyle name="Input [yellow] 2 5 90" xfId="5521"/>
    <cellStyle name="Input [yellow] 2 5 90 2" xfId="30054"/>
    <cellStyle name="Input [yellow] 2 5 90 3" xfId="30055"/>
    <cellStyle name="Input [yellow] 2 5 90 4" xfId="30056"/>
    <cellStyle name="Input [yellow] 2 5 90 5" xfId="30057"/>
    <cellStyle name="Input [yellow] 2 5 90 6" xfId="30058"/>
    <cellStyle name="Input [yellow] 2 5 90 7" xfId="30059"/>
    <cellStyle name="Input [yellow] 2 5 91" xfId="5522"/>
    <cellStyle name="Input [yellow] 2 5 91 2" xfId="30060"/>
    <cellStyle name="Input [yellow] 2 5 91 3" xfId="30061"/>
    <cellStyle name="Input [yellow] 2 5 91 4" xfId="30062"/>
    <cellStyle name="Input [yellow] 2 5 91 5" xfId="30063"/>
    <cellStyle name="Input [yellow] 2 5 91 6" xfId="30064"/>
    <cellStyle name="Input [yellow] 2 5 91 7" xfId="30065"/>
    <cellStyle name="Input [yellow] 2 5 92" xfId="5523"/>
    <cellStyle name="Input [yellow] 2 5 92 2" xfId="30066"/>
    <cellStyle name="Input [yellow] 2 5 92 3" xfId="30067"/>
    <cellStyle name="Input [yellow] 2 5 92 4" xfId="30068"/>
    <cellStyle name="Input [yellow] 2 5 92 5" xfId="30069"/>
    <cellStyle name="Input [yellow] 2 5 92 6" xfId="30070"/>
    <cellStyle name="Input [yellow] 2 5 92 7" xfId="30071"/>
    <cellStyle name="Input [yellow] 2 5 93" xfId="5524"/>
    <cellStyle name="Input [yellow] 2 5 93 2" xfId="30072"/>
    <cellStyle name="Input [yellow] 2 5 93 3" xfId="30073"/>
    <cellStyle name="Input [yellow] 2 5 93 4" xfId="30074"/>
    <cellStyle name="Input [yellow] 2 5 93 5" xfId="30075"/>
    <cellStyle name="Input [yellow] 2 5 93 6" xfId="30076"/>
    <cellStyle name="Input [yellow] 2 5 94" xfId="30077"/>
    <cellStyle name="Input [yellow] 2 5 95" xfId="30078"/>
    <cellStyle name="Input [yellow] 2 5 96" xfId="30079"/>
    <cellStyle name="Input [yellow] 2 5 97" xfId="30080"/>
    <cellStyle name="Input [yellow] 2 5 98" xfId="30081"/>
    <cellStyle name="Input [yellow] 2 5 99" xfId="30082"/>
    <cellStyle name="Input [yellow] 2 50" xfId="5525"/>
    <cellStyle name="Input [yellow] 2 50 2" xfId="30083"/>
    <cellStyle name="Input [yellow] 2 50 3" xfId="30084"/>
    <cellStyle name="Input [yellow] 2 50 4" xfId="30085"/>
    <cellStyle name="Input [yellow] 2 50 5" xfId="30086"/>
    <cellStyle name="Input [yellow] 2 50 6" xfId="30087"/>
    <cellStyle name="Input [yellow] 2 50 7" xfId="30088"/>
    <cellStyle name="Input [yellow] 2 51" xfId="5526"/>
    <cellStyle name="Input [yellow] 2 51 2" xfId="30089"/>
    <cellStyle name="Input [yellow] 2 51 3" xfId="30090"/>
    <cellStyle name="Input [yellow] 2 51 4" xfId="30091"/>
    <cellStyle name="Input [yellow] 2 51 5" xfId="30092"/>
    <cellStyle name="Input [yellow] 2 51 6" xfId="30093"/>
    <cellStyle name="Input [yellow] 2 51 7" xfId="30094"/>
    <cellStyle name="Input [yellow] 2 52" xfId="5527"/>
    <cellStyle name="Input [yellow] 2 52 2" xfId="30095"/>
    <cellStyle name="Input [yellow] 2 52 3" xfId="30096"/>
    <cellStyle name="Input [yellow] 2 52 4" xfId="30097"/>
    <cellStyle name="Input [yellow] 2 52 5" xfId="30098"/>
    <cellStyle name="Input [yellow] 2 52 6" xfId="30099"/>
    <cellStyle name="Input [yellow] 2 52 7" xfId="30100"/>
    <cellStyle name="Input [yellow] 2 53" xfId="5528"/>
    <cellStyle name="Input [yellow] 2 53 2" xfId="30101"/>
    <cellStyle name="Input [yellow] 2 53 3" xfId="30102"/>
    <cellStyle name="Input [yellow] 2 53 4" xfId="30103"/>
    <cellStyle name="Input [yellow] 2 53 5" xfId="30104"/>
    <cellStyle name="Input [yellow] 2 53 6" xfId="30105"/>
    <cellStyle name="Input [yellow] 2 53 7" xfId="30106"/>
    <cellStyle name="Input [yellow] 2 54" xfId="5529"/>
    <cellStyle name="Input [yellow] 2 54 2" xfId="30107"/>
    <cellStyle name="Input [yellow] 2 54 3" xfId="30108"/>
    <cellStyle name="Input [yellow] 2 54 4" xfId="30109"/>
    <cellStyle name="Input [yellow] 2 54 5" xfId="30110"/>
    <cellStyle name="Input [yellow] 2 54 6" xfId="30111"/>
    <cellStyle name="Input [yellow] 2 54 7" xfId="30112"/>
    <cellStyle name="Input [yellow] 2 55" xfId="5530"/>
    <cellStyle name="Input [yellow] 2 55 2" xfId="30113"/>
    <cellStyle name="Input [yellow] 2 55 3" xfId="30114"/>
    <cellStyle name="Input [yellow] 2 55 4" xfId="30115"/>
    <cellStyle name="Input [yellow] 2 55 5" xfId="30116"/>
    <cellStyle name="Input [yellow] 2 55 6" xfId="30117"/>
    <cellStyle name="Input [yellow] 2 55 7" xfId="30118"/>
    <cellStyle name="Input [yellow] 2 56" xfId="5531"/>
    <cellStyle name="Input [yellow] 2 56 2" xfId="30119"/>
    <cellStyle name="Input [yellow] 2 56 3" xfId="30120"/>
    <cellStyle name="Input [yellow] 2 56 4" xfId="30121"/>
    <cellStyle name="Input [yellow] 2 56 5" xfId="30122"/>
    <cellStyle name="Input [yellow] 2 56 6" xfId="30123"/>
    <cellStyle name="Input [yellow] 2 56 7" xfId="30124"/>
    <cellStyle name="Input [yellow] 2 57" xfId="5532"/>
    <cellStyle name="Input [yellow] 2 57 2" xfId="30125"/>
    <cellStyle name="Input [yellow] 2 57 3" xfId="30126"/>
    <cellStyle name="Input [yellow] 2 57 4" xfId="30127"/>
    <cellStyle name="Input [yellow] 2 57 5" xfId="30128"/>
    <cellStyle name="Input [yellow] 2 57 6" xfId="30129"/>
    <cellStyle name="Input [yellow] 2 57 7" xfId="30130"/>
    <cellStyle name="Input [yellow] 2 58" xfId="5533"/>
    <cellStyle name="Input [yellow] 2 58 2" xfId="30131"/>
    <cellStyle name="Input [yellow] 2 58 3" xfId="30132"/>
    <cellStyle name="Input [yellow] 2 58 4" xfId="30133"/>
    <cellStyle name="Input [yellow] 2 58 5" xfId="30134"/>
    <cellStyle name="Input [yellow] 2 58 6" xfId="30135"/>
    <cellStyle name="Input [yellow] 2 58 7" xfId="30136"/>
    <cellStyle name="Input [yellow] 2 59" xfId="5534"/>
    <cellStyle name="Input [yellow] 2 59 2" xfId="30137"/>
    <cellStyle name="Input [yellow] 2 59 3" xfId="30138"/>
    <cellStyle name="Input [yellow] 2 59 4" xfId="30139"/>
    <cellStyle name="Input [yellow] 2 59 5" xfId="30140"/>
    <cellStyle name="Input [yellow] 2 59 6" xfId="30141"/>
    <cellStyle name="Input [yellow] 2 59 7" xfId="30142"/>
    <cellStyle name="Input [yellow] 2 6" xfId="5535"/>
    <cellStyle name="Input [yellow] 2 6 10" xfId="30143"/>
    <cellStyle name="Input [yellow] 2 6 11" xfId="30144"/>
    <cellStyle name="Input [yellow] 2 6 2" xfId="30145"/>
    <cellStyle name="Input [yellow] 2 6 3" xfId="30146"/>
    <cellStyle name="Input [yellow] 2 6 4" xfId="30147"/>
    <cellStyle name="Input [yellow] 2 6 5" xfId="30148"/>
    <cellStyle name="Input [yellow] 2 6 6" xfId="30149"/>
    <cellStyle name="Input [yellow] 2 6 7" xfId="30150"/>
    <cellStyle name="Input [yellow] 2 6 8" xfId="30151"/>
    <cellStyle name="Input [yellow] 2 6 9" xfId="30152"/>
    <cellStyle name="Input [yellow] 2 60" xfId="5536"/>
    <cellStyle name="Input [yellow] 2 60 2" xfId="30153"/>
    <cellStyle name="Input [yellow] 2 60 3" xfId="30154"/>
    <cellStyle name="Input [yellow] 2 60 4" xfId="30155"/>
    <cellStyle name="Input [yellow] 2 60 5" xfId="30156"/>
    <cellStyle name="Input [yellow] 2 60 6" xfId="30157"/>
    <cellStyle name="Input [yellow] 2 60 7" xfId="30158"/>
    <cellStyle name="Input [yellow] 2 61" xfId="5537"/>
    <cellStyle name="Input [yellow] 2 61 2" xfId="30159"/>
    <cellStyle name="Input [yellow] 2 61 3" xfId="30160"/>
    <cellStyle name="Input [yellow] 2 61 4" xfId="30161"/>
    <cellStyle name="Input [yellow] 2 61 5" xfId="30162"/>
    <cellStyle name="Input [yellow] 2 61 6" xfId="30163"/>
    <cellStyle name="Input [yellow] 2 61 7" xfId="30164"/>
    <cellStyle name="Input [yellow] 2 62" xfId="5538"/>
    <cellStyle name="Input [yellow] 2 62 2" xfId="30165"/>
    <cellStyle name="Input [yellow] 2 62 3" xfId="30166"/>
    <cellStyle name="Input [yellow] 2 62 4" xfId="30167"/>
    <cellStyle name="Input [yellow] 2 62 5" xfId="30168"/>
    <cellStyle name="Input [yellow] 2 62 6" xfId="30169"/>
    <cellStyle name="Input [yellow] 2 62 7" xfId="30170"/>
    <cellStyle name="Input [yellow] 2 63" xfId="5539"/>
    <cellStyle name="Input [yellow] 2 63 2" xfId="30171"/>
    <cellStyle name="Input [yellow] 2 63 3" xfId="30172"/>
    <cellStyle name="Input [yellow] 2 63 4" xfId="30173"/>
    <cellStyle name="Input [yellow] 2 63 5" xfId="30174"/>
    <cellStyle name="Input [yellow] 2 63 6" xfId="30175"/>
    <cellStyle name="Input [yellow] 2 63 7" xfId="30176"/>
    <cellStyle name="Input [yellow] 2 64" xfId="5540"/>
    <cellStyle name="Input [yellow] 2 64 2" xfId="30177"/>
    <cellStyle name="Input [yellow] 2 64 3" xfId="30178"/>
    <cellStyle name="Input [yellow] 2 64 4" xfId="30179"/>
    <cellStyle name="Input [yellow] 2 64 5" xfId="30180"/>
    <cellStyle name="Input [yellow] 2 64 6" xfId="30181"/>
    <cellStyle name="Input [yellow] 2 64 7" xfId="30182"/>
    <cellStyle name="Input [yellow] 2 65" xfId="5541"/>
    <cellStyle name="Input [yellow] 2 65 2" xfId="30183"/>
    <cellStyle name="Input [yellow] 2 65 3" xfId="30184"/>
    <cellStyle name="Input [yellow] 2 65 4" xfId="30185"/>
    <cellStyle name="Input [yellow] 2 65 5" xfId="30186"/>
    <cellStyle name="Input [yellow] 2 65 6" xfId="30187"/>
    <cellStyle name="Input [yellow] 2 65 7" xfId="30188"/>
    <cellStyle name="Input [yellow] 2 66" xfId="5542"/>
    <cellStyle name="Input [yellow] 2 66 2" xfId="30189"/>
    <cellStyle name="Input [yellow] 2 66 3" xfId="30190"/>
    <cellStyle name="Input [yellow] 2 66 4" xfId="30191"/>
    <cellStyle name="Input [yellow] 2 66 5" xfId="30192"/>
    <cellStyle name="Input [yellow] 2 66 6" xfId="30193"/>
    <cellStyle name="Input [yellow] 2 66 7" xfId="30194"/>
    <cellStyle name="Input [yellow] 2 67" xfId="5543"/>
    <cellStyle name="Input [yellow] 2 67 2" xfId="30195"/>
    <cellStyle name="Input [yellow] 2 67 3" xfId="30196"/>
    <cellStyle name="Input [yellow] 2 67 4" xfId="30197"/>
    <cellStyle name="Input [yellow] 2 67 5" xfId="30198"/>
    <cellStyle name="Input [yellow] 2 67 6" xfId="30199"/>
    <cellStyle name="Input [yellow] 2 67 7" xfId="30200"/>
    <cellStyle name="Input [yellow] 2 68" xfId="5544"/>
    <cellStyle name="Input [yellow] 2 68 2" xfId="30201"/>
    <cellStyle name="Input [yellow] 2 68 3" xfId="30202"/>
    <cellStyle name="Input [yellow] 2 68 4" xfId="30203"/>
    <cellStyle name="Input [yellow] 2 68 5" xfId="30204"/>
    <cellStyle name="Input [yellow] 2 68 6" xfId="30205"/>
    <cellStyle name="Input [yellow] 2 68 7" xfId="30206"/>
    <cellStyle name="Input [yellow] 2 69" xfId="5545"/>
    <cellStyle name="Input [yellow] 2 69 2" xfId="30207"/>
    <cellStyle name="Input [yellow] 2 69 3" xfId="30208"/>
    <cellStyle name="Input [yellow] 2 69 4" xfId="30209"/>
    <cellStyle name="Input [yellow] 2 69 5" xfId="30210"/>
    <cellStyle name="Input [yellow] 2 69 6" xfId="30211"/>
    <cellStyle name="Input [yellow] 2 69 7" xfId="30212"/>
    <cellStyle name="Input [yellow] 2 7" xfId="5546"/>
    <cellStyle name="Input [yellow] 2 7 10" xfId="30213"/>
    <cellStyle name="Input [yellow] 2 7 11" xfId="30214"/>
    <cellStyle name="Input [yellow] 2 7 2" xfId="30215"/>
    <cellStyle name="Input [yellow] 2 7 3" xfId="30216"/>
    <cellStyle name="Input [yellow] 2 7 4" xfId="30217"/>
    <cellStyle name="Input [yellow] 2 7 5" xfId="30218"/>
    <cellStyle name="Input [yellow] 2 7 6" xfId="30219"/>
    <cellStyle name="Input [yellow] 2 7 7" xfId="30220"/>
    <cellStyle name="Input [yellow] 2 7 8" xfId="30221"/>
    <cellStyle name="Input [yellow] 2 7 9" xfId="30222"/>
    <cellStyle name="Input [yellow] 2 70" xfId="5547"/>
    <cellStyle name="Input [yellow] 2 70 2" xfId="30223"/>
    <cellStyle name="Input [yellow] 2 70 3" xfId="30224"/>
    <cellStyle name="Input [yellow] 2 70 4" xfId="30225"/>
    <cellStyle name="Input [yellow] 2 70 5" xfId="30226"/>
    <cellStyle name="Input [yellow] 2 70 6" xfId="30227"/>
    <cellStyle name="Input [yellow] 2 70 7" xfId="30228"/>
    <cellStyle name="Input [yellow] 2 71" xfId="5548"/>
    <cellStyle name="Input [yellow] 2 71 2" xfId="30229"/>
    <cellStyle name="Input [yellow] 2 71 3" xfId="30230"/>
    <cellStyle name="Input [yellow] 2 71 4" xfId="30231"/>
    <cellStyle name="Input [yellow] 2 71 5" xfId="30232"/>
    <cellStyle name="Input [yellow] 2 71 6" xfId="30233"/>
    <cellStyle name="Input [yellow] 2 71 7" xfId="30234"/>
    <cellStyle name="Input [yellow] 2 72" xfId="5549"/>
    <cellStyle name="Input [yellow] 2 72 2" xfId="30235"/>
    <cellStyle name="Input [yellow] 2 72 3" xfId="30236"/>
    <cellStyle name="Input [yellow] 2 72 4" xfId="30237"/>
    <cellStyle name="Input [yellow] 2 72 5" xfId="30238"/>
    <cellStyle name="Input [yellow] 2 72 6" xfId="30239"/>
    <cellStyle name="Input [yellow] 2 72 7" xfId="30240"/>
    <cellStyle name="Input [yellow] 2 73" xfId="5550"/>
    <cellStyle name="Input [yellow] 2 73 2" xfId="30241"/>
    <cellStyle name="Input [yellow] 2 73 3" xfId="30242"/>
    <cellStyle name="Input [yellow] 2 73 4" xfId="30243"/>
    <cellStyle name="Input [yellow] 2 73 5" xfId="30244"/>
    <cellStyle name="Input [yellow] 2 73 6" xfId="30245"/>
    <cellStyle name="Input [yellow] 2 73 7" xfId="30246"/>
    <cellStyle name="Input [yellow] 2 74" xfId="5551"/>
    <cellStyle name="Input [yellow] 2 74 2" xfId="30247"/>
    <cellStyle name="Input [yellow] 2 74 3" xfId="30248"/>
    <cellStyle name="Input [yellow] 2 74 4" xfId="30249"/>
    <cellStyle name="Input [yellow] 2 74 5" xfId="30250"/>
    <cellStyle name="Input [yellow] 2 74 6" xfId="30251"/>
    <cellStyle name="Input [yellow] 2 74 7" xfId="30252"/>
    <cellStyle name="Input [yellow] 2 75" xfId="5552"/>
    <cellStyle name="Input [yellow] 2 75 2" xfId="30253"/>
    <cellStyle name="Input [yellow] 2 75 3" xfId="30254"/>
    <cellStyle name="Input [yellow] 2 75 4" xfId="30255"/>
    <cellStyle name="Input [yellow] 2 75 5" xfId="30256"/>
    <cellStyle name="Input [yellow] 2 75 6" xfId="30257"/>
    <cellStyle name="Input [yellow] 2 75 7" xfId="30258"/>
    <cellStyle name="Input [yellow] 2 76" xfId="5553"/>
    <cellStyle name="Input [yellow] 2 76 2" xfId="30259"/>
    <cellStyle name="Input [yellow] 2 76 3" xfId="30260"/>
    <cellStyle name="Input [yellow] 2 76 4" xfId="30261"/>
    <cellStyle name="Input [yellow] 2 76 5" xfId="30262"/>
    <cellStyle name="Input [yellow] 2 76 6" xfId="30263"/>
    <cellStyle name="Input [yellow] 2 76 7" xfId="30264"/>
    <cellStyle name="Input [yellow] 2 77" xfId="5554"/>
    <cellStyle name="Input [yellow] 2 77 2" xfId="30265"/>
    <cellStyle name="Input [yellow] 2 77 3" xfId="30266"/>
    <cellStyle name="Input [yellow] 2 77 4" xfId="30267"/>
    <cellStyle name="Input [yellow] 2 77 5" xfId="30268"/>
    <cellStyle name="Input [yellow] 2 77 6" xfId="30269"/>
    <cellStyle name="Input [yellow] 2 77 7" xfId="30270"/>
    <cellStyle name="Input [yellow] 2 78" xfId="5555"/>
    <cellStyle name="Input [yellow] 2 78 2" xfId="30271"/>
    <cellStyle name="Input [yellow] 2 78 3" xfId="30272"/>
    <cellStyle name="Input [yellow] 2 78 4" xfId="30273"/>
    <cellStyle name="Input [yellow] 2 78 5" xfId="30274"/>
    <cellStyle name="Input [yellow] 2 78 6" xfId="30275"/>
    <cellStyle name="Input [yellow] 2 78 7" xfId="30276"/>
    <cellStyle name="Input [yellow] 2 79" xfId="5556"/>
    <cellStyle name="Input [yellow] 2 79 2" xfId="30277"/>
    <cellStyle name="Input [yellow] 2 79 3" xfId="30278"/>
    <cellStyle name="Input [yellow] 2 79 4" xfId="30279"/>
    <cellStyle name="Input [yellow] 2 79 5" xfId="30280"/>
    <cellStyle name="Input [yellow] 2 79 6" xfId="30281"/>
    <cellStyle name="Input [yellow] 2 79 7" xfId="30282"/>
    <cellStyle name="Input [yellow] 2 8" xfId="5557"/>
    <cellStyle name="Input [yellow] 2 8 10" xfId="30283"/>
    <cellStyle name="Input [yellow] 2 8 11" xfId="30284"/>
    <cellStyle name="Input [yellow] 2 8 2" xfId="30285"/>
    <cellStyle name="Input [yellow] 2 8 3" xfId="30286"/>
    <cellStyle name="Input [yellow] 2 8 4" xfId="30287"/>
    <cellStyle name="Input [yellow] 2 8 5" xfId="30288"/>
    <cellStyle name="Input [yellow] 2 8 6" xfId="30289"/>
    <cellStyle name="Input [yellow] 2 8 7" xfId="30290"/>
    <cellStyle name="Input [yellow] 2 8 8" xfId="30291"/>
    <cellStyle name="Input [yellow] 2 8 9" xfId="30292"/>
    <cellStyle name="Input [yellow] 2 80" xfId="5558"/>
    <cellStyle name="Input [yellow] 2 80 2" xfId="30293"/>
    <cellStyle name="Input [yellow] 2 80 3" xfId="30294"/>
    <cellStyle name="Input [yellow] 2 80 4" xfId="30295"/>
    <cellStyle name="Input [yellow] 2 80 5" xfId="30296"/>
    <cellStyle name="Input [yellow] 2 80 6" xfId="30297"/>
    <cellStyle name="Input [yellow] 2 80 7" xfId="30298"/>
    <cellStyle name="Input [yellow] 2 81" xfId="5559"/>
    <cellStyle name="Input [yellow] 2 81 2" xfId="30299"/>
    <cellStyle name="Input [yellow] 2 81 3" xfId="30300"/>
    <cellStyle name="Input [yellow] 2 81 4" xfId="30301"/>
    <cellStyle name="Input [yellow] 2 81 5" xfId="30302"/>
    <cellStyle name="Input [yellow] 2 81 6" xfId="30303"/>
    <cellStyle name="Input [yellow] 2 81 7" xfId="30304"/>
    <cellStyle name="Input [yellow] 2 82" xfId="5560"/>
    <cellStyle name="Input [yellow] 2 82 2" xfId="30305"/>
    <cellStyle name="Input [yellow] 2 82 3" xfId="30306"/>
    <cellStyle name="Input [yellow] 2 82 4" xfId="30307"/>
    <cellStyle name="Input [yellow] 2 82 5" xfId="30308"/>
    <cellStyle name="Input [yellow] 2 82 6" xfId="30309"/>
    <cellStyle name="Input [yellow] 2 82 7" xfId="30310"/>
    <cellStyle name="Input [yellow] 2 83" xfId="5561"/>
    <cellStyle name="Input [yellow] 2 83 2" xfId="30311"/>
    <cellStyle name="Input [yellow] 2 83 3" xfId="30312"/>
    <cellStyle name="Input [yellow] 2 83 4" xfId="30313"/>
    <cellStyle name="Input [yellow] 2 83 5" xfId="30314"/>
    <cellStyle name="Input [yellow] 2 83 6" xfId="30315"/>
    <cellStyle name="Input [yellow] 2 83 7" xfId="30316"/>
    <cellStyle name="Input [yellow] 2 84" xfId="5562"/>
    <cellStyle name="Input [yellow] 2 84 2" xfId="30317"/>
    <cellStyle name="Input [yellow] 2 84 3" xfId="30318"/>
    <cellStyle name="Input [yellow] 2 84 4" xfId="30319"/>
    <cellStyle name="Input [yellow] 2 84 5" xfId="30320"/>
    <cellStyle name="Input [yellow] 2 84 6" xfId="30321"/>
    <cellStyle name="Input [yellow] 2 84 7" xfId="30322"/>
    <cellStyle name="Input [yellow] 2 85" xfId="5563"/>
    <cellStyle name="Input [yellow] 2 85 2" xfId="30323"/>
    <cellStyle name="Input [yellow] 2 85 3" xfId="30324"/>
    <cellStyle name="Input [yellow] 2 85 4" xfId="30325"/>
    <cellStyle name="Input [yellow] 2 85 5" xfId="30326"/>
    <cellStyle name="Input [yellow] 2 85 6" xfId="30327"/>
    <cellStyle name="Input [yellow] 2 85 7" xfId="30328"/>
    <cellStyle name="Input [yellow] 2 86" xfId="5564"/>
    <cellStyle name="Input [yellow] 2 86 2" xfId="30329"/>
    <cellStyle name="Input [yellow] 2 86 3" xfId="30330"/>
    <cellStyle name="Input [yellow] 2 86 4" xfId="30331"/>
    <cellStyle name="Input [yellow] 2 86 5" xfId="30332"/>
    <cellStyle name="Input [yellow] 2 86 6" xfId="30333"/>
    <cellStyle name="Input [yellow] 2 86 7" xfId="30334"/>
    <cellStyle name="Input [yellow] 2 87" xfId="5565"/>
    <cellStyle name="Input [yellow] 2 87 2" xfId="30335"/>
    <cellStyle name="Input [yellow] 2 87 3" xfId="30336"/>
    <cellStyle name="Input [yellow] 2 87 4" xfId="30337"/>
    <cellStyle name="Input [yellow] 2 87 5" xfId="30338"/>
    <cellStyle name="Input [yellow] 2 87 6" xfId="30339"/>
    <cellStyle name="Input [yellow] 2 87 7" xfId="30340"/>
    <cellStyle name="Input [yellow] 2 88" xfId="5566"/>
    <cellStyle name="Input [yellow] 2 88 2" xfId="30341"/>
    <cellStyle name="Input [yellow] 2 88 3" xfId="30342"/>
    <cellStyle name="Input [yellow] 2 88 4" xfId="30343"/>
    <cellStyle name="Input [yellow] 2 88 5" xfId="30344"/>
    <cellStyle name="Input [yellow] 2 88 6" xfId="30345"/>
    <cellStyle name="Input [yellow] 2 88 7" xfId="30346"/>
    <cellStyle name="Input [yellow] 2 89" xfId="5567"/>
    <cellStyle name="Input [yellow] 2 89 2" xfId="30347"/>
    <cellStyle name="Input [yellow] 2 89 3" xfId="30348"/>
    <cellStyle name="Input [yellow] 2 89 4" xfId="30349"/>
    <cellStyle name="Input [yellow] 2 89 5" xfId="30350"/>
    <cellStyle name="Input [yellow] 2 89 6" xfId="30351"/>
    <cellStyle name="Input [yellow] 2 89 7" xfId="30352"/>
    <cellStyle name="Input [yellow] 2 9" xfId="5568"/>
    <cellStyle name="Input [yellow] 2 9 10" xfId="30353"/>
    <cellStyle name="Input [yellow] 2 9 2" xfId="30354"/>
    <cellStyle name="Input [yellow] 2 9 3" xfId="30355"/>
    <cellStyle name="Input [yellow] 2 9 4" xfId="30356"/>
    <cellStyle name="Input [yellow] 2 9 5" xfId="30357"/>
    <cellStyle name="Input [yellow] 2 9 6" xfId="30358"/>
    <cellStyle name="Input [yellow] 2 9 7" xfId="30359"/>
    <cellStyle name="Input [yellow] 2 9 8" xfId="30360"/>
    <cellStyle name="Input [yellow] 2 9 9" xfId="30361"/>
    <cellStyle name="Input [yellow] 2 90" xfId="5569"/>
    <cellStyle name="Input [yellow] 2 90 2" xfId="30362"/>
    <cellStyle name="Input [yellow] 2 90 3" xfId="30363"/>
    <cellStyle name="Input [yellow] 2 90 4" xfId="30364"/>
    <cellStyle name="Input [yellow] 2 90 5" xfId="30365"/>
    <cellStyle name="Input [yellow] 2 90 6" xfId="30366"/>
    <cellStyle name="Input [yellow] 2 90 7" xfId="30367"/>
    <cellStyle name="Input [yellow] 2 91" xfId="5570"/>
    <cellStyle name="Input [yellow] 2 91 2" xfId="30368"/>
    <cellStyle name="Input [yellow] 2 91 3" xfId="30369"/>
    <cellStyle name="Input [yellow] 2 91 4" xfId="30370"/>
    <cellStyle name="Input [yellow] 2 91 5" xfId="30371"/>
    <cellStyle name="Input [yellow] 2 91 6" xfId="30372"/>
    <cellStyle name="Input [yellow] 2 91 7" xfId="30373"/>
    <cellStyle name="Input [yellow] 2 92" xfId="5571"/>
    <cellStyle name="Input [yellow] 2 92 2" xfId="30374"/>
    <cellStyle name="Input [yellow] 2 92 3" xfId="30375"/>
    <cellStyle name="Input [yellow] 2 92 4" xfId="30376"/>
    <cellStyle name="Input [yellow] 2 92 5" xfId="30377"/>
    <cellStyle name="Input [yellow] 2 92 6" xfId="30378"/>
    <cellStyle name="Input [yellow] 2 92 7" xfId="30379"/>
    <cellStyle name="Input [yellow] 2 93" xfId="12014"/>
    <cellStyle name="Input [yellow] 2 94" xfId="30380"/>
    <cellStyle name="Input [yellow] 2 95" xfId="30381"/>
    <cellStyle name="Input [yellow] 2 96" xfId="30382"/>
    <cellStyle name="Input [yellow] 2 97" xfId="30383"/>
    <cellStyle name="Input [yellow] 2 98" xfId="30384"/>
    <cellStyle name="Input [yellow] 2 99" xfId="30385"/>
    <cellStyle name="Input [yellow] 20" xfId="5572"/>
    <cellStyle name="Input [yellow] 20 2" xfId="30386"/>
    <cellStyle name="Input [yellow] 20 3" xfId="30387"/>
    <cellStyle name="Input [yellow] 20 4" xfId="30388"/>
    <cellStyle name="Input [yellow] 20 5" xfId="30389"/>
    <cellStyle name="Input [yellow] 20 6" xfId="30390"/>
    <cellStyle name="Input [yellow] 20 7" xfId="30391"/>
    <cellStyle name="Input [yellow] 21" xfId="5573"/>
    <cellStyle name="Input [yellow] 21 2" xfId="30392"/>
    <cellStyle name="Input [yellow] 21 3" xfId="30393"/>
    <cellStyle name="Input [yellow] 21 4" xfId="30394"/>
    <cellStyle name="Input [yellow] 21 5" xfId="30395"/>
    <cellStyle name="Input [yellow] 21 6" xfId="30396"/>
    <cellStyle name="Input [yellow] 21 7" xfId="30397"/>
    <cellStyle name="Input [yellow] 22" xfId="5574"/>
    <cellStyle name="Input [yellow] 22 2" xfId="30398"/>
    <cellStyle name="Input [yellow] 22 3" xfId="30399"/>
    <cellStyle name="Input [yellow] 22 4" xfId="30400"/>
    <cellStyle name="Input [yellow] 22 5" xfId="30401"/>
    <cellStyle name="Input [yellow] 22 6" xfId="30402"/>
    <cellStyle name="Input [yellow] 22 7" xfId="30403"/>
    <cellStyle name="Input [yellow] 23" xfId="5575"/>
    <cellStyle name="Input [yellow] 23 2" xfId="30404"/>
    <cellStyle name="Input [yellow] 23 3" xfId="30405"/>
    <cellStyle name="Input [yellow] 23 4" xfId="30406"/>
    <cellStyle name="Input [yellow] 23 5" xfId="30407"/>
    <cellStyle name="Input [yellow] 23 6" xfId="30408"/>
    <cellStyle name="Input [yellow] 23 7" xfId="30409"/>
    <cellStyle name="Input [yellow] 24" xfId="5576"/>
    <cellStyle name="Input [yellow] 24 2" xfId="30410"/>
    <cellStyle name="Input [yellow] 24 3" xfId="30411"/>
    <cellStyle name="Input [yellow] 24 4" xfId="30412"/>
    <cellStyle name="Input [yellow] 24 5" xfId="30413"/>
    <cellStyle name="Input [yellow] 24 6" xfId="30414"/>
    <cellStyle name="Input [yellow] 24 7" xfId="30415"/>
    <cellStyle name="Input [yellow] 25" xfId="5577"/>
    <cellStyle name="Input [yellow] 25 2" xfId="30416"/>
    <cellStyle name="Input [yellow] 25 3" xfId="30417"/>
    <cellStyle name="Input [yellow] 25 4" xfId="30418"/>
    <cellStyle name="Input [yellow] 25 5" xfId="30419"/>
    <cellStyle name="Input [yellow] 25 6" xfId="30420"/>
    <cellStyle name="Input [yellow] 25 7" xfId="30421"/>
    <cellStyle name="Input [yellow] 26" xfId="5578"/>
    <cellStyle name="Input [yellow] 26 2" xfId="30422"/>
    <cellStyle name="Input [yellow] 26 3" xfId="30423"/>
    <cellStyle name="Input [yellow] 26 4" xfId="30424"/>
    <cellStyle name="Input [yellow] 26 5" xfId="30425"/>
    <cellStyle name="Input [yellow] 26 6" xfId="30426"/>
    <cellStyle name="Input [yellow] 26 7" xfId="30427"/>
    <cellStyle name="Input [yellow] 27" xfId="5579"/>
    <cellStyle name="Input [yellow] 27 2" xfId="30428"/>
    <cellStyle name="Input [yellow] 27 3" xfId="30429"/>
    <cellStyle name="Input [yellow] 27 4" xfId="30430"/>
    <cellStyle name="Input [yellow] 27 5" xfId="30431"/>
    <cellStyle name="Input [yellow] 27 6" xfId="30432"/>
    <cellStyle name="Input [yellow] 27 7" xfId="30433"/>
    <cellStyle name="Input [yellow] 28" xfId="5580"/>
    <cellStyle name="Input [yellow] 28 2" xfId="30434"/>
    <cellStyle name="Input [yellow] 28 3" xfId="30435"/>
    <cellStyle name="Input [yellow] 28 4" xfId="30436"/>
    <cellStyle name="Input [yellow] 28 5" xfId="30437"/>
    <cellStyle name="Input [yellow] 28 6" xfId="30438"/>
    <cellStyle name="Input [yellow] 28 7" xfId="30439"/>
    <cellStyle name="Input [yellow] 29" xfId="5581"/>
    <cellStyle name="Input [yellow] 29 2" xfId="30440"/>
    <cellStyle name="Input [yellow] 29 3" xfId="30441"/>
    <cellStyle name="Input [yellow] 29 4" xfId="30442"/>
    <cellStyle name="Input [yellow] 29 5" xfId="30443"/>
    <cellStyle name="Input [yellow] 29 6" xfId="30444"/>
    <cellStyle name="Input [yellow] 29 7" xfId="30445"/>
    <cellStyle name="Input [yellow] 3" xfId="5582"/>
    <cellStyle name="Input [yellow] 3 10" xfId="5583"/>
    <cellStyle name="Input [yellow] 3 10 2" xfId="30446"/>
    <cellStyle name="Input [yellow] 3 10 3" xfId="30447"/>
    <cellStyle name="Input [yellow] 3 10 4" xfId="30448"/>
    <cellStyle name="Input [yellow] 3 10 5" xfId="30449"/>
    <cellStyle name="Input [yellow] 3 10 6" xfId="30450"/>
    <cellStyle name="Input [yellow] 3 10 7" xfId="30451"/>
    <cellStyle name="Input [yellow] 3 100" xfId="30452"/>
    <cellStyle name="Input [yellow] 3 101" xfId="30453"/>
    <cellStyle name="Input [yellow] 3 102" xfId="30454"/>
    <cellStyle name="Input [yellow] 3 11" xfId="5584"/>
    <cellStyle name="Input [yellow] 3 11 2" xfId="30455"/>
    <cellStyle name="Input [yellow] 3 11 3" xfId="30456"/>
    <cellStyle name="Input [yellow] 3 11 4" xfId="30457"/>
    <cellStyle name="Input [yellow] 3 11 5" xfId="30458"/>
    <cellStyle name="Input [yellow] 3 11 6" xfId="30459"/>
    <cellStyle name="Input [yellow] 3 11 7" xfId="30460"/>
    <cellStyle name="Input [yellow] 3 12" xfId="5585"/>
    <cellStyle name="Input [yellow] 3 12 2" xfId="30461"/>
    <cellStyle name="Input [yellow] 3 12 3" xfId="30462"/>
    <cellStyle name="Input [yellow] 3 12 4" xfId="30463"/>
    <cellStyle name="Input [yellow] 3 12 5" xfId="30464"/>
    <cellStyle name="Input [yellow] 3 12 6" xfId="30465"/>
    <cellStyle name="Input [yellow] 3 12 7" xfId="30466"/>
    <cellStyle name="Input [yellow] 3 13" xfId="5586"/>
    <cellStyle name="Input [yellow] 3 13 2" xfId="30467"/>
    <cellStyle name="Input [yellow] 3 13 3" xfId="30468"/>
    <cellStyle name="Input [yellow] 3 13 4" xfId="30469"/>
    <cellStyle name="Input [yellow] 3 13 5" xfId="30470"/>
    <cellStyle name="Input [yellow] 3 13 6" xfId="30471"/>
    <cellStyle name="Input [yellow] 3 13 7" xfId="30472"/>
    <cellStyle name="Input [yellow] 3 14" xfId="5587"/>
    <cellStyle name="Input [yellow] 3 14 2" xfId="30473"/>
    <cellStyle name="Input [yellow] 3 14 3" xfId="30474"/>
    <cellStyle name="Input [yellow] 3 14 4" xfId="30475"/>
    <cellStyle name="Input [yellow] 3 14 5" xfId="30476"/>
    <cellStyle name="Input [yellow] 3 14 6" xfId="30477"/>
    <cellStyle name="Input [yellow] 3 14 7" xfId="30478"/>
    <cellStyle name="Input [yellow] 3 15" xfId="5588"/>
    <cellStyle name="Input [yellow] 3 15 2" xfId="30479"/>
    <cellStyle name="Input [yellow] 3 15 3" xfId="30480"/>
    <cellStyle name="Input [yellow] 3 15 4" xfId="30481"/>
    <cellStyle name="Input [yellow] 3 15 5" xfId="30482"/>
    <cellStyle name="Input [yellow] 3 15 6" xfId="30483"/>
    <cellStyle name="Input [yellow] 3 15 7" xfId="30484"/>
    <cellStyle name="Input [yellow] 3 16" xfId="5589"/>
    <cellStyle name="Input [yellow] 3 16 2" xfId="30485"/>
    <cellStyle name="Input [yellow] 3 16 3" xfId="30486"/>
    <cellStyle name="Input [yellow] 3 16 4" xfId="30487"/>
    <cellStyle name="Input [yellow] 3 16 5" xfId="30488"/>
    <cellStyle name="Input [yellow] 3 16 6" xfId="30489"/>
    <cellStyle name="Input [yellow] 3 16 7" xfId="30490"/>
    <cellStyle name="Input [yellow] 3 17" xfId="5590"/>
    <cellStyle name="Input [yellow] 3 17 2" xfId="30491"/>
    <cellStyle name="Input [yellow] 3 17 3" xfId="30492"/>
    <cellStyle name="Input [yellow] 3 17 4" xfId="30493"/>
    <cellStyle name="Input [yellow] 3 17 5" xfId="30494"/>
    <cellStyle name="Input [yellow] 3 17 6" xfId="30495"/>
    <cellStyle name="Input [yellow] 3 17 7" xfId="30496"/>
    <cellStyle name="Input [yellow] 3 18" xfId="5591"/>
    <cellStyle name="Input [yellow] 3 18 2" xfId="30497"/>
    <cellStyle name="Input [yellow] 3 18 3" xfId="30498"/>
    <cellStyle name="Input [yellow] 3 18 4" xfId="30499"/>
    <cellStyle name="Input [yellow] 3 18 5" xfId="30500"/>
    <cellStyle name="Input [yellow] 3 18 6" xfId="30501"/>
    <cellStyle name="Input [yellow] 3 18 7" xfId="30502"/>
    <cellStyle name="Input [yellow] 3 19" xfId="5592"/>
    <cellStyle name="Input [yellow] 3 19 2" xfId="30503"/>
    <cellStyle name="Input [yellow] 3 19 3" xfId="30504"/>
    <cellStyle name="Input [yellow] 3 19 4" xfId="30505"/>
    <cellStyle name="Input [yellow] 3 19 5" xfId="30506"/>
    <cellStyle name="Input [yellow] 3 19 6" xfId="30507"/>
    <cellStyle name="Input [yellow] 3 19 7" xfId="30508"/>
    <cellStyle name="Input [yellow] 3 2" xfId="5593"/>
    <cellStyle name="Input [yellow] 3 2 10" xfId="30509"/>
    <cellStyle name="Input [yellow] 3 2 11" xfId="30510"/>
    <cellStyle name="Input [yellow] 3 2 2" xfId="30511"/>
    <cellStyle name="Input [yellow] 3 2 3" xfId="30512"/>
    <cellStyle name="Input [yellow] 3 2 4" xfId="30513"/>
    <cellStyle name="Input [yellow] 3 2 5" xfId="30514"/>
    <cellStyle name="Input [yellow] 3 2 6" xfId="30515"/>
    <cellStyle name="Input [yellow] 3 2 7" xfId="30516"/>
    <cellStyle name="Input [yellow] 3 2 8" xfId="30517"/>
    <cellStyle name="Input [yellow] 3 2 9" xfId="30518"/>
    <cellStyle name="Input [yellow] 3 20" xfId="5594"/>
    <cellStyle name="Input [yellow] 3 20 2" xfId="30519"/>
    <cellStyle name="Input [yellow] 3 20 3" xfId="30520"/>
    <cellStyle name="Input [yellow] 3 20 4" xfId="30521"/>
    <cellStyle name="Input [yellow] 3 20 5" xfId="30522"/>
    <cellStyle name="Input [yellow] 3 20 6" xfId="30523"/>
    <cellStyle name="Input [yellow] 3 20 7" xfId="30524"/>
    <cellStyle name="Input [yellow] 3 21" xfId="5595"/>
    <cellStyle name="Input [yellow] 3 21 2" xfId="30525"/>
    <cellStyle name="Input [yellow] 3 21 3" xfId="30526"/>
    <cellStyle name="Input [yellow] 3 21 4" xfId="30527"/>
    <cellStyle name="Input [yellow] 3 21 5" xfId="30528"/>
    <cellStyle name="Input [yellow] 3 21 6" xfId="30529"/>
    <cellStyle name="Input [yellow] 3 21 7" xfId="30530"/>
    <cellStyle name="Input [yellow] 3 22" xfId="5596"/>
    <cellStyle name="Input [yellow] 3 22 2" xfId="30531"/>
    <cellStyle name="Input [yellow] 3 22 3" xfId="30532"/>
    <cellStyle name="Input [yellow] 3 22 4" xfId="30533"/>
    <cellStyle name="Input [yellow] 3 22 5" xfId="30534"/>
    <cellStyle name="Input [yellow] 3 22 6" xfId="30535"/>
    <cellStyle name="Input [yellow] 3 22 7" xfId="30536"/>
    <cellStyle name="Input [yellow] 3 23" xfId="5597"/>
    <cellStyle name="Input [yellow] 3 23 2" xfId="30537"/>
    <cellStyle name="Input [yellow] 3 23 3" xfId="30538"/>
    <cellStyle name="Input [yellow] 3 23 4" xfId="30539"/>
    <cellStyle name="Input [yellow] 3 23 5" xfId="30540"/>
    <cellStyle name="Input [yellow] 3 23 6" xfId="30541"/>
    <cellStyle name="Input [yellow] 3 23 7" xfId="30542"/>
    <cellStyle name="Input [yellow] 3 24" xfId="5598"/>
    <cellStyle name="Input [yellow] 3 24 2" xfId="30543"/>
    <cellStyle name="Input [yellow] 3 24 3" xfId="30544"/>
    <cellStyle name="Input [yellow] 3 24 4" xfId="30545"/>
    <cellStyle name="Input [yellow] 3 24 5" xfId="30546"/>
    <cellStyle name="Input [yellow] 3 24 6" xfId="30547"/>
    <cellStyle name="Input [yellow] 3 24 7" xfId="30548"/>
    <cellStyle name="Input [yellow] 3 25" xfId="5599"/>
    <cellStyle name="Input [yellow] 3 25 2" xfId="30549"/>
    <cellStyle name="Input [yellow] 3 25 3" xfId="30550"/>
    <cellStyle name="Input [yellow] 3 25 4" xfId="30551"/>
    <cellStyle name="Input [yellow] 3 25 5" xfId="30552"/>
    <cellStyle name="Input [yellow] 3 25 6" xfId="30553"/>
    <cellStyle name="Input [yellow] 3 25 7" xfId="30554"/>
    <cellStyle name="Input [yellow] 3 26" xfId="5600"/>
    <cellStyle name="Input [yellow] 3 26 2" xfId="30555"/>
    <cellStyle name="Input [yellow] 3 26 3" xfId="30556"/>
    <cellStyle name="Input [yellow] 3 26 4" xfId="30557"/>
    <cellStyle name="Input [yellow] 3 26 5" xfId="30558"/>
    <cellStyle name="Input [yellow] 3 26 6" xfId="30559"/>
    <cellStyle name="Input [yellow] 3 26 7" xfId="30560"/>
    <cellStyle name="Input [yellow] 3 27" xfId="5601"/>
    <cellStyle name="Input [yellow] 3 27 2" xfId="30561"/>
    <cellStyle name="Input [yellow] 3 27 3" xfId="30562"/>
    <cellStyle name="Input [yellow] 3 27 4" xfId="30563"/>
    <cellStyle name="Input [yellow] 3 27 5" xfId="30564"/>
    <cellStyle name="Input [yellow] 3 27 6" xfId="30565"/>
    <cellStyle name="Input [yellow] 3 27 7" xfId="30566"/>
    <cellStyle name="Input [yellow] 3 28" xfId="5602"/>
    <cellStyle name="Input [yellow] 3 28 2" xfId="30567"/>
    <cellStyle name="Input [yellow] 3 28 3" xfId="30568"/>
    <cellStyle name="Input [yellow] 3 28 4" xfId="30569"/>
    <cellStyle name="Input [yellow] 3 28 5" xfId="30570"/>
    <cellStyle name="Input [yellow] 3 28 6" xfId="30571"/>
    <cellStyle name="Input [yellow] 3 28 7" xfId="30572"/>
    <cellStyle name="Input [yellow] 3 29" xfId="5603"/>
    <cellStyle name="Input [yellow] 3 29 2" xfId="30573"/>
    <cellStyle name="Input [yellow] 3 29 3" xfId="30574"/>
    <cellStyle name="Input [yellow] 3 29 4" xfId="30575"/>
    <cellStyle name="Input [yellow] 3 29 5" xfId="30576"/>
    <cellStyle name="Input [yellow] 3 29 6" xfId="30577"/>
    <cellStyle name="Input [yellow] 3 29 7" xfId="30578"/>
    <cellStyle name="Input [yellow] 3 3" xfId="5604"/>
    <cellStyle name="Input [yellow] 3 3 10" xfId="30579"/>
    <cellStyle name="Input [yellow] 3 3 2" xfId="30580"/>
    <cellStyle name="Input [yellow] 3 3 3" xfId="30581"/>
    <cellStyle name="Input [yellow] 3 3 4" xfId="30582"/>
    <cellStyle name="Input [yellow] 3 3 5" xfId="30583"/>
    <cellStyle name="Input [yellow] 3 3 6" xfId="30584"/>
    <cellStyle name="Input [yellow] 3 3 7" xfId="30585"/>
    <cellStyle name="Input [yellow] 3 3 8" xfId="30586"/>
    <cellStyle name="Input [yellow] 3 3 9" xfId="30587"/>
    <cellStyle name="Input [yellow] 3 30" xfId="5605"/>
    <cellStyle name="Input [yellow] 3 30 2" xfId="30588"/>
    <cellStyle name="Input [yellow] 3 30 3" xfId="30589"/>
    <cellStyle name="Input [yellow] 3 30 4" xfId="30590"/>
    <cellStyle name="Input [yellow] 3 30 5" xfId="30591"/>
    <cellStyle name="Input [yellow] 3 30 6" xfId="30592"/>
    <cellStyle name="Input [yellow] 3 30 7" xfId="30593"/>
    <cellStyle name="Input [yellow] 3 31" xfId="5606"/>
    <cellStyle name="Input [yellow] 3 31 2" xfId="30594"/>
    <cellStyle name="Input [yellow] 3 31 3" xfId="30595"/>
    <cellStyle name="Input [yellow] 3 31 4" xfId="30596"/>
    <cellStyle name="Input [yellow] 3 31 5" xfId="30597"/>
    <cellStyle name="Input [yellow] 3 31 6" xfId="30598"/>
    <cellStyle name="Input [yellow] 3 31 7" xfId="30599"/>
    <cellStyle name="Input [yellow] 3 32" xfId="5607"/>
    <cellStyle name="Input [yellow] 3 32 2" xfId="30600"/>
    <cellStyle name="Input [yellow] 3 32 3" xfId="30601"/>
    <cellStyle name="Input [yellow] 3 32 4" xfId="30602"/>
    <cellStyle name="Input [yellow] 3 32 5" xfId="30603"/>
    <cellStyle name="Input [yellow] 3 32 6" xfId="30604"/>
    <cellStyle name="Input [yellow] 3 32 7" xfId="30605"/>
    <cellStyle name="Input [yellow] 3 33" xfId="5608"/>
    <cellStyle name="Input [yellow] 3 33 2" xfId="30606"/>
    <cellStyle name="Input [yellow] 3 33 3" xfId="30607"/>
    <cellStyle name="Input [yellow] 3 33 4" xfId="30608"/>
    <cellStyle name="Input [yellow] 3 33 5" xfId="30609"/>
    <cellStyle name="Input [yellow] 3 33 6" xfId="30610"/>
    <cellStyle name="Input [yellow] 3 33 7" xfId="30611"/>
    <cellStyle name="Input [yellow] 3 34" xfId="5609"/>
    <cellStyle name="Input [yellow] 3 34 2" xfId="30612"/>
    <cellStyle name="Input [yellow] 3 34 3" xfId="30613"/>
    <cellStyle name="Input [yellow] 3 34 4" xfId="30614"/>
    <cellStyle name="Input [yellow] 3 34 5" xfId="30615"/>
    <cellStyle name="Input [yellow] 3 34 6" xfId="30616"/>
    <cellStyle name="Input [yellow] 3 34 7" xfId="30617"/>
    <cellStyle name="Input [yellow] 3 35" xfId="5610"/>
    <cellStyle name="Input [yellow] 3 35 2" xfId="30618"/>
    <cellStyle name="Input [yellow] 3 35 3" xfId="30619"/>
    <cellStyle name="Input [yellow] 3 35 4" xfId="30620"/>
    <cellStyle name="Input [yellow] 3 35 5" xfId="30621"/>
    <cellStyle name="Input [yellow] 3 35 6" xfId="30622"/>
    <cellStyle name="Input [yellow] 3 35 7" xfId="30623"/>
    <cellStyle name="Input [yellow] 3 36" xfId="5611"/>
    <cellStyle name="Input [yellow] 3 36 2" xfId="30624"/>
    <cellStyle name="Input [yellow] 3 36 3" xfId="30625"/>
    <cellStyle name="Input [yellow] 3 36 4" xfId="30626"/>
    <cellStyle name="Input [yellow] 3 36 5" xfId="30627"/>
    <cellStyle name="Input [yellow] 3 36 6" xfId="30628"/>
    <cellStyle name="Input [yellow] 3 36 7" xfId="30629"/>
    <cellStyle name="Input [yellow] 3 37" xfId="5612"/>
    <cellStyle name="Input [yellow] 3 37 2" xfId="30630"/>
    <cellStyle name="Input [yellow] 3 37 3" xfId="30631"/>
    <cellStyle name="Input [yellow] 3 37 4" xfId="30632"/>
    <cellStyle name="Input [yellow] 3 37 5" xfId="30633"/>
    <cellStyle name="Input [yellow] 3 37 6" xfId="30634"/>
    <cellStyle name="Input [yellow] 3 37 7" xfId="30635"/>
    <cellStyle name="Input [yellow] 3 38" xfId="5613"/>
    <cellStyle name="Input [yellow] 3 38 2" xfId="30636"/>
    <cellStyle name="Input [yellow] 3 38 3" xfId="30637"/>
    <cellStyle name="Input [yellow] 3 38 4" xfId="30638"/>
    <cellStyle name="Input [yellow] 3 38 5" xfId="30639"/>
    <cellStyle name="Input [yellow] 3 38 6" xfId="30640"/>
    <cellStyle name="Input [yellow] 3 38 7" xfId="30641"/>
    <cellStyle name="Input [yellow] 3 39" xfId="5614"/>
    <cellStyle name="Input [yellow] 3 39 2" xfId="30642"/>
    <cellStyle name="Input [yellow] 3 39 3" xfId="30643"/>
    <cellStyle name="Input [yellow] 3 39 4" xfId="30644"/>
    <cellStyle name="Input [yellow] 3 39 5" xfId="30645"/>
    <cellStyle name="Input [yellow] 3 39 6" xfId="30646"/>
    <cellStyle name="Input [yellow] 3 39 7" xfId="30647"/>
    <cellStyle name="Input [yellow] 3 4" xfId="5615"/>
    <cellStyle name="Input [yellow] 3 4 10" xfId="30648"/>
    <cellStyle name="Input [yellow] 3 4 2" xfId="30649"/>
    <cellStyle name="Input [yellow] 3 4 3" xfId="30650"/>
    <cellStyle name="Input [yellow] 3 4 4" xfId="30651"/>
    <cellStyle name="Input [yellow] 3 4 5" xfId="30652"/>
    <cellStyle name="Input [yellow] 3 4 6" xfId="30653"/>
    <cellStyle name="Input [yellow] 3 4 7" xfId="30654"/>
    <cellStyle name="Input [yellow] 3 4 8" xfId="30655"/>
    <cellStyle name="Input [yellow] 3 4 9" xfId="30656"/>
    <cellStyle name="Input [yellow] 3 40" xfId="5616"/>
    <cellStyle name="Input [yellow] 3 40 2" xfId="30657"/>
    <cellStyle name="Input [yellow] 3 40 3" xfId="30658"/>
    <cellStyle name="Input [yellow] 3 40 4" xfId="30659"/>
    <cellStyle name="Input [yellow] 3 40 5" xfId="30660"/>
    <cellStyle name="Input [yellow] 3 40 6" xfId="30661"/>
    <cellStyle name="Input [yellow] 3 40 7" xfId="30662"/>
    <cellStyle name="Input [yellow] 3 41" xfId="5617"/>
    <cellStyle name="Input [yellow] 3 41 2" xfId="30663"/>
    <cellStyle name="Input [yellow] 3 41 3" xfId="30664"/>
    <cellStyle name="Input [yellow] 3 41 4" xfId="30665"/>
    <cellStyle name="Input [yellow] 3 41 5" xfId="30666"/>
    <cellStyle name="Input [yellow] 3 41 6" xfId="30667"/>
    <cellStyle name="Input [yellow] 3 41 7" xfId="30668"/>
    <cellStyle name="Input [yellow] 3 42" xfId="5618"/>
    <cellStyle name="Input [yellow] 3 42 2" xfId="30669"/>
    <cellStyle name="Input [yellow] 3 42 3" xfId="30670"/>
    <cellStyle name="Input [yellow] 3 42 4" xfId="30671"/>
    <cellStyle name="Input [yellow] 3 42 5" xfId="30672"/>
    <cellStyle name="Input [yellow] 3 42 6" xfId="30673"/>
    <cellStyle name="Input [yellow] 3 42 7" xfId="30674"/>
    <cellStyle name="Input [yellow] 3 43" xfId="5619"/>
    <cellStyle name="Input [yellow] 3 43 2" xfId="30675"/>
    <cellStyle name="Input [yellow] 3 43 3" xfId="30676"/>
    <cellStyle name="Input [yellow] 3 43 4" xfId="30677"/>
    <cellStyle name="Input [yellow] 3 43 5" xfId="30678"/>
    <cellStyle name="Input [yellow] 3 43 6" xfId="30679"/>
    <cellStyle name="Input [yellow] 3 43 7" xfId="30680"/>
    <cellStyle name="Input [yellow] 3 44" xfId="5620"/>
    <cellStyle name="Input [yellow] 3 44 2" xfId="30681"/>
    <cellStyle name="Input [yellow] 3 44 3" xfId="30682"/>
    <cellStyle name="Input [yellow] 3 44 4" xfId="30683"/>
    <cellStyle name="Input [yellow] 3 44 5" xfId="30684"/>
    <cellStyle name="Input [yellow] 3 44 6" xfId="30685"/>
    <cellStyle name="Input [yellow] 3 44 7" xfId="30686"/>
    <cellStyle name="Input [yellow] 3 45" xfId="5621"/>
    <cellStyle name="Input [yellow] 3 45 2" xfId="30687"/>
    <cellStyle name="Input [yellow] 3 45 3" xfId="30688"/>
    <cellStyle name="Input [yellow] 3 45 4" xfId="30689"/>
    <cellStyle name="Input [yellow] 3 45 5" xfId="30690"/>
    <cellStyle name="Input [yellow] 3 45 6" xfId="30691"/>
    <cellStyle name="Input [yellow] 3 45 7" xfId="30692"/>
    <cellStyle name="Input [yellow] 3 46" xfId="5622"/>
    <cellStyle name="Input [yellow] 3 46 2" xfId="30693"/>
    <cellStyle name="Input [yellow] 3 46 3" xfId="30694"/>
    <cellStyle name="Input [yellow] 3 46 4" xfId="30695"/>
    <cellStyle name="Input [yellow] 3 46 5" xfId="30696"/>
    <cellStyle name="Input [yellow] 3 46 6" xfId="30697"/>
    <cellStyle name="Input [yellow] 3 46 7" xfId="30698"/>
    <cellStyle name="Input [yellow] 3 47" xfId="5623"/>
    <cellStyle name="Input [yellow] 3 47 2" xfId="30699"/>
    <cellStyle name="Input [yellow] 3 47 3" xfId="30700"/>
    <cellStyle name="Input [yellow] 3 47 4" xfId="30701"/>
    <cellStyle name="Input [yellow] 3 47 5" xfId="30702"/>
    <cellStyle name="Input [yellow] 3 47 6" xfId="30703"/>
    <cellStyle name="Input [yellow] 3 47 7" xfId="30704"/>
    <cellStyle name="Input [yellow] 3 48" xfId="5624"/>
    <cellStyle name="Input [yellow] 3 48 2" xfId="30705"/>
    <cellStyle name="Input [yellow] 3 48 3" xfId="30706"/>
    <cellStyle name="Input [yellow] 3 48 4" xfId="30707"/>
    <cellStyle name="Input [yellow] 3 48 5" xfId="30708"/>
    <cellStyle name="Input [yellow] 3 48 6" xfId="30709"/>
    <cellStyle name="Input [yellow] 3 48 7" xfId="30710"/>
    <cellStyle name="Input [yellow] 3 49" xfId="5625"/>
    <cellStyle name="Input [yellow] 3 49 2" xfId="30711"/>
    <cellStyle name="Input [yellow] 3 49 3" xfId="30712"/>
    <cellStyle name="Input [yellow] 3 49 4" xfId="30713"/>
    <cellStyle name="Input [yellow] 3 49 5" xfId="30714"/>
    <cellStyle name="Input [yellow] 3 49 6" xfId="30715"/>
    <cellStyle name="Input [yellow] 3 49 7" xfId="30716"/>
    <cellStyle name="Input [yellow] 3 5" xfId="5626"/>
    <cellStyle name="Input [yellow] 3 5 2" xfId="30717"/>
    <cellStyle name="Input [yellow] 3 5 3" xfId="30718"/>
    <cellStyle name="Input [yellow] 3 5 4" xfId="30719"/>
    <cellStyle name="Input [yellow] 3 5 5" xfId="30720"/>
    <cellStyle name="Input [yellow] 3 5 6" xfId="30721"/>
    <cellStyle name="Input [yellow] 3 5 7" xfId="30722"/>
    <cellStyle name="Input [yellow] 3 50" xfId="5627"/>
    <cellStyle name="Input [yellow] 3 50 2" xfId="30723"/>
    <cellStyle name="Input [yellow] 3 50 3" xfId="30724"/>
    <cellStyle name="Input [yellow] 3 50 4" xfId="30725"/>
    <cellStyle name="Input [yellow] 3 50 5" xfId="30726"/>
    <cellStyle name="Input [yellow] 3 50 6" xfId="30727"/>
    <cellStyle name="Input [yellow] 3 50 7" xfId="30728"/>
    <cellStyle name="Input [yellow] 3 51" xfId="5628"/>
    <cellStyle name="Input [yellow] 3 51 2" xfId="30729"/>
    <cellStyle name="Input [yellow] 3 51 3" xfId="30730"/>
    <cellStyle name="Input [yellow] 3 51 4" xfId="30731"/>
    <cellStyle name="Input [yellow] 3 51 5" xfId="30732"/>
    <cellStyle name="Input [yellow] 3 51 6" xfId="30733"/>
    <cellStyle name="Input [yellow] 3 51 7" xfId="30734"/>
    <cellStyle name="Input [yellow] 3 52" xfId="5629"/>
    <cellStyle name="Input [yellow] 3 52 2" xfId="30735"/>
    <cellStyle name="Input [yellow] 3 52 3" xfId="30736"/>
    <cellStyle name="Input [yellow] 3 52 4" xfId="30737"/>
    <cellStyle name="Input [yellow] 3 52 5" xfId="30738"/>
    <cellStyle name="Input [yellow] 3 52 6" xfId="30739"/>
    <cellStyle name="Input [yellow] 3 52 7" xfId="30740"/>
    <cellStyle name="Input [yellow] 3 53" xfId="5630"/>
    <cellStyle name="Input [yellow] 3 53 2" xfId="30741"/>
    <cellStyle name="Input [yellow] 3 53 3" xfId="30742"/>
    <cellStyle name="Input [yellow] 3 53 4" xfId="30743"/>
    <cellStyle name="Input [yellow] 3 53 5" xfId="30744"/>
    <cellStyle name="Input [yellow] 3 53 6" xfId="30745"/>
    <cellStyle name="Input [yellow] 3 53 7" xfId="30746"/>
    <cellStyle name="Input [yellow] 3 54" xfId="5631"/>
    <cellStyle name="Input [yellow] 3 54 2" xfId="30747"/>
    <cellStyle name="Input [yellow] 3 54 3" xfId="30748"/>
    <cellStyle name="Input [yellow] 3 54 4" xfId="30749"/>
    <cellStyle name="Input [yellow] 3 54 5" xfId="30750"/>
    <cellStyle name="Input [yellow] 3 54 6" xfId="30751"/>
    <cellStyle name="Input [yellow] 3 54 7" xfId="30752"/>
    <cellStyle name="Input [yellow] 3 55" xfId="5632"/>
    <cellStyle name="Input [yellow] 3 55 2" xfId="30753"/>
    <cellStyle name="Input [yellow] 3 55 3" xfId="30754"/>
    <cellStyle name="Input [yellow] 3 55 4" xfId="30755"/>
    <cellStyle name="Input [yellow] 3 55 5" xfId="30756"/>
    <cellStyle name="Input [yellow] 3 55 6" xfId="30757"/>
    <cellStyle name="Input [yellow] 3 55 7" xfId="30758"/>
    <cellStyle name="Input [yellow] 3 56" xfId="5633"/>
    <cellStyle name="Input [yellow] 3 56 2" xfId="30759"/>
    <cellStyle name="Input [yellow] 3 56 3" xfId="30760"/>
    <cellStyle name="Input [yellow] 3 56 4" xfId="30761"/>
    <cellStyle name="Input [yellow] 3 56 5" xfId="30762"/>
    <cellStyle name="Input [yellow] 3 56 6" xfId="30763"/>
    <cellStyle name="Input [yellow] 3 56 7" xfId="30764"/>
    <cellStyle name="Input [yellow] 3 57" xfId="5634"/>
    <cellStyle name="Input [yellow] 3 57 2" xfId="30765"/>
    <cellStyle name="Input [yellow] 3 57 3" xfId="30766"/>
    <cellStyle name="Input [yellow] 3 57 4" xfId="30767"/>
    <cellStyle name="Input [yellow] 3 57 5" xfId="30768"/>
    <cellStyle name="Input [yellow] 3 57 6" xfId="30769"/>
    <cellStyle name="Input [yellow] 3 57 7" xfId="30770"/>
    <cellStyle name="Input [yellow] 3 58" xfId="5635"/>
    <cellStyle name="Input [yellow] 3 58 2" xfId="30771"/>
    <cellStyle name="Input [yellow] 3 58 3" xfId="30772"/>
    <cellStyle name="Input [yellow] 3 58 4" xfId="30773"/>
    <cellStyle name="Input [yellow] 3 58 5" xfId="30774"/>
    <cellStyle name="Input [yellow] 3 58 6" xfId="30775"/>
    <cellStyle name="Input [yellow] 3 58 7" xfId="30776"/>
    <cellStyle name="Input [yellow] 3 59" xfId="5636"/>
    <cellStyle name="Input [yellow] 3 59 2" xfId="30777"/>
    <cellStyle name="Input [yellow] 3 59 3" xfId="30778"/>
    <cellStyle name="Input [yellow] 3 59 4" xfId="30779"/>
    <cellStyle name="Input [yellow] 3 59 5" xfId="30780"/>
    <cellStyle name="Input [yellow] 3 59 6" xfId="30781"/>
    <cellStyle name="Input [yellow] 3 59 7" xfId="30782"/>
    <cellStyle name="Input [yellow] 3 6" xfId="5637"/>
    <cellStyle name="Input [yellow] 3 6 2" xfId="30783"/>
    <cellStyle name="Input [yellow] 3 6 3" xfId="30784"/>
    <cellStyle name="Input [yellow] 3 6 4" xfId="30785"/>
    <cellStyle name="Input [yellow] 3 6 5" xfId="30786"/>
    <cellStyle name="Input [yellow] 3 6 6" xfId="30787"/>
    <cellStyle name="Input [yellow] 3 6 7" xfId="30788"/>
    <cellStyle name="Input [yellow] 3 60" xfId="5638"/>
    <cellStyle name="Input [yellow] 3 60 2" xfId="30789"/>
    <cellStyle name="Input [yellow] 3 60 3" xfId="30790"/>
    <cellStyle name="Input [yellow] 3 60 4" xfId="30791"/>
    <cellStyle name="Input [yellow] 3 60 5" xfId="30792"/>
    <cellStyle name="Input [yellow] 3 60 6" xfId="30793"/>
    <cellStyle name="Input [yellow] 3 60 7" xfId="30794"/>
    <cellStyle name="Input [yellow] 3 61" xfId="5639"/>
    <cellStyle name="Input [yellow] 3 61 2" xfId="30795"/>
    <cellStyle name="Input [yellow] 3 61 3" xfId="30796"/>
    <cellStyle name="Input [yellow] 3 61 4" xfId="30797"/>
    <cellStyle name="Input [yellow] 3 61 5" xfId="30798"/>
    <cellStyle name="Input [yellow] 3 61 6" xfId="30799"/>
    <cellStyle name="Input [yellow] 3 61 7" xfId="30800"/>
    <cellStyle name="Input [yellow] 3 62" xfId="5640"/>
    <cellStyle name="Input [yellow] 3 62 2" xfId="30801"/>
    <cellStyle name="Input [yellow] 3 62 3" xfId="30802"/>
    <cellStyle name="Input [yellow] 3 62 4" xfId="30803"/>
    <cellStyle name="Input [yellow] 3 62 5" xfId="30804"/>
    <cellStyle name="Input [yellow] 3 62 6" xfId="30805"/>
    <cellStyle name="Input [yellow] 3 62 7" xfId="30806"/>
    <cellStyle name="Input [yellow] 3 63" xfId="5641"/>
    <cellStyle name="Input [yellow] 3 63 2" xfId="30807"/>
    <cellStyle name="Input [yellow] 3 63 3" xfId="30808"/>
    <cellStyle name="Input [yellow] 3 63 4" xfId="30809"/>
    <cellStyle name="Input [yellow] 3 63 5" xfId="30810"/>
    <cellStyle name="Input [yellow] 3 63 6" xfId="30811"/>
    <cellStyle name="Input [yellow] 3 63 7" xfId="30812"/>
    <cellStyle name="Input [yellow] 3 64" xfId="5642"/>
    <cellStyle name="Input [yellow] 3 64 2" xfId="30813"/>
    <cellStyle name="Input [yellow] 3 64 3" xfId="30814"/>
    <cellStyle name="Input [yellow] 3 64 4" xfId="30815"/>
    <cellStyle name="Input [yellow] 3 64 5" xfId="30816"/>
    <cellStyle name="Input [yellow] 3 64 6" xfId="30817"/>
    <cellStyle name="Input [yellow] 3 64 7" xfId="30818"/>
    <cellStyle name="Input [yellow] 3 65" xfId="5643"/>
    <cellStyle name="Input [yellow] 3 65 2" xfId="30819"/>
    <cellStyle name="Input [yellow] 3 65 3" xfId="30820"/>
    <cellStyle name="Input [yellow] 3 65 4" xfId="30821"/>
    <cellStyle name="Input [yellow] 3 65 5" xfId="30822"/>
    <cellStyle name="Input [yellow] 3 65 6" xfId="30823"/>
    <cellStyle name="Input [yellow] 3 65 7" xfId="30824"/>
    <cellStyle name="Input [yellow] 3 66" xfId="5644"/>
    <cellStyle name="Input [yellow] 3 66 2" xfId="30825"/>
    <cellStyle name="Input [yellow] 3 66 3" xfId="30826"/>
    <cellStyle name="Input [yellow] 3 66 4" xfId="30827"/>
    <cellStyle name="Input [yellow] 3 66 5" xfId="30828"/>
    <cellStyle name="Input [yellow] 3 66 6" xfId="30829"/>
    <cellStyle name="Input [yellow] 3 66 7" xfId="30830"/>
    <cellStyle name="Input [yellow] 3 67" xfId="5645"/>
    <cellStyle name="Input [yellow] 3 67 2" xfId="30831"/>
    <cellStyle name="Input [yellow] 3 67 3" xfId="30832"/>
    <cellStyle name="Input [yellow] 3 67 4" xfId="30833"/>
    <cellStyle name="Input [yellow] 3 67 5" xfId="30834"/>
    <cellStyle name="Input [yellow] 3 67 6" xfId="30835"/>
    <cellStyle name="Input [yellow] 3 67 7" xfId="30836"/>
    <cellStyle name="Input [yellow] 3 68" xfId="5646"/>
    <cellStyle name="Input [yellow] 3 68 2" xfId="30837"/>
    <cellStyle name="Input [yellow] 3 68 3" xfId="30838"/>
    <cellStyle name="Input [yellow] 3 68 4" xfId="30839"/>
    <cellStyle name="Input [yellow] 3 68 5" xfId="30840"/>
    <cellStyle name="Input [yellow] 3 68 6" xfId="30841"/>
    <cellStyle name="Input [yellow] 3 68 7" xfId="30842"/>
    <cellStyle name="Input [yellow] 3 69" xfId="5647"/>
    <cellStyle name="Input [yellow] 3 69 2" xfId="30843"/>
    <cellStyle name="Input [yellow] 3 69 3" xfId="30844"/>
    <cellStyle name="Input [yellow] 3 69 4" xfId="30845"/>
    <cellStyle name="Input [yellow] 3 69 5" xfId="30846"/>
    <cellStyle name="Input [yellow] 3 69 6" xfId="30847"/>
    <cellStyle name="Input [yellow] 3 69 7" xfId="30848"/>
    <cellStyle name="Input [yellow] 3 7" xfId="5648"/>
    <cellStyle name="Input [yellow] 3 7 2" xfId="30849"/>
    <cellStyle name="Input [yellow] 3 7 3" xfId="30850"/>
    <cellStyle name="Input [yellow] 3 7 4" xfId="30851"/>
    <cellStyle name="Input [yellow] 3 7 5" xfId="30852"/>
    <cellStyle name="Input [yellow] 3 7 6" xfId="30853"/>
    <cellStyle name="Input [yellow] 3 7 7" xfId="30854"/>
    <cellStyle name="Input [yellow] 3 70" xfId="5649"/>
    <cellStyle name="Input [yellow] 3 70 2" xfId="30855"/>
    <cellStyle name="Input [yellow] 3 70 3" xfId="30856"/>
    <cellStyle name="Input [yellow] 3 70 4" xfId="30857"/>
    <cellStyle name="Input [yellow] 3 70 5" xfId="30858"/>
    <cellStyle name="Input [yellow] 3 70 6" xfId="30859"/>
    <cellStyle name="Input [yellow] 3 70 7" xfId="30860"/>
    <cellStyle name="Input [yellow] 3 71" xfId="5650"/>
    <cellStyle name="Input [yellow] 3 71 2" xfId="30861"/>
    <cellStyle name="Input [yellow] 3 71 3" xfId="30862"/>
    <cellStyle name="Input [yellow] 3 71 4" xfId="30863"/>
    <cellStyle name="Input [yellow] 3 71 5" xfId="30864"/>
    <cellStyle name="Input [yellow] 3 71 6" xfId="30865"/>
    <cellStyle name="Input [yellow] 3 71 7" xfId="30866"/>
    <cellStyle name="Input [yellow] 3 72" xfId="5651"/>
    <cellStyle name="Input [yellow] 3 72 2" xfId="30867"/>
    <cellStyle name="Input [yellow] 3 72 3" xfId="30868"/>
    <cellStyle name="Input [yellow] 3 72 4" xfId="30869"/>
    <cellStyle name="Input [yellow] 3 72 5" xfId="30870"/>
    <cellStyle name="Input [yellow] 3 72 6" xfId="30871"/>
    <cellStyle name="Input [yellow] 3 72 7" xfId="30872"/>
    <cellStyle name="Input [yellow] 3 73" xfId="5652"/>
    <cellStyle name="Input [yellow] 3 73 2" xfId="30873"/>
    <cellStyle name="Input [yellow] 3 73 3" xfId="30874"/>
    <cellStyle name="Input [yellow] 3 73 4" xfId="30875"/>
    <cellStyle name="Input [yellow] 3 73 5" xfId="30876"/>
    <cellStyle name="Input [yellow] 3 73 6" xfId="30877"/>
    <cellStyle name="Input [yellow] 3 73 7" xfId="30878"/>
    <cellStyle name="Input [yellow] 3 74" xfId="5653"/>
    <cellStyle name="Input [yellow] 3 74 2" xfId="30879"/>
    <cellStyle name="Input [yellow] 3 74 3" xfId="30880"/>
    <cellStyle name="Input [yellow] 3 74 4" xfId="30881"/>
    <cellStyle name="Input [yellow] 3 74 5" xfId="30882"/>
    <cellStyle name="Input [yellow] 3 74 6" xfId="30883"/>
    <cellStyle name="Input [yellow] 3 74 7" xfId="30884"/>
    <cellStyle name="Input [yellow] 3 75" xfId="5654"/>
    <cellStyle name="Input [yellow] 3 75 2" xfId="30885"/>
    <cellStyle name="Input [yellow] 3 75 3" xfId="30886"/>
    <cellStyle name="Input [yellow] 3 75 4" xfId="30887"/>
    <cellStyle name="Input [yellow] 3 75 5" xfId="30888"/>
    <cellStyle name="Input [yellow] 3 75 6" xfId="30889"/>
    <cellStyle name="Input [yellow] 3 75 7" xfId="30890"/>
    <cellStyle name="Input [yellow] 3 76" xfId="5655"/>
    <cellStyle name="Input [yellow] 3 76 2" xfId="30891"/>
    <cellStyle name="Input [yellow] 3 76 3" xfId="30892"/>
    <cellStyle name="Input [yellow] 3 76 4" xfId="30893"/>
    <cellStyle name="Input [yellow] 3 76 5" xfId="30894"/>
    <cellStyle name="Input [yellow] 3 76 6" xfId="30895"/>
    <cellStyle name="Input [yellow] 3 76 7" xfId="30896"/>
    <cellStyle name="Input [yellow] 3 77" xfId="5656"/>
    <cellStyle name="Input [yellow] 3 77 2" xfId="30897"/>
    <cellStyle name="Input [yellow] 3 77 3" xfId="30898"/>
    <cellStyle name="Input [yellow] 3 77 4" xfId="30899"/>
    <cellStyle name="Input [yellow] 3 77 5" xfId="30900"/>
    <cellStyle name="Input [yellow] 3 77 6" xfId="30901"/>
    <cellStyle name="Input [yellow] 3 77 7" xfId="30902"/>
    <cellStyle name="Input [yellow] 3 78" xfId="5657"/>
    <cellStyle name="Input [yellow] 3 78 2" xfId="30903"/>
    <cellStyle name="Input [yellow] 3 78 3" xfId="30904"/>
    <cellStyle name="Input [yellow] 3 78 4" xfId="30905"/>
    <cellStyle name="Input [yellow] 3 78 5" xfId="30906"/>
    <cellStyle name="Input [yellow] 3 78 6" xfId="30907"/>
    <cellStyle name="Input [yellow] 3 78 7" xfId="30908"/>
    <cellStyle name="Input [yellow] 3 79" xfId="5658"/>
    <cellStyle name="Input [yellow] 3 79 2" xfId="30909"/>
    <cellStyle name="Input [yellow] 3 79 3" xfId="30910"/>
    <cellStyle name="Input [yellow] 3 79 4" xfId="30911"/>
    <cellStyle name="Input [yellow] 3 79 5" xfId="30912"/>
    <cellStyle name="Input [yellow] 3 79 6" xfId="30913"/>
    <cellStyle name="Input [yellow] 3 79 7" xfId="30914"/>
    <cellStyle name="Input [yellow] 3 8" xfId="5659"/>
    <cellStyle name="Input [yellow] 3 8 2" xfId="30915"/>
    <cellStyle name="Input [yellow] 3 8 3" xfId="30916"/>
    <cellStyle name="Input [yellow] 3 8 4" xfId="30917"/>
    <cellStyle name="Input [yellow] 3 8 5" xfId="30918"/>
    <cellStyle name="Input [yellow] 3 8 6" xfId="30919"/>
    <cellStyle name="Input [yellow] 3 8 7" xfId="30920"/>
    <cellStyle name="Input [yellow] 3 80" xfId="5660"/>
    <cellStyle name="Input [yellow] 3 80 2" xfId="30921"/>
    <cellStyle name="Input [yellow] 3 80 3" xfId="30922"/>
    <cellStyle name="Input [yellow] 3 80 4" xfId="30923"/>
    <cellStyle name="Input [yellow] 3 80 5" xfId="30924"/>
    <cellStyle name="Input [yellow] 3 80 6" xfId="30925"/>
    <cellStyle name="Input [yellow] 3 80 7" xfId="30926"/>
    <cellStyle name="Input [yellow] 3 81" xfId="5661"/>
    <cellStyle name="Input [yellow] 3 81 2" xfId="30927"/>
    <cellStyle name="Input [yellow] 3 81 3" xfId="30928"/>
    <cellStyle name="Input [yellow] 3 81 4" xfId="30929"/>
    <cellStyle name="Input [yellow] 3 81 5" xfId="30930"/>
    <cellStyle name="Input [yellow] 3 81 6" xfId="30931"/>
    <cellStyle name="Input [yellow] 3 81 7" xfId="30932"/>
    <cellStyle name="Input [yellow] 3 82" xfId="5662"/>
    <cellStyle name="Input [yellow] 3 82 2" xfId="30933"/>
    <cellStyle name="Input [yellow] 3 82 3" xfId="30934"/>
    <cellStyle name="Input [yellow] 3 82 4" xfId="30935"/>
    <cellStyle name="Input [yellow] 3 82 5" xfId="30936"/>
    <cellStyle name="Input [yellow] 3 82 6" xfId="30937"/>
    <cellStyle name="Input [yellow] 3 82 7" xfId="30938"/>
    <cellStyle name="Input [yellow] 3 83" xfId="5663"/>
    <cellStyle name="Input [yellow] 3 83 2" xfId="30939"/>
    <cellStyle name="Input [yellow] 3 83 3" xfId="30940"/>
    <cellStyle name="Input [yellow] 3 83 4" xfId="30941"/>
    <cellStyle name="Input [yellow] 3 83 5" xfId="30942"/>
    <cellStyle name="Input [yellow] 3 83 6" xfId="30943"/>
    <cellStyle name="Input [yellow] 3 83 7" xfId="30944"/>
    <cellStyle name="Input [yellow] 3 84" xfId="5664"/>
    <cellStyle name="Input [yellow] 3 84 2" xfId="30945"/>
    <cellStyle name="Input [yellow] 3 84 3" xfId="30946"/>
    <cellStyle name="Input [yellow] 3 84 4" xfId="30947"/>
    <cellStyle name="Input [yellow] 3 84 5" xfId="30948"/>
    <cellStyle name="Input [yellow] 3 84 6" xfId="30949"/>
    <cellStyle name="Input [yellow] 3 84 7" xfId="30950"/>
    <cellStyle name="Input [yellow] 3 85" xfId="5665"/>
    <cellStyle name="Input [yellow] 3 85 2" xfId="30951"/>
    <cellStyle name="Input [yellow] 3 85 3" xfId="30952"/>
    <cellStyle name="Input [yellow] 3 85 4" xfId="30953"/>
    <cellStyle name="Input [yellow] 3 85 5" xfId="30954"/>
    <cellStyle name="Input [yellow] 3 85 6" xfId="30955"/>
    <cellStyle name="Input [yellow] 3 85 7" xfId="30956"/>
    <cellStyle name="Input [yellow] 3 86" xfId="5666"/>
    <cellStyle name="Input [yellow] 3 86 2" xfId="30957"/>
    <cellStyle name="Input [yellow] 3 86 3" xfId="30958"/>
    <cellStyle name="Input [yellow] 3 86 4" xfId="30959"/>
    <cellStyle name="Input [yellow] 3 86 5" xfId="30960"/>
    <cellStyle name="Input [yellow] 3 86 6" xfId="30961"/>
    <cellStyle name="Input [yellow] 3 86 7" xfId="30962"/>
    <cellStyle name="Input [yellow] 3 87" xfId="5667"/>
    <cellStyle name="Input [yellow] 3 87 2" xfId="30963"/>
    <cellStyle name="Input [yellow] 3 87 3" xfId="30964"/>
    <cellStyle name="Input [yellow] 3 87 4" xfId="30965"/>
    <cellStyle name="Input [yellow] 3 87 5" xfId="30966"/>
    <cellStyle name="Input [yellow] 3 87 6" xfId="30967"/>
    <cellStyle name="Input [yellow] 3 87 7" xfId="30968"/>
    <cellStyle name="Input [yellow] 3 88" xfId="5668"/>
    <cellStyle name="Input [yellow] 3 88 2" xfId="30969"/>
    <cellStyle name="Input [yellow] 3 88 3" xfId="30970"/>
    <cellStyle name="Input [yellow] 3 88 4" xfId="30971"/>
    <cellStyle name="Input [yellow] 3 88 5" xfId="30972"/>
    <cellStyle name="Input [yellow] 3 88 6" xfId="30973"/>
    <cellStyle name="Input [yellow] 3 88 7" xfId="30974"/>
    <cellStyle name="Input [yellow] 3 89" xfId="5669"/>
    <cellStyle name="Input [yellow] 3 89 2" xfId="30975"/>
    <cellStyle name="Input [yellow] 3 89 3" xfId="30976"/>
    <cellStyle name="Input [yellow] 3 89 4" xfId="30977"/>
    <cellStyle name="Input [yellow] 3 89 5" xfId="30978"/>
    <cellStyle name="Input [yellow] 3 89 6" xfId="30979"/>
    <cellStyle name="Input [yellow] 3 89 7" xfId="30980"/>
    <cellStyle name="Input [yellow] 3 9" xfId="5670"/>
    <cellStyle name="Input [yellow] 3 9 2" xfId="30981"/>
    <cellStyle name="Input [yellow] 3 9 3" xfId="30982"/>
    <cellStyle name="Input [yellow] 3 9 4" xfId="30983"/>
    <cellStyle name="Input [yellow] 3 9 5" xfId="30984"/>
    <cellStyle name="Input [yellow] 3 9 6" xfId="30985"/>
    <cellStyle name="Input [yellow] 3 9 7" xfId="30986"/>
    <cellStyle name="Input [yellow] 3 90" xfId="5671"/>
    <cellStyle name="Input [yellow] 3 90 2" xfId="30987"/>
    <cellStyle name="Input [yellow] 3 90 3" xfId="30988"/>
    <cellStyle name="Input [yellow] 3 90 4" xfId="30989"/>
    <cellStyle name="Input [yellow] 3 90 5" xfId="30990"/>
    <cellStyle name="Input [yellow] 3 90 6" xfId="30991"/>
    <cellStyle name="Input [yellow] 3 90 7" xfId="30992"/>
    <cellStyle name="Input [yellow] 3 91" xfId="5672"/>
    <cellStyle name="Input [yellow] 3 91 2" xfId="30993"/>
    <cellStyle name="Input [yellow] 3 91 3" xfId="30994"/>
    <cellStyle name="Input [yellow] 3 91 4" xfId="30995"/>
    <cellStyle name="Input [yellow] 3 91 5" xfId="30996"/>
    <cellStyle name="Input [yellow] 3 91 6" xfId="30997"/>
    <cellStyle name="Input [yellow] 3 91 7" xfId="30998"/>
    <cellStyle name="Input [yellow] 3 92" xfId="5673"/>
    <cellStyle name="Input [yellow] 3 92 2" xfId="30999"/>
    <cellStyle name="Input [yellow] 3 92 3" xfId="31000"/>
    <cellStyle name="Input [yellow] 3 92 4" xfId="31001"/>
    <cellStyle name="Input [yellow] 3 92 5" xfId="31002"/>
    <cellStyle name="Input [yellow] 3 92 6" xfId="31003"/>
    <cellStyle name="Input [yellow] 3 92 7" xfId="31004"/>
    <cellStyle name="Input [yellow] 3 93" xfId="5674"/>
    <cellStyle name="Input [yellow] 3 93 2" xfId="31005"/>
    <cellStyle name="Input [yellow] 3 93 3" xfId="31006"/>
    <cellStyle name="Input [yellow] 3 93 4" xfId="31007"/>
    <cellStyle name="Input [yellow] 3 93 5" xfId="31008"/>
    <cellStyle name="Input [yellow] 3 93 6" xfId="31009"/>
    <cellStyle name="Input [yellow] 3 94" xfId="31010"/>
    <cellStyle name="Input [yellow] 3 95" xfId="31011"/>
    <cellStyle name="Input [yellow] 3 96" xfId="31012"/>
    <cellStyle name="Input [yellow] 3 97" xfId="31013"/>
    <cellStyle name="Input [yellow] 3 98" xfId="31014"/>
    <cellStyle name="Input [yellow] 3 99" xfId="31015"/>
    <cellStyle name="Input [yellow] 30" xfId="5675"/>
    <cellStyle name="Input [yellow] 30 2" xfId="31016"/>
    <cellStyle name="Input [yellow] 30 3" xfId="31017"/>
    <cellStyle name="Input [yellow] 30 4" xfId="31018"/>
    <cellStyle name="Input [yellow] 30 5" xfId="31019"/>
    <cellStyle name="Input [yellow] 30 6" xfId="31020"/>
    <cellStyle name="Input [yellow] 30 7" xfId="31021"/>
    <cellStyle name="Input [yellow] 31" xfId="5676"/>
    <cellStyle name="Input [yellow] 31 2" xfId="31022"/>
    <cellStyle name="Input [yellow] 31 3" xfId="31023"/>
    <cellStyle name="Input [yellow] 31 4" xfId="31024"/>
    <cellStyle name="Input [yellow] 31 5" xfId="31025"/>
    <cellStyle name="Input [yellow] 31 6" xfId="31026"/>
    <cellStyle name="Input [yellow] 31 7" xfId="31027"/>
    <cellStyle name="Input [yellow] 32" xfId="5677"/>
    <cellStyle name="Input [yellow] 32 2" xfId="31028"/>
    <cellStyle name="Input [yellow] 32 3" xfId="31029"/>
    <cellStyle name="Input [yellow] 32 4" xfId="31030"/>
    <cellStyle name="Input [yellow] 32 5" xfId="31031"/>
    <cellStyle name="Input [yellow] 32 6" xfId="31032"/>
    <cellStyle name="Input [yellow] 32 7" xfId="31033"/>
    <cellStyle name="Input [yellow] 33" xfId="5678"/>
    <cellStyle name="Input [yellow] 33 2" xfId="31034"/>
    <cellStyle name="Input [yellow] 33 3" xfId="31035"/>
    <cellStyle name="Input [yellow] 33 4" xfId="31036"/>
    <cellStyle name="Input [yellow] 33 5" xfId="31037"/>
    <cellStyle name="Input [yellow] 33 6" xfId="31038"/>
    <cellStyle name="Input [yellow] 33 7" xfId="31039"/>
    <cellStyle name="Input [yellow] 34" xfId="5679"/>
    <cellStyle name="Input [yellow] 34 2" xfId="31040"/>
    <cellStyle name="Input [yellow] 34 3" xfId="31041"/>
    <cellStyle name="Input [yellow] 34 4" xfId="31042"/>
    <cellStyle name="Input [yellow] 34 5" xfId="31043"/>
    <cellStyle name="Input [yellow] 34 6" xfId="31044"/>
    <cellStyle name="Input [yellow] 34 7" xfId="31045"/>
    <cellStyle name="Input [yellow] 35" xfId="5680"/>
    <cellStyle name="Input [yellow] 35 2" xfId="31046"/>
    <cellStyle name="Input [yellow] 35 3" xfId="31047"/>
    <cellStyle name="Input [yellow] 35 4" xfId="31048"/>
    <cellStyle name="Input [yellow] 35 5" xfId="31049"/>
    <cellStyle name="Input [yellow] 35 6" xfId="31050"/>
    <cellStyle name="Input [yellow] 35 7" xfId="31051"/>
    <cellStyle name="Input [yellow] 36" xfId="5681"/>
    <cellStyle name="Input [yellow] 36 2" xfId="31052"/>
    <cellStyle name="Input [yellow] 36 3" xfId="31053"/>
    <cellStyle name="Input [yellow] 36 4" xfId="31054"/>
    <cellStyle name="Input [yellow] 36 5" xfId="31055"/>
    <cellStyle name="Input [yellow] 36 6" xfId="31056"/>
    <cellStyle name="Input [yellow] 36 7" xfId="31057"/>
    <cellStyle name="Input [yellow] 37" xfId="5682"/>
    <cellStyle name="Input [yellow] 37 2" xfId="31058"/>
    <cellStyle name="Input [yellow] 37 3" xfId="31059"/>
    <cellStyle name="Input [yellow] 37 4" xfId="31060"/>
    <cellStyle name="Input [yellow] 37 5" xfId="31061"/>
    <cellStyle name="Input [yellow] 37 6" xfId="31062"/>
    <cellStyle name="Input [yellow] 37 7" xfId="31063"/>
    <cellStyle name="Input [yellow] 38" xfId="5683"/>
    <cellStyle name="Input [yellow] 38 2" xfId="31064"/>
    <cellStyle name="Input [yellow] 38 3" xfId="31065"/>
    <cellStyle name="Input [yellow] 38 4" xfId="31066"/>
    <cellStyle name="Input [yellow] 38 5" xfId="31067"/>
    <cellStyle name="Input [yellow] 38 6" xfId="31068"/>
    <cellStyle name="Input [yellow] 38 7" xfId="31069"/>
    <cellStyle name="Input [yellow] 39" xfId="5684"/>
    <cellStyle name="Input [yellow] 39 2" xfId="31070"/>
    <cellStyle name="Input [yellow] 39 3" xfId="31071"/>
    <cellStyle name="Input [yellow] 39 4" xfId="31072"/>
    <cellStyle name="Input [yellow] 39 5" xfId="31073"/>
    <cellStyle name="Input [yellow] 39 6" xfId="31074"/>
    <cellStyle name="Input [yellow] 39 7" xfId="31075"/>
    <cellStyle name="Input [yellow] 4" xfId="5685"/>
    <cellStyle name="Input [yellow] 4 10" xfId="5686"/>
    <cellStyle name="Input [yellow] 4 10 2" xfId="31076"/>
    <cellStyle name="Input [yellow] 4 10 3" xfId="31077"/>
    <cellStyle name="Input [yellow] 4 10 4" xfId="31078"/>
    <cellStyle name="Input [yellow] 4 10 5" xfId="31079"/>
    <cellStyle name="Input [yellow] 4 10 6" xfId="31080"/>
    <cellStyle name="Input [yellow] 4 10 7" xfId="31081"/>
    <cellStyle name="Input [yellow] 4 100" xfId="31082"/>
    <cellStyle name="Input [yellow] 4 101" xfId="31083"/>
    <cellStyle name="Input [yellow] 4 102" xfId="31084"/>
    <cellStyle name="Input [yellow] 4 11" xfId="5687"/>
    <cellStyle name="Input [yellow] 4 11 2" xfId="31085"/>
    <cellStyle name="Input [yellow] 4 11 3" xfId="31086"/>
    <cellStyle name="Input [yellow] 4 11 4" xfId="31087"/>
    <cellStyle name="Input [yellow] 4 11 5" xfId="31088"/>
    <cellStyle name="Input [yellow] 4 11 6" xfId="31089"/>
    <cellStyle name="Input [yellow] 4 11 7" xfId="31090"/>
    <cellStyle name="Input [yellow] 4 12" xfId="5688"/>
    <cellStyle name="Input [yellow] 4 12 2" xfId="31091"/>
    <cellStyle name="Input [yellow] 4 12 3" xfId="31092"/>
    <cellStyle name="Input [yellow] 4 12 4" xfId="31093"/>
    <cellStyle name="Input [yellow] 4 12 5" xfId="31094"/>
    <cellStyle name="Input [yellow] 4 12 6" xfId="31095"/>
    <cellStyle name="Input [yellow] 4 12 7" xfId="31096"/>
    <cellStyle name="Input [yellow] 4 13" xfId="5689"/>
    <cellStyle name="Input [yellow] 4 13 2" xfId="31097"/>
    <cellStyle name="Input [yellow] 4 13 3" xfId="31098"/>
    <cellStyle name="Input [yellow] 4 13 4" xfId="31099"/>
    <cellStyle name="Input [yellow] 4 13 5" xfId="31100"/>
    <cellStyle name="Input [yellow] 4 13 6" xfId="31101"/>
    <cellStyle name="Input [yellow] 4 13 7" xfId="31102"/>
    <cellStyle name="Input [yellow] 4 14" xfId="5690"/>
    <cellStyle name="Input [yellow] 4 14 2" xfId="31103"/>
    <cellStyle name="Input [yellow] 4 14 3" xfId="31104"/>
    <cellStyle name="Input [yellow] 4 14 4" xfId="31105"/>
    <cellStyle name="Input [yellow] 4 14 5" xfId="31106"/>
    <cellStyle name="Input [yellow] 4 14 6" xfId="31107"/>
    <cellStyle name="Input [yellow] 4 14 7" xfId="31108"/>
    <cellStyle name="Input [yellow] 4 15" xfId="5691"/>
    <cellStyle name="Input [yellow] 4 15 2" xfId="31109"/>
    <cellStyle name="Input [yellow] 4 15 3" xfId="31110"/>
    <cellStyle name="Input [yellow] 4 15 4" xfId="31111"/>
    <cellStyle name="Input [yellow] 4 15 5" xfId="31112"/>
    <cellStyle name="Input [yellow] 4 15 6" xfId="31113"/>
    <cellStyle name="Input [yellow] 4 15 7" xfId="31114"/>
    <cellStyle name="Input [yellow] 4 16" xfId="5692"/>
    <cellStyle name="Input [yellow] 4 16 2" xfId="31115"/>
    <cellStyle name="Input [yellow] 4 16 3" xfId="31116"/>
    <cellStyle name="Input [yellow] 4 16 4" xfId="31117"/>
    <cellStyle name="Input [yellow] 4 16 5" xfId="31118"/>
    <cellStyle name="Input [yellow] 4 16 6" xfId="31119"/>
    <cellStyle name="Input [yellow] 4 16 7" xfId="31120"/>
    <cellStyle name="Input [yellow] 4 17" xfId="5693"/>
    <cellStyle name="Input [yellow] 4 17 2" xfId="31121"/>
    <cellStyle name="Input [yellow] 4 17 3" xfId="31122"/>
    <cellStyle name="Input [yellow] 4 17 4" xfId="31123"/>
    <cellStyle name="Input [yellow] 4 17 5" xfId="31124"/>
    <cellStyle name="Input [yellow] 4 17 6" xfId="31125"/>
    <cellStyle name="Input [yellow] 4 17 7" xfId="31126"/>
    <cellStyle name="Input [yellow] 4 18" xfId="5694"/>
    <cellStyle name="Input [yellow] 4 18 2" xfId="31127"/>
    <cellStyle name="Input [yellow] 4 18 3" xfId="31128"/>
    <cellStyle name="Input [yellow] 4 18 4" xfId="31129"/>
    <cellStyle name="Input [yellow] 4 18 5" xfId="31130"/>
    <cellStyle name="Input [yellow] 4 18 6" xfId="31131"/>
    <cellStyle name="Input [yellow] 4 18 7" xfId="31132"/>
    <cellStyle name="Input [yellow] 4 19" xfId="5695"/>
    <cellStyle name="Input [yellow] 4 19 2" xfId="31133"/>
    <cellStyle name="Input [yellow] 4 19 3" xfId="31134"/>
    <cellStyle name="Input [yellow] 4 19 4" xfId="31135"/>
    <cellStyle name="Input [yellow] 4 19 5" xfId="31136"/>
    <cellStyle name="Input [yellow] 4 19 6" xfId="31137"/>
    <cellStyle name="Input [yellow] 4 19 7" xfId="31138"/>
    <cellStyle name="Input [yellow] 4 2" xfId="5696"/>
    <cellStyle name="Input [yellow] 4 2 10" xfId="31139"/>
    <cellStyle name="Input [yellow] 4 2 11" xfId="31140"/>
    <cellStyle name="Input [yellow] 4 2 2" xfId="31141"/>
    <cellStyle name="Input [yellow] 4 2 3" xfId="31142"/>
    <cellStyle name="Input [yellow] 4 2 4" xfId="31143"/>
    <cellStyle name="Input [yellow] 4 2 5" xfId="31144"/>
    <cellStyle name="Input [yellow] 4 2 6" xfId="31145"/>
    <cellStyle name="Input [yellow] 4 2 7" xfId="31146"/>
    <cellStyle name="Input [yellow] 4 2 8" xfId="31147"/>
    <cellStyle name="Input [yellow] 4 2 9" xfId="31148"/>
    <cellStyle name="Input [yellow] 4 20" xfId="5697"/>
    <cellStyle name="Input [yellow] 4 20 2" xfId="31149"/>
    <cellStyle name="Input [yellow] 4 20 3" xfId="31150"/>
    <cellStyle name="Input [yellow] 4 20 4" xfId="31151"/>
    <cellStyle name="Input [yellow] 4 20 5" xfId="31152"/>
    <cellStyle name="Input [yellow] 4 20 6" xfId="31153"/>
    <cellStyle name="Input [yellow] 4 20 7" xfId="31154"/>
    <cellStyle name="Input [yellow] 4 21" xfId="5698"/>
    <cellStyle name="Input [yellow] 4 21 2" xfId="31155"/>
    <cellStyle name="Input [yellow] 4 21 3" xfId="31156"/>
    <cellStyle name="Input [yellow] 4 21 4" xfId="31157"/>
    <cellStyle name="Input [yellow] 4 21 5" xfId="31158"/>
    <cellStyle name="Input [yellow] 4 21 6" xfId="31159"/>
    <cellStyle name="Input [yellow] 4 21 7" xfId="31160"/>
    <cellStyle name="Input [yellow] 4 22" xfId="5699"/>
    <cellStyle name="Input [yellow] 4 22 2" xfId="31161"/>
    <cellStyle name="Input [yellow] 4 22 3" xfId="31162"/>
    <cellStyle name="Input [yellow] 4 22 4" xfId="31163"/>
    <cellStyle name="Input [yellow] 4 22 5" xfId="31164"/>
    <cellStyle name="Input [yellow] 4 22 6" xfId="31165"/>
    <cellStyle name="Input [yellow] 4 22 7" xfId="31166"/>
    <cellStyle name="Input [yellow] 4 23" xfId="5700"/>
    <cellStyle name="Input [yellow] 4 23 2" xfId="31167"/>
    <cellStyle name="Input [yellow] 4 23 3" xfId="31168"/>
    <cellStyle name="Input [yellow] 4 23 4" xfId="31169"/>
    <cellStyle name="Input [yellow] 4 23 5" xfId="31170"/>
    <cellStyle name="Input [yellow] 4 23 6" xfId="31171"/>
    <cellStyle name="Input [yellow] 4 23 7" xfId="31172"/>
    <cellStyle name="Input [yellow] 4 24" xfId="5701"/>
    <cellStyle name="Input [yellow] 4 24 2" xfId="31173"/>
    <cellStyle name="Input [yellow] 4 24 3" xfId="31174"/>
    <cellStyle name="Input [yellow] 4 24 4" xfId="31175"/>
    <cellStyle name="Input [yellow] 4 24 5" xfId="31176"/>
    <cellStyle name="Input [yellow] 4 24 6" xfId="31177"/>
    <cellStyle name="Input [yellow] 4 24 7" xfId="31178"/>
    <cellStyle name="Input [yellow] 4 25" xfId="5702"/>
    <cellStyle name="Input [yellow] 4 25 2" xfId="31179"/>
    <cellStyle name="Input [yellow] 4 25 3" xfId="31180"/>
    <cellStyle name="Input [yellow] 4 25 4" xfId="31181"/>
    <cellStyle name="Input [yellow] 4 25 5" xfId="31182"/>
    <cellStyle name="Input [yellow] 4 25 6" xfId="31183"/>
    <cellStyle name="Input [yellow] 4 25 7" xfId="31184"/>
    <cellStyle name="Input [yellow] 4 26" xfId="5703"/>
    <cellStyle name="Input [yellow] 4 26 2" xfId="31185"/>
    <cellStyle name="Input [yellow] 4 26 3" xfId="31186"/>
    <cellStyle name="Input [yellow] 4 26 4" xfId="31187"/>
    <cellStyle name="Input [yellow] 4 26 5" xfId="31188"/>
    <cellStyle name="Input [yellow] 4 26 6" xfId="31189"/>
    <cellStyle name="Input [yellow] 4 26 7" xfId="31190"/>
    <cellStyle name="Input [yellow] 4 27" xfId="5704"/>
    <cellStyle name="Input [yellow] 4 27 2" xfId="31191"/>
    <cellStyle name="Input [yellow] 4 27 3" xfId="31192"/>
    <cellStyle name="Input [yellow] 4 27 4" xfId="31193"/>
    <cellStyle name="Input [yellow] 4 27 5" xfId="31194"/>
    <cellStyle name="Input [yellow] 4 27 6" xfId="31195"/>
    <cellStyle name="Input [yellow] 4 27 7" xfId="31196"/>
    <cellStyle name="Input [yellow] 4 28" xfId="5705"/>
    <cellStyle name="Input [yellow] 4 28 2" xfId="31197"/>
    <cellStyle name="Input [yellow] 4 28 3" xfId="31198"/>
    <cellStyle name="Input [yellow] 4 28 4" xfId="31199"/>
    <cellStyle name="Input [yellow] 4 28 5" xfId="31200"/>
    <cellStyle name="Input [yellow] 4 28 6" xfId="31201"/>
    <cellStyle name="Input [yellow] 4 28 7" xfId="31202"/>
    <cellStyle name="Input [yellow] 4 29" xfId="5706"/>
    <cellStyle name="Input [yellow] 4 29 2" xfId="31203"/>
    <cellStyle name="Input [yellow] 4 29 3" xfId="31204"/>
    <cellStyle name="Input [yellow] 4 29 4" xfId="31205"/>
    <cellStyle name="Input [yellow] 4 29 5" xfId="31206"/>
    <cellStyle name="Input [yellow] 4 29 6" xfId="31207"/>
    <cellStyle name="Input [yellow] 4 29 7" xfId="31208"/>
    <cellStyle name="Input [yellow] 4 3" xfId="5707"/>
    <cellStyle name="Input [yellow] 4 3 10" xfId="31209"/>
    <cellStyle name="Input [yellow] 4 3 2" xfId="31210"/>
    <cellStyle name="Input [yellow] 4 3 3" xfId="31211"/>
    <cellStyle name="Input [yellow] 4 3 4" xfId="31212"/>
    <cellStyle name="Input [yellow] 4 3 5" xfId="31213"/>
    <cellStyle name="Input [yellow] 4 3 6" xfId="31214"/>
    <cellStyle name="Input [yellow] 4 3 7" xfId="31215"/>
    <cellStyle name="Input [yellow] 4 3 8" xfId="31216"/>
    <cellStyle name="Input [yellow] 4 3 9" xfId="31217"/>
    <cellStyle name="Input [yellow] 4 30" xfId="5708"/>
    <cellStyle name="Input [yellow] 4 30 2" xfId="31218"/>
    <cellStyle name="Input [yellow] 4 30 3" xfId="31219"/>
    <cellStyle name="Input [yellow] 4 30 4" xfId="31220"/>
    <cellStyle name="Input [yellow] 4 30 5" xfId="31221"/>
    <cellStyle name="Input [yellow] 4 30 6" xfId="31222"/>
    <cellStyle name="Input [yellow] 4 30 7" xfId="31223"/>
    <cellStyle name="Input [yellow] 4 31" xfId="5709"/>
    <cellStyle name="Input [yellow] 4 31 2" xfId="31224"/>
    <cellStyle name="Input [yellow] 4 31 3" xfId="31225"/>
    <cellStyle name="Input [yellow] 4 31 4" xfId="31226"/>
    <cellStyle name="Input [yellow] 4 31 5" xfId="31227"/>
    <cellStyle name="Input [yellow] 4 31 6" xfId="31228"/>
    <cellStyle name="Input [yellow] 4 31 7" xfId="31229"/>
    <cellStyle name="Input [yellow] 4 32" xfId="5710"/>
    <cellStyle name="Input [yellow] 4 32 2" xfId="31230"/>
    <cellStyle name="Input [yellow] 4 32 3" xfId="31231"/>
    <cellStyle name="Input [yellow] 4 32 4" xfId="31232"/>
    <cellStyle name="Input [yellow] 4 32 5" xfId="31233"/>
    <cellStyle name="Input [yellow] 4 32 6" xfId="31234"/>
    <cellStyle name="Input [yellow] 4 32 7" xfId="31235"/>
    <cellStyle name="Input [yellow] 4 33" xfId="5711"/>
    <cellStyle name="Input [yellow] 4 33 2" xfId="31236"/>
    <cellStyle name="Input [yellow] 4 33 3" xfId="31237"/>
    <cellStyle name="Input [yellow] 4 33 4" xfId="31238"/>
    <cellStyle name="Input [yellow] 4 33 5" xfId="31239"/>
    <cellStyle name="Input [yellow] 4 33 6" xfId="31240"/>
    <cellStyle name="Input [yellow] 4 33 7" xfId="31241"/>
    <cellStyle name="Input [yellow] 4 34" xfId="5712"/>
    <cellStyle name="Input [yellow] 4 34 2" xfId="31242"/>
    <cellStyle name="Input [yellow] 4 34 3" xfId="31243"/>
    <cellStyle name="Input [yellow] 4 34 4" xfId="31244"/>
    <cellStyle name="Input [yellow] 4 34 5" xfId="31245"/>
    <cellStyle name="Input [yellow] 4 34 6" xfId="31246"/>
    <cellStyle name="Input [yellow] 4 34 7" xfId="31247"/>
    <cellStyle name="Input [yellow] 4 35" xfId="5713"/>
    <cellStyle name="Input [yellow] 4 35 2" xfId="31248"/>
    <cellStyle name="Input [yellow] 4 35 3" xfId="31249"/>
    <cellStyle name="Input [yellow] 4 35 4" xfId="31250"/>
    <cellStyle name="Input [yellow] 4 35 5" xfId="31251"/>
    <cellStyle name="Input [yellow] 4 35 6" xfId="31252"/>
    <cellStyle name="Input [yellow] 4 35 7" xfId="31253"/>
    <cellStyle name="Input [yellow] 4 36" xfId="5714"/>
    <cellStyle name="Input [yellow] 4 36 2" xfId="31254"/>
    <cellStyle name="Input [yellow] 4 36 3" xfId="31255"/>
    <cellStyle name="Input [yellow] 4 36 4" xfId="31256"/>
    <cellStyle name="Input [yellow] 4 36 5" xfId="31257"/>
    <cellStyle name="Input [yellow] 4 36 6" xfId="31258"/>
    <cellStyle name="Input [yellow] 4 36 7" xfId="31259"/>
    <cellStyle name="Input [yellow] 4 37" xfId="5715"/>
    <cellStyle name="Input [yellow] 4 37 2" xfId="31260"/>
    <cellStyle name="Input [yellow] 4 37 3" xfId="31261"/>
    <cellStyle name="Input [yellow] 4 37 4" xfId="31262"/>
    <cellStyle name="Input [yellow] 4 37 5" xfId="31263"/>
    <cellStyle name="Input [yellow] 4 37 6" xfId="31264"/>
    <cellStyle name="Input [yellow] 4 37 7" xfId="31265"/>
    <cellStyle name="Input [yellow] 4 38" xfId="5716"/>
    <cellStyle name="Input [yellow] 4 38 2" xfId="31266"/>
    <cellStyle name="Input [yellow] 4 38 3" xfId="31267"/>
    <cellStyle name="Input [yellow] 4 38 4" xfId="31268"/>
    <cellStyle name="Input [yellow] 4 38 5" xfId="31269"/>
    <cellStyle name="Input [yellow] 4 38 6" xfId="31270"/>
    <cellStyle name="Input [yellow] 4 38 7" xfId="31271"/>
    <cellStyle name="Input [yellow] 4 39" xfId="5717"/>
    <cellStyle name="Input [yellow] 4 39 2" xfId="31272"/>
    <cellStyle name="Input [yellow] 4 39 3" xfId="31273"/>
    <cellStyle name="Input [yellow] 4 39 4" xfId="31274"/>
    <cellStyle name="Input [yellow] 4 39 5" xfId="31275"/>
    <cellStyle name="Input [yellow] 4 39 6" xfId="31276"/>
    <cellStyle name="Input [yellow] 4 39 7" xfId="31277"/>
    <cellStyle name="Input [yellow] 4 4" xfId="5718"/>
    <cellStyle name="Input [yellow] 4 4 10" xfId="31278"/>
    <cellStyle name="Input [yellow] 4 4 2" xfId="31279"/>
    <cellStyle name="Input [yellow] 4 4 3" xfId="31280"/>
    <cellStyle name="Input [yellow] 4 4 4" xfId="31281"/>
    <cellStyle name="Input [yellow] 4 4 5" xfId="31282"/>
    <cellStyle name="Input [yellow] 4 4 6" xfId="31283"/>
    <cellStyle name="Input [yellow] 4 4 7" xfId="31284"/>
    <cellStyle name="Input [yellow] 4 4 8" xfId="31285"/>
    <cellStyle name="Input [yellow] 4 4 9" xfId="31286"/>
    <cellStyle name="Input [yellow] 4 40" xfId="5719"/>
    <cellStyle name="Input [yellow] 4 40 2" xfId="31287"/>
    <cellStyle name="Input [yellow] 4 40 3" xfId="31288"/>
    <cellStyle name="Input [yellow] 4 40 4" xfId="31289"/>
    <cellStyle name="Input [yellow] 4 40 5" xfId="31290"/>
    <cellStyle name="Input [yellow] 4 40 6" xfId="31291"/>
    <cellStyle name="Input [yellow] 4 40 7" xfId="31292"/>
    <cellStyle name="Input [yellow] 4 41" xfId="5720"/>
    <cellStyle name="Input [yellow] 4 41 2" xfId="31293"/>
    <cellStyle name="Input [yellow] 4 41 3" xfId="31294"/>
    <cellStyle name="Input [yellow] 4 41 4" xfId="31295"/>
    <cellStyle name="Input [yellow] 4 41 5" xfId="31296"/>
    <cellStyle name="Input [yellow] 4 41 6" xfId="31297"/>
    <cellStyle name="Input [yellow] 4 41 7" xfId="31298"/>
    <cellStyle name="Input [yellow] 4 42" xfId="5721"/>
    <cellStyle name="Input [yellow] 4 42 2" xfId="31299"/>
    <cellStyle name="Input [yellow] 4 42 3" xfId="31300"/>
    <cellStyle name="Input [yellow] 4 42 4" xfId="31301"/>
    <cellStyle name="Input [yellow] 4 42 5" xfId="31302"/>
    <cellStyle name="Input [yellow] 4 42 6" xfId="31303"/>
    <cellStyle name="Input [yellow] 4 42 7" xfId="31304"/>
    <cellStyle name="Input [yellow] 4 43" xfId="5722"/>
    <cellStyle name="Input [yellow] 4 43 2" xfId="31305"/>
    <cellStyle name="Input [yellow] 4 43 3" xfId="31306"/>
    <cellStyle name="Input [yellow] 4 43 4" xfId="31307"/>
    <cellStyle name="Input [yellow] 4 43 5" xfId="31308"/>
    <cellStyle name="Input [yellow] 4 43 6" xfId="31309"/>
    <cellStyle name="Input [yellow] 4 43 7" xfId="31310"/>
    <cellStyle name="Input [yellow] 4 44" xfId="5723"/>
    <cellStyle name="Input [yellow] 4 44 2" xfId="31311"/>
    <cellStyle name="Input [yellow] 4 44 3" xfId="31312"/>
    <cellStyle name="Input [yellow] 4 44 4" xfId="31313"/>
    <cellStyle name="Input [yellow] 4 44 5" xfId="31314"/>
    <cellStyle name="Input [yellow] 4 44 6" xfId="31315"/>
    <cellStyle name="Input [yellow] 4 44 7" xfId="31316"/>
    <cellStyle name="Input [yellow] 4 45" xfId="5724"/>
    <cellStyle name="Input [yellow] 4 45 2" xfId="31317"/>
    <cellStyle name="Input [yellow] 4 45 3" xfId="31318"/>
    <cellStyle name="Input [yellow] 4 45 4" xfId="31319"/>
    <cellStyle name="Input [yellow] 4 45 5" xfId="31320"/>
    <cellStyle name="Input [yellow] 4 45 6" xfId="31321"/>
    <cellStyle name="Input [yellow] 4 45 7" xfId="31322"/>
    <cellStyle name="Input [yellow] 4 46" xfId="5725"/>
    <cellStyle name="Input [yellow] 4 46 2" xfId="31323"/>
    <cellStyle name="Input [yellow] 4 46 3" xfId="31324"/>
    <cellStyle name="Input [yellow] 4 46 4" xfId="31325"/>
    <cellStyle name="Input [yellow] 4 46 5" xfId="31326"/>
    <cellStyle name="Input [yellow] 4 46 6" xfId="31327"/>
    <cellStyle name="Input [yellow] 4 46 7" xfId="31328"/>
    <cellStyle name="Input [yellow] 4 47" xfId="5726"/>
    <cellStyle name="Input [yellow] 4 47 2" xfId="31329"/>
    <cellStyle name="Input [yellow] 4 47 3" xfId="31330"/>
    <cellStyle name="Input [yellow] 4 47 4" xfId="31331"/>
    <cellStyle name="Input [yellow] 4 47 5" xfId="31332"/>
    <cellStyle name="Input [yellow] 4 47 6" xfId="31333"/>
    <cellStyle name="Input [yellow] 4 47 7" xfId="31334"/>
    <cellStyle name="Input [yellow] 4 48" xfId="5727"/>
    <cellStyle name="Input [yellow] 4 48 2" xfId="31335"/>
    <cellStyle name="Input [yellow] 4 48 3" xfId="31336"/>
    <cellStyle name="Input [yellow] 4 48 4" xfId="31337"/>
    <cellStyle name="Input [yellow] 4 48 5" xfId="31338"/>
    <cellStyle name="Input [yellow] 4 48 6" xfId="31339"/>
    <cellStyle name="Input [yellow] 4 48 7" xfId="31340"/>
    <cellStyle name="Input [yellow] 4 49" xfId="5728"/>
    <cellStyle name="Input [yellow] 4 49 2" xfId="31341"/>
    <cellStyle name="Input [yellow] 4 49 3" xfId="31342"/>
    <cellStyle name="Input [yellow] 4 49 4" xfId="31343"/>
    <cellStyle name="Input [yellow] 4 49 5" xfId="31344"/>
    <cellStyle name="Input [yellow] 4 49 6" xfId="31345"/>
    <cellStyle name="Input [yellow] 4 49 7" xfId="31346"/>
    <cellStyle name="Input [yellow] 4 5" xfId="5729"/>
    <cellStyle name="Input [yellow] 4 5 2" xfId="31347"/>
    <cellStyle name="Input [yellow] 4 5 3" xfId="31348"/>
    <cellStyle name="Input [yellow] 4 5 4" xfId="31349"/>
    <cellStyle name="Input [yellow] 4 5 5" xfId="31350"/>
    <cellStyle name="Input [yellow] 4 5 6" xfId="31351"/>
    <cellStyle name="Input [yellow] 4 5 7" xfId="31352"/>
    <cellStyle name="Input [yellow] 4 50" xfId="5730"/>
    <cellStyle name="Input [yellow] 4 50 2" xfId="31353"/>
    <cellStyle name="Input [yellow] 4 50 3" xfId="31354"/>
    <cellStyle name="Input [yellow] 4 50 4" xfId="31355"/>
    <cellStyle name="Input [yellow] 4 50 5" xfId="31356"/>
    <cellStyle name="Input [yellow] 4 50 6" xfId="31357"/>
    <cellStyle name="Input [yellow] 4 50 7" xfId="31358"/>
    <cellStyle name="Input [yellow] 4 51" xfId="5731"/>
    <cellStyle name="Input [yellow] 4 51 2" xfId="31359"/>
    <cellStyle name="Input [yellow] 4 51 3" xfId="31360"/>
    <cellStyle name="Input [yellow] 4 51 4" xfId="31361"/>
    <cellStyle name="Input [yellow] 4 51 5" xfId="31362"/>
    <cellStyle name="Input [yellow] 4 51 6" xfId="31363"/>
    <cellStyle name="Input [yellow] 4 51 7" xfId="31364"/>
    <cellStyle name="Input [yellow] 4 52" xfId="5732"/>
    <cellStyle name="Input [yellow] 4 52 2" xfId="31365"/>
    <cellStyle name="Input [yellow] 4 52 3" xfId="31366"/>
    <cellStyle name="Input [yellow] 4 52 4" xfId="31367"/>
    <cellStyle name="Input [yellow] 4 52 5" xfId="31368"/>
    <cellStyle name="Input [yellow] 4 52 6" xfId="31369"/>
    <cellStyle name="Input [yellow] 4 52 7" xfId="31370"/>
    <cellStyle name="Input [yellow] 4 53" xfId="5733"/>
    <cellStyle name="Input [yellow] 4 53 2" xfId="31371"/>
    <cellStyle name="Input [yellow] 4 53 3" xfId="31372"/>
    <cellStyle name="Input [yellow] 4 53 4" xfId="31373"/>
    <cellStyle name="Input [yellow] 4 53 5" xfId="31374"/>
    <cellStyle name="Input [yellow] 4 53 6" xfId="31375"/>
    <cellStyle name="Input [yellow] 4 53 7" xfId="31376"/>
    <cellStyle name="Input [yellow] 4 54" xfId="5734"/>
    <cellStyle name="Input [yellow] 4 54 2" xfId="31377"/>
    <cellStyle name="Input [yellow] 4 54 3" xfId="31378"/>
    <cellStyle name="Input [yellow] 4 54 4" xfId="31379"/>
    <cellStyle name="Input [yellow] 4 54 5" xfId="31380"/>
    <cellStyle name="Input [yellow] 4 54 6" xfId="31381"/>
    <cellStyle name="Input [yellow] 4 54 7" xfId="31382"/>
    <cellStyle name="Input [yellow] 4 55" xfId="5735"/>
    <cellStyle name="Input [yellow] 4 55 2" xfId="31383"/>
    <cellStyle name="Input [yellow] 4 55 3" xfId="31384"/>
    <cellStyle name="Input [yellow] 4 55 4" xfId="31385"/>
    <cellStyle name="Input [yellow] 4 55 5" xfId="31386"/>
    <cellStyle name="Input [yellow] 4 55 6" xfId="31387"/>
    <cellStyle name="Input [yellow] 4 55 7" xfId="31388"/>
    <cellStyle name="Input [yellow] 4 56" xfId="5736"/>
    <cellStyle name="Input [yellow] 4 56 2" xfId="31389"/>
    <cellStyle name="Input [yellow] 4 56 3" xfId="31390"/>
    <cellStyle name="Input [yellow] 4 56 4" xfId="31391"/>
    <cellStyle name="Input [yellow] 4 56 5" xfId="31392"/>
    <cellStyle name="Input [yellow] 4 56 6" xfId="31393"/>
    <cellStyle name="Input [yellow] 4 56 7" xfId="31394"/>
    <cellStyle name="Input [yellow] 4 57" xfId="5737"/>
    <cellStyle name="Input [yellow] 4 57 2" xfId="31395"/>
    <cellStyle name="Input [yellow] 4 57 3" xfId="31396"/>
    <cellStyle name="Input [yellow] 4 57 4" xfId="31397"/>
    <cellStyle name="Input [yellow] 4 57 5" xfId="31398"/>
    <cellStyle name="Input [yellow] 4 57 6" xfId="31399"/>
    <cellStyle name="Input [yellow] 4 57 7" xfId="31400"/>
    <cellStyle name="Input [yellow] 4 58" xfId="5738"/>
    <cellStyle name="Input [yellow] 4 58 2" xfId="31401"/>
    <cellStyle name="Input [yellow] 4 58 3" xfId="31402"/>
    <cellStyle name="Input [yellow] 4 58 4" xfId="31403"/>
    <cellStyle name="Input [yellow] 4 58 5" xfId="31404"/>
    <cellStyle name="Input [yellow] 4 58 6" xfId="31405"/>
    <cellStyle name="Input [yellow] 4 58 7" xfId="31406"/>
    <cellStyle name="Input [yellow] 4 59" xfId="5739"/>
    <cellStyle name="Input [yellow] 4 59 2" xfId="31407"/>
    <cellStyle name="Input [yellow] 4 59 3" xfId="31408"/>
    <cellStyle name="Input [yellow] 4 59 4" xfId="31409"/>
    <cellStyle name="Input [yellow] 4 59 5" xfId="31410"/>
    <cellStyle name="Input [yellow] 4 59 6" xfId="31411"/>
    <cellStyle name="Input [yellow] 4 59 7" xfId="31412"/>
    <cellStyle name="Input [yellow] 4 6" xfId="5740"/>
    <cellStyle name="Input [yellow] 4 6 2" xfId="31413"/>
    <cellStyle name="Input [yellow] 4 6 3" xfId="31414"/>
    <cellStyle name="Input [yellow] 4 6 4" xfId="31415"/>
    <cellStyle name="Input [yellow] 4 6 5" xfId="31416"/>
    <cellStyle name="Input [yellow] 4 6 6" xfId="31417"/>
    <cellStyle name="Input [yellow] 4 6 7" xfId="31418"/>
    <cellStyle name="Input [yellow] 4 60" xfId="5741"/>
    <cellStyle name="Input [yellow] 4 60 2" xfId="31419"/>
    <cellStyle name="Input [yellow] 4 60 3" xfId="31420"/>
    <cellStyle name="Input [yellow] 4 60 4" xfId="31421"/>
    <cellStyle name="Input [yellow] 4 60 5" xfId="31422"/>
    <cellStyle name="Input [yellow] 4 60 6" xfId="31423"/>
    <cellStyle name="Input [yellow] 4 60 7" xfId="31424"/>
    <cellStyle name="Input [yellow] 4 61" xfId="5742"/>
    <cellStyle name="Input [yellow] 4 61 2" xfId="31425"/>
    <cellStyle name="Input [yellow] 4 61 3" xfId="31426"/>
    <cellStyle name="Input [yellow] 4 61 4" xfId="31427"/>
    <cellStyle name="Input [yellow] 4 61 5" xfId="31428"/>
    <cellStyle name="Input [yellow] 4 61 6" xfId="31429"/>
    <cellStyle name="Input [yellow] 4 61 7" xfId="31430"/>
    <cellStyle name="Input [yellow] 4 62" xfId="5743"/>
    <cellStyle name="Input [yellow] 4 62 2" xfId="31431"/>
    <cellStyle name="Input [yellow] 4 62 3" xfId="31432"/>
    <cellStyle name="Input [yellow] 4 62 4" xfId="31433"/>
    <cellStyle name="Input [yellow] 4 62 5" xfId="31434"/>
    <cellStyle name="Input [yellow] 4 62 6" xfId="31435"/>
    <cellStyle name="Input [yellow] 4 62 7" xfId="31436"/>
    <cellStyle name="Input [yellow] 4 63" xfId="5744"/>
    <cellStyle name="Input [yellow] 4 63 2" xfId="31437"/>
    <cellStyle name="Input [yellow] 4 63 3" xfId="31438"/>
    <cellStyle name="Input [yellow] 4 63 4" xfId="31439"/>
    <cellStyle name="Input [yellow] 4 63 5" xfId="31440"/>
    <cellStyle name="Input [yellow] 4 63 6" xfId="31441"/>
    <cellStyle name="Input [yellow] 4 63 7" xfId="31442"/>
    <cellStyle name="Input [yellow] 4 64" xfId="5745"/>
    <cellStyle name="Input [yellow] 4 64 2" xfId="31443"/>
    <cellStyle name="Input [yellow] 4 64 3" xfId="31444"/>
    <cellStyle name="Input [yellow] 4 64 4" xfId="31445"/>
    <cellStyle name="Input [yellow] 4 64 5" xfId="31446"/>
    <cellStyle name="Input [yellow] 4 64 6" xfId="31447"/>
    <cellStyle name="Input [yellow] 4 64 7" xfId="31448"/>
    <cellStyle name="Input [yellow] 4 65" xfId="5746"/>
    <cellStyle name="Input [yellow] 4 65 2" xfId="31449"/>
    <cellStyle name="Input [yellow] 4 65 3" xfId="31450"/>
    <cellStyle name="Input [yellow] 4 65 4" xfId="31451"/>
    <cellStyle name="Input [yellow] 4 65 5" xfId="31452"/>
    <cellStyle name="Input [yellow] 4 65 6" xfId="31453"/>
    <cellStyle name="Input [yellow] 4 65 7" xfId="31454"/>
    <cellStyle name="Input [yellow] 4 66" xfId="5747"/>
    <cellStyle name="Input [yellow] 4 66 2" xfId="31455"/>
    <cellStyle name="Input [yellow] 4 66 3" xfId="31456"/>
    <cellStyle name="Input [yellow] 4 66 4" xfId="31457"/>
    <cellStyle name="Input [yellow] 4 66 5" xfId="31458"/>
    <cellStyle name="Input [yellow] 4 66 6" xfId="31459"/>
    <cellStyle name="Input [yellow] 4 66 7" xfId="31460"/>
    <cellStyle name="Input [yellow] 4 67" xfId="5748"/>
    <cellStyle name="Input [yellow] 4 67 2" xfId="31461"/>
    <cellStyle name="Input [yellow] 4 67 3" xfId="31462"/>
    <cellStyle name="Input [yellow] 4 67 4" xfId="31463"/>
    <cellStyle name="Input [yellow] 4 67 5" xfId="31464"/>
    <cellStyle name="Input [yellow] 4 67 6" xfId="31465"/>
    <cellStyle name="Input [yellow] 4 67 7" xfId="31466"/>
    <cellStyle name="Input [yellow] 4 68" xfId="5749"/>
    <cellStyle name="Input [yellow] 4 68 2" xfId="31467"/>
    <cellStyle name="Input [yellow] 4 68 3" xfId="31468"/>
    <cellStyle name="Input [yellow] 4 68 4" xfId="31469"/>
    <cellStyle name="Input [yellow] 4 68 5" xfId="31470"/>
    <cellStyle name="Input [yellow] 4 68 6" xfId="31471"/>
    <cellStyle name="Input [yellow] 4 68 7" xfId="31472"/>
    <cellStyle name="Input [yellow] 4 69" xfId="5750"/>
    <cellStyle name="Input [yellow] 4 69 2" xfId="31473"/>
    <cellStyle name="Input [yellow] 4 69 3" xfId="31474"/>
    <cellStyle name="Input [yellow] 4 69 4" xfId="31475"/>
    <cellStyle name="Input [yellow] 4 69 5" xfId="31476"/>
    <cellStyle name="Input [yellow] 4 69 6" xfId="31477"/>
    <cellStyle name="Input [yellow] 4 69 7" xfId="31478"/>
    <cellStyle name="Input [yellow] 4 7" xfId="5751"/>
    <cellStyle name="Input [yellow] 4 7 2" xfId="31479"/>
    <cellStyle name="Input [yellow] 4 7 3" xfId="31480"/>
    <cellStyle name="Input [yellow] 4 7 4" xfId="31481"/>
    <cellStyle name="Input [yellow] 4 7 5" xfId="31482"/>
    <cellStyle name="Input [yellow] 4 7 6" xfId="31483"/>
    <cellStyle name="Input [yellow] 4 7 7" xfId="31484"/>
    <cellStyle name="Input [yellow] 4 70" xfId="5752"/>
    <cellStyle name="Input [yellow] 4 70 2" xfId="31485"/>
    <cellStyle name="Input [yellow] 4 70 3" xfId="31486"/>
    <cellStyle name="Input [yellow] 4 70 4" xfId="31487"/>
    <cellStyle name="Input [yellow] 4 70 5" xfId="31488"/>
    <cellStyle name="Input [yellow] 4 70 6" xfId="31489"/>
    <cellStyle name="Input [yellow] 4 70 7" xfId="31490"/>
    <cellStyle name="Input [yellow] 4 71" xfId="5753"/>
    <cellStyle name="Input [yellow] 4 71 2" xfId="31491"/>
    <cellStyle name="Input [yellow] 4 71 3" xfId="31492"/>
    <cellStyle name="Input [yellow] 4 71 4" xfId="31493"/>
    <cellStyle name="Input [yellow] 4 71 5" xfId="31494"/>
    <cellStyle name="Input [yellow] 4 71 6" xfId="31495"/>
    <cellStyle name="Input [yellow] 4 71 7" xfId="31496"/>
    <cellStyle name="Input [yellow] 4 72" xfId="5754"/>
    <cellStyle name="Input [yellow] 4 72 2" xfId="31497"/>
    <cellStyle name="Input [yellow] 4 72 3" xfId="31498"/>
    <cellStyle name="Input [yellow] 4 72 4" xfId="31499"/>
    <cellStyle name="Input [yellow] 4 72 5" xfId="31500"/>
    <cellStyle name="Input [yellow] 4 72 6" xfId="31501"/>
    <cellStyle name="Input [yellow] 4 72 7" xfId="31502"/>
    <cellStyle name="Input [yellow] 4 73" xfId="5755"/>
    <cellStyle name="Input [yellow] 4 73 2" xfId="31503"/>
    <cellStyle name="Input [yellow] 4 73 3" xfId="31504"/>
    <cellStyle name="Input [yellow] 4 73 4" xfId="31505"/>
    <cellStyle name="Input [yellow] 4 73 5" xfId="31506"/>
    <cellStyle name="Input [yellow] 4 73 6" xfId="31507"/>
    <cellStyle name="Input [yellow] 4 73 7" xfId="31508"/>
    <cellStyle name="Input [yellow] 4 74" xfId="5756"/>
    <cellStyle name="Input [yellow] 4 74 2" xfId="31509"/>
    <cellStyle name="Input [yellow] 4 74 3" xfId="31510"/>
    <cellStyle name="Input [yellow] 4 74 4" xfId="31511"/>
    <cellStyle name="Input [yellow] 4 74 5" xfId="31512"/>
    <cellStyle name="Input [yellow] 4 74 6" xfId="31513"/>
    <cellStyle name="Input [yellow] 4 74 7" xfId="31514"/>
    <cellStyle name="Input [yellow] 4 75" xfId="5757"/>
    <cellStyle name="Input [yellow] 4 75 2" xfId="31515"/>
    <cellStyle name="Input [yellow] 4 75 3" xfId="31516"/>
    <cellStyle name="Input [yellow] 4 75 4" xfId="31517"/>
    <cellStyle name="Input [yellow] 4 75 5" xfId="31518"/>
    <cellStyle name="Input [yellow] 4 75 6" xfId="31519"/>
    <cellStyle name="Input [yellow] 4 75 7" xfId="31520"/>
    <cellStyle name="Input [yellow] 4 76" xfId="5758"/>
    <cellStyle name="Input [yellow] 4 76 2" xfId="31521"/>
    <cellStyle name="Input [yellow] 4 76 3" xfId="31522"/>
    <cellStyle name="Input [yellow] 4 76 4" xfId="31523"/>
    <cellStyle name="Input [yellow] 4 76 5" xfId="31524"/>
    <cellStyle name="Input [yellow] 4 76 6" xfId="31525"/>
    <cellStyle name="Input [yellow] 4 76 7" xfId="31526"/>
    <cellStyle name="Input [yellow] 4 77" xfId="5759"/>
    <cellStyle name="Input [yellow] 4 77 2" xfId="31527"/>
    <cellStyle name="Input [yellow] 4 77 3" xfId="31528"/>
    <cellStyle name="Input [yellow] 4 77 4" xfId="31529"/>
    <cellStyle name="Input [yellow] 4 77 5" xfId="31530"/>
    <cellStyle name="Input [yellow] 4 77 6" xfId="31531"/>
    <cellStyle name="Input [yellow] 4 77 7" xfId="31532"/>
    <cellStyle name="Input [yellow] 4 78" xfId="5760"/>
    <cellStyle name="Input [yellow] 4 78 2" xfId="31533"/>
    <cellStyle name="Input [yellow] 4 78 3" xfId="31534"/>
    <cellStyle name="Input [yellow] 4 78 4" xfId="31535"/>
    <cellStyle name="Input [yellow] 4 78 5" xfId="31536"/>
    <cellStyle name="Input [yellow] 4 78 6" xfId="31537"/>
    <cellStyle name="Input [yellow] 4 78 7" xfId="31538"/>
    <cellStyle name="Input [yellow] 4 79" xfId="5761"/>
    <cellStyle name="Input [yellow] 4 79 2" xfId="31539"/>
    <cellStyle name="Input [yellow] 4 79 3" xfId="31540"/>
    <cellStyle name="Input [yellow] 4 79 4" xfId="31541"/>
    <cellStyle name="Input [yellow] 4 79 5" xfId="31542"/>
    <cellStyle name="Input [yellow] 4 79 6" xfId="31543"/>
    <cellStyle name="Input [yellow] 4 79 7" xfId="31544"/>
    <cellStyle name="Input [yellow] 4 8" xfId="5762"/>
    <cellStyle name="Input [yellow] 4 8 2" xfId="31545"/>
    <cellStyle name="Input [yellow] 4 8 3" xfId="31546"/>
    <cellStyle name="Input [yellow] 4 8 4" xfId="31547"/>
    <cellStyle name="Input [yellow] 4 8 5" xfId="31548"/>
    <cellStyle name="Input [yellow] 4 8 6" xfId="31549"/>
    <cellStyle name="Input [yellow] 4 8 7" xfId="31550"/>
    <cellStyle name="Input [yellow] 4 80" xfId="5763"/>
    <cellStyle name="Input [yellow] 4 80 2" xfId="31551"/>
    <cellStyle name="Input [yellow] 4 80 3" xfId="31552"/>
    <cellStyle name="Input [yellow] 4 80 4" xfId="31553"/>
    <cellStyle name="Input [yellow] 4 80 5" xfId="31554"/>
    <cellStyle name="Input [yellow] 4 80 6" xfId="31555"/>
    <cellStyle name="Input [yellow] 4 80 7" xfId="31556"/>
    <cellStyle name="Input [yellow] 4 81" xfId="5764"/>
    <cellStyle name="Input [yellow] 4 81 2" xfId="31557"/>
    <cellStyle name="Input [yellow] 4 81 3" xfId="31558"/>
    <cellStyle name="Input [yellow] 4 81 4" xfId="31559"/>
    <cellStyle name="Input [yellow] 4 81 5" xfId="31560"/>
    <cellStyle name="Input [yellow] 4 81 6" xfId="31561"/>
    <cellStyle name="Input [yellow] 4 81 7" xfId="31562"/>
    <cellStyle name="Input [yellow] 4 82" xfId="5765"/>
    <cellStyle name="Input [yellow] 4 82 2" xfId="31563"/>
    <cellStyle name="Input [yellow] 4 82 3" xfId="31564"/>
    <cellStyle name="Input [yellow] 4 82 4" xfId="31565"/>
    <cellStyle name="Input [yellow] 4 82 5" xfId="31566"/>
    <cellStyle name="Input [yellow] 4 82 6" xfId="31567"/>
    <cellStyle name="Input [yellow] 4 82 7" xfId="31568"/>
    <cellStyle name="Input [yellow] 4 83" xfId="5766"/>
    <cellStyle name="Input [yellow] 4 83 2" xfId="31569"/>
    <cellStyle name="Input [yellow] 4 83 3" xfId="31570"/>
    <cellStyle name="Input [yellow] 4 83 4" xfId="31571"/>
    <cellStyle name="Input [yellow] 4 83 5" xfId="31572"/>
    <cellStyle name="Input [yellow] 4 83 6" xfId="31573"/>
    <cellStyle name="Input [yellow] 4 83 7" xfId="31574"/>
    <cellStyle name="Input [yellow] 4 84" xfId="5767"/>
    <cellStyle name="Input [yellow] 4 84 2" xfId="31575"/>
    <cellStyle name="Input [yellow] 4 84 3" xfId="31576"/>
    <cellStyle name="Input [yellow] 4 84 4" xfId="31577"/>
    <cellStyle name="Input [yellow] 4 84 5" xfId="31578"/>
    <cellStyle name="Input [yellow] 4 84 6" xfId="31579"/>
    <cellStyle name="Input [yellow] 4 84 7" xfId="31580"/>
    <cellStyle name="Input [yellow] 4 85" xfId="5768"/>
    <cellStyle name="Input [yellow] 4 85 2" xfId="31581"/>
    <cellStyle name="Input [yellow] 4 85 3" xfId="31582"/>
    <cellStyle name="Input [yellow] 4 85 4" xfId="31583"/>
    <cellStyle name="Input [yellow] 4 85 5" xfId="31584"/>
    <cellStyle name="Input [yellow] 4 85 6" xfId="31585"/>
    <cellStyle name="Input [yellow] 4 85 7" xfId="31586"/>
    <cellStyle name="Input [yellow] 4 86" xfId="5769"/>
    <cellStyle name="Input [yellow] 4 86 2" xfId="31587"/>
    <cellStyle name="Input [yellow] 4 86 3" xfId="31588"/>
    <cellStyle name="Input [yellow] 4 86 4" xfId="31589"/>
    <cellStyle name="Input [yellow] 4 86 5" xfId="31590"/>
    <cellStyle name="Input [yellow] 4 86 6" xfId="31591"/>
    <cellStyle name="Input [yellow] 4 86 7" xfId="31592"/>
    <cellStyle name="Input [yellow] 4 87" xfId="5770"/>
    <cellStyle name="Input [yellow] 4 87 2" xfId="31593"/>
    <cellStyle name="Input [yellow] 4 87 3" xfId="31594"/>
    <cellStyle name="Input [yellow] 4 87 4" xfId="31595"/>
    <cellStyle name="Input [yellow] 4 87 5" xfId="31596"/>
    <cellStyle name="Input [yellow] 4 87 6" xfId="31597"/>
    <cellStyle name="Input [yellow] 4 87 7" xfId="31598"/>
    <cellStyle name="Input [yellow] 4 88" xfId="5771"/>
    <cellStyle name="Input [yellow] 4 88 2" xfId="31599"/>
    <cellStyle name="Input [yellow] 4 88 3" xfId="31600"/>
    <cellStyle name="Input [yellow] 4 88 4" xfId="31601"/>
    <cellStyle name="Input [yellow] 4 88 5" xfId="31602"/>
    <cellStyle name="Input [yellow] 4 88 6" xfId="31603"/>
    <cellStyle name="Input [yellow] 4 88 7" xfId="31604"/>
    <cellStyle name="Input [yellow] 4 89" xfId="5772"/>
    <cellStyle name="Input [yellow] 4 89 2" xfId="31605"/>
    <cellStyle name="Input [yellow] 4 89 3" xfId="31606"/>
    <cellStyle name="Input [yellow] 4 89 4" xfId="31607"/>
    <cellStyle name="Input [yellow] 4 89 5" xfId="31608"/>
    <cellStyle name="Input [yellow] 4 89 6" xfId="31609"/>
    <cellStyle name="Input [yellow] 4 89 7" xfId="31610"/>
    <cellStyle name="Input [yellow] 4 9" xfId="5773"/>
    <cellStyle name="Input [yellow] 4 9 2" xfId="31611"/>
    <cellStyle name="Input [yellow] 4 9 3" xfId="31612"/>
    <cellStyle name="Input [yellow] 4 9 4" xfId="31613"/>
    <cellStyle name="Input [yellow] 4 9 5" xfId="31614"/>
    <cellStyle name="Input [yellow] 4 9 6" xfId="31615"/>
    <cellStyle name="Input [yellow] 4 9 7" xfId="31616"/>
    <cellStyle name="Input [yellow] 4 90" xfId="5774"/>
    <cellStyle name="Input [yellow] 4 90 2" xfId="31617"/>
    <cellStyle name="Input [yellow] 4 90 3" xfId="31618"/>
    <cellStyle name="Input [yellow] 4 90 4" xfId="31619"/>
    <cellStyle name="Input [yellow] 4 90 5" xfId="31620"/>
    <cellStyle name="Input [yellow] 4 90 6" xfId="31621"/>
    <cellStyle name="Input [yellow] 4 90 7" xfId="31622"/>
    <cellStyle name="Input [yellow] 4 91" xfId="5775"/>
    <cellStyle name="Input [yellow] 4 91 2" xfId="31623"/>
    <cellStyle name="Input [yellow] 4 91 3" xfId="31624"/>
    <cellStyle name="Input [yellow] 4 91 4" xfId="31625"/>
    <cellStyle name="Input [yellow] 4 91 5" xfId="31626"/>
    <cellStyle name="Input [yellow] 4 91 6" xfId="31627"/>
    <cellStyle name="Input [yellow] 4 91 7" xfId="31628"/>
    <cellStyle name="Input [yellow] 4 92" xfId="5776"/>
    <cellStyle name="Input [yellow] 4 92 2" xfId="31629"/>
    <cellStyle name="Input [yellow] 4 92 3" xfId="31630"/>
    <cellStyle name="Input [yellow] 4 92 4" xfId="31631"/>
    <cellStyle name="Input [yellow] 4 92 5" xfId="31632"/>
    <cellStyle name="Input [yellow] 4 92 6" xfId="31633"/>
    <cellStyle name="Input [yellow] 4 92 7" xfId="31634"/>
    <cellStyle name="Input [yellow] 4 93" xfId="5777"/>
    <cellStyle name="Input [yellow] 4 93 2" xfId="31635"/>
    <cellStyle name="Input [yellow] 4 93 3" xfId="31636"/>
    <cellStyle name="Input [yellow] 4 93 4" xfId="31637"/>
    <cellStyle name="Input [yellow] 4 93 5" xfId="31638"/>
    <cellStyle name="Input [yellow] 4 93 6" xfId="31639"/>
    <cellStyle name="Input [yellow] 4 94" xfId="31640"/>
    <cellStyle name="Input [yellow] 4 95" xfId="31641"/>
    <cellStyle name="Input [yellow] 4 96" xfId="31642"/>
    <cellStyle name="Input [yellow] 4 97" xfId="31643"/>
    <cellStyle name="Input [yellow] 4 98" xfId="31644"/>
    <cellStyle name="Input [yellow] 4 99" xfId="31645"/>
    <cellStyle name="Input [yellow] 40" xfId="5778"/>
    <cellStyle name="Input [yellow] 40 2" xfId="31646"/>
    <cellStyle name="Input [yellow] 40 3" xfId="31647"/>
    <cellStyle name="Input [yellow] 40 4" xfId="31648"/>
    <cellStyle name="Input [yellow] 40 5" xfId="31649"/>
    <cellStyle name="Input [yellow] 40 6" xfId="31650"/>
    <cellStyle name="Input [yellow] 40 7" xfId="31651"/>
    <cellStyle name="Input [yellow] 41" xfId="5779"/>
    <cellStyle name="Input [yellow] 41 2" xfId="31652"/>
    <cellStyle name="Input [yellow] 41 3" xfId="31653"/>
    <cellStyle name="Input [yellow] 41 4" xfId="31654"/>
    <cellStyle name="Input [yellow] 41 5" xfId="31655"/>
    <cellStyle name="Input [yellow] 41 6" xfId="31656"/>
    <cellStyle name="Input [yellow] 41 7" xfId="31657"/>
    <cellStyle name="Input [yellow] 42" xfId="5780"/>
    <cellStyle name="Input [yellow] 42 2" xfId="31658"/>
    <cellStyle name="Input [yellow] 42 3" xfId="31659"/>
    <cellStyle name="Input [yellow] 42 4" xfId="31660"/>
    <cellStyle name="Input [yellow] 42 5" xfId="31661"/>
    <cellStyle name="Input [yellow] 42 6" xfId="31662"/>
    <cellStyle name="Input [yellow] 42 7" xfId="31663"/>
    <cellStyle name="Input [yellow] 43" xfId="5781"/>
    <cellStyle name="Input [yellow] 43 2" xfId="31664"/>
    <cellStyle name="Input [yellow] 43 3" xfId="31665"/>
    <cellStyle name="Input [yellow] 43 4" xfId="31666"/>
    <cellStyle name="Input [yellow] 43 5" xfId="31667"/>
    <cellStyle name="Input [yellow] 43 6" xfId="31668"/>
    <cellStyle name="Input [yellow] 43 7" xfId="31669"/>
    <cellStyle name="Input [yellow] 44" xfId="5782"/>
    <cellStyle name="Input [yellow] 44 2" xfId="31670"/>
    <cellStyle name="Input [yellow] 44 3" xfId="31671"/>
    <cellStyle name="Input [yellow] 44 4" xfId="31672"/>
    <cellStyle name="Input [yellow] 44 5" xfId="31673"/>
    <cellStyle name="Input [yellow] 44 6" xfId="31674"/>
    <cellStyle name="Input [yellow] 44 7" xfId="31675"/>
    <cellStyle name="Input [yellow] 45" xfId="5783"/>
    <cellStyle name="Input [yellow] 45 2" xfId="31676"/>
    <cellStyle name="Input [yellow] 45 3" xfId="31677"/>
    <cellStyle name="Input [yellow] 45 4" xfId="31678"/>
    <cellStyle name="Input [yellow] 45 5" xfId="31679"/>
    <cellStyle name="Input [yellow] 45 6" xfId="31680"/>
    <cellStyle name="Input [yellow] 45 7" xfId="31681"/>
    <cellStyle name="Input [yellow] 46" xfId="5784"/>
    <cellStyle name="Input [yellow] 46 2" xfId="31682"/>
    <cellStyle name="Input [yellow] 46 3" xfId="31683"/>
    <cellStyle name="Input [yellow] 46 4" xfId="31684"/>
    <cellStyle name="Input [yellow] 46 5" xfId="31685"/>
    <cellStyle name="Input [yellow] 46 6" xfId="31686"/>
    <cellStyle name="Input [yellow] 46 7" xfId="31687"/>
    <cellStyle name="Input [yellow] 47" xfId="5785"/>
    <cellStyle name="Input [yellow] 47 2" xfId="31688"/>
    <cellStyle name="Input [yellow] 47 3" xfId="31689"/>
    <cellStyle name="Input [yellow] 47 4" xfId="31690"/>
    <cellStyle name="Input [yellow] 47 5" xfId="31691"/>
    <cellStyle name="Input [yellow] 47 6" xfId="31692"/>
    <cellStyle name="Input [yellow] 47 7" xfId="31693"/>
    <cellStyle name="Input [yellow] 48" xfId="5786"/>
    <cellStyle name="Input [yellow] 48 2" xfId="31694"/>
    <cellStyle name="Input [yellow] 48 3" xfId="31695"/>
    <cellStyle name="Input [yellow] 48 4" xfId="31696"/>
    <cellStyle name="Input [yellow] 48 5" xfId="31697"/>
    <cellStyle name="Input [yellow] 48 6" xfId="31698"/>
    <cellStyle name="Input [yellow] 48 7" xfId="31699"/>
    <cellStyle name="Input [yellow] 49" xfId="5787"/>
    <cellStyle name="Input [yellow] 49 2" xfId="31700"/>
    <cellStyle name="Input [yellow] 49 3" xfId="31701"/>
    <cellStyle name="Input [yellow] 49 4" xfId="31702"/>
    <cellStyle name="Input [yellow] 49 5" xfId="31703"/>
    <cellStyle name="Input [yellow] 49 6" xfId="31704"/>
    <cellStyle name="Input [yellow] 49 7" xfId="31705"/>
    <cellStyle name="Input [yellow] 5" xfId="5788"/>
    <cellStyle name="Input [yellow] 5 10" xfId="5789"/>
    <cellStyle name="Input [yellow] 5 10 2" xfId="31706"/>
    <cellStyle name="Input [yellow] 5 10 3" xfId="31707"/>
    <cellStyle name="Input [yellow] 5 10 4" xfId="31708"/>
    <cellStyle name="Input [yellow] 5 10 5" xfId="31709"/>
    <cellStyle name="Input [yellow] 5 10 6" xfId="31710"/>
    <cellStyle name="Input [yellow] 5 10 7" xfId="31711"/>
    <cellStyle name="Input [yellow] 5 100" xfId="31712"/>
    <cellStyle name="Input [yellow] 5 101" xfId="31713"/>
    <cellStyle name="Input [yellow] 5 102" xfId="31714"/>
    <cellStyle name="Input [yellow] 5 11" xfId="5790"/>
    <cellStyle name="Input [yellow] 5 11 2" xfId="31715"/>
    <cellStyle name="Input [yellow] 5 11 3" xfId="31716"/>
    <cellStyle name="Input [yellow] 5 11 4" xfId="31717"/>
    <cellStyle name="Input [yellow] 5 11 5" xfId="31718"/>
    <cellStyle name="Input [yellow] 5 11 6" xfId="31719"/>
    <cellStyle name="Input [yellow] 5 11 7" xfId="31720"/>
    <cellStyle name="Input [yellow] 5 12" xfId="5791"/>
    <cellStyle name="Input [yellow] 5 12 2" xfId="31721"/>
    <cellStyle name="Input [yellow] 5 12 3" xfId="31722"/>
    <cellStyle name="Input [yellow] 5 12 4" xfId="31723"/>
    <cellStyle name="Input [yellow] 5 12 5" xfId="31724"/>
    <cellStyle name="Input [yellow] 5 12 6" xfId="31725"/>
    <cellStyle name="Input [yellow] 5 12 7" xfId="31726"/>
    <cellStyle name="Input [yellow] 5 13" xfId="5792"/>
    <cellStyle name="Input [yellow] 5 13 2" xfId="31727"/>
    <cellStyle name="Input [yellow] 5 13 3" xfId="31728"/>
    <cellStyle name="Input [yellow] 5 13 4" xfId="31729"/>
    <cellStyle name="Input [yellow] 5 13 5" xfId="31730"/>
    <cellStyle name="Input [yellow] 5 13 6" xfId="31731"/>
    <cellStyle name="Input [yellow] 5 13 7" xfId="31732"/>
    <cellStyle name="Input [yellow] 5 14" xfId="5793"/>
    <cellStyle name="Input [yellow] 5 14 2" xfId="31733"/>
    <cellStyle name="Input [yellow] 5 14 3" xfId="31734"/>
    <cellStyle name="Input [yellow] 5 14 4" xfId="31735"/>
    <cellStyle name="Input [yellow] 5 14 5" xfId="31736"/>
    <cellStyle name="Input [yellow] 5 14 6" xfId="31737"/>
    <cellStyle name="Input [yellow] 5 14 7" xfId="31738"/>
    <cellStyle name="Input [yellow] 5 15" xfId="5794"/>
    <cellStyle name="Input [yellow] 5 15 2" xfId="31739"/>
    <cellStyle name="Input [yellow] 5 15 3" xfId="31740"/>
    <cellStyle name="Input [yellow] 5 15 4" xfId="31741"/>
    <cellStyle name="Input [yellow] 5 15 5" xfId="31742"/>
    <cellStyle name="Input [yellow] 5 15 6" xfId="31743"/>
    <cellStyle name="Input [yellow] 5 15 7" xfId="31744"/>
    <cellStyle name="Input [yellow] 5 16" xfId="5795"/>
    <cellStyle name="Input [yellow] 5 16 2" xfId="31745"/>
    <cellStyle name="Input [yellow] 5 16 3" xfId="31746"/>
    <cellStyle name="Input [yellow] 5 16 4" xfId="31747"/>
    <cellStyle name="Input [yellow] 5 16 5" xfId="31748"/>
    <cellStyle name="Input [yellow] 5 16 6" xfId="31749"/>
    <cellStyle name="Input [yellow] 5 16 7" xfId="31750"/>
    <cellStyle name="Input [yellow] 5 17" xfId="5796"/>
    <cellStyle name="Input [yellow] 5 17 2" xfId="31751"/>
    <cellStyle name="Input [yellow] 5 17 3" xfId="31752"/>
    <cellStyle name="Input [yellow] 5 17 4" xfId="31753"/>
    <cellStyle name="Input [yellow] 5 17 5" xfId="31754"/>
    <cellStyle name="Input [yellow] 5 17 6" xfId="31755"/>
    <cellStyle name="Input [yellow] 5 17 7" xfId="31756"/>
    <cellStyle name="Input [yellow] 5 18" xfId="5797"/>
    <cellStyle name="Input [yellow] 5 18 2" xfId="31757"/>
    <cellStyle name="Input [yellow] 5 18 3" xfId="31758"/>
    <cellStyle name="Input [yellow] 5 18 4" xfId="31759"/>
    <cellStyle name="Input [yellow] 5 18 5" xfId="31760"/>
    <cellStyle name="Input [yellow] 5 18 6" xfId="31761"/>
    <cellStyle name="Input [yellow] 5 18 7" xfId="31762"/>
    <cellStyle name="Input [yellow] 5 19" xfId="5798"/>
    <cellStyle name="Input [yellow] 5 19 2" xfId="31763"/>
    <cellStyle name="Input [yellow] 5 19 3" xfId="31764"/>
    <cellStyle name="Input [yellow] 5 19 4" xfId="31765"/>
    <cellStyle name="Input [yellow] 5 19 5" xfId="31766"/>
    <cellStyle name="Input [yellow] 5 19 6" xfId="31767"/>
    <cellStyle name="Input [yellow] 5 19 7" xfId="31768"/>
    <cellStyle name="Input [yellow] 5 2" xfId="5799"/>
    <cellStyle name="Input [yellow] 5 2 10" xfId="31769"/>
    <cellStyle name="Input [yellow] 5 2 11" xfId="31770"/>
    <cellStyle name="Input [yellow] 5 2 2" xfId="31771"/>
    <cellStyle name="Input [yellow] 5 2 3" xfId="31772"/>
    <cellStyle name="Input [yellow] 5 2 4" xfId="31773"/>
    <cellStyle name="Input [yellow] 5 2 5" xfId="31774"/>
    <cellStyle name="Input [yellow] 5 2 6" xfId="31775"/>
    <cellStyle name="Input [yellow] 5 2 7" xfId="31776"/>
    <cellStyle name="Input [yellow] 5 2 8" xfId="31777"/>
    <cellStyle name="Input [yellow] 5 2 9" xfId="31778"/>
    <cellStyle name="Input [yellow] 5 20" xfId="5800"/>
    <cellStyle name="Input [yellow] 5 20 2" xfId="31779"/>
    <cellStyle name="Input [yellow] 5 20 3" xfId="31780"/>
    <cellStyle name="Input [yellow] 5 20 4" xfId="31781"/>
    <cellStyle name="Input [yellow] 5 20 5" xfId="31782"/>
    <cellStyle name="Input [yellow] 5 20 6" xfId="31783"/>
    <cellStyle name="Input [yellow] 5 20 7" xfId="31784"/>
    <cellStyle name="Input [yellow] 5 21" xfId="5801"/>
    <cellStyle name="Input [yellow] 5 21 2" xfId="31785"/>
    <cellStyle name="Input [yellow] 5 21 3" xfId="31786"/>
    <cellStyle name="Input [yellow] 5 21 4" xfId="31787"/>
    <cellStyle name="Input [yellow] 5 21 5" xfId="31788"/>
    <cellStyle name="Input [yellow] 5 21 6" xfId="31789"/>
    <cellStyle name="Input [yellow] 5 21 7" xfId="31790"/>
    <cellStyle name="Input [yellow] 5 22" xfId="5802"/>
    <cellStyle name="Input [yellow] 5 22 2" xfId="31791"/>
    <cellStyle name="Input [yellow] 5 22 3" xfId="31792"/>
    <cellStyle name="Input [yellow] 5 22 4" xfId="31793"/>
    <cellStyle name="Input [yellow] 5 22 5" xfId="31794"/>
    <cellStyle name="Input [yellow] 5 22 6" xfId="31795"/>
    <cellStyle name="Input [yellow] 5 22 7" xfId="31796"/>
    <cellStyle name="Input [yellow] 5 23" xfId="5803"/>
    <cellStyle name="Input [yellow] 5 23 2" xfId="31797"/>
    <cellStyle name="Input [yellow] 5 23 3" xfId="31798"/>
    <cellStyle name="Input [yellow] 5 23 4" xfId="31799"/>
    <cellStyle name="Input [yellow] 5 23 5" xfId="31800"/>
    <cellStyle name="Input [yellow] 5 23 6" xfId="31801"/>
    <cellStyle name="Input [yellow] 5 23 7" xfId="31802"/>
    <cellStyle name="Input [yellow] 5 24" xfId="5804"/>
    <cellStyle name="Input [yellow] 5 24 2" xfId="31803"/>
    <cellStyle name="Input [yellow] 5 24 3" xfId="31804"/>
    <cellStyle name="Input [yellow] 5 24 4" xfId="31805"/>
    <cellStyle name="Input [yellow] 5 24 5" xfId="31806"/>
    <cellStyle name="Input [yellow] 5 24 6" xfId="31807"/>
    <cellStyle name="Input [yellow] 5 24 7" xfId="31808"/>
    <cellStyle name="Input [yellow] 5 25" xfId="5805"/>
    <cellStyle name="Input [yellow] 5 25 2" xfId="31809"/>
    <cellStyle name="Input [yellow] 5 25 3" xfId="31810"/>
    <cellStyle name="Input [yellow] 5 25 4" xfId="31811"/>
    <cellStyle name="Input [yellow] 5 25 5" xfId="31812"/>
    <cellStyle name="Input [yellow] 5 25 6" xfId="31813"/>
    <cellStyle name="Input [yellow] 5 25 7" xfId="31814"/>
    <cellStyle name="Input [yellow] 5 26" xfId="5806"/>
    <cellStyle name="Input [yellow] 5 26 2" xfId="31815"/>
    <cellStyle name="Input [yellow] 5 26 3" xfId="31816"/>
    <cellStyle name="Input [yellow] 5 26 4" xfId="31817"/>
    <cellStyle name="Input [yellow] 5 26 5" xfId="31818"/>
    <cellStyle name="Input [yellow] 5 26 6" xfId="31819"/>
    <cellStyle name="Input [yellow] 5 26 7" xfId="31820"/>
    <cellStyle name="Input [yellow] 5 27" xfId="5807"/>
    <cellStyle name="Input [yellow] 5 27 2" xfId="31821"/>
    <cellStyle name="Input [yellow] 5 27 3" xfId="31822"/>
    <cellStyle name="Input [yellow] 5 27 4" xfId="31823"/>
    <cellStyle name="Input [yellow] 5 27 5" xfId="31824"/>
    <cellStyle name="Input [yellow] 5 27 6" xfId="31825"/>
    <cellStyle name="Input [yellow] 5 27 7" xfId="31826"/>
    <cellStyle name="Input [yellow] 5 28" xfId="5808"/>
    <cellStyle name="Input [yellow] 5 28 2" xfId="31827"/>
    <cellStyle name="Input [yellow] 5 28 3" xfId="31828"/>
    <cellStyle name="Input [yellow] 5 28 4" xfId="31829"/>
    <cellStyle name="Input [yellow] 5 28 5" xfId="31830"/>
    <cellStyle name="Input [yellow] 5 28 6" xfId="31831"/>
    <cellStyle name="Input [yellow] 5 28 7" xfId="31832"/>
    <cellStyle name="Input [yellow] 5 29" xfId="5809"/>
    <cellStyle name="Input [yellow] 5 29 2" xfId="31833"/>
    <cellStyle name="Input [yellow] 5 29 3" xfId="31834"/>
    <cellStyle name="Input [yellow] 5 29 4" xfId="31835"/>
    <cellStyle name="Input [yellow] 5 29 5" xfId="31836"/>
    <cellStyle name="Input [yellow] 5 29 6" xfId="31837"/>
    <cellStyle name="Input [yellow] 5 29 7" xfId="31838"/>
    <cellStyle name="Input [yellow] 5 3" xfId="5810"/>
    <cellStyle name="Input [yellow] 5 3 10" xfId="31839"/>
    <cellStyle name="Input [yellow] 5 3 2" xfId="31840"/>
    <cellStyle name="Input [yellow] 5 3 3" xfId="31841"/>
    <cellStyle name="Input [yellow] 5 3 4" xfId="31842"/>
    <cellStyle name="Input [yellow] 5 3 5" xfId="31843"/>
    <cellStyle name="Input [yellow] 5 3 6" xfId="31844"/>
    <cellStyle name="Input [yellow] 5 3 7" xfId="31845"/>
    <cellStyle name="Input [yellow] 5 3 8" xfId="31846"/>
    <cellStyle name="Input [yellow] 5 3 9" xfId="31847"/>
    <cellStyle name="Input [yellow] 5 30" xfId="5811"/>
    <cellStyle name="Input [yellow] 5 30 2" xfId="31848"/>
    <cellStyle name="Input [yellow] 5 30 3" xfId="31849"/>
    <cellStyle name="Input [yellow] 5 30 4" xfId="31850"/>
    <cellStyle name="Input [yellow] 5 30 5" xfId="31851"/>
    <cellStyle name="Input [yellow] 5 30 6" xfId="31852"/>
    <cellStyle name="Input [yellow] 5 30 7" xfId="31853"/>
    <cellStyle name="Input [yellow] 5 31" xfId="5812"/>
    <cellStyle name="Input [yellow] 5 31 2" xfId="31854"/>
    <cellStyle name="Input [yellow] 5 31 3" xfId="31855"/>
    <cellStyle name="Input [yellow] 5 31 4" xfId="31856"/>
    <cellStyle name="Input [yellow] 5 31 5" xfId="31857"/>
    <cellStyle name="Input [yellow] 5 31 6" xfId="31858"/>
    <cellStyle name="Input [yellow] 5 31 7" xfId="31859"/>
    <cellStyle name="Input [yellow] 5 32" xfId="5813"/>
    <cellStyle name="Input [yellow] 5 32 2" xfId="31860"/>
    <cellStyle name="Input [yellow] 5 32 3" xfId="31861"/>
    <cellStyle name="Input [yellow] 5 32 4" xfId="31862"/>
    <cellStyle name="Input [yellow] 5 32 5" xfId="31863"/>
    <cellStyle name="Input [yellow] 5 32 6" xfId="31864"/>
    <cellStyle name="Input [yellow] 5 32 7" xfId="31865"/>
    <cellStyle name="Input [yellow] 5 33" xfId="5814"/>
    <cellStyle name="Input [yellow] 5 33 2" xfId="31866"/>
    <cellStyle name="Input [yellow] 5 33 3" xfId="31867"/>
    <cellStyle name="Input [yellow] 5 33 4" xfId="31868"/>
    <cellStyle name="Input [yellow] 5 33 5" xfId="31869"/>
    <cellStyle name="Input [yellow] 5 33 6" xfId="31870"/>
    <cellStyle name="Input [yellow] 5 33 7" xfId="31871"/>
    <cellStyle name="Input [yellow] 5 34" xfId="5815"/>
    <cellStyle name="Input [yellow] 5 34 2" xfId="31872"/>
    <cellStyle name="Input [yellow] 5 34 3" xfId="31873"/>
    <cellStyle name="Input [yellow] 5 34 4" xfId="31874"/>
    <cellStyle name="Input [yellow] 5 34 5" xfId="31875"/>
    <cellStyle name="Input [yellow] 5 34 6" xfId="31876"/>
    <cellStyle name="Input [yellow] 5 34 7" xfId="31877"/>
    <cellStyle name="Input [yellow] 5 35" xfId="5816"/>
    <cellStyle name="Input [yellow] 5 35 2" xfId="31878"/>
    <cellStyle name="Input [yellow] 5 35 3" xfId="31879"/>
    <cellStyle name="Input [yellow] 5 35 4" xfId="31880"/>
    <cellStyle name="Input [yellow] 5 35 5" xfId="31881"/>
    <cellStyle name="Input [yellow] 5 35 6" xfId="31882"/>
    <cellStyle name="Input [yellow] 5 35 7" xfId="31883"/>
    <cellStyle name="Input [yellow] 5 36" xfId="5817"/>
    <cellStyle name="Input [yellow] 5 36 2" xfId="31884"/>
    <cellStyle name="Input [yellow] 5 36 3" xfId="31885"/>
    <cellStyle name="Input [yellow] 5 36 4" xfId="31886"/>
    <cellStyle name="Input [yellow] 5 36 5" xfId="31887"/>
    <cellStyle name="Input [yellow] 5 36 6" xfId="31888"/>
    <cellStyle name="Input [yellow] 5 36 7" xfId="31889"/>
    <cellStyle name="Input [yellow] 5 37" xfId="5818"/>
    <cellStyle name="Input [yellow] 5 37 2" xfId="31890"/>
    <cellStyle name="Input [yellow] 5 37 3" xfId="31891"/>
    <cellStyle name="Input [yellow] 5 37 4" xfId="31892"/>
    <cellStyle name="Input [yellow] 5 37 5" xfId="31893"/>
    <cellStyle name="Input [yellow] 5 37 6" xfId="31894"/>
    <cellStyle name="Input [yellow] 5 37 7" xfId="31895"/>
    <cellStyle name="Input [yellow] 5 38" xfId="5819"/>
    <cellStyle name="Input [yellow] 5 38 2" xfId="31896"/>
    <cellStyle name="Input [yellow] 5 38 3" xfId="31897"/>
    <cellStyle name="Input [yellow] 5 38 4" xfId="31898"/>
    <cellStyle name="Input [yellow] 5 38 5" xfId="31899"/>
    <cellStyle name="Input [yellow] 5 38 6" xfId="31900"/>
    <cellStyle name="Input [yellow] 5 38 7" xfId="31901"/>
    <cellStyle name="Input [yellow] 5 39" xfId="5820"/>
    <cellStyle name="Input [yellow] 5 39 2" xfId="31902"/>
    <cellStyle name="Input [yellow] 5 39 3" xfId="31903"/>
    <cellStyle name="Input [yellow] 5 39 4" xfId="31904"/>
    <cellStyle name="Input [yellow] 5 39 5" xfId="31905"/>
    <cellStyle name="Input [yellow] 5 39 6" xfId="31906"/>
    <cellStyle name="Input [yellow] 5 39 7" xfId="31907"/>
    <cellStyle name="Input [yellow] 5 4" xfId="5821"/>
    <cellStyle name="Input [yellow] 5 4 10" xfId="31908"/>
    <cellStyle name="Input [yellow] 5 4 2" xfId="31909"/>
    <cellStyle name="Input [yellow] 5 4 3" xfId="31910"/>
    <cellStyle name="Input [yellow] 5 4 4" xfId="31911"/>
    <cellStyle name="Input [yellow] 5 4 5" xfId="31912"/>
    <cellStyle name="Input [yellow] 5 4 6" xfId="31913"/>
    <cellStyle name="Input [yellow] 5 4 7" xfId="31914"/>
    <cellStyle name="Input [yellow] 5 4 8" xfId="31915"/>
    <cellStyle name="Input [yellow] 5 4 9" xfId="31916"/>
    <cellStyle name="Input [yellow] 5 40" xfId="5822"/>
    <cellStyle name="Input [yellow] 5 40 2" xfId="31917"/>
    <cellStyle name="Input [yellow] 5 40 3" xfId="31918"/>
    <cellStyle name="Input [yellow] 5 40 4" xfId="31919"/>
    <cellStyle name="Input [yellow] 5 40 5" xfId="31920"/>
    <cellStyle name="Input [yellow] 5 40 6" xfId="31921"/>
    <cellStyle name="Input [yellow] 5 40 7" xfId="31922"/>
    <cellStyle name="Input [yellow] 5 41" xfId="5823"/>
    <cellStyle name="Input [yellow] 5 41 2" xfId="31923"/>
    <cellStyle name="Input [yellow] 5 41 3" xfId="31924"/>
    <cellStyle name="Input [yellow] 5 41 4" xfId="31925"/>
    <cellStyle name="Input [yellow] 5 41 5" xfId="31926"/>
    <cellStyle name="Input [yellow] 5 41 6" xfId="31927"/>
    <cellStyle name="Input [yellow] 5 41 7" xfId="31928"/>
    <cellStyle name="Input [yellow] 5 42" xfId="5824"/>
    <cellStyle name="Input [yellow] 5 42 2" xfId="31929"/>
    <cellStyle name="Input [yellow] 5 42 3" xfId="31930"/>
    <cellStyle name="Input [yellow] 5 42 4" xfId="31931"/>
    <cellStyle name="Input [yellow] 5 42 5" xfId="31932"/>
    <cellStyle name="Input [yellow] 5 42 6" xfId="31933"/>
    <cellStyle name="Input [yellow] 5 42 7" xfId="31934"/>
    <cellStyle name="Input [yellow] 5 43" xfId="5825"/>
    <cellStyle name="Input [yellow] 5 43 2" xfId="31935"/>
    <cellStyle name="Input [yellow] 5 43 3" xfId="31936"/>
    <cellStyle name="Input [yellow] 5 43 4" xfId="31937"/>
    <cellStyle name="Input [yellow] 5 43 5" xfId="31938"/>
    <cellStyle name="Input [yellow] 5 43 6" xfId="31939"/>
    <cellStyle name="Input [yellow] 5 43 7" xfId="31940"/>
    <cellStyle name="Input [yellow] 5 44" xfId="5826"/>
    <cellStyle name="Input [yellow] 5 44 2" xfId="31941"/>
    <cellStyle name="Input [yellow] 5 44 3" xfId="31942"/>
    <cellStyle name="Input [yellow] 5 44 4" xfId="31943"/>
    <cellStyle name="Input [yellow] 5 44 5" xfId="31944"/>
    <cellStyle name="Input [yellow] 5 44 6" xfId="31945"/>
    <cellStyle name="Input [yellow] 5 44 7" xfId="31946"/>
    <cellStyle name="Input [yellow] 5 45" xfId="5827"/>
    <cellStyle name="Input [yellow] 5 45 2" xfId="31947"/>
    <cellStyle name="Input [yellow] 5 45 3" xfId="31948"/>
    <cellStyle name="Input [yellow] 5 45 4" xfId="31949"/>
    <cellStyle name="Input [yellow] 5 45 5" xfId="31950"/>
    <cellStyle name="Input [yellow] 5 45 6" xfId="31951"/>
    <cellStyle name="Input [yellow] 5 45 7" xfId="31952"/>
    <cellStyle name="Input [yellow] 5 46" xfId="5828"/>
    <cellStyle name="Input [yellow] 5 46 2" xfId="31953"/>
    <cellStyle name="Input [yellow] 5 46 3" xfId="31954"/>
    <cellStyle name="Input [yellow] 5 46 4" xfId="31955"/>
    <cellStyle name="Input [yellow] 5 46 5" xfId="31956"/>
    <cellStyle name="Input [yellow] 5 46 6" xfId="31957"/>
    <cellStyle name="Input [yellow] 5 46 7" xfId="31958"/>
    <cellStyle name="Input [yellow] 5 47" xfId="5829"/>
    <cellStyle name="Input [yellow] 5 47 2" xfId="31959"/>
    <cellStyle name="Input [yellow] 5 47 3" xfId="31960"/>
    <cellStyle name="Input [yellow] 5 47 4" xfId="31961"/>
    <cellStyle name="Input [yellow] 5 47 5" xfId="31962"/>
    <cellStyle name="Input [yellow] 5 47 6" xfId="31963"/>
    <cellStyle name="Input [yellow] 5 47 7" xfId="31964"/>
    <cellStyle name="Input [yellow] 5 48" xfId="5830"/>
    <cellStyle name="Input [yellow] 5 48 2" xfId="31965"/>
    <cellStyle name="Input [yellow] 5 48 3" xfId="31966"/>
    <cellStyle name="Input [yellow] 5 48 4" xfId="31967"/>
    <cellStyle name="Input [yellow] 5 48 5" xfId="31968"/>
    <cellStyle name="Input [yellow] 5 48 6" xfId="31969"/>
    <cellStyle name="Input [yellow] 5 48 7" xfId="31970"/>
    <cellStyle name="Input [yellow] 5 49" xfId="5831"/>
    <cellStyle name="Input [yellow] 5 49 2" xfId="31971"/>
    <cellStyle name="Input [yellow] 5 49 3" xfId="31972"/>
    <cellStyle name="Input [yellow] 5 49 4" xfId="31973"/>
    <cellStyle name="Input [yellow] 5 49 5" xfId="31974"/>
    <cellStyle name="Input [yellow] 5 49 6" xfId="31975"/>
    <cellStyle name="Input [yellow] 5 49 7" xfId="31976"/>
    <cellStyle name="Input [yellow] 5 5" xfId="5832"/>
    <cellStyle name="Input [yellow] 5 5 2" xfId="31977"/>
    <cellStyle name="Input [yellow] 5 5 3" xfId="31978"/>
    <cellStyle name="Input [yellow] 5 5 4" xfId="31979"/>
    <cellStyle name="Input [yellow] 5 5 5" xfId="31980"/>
    <cellStyle name="Input [yellow] 5 5 6" xfId="31981"/>
    <cellStyle name="Input [yellow] 5 5 7" xfId="31982"/>
    <cellStyle name="Input [yellow] 5 50" xfId="5833"/>
    <cellStyle name="Input [yellow] 5 50 2" xfId="31983"/>
    <cellStyle name="Input [yellow] 5 50 3" xfId="31984"/>
    <cellStyle name="Input [yellow] 5 50 4" xfId="31985"/>
    <cellStyle name="Input [yellow] 5 50 5" xfId="31986"/>
    <cellStyle name="Input [yellow] 5 50 6" xfId="31987"/>
    <cellStyle name="Input [yellow] 5 50 7" xfId="31988"/>
    <cellStyle name="Input [yellow] 5 51" xfId="5834"/>
    <cellStyle name="Input [yellow] 5 51 2" xfId="31989"/>
    <cellStyle name="Input [yellow] 5 51 3" xfId="31990"/>
    <cellStyle name="Input [yellow] 5 51 4" xfId="31991"/>
    <cellStyle name="Input [yellow] 5 51 5" xfId="31992"/>
    <cellStyle name="Input [yellow] 5 51 6" xfId="31993"/>
    <cellStyle name="Input [yellow] 5 51 7" xfId="31994"/>
    <cellStyle name="Input [yellow] 5 52" xfId="5835"/>
    <cellStyle name="Input [yellow] 5 52 2" xfId="31995"/>
    <cellStyle name="Input [yellow] 5 52 3" xfId="31996"/>
    <cellStyle name="Input [yellow] 5 52 4" xfId="31997"/>
    <cellStyle name="Input [yellow] 5 52 5" xfId="31998"/>
    <cellStyle name="Input [yellow] 5 52 6" xfId="31999"/>
    <cellStyle name="Input [yellow] 5 52 7" xfId="32000"/>
    <cellStyle name="Input [yellow] 5 53" xfId="5836"/>
    <cellStyle name="Input [yellow] 5 53 2" xfId="32001"/>
    <cellStyle name="Input [yellow] 5 53 3" xfId="32002"/>
    <cellStyle name="Input [yellow] 5 53 4" xfId="32003"/>
    <cellStyle name="Input [yellow] 5 53 5" xfId="32004"/>
    <cellStyle name="Input [yellow] 5 53 6" xfId="32005"/>
    <cellStyle name="Input [yellow] 5 53 7" xfId="32006"/>
    <cellStyle name="Input [yellow] 5 54" xfId="5837"/>
    <cellStyle name="Input [yellow] 5 54 2" xfId="32007"/>
    <cellStyle name="Input [yellow] 5 54 3" xfId="32008"/>
    <cellStyle name="Input [yellow] 5 54 4" xfId="32009"/>
    <cellStyle name="Input [yellow] 5 54 5" xfId="32010"/>
    <cellStyle name="Input [yellow] 5 54 6" xfId="32011"/>
    <cellStyle name="Input [yellow] 5 54 7" xfId="32012"/>
    <cellStyle name="Input [yellow] 5 55" xfId="5838"/>
    <cellStyle name="Input [yellow] 5 55 2" xfId="32013"/>
    <cellStyle name="Input [yellow] 5 55 3" xfId="32014"/>
    <cellStyle name="Input [yellow] 5 55 4" xfId="32015"/>
    <cellStyle name="Input [yellow] 5 55 5" xfId="32016"/>
    <cellStyle name="Input [yellow] 5 55 6" xfId="32017"/>
    <cellStyle name="Input [yellow] 5 55 7" xfId="32018"/>
    <cellStyle name="Input [yellow] 5 56" xfId="5839"/>
    <cellStyle name="Input [yellow] 5 56 2" xfId="32019"/>
    <cellStyle name="Input [yellow] 5 56 3" xfId="32020"/>
    <cellStyle name="Input [yellow] 5 56 4" xfId="32021"/>
    <cellStyle name="Input [yellow] 5 56 5" xfId="32022"/>
    <cellStyle name="Input [yellow] 5 56 6" xfId="32023"/>
    <cellStyle name="Input [yellow] 5 56 7" xfId="32024"/>
    <cellStyle name="Input [yellow] 5 57" xfId="5840"/>
    <cellStyle name="Input [yellow] 5 57 2" xfId="32025"/>
    <cellStyle name="Input [yellow] 5 57 3" xfId="32026"/>
    <cellStyle name="Input [yellow] 5 57 4" xfId="32027"/>
    <cellStyle name="Input [yellow] 5 57 5" xfId="32028"/>
    <cellStyle name="Input [yellow] 5 57 6" xfId="32029"/>
    <cellStyle name="Input [yellow] 5 57 7" xfId="32030"/>
    <cellStyle name="Input [yellow] 5 58" xfId="5841"/>
    <cellStyle name="Input [yellow] 5 58 2" xfId="32031"/>
    <cellStyle name="Input [yellow] 5 58 3" xfId="32032"/>
    <cellStyle name="Input [yellow] 5 58 4" xfId="32033"/>
    <cellStyle name="Input [yellow] 5 58 5" xfId="32034"/>
    <cellStyle name="Input [yellow] 5 58 6" xfId="32035"/>
    <cellStyle name="Input [yellow] 5 58 7" xfId="32036"/>
    <cellStyle name="Input [yellow] 5 59" xfId="5842"/>
    <cellStyle name="Input [yellow] 5 59 2" xfId="32037"/>
    <cellStyle name="Input [yellow] 5 59 3" xfId="32038"/>
    <cellStyle name="Input [yellow] 5 59 4" xfId="32039"/>
    <cellStyle name="Input [yellow] 5 59 5" xfId="32040"/>
    <cellStyle name="Input [yellow] 5 59 6" xfId="32041"/>
    <cellStyle name="Input [yellow] 5 59 7" xfId="32042"/>
    <cellStyle name="Input [yellow] 5 6" xfId="5843"/>
    <cellStyle name="Input [yellow] 5 6 2" xfId="32043"/>
    <cellStyle name="Input [yellow] 5 6 3" xfId="32044"/>
    <cellStyle name="Input [yellow] 5 6 4" xfId="32045"/>
    <cellStyle name="Input [yellow] 5 6 5" xfId="32046"/>
    <cellStyle name="Input [yellow] 5 6 6" xfId="32047"/>
    <cellStyle name="Input [yellow] 5 6 7" xfId="32048"/>
    <cellStyle name="Input [yellow] 5 60" xfId="5844"/>
    <cellStyle name="Input [yellow] 5 60 2" xfId="32049"/>
    <cellStyle name="Input [yellow] 5 60 3" xfId="32050"/>
    <cellStyle name="Input [yellow] 5 60 4" xfId="32051"/>
    <cellStyle name="Input [yellow] 5 60 5" xfId="32052"/>
    <cellStyle name="Input [yellow] 5 60 6" xfId="32053"/>
    <cellStyle name="Input [yellow] 5 60 7" xfId="32054"/>
    <cellStyle name="Input [yellow] 5 61" xfId="5845"/>
    <cellStyle name="Input [yellow] 5 61 2" xfId="32055"/>
    <cellStyle name="Input [yellow] 5 61 3" xfId="32056"/>
    <cellStyle name="Input [yellow] 5 61 4" xfId="32057"/>
    <cellStyle name="Input [yellow] 5 61 5" xfId="32058"/>
    <cellStyle name="Input [yellow] 5 61 6" xfId="32059"/>
    <cellStyle name="Input [yellow] 5 61 7" xfId="32060"/>
    <cellStyle name="Input [yellow] 5 62" xfId="5846"/>
    <cellStyle name="Input [yellow] 5 62 2" xfId="32061"/>
    <cellStyle name="Input [yellow] 5 62 3" xfId="32062"/>
    <cellStyle name="Input [yellow] 5 62 4" xfId="32063"/>
    <cellStyle name="Input [yellow] 5 62 5" xfId="32064"/>
    <cellStyle name="Input [yellow] 5 62 6" xfId="32065"/>
    <cellStyle name="Input [yellow] 5 62 7" xfId="32066"/>
    <cellStyle name="Input [yellow] 5 63" xfId="5847"/>
    <cellStyle name="Input [yellow] 5 63 2" xfId="32067"/>
    <cellStyle name="Input [yellow] 5 63 3" xfId="32068"/>
    <cellStyle name="Input [yellow] 5 63 4" xfId="32069"/>
    <cellStyle name="Input [yellow] 5 63 5" xfId="32070"/>
    <cellStyle name="Input [yellow] 5 63 6" xfId="32071"/>
    <cellStyle name="Input [yellow] 5 63 7" xfId="32072"/>
    <cellStyle name="Input [yellow] 5 64" xfId="5848"/>
    <cellStyle name="Input [yellow] 5 64 2" xfId="32073"/>
    <cellStyle name="Input [yellow] 5 64 3" xfId="32074"/>
    <cellStyle name="Input [yellow] 5 64 4" xfId="32075"/>
    <cellStyle name="Input [yellow] 5 64 5" xfId="32076"/>
    <cellStyle name="Input [yellow] 5 64 6" xfId="32077"/>
    <cellStyle name="Input [yellow] 5 64 7" xfId="32078"/>
    <cellStyle name="Input [yellow] 5 65" xfId="5849"/>
    <cellStyle name="Input [yellow] 5 65 2" xfId="32079"/>
    <cellStyle name="Input [yellow] 5 65 3" xfId="32080"/>
    <cellStyle name="Input [yellow] 5 65 4" xfId="32081"/>
    <cellStyle name="Input [yellow] 5 65 5" xfId="32082"/>
    <cellStyle name="Input [yellow] 5 65 6" xfId="32083"/>
    <cellStyle name="Input [yellow] 5 65 7" xfId="32084"/>
    <cellStyle name="Input [yellow] 5 66" xfId="5850"/>
    <cellStyle name="Input [yellow] 5 66 2" xfId="32085"/>
    <cellStyle name="Input [yellow] 5 66 3" xfId="32086"/>
    <cellStyle name="Input [yellow] 5 66 4" xfId="32087"/>
    <cellStyle name="Input [yellow] 5 66 5" xfId="32088"/>
    <cellStyle name="Input [yellow] 5 66 6" xfId="32089"/>
    <cellStyle name="Input [yellow] 5 66 7" xfId="32090"/>
    <cellStyle name="Input [yellow] 5 67" xfId="5851"/>
    <cellStyle name="Input [yellow] 5 67 2" xfId="32091"/>
    <cellStyle name="Input [yellow] 5 67 3" xfId="32092"/>
    <cellStyle name="Input [yellow] 5 67 4" xfId="32093"/>
    <cellStyle name="Input [yellow] 5 67 5" xfId="32094"/>
    <cellStyle name="Input [yellow] 5 67 6" xfId="32095"/>
    <cellStyle name="Input [yellow] 5 67 7" xfId="32096"/>
    <cellStyle name="Input [yellow] 5 68" xfId="5852"/>
    <cellStyle name="Input [yellow] 5 68 2" xfId="32097"/>
    <cellStyle name="Input [yellow] 5 68 3" xfId="32098"/>
    <cellStyle name="Input [yellow] 5 68 4" xfId="32099"/>
    <cellStyle name="Input [yellow] 5 68 5" xfId="32100"/>
    <cellStyle name="Input [yellow] 5 68 6" xfId="32101"/>
    <cellStyle name="Input [yellow] 5 68 7" xfId="32102"/>
    <cellStyle name="Input [yellow] 5 69" xfId="5853"/>
    <cellStyle name="Input [yellow] 5 69 2" xfId="32103"/>
    <cellStyle name="Input [yellow] 5 69 3" xfId="32104"/>
    <cellStyle name="Input [yellow] 5 69 4" xfId="32105"/>
    <cellStyle name="Input [yellow] 5 69 5" xfId="32106"/>
    <cellStyle name="Input [yellow] 5 69 6" xfId="32107"/>
    <cellStyle name="Input [yellow] 5 69 7" xfId="32108"/>
    <cellStyle name="Input [yellow] 5 7" xfId="5854"/>
    <cellStyle name="Input [yellow] 5 7 2" xfId="32109"/>
    <cellStyle name="Input [yellow] 5 7 3" xfId="32110"/>
    <cellStyle name="Input [yellow] 5 7 4" xfId="32111"/>
    <cellStyle name="Input [yellow] 5 7 5" xfId="32112"/>
    <cellStyle name="Input [yellow] 5 7 6" xfId="32113"/>
    <cellStyle name="Input [yellow] 5 7 7" xfId="32114"/>
    <cellStyle name="Input [yellow] 5 70" xfId="5855"/>
    <cellStyle name="Input [yellow] 5 70 2" xfId="32115"/>
    <cellStyle name="Input [yellow] 5 70 3" xfId="32116"/>
    <cellStyle name="Input [yellow] 5 70 4" xfId="32117"/>
    <cellStyle name="Input [yellow] 5 70 5" xfId="32118"/>
    <cellStyle name="Input [yellow] 5 70 6" xfId="32119"/>
    <cellStyle name="Input [yellow] 5 70 7" xfId="32120"/>
    <cellStyle name="Input [yellow] 5 71" xfId="5856"/>
    <cellStyle name="Input [yellow] 5 71 2" xfId="32121"/>
    <cellStyle name="Input [yellow] 5 71 3" xfId="32122"/>
    <cellStyle name="Input [yellow] 5 71 4" xfId="32123"/>
    <cellStyle name="Input [yellow] 5 71 5" xfId="32124"/>
    <cellStyle name="Input [yellow] 5 71 6" xfId="32125"/>
    <cellStyle name="Input [yellow] 5 71 7" xfId="32126"/>
    <cellStyle name="Input [yellow] 5 72" xfId="5857"/>
    <cellStyle name="Input [yellow] 5 72 2" xfId="32127"/>
    <cellStyle name="Input [yellow] 5 72 3" xfId="32128"/>
    <cellStyle name="Input [yellow] 5 72 4" xfId="32129"/>
    <cellStyle name="Input [yellow] 5 72 5" xfId="32130"/>
    <cellStyle name="Input [yellow] 5 72 6" xfId="32131"/>
    <cellStyle name="Input [yellow] 5 72 7" xfId="32132"/>
    <cellStyle name="Input [yellow] 5 73" xfId="5858"/>
    <cellStyle name="Input [yellow] 5 73 2" xfId="32133"/>
    <cellStyle name="Input [yellow] 5 73 3" xfId="32134"/>
    <cellStyle name="Input [yellow] 5 73 4" xfId="32135"/>
    <cellStyle name="Input [yellow] 5 73 5" xfId="32136"/>
    <cellStyle name="Input [yellow] 5 73 6" xfId="32137"/>
    <cellStyle name="Input [yellow] 5 73 7" xfId="32138"/>
    <cellStyle name="Input [yellow] 5 74" xfId="5859"/>
    <cellStyle name="Input [yellow] 5 74 2" xfId="32139"/>
    <cellStyle name="Input [yellow] 5 74 3" xfId="32140"/>
    <cellStyle name="Input [yellow] 5 74 4" xfId="32141"/>
    <cellStyle name="Input [yellow] 5 74 5" xfId="32142"/>
    <cellStyle name="Input [yellow] 5 74 6" xfId="32143"/>
    <cellStyle name="Input [yellow] 5 74 7" xfId="32144"/>
    <cellStyle name="Input [yellow] 5 75" xfId="5860"/>
    <cellStyle name="Input [yellow] 5 75 2" xfId="32145"/>
    <cellStyle name="Input [yellow] 5 75 3" xfId="32146"/>
    <cellStyle name="Input [yellow] 5 75 4" xfId="32147"/>
    <cellStyle name="Input [yellow] 5 75 5" xfId="32148"/>
    <cellStyle name="Input [yellow] 5 75 6" xfId="32149"/>
    <cellStyle name="Input [yellow] 5 75 7" xfId="32150"/>
    <cellStyle name="Input [yellow] 5 76" xfId="5861"/>
    <cellStyle name="Input [yellow] 5 76 2" xfId="32151"/>
    <cellStyle name="Input [yellow] 5 76 3" xfId="32152"/>
    <cellStyle name="Input [yellow] 5 76 4" xfId="32153"/>
    <cellStyle name="Input [yellow] 5 76 5" xfId="32154"/>
    <cellStyle name="Input [yellow] 5 76 6" xfId="32155"/>
    <cellStyle name="Input [yellow] 5 76 7" xfId="32156"/>
    <cellStyle name="Input [yellow] 5 77" xfId="5862"/>
    <cellStyle name="Input [yellow] 5 77 2" xfId="32157"/>
    <cellStyle name="Input [yellow] 5 77 3" xfId="32158"/>
    <cellStyle name="Input [yellow] 5 77 4" xfId="32159"/>
    <cellStyle name="Input [yellow] 5 77 5" xfId="32160"/>
    <cellStyle name="Input [yellow] 5 77 6" xfId="32161"/>
    <cellStyle name="Input [yellow] 5 77 7" xfId="32162"/>
    <cellStyle name="Input [yellow] 5 78" xfId="5863"/>
    <cellStyle name="Input [yellow] 5 78 2" xfId="32163"/>
    <cellStyle name="Input [yellow] 5 78 3" xfId="32164"/>
    <cellStyle name="Input [yellow] 5 78 4" xfId="32165"/>
    <cellStyle name="Input [yellow] 5 78 5" xfId="32166"/>
    <cellStyle name="Input [yellow] 5 78 6" xfId="32167"/>
    <cellStyle name="Input [yellow] 5 78 7" xfId="32168"/>
    <cellStyle name="Input [yellow] 5 79" xfId="5864"/>
    <cellStyle name="Input [yellow] 5 79 2" xfId="32169"/>
    <cellStyle name="Input [yellow] 5 79 3" xfId="32170"/>
    <cellStyle name="Input [yellow] 5 79 4" xfId="32171"/>
    <cellStyle name="Input [yellow] 5 79 5" xfId="32172"/>
    <cellStyle name="Input [yellow] 5 79 6" xfId="32173"/>
    <cellStyle name="Input [yellow] 5 79 7" xfId="32174"/>
    <cellStyle name="Input [yellow] 5 8" xfId="5865"/>
    <cellStyle name="Input [yellow] 5 8 2" xfId="32175"/>
    <cellStyle name="Input [yellow] 5 8 3" xfId="32176"/>
    <cellStyle name="Input [yellow] 5 8 4" xfId="32177"/>
    <cellStyle name="Input [yellow] 5 8 5" xfId="32178"/>
    <cellStyle name="Input [yellow] 5 8 6" xfId="32179"/>
    <cellStyle name="Input [yellow] 5 8 7" xfId="32180"/>
    <cellStyle name="Input [yellow] 5 80" xfId="5866"/>
    <cellStyle name="Input [yellow] 5 80 2" xfId="32181"/>
    <cellStyle name="Input [yellow] 5 80 3" xfId="32182"/>
    <cellStyle name="Input [yellow] 5 80 4" xfId="32183"/>
    <cellStyle name="Input [yellow] 5 80 5" xfId="32184"/>
    <cellStyle name="Input [yellow] 5 80 6" xfId="32185"/>
    <cellStyle name="Input [yellow] 5 80 7" xfId="32186"/>
    <cellStyle name="Input [yellow] 5 81" xfId="5867"/>
    <cellStyle name="Input [yellow] 5 81 2" xfId="32187"/>
    <cellStyle name="Input [yellow] 5 81 3" xfId="32188"/>
    <cellStyle name="Input [yellow] 5 81 4" xfId="32189"/>
    <cellStyle name="Input [yellow] 5 81 5" xfId="32190"/>
    <cellStyle name="Input [yellow] 5 81 6" xfId="32191"/>
    <cellStyle name="Input [yellow] 5 81 7" xfId="32192"/>
    <cellStyle name="Input [yellow] 5 82" xfId="5868"/>
    <cellStyle name="Input [yellow] 5 82 2" xfId="32193"/>
    <cellStyle name="Input [yellow] 5 82 3" xfId="32194"/>
    <cellStyle name="Input [yellow] 5 82 4" xfId="32195"/>
    <cellStyle name="Input [yellow] 5 82 5" xfId="32196"/>
    <cellStyle name="Input [yellow] 5 82 6" xfId="32197"/>
    <cellStyle name="Input [yellow] 5 82 7" xfId="32198"/>
    <cellStyle name="Input [yellow] 5 83" xfId="5869"/>
    <cellStyle name="Input [yellow] 5 83 2" xfId="32199"/>
    <cellStyle name="Input [yellow] 5 83 3" xfId="32200"/>
    <cellStyle name="Input [yellow] 5 83 4" xfId="32201"/>
    <cellStyle name="Input [yellow] 5 83 5" xfId="32202"/>
    <cellStyle name="Input [yellow] 5 83 6" xfId="32203"/>
    <cellStyle name="Input [yellow] 5 83 7" xfId="32204"/>
    <cellStyle name="Input [yellow] 5 84" xfId="5870"/>
    <cellStyle name="Input [yellow] 5 84 2" xfId="32205"/>
    <cellStyle name="Input [yellow] 5 84 3" xfId="32206"/>
    <cellStyle name="Input [yellow] 5 84 4" xfId="32207"/>
    <cellStyle name="Input [yellow] 5 84 5" xfId="32208"/>
    <cellStyle name="Input [yellow] 5 84 6" xfId="32209"/>
    <cellStyle name="Input [yellow] 5 84 7" xfId="32210"/>
    <cellStyle name="Input [yellow] 5 85" xfId="5871"/>
    <cellStyle name="Input [yellow] 5 85 2" xfId="32211"/>
    <cellStyle name="Input [yellow] 5 85 3" xfId="32212"/>
    <cellStyle name="Input [yellow] 5 85 4" xfId="32213"/>
    <cellStyle name="Input [yellow] 5 85 5" xfId="32214"/>
    <cellStyle name="Input [yellow] 5 85 6" xfId="32215"/>
    <cellStyle name="Input [yellow] 5 85 7" xfId="32216"/>
    <cellStyle name="Input [yellow] 5 86" xfId="5872"/>
    <cellStyle name="Input [yellow] 5 86 2" xfId="32217"/>
    <cellStyle name="Input [yellow] 5 86 3" xfId="32218"/>
    <cellStyle name="Input [yellow] 5 86 4" xfId="32219"/>
    <cellStyle name="Input [yellow] 5 86 5" xfId="32220"/>
    <cellStyle name="Input [yellow] 5 86 6" xfId="32221"/>
    <cellStyle name="Input [yellow] 5 86 7" xfId="32222"/>
    <cellStyle name="Input [yellow] 5 87" xfId="5873"/>
    <cellStyle name="Input [yellow] 5 87 2" xfId="32223"/>
    <cellStyle name="Input [yellow] 5 87 3" xfId="32224"/>
    <cellStyle name="Input [yellow] 5 87 4" xfId="32225"/>
    <cellStyle name="Input [yellow] 5 87 5" xfId="32226"/>
    <cellStyle name="Input [yellow] 5 87 6" xfId="32227"/>
    <cellStyle name="Input [yellow] 5 87 7" xfId="32228"/>
    <cellStyle name="Input [yellow] 5 88" xfId="5874"/>
    <cellStyle name="Input [yellow] 5 88 2" xfId="32229"/>
    <cellStyle name="Input [yellow] 5 88 3" xfId="32230"/>
    <cellStyle name="Input [yellow] 5 88 4" xfId="32231"/>
    <cellStyle name="Input [yellow] 5 88 5" xfId="32232"/>
    <cellStyle name="Input [yellow] 5 88 6" xfId="32233"/>
    <cellStyle name="Input [yellow] 5 88 7" xfId="32234"/>
    <cellStyle name="Input [yellow] 5 89" xfId="5875"/>
    <cellStyle name="Input [yellow] 5 89 2" xfId="32235"/>
    <cellStyle name="Input [yellow] 5 89 3" xfId="32236"/>
    <cellStyle name="Input [yellow] 5 89 4" xfId="32237"/>
    <cellStyle name="Input [yellow] 5 89 5" xfId="32238"/>
    <cellStyle name="Input [yellow] 5 89 6" xfId="32239"/>
    <cellStyle name="Input [yellow] 5 89 7" xfId="32240"/>
    <cellStyle name="Input [yellow] 5 9" xfId="5876"/>
    <cellStyle name="Input [yellow] 5 9 2" xfId="32241"/>
    <cellStyle name="Input [yellow] 5 9 3" xfId="32242"/>
    <cellStyle name="Input [yellow] 5 9 4" xfId="32243"/>
    <cellStyle name="Input [yellow] 5 9 5" xfId="32244"/>
    <cellStyle name="Input [yellow] 5 9 6" xfId="32245"/>
    <cellStyle name="Input [yellow] 5 9 7" xfId="32246"/>
    <cellStyle name="Input [yellow] 5 90" xfId="5877"/>
    <cellStyle name="Input [yellow] 5 90 2" xfId="32247"/>
    <cellStyle name="Input [yellow] 5 90 3" xfId="32248"/>
    <cellStyle name="Input [yellow] 5 90 4" xfId="32249"/>
    <cellStyle name="Input [yellow] 5 90 5" xfId="32250"/>
    <cellStyle name="Input [yellow] 5 90 6" xfId="32251"/>
    <cellStyle name="Input [yellow] 5 90 7" xfId="32252"/>
    <cellStyle name="Input [yellow] 5 91" xfId="5878"/>
    <cellStyle name="Input [yellow] 5 91 2" xfId="32253"/>
    <cellStyle name="Input [yellow] 5 91 3" xfId="32254"/>
    <cellStyle name="Input [yellow] 5 91 4" xfId="32255"/>
    <cellStyle name="Input [yellow] 5 91 5" xfId="32256"/>
    <cellStyle name="Input [yellow] 5 91 6" xfId="32257"/>
    <cellStyle name="Input [yellow] 5 91 7" xfId="32258"/>
    <cellStyle name="Input [yellow] 5 92" xfId="5879"/>
    <cellStyle name="Input [yellow] 5 92 2" xfId="32259"/>
    <cellStyle name="Input [yellow] 5 92 3" xfId="32260"/>
    <cellStyle name="Input [yellow] 5 92 4" xfId="32261"/>
    <cellStyle name="Input [yellow] 5 92 5" xfId="32262"/>
    <cellStyle name="Input [yellow] 5 92 6" xfId="32263"/>
    <cellStyle name="Input [yellow] 5 92 7" xfId="32264"/>
    <cellStyle name="Input [yellow] 5 93" xfId="5880"/>
    <cellStyle name="Input [yellow] 5 93 2" xfId="32265"/>
    <cellStyle name="Input [yellow] 5 93 3" xfId="32266"/>
    <cellStyle name="Input [yellow] 5 93 4" xfId="32267"/>
    <cellStyle name="Input [yellow] 5 93 5" xfId="32268"/>
    <cellStyle name="Input [yellow] 5 93 6" xfId="32269"/>
    <cellStyle name="Input [yellow] 5 94" xfId="32270"/>
    <cellStyle name="Input [yellow] 5 95" xfId="32271"/>
    <cellStyle name="Input [yellow] 5 96" xfId="32272"/>
    <cellStyle name="Input [yellow] 5 97" xfId="32273"/>
    <cellStyle name="Input [yellow] 5 98" xfId="32274"/>
    <cellStyle name="Input [yellow] 5 99" xfId="32275"/>
    <cellStyle name="Input [yellow] 50" xfId="5881"/>
    <cellStyle name="Input [yellow] 50 2" xfId="32276"/>
    <cellStyle name="Input [yellow] 50 3" xfId="32277"/>
    <cellStyle name="Input [yellow] 50 4" xfId="32278"/>
    <cellStyle name="Input [yellow] 50 5" xfId="32279"/>
    <cellStyle name="Input [yellow] 50 6" xfId="32280"/>
    <cellStyle name="Input [yellow] 50 7" xfId="32281"/>
    <cellStyle name="Input [yellow] 51" xfId="5882"/>
    <cellStyle name="Input [yellow] 51 2" xfId="32282"/>
    <cellStyle name="Input [yellow] 51 3" xfId="32283"/>
    <cellStyle name="Input [yellow] 51 4" xfId="32284"/>
    <cellStyle name="Input [yellow] 51 5" xfId="32285"/>
    <cellStyle name="Input [yellow] 51 6" xfId="32286"/>
    <cellStyle name="Input [yellow] 51 7" xfId="32287"/>
    <cellStyle name="Input [yellow] 52" xfId="5883"/>
    <cellStyle name="Input [yellow] 52 2" xfId="32288"/>
    <cellStyle name="Input [yellow] 52 3" xfId="32289"/>
    <cellStyle name="Input [yellow] 52 4" xfId="32290"/>
    <cellStyle name="Input [yellow] 52 5" xfId="32291"/>
    <cellStyle name="Input [yellow] 52 6" xfId="32292"/>
    <cellStyle name="Input [yellow] 52 7" xfId="32293"/>
    <cellStyle name="Input [yellow] 53" xfId="5884"/>
    <cellStyle name="Input [yellow] 53 2" xfId="32294"/>
    <cellStyle name="Input [yellow] 53 3" xfId="32295"/>
    <cellStyle name="Input [yellow] 53 4" xfId="32296"/>
    <cellStyle name="Input [yellow] 53 5" xfId="32297"/>
    <cellStyle name="Input [yellow] 53 6" xfId="32298"/>
    <cellStyle name="Input [yellow] 53 7" xfId="32299"/>
    <cellStyle name="Input [yellow] 54" xfId="5885"/>
    <cellStyle name="Input [yellow] 54 2" xfId="32300"/>
    <cellStyle name="Input [yellow] 54 3" xfId="32301"/>
    <cellStyle name="Input [yellow] 54 4" xfId="32302"/>
    <cellStyle name="Input [yellow] 54 5" xfId="32303"/>
    <cellStyle name="Input [yellow] 54 6" xfId="32304"/>
    <cellStyle name="Input [yellow] 54 7" xfId="32305"/>
    <cellStyle name="Input [yellow] 55" xfId="5886"/>
    <cellStyle name="Input [yellow] 55 2" xfId="32306"/>
    <cellStyle name="Input [yellow] 55 3" xfId="32307"/>
    <cellStyle name="Input [yellow] 55 4" xfId="32308"/>
    <cellStyle name="Input [yellow] 55 5" xfId="32309"/>
    <cellStyle name="Input [yellow] 55 6" xfId="32310"/>
    <cellStyle name="Input [yellow] 55 7" xfId="32311"/>
    <cellStyle name="Input [yellow] 56" xfId="5887"/>
    <cellStyle name="Input [yellow] 56 2" xfId="32312"/>
    <cellStyle name="Input [yellow] 56 3" xfId="32313"/>
    <cellStyle name="Input [yellow] 56 4" xfId="32314"/>
    <cellStyle name="Input [yellow] 56 5" xfId="32315"/>
    <cellStyle name="Input [yellow] 56 6" xfId="32316"/>
    <cellStyle name="Input [yellow] 56 7" xfId="32317"/>
    <cellStyle name="Input [yellow] 57" xfId="5888"/>
    <cellStyle name="Input [yellow] 57 2" xfId="32318"/>
    <cellStyle name="Input [yellow] 57 3" xfId="32319"/>
    <cellStyle name="Input [yellow] 57 4" xfId="32320"/>
    <cellStyle name="Input [yellow] 57 5" xfId="32321"/>
    <cellStyle name="Input [yellow] 57 6" xfId="32322"/>
    <cellStyle name="Input [yellow] 57 7" xfId="32323"/>
    <cellStyle name="Input [yellow] 58" xfId="5889"/>
    <cellStyle name="Input [yellow] 58 2" xfId="32324"/>
    <cellStyle name="Input [yellow] 58 3" xfId="32325"/>
    <cellStyle name="Input [yellow] 58 4" xfId="32326"/>
    <cellStyle name="Input [yellow] 58 5" xfId="32327"/>
    <cellStyle name="Input [yellow] 58 6" xfId="32328"/>
    <cellStyle name="Input [yellow] 58 7" xfId="32329"/>
    <cellStyle name="Input [yellow] 59" xfId="5890"/>
    <cellStyle name="Input [yellow] 59 2" xfId="32330"/>
    <cellStyle name="Input [yellow] 59 3" xfId="32331"/>
    <cellStyle name="Input [yellow] 59 4" xfId="32332"/>
    <cellStyle name="Input [yellow] 59 5" xfId="32333"/>
    <cellStyle name="Input [yellow] 59 6" xfId="32334"/>
    <cellStyle name="Input [yellow] 59 7" xfId="32335"/>
    <cellStyle name="Input [yellow] 6" xfId="5891"/>
    <cellStyle name="Input [yellow] 6 10" xfId="5892"/>
    <cellStyle name="Input [yellow] 6 10 2" xfId="32336"/>
    <cellStyle name="Input [yellow] 6 10 3" xfId="32337"/>
    <cellStyle name="Input [yellow] 6 10 4" xfId="32338"/>
    <cellStyle name="Input [yellow] 6 10 5" xfId="32339"/>
    <cellStyle name="Input [yellow] 6 10 6" xfId="32340"/>
    <cellStyle name="Input [yellow] 6 10 7" xfId="32341"/>
    <cellStyle name="Input [yellow] 6 100" xfId="32342"/>
    <cellStyle name="Input [yellow] 6 101" xfId="32343"/>
    <cellStyle name="Input [yellow] 6 102" xfId="32344"/>
    <cellStyle name="Input [yellow] 6 11" xfId="5893"/>
    <cellStyle name="Input [yellow] 6 11 2" xfId="32345"/>
    <cellStyle name="Input [yellow] 6 11 3" xfId="32346"/>
    <cellStyle name="Input [yellow] 6 11 4" xfId="32347"/>
    <cellStyle name="Input [yellow] 6 11 5" xfId="32348"/>
    <cellStyle name="Input [yellow] 6 11 6" xfId="32349"/>
    <cellStyle name="Input [yellow] 6 11 7" xfId="32350"/>
    <cellStyle name="Input [yellow] 6 12" xfId="5894"/>
    <cellStyle name="Input [yellow] 6 12 2" xfId="32351"/>
    <cellStyle name="Input [yellow] 6 12 3" xfId="32352"/>
    <cellStyle name="Input [yellow] 6 12 4" xfId="32353"/>
    <cellStyle name="Input [yellow] 6 12 5" xfId="32354"/>
    <cellStyle name="Input [yellow] 6 12 6" xfId="32355"/>
    <cellStyle name="Input [yellow] 6 12 7" xfId="32356"/>
    <cellStyle name="Input [yellow] 6 13" xfId="5895"/>
    <cellStyle name="Input [yellow] 6 13 2" xfId="32357"/>
    <cellStyle name="Input [yellow] 6 13 3" xfId="32358"/>
    <cellStyle name="Input [yellow] 6 13 4" xfId="32359"/>
    <cellStyle name="Input [yellow] 6 13 5" xfId="32360"/>
    <cellStyle name="Input [yellow] 6 13 6" xfId="32361"/>
    <cellStyle name="Input [yellow] 6 13 7" xfId="32362"/>
    <cellStyle name="Input [yellow] 6 14" xfId="5896"/>
    <cellStyle name="Input [yellow] 6 14 2" xfId="32363"/>
    <cellStyle name="Input [yellow] 6 14 3" xfId="32364"/>
    <cellStyle name="Input [yellow] 6 14 4" xfId="32365"/>
    <cellStyle name="Input [yellow] 6 14 5" xfId="32366"/>
    <cellStyle name="Input [yellow] 6 14 6" xfId="32367"/>
    <cellStyle name="Input [yellow] 6 14 7" xfId="32368"/>
    <cellStyle name="Input [yellow] 6 15" xfId="5897"/>
    <cellStyle name="Input [yellow] 6 15 2" xfId="32369"/>
    <cellStyle name="Input [yellow] 6 15 3" xfId="32370"/>
    <cellStyle name="Input [yellow] 6 15 4" xfId="32371"/>
    <cellStyle name="Input [yellow] 6 15 5" xfId="32372"/>
    <cellStyle name="Input [yellow] 6 15 6" xfId="32373"/>
    <cellStyle name="Input [yellow] 6 15 7" xfId="32374"/>
    <cellStyle name="Input [yellow] 6 16" xfId="5898"/>
    <cellStyle name="Input [yellow] 6 16 2" xfId="32375"/>
    <cellStyle name="Input [yellow] 6 16 3" xfId="32376"/>
    <cellStyle name="Input [yellow] 6 16 4" xfId="32377"/>
    <cellStyle name="Input [yellow] 6 16 5" xfId="32378"/>
    <cellStyle name="Input [yellow] 6 16 6" xfId="32379"/>
    <cellStyle name="Input [yellow] 6 16 7" xfId="32380"/>
    <cellStyle name="Input [yellow] 6 17" xfId="5899"/>
    <cellStyle name="Input [yellow] 6 17 2" xfId="32381"/>
    <cellStyle name="Input [yellow] 6 17 3" xfId="32382"/>
    <cellStyle name="Input [yellow] 6 17 4" xfId="32383"/>
    <cellStyle name="Input [yellow] 6 17 5" xfId="32384"/>
    <cellStyle name="Input [yellow] 6 17 6" xfId="32385"/>
    <cellStyle name="Input [yellow] 6 17 7" xfId="32386"/>
    <cellStyle name="Input [yellow] 6 18" xfId="5900"/>
    <cellStyle name="Input [yellow] 6 18 2" xfId="32387"/>
    <cellStyle name="Input [yellow] 6 18 3" xfId="32388"/>
    <cellStyle name="Input [yellow] 6 18 4" xfId="32389"/>
    <cellStyle name="Input [yellow] 6 18 5" xfId="32390"/>
    <cellStyle name="Input [yellow] 6 18 6" xfId="32391"/>
    <cellStyle name="Input [yellow] 6 18 7" xfId="32392"/>
    <cellStyle name="Input [yellow] 6 19" xfId="5901"/>
    <cellStyle name="Input [yellow] 6 19 2" xfId="32393"/>
    <cellStyle name="Input [yellow] 6 19 3" xfId="32394"/>
    <cellStyle name="Input [yellow] 6 19 4" xfId="32395"/>
    <cellStyle name="Input [yellow] 6 19 5" xfId="32396"/>
    <cellStyle name="Input [yellow] 6 19 6" xfId="32397"/>
    <cellStyle name="Input [yellow] 6 19 7" xfId="32398"/>
    <cellStyle name="Input [yellow] 6 2" xfId="5902"/>
    <cellStyle name="Input [yellow] 6 2 10" xfId="32399"/>
    <cellStyle name="Input [yellow] 6 2 11" xfId="32400"/>
    <cellStyle name="Input [yellow] 6 2 2" xfId="32401"/>
    <cellStyle name="Input [yellow] 6 2 3" xfId="32402"/>
    <cellStyle name="Input [yellow] 6 2 4" xfId="32403"/>
    <cellStyle name="Input [yellow] 6 2 5" xfId="32404"/>
    <cellStyle name="Input [yellow] 6 2 6" xfId="32405"/>
    <cellStyle name="Input [yellow] 6 2 7" xfId="32406"/>
    <cellStyle name="Input [yellow] 6 2 8" xfId="32407"/>
    <cellStyle name="Input [yellow] 6 2 9" xfId="32408"/>
    <cellStyle name="Input [yellow] 6 20" xfId="5903"/>
    <cellStyle name="Input [yellow] 6 20 2" xfId="32409"/>
    <cellStyle name="Input [yellow] 6 20 3" xfId="32410"/>
    <cellStyle name="Input [yellow] 6 20 4" xfId="32411"/>
    <cellStyle name="Input [yellow] 6 20 5" xfId="32412"/>
    <cellStyle name="Input [yellow] 6 20 6" xfId="32413"/>
    <cellStyle name="Input [yellow] 6 20 7" xfId="32414"/>
    <cellStyle name="Input [yellow] 6 21" xfId="5904"/>
    <cellStyle name="Input [yellow] 6 21 2" xfId="32415"/>
    <cellStyle name="Input [yellow] 6 21 3" xfId="32416"/>
    <cellStyle name="Input [yellow] 6 21 4" xfId="32417"/>
    <cellStyle name="Input [yellow] 6 21 5" xfId="32418"/>
    <cellStyle name="Input [yellow] 6 21 6" xfId="32419"/>
    <cellStyle name="Input [yellow] 6 21 7" xfId="32420"/>
    <cellStyle name="Input [yellow] 6 22" xfId="5905"/>
    <cellStyle name="Input [yellow] 6 22 2" xfId="32421"/>
    <cellStyle name="Input [yellow] 6 22 3" xfId="32422"/>
    <cellStyle name="Input [yellow] 6 22 4" xfId="32423"/>
    <cellStyle name="Input [yellow] 6 22 5" xfId="32424"/>
    <cellStyle name="Input [yellow] 6 22 6" xfId="32425"/>
    <cellStyle name="Input [yellow] 6 22 7" xfId="32426"/>
    <cellStyle name="Input [yellow] 6 23" xfId="5906"/>
    <cellStyle name="Input [yellow] 6 23 2" xfId="32427"/>
    <cellStyle name="Input [yellow] 6 23 3" xfId="32428"/>
    <cellStyle name="Input [yellow] 6 23 4" xfId="32429"/>
    <cellStyle name="Input [yellow] 6 23 5" xfId="32430"/>
    <cellStyle name="Input [yellow] 6 23 6" xfId="32431"/>
    <cellStyle name="Input [yellow] 6 23 7" xfId="32432"/>
    <cellStyle name="Input [yellow] 6 24" xfId="5907"/>
    <cellStyle name="Input [yellow] 6 24 2" xfId="32433"/>
    <cellStyle name="Input [yellow] 6 24 3" xfId="32434"/>
    <cellStyle name="Input [yellow] 6 24 4" xfId="32435"/>
    <cellStyle name="Input [yellow] 6 24 5" xfId="32436"/>
    <cellStyle name="Input [yellow] 6 24 6" xfId="32437"/>
    <cellStyle name="Input [yellow] 6 24 7" xfId="32438"/>
    <cellStyle name="Input [yellow] 6 25" xfId="5908"/>
    <cellStyle name="Input [yellow] 6 25 2" xfId="32439"/>
    <cellStyle name="Input [yellow] 6 25 3" xfId="32440"/>
    <cellStyle name="Input [yellow] 6 25 4" xfId="32441"/>
    <cellStyle name="Input [yellow] 6 25 5" xfId="32442"/>
    <cellStyle name="Input [yellow] 6 25 6" xfId="32443"/>
    <cellStyle name="Input [yellow] 6 25 7" xfId="32444"/>
    <cellStyle name="Input [yellow] 6 26" xfId="5909"/>
    <cellStyle name="Input [yellow] 6 26 2" xfId="32445"/>
    <cellStyle name="Input [yellow] 6 26 3" xfId="32446"/>
    <cellStyle name="Input [yellow] 6 26 4" xfId="32447"/>
    <cellStyle name="Input [yellow] 6 26 5" xfId="32448"/>
    <cellStyle name="Input [yellow] 6 26 6" xfId="32449"/>
    <cellStyle name="Input [yellow] 6 26 7" xfId="32450"/>
    <cellStyle name="Input [yellow] 6 27" xfId="5910"/>
    <cellStyle name="Input [yellow] 6 27 2" xfId="32451"/>
    <cellStyle name="Input [yellow] 6 27 3" xfId="32452"/>
    <cellStyle name="Input [yellow] 6 27 4" xfId="32453"/>
    <cellStyle name="Input [yellow] 6 27 5" xfId="32454"/>
    <cellStyle name="Input [yellow] 6 27 6" xfId="32455"/>
    <cellStyle name="Input [yellow] 6 27 7" xfId="32456"/>
    <cellStyle name="Input [yellow] 6 28" xfId="5911"/>
    <cellStyle name="Input [yellow] 6 28 2" xfId="32457"/>
    <cellStyle name="Input [yellow] 6 28 3" xfId="32458"/>
    <cellStyle name="Input [yellow] 6 28 4" xfId="32459"/>
    <cellStyle name="Input [yellow] 6 28 5" xfId="32460"/>
    <cellStyle name="Input [yellow] 6 28 6" xfId="32461"/>
    <cellStyle name="Input [yellow] 6 28 7" xfId="32462"/>
    <cellStyle name="Input [yellow] 6 29" xfId="5912"/>
    <cellStyle name="Input [yellow] 6 29 2" xfId="32463"/>
    <cellStyle name="Input [yellow] 6 29 3" xfId="32464"/>
    <cellStyle name="Input [yellow] 6 29 4" xfId="32465"/>
    <cellStyle name="Input [yellow] 6 29 5" xfId="32466"/>
    <cellStyle name="Input [yellow] 6 29 6" xfId="32467"/>
    <cellStyle name="Input [yellow] 6 29 7" xfId="32468"/>
    <cellStyle name="Input [yellow] 6 3" xfId="5913"/>
    <cellStyle name="Input [yellow] 6 3 10" xfId="32469"/>
    <cellStyle name="Input [yellow] 6 3 2" xfId="32470"/>
    <cellStyle name="Input [yellow] 6 3 3" xfId="32471"/>
    <cellStyle name="Input [yellow] 6 3 4" xfId="32472"/>
    <cellStyle name="Input [yellow] 6 3 5" xfId="32473"/>
    <cellStyle name="Input [yellow] 6 3 6" xfId="32474"/>
    <cellStyle name="Input [yellow] 6 3 7" xfId="32475"/>
    <cellStyle name="Input [yellow] 6 3 8" xfId="32476"/>
    <cellStyle name="Input [yellow] 6 3 9" xfId="32477"/>
    <cellStyle name="Input [yellow] 6 30" xfId="5914"/>
    <cellStyle name="Input [yellow] 6 30 2" xfId="32478"/>
    <cellStyle name="Input [yellow] 6 30 3" xfId="32479"/>
    <cellStyle name="Input [yellow] 6 30 4" xfId="32480"/>
    <cellStyle name="Input [yellow] 6 30 5" xfId="32481"/>
    <cellStyle name="Input [yellow] 6 30 6" xfId="32482"/>
    <cellStyle name="Input [yellow] 6 30 7" xfId="32483"/>
    <cellStyle name="Input [yellow] 6 31" xfId="5915"/>
    <cellStyle name="Input [yellow] 6 31 2" xfId="32484"/>
    <cellStyle name="Input [yellow] 6 31 3" xfId="32485"/>
    <cellStyle name="Input [yellow] 6 31 4" xfId="32486"/>
    <cellStyle name="Input [yellow] 6 31 5" xfId="32487"/>
    <cellStyle name="Input [yellow] 6 31 6" xfId="32488"/>
    <cellStyle name="Input [yellow] 6 31 7" xfId="32489"/>
    <cellStyle name="Input [yellow] 6 32" xfId="5916"/>
    <cellStyle name="Input [yellow] 6 32 2" xfId="32490"/>
    <cellStyle name="Input [yellow] 6 32 3" xfId="32491"/>
    <cellStyle name="Input [yellow] 6 32 4" xfId="32492"/>
    <cellStyle name="Input [yellow] 6 32 5" xfId="32493"/>
    <cellStyle name="Input [yellow] 6 32 6" xfId="32494"/>
    <cellStyle name="Input [yellow] 6 32 7" xfId="32495"/>
    <cellStyle name="Input [yellow] 6 33" xfId="5917"/>
    <cellStyle name="Input [yellow] 6 33 2" xfId="32496"/>
    <cellStyle name="Input [yellow] 6 33 3" xfId="32497"/>
    <cellStyle name="Input [yellow] 6 33 4" xfId="32498"/>
    <cellStyle name="Input [yellow] 6 33 5" xfId="32499"/>
    <cellStyle name="Input [yellow] 6 33 6" xfId="32500"/>
    <cellStyle name="Input [yellow] 6 33 7" xfId="32501"/>
    <cellStyle name="Input [yellow] 6 34" xfId="5918"/>
    <cellStyle name="Input [yellow] 6 34 2" xfId="32502"/>
    <cellStyle name="Input [yellow] 6 34 3" xfId="32503"/>
    <cellStyle name="Input [yellow] 6 34 4" xfId="32504"/>
    <cellStyle name="Input [yellow] 6 34 5" xfId="32505"/>
    <cellStyle name="Input [yellow] 6 34 6" xfId="32506"/>
    <cellStyle name="Input [yellow] 6 34 7" xfId="32507"/>
    <cellStyle name="Input [yellow] 6 35" xfId="5919"/>
    <cellStyle name="Input [yellow] 6 35 2" xfId="32508"/>
    <cellStyle name="Input [yellow] 6 35 3" xfId="32509"/>
    <cellStyle name="Input [yellow] 6 35 4" xfId="32510"/>
    <cellStyle name="Input [yellow] 6 35 5" xfId="32511"/>
    <cellStyle name="Input [yellow] 6 35 6" xfId="32512"/>
    <cellStyle name="Input [yellow] 6 35 7" xfId="32513"/>
    <cellStyle name="Input [yellow] 6 36" xfId="5920"/>
    <cellStyle name="Input [yellow] 6 36 2" xfId="32514"/>
    <cellStyle name="Input [yellow] 6 36 3" xfId="32515"/>
    <cellStyle name="Input [yellow] 6 36 4" xfId="32516"/>
    <cellStyle name="Input [yellow] 6 36 5" xfId="32517"/>
    <cellStyle name="Input [yellow] 6 36 6" xfId="32518"/>
    <cellStyle name="Input [yellow] 6 36 7" xfId="32519"/>
    <cellStyle name="Input [yellow] 6 37" xfId="5921"/>
    <cellStyle name="Input [yellow] 6 37 2" xfId="32520"/>
    <cellStyle name="Input [yellow] 6 37 3" xfId="32521"/>
    <cellStyle name="Input [yellow] 6 37 4" xfId="32522"/>
    <cellStyle name="Input [yellow] 6 37 5" xfId="32523"/>
    <cellStyle name="Input [yellow] 6 37 6" xfId="32524"/>
    <cellStyle name="Input [yellow] 6 37 7" xfId="32525"/>
    <cellStyle name="Input [yellow] 6 38" xfId="5922"/>
    <cellStyle name="Input [yellow] 6 38 2" xfId="32526"/>
    <cellStyle name="Input [yellow] 6 38 3" xfId="32527"/>
    <cellStyle name="Input [yellow] 6 38 4" xfId="32528"/>
    <cellStyle name="Input [yellow] 6 38 5" xfId="32529"/>
    <cellStyle name="Input [yellow] 6 38 6" xfId="32530"/>
    <cellStyle name="Input [yellow] 6 38 7" xfId="32531"/>
    <cellStyle name="Input [yellow] 6 39" xfId="5923"/>
    <cellStyle name="Input [yellow] 6 39 2" xfId="32532"/>
    <cellStyle name="Input [yellow] 6 39 3" xfId="32533"/>
    <cellStyle name="Input [yellow] 6 39 4" xfId="32534"/>
    <cellStyle name="Input [yellow] 6 39 5" xfId="32535"/>
    <cellStyle name="Input [yellow] 6 39 6" xfId="32536"/>
    <cellStyle name="Input [yellow] 6 39 7" xfId="32537"/>
    <cellStyle name="Input [yellow] 6 4" xfId="5924"/>
    <cellStyle name="Input [yellow] 6 4 10" xfId="32538"/>
    <cellStyle name="Input [yellow] 6 4 2" xfId="32539"/>
    <cellStyle name="Input [yellow] 6 4 3" xfId="32540"/>
    <cellStyle name="Input [yellow] 6 4 4" xfId="32541"/>
    <cellStyle name="Input [yellow] 6 4 5" xfId="32542"/>
    <cellStyle name="Input [yellow] 6 4 6" xfId="32543"/>
    <cellStyle name="Input [yellow] 6 4 7" xfId="32544"/>
    <cellStyle name="Input [yellow] 6 4 8" xfId="32545"/>
    <cellStyle name="Input [yellow] 6 4 9" xfId="32546"/>
    <cellStyle name="Input [yellow] 6 40" xfId="5925"/>
    <cellStyle name="Input [yellow] 6 40 2" xfId="32547"/>
    <cellStyle name="Input [yellow] 6 40 3" xfId="32548"/>
    <cellStyle name="Input [yellow] 6 40 4" xfId="32549"/>
    <cellStyle name="Input [yellow] 6 40 5" xfId="32550"/>
    <cellStyle name="Input [yellow] 6 40 6" xfId="32551"/>
    <cellStyle name="Input [yellow] 6 40 7" xfId="32552"/>
    <cellStyle name="Input [yellow] 6 41" xfId="5926"/>
    <cellStyle name="Input [yellow] 6 41 2" xfId="32553"/>
    <cellStyle name="Input [yellow] 6 41 3" xfId="32554"/>
    <cellStyle name="Input [yellow] 6 41 4" xfId="32555"/>
    <cellStyle name="Input [yellow] 6 41 5" xfId="32556"/>
    <cellStyle name="Input [yellow] 6 41 6" xfId="32557"/>
    <cellStyle name="Input [yellow] 6 41 7" xfId="32558"/>
    <cellStyle name="Input [yellow] 6 42" xfId="5927"/>
    <cellStyle name="Input [yellow] 6 42 2" xfId="32559"/>
    <cellStyle name="Input [yellow] 6 42 3" xfId="32560"/>
    <cellStyle name="Input [yellow] 6 42 4" xfId="32561"/>
    <cellStyle name="Input [yellow] 6 42 5" xfId="32562"/>
    <cellStyle name="Input [yellow] 6 42 6" xfId="32563"/>
    <cellStyle name="Input [yellow] 6 42 7" xfId="32564"/>
    <cellStyle name="Input [yellow] 6 43" xfId="5928"/>
    <cellStyle name="Input [yellow] 6 43 2" xfId="32565"/>
    <cellStyle name="Input [yellow] 6 43 3" xfId="32566"/>
    <cellStyle name="Input [yellow] 6 43 4" xfId="32567"/>
    <cellStyle name="Input [yellow] 6 43 5" xfId="32568"/>
    <cellStyle name="Input [yellow] 6 43 6" xfId="32569"/>
    <cellStyle name="Input [yellow] 6 43 7" xfId="32570"/>
    <cellStyle name="Input [yellow] 6 44" xfId="5929"/>
    <cellStyle name="Input [yellow] 6 44 2" xfId="32571"/>
    <cellStyle name="Input [yellow] 6 44 3" xfId="32572"/>
    <cellStyle name="Input [yellow] 6 44 4" xfId="32573"/>
    <cellStyle name="Input [yellow] 6 44 5" xfId="32574"/>
    <cellStyle name="Input [yellow] 6 44 6" xfId="32575"/>
    <cellStyle name="Input [yellow] 6 44 7" xfId="32576"/>
    <cellStyle name="Input [yellow] 6 45" xfId="5930"/>
    <cellStyle name="Input [yellow] 6 45 2" xfId="32577"/>
    <cellStyle name="Input [yellow] 6 45 3" xfId="32578"/>
    <cellStyle name="Input [yellow] 6 45 4" xfId="32579"/>
    <cellStyle name="Input [yellow] 6 45 5" xfId="32580"/>
    <cellStyle name="Input [yellow] 6 45 6" xfId="32581"/>
    <cellStyle name="Input [yellow] 6 45 7" xfId="32582"/>
    <cellStyle name="Input [yellow] 6 46" xfId="5931"/>
    <cellStyle name="Input [yellow] 6 46 2" xfId="32583"/>
    <cellStyle name="Input [yellow] 6 46 3" xfId="32584"/>
    <cellStyle name="Input [yellow] 6 46 4" xfId="32585"/>
    <cellStyle name="Input [yellow] 6 46 5" xfId="32586"/>
    <cellStyle name="Input [yellow] 6 46 6" xfId="32587"/>
    <cellStyle name="Input [yellow] 6 46 7" xfId="32588"/>
    <cellStyle name="Input [yellow] 6 47" xfId="5932"/>
    <cellStyle name="Input [yellow] 6 47 2" xfId="32589"/>
    <cellStyle name="Input [yellow] 6 47 3" xfId="32590"/>
    <cellStyle name="Input [yellow] 6 47 4" xfId="32591"/>
    <cellStyle name="Input [yellow] 6 47 5" xfId="32592"/>
    <cellStyle name="Input [yellow] 6 47 6" xfId="32593"/>
    <cellStyle name="Input [yellow] 6 47 7" xfId="32594"/>
    <cellStyle name="Input [yellow] 6 48" xfId="5933"/>
    <cellStyle name="Input [yellow] 6 48 2" xfId="32595"/>
    <cellStyle name="Input [yellow] 6 48 3" xfId="32596"/>
    <cellStyle name="Input [yellow] 6 48 4" xfId="32597"/>
    <cellStyle name="Input [yellow] 6 48 5" xfId="32598"/>
    <cellStyle name="Input [yellow] 6 48 6" xfId="32599"/>
    <cellStyle name="Input [yellow] 6 48 7" xfId="32600"/>
    <cellStyle name="Input [yellow] 6 49" xfId="5934"/>
    <cellStyle name="Input [yellow] 6 49 2" xfId="32601"/>
    <cellStyle name="Input [yellow] 6 49 3" xfId="32602"/>
    <cellStyle name="Input [yellow] 6 49 4" xfId="32603"/>
    <cellStyle name="Input [yellow] 6 49 5" xfId="32604"/>
    <cellStyle name="Input [yellow] 6 49 6" xfId="32605"/>
    <cellStyle name="Input [yellow] 6 49 7" xfId="32606"/>
    <cellStyle name="Input [yellow] 6 5" xfId="5935"/>
    <cellStyle name="Input [yellow] 6 5 2" xfId="32607"/>
    <cellStyle name="Input [yellow] 6 5 3" xfId="32608"/>
    <cellStyle name="Input [yellow] 6 5 4" xfId="32609"/>
    <cellStyle name="Input [yellow] 6 5 5" xfId="32610"/>
    <cellStyle name="Input [yellow] 6 5 6" xfId="32611"/>
    <cellStyle name="Input [yellow] 6 5 7" xfId="32612"/>
    <cellStyle name="Input [yellow] 6 50" xfId="5936"/>
    <cellStyle name="Input [yellow] 6 50 2" xfId="32613"/>
    <cellStyle name="Input [yellow] 6 50 3" xfId="32614"/>
    <cellStyle name="Input [yellow] 6 50 4" xfId="32615"/>
    <cellStyle name="Input [yellow] 6 50 5" xfId="32616"/>
    <cellStyle name="Input [yellow] 6 50 6" xfId="32617"/>
    <cellStyle name="Input [yellow] 6 50 7" xfId="32618"/>
    <cellStyle name="Input [yellow] 6 51" xfId="5937"/>
    <cellStyle name="Input [yellow] 6 51 2" xfId="32619"/>
    <cellStyle name="Input [yellow] 6 51 3" xfId="32620"/>
    <cellStyle name="Input [yellow] 6 51 4" xfId="32621"/>
    <cellStyle name="Input [yellow] 6 51 5" xfId="32622"/>
    <cellStyle name="Input [yellow] 6 51 6" xfId="32623"/>
    <cellStyle name="Input [yellow] 6 51 7" xfId="32624"/>
    <cellStyle name="Input [yellow] 6 52" xfId="5938"/>
    <cellStyle name="Input [yellow] 6 52 2" xfId="32625"/>
    <cellStyle name="Input [yellow] 6 52 3" xfId="32626"/>
    <cellStyle name="Input [yellow] 6 52 4" xfId="32627"/>
    <cellStyle name="Input [yellow] 6 52 5" xfId="32628"/>
    <cellStyle name="Input [yellow] 6 52 6" xfId="32629"/>
    <cellStyle name="Input [yellow] 6 52 7" xfId="32630"/>
    <cellStyle name="Input [yellow] 6 53" xfId="5939"/>
    <cellStyle name="Input [yellow] 6 53 2" xfId="32631"/>
    <cellStyle name="Input [yellow] 6 53 3" xfId="32632"/>
    <cellStyle name="Input [yellow] 6 53 4" xfId="32633"/>
    <cellStyle name="Input [yellow] 6 53 5" xfId="32634"/>
    <cellStyle name="Input [yellow] 6 53 6" xfId="32635"/>
    <cellStyle name="Input [yellow] 6 53 7" xfId="32636"/>
    <cellStyle name="Input [yellow] 6 54" xfId="5940"/>
    <cellStyle name="Input [yellow] 6 54 2" xfId="32637"/>
    <cellStyle name="Input [yellow] 6 54 3" xfId="32638"/>
    <cellStyle name="Input [yellow] 6 54 4" xfId="32639"/>
    <cellStyle name="Input [yellow] 6 54 5" xfId="32640"/>
    <cellStyle name="Input [yellow] 6 54 6" xfId="32641"/>
    <cellStyle name="Input [yellow] 6 54 7" xfId="32642"/>
    <cellStyle name="Input [yellow] 6 55" xfId="5941"/>
    <cellStyle name="Input [yellow] 6 55 2" xfId="32643"/>
    <cellStyle name="Input [yellow] 6 55 3" xfId="32644"/>
    <cellStyle name="Input [yellow] 6 55 4" xfId="32645"/>
    <cellStyle name="Input [yellow] 6 55 5" xfId="32646"/>
    <cellStyle name="Input [yellow] 6 55 6" xfId="32647"/>
    <cellStyle name="Input [yellow] 6 55 7" xfId="32648"/>
    <cellStyle name="Input [yellow] 6 56" xfId="5942"/>
    <cellStyle name="Input [yellow] 6 56 2" xfId="32649"/>
    <cellStyle name="Input [yellow] 6 56 3" xfId="32650"/>
    <cellStyle name="Input [yellow] 6 56 4" xfId="32651"/>
    <cellStyle name="Input [yellow] 6 56 5" xfId="32652"/>
    <cellStyle name="Input [yellow] 6 56 6" xfId="32653"/>
    <cellStyle name="Input [yellow] 6 56 7" xfId="32654"/>
    <cellStyle name="Input [yellow] 6 57" xfId="5943"/>
    <cellStyle name="Input [yellow] 6 57 2" xfId="32655"/>
    <cellStyle name="Input [yellow] 6 57 3" xfId="32656"/>
    <cellStyle name="Input [yellow] 6 57 4" xfId="32657"/>
    <cellStyle name="Input [yellow] 6 57 5" xfId="32658"/>
    <cellStyle name="Input [yellow] 6 57 6" xfId="32659"/>
    <cellStyle name="Input [yellow] 6 57 7" xfId="32660"/>
    <cellStyle name="Input [yellow] 6 58" xfId="5944"/>
    <cellStyle name="Input [yellow] 6 58 2" xfId="32661"/>
    <cellStyle name="Input [yellow] 6 58 3" xfId="32662"/>
    <cellStyle name="Input [yellow] 6 58 4" xfId="32663"/>
    <cellStyle name="Input [yellow] 6 58 5" xfId="32664"/>
    <cellStyle name="Input [yellow] 6 58 6" xfId="32665"/>
    <cellStyle name="Input [yellow] 6 58 7" xfId="32666"/>
    <cellStyle name="Input [yellow] 6 59" xfId="5945"/>
    <cellStyle name="Input [yellow] 6 59 2" xfId="32667"/>
    <cellStyle name="Input [yellow] 6 59 3" xfId="32668"/>
    <cellStyle name="Input [yellow] 6 59 4" xfId="32669"/>
    <cellStyle name="Input [yellow] 6 59 5" xfId="32670"/>
    <cellStyle name="Input [yellow] 6 59 6" xfId="32671"/>
    <cellStyle name="Input [yellow] 6 59 7" xfId="32672"/>
    <cellStyle name="Input [yellow] 6 6" xfId="5946"/>
    <cellStyle name="Input [yellow] 6 6 2" xfId="32673"/>
    <cellStyle name="Input [yellow] 6 6 3" xfId="32674"/>
    <cellStyle name="Input [yellow] 6 6 4" xfId="32675"/>
    <cellStyle name="Input [yellow] 6 6 5" xfId="32676"/>
    <cellStyle name="Input [yellow] 6 6 6" xfId="32677"/>
    <cellStyle name="Input [yellow] 6 6 7" xfId="32678"/>
    <cellStyle name="Input [yellow] 6 60" xfId="5947"/>
    <cellStyle name="Input [yellow] 6 60 2" xfId="32679"/>
    <cellStyle name="Input [yellow] 6 60 3" xfId="32680"/>
    <cellStyle name="Input [yellow] 6 60 4" xfId="32681"/>
    <cellStyle name="Input [yellow] 6 60 5" xfId="32682"/>
    <cellStyle name="Input [yellow] 6 60 6" xfId="32683"/>
    <cellStyle name="Input [yellow] 6 60 7" xfId="32684"/>
    <cellStyle name="Input [yellow] 6 61" xfId="5948"/>
    <cellStyle name="Input [yellow] 6 61 2" xfId="32685"/>
    <cellStyle name="Input [yellow] 6 61 3" xfId="32686"/>
    <cellStyle name="Input [yellow] 6 61 4" xfId="32687"/>
    <cellStyle name="Input [yellow] 6 61 5" xfId="32688"/>
    <cellStyle name="Input [yellow] 6 61 6" xfId="32689"/>
    <cellStyle name="Input [yellow] 6 61 7" xfId="32690"/>
    <cellStyle name="Input [yellow] 6 62" xfId="5949"/>
    <cellStyle name="Input [yellow] 6 62 2" xfId="32691"/>
    <cellStyle name="Input [yellow] 6 62 3" xfId="32692"/>
    <cellStyle name="Input [yellow] 6 62 4" xfId="32693"/>
    <cellStyle name="Input [yellow] 6 62 5" xfId="32694"/>
    <cellStyle name="Input [yellow] 6 62 6" xfId="32695"/>
    <cellStyle name="Input [yellow] 6 62 7" xfId="32696"/>
    <cellStyle name="Input [yellow] 6 63" xfId="5950"/>
    <cellStyle name="Input [yellow] 6 63 2" xfId="32697"/>
    <cellStyle name="Input [yellow] 6 63 3" xfId="32698"/>
    <cellStyle name="Input [yellow] 6 63 4" xfId="32699"/>
    <cellStyle name="Input [yellow] 6 63 5" xfId="32700"/>
    <cellStyle name="Input [yellow] 6 63 6" xfId="32701"/>
    <cellStyle name="Input [yellow] 6 63 7" xfId="32702"/>
    <cellStyle name="Input [yellow] 6 64" xfId="5951"/>
    <cellStyle name="Input [yellow] 6 64 2" xfId="32703"/>
    <cellStyle name="Input [yellow] 6 64 3" xfId="32704"/>
    <cellStyle name="Input [yellow] 6 64 4" xfId="32705"/>
    <cellStyle name="Input [yellow] 6 64 5" xfId="32706"/>
    <cellStyle name="Input [yellow] 6 64 6" xfId="32707"/>
    <cellStyle name="Input [yellow] 6 64 7" xfId="32708"/>
    <cellStyle name="Input [yellow] 6 65" xfId="5952"/>
    <cellStyle name="Input [yellow] 6 65 2" xfId="32709"/>
    <cellStyle name="Input [yellow] 6 65 3" xfId="32710"/>
    <cellStyle name="Input [yellow] 6 65 4" xfId="32711"/>
    <cellStyle name="Input [yellow] 6 65 5" xfId="32712"/>
    <cellStyle name="Input [yellow] 6 65 6" xfId="32713"/>
    <cellStyle name="Input [yellow] 6 65 7" xfId="32714"/>
    <cellStyle name="Input [yellow] 6 66" xfId="5953"/>
    <cellStyle name="Input [yellow] 6 66 2" xfId="32715"/>
    <cellStyle name="Input [yellow] 6 66 3" xfId="32716"/>
    <cellStyle name="Input [yellow] 6 66 4" xfId="32717"/>
    <cellStyle name="Input [yellow] 6 66 5" xfId="32718"/>
    <cellStyle name="Input [yellow] 6 66 6" xfId="32719"/>
    <cellStyle name="Input [yellow] 6 66 7" xfId="32720"/>
    <cellStyle name="Input [yellow] 6 67" xfId="5954"/>
    <cellStyle name="Input [yellow] 6 67 2" xfId="32721"/>
    <cellStyle name="Input [yellow] 6 67 3" xfId="32722"/>
    <cellStyle name="Input [yellow] 6 67 4" xfId="32723"/>
    <cellStyle name="Input [yellow] 6 67 5" xfId="32724"/>
    <cellStyle name="Input [yellow] 6 67 6" xfId="32725"/>
    <cellStyle name="Input [yellow] 6 67 7" xfId="32726"/>
    <cellStyle name="Input [yellow] 6 68" xfId="5955"/>
    <cellStyle name="Input [yellow] 6 68 2" xfId="32727"/>
    <cellStyle name="Input [yellow] 6 68 3" xfId="32728"/>
    <cellStyle name="Input [yellow] 6 68 4" xfId="32729"/>
    <cellStyle name="Input [yellow] 6 68 5" xfId="32730"/>
    <cellStyle name="Input [yellow] 6 68 6" xfId="32731"/>
    <cellStyle name="Input [yellow] 6 68 7" xfId="32732"/>
    <cellStyle name="Input [yellow] 6 69" xfId="5956"/>
    <cellStyle name="Input [yellow] 6 69 2" xfId="32733"/>
    <cellStyle name="Input [yellow] 6 69 3" xfId="32734"/>
    <cellStyle name="Input [yellow] 6 69 4" xfId="32735"/>
    <cellStyle name="Input [yellow] 6 69 5" xfId="32736"/>
    <cellStyle name="Input [yellow] 6 69 6" xfId="32737"/>
    <cellStyle name="Input [yellow] 6 69 7" xfId="32738"/>
    <cellStyle name="Input [yellow] 6 7" xfId="5957"/>
    <cellStyle name="Input [yellow] 6 7 2" xfId="32739"/>
    <cellStyle name="Input [yellow] 6 7 3" xfId="32740"/>
    <cellStyle name="Input [yellow] 6 7 4" xfId="32741"/>
    <cellStyle name="Input [yellow] 6 7 5" xfId="32742"/>
    <cellStyle name="Input [yellow] 6 7 6" xfId="32743"/>
    <cellStyle name="Input [yellow] 6 7 7" xfId="32744"/>
    <cellStyle name="Input [yellow] 6 70" xfId="5958"/>
    <cellStyle name="Input [yellow] 6 70 2" xfId="32745"/>
    <cellStyle name="Input [yellow] 6 70 3" xfId="32746"/>
    <cellStyle name="Input [yellow] 6 70 4" xfId="32747"/>
    <cellStyle name="Input [yellow] 6 70 5" xfId="32748"/>
    <cellStyle name="Input [yellow] 6 70 6" xfId="32749"/>
    <cellStyle name="Input [yellow] 6 70 7" xfId="32750"/>
    <cellStyle name="Input [yellow] 6 71" xfId="5959"/>
    <cellStyle name="Input [yellow] 6 71 2" xfId="32751"/>
    <cellStyle name="Input [yellow] 6 71 3" xfId="32752"/>
    <cellStyle name="Input [yellow] 6 71 4" xfId="32753"/>
    <cellStyle name="Input [yellow] 6 71 5" xfId="32754"/>
    <cellStyle name="Input [yellow] 6 71 6" xfId="32755"/>
    <cellStyle name="Input [yellow] 6 71 7" xfId="32756"/>
    <cellStyle name="Input [yellow] 6 72" xfId="5960"/>
    <cellStyle name="Input [yellow] 6 72 2" xfId="32757"/>
    <cellStyle name="Input [yellow] 6 72 3" xfId="32758"/>
    <cellStyle name="Input [yellow] 6 72 4" xfId="32759"/>
    <cellStyle name="Input [yellow] 6 72 5" xfId="32760"/>
    <cellStyle name="Input [yellow] 6 72 6" xfId="32761"/>
    <cellStyle name="Input [yellow] 6 72 7" xfId="32762"/>
    <cellStyle name="Input [yellow] 6 73" xfId="5961"/>
    <cellStyle name="Input [yellow] 6 73 2" xfId="32763"/>
    <cellStyle name="Input [yellow] 6 73 3" xfId="32764"/>
    <cellStyle name="Input [yellow] 6 73 4" xfId="32765"/>
    <cellStyle name="Input [yellow] 6 73 5" xfId="32766"/>
    <cellStyle name="Input [yellow] 6 73 6" xfId="32767"/>
    <cellStyle name="Input [yellow] 6 73 7" xfId="32768"/>
    <cellStyle name="Input [yellow] 6 74" xfId="5962"/>
    <cellStyle name="Input [yellow] 6 74 2" xfId="32769"/>
    <cellStyle name="Input [yellow] 6 74 3" xfId="32770"/>
    <cellStyle name="Input [yellow] 6 74 4" xfId="32771"/>
    <cellStyle name="Input [yellow] 6 74 5" xfId="32772"/>
    <cellStyle name="Input [yellow] 6 74 6" xfId="32773"/>
    <cellStyle name="Input [yellow] 6 74 7" xfId="32774"/>
    <cellStyle name="Input [yellow] 6 75" xfId="5963"/>
    <cellStyle name="Input [yellow] 6 75 2" xfId="32775"/>
    <cellStyle name="Input [yellow] 6 75 3" xfId="32776"/>
    <cellStyle name="Input [yellow] 6 75 4" xfId="32777"/>
    <cellStyle name="Input [yellow] 6 75 5" xfId="32778"/>
    <cellStyle name="Input [yellow] 6 75 6" xfId="32779"/>
    <cellStyle name="Input [yellow] 6 75 7" xfId="32780"/>
    <cellStyle name="Input [yellow] 6 76" xfId="5964"/>
    <cellStyle name="Input [yellow] 6 76 2" xfId="32781"/>
    <cellStyle name="Input [yellow] 6 76 3" xfId="32782"/>
    <cellStyle name="Input [yellow] 6 76 4" xfId="32783"/>
    <cellStyle name="Input [yellow] 6 76 5" xfId="32784"/>
    <cellStyle name="Input [yellow] 6 76 6" xfId="32785"/>
    <cellStyle name="Input [yellow] 6 76 7" xfId="32786"/>
    <cellStyle name="Input [yellow] 6 77" xfId="5965"/>
    <cellStyle name="Input [yellow] 6 77 2" xfId="32787"/>
    <cellStyle name="Input [yellow] 6 77 3" xfId="32788"/>
    <cellStyle name="Input [yellow] 6 77 4" xfId="32789"/>
    <cellStyle name="Input [yellow] 6 77 5" xfId="32790"/>
    <cellStyle name="Input [yellow] 6 77 6" xfId="32791"/>
    <cellStyle name="Input [yellow] 6 77 7" xfId="32792"/>
    <cellStyle name="Input [yellow] 6 78" xfId="5966"/>
    <cellStyle name="Input [yellow] 6 78 2" xfId="32793"/>
    <cellStyle name="Input [yellow] 6 78 3" xfId="32794"/>
    <cellStyle name="Input [yellow] 6 78 4" xfId="32795"/>
    <cellStyle name="Input [yellow] 6 78 5" xfId="32796"/>
    <cellStyle name="Input [yellow] 6 78 6" xfId="32797"/>
    <cellStyle name="Input [yellow] 6 78 7" xfId="32798"/>
    <cellStyle name="Input [yellow] 6 79" xfId="5967"/>
    <cellStyle name="Input [yellow] 6 79 2" xfId="32799"/>
    <cellStyle name="Input [yellow] 6 79 3" xfId="32800"/>
    <cellStyle name="Input [yellow] 6 79 4" xfId="32801"/>
    <cellStyle name="Input [yellow] 6 79 5" xfId="32802"/>
    <cellStyle name="Input [yellow] 6 79 6" xfId="32803"/>
    <cellStyle name="Input [yellow] 6 79 7" xfId="32804"/>
    <cellStyle name="Input [yellow] 6 8" xfId="5968"/>
    <cellStyle name="Input [yellow] 6 8 2" xfId="32805"/>
    <cellStyle name="Input [yellow] 6 8 3" xfId="32806"/>
    <cellStyle name="Input [yellow] 6 8 4" xfId="32807"/>
    <cellStyle name="Input [yellow] 6 8 5" xfId="32808"/>
    <cellStyle name="Input [yellow] 6 8 6" xfId="32809"/>
    <cellStyle name="Input [yellow] 6 8 7" xfId="32810"/>
    <cellStyle name="Input [yellow] 6 80" xfId="5969"/>
    <cellStyle name="Input [yellow] 6 80 2" xfId="32811"/>
    <cellStyle name="Input [yellow] 6 80 3" xfId="32812"/>
    <cellStyle name="Input [yellow] 6 80 4" xfId="32813"/>
    <cellStyle name="Input [yellow] 6 80 5" xfId="32814"/>
    <cellStyle name="Input [yellow] 6 80 6" xfId="32815"/>
    <cellStyle name="Input [yellow] 6 80 7" xfId="32816"/>
    <cellStyle name="Input [yellow] 6 81" xfId="5970"/>
    <cellStyle name="Input [yellow] 6 81 2" xfId="32817"/>
    <cellStyle name="Input [yellow] 6 81 3" xfId="32818"/>
    <cellStyle name="Input [yellow] 6 81 4" xfId="32819"/>
    <cellStyle name="Input [yellow] 6 81 5" xfId="32820"/>
    <cellStyle name="Input [yellow] 6 81 6" xfId="32821"/>
    <cellStyle name="Input [yellow] 6 81 7" xfId="32822"/>
    <cellStyle name="Input [yellow] 6 82" xfId="5971"/>
    <cellStyle name="Input [yellow] 6 82 2" xfId="32823"/>
    <cellStyle name="Input [yellow] 6 82 3" xfId="32824"/>
    <cellStyle name="Input [yellow] 6 82 4" xfId="32825"/>
    <cellStyle name="Input [yellow] 6 82 5" xfId="32826"/>
    <cellStyle name="Input [yellow] 6 82 6" xfId="32827"/>
    <cellStyle name="Input [yellow] 6 82 7" xfId="32828"/>
    <cellStyle name="Input [yellow] 6 83" xfId="5972"/>
    <cellStyle name="Input [yellow] 6 83 2" xfId="32829"/>
    <cellStyle name="Input [yellow] 6 83 3" xfId="32830"/>
    <cellStyle name="Input [yellow] 6 83 4" xfId="32831"/>
    <cellStyle name="Input [yellow] 6 83 5" xfId="32832"/>
    <cellStyle name="Input [yellow] 6 83 6" xfId="32833"/>
    <cellStyle name="Input [yellow] 6 83 7" xfId="32834"/>
    <cellStyle name="Input [yellow] 6 84" xfId="5973"/>
    <cellStyle name="Input [yellow] 6 84 2" xfId="32835"/>
    <cellStyle name="Input [yellow] 6 84 3" xfId="32836"/>
    <cellStyle name="Input [yellow] 6 84 4" xfId="32837"/>
    <cellStyle name="Input [yellow] 6 84 5" xfId="32838"/>
    <cellStyle name="Input [yellow] 6 84 6" xfId="32839"/>
    <cellStyle name="Input [yellow] 6 84 7" xfId="32840"/>
    <cellStyle name="Input [yellow] 6 85" xfId="5974"/>
    <cellStyle name="Input [yellow] 6 85 2" xfId="32841"/>
    <cellStyle name="Input [yellow] 6 85 3" xfId="32842"/>
    <cellStyle name="Input [yellow] 6 85 4" xfId="32843"/>
    <cellStyle name="Input [yellow] 6 85 5" xfId="32844"/>
    <cellStyle name="Input [yellow] 6 85 6" xfId="32845"/>
    <cellStyle name="Input [yellow] 6 85 7" xfId="32846"/>
    <cellStyle name="Input [yellow] 6 86" xfId="5975"/>
    <cellStyle name="Input [yellow] 6 86 2" xfId="32847"/>
    <cellStyle name="Input [yellow] 6 86 3" xfId="32848"/>
    <cellStyle name="Input [yellow] 6 86 4" xfId="32849"/>
    <cellStyle name="Input [yellow] 6 86 5" xfId="32850"/>
    <cellStyle name="Input [yellow] 6 86 6" xfId="32851"/>
    <cellStyle name="Input [yellow] 6 86 7" xfId="32852"/>
    <cellStyle name="Input [yellow] 6 87" xfId="5976"/>
    <cellStyle name="Input [yellow] 6 87 2" xfId="32853"/>
    <cellStyle name="Input [yellow] 6 87 3" xfId="32854"/>
    <cellStyle name="Input [yellow] 6 87 4" xfId="32855"/>
    <cellStyle name="Input [yellow] 6 87 5" xfId="32856"/>
    <cellStyle name="Input [yellow] 6 87 6" xfId="32857"/>
    <cellStyle name="Input [yellow] 6 87 7" xfId="32858"/>
    <cellStyle name="Input [yellow] 6 88" xfId="5977"/>
    <cellStyle name="Input [yellow] 6 88 2" xfId="32859"/>
    <cellStyle name="Input [yellow] 6 88 3" xfId="32860"/>
    <cellStyle name="Input [yellow] 6 88 4" xfId="32861"/>
    <cellStyle name="Input [yellow] 6 88 5" xfId="32862"/>
    <cellStyle name="Input [yellow] 6 88 6" xfId="32863"/>
    <cellStyle name="Input [yellow] 6 88 7" xfId="32864"/>
    <cellStyle name="Input [yellow] 6 89" xfId="5978"/>
    <cellStyle name="Input [yellow] 6 89 2" xfId="32865"/>
    <cellStyle name="Input [yellow] 6 89 3" xfId="32866"/>
    <cellStyle name="Input [yellow] 6 89 4" xfId="32867"/>
    <cellStyle name="Input [yellow] 6 89 5" xfId="32868"/>
    <cellStyle name="Input [yellow] 6 89 6" xfId="32869"/>
    <cellStyle name="Input [yellow] 6 89 7" xfId="32870"/>
    <cellStyle name="Input [yellow] 6 9" xfId="5979"/>
    <cellStyle name="Input [yellow] 6 9 2" xfId="32871"/>
    <cellStyle name="Input [yellow] 6 9 3" xfId="32872"/>
    <cellStyle name="Input [yellow] 6 9 4" xfId="32873"/>
    <cellStyle name="Input [yellow] 6 9 5" xfId="32874"/>
    <cellStyle name="Input [yellow] 6 9 6" xfId="32875"/>
    <cellStyle name="Input [yellow] 6 9 7" xfId="32876"/>
    <cellStyle name="Input [yellow] 6 90" xfId="5980"/>
    <cellStyle name="Input [yellow] 6 90 2" xfId="32877"/>
    <cellStyle name="Input [yellow] 6 90 3" xfId="32878"/>
    <cellStyle name="Input [yellow] 6 90 4" xfId="32879"/>
    <cellStyle name="Input [yellow] 6 90 5" xfId="32880"/>
    <cellStyle name="Input [yellow] 6 90 6" xfId="32881"/>
    <cellStyle name="Input [yellow] 6 90 7" xfId="32882"/>
    <cellStyle name="Input [yellow] 6 91" xfId="5981"/>
    <cellStyle name="Input [yellow] 6 91 2" xfId="32883"/>
    <cellStyle name="Input [yellow] 6 91 3" xfId="32884"/>
    <cellStyle name="Input [yellow] 6 91 4" xfId="32885"/>
    <cellStyle name="Input [yellow] 6 91 5" xfId="32886"/>
    <cellStyle name="Input [yellow] 6 91 6" xfId="32887"/>
    <cellStyle name="Input [yellow] 6 91 7" xfId="32888"/>
    <cellStyle name="Input [yellow] 6 92" xfId="5982"/>
    <cellStyle name="Input [yellow] 6 92 2" xfId="32889"/>
    <cellStyle name="Input [yellow] 6 92 3" xfId="32890"/>
    <cellStyle name="Input [yellow] 6 92 4" xfId="32891"/>
    <cellStyle name="Input [yellow] 6 92 5" xfId="32892"/>
    <cellStyle name="Input [yellow] 6 92 6" xfId="32893"/>
    <cellStyle name="Input [yellow] 6 92 7" xfId="32894"/>
    <cellStyle name="Input [yellow] 6 93" xfId="5983"/>
    <cellStyle name="Input [yellow] 6 93 2" xfId="32895"/>
    <cellStyle name="Input [yellow] 6 93 3" xfId="32896"/>
    <cellStyle name="Input [yellow] 6 93 4" xfId="32897"/>
    <cellStyle name="Input [yellow] 6 93 5" xfId="32898"/>
    <cellStyle name="Input [yellow] 6 93 6" xfId="32899"/>
    <cellStyle name="Input [yellow] 6 94" xfId="32900"/>
    <cellStyle name="Input [yellow] 6 95" xfId="32901"/>
    <cellStyle name="Input [yellow] 6 96" xfId="32902"/>
    <cellStyle name="Input [yellow] 6 97" xfId="32903"/>
    <cellStyle name="Input [yellow] 6 98" xfId="32904"/>
    <cellStyle name="Input [yellow] 6 99" xfId="32905"/>
    <cellStyle name="Input [yellow] 60" xfId="5984"/>
    <cellStyle name="Input [yellow] 60 2" xfId="32906"/>
    <cellStyle name="Input [yellow] 60 3" xfId="32907"/>
    <cellStyle name="Input [yellow] 60 4" xfId="32908"/>
    <cellStyle name="Input [yellow] 60 5" xfId="32909"/>
    <cellStyle name="Input [yellow] 60 6" xfId="32910"/>
    <cellStyle name="Input [yellow] 60 7" xfId="32911"/>
    <cellStyle name="Input [yellow] 61" xfId="5985"/>
    <cellStyle name="Input [yellow] 61 2" xfId="32912"/>
    <cellStyle name="Input [yellow] 61 3" xfId="32913"/>
    <cellStyle name="Input [yellow] 61 4" xfId="32914"/>
    <cellStyle name="Input [yellow] 61 5" xfId="32915"/>
    <cellStyle name="Input [yellow] 61 6" xfId="32916"/>
    <cellStyle name="Input [yellow] 61 7" xfId="32917"/>
    <cellStyle name="Input [yellow] 62" xfId="5986"/>
    <cellStyle name="Input [yellow] 62 2" xfId="32918"/>
    <cellStyle name="Input [yellow] 62 3" xfId="32919"/>
    <cellStyle name="Input [yellow] 62 4" xfId="32920"/>
    <cellStyle name="Input [yellow] 62 5" xfId="32921"/>
    <cellStyle name="Input [yellow] 62 6" xfId="32922"/>
    <cellStyle name="Input [yellow] 62 7" xfId="32923"/>
    <cellStyle name="Input [yellow] 63" xfId="5987"/>
    <cellStyle name="Input [yellow] 63 2" xfId="32924"/>
    <cellStyle name="Input [yellow] 63 3" xfId="32925"/>
    <cellStyle name="Input [yellow] 63 4" xfId="32926"/>
    <cellStyle name="Input [yellow] 63 5" xfId="32927"/>
    <cellStyle name="Input [yellow] 63 6" xfId="32928"/>
    <cellStyle name="Input [yellow] 63 7" xfId="32929"/>
    <cellStyle name="Input [yellow] 64" xfId="5988"/>
    <cellStyle name="Input [yellow] 64 2" xfId="32930"/>
    <cellStyle name="Input [yellow] 64 3" xfId="32931"/>
    <cellStyle name="Input [yellow] 64 4" xfId="32932"/>
    <cellStyle name="Input [yellow] 64 5" xfId="32933"/>
    <cellStyle name="Input [yellow] 64 6" xfId="32934"/>
    <cellStyle name="Input [yellow] 64 7" xfId="32935"/>
    <cellStyle name="Input [yellow] 65" xfId="5989"/>
    <cellStyle name="Input [yellow] 65 2" xfId="32936"/>
    <cellStyle name="Input [yellow] 65 3" xfId="32937"/>
    <cellStyle name="Input [yellow] 65 4" xfId="32938"/>
    <cellStyle name="Input [yellow] 65 5" xfId="32939"/>
    <cellStyle name="Input [yellow] 65 6" xfId="32940"/>
    <cellStyle name="Input [yellow] 65 7" xfId="32941"/>
    <cellStyle name="Input [yellow] 66" xfId="5990"/>
    <cellStyle name="Input [yellow] 66 2" xfId="32942"/>
    <cellStyle name="Input [yellow] 66 3" xfId="32943"/>
    <cellStyle name="Input [yellow] 66 4" xfId="32944"/>
    <cellStyle name="Input [yellow] 66 5" xfId="32945"/>
    <cellStyle name="Input [yellow] 66 6" xfId="32946"/>
    <cellStyle name="Input [yellow] 66 7" xfId="32947"/>
    <cellStyle name="Input [yellow] 67" xfId="5991"/>
    <cellStyle name="Input [yellow] 67 2" xfId="32948"/>
    <cellStyle name="Input [yellow] 67 3" xfId="32949"/>
    <cellStyle name="Input [yellow] 67 4" xfId="32950"/>
    <cellStyle name="Input [yellow] 67 5" xfId="32951"/>
    <cellStyle name="Input [yellow] 67 6" xfId="32952"/>
    <cellStyle name="Input [yellow] 67 7" xfId="32953"/>
    <cellStyle name="Input [yellow] 68" xfId="5992"/>
    <cellStyle name="Input [yellow] 68 2" xfId="32954"/>
    <cellStyle name="Input [yellow] 68 3" xfId="32955"/>
    <cellStyle name="Input [yellow] 68 4" xfId="32956"/>
    <cellStyle name="Input [yellow] 68 5" xfId="32957"/>
    <cellStyle name="Input [yellow] 68 6" xfId="32958"/>
    <cellStyle name="Input [yellow] 68 7" xfId="32959"/>
    <cellStyle name="Input [yellow] 69" xfId="5993"/>
    <cellStyle name="Input [yellow] 69 2" xfId="32960"/>
    <cellStyle name="Input [yellow] 69 3" xfId="32961"/>
    <cellStyle name="Input [yellow] 69 4" xfId="32962"/>
    <cellStyle name="Input [yellow] 69 5" xfId="32963"/>
    <cellStyle name="Input [yellow] 69 6" xfId="32964"/>
    <cellStyle name="Input [yellow] 69 7" xfId="32965"/>
    <cellStyle name="Input [yellow] 7" xfId="5994"/>
    <cellStyle name="Input [yellow] 7 10" xfId="32966"/>
    <cellStyle name="Input [yellow] 7 11" xfId="32967"/>
    <cellStyle name="Input [yellow] 7 2" xfId="32968"/>
    <cellStyle name="Input [yellow] 7 3" xfId="32969"/>
    <cellStyle name="Input [yellow] 7 4" xfId="32970"/>
    <cellStyle name="Input [yellow] 7 5" xfId="32971"/>
    <cellStyle name="Input [yellow] 7 6" xfId="32972"/>
    <cellStyle name="Input [yellow] 7 7" xfId="32973"/>
    <cellStyle name="Input [yellow] 7 8" xfId="32974"/>
    <cellStyle name="Input [yellow] 7 9" xfId="32975"/>
    <cellStyle name="Input [yellow] 70" xfId="5995"/>
    <cellStyle name="Input [yellow] 70 2" xfId="32976"/>
    <cellStyle name="Input [yellow] 70 3" xfId="32977"/>
    <cellStyle name="Input [yellow] 70 4" xfId="32978"/>
    <cellStyle name="Input [yellow] 70 5" xfId="32979"/>
    <cellStyle name="Input [yellow] 70 6" xfId="32980"/>
    <cellStyle name="Input [yellow] 70 7" xfId="32981"/>
    <cellStyle name="Input [yellow] 71" xfId="5996"/>
    <cellStyle name="Input [yellow] 71 2" xfId="32982"/>
    <cellStyle name="Input [yellow] 71 3" xfId="32983"/>
    <cellStyle name="Input [yellow] 71 4" xfId="32984"/>
    <cellStyle name="Input [yellow] 71 5" xfId="32985"/>
    <cellStyle name="Input [yellow] 71 6" xfId="32986"/>
    <cellStyle name="Input [yellow] 71 7" xfId="32987"/>
    <cellStyle name="Input [yellow] 72" xfId="5997"/>
    <cellStyle name="Input [yellow] 72 2" xfId="32988"/>
    <cellStyle name="Input [yellow] 72 3" xfId="32989"/>
    <cellStyle name="Input [yellow] 72 4" xfId="32990"/>
    <cellStyle name="Input [yellow] 72 5" xfId="32991"/>
    <cellStyle name="Input [yellow] 72 6" xfId="32992"/>
    <cellStyle name="Input [yellow] 72 7" xfId="32993"/>
    <cellStyle name="Input [yellow] 73" xfId="5998"/>
    <cellStyle name="Input [yellow] 73 2" xfId="32994"/>
    <cellStyle name="Input [yellow] 73 3" xfId="32995"/>
    <cellStyle name="Input [yellow] 73 4" xfId="32996"/>
    <cellStyle name="Input [yellow] 73 5" xfId="32997"/>
    <cellStyle name="Input [yellow] 73 6" xfId="32998"/>
    <cellStyle name="Input [yellow] 73 7" xfId="32999"/>
    <cellStyle name="Input [yellow] 74" xfId="5999"/>
    <cellStyle name="Input [yellow] 74 2" xfId="33000"/>
    <cellStyle name="Input [yellow] 74 3" xfId="33001"/>
    <cellStyle name="Input [yellow] 74 4" xfId="33002"/>
    <cellStyle name="Input [yellow] 74 5" xfId="33003"/>
    <cellStyle name="Input [yellow] 74 6" xfId="33004"/>
    <cellStyle name="Input [yellow] 74 7" xfId="33005"/>
    <cellStyle name="Input [yellow] 75" xfId="6000"/>
    <cellStyle name="Input [yellow] 75 2" xfId="33006"/>
    <cellStyle name="Input [yellow] 75 3" xfId="33007"/>
    <cellStyle name="Input [yellow] 75 4" xfId="33008"/>
    <cellStyle name="Input [yellow] 75 5" xfId="33009"/>
    <cellStyle name="Input [yellow] 75 6" xfId="33010"/>
    <cellStyle name="Input [yellow] 75 7" xfId="33011"/>
    <cellStyle name="Input [yellow] 8" xfId="6001"/>
    <cellStyle name="Input [yellow] 8 10" xfId="33012"/>
    <cellStyle name="Input [yellow] 8 11" xfId="33013"/>
    <cellStyle name="Input [yellow] 8 2" xfId="33014"/>
    <cellStyle name="Input [yellow] 8 3" xfId="33015"/>
    <cellStyle name="Input [yellow] 8 4" xfId="33016"/>
    <cellStyle name="Input [yellow] 8 5" xfId="33017"/>
    <cellStyle name="Input [yellow] 8 6" xfId="33018"/>
    <cellStyle name="Input [yellow] 8 7" xfId="33019"/>
    <cellStyle name="Input [yellow] 8 8" xfId="33020"/>
    <cellStyle name="Input [yellow] 8 9" xfId="33021"/>
    <cellStyle name="Input [yellow] 9" xfId="6002"/>
    <cellStyle name="Input [yellow] 9 10" xfId="33022"/>
    <cellStyle name="Input [yellow] 9 11" xfId="33023"/>
    <cellStyle name="Input [yellow] 9 2" xfId="33024"/>
    <cellStyle name="Input [yellow] 9 3" xfId="33025"/>
    <cellStyle name="Input [yellow] 9 4" xfId="33026"/>
    <cellStyle name="Input [yellow] 9 5" xfId="33027"/>
    <cellStyle name="Input [yellow] 9 6" xfId="33028"/>
    <cellStyle name="Input [yellow] 9 7" xfId="33029"/>
    <cellStyle name="Input [yellow] 9 8" xfId="33030"/>
    <cellStyle name="Input [yellow] 9 9" xfId="33031"/>
    <cellStyle name="Input 2" xfId="1211"/>
    <cellStyle name="Input 2 10" xfId="10938"/>
    <cellStyle name="Input 2 2" xfId="1212"/>
    <cellStyle name="Input 2 2 2" xfId="1213"/>
    <cellStyle name="Input 2 2 2 2" xfId="1214"/>
    <cellStyle name="Input 2 2 2 2 2" xfId="1215"/>
    <cellStyle name="Input 2 2 2 2 2 2" xfId="1216"/>
    <cellStyle name="Input 2 2 2 2 2 2 2" xfId="13126"/>
    <cellStyle name="Input 2 2 2 2 2 2_YL Capex Cashflow &amp; Dep" xfId="11303"/>
    <cellStyle name="Input 2 2 2 2 2 3" xfId="12154"/>
    <cellStyle name="Input 2 2 2 2 2_YL Capex Cashflow &amp; Dep" xfId="11304"/>
    <cellStyle name="Input 2 2 2 2 3" xfId="1217"/>
    <cellStyle name="Input 2 2 2 2 3 2" xfId="1218"/>
    <cellStyle name="Input 2 2 2 2 3 2 2" xfId="13119"/>
    <cellStyle name="Input 2 2 2 2 3 2_YL Capex Cashflow &amp; Dep" xfId="11301"/>
    <cellStyle name="Input 2 2 2 2 3 3" xfId="12533"/>
    <cellStyle name="Input 2 2 2 2 3_YL Capex Cashflow &amp; Dep" xfId="11302"/>
    <cellStyle name="Input 2 2 2 2 4" xfId="11838"/>
    <cellStyle name="Input 2 2 2 2_YL Capex Cashflow &amp; Dep" xfId="11305"/>
    <cellStyle name="Input 2 2 2 3" xfId="1219"/>
    <cellStyle name="Input 2 2 2 3 2" xfId="1220"/>
    <cellStyle name="Input 2 2 2 3 2 2" xfId="12889"/>
    <cellStyle name="Input 2 2 2 3 2_YL Capex Cashflow &amp; Dep" xfId="11299"/>
    <cellStyle name="Input 2 2 2 3 3" xfId="12055"/>
    <cellStyle name="Input 2 2 2 3_YL Capex Cashflow &amp; Dep" xfId="11300"/>
    <cellStyle name="Input 2 2 2 4" xfId="1221"/>
    <cellStyle name="Input 2 2 2 4 2" xfId="1222"/>
    <cellStyle name="Input 2 2 2 4 2 2" xfId="12957"/>
    <cellStyle name="Input 2 2 2 4 2_YL Capex Cashflow &amp; Dep" xfId="11297"/>
    <cellStyle name="Input 2 2 2 4 3" xfId="12266"/>
    <cellStyle name="Input 2 2 2 4_YL Capex Cashflow &amp; Dep" xfId="11298"/>
    <cellStyle name="Input 2 2 2 5" xfId="11445"/>
    <cellStyle name="Input 2 2 2_YL Capex Cashflow &amp; Dep" xfId="11306"/>
    <cellStyle name="Input 2 2 3" xfId="1223"/>
    <cellStyle name="Input 2 2 3 2" xfId="1224"/>
    <cellStyle name="Input 2 2 3 2 2" xfId="1225"/>
    <cellStyle name="Input 2 2 3 2 2 2" xfId="1226"/>
    <cellStyle name="Input 2 2 3 2 2 2 2" xfId="12877"/>
    <cellStyle name="Input 2 2 3 2 2 2_YL Capex Cashflow &amp; Dep" xfId="11293"/>
    <cellStyle name="Input 2 2 3 2 2 3" xfId="12206"/>
    <cellStyle name="Input 2 2 3 2 2_YL Capex Cashflow &amp; Dep" xfId="11294"/>
    <cellStyle name="Input 2 2 3 2 3" xfId="1227"/>
    <cellStyle name="Input 2 2 3 2 3 2" xfId="1228"/>
    <cellStyle name="Input 2 2 3 2 3 2 2" xfId="13223"/>
    <cellStyle name="Input 2 2 3 2 3 2_YL Capex Cashflow &amp; Dep" xfId="13285"/>
    <cellStyle name="Input 2 2 3 2 3 3" xfId="12735"/>
    <cellStyle name="Input 2 2 3 2 3_YL Capex Cashflow &amp; Dep" xfId="11292"/>
    <cellStyle name="Input 2 2 3 2 4" xfId="12036"/>
    <cellStyle name="Input 2 2 3 2_YL Capex Cashflow &amp; Dep" xfId="11295"/>
    <cellStyle name="Input 2 2 3 3" xfId="1229"/>
    <cellStyle name="Input 2 2 3 3 2" xfId="1230"/>
    <cellStyle name="Input 2 2 3 3 2 2" xfId="12767"/>
    <cellStyle name="Input 2 2 3 3 2_YL Capex Cashflow &amp; Dep" xfId="11015"/>
    <cellStyle name="Input 2 2 3 3 3" xfId="12129"/>
    <cellStyle name="Input 2 2 3 3_YL Capex Cashflow &amp; Dep" xfId="11012"/>
    <cellStyle name="Input 2 2 3 4" xfId="1231"/>
    <cellStyle name="Input 2 2 3 4 2" xfId="1232"/>
    <cellStyle name="Input 2 2 3 4 2 2" xfId="13088"/>
    <cellStyle name="Input 2 2 3 4 2_YL Capex Cashflow &amp; Dep" xfId="11291"/>
    <cellStyle name="Input 2 2 3 4 3" xfId="12507"/>
    <cellStyle name="Input 2 2 3 4_YL Capex Cashflow &amp; Dep" xfId="10948"/>
    <cellStyle name="Input 2 2 3 5" xfId="11797"/>
    <cellStyle name="Input 2 2 3_YL Capex Cashflow &amp; Dep" xfId="11296"/>
    <cellStyle name="Input 2 2 4" xfId="1233"/>
    <cellStyle name="Input 2 2 4 2" xfId="1234"/>
    <cellStyle name="Input 2 2 4 2 2" xfId="1235"/>
    <cellStyle name="Input 2 2 4 2 2 2" xfId="13177"/>
    <cellStyle name="Input 2 2 4 2 2_YL Capex Cashflow &amp; Dep" xfId="11289"/>
    <cellStyle name="Input 2 2 4 2 3" xfId="12149"/>
    <cellStyle name="Input 2 2 4 2_YL Capex Cashflow &amp; Dep" xfId="11290"/>
    <cellStyle name="Input 2 2 4 3" xfId="1236"/>
    <cellStyle name="Input 2 2 4 3 2" xfId="1237"/>
    <cellStyle name="Input 2 2 4 3 2 2" xfId="13114"/>
    <cellStyle name="Input 2 2 4 3 2_YL Capex Cashflow &amp; Dep" xfId="11287"/>
    <cellStyle name="Input 2 2 4 3 3" xfId="12530"/>
    <cellStyle name="Input 2 2 4 3_YL Capex Cashflow &amp; Dep" xfId="11288"/>
    <cellStyle name="Input 2 2 4 4" xfId="11831"/>
    <cellStyle name="Input 2 2 4_YL Capex Cashflow &amp; Dep" xfId="11285"/>
    <cellStyle name="Input 2 2 5" xfId="1238"/>
    <cellStyle name="Input 2 2 5 2" xfId="1239"/>
    <cellStyle name="Input 2 2 5 2 2" xfId="13165"/>
    <cellStyle name="Input 2 2 5 2_YL Capex Cashflow &amp; Dep" xfId="13448"/>
    <cellStyle name="Input 2 2 5 3" xfId="11529"/>
    <cellStyle name="Input 2 2 5_YL Capex Cashflow &amp; Dep" xfId="11014"/>
    <cellStyle name="Input 2 2 6" xfId="1240"/>
    <cellStyle name="Input 2 2 6 2" xfId="1241"/>
    <cellStyle name="Input 2 2 6 2 2" xfId="12952"/>
    <cellStyle name="Input 2 2 6 2_YL Capex Cashflow &amp; Dep" xfId="10982"/>
    <cellStyle name="Input 2 2 6 3" xfId="12262"/>
    <cellStyle name="Input 2 2 6_YL Capex Cashflow &amp; Dep" xfId="11286"/>
    <cellStyle name="Input 2 2 7" xfId="1242"/>
    <cellStyle name="Input 2 2 7 2" xfId="12823"/>
    <cellStyle name="Input 2 2 7_YL Capex Cashflow &amp; Dep" xfId="10946"/>
    <cellStyle name="Input 2 2 8" xfId="11400"/>
    <cellStyle name="Input 2 2_YL Capex Cashflow &amp; Dep" xfId="10940"/>
    <cellStyle name="Input 2 3" xfId="1243"/>
    <cellStyle name="Input 2 3 2" xfId="1244"/>
    <cellStyle name="Input 2 3 2 2" xfId="1245"/>
    <cellStyle name="Input 2 3 2 2 2" xfId="1246"/>
    <cellStyle name="Input 2 3 2 2 2 2" xfId="12848"/>
    <cellStyle name="Input 2 3 2 2 2_YL Capex Cashflow &amp; Dep" xfId="11283"/>
    <cellStyle name="Input 2 3 2 2 3" xfId="12157"/>
    <cellStyle name="Input 2 3 2 2_YL Capex Cashflow &amp; Dep" xfId="11278"/>
    <cellStyle name="Input 2 3 2 3" xfId="1247"/>
    <cellStyle name="Input 2 3 2 3 2" xfId="1248"/>
    <cellStyle name="Input 2 3 2 3 2 2" xfId="13122"/>
    <cellStyle name="Input 2 3 2 3 2_YL Capex Cashflow &amp; Dep" xfId="11281"/>
    <cellStyle name="Input 2 3 2 3 3" xfId="12536"/>
    <cellStyle name="Input 2 3 2 3_YL Capex Cashflow &amp; Dep" xfId="11282"/>
    <cellStyle name="Input 2 3 2 4" xfId="11841"/>
    <cellStyle name="Input 2 3 2_YL Capex Cashflow &amp; Dep" xfId="11722"/>
    <cellStyle name="Input 2 3 3" xfId="1249"/>
    <cellStyle name="Input 2 3 3 2" xfId="1250"/>
    <cellStyle name="Input 2 3 3 2 2" xfId="12853"/>
    <cellStyle name="Input 2 3 3 2_YL Capex Cashflow &amp; Dep" xfId="11279"/>
    <cellStyle name="Input 2 3 3 3" xfId="12058"/>
    <cellStyle name="Input 2 3 3_YL Capex Cashflow &amp; Dep" xfId="11280"/>
    <cellStyle name="Input 2 3 4" xfId="1251"/>
    <cellStyle name="Input 2 3 4 2" xfId="1252"/>
    <cellStyle name="Input 2 3 4 2 2" xfId="12960"/>
    <cellStyle name="Input 2 3 4 2_YL Capex Cashflow &amp; Dep" xfId="10890"/>
    <cellStyle name="Input 2 3 4 3" xfId="12269"/>
    <cellStyle name="Input 2 3 4_YL Capex Cashflow &amp; Dep" xfId="10947"/>
    <cellStyle name="Input 2 3 5" xfId="11448"/>
    <cellStyle name="Input 2 3_YL Capex Cashflow &amp; Dep" xfId="11284"/>
    <cellStyle name="Input 2 4" xfId="1253"/>
    <cellStyle name="Input 2 4 2" xfId="1254"/>
    <cellStyle name="Input 2 4 2 2" xfId="1255"/>
    <cellStyle name="Input 2 4 2 2 2" xfId="1256"/>
    <cellStyle name="Input 2 4 2 2 2 2" xfId="12846"/>
    <cellStyle name="Input 2 4 2 2 2_YL Capex Cashflow &amp; Dep" xfId="10945"/>
    <cellStyle name="Input 2 4 2 2 3" xfId="12182"/>
    <cellStyle name="Input 2 4 2 2_YL Capex Cashflow &amp; Dep" xfId="11277"/>
    <cellStyle name="Input 2 4 2 3" xfId="1257"/>
    <cellStyle name="Input 2 4 2 3 2" xfId="1258"/>
    <cellStyle name="Input 2 4 2 3 2 2" xfId="13193"/>
    <cellStyle name="Input 2 4 2 3 2_YL Capex Cashflow &amp; Dep" xfId="13240"/>
    <cellStyle name="Input 2 4 2 3 3" xfId="12710"/>
    <cellStyle name="Input 2 4 2 3_YL Capex Cashflow &amp; Dep" xfId="10893"/>
    <cellStyle name="Input 2 4 2 4" xfId="12011"/>
    <cellStyle name="Input 2 4 2_YL Capex Cashflow &amp; Dep" xfId="11723"/>
    <cellStyle name="Input 2 4 3" xfId="1259"/>
    <cellStyle name="Input 2 4 3 2" xfId="1260"/>
    <cellStyle name="Input 2 4 3 2 2" xfId="12773"/>
    <cellStyle name="Input 2 4 3 2_YL Capex Cashflow &amp; Dep" xfId="11802"/>
    <cellStyle name="Input 2 4 3 3" xfId="12099"/>
    <cellStyle name="Input 2 4 3_YL Capex Cashflow &amp; Dep" xfId="13446"/>
    <cellStyle name="Input 2 4 4" xfId="1261"/>
    <cellStyle name="Input 2 4 4 2" xfId="1262"/>
    <cellStyle name="Input 2 4 4 2 2" xfId="13046"/>
    <cellStyle name="Input 2 4 4 2_YL Capex Cashflow &amp; Dep" xfId="11734"/>
    <cellStyle name="Input 2 4 4 3" xfId="12452"/>
    <cellStyle name="Input 2 4 4_YL Capex Cashflow &amp; Dep" xfId="11772"/>
    <cellStyle name="Input 2 4 5" xfId="11732"/>
    <cellStyle name="Input 2 4_YL Capex Cashflow &amp; Dep" xfId="13447"/>
    <cellStyle name="Input 2 5" xfId="1263"/>
    <cellStyle name="Input 2 5 2" xfId="1264"/>
    <cellStyle name="Input 2 5 2 2" xfId="1265"/>
    <cellStyle name="Input 2 5 2 2 2" xfId="1266"/>
    <cellStyle name="Input 2 5 2 2 2 2" xfId="13004"/>
    <cellStyle name="Input 2 5 2 2 2_YL Capex Cashflow &amp; Dep" xfId="11273"/>
    <cellStyle name="Input 2 5 2 2 3" xfId="12194"/>
    <cellStyle name="Input 2 5 2 2_YL Capex Cashflow &amp; Dep" xfId="13275"/>
    <cellStyle name="Input 2 5 2 3" xfId="1267"/>
    <cellStyle name="Input 2 5 2 3 2" xfId="1268"/>
    <cellStyle name="Input 2 5 2 3 2 2" xfId="13210"/>
    <cellStyle name="Input 2 5 2 3 2_YL Capex Cashflow &amp; Dep" xfId="11274"/>
    <cellStyle name="Input 2 5 2 3 3" xfId="12724"/>
    <cellStyle name="Input 2 5 2 3_YL Capex Cashflow &amp; Dep" xfId="11275"/>
    <cellStyle name="Input 2 5 2 4" xfId="12024"/>
    <cellStyle name="Input 2 5 2_YL Capex Cashflow &amp; Dep" xfId="11721"/>
    <cellStyle name="Input 2 5 3" xfId="1269"/>
    <cellStyle name="Input 2 5 3 2" xfId="1270"/>
    <cellStyle name="Input 2 5 3 2 2" xfId="12851"/>
    <cellStyle name="Input 2 5 3 2_YL Capex Cashflow &amp; Dep" xfId="10889"/>
    <cellStyle name="Input 2 5 3 3" xfId="12117"/>
    <cellStyle name="Input 2 5 3_YL Capex Cashflow &amp; Dep" xfId="10943"/>
    <cellStyle name="Input 2 5 4" xfId="1271"/>
    <cellStyle name="Input 2 5 4 2" xfId="1272"/>
    <cellStyle name="Input 2 5 4 2 2" xfId="13075"/>
    <cellStyle name="Input 2 5 4 2_YL Capex Cashflow &amp; Dep" xfId="13445"/>
    <cellStyle name="Input 2 5 4 3" xfId="12492"/>
    <cellStyle name="Input 2 5 4_YL Capex Cashflow &amp; Dep" xfId="11730"/>
    <cellStyle name="Input 2 5 5" xfId="11781"/>
    <cellStyle name="Input 2 5_YL Capex Cashflow &amp; Dep" xfId="11276"/>
    <cellStyle name="Input 2 6" xfId="1273"/>
    <cellStyle name="Input 2 6 2" xfId="1274"/>
    <cellStyle name="Input 2 6 2 2" xfId="1275"/>
    <cellStyle name="Input 2 6 2 2 2" xfId="12868"/>
    <cellStyle name="Input 2 6 2 2_YL Capex Cashflow &amp; Dep" xfId="11406"/>
    <cellStyle name="Input 2 6 2 3" xfId="12136"/>
    <cellStyle name="Input 2 6 2_YL Capex Cashflow &amp; Dep" xfId="11706"/>
    <cellStyle name="Input 2 6 3" xfId="1276"/>
    <cellStyle name="Input 2 6 3 2" xfId="1277"/>
    <cellStyle name="Input 2 6 3 2 2" xfId="13098"/>
    <cellStyle name="Input 2 6 3 2_YL Capex Cashflow &amp; Dep" xfId="13444"/>
    <cellStyle name="Input 2 6 3 3" xfId="12515"/>
    <cellStyle name="Input 2 6 3_YL Capex Cashflow &amp; Dep" xfId="13431"/>
    <cellStyle name="Input 2 6 4" xfId="11809"/>
    <cellStyle name="Input 2 6_YL Capex Cashflow &amp; Dep" xfId="11715"/>
    <cellStyle name="Input 2 7" xfId="1278"/>
    <cellStyle name="Input 2 7 2" xfId="1279"/>
    <cellStyle name="Input 2 7 2 2" xfId="13020"/>
    <cellStyle name="Input 2 7 2_YL Capex Cashflow &amp; Dep" xfId="13443"/>
    <cellStyle name="Input 2 7 3" xfId="11547"/>
    <cellStyle name="Input 2 7_YL Capex Cashflow &amp; Dep" xfId="13442"/>
    <cellStyle name="Input 2 8" xfId="1280"/>
    <cellStyle name="Input 2 8 2" xfId="1281"/>
    <cellStyle name="Input 2 8 2 2" xfId="12927"/>
    <cellStyle name="Input 2 8 2_YL Capex Cashflow &amp; Dep" xfId="13441"/>
    <cellStyle name="Input 2 8 3" xfId="12223"/>
    <cellStyle name="Input 2 8_YL Capex Cashflow &amp; Dep" xfId="13440"/>
    <cellStyle name="Input 2 9" xfId="1282"/>
    <cellStyle name="Input 2 9 2" xfId="12843"/>
    <cellStyle name="Input 2 9_YL Capex Cashflow &amp; Dep" xfId="13438"/>
    <cellStyle name="Input 2_YL Capex Cashflow &amp; Dep" xfId="11402"/>
    <cellStyle name="Input 3" xfId="1283"/>
    <cellStyle name="Input 3 2" xfId="1284"/>
    <cellStyle name="Input 3 2 2" xfId="1285"/>
    <cellStyle name="Input 3 2 2 2" xfId="1286"/>
    <cellStyle name="Input 3 2 2 2 2" xfId="1287"/>
    <cellStyle name="Input 3 2 2 2 2 2" xfId="12899"/>
    <cellStyle name="Input 3 2 2 2 2_YL Capex Cashflow &amp; Dep" xfId="13435"/>
    <cellStyle name="Input 3 2 2 2 3" xfId="12159"/>
    <cellStyle name="Input 3 2 2 2_YL Capex Cashflow &amp; Dep" xfId="13432"/>
    <cellStyle name="Input 3 2 2 3" xfId="1288"/>
    <cellStyle name="Input 3 2 2 3 2" xfId="1289"/>
    <cellStyle name="Input 3 2 2 3 2 2" xfId="13130"/>
    <cellStyle name="Input 3 2 2 3 2_YL Capex Cashflow &amp; Dep" xfId="13434"/>
    <cellStyle name="Input 3 2 2 3 3" xfId="12560"/>
    <cellStyle name="Input 3 2 2 3_YL Capex Cashflow &amp; Dep" xfId="13433"/>
    <cellStyle name="Input 3 2 2 4" xfId="11865"/>
    <cellStyle name="Input 3 2 2_YL Capex Cashflow &amp; Dep" xfId="13437"/>
    <cellStyle name="Input 3 2 3" xfId="1290"/>
    <cellStyle name="Input 3 2 3 2" xfId="1291"/>
    <cellStyle name="Input 3 2 3 2 2" xfId="12905"/>
    <cellStyle name="Input 3 2 3 2_YL Capex Cashflow &amp; Dep" xfId="11032"/>
    <cellStyle name="Input 3 2 3 3" xfId="12060"/>
    <cellStyle name="Input 3 2 3_YL Capex Cashflow &amp; Dep" xfId="11035"/>
    <cellStyle name="Input 3 2 4" xfId="1292"/>
    <cellStyle name="Input 3 2 4 2" xfId="1293"/>
    <cellStyle name="Input 3 2 4 2 2" xfId="12969"/>
    <cellStyle name="Input 3 2 4 2_YL Capex Cashflow &amp; Dep" xfId="13430"/>
    <cellStyle name="Input 3 2 4 3" xfId="12293"/>
    <cellStyle name="Input 3 2 4_YL Capex Cashflow &amp; Dep" xfId="11028"/>
    <cellStyle name="Input 3 2 5" xfId="1294"/>
    <cellStyle name="Input 3 2 5 2" xfId="13280"/>
    <cellStyle name="Input 3 2 5_YL Capex Cashflow &amp; Dep" xfId="11030"/>
    <cellStyle name="Input 3 2 6" xfId="11411"/>
    <cellStyle name="Input 3 2_YL Capex Cashflow &amp; Dep" xfId="13436"/>
    <cellStyle name="Input 3 3" xfId="1295"/>
    <cellStyle name="Input 3 3 2" xfId="1296"/>
    <cellStyle name="Input 3 3 2 2" xfId="1297"/>
    <cellStyle name="Input 3 3 2 2 2" xfId="1298"/>
    <cellStyle name="Input 3 3 2 2 2 2" xfId="13178"/>
    <cellStyle name="Input 3 3 2 2 2_YL Capex Cashflow &amp; Dep" xfId="11720"/>
    <cellStyle name="Input 3 3 2 2 3" xfId="12201"/>
    <cellStyle name="Input 3 3 2 2_YL Capex Cashflow &amp; Dep" xfId="11272"/>
    <cellStyle name="Input 3 3 2 3" xfId="1299"/>
    <cellStyle name="Input 3 3 2 3 2" xfId="1300"/>
    <cellStyle name="Input 3 3 2 3 2 2" xfId="13217"/>
    <cellStyle name="Input 3 3 2 3 2_YL Capex Cashflow &amp; Dep" xfId="11266"/>
    <cellStyle name="Input 3 3 2 3 3" xfId="12731"/>
    <cellStyle name="Input 3 3 2 3_YL Capex Cashflow &amp; Dep" xfId="13272"/>
    <cellStyle name="Input 3 3 2 4" xfId="12030"/>
    <cellStyle name="Input 3 3 2_YL Capex Cashflow &amp; Dep" xfId="11029"/>
    <cellStyle name="Input 3 3 3" xfId="1301"/>
    <cellStyle name="Input 3 3 3 2" xfId="1302"/>
    <cellStyle name="Input 3 3 3 2 2" xfId="12873"/>
    <cellStyle name="Input 3 3 3 2_YL Capex Cashflow &amp; Dep" xfId="11270"/>
    <cellStyle name="Input 3 3 3 3" xfId="12124"/>
    <cellStyle name="Input 3 3 3_YL Capex Cashflow &amp; Dep" xfId="11271"/>
    <cellStyle name="Input 3 3 4" xfId="1303"/>
    <cellStyle name="Input 3 3 4 2" xfId="1304"/>
    <cellStyle name="Input 3 3 4 2 2" xfId="13082"/>
    <cellStyle name="Input 3 3 4 2_YL Capex Cashflow &amp; Dep" xfId="11268"/>
    <cellStyle name="Input 3 3 4 3" xfId="12500"/>
    <cellStyle name="Input 3 3 4_YL Capex Cashflow &amp; Dep" xfId="11269"/>
    <cellStyle name="Input 3 3 5" xfId="11790"/>
    <cellStyle name="Input 3 3_YL Capex Cashflow &amp; Dep" xfId="11031"/>
    <cellStyle name="Input 3 4" xfId="1305"/>
    <cellStyle name="Input 3 4 2" xfId="1306"/>
    <cellStyle name="Input 3 4 2 2" xfId="1307"/>
    <cellStyle name="Input 3 4 2 2 2" xfId="12839"/>
    <cellStyle name="Input 3 4 2 2_YL Capex Cashflow &amp; Dep" xfId="10883"/>
    <cellStyle name="Input 3 4 2 3" xfId="12145"/>
    <cellStyle name="Input 3 4 2_YL Capex Cashflow &amp; Dep" xfId="10942"/>
    <cellStyle name="Input 3 4 3" xfId="1308"/>
    <cellStyle name="Input 3 4 3 2" xfId="1309"/>
    <cellStyle name="Input 3 4 3 2 2" xfId="13108"/>
    <cellStyle name="Input 3 4 3 2_YL Capex Cashflow &amp; Dep" xfId="11008"/>
    <cellStyle name="Input 3 4 3 3" xfId="12522"/>
    <cellStyle name="Input 3 4 3_YL Capex Cashflow &amp; Dep" xfId="11011"/>
    <cellStyle name="Input 3 4 4" xfId="11824"/>
    <cellStyle name="Input 3 4_YL Capex Cashflow &amp; Dep" xfId="11267"/>
    <cellStyle name="Input 3 5" xfId="1310"/>
    <cellStyle name="Input 3 5 2" xfId="1311"/>
    <cellStyle name="Input 3 5 2 2" xfId="13053"/>
    <cellStyle name="Input 3 5 2_YL Capex Cashflow &amp; Dep" xfId="10995"/>
    <cellStyle name="Input 3 5 3" xfId="11534"/>
    <cellStyle name="Input 3 5_YL Capex Cashflow &amp; Dep" xfId="11005"/>
    <cellStyle name="Input 3 6" xfId="1312"/>
    <cellStyle name="Input 3 6 2" xfId="1313"/>
    <cellStyle name="Input 3 6 2 2" xfId="12946"/>
    <cellStyle name="Input 3 6 2_YL Capex Cashflow &amp; Dep" xfId="10991"/>
    <cellStyle name="Input 3 6 3" xfId="12256"/>
    <cellStyle name="Input 3 6_YL Capex Cashflow &amp; Dep" xfId="11000"/>
    <cellStyle name="Input 3 7" xfId="1314"/>
    <cellStyle name="Input 3 7 2" xfId="12865"/>
    <cellStyle name="Input 3 7_YL Capex Cashflow &amp; Dep" xfId="10996"/>
    <cellStyle name="Input 3 8" xfId="11389"/>
    <cellStyle name="Input 3_YL Capex Cashflow &amp; Dep" xfId="13439"/>
    <cellStyle name="Input 4" xfId="1315"/>
    <cellStyle name="Input 4 2" xfId="1316"/>
    <cellStyle name="Input 4 2 2" xfId="1317"/>
    <cellStyle name="Input 4 2 2 2" xfId="1318"/>
    <cellStyle name="Input 4 2 2 2 2" xfId="1319"/>
    <cellStyle name="Input 4 2 2 2 2 2" xfId="12830"/>
    <cellStyle name="Input 4 2 2 2 2_YL Capex Cashflow &amp; Dep" xfId="13429"/>
    <cellStyle name="Input 4 2 2 2 3" xfId="12165"/>
    <cellStyle name="Input 4 2 2 2_YL Capex Cashflow &amp; Dep" xfId="13290"/>
    <cellStyle name="Input 4 2 2 3" xfId="1320"/>
    <cellStyle name="Input 4 2 2 3 2" xfId="1321"/>
    <cellStyle name="Input 4 2 2 3 2 2" xfId="13139"/>
    <cellStyle name="Input 4 2 2 3 2_YL Capex Cashflow &amp; Dep" xfId="11719"/>
    <cellStyle name="Input 4 2 2 3 3" xfId="12565"/>
    <cellStyle name="Input 4 2 2 3_YL Capex Cashflow &amp; Dep" xfId="13252"/>
    <cellStyle name="Input 4 2 2 4" xfId="11870"/>
    <cellStyle name="Input 4 2 2_YL Capex Cashflow &amp; Dep" xfId="10993"/>
    <cellStyle name="Input 4 2 3" xfId="1322"/>
    <cellStyle name="Input 4 2 3 2" xfId="1323"/>
    <cellStyle name="Input 4 2 3 2 2" xfId="12898"/>
    <cellStyle name="Input 4 2 3 2_YL Capex Cashflow &amp; Dep" xfId="11410"/>
    <cellStyle name="Input 4 2 3 3" xfId="12067"/>
    <cellStyle name="Input 4 2 3_YL Capex Cashflow &amp; Dep" xfId="13251"/>
    <cellStyle name="Input 4 2 4" xfId="1324"/>
    <cellStyle name="Input 4 2 4 2" xfId="1325"/>
    <cellStyle name="Input 4 2 4 2 2" xfId="12978"/>
    <cellStyle name="Input 4 2 4 2_YL Capex Cashflow &amp; Dep" xfId="11261"/>
    <cellStyle name="Input 4 2 4 3" xfId="12298"/>
    <cellStyle name="Input 4 2 4_YL Capex Cashflow &amp; Dep" xfId="13250"/>
    <cellStyle name="Input 4 2 5" xfId="11452"/>
    <cellStyle name="Input 4 2_YL Capex Cashflow &amp; Dep" xfId="11001"/>
    <cellStyle name="Input 4 3" xfId="1326"/>
    <cellStyle name="Input 4 3 2" xfId="1327"/>
    <cellStyle name="Input 4 3 2 2" xfId="1328"/>
    <cellStyle name="Input 4 3 2 2 2" xfId="1329"/>
    <cellStyle name="Input 4 3 2 2 2 2" xfId="12900"/>
    <cellStyle name="Input 4 3 2 2 2_YL Capex Cashflow &amp; Dep" xfId="13427"/>
    <cellStyle name="Input 4 3 2 2 3" xfId="12209"/>
    <cellStyle name="Input 4 3 2 2_YL Capex Cashflow &amp; Dep" xfId="13426"/>
    <cellStyle name="Input 4 3 2 3" xfId="1330"/>
    <cellStyle name="Input 4 3 2 3 2" xfId="1331"/>
    <cellStyle name="Input 4 3 2 3 2 2" xfId="13227"/>
    <cellStyle name="Input 4 3 2 3 2_YL Capex Cashflow &amp; Dep" xfId="13425"/>
    <cellStyle name="Input 4 3 2 3 3" xfId="12739"/>
    <cellStyle name="Input 4 3 2 3_YL Capex Cashflow &amp; Dep" xfId="13424"/>
    <cellStyle name="Input 4 3 2 4" xfId="12038"/>
    <cellStyle name="Input 4 3 2_YL Capex Cashflow &amp; Dep" xfId="13428"/>
    <cellStyle name="Input 4 3 3" xfId="1332"/>
    <cellStyle name="Input 4 3 3 2" xfId="1333"/>
    <cellStyle name="Input 4 3 3 2 2" xfId="12836"/>
    <cellStyle name="Input 4 3 3 2_YL Capex Cashflow &amp; Dep" xfId="13423"/>
    <cellStyle name="Input 4 3 3 3" xfId="12131"/>
    <cellStyle name="Input 4 3 3_YL Capex Cashflow &amp; Dep" xfId="13422"/>
    <cellStyle name="Input 4 3 4" xfId="1334"/>
    <cellStyle name="Input 4 3 4 2" xfId="1335"/>
    <cellStyle name="Input 4 3 4 2 2" xfId="13092"/>
    <cellStyle name="Input 4 3 4 2_YL Capex Cashflow &amp; Dep" xfId="13421"/>
    <cellStyle name="Input 4 3 4 3" xfId="12510"/>
    <cellStyle name="Input 4 3 4_YL Capex Cashflow &amp; Dep" xfId="13420"/>
    <cellStyle name="Input 4 3 5" xfId="11801"/>
    <cellStyle name="Input 4 3_YL Capex Cashflow &amp; Dep" xfId="13401"/>
    <cellStyle name="Input 4 4" xfId="1336"/>
    <cellStyle name="Input 4 4 2" xfId="1337"/>
    <cellStyle name="Input 4 4 2 2" xfId="1338"/>
    <cellStyle name="Input 4 4 2 2 2" xfId="12826"/>
    <cellStyle name="Input 4 4 2 2_YL Capex Cashflow &amp; Dep" xfId="13417"/>
    <cellStyle name="Input 4 4 2 3" xfId="12153"/>
    <cellStyle name="Input 4 4 2_YL Capex Cashflow &amp; Dep" xfId="13419"/>
    <cellStyle name="Input 4 4 3" xfId="1339"/>
    <cellStyle name="Input 4 4 3 2" xfId="1340"/>
    <cellStyle name="Input 4 4 3 2 2" xfId="13118"/>
    <cellStyle name="Input 4 4 3 2_YL Capex Cashflow &amp; Dep" xfId="11265"/>
    <cellStyle name="Input 4 4 3 3" xfId="12532"/>
    <cellStyle name="Input 4 4 3_YL Capex Cashflow &amp; Dep" xfId="13418"/>
    <cellStyle name="Input 4 4 4" xfId="11837"/>
    <cellStyle name="Input 4 4_YL Capex Cashflow &amp; Dep" xfId="13416"/>
    <cellStyle name="Input 4 5" xfId="1341"/>
    <cellStyle name="Input 4 5 2" xfId="1342"/>
    <cellStyle name="Input 4 5 2 2" xfId="13159"/>
    <cellStyle name="Input 4 5 2_YL Capex Cashflow &amp; Dep" xfId="13415"/>
    <cellStyle name="Input 4 5 3" xfId="12054"/>
    <cellStyle name="Input 4 5_YL Capex Cashflow &amp; Dep" xfId="13402"/>
    <cellStyle name="Input 4 6" xfId="1343"/>
    <cellStyle name="Input 4 6 2" xfId="1344"/>
    <cellStyle name="Input 4 6 2 2" xfId="12956"/>
    <cellStyle name="Input 4 6 2_YL Capex Cashflow &amp; Dep" xfId="13414"/>
    <cellStyle name="Input 4 6 3" xfId="12265"/>
    <cellStyle name="Input 4 6_YL Capex Cashflow &amp; Dep" xfId="13413"/>
    <cellStyle name="Input 4 7" xfId="1345"/>
    <cellStyle name="Input 4 7 2" xfId="13238"/>
    <cellStyle name="Input 4 7_YL Capex Cashflow &amp; Dep" xfId="13411"/>
    <cellStyle name="Input 4 8" xfId="11408"/>
    <cellStyle name="Input 4_YL Capex Cashflow &amp; Dep" xfId="10997"/>
    <cellStyle name="Input Cells" xfId="1346"/>
    <cellStyle name="InputArea" xfId="1347"/>
    <cellStyle name="International" xfId="1348"/>
    <cellStyle name="KPMG Heading 1" xfId="1349"/>
    <cellStyle name="KPMG Heading 2" xfId="1350"/>
    <cellStyle name="KPMG Heading 3" xfId="1351"/>
    <cellStyle name="KPMG Heading 4" xfId="1352"/>
    <cellStyle name="KPMG Normal" xfId="1353"/>
    <cellStyle name="KPMG Normal Text" xfId="1354"/>
    <cellStyle name="Labels - Style3" xfId="1355"/>
    <cellStyle name="Labels - Style3 2" xfId="1356"/>
    <cellStyle name="Labels - Style3 2 2" xfId="1357"/>
    <cellStyle name="Labels - Style3 2 2 2" xfId="1358"/>
    <cellStyle name="Labels - Style3 2 2 2 2" xfId="1359"/>
    <cellStyle name="Labels - Style3 2 2 2 2 2" xfId="1360"/>
    <cellStyle name="Labels - Style3 2 2 2 2 2 2" xfId="12963"/>
    <cellStyle name="Labels - Style3 2 2 2 2 2_YL Capex Cashflow &amp; Dep" xfId="13403"/>
    <cellStyle name="Labels - Style3 2 2 2 2_YL Capex Cashflow &amp; Dep" xfId="13408"/>
    <cellStyle name="Labels - Style3 2 2 2 3" xfId="1361"/>
    <cellStyle name="Labels - Style3 2 2 2 3 2" xfId="1362"/>
    <cellStyle name="Labels - Style3 2 2 2 3 2 2" xfId="13181"/>
    <cellStyle name="Labels - Style3 2 2 2 3 2_YL Capex Cashflow &amp; Dep" xfId="13404"/>
    <cellStyle name="Labels - Style3 2 2 2 3_YL Capex Cashflow &amp; Dep" xfId="13406"/>
    <cellStyle name="Labels - Style3 2 2 2_YL Capex Cashflow &amp; Dep" xfId="13407"/>
    <cellStyle name="Labels - Style3 2 2 3" xfId="1363"/>
    <cellStyle name="Labels - Style3 2 2 3 2" xfId="1364"/>
    <cellStyle name="Labels - Style3 2 2 3 2 2" xfId="1365"/>
    <cellStyle name="Labels - Style3 2 2 3 2 2 2" xfId="12815"/>
    <cellStyle name="Labels - Style3 2 2 3 2 2_YL Capex Cashflow &amp; Dep" xfId="13399"/>
    <cellStyle name="Labels - Style3 2 2 3 2_YL Capex Cashflow &amp; Dep" xfId="13342"/>
    <cellStyle name="Labels - Style3 2 2 3 3" xfId="1366"/>
    <cellStyle name="Labels - Style3 2 2 3 3 2" xfId="1367"/>
    <cellStyle name="Labels - Style3 2 2 3 3 2 2" xfId="13057"/>
    <cellStyle name="Labels - Style3 2 2 3 3 2_YL Capex Cashflow &amp; Dep" xfId="13397"/>
    <cellStyle name="Labels - Style3 2 2 3 3_YL Capex Cashflow &amp; Dep" xfId="13400"/>
    <cellStyle name="Labels - Style3 2 2 3_YL Capex Cashflow &amp; Dep" xfId="13405"/>
    <cellStyle name="Labels - Style3 2 2 4" xfId="1368"/>
    <cellStyle name="Labels - Style3 2 2 4 2" xfId="1369"/>
    <cellStyle name="Labels - Style3 2 2 4 2 2" xfId="12805"/>
    <cellStyle name="Labels - Style3 2 2 4 2_YL Capex Cashflow &amp; Dep" xfId="13395"/>
    <cellStyle name="Labels - Style3 2 2 4_YL Capex Cashflow &amp; Dep" xfId="13398"/>
    <cellStyle name="Labels - Style3 2 2 5" xfId="1370"/>
    <cellStyle name="Labels - Style3 2 2 5 2" xfId="1371"/>
    <cellStyle name="Labels - Style3 2 2 5 2 2" xfId="13024"/>
    <cellStyle name="Labels - Style3 2 2 5 2_YL Capex Cashflow &amp; Dep" xfId="13393"/>
    <cellStyle name="Labels - Style3 2 2 5_YL Capex Cashflow &amp; Dep" xfId="13396"/>
    <cellStyle name="Labels - Style3 2 2_YL Capex Cashflow &amp; Dep" xfId="13410"/>
    <cellStyle name="Labels - Style3 2 3" xfId="1372"/>
    <cellStyle name="Labels - Style3 2 3 2" xfId="1373"/>
    <cellStyle name="Labels - Style3 2 3 2 2" xfId="1374"/>
    <cellStyle name="Labels - Style3 2 3 2 2 2" xfId="1375"/>
    <cellStyle name="Labels - Style3 2 3 2 2 2 2" xfId="12800"/>
    <cellStyle name="Labels - Style3 2 3 2 2 2_YL Capex Cashflow &amp; Dep" xfId="13390"/>
    <cellStyle name="Labels - Style3 2 3 2 2_YL Capex Cashflow &amp; Dep" xfId="13392"/>
    <cellStyle name="Labels - Style3 2 3 2 3" xfId="1376"/>
    <cellStyle name="Labels - Style3 2 3 2 3 2" xfId="1377"/>
    <cellStyle name="Labels - Style3 2 3 2 3 2 2" xfId="13153"/>
    <cellStyle name="Labels - Style3 2 3 2 3 2_YL Capex Cashflow &amp; Dep" xfId="13386"/>
    <cellStyle name="Labels - Style3 2 3 2 3_YL Capex Cashflow &amp; Dep" xfId="13391"/>
    <cellStyle name="Labels - Style3 2 3 2_YL Capex Cashflow &amp; Dep" xfId="13389"/>
    <cellStyle name="Labels - Style3 2 3 3" xfId="1378"/>
    <cellStyle name="Labels - Style3 2 3 3 2" xfId="1379"/>
    <cellStyle name="Labels - Style3 2 3 3 2 2" xfId="1380"/>
    <cellStyle name="Labels - Style3 2 3 3 2 2 2" xfId="12829"/>
    <cellStyle name="Labels - Style3 2 3 3 2 2_YL Capex Cashflow &amp; Dep" xfId="11264"/>
    <cellStyle name="Labels - Style3 2 3 3 2_YL Capex Cashflow &amp; Dep" xfId="13388"/>
    <cellStyle name="Labels - Style3 2 3 3 3" xfId="1381"/>
    <cellStyle name="Labels - Style3 2 3 3 3 2" xfId="1382"/>
    <cellStyle name="Labels - Style3 2 3 3 3 2 2" xfId="13064"/>
    <cellStyle name="Labels - Style3 2 3 3 3 2_YL Capex Cashflow &amp; Dep" xfId="13385"/>
    <cellStyle name="Labels - Style3 2 3 3 3_YL Capex Cashflow &amp; Dep" xfId="13372"/>
    <cellStyle name="Labels - Style3 2 3 3_YL Capex Cashflow &amp; Dep" xfId="13387"/>
    <cellStyle name="Labels - Style3 2 3 4" xfId="1383"/>
    <cellStyle name="Labels - Style3 2 3 4 2" xfId="1384"/>
    <cellStyle name="Labels - Style3 2 3 4 2 2" xfId="12885"/>
    <cellStyle name="Labels - Style3 2 3 4 2_YL Capex Cashflow &amp; Dep" xfId="13384"/>
    <cellStyle name="Labels - Style3 2 3 4_YL Capex Cashflow &amp; Dep" xfId="13383"/>
    <cellStyle name="Labels - Style3 2 3 5" xfId="1385"/>
    <cellStyle name="Labels - Style3 2 3 5 2" xfId="1386"/>
    <cellStyle name="Labels - Style3 2 3 5 2 2" xfId="12993"/>
    <cellStyle name="Labels - Style3 2 3 5 2_YL Capex Cashflow &amp; Dep" xfId="13382"/>
    <cellStyle name="Labels - Style3 2 3 5_YL Capex Cashflow &amp; Dep" xfId="13381"/>
    <cellStyle name="Labels - Style3 2 3_YL Capex Cashflow &amp; Dep" xfId="13394"/>
    <cellStyle name="Labels - Style3 2 4" xfId="1387"/>
    <cellStyle name="Labels - Style3 2 4 2" xfId="1388"/>
    <cellStyle name="Labels - Style3 2 4 2 2" xfId="1389"/>
    <cellStyle name="Labels - Style3 2 4 2 2 2" xfId="1390"/>
    <cellStyle name="Labels - Style3 2 4 2 2 2 2" xfId="12833"/>
    <cellStyle name="Labels - Style3 2 4 2 2 2_YL Capex Cashflow &amp; Dep" xfId="13378"/>
    <cellStyle name="Labels - Style3 2 4 2 2_YL Capex Cashflow &amp; Dep" xfId="13377"/>
    <cellStyle name="Labels - Style3 2 4 2 3" xfId="1391"/>
    <cellStyle name="Labels - Style3 2 4 2 3 2" xfId="1392"/>
    <cellStyle name="Labels - Style3 2 4 2 3 2 2" xfId="13205"/>
    <cellStyle name="Labels - Style3 2 4 2 3 2_YL Capex Cashflow &amp; Dep" xfId="13376"/>
    <cellStyle name="Labels - Style3 2 4 2 3_YL Capex Cashflow &amp; Dep" xfId="13373"/>
    <cellStyle name="Labels - Style3 2 4 2_YL Capex Cashflow &amp; Dep" xfId="13380"/>
    <cellStyle name="Labels - Style3 2 4 3" xfId="1393"/>
    <cellStyle name="Labels - Style3 2 4 3 2" xfId="1394"/>
    <cellStyle name="Labels - Style3 2 4 3 2 2" xfId="12835"/>
    <cellStyle name="Labels - Style3 2 4 3 2_YL Capex Cashflow &amp; Dep" xfId="13375"/>
    <cellStyle name="Labels - Style3 2 4 3_YL Capex Cashflow &amp; Dep" xfId="13374"/>
    <cellStyle name="Labels - Style3 2 4 4" xfId="1395"/>
    <cellStyle name="Labels - Style3 2 4 4 2" xfId="1396"/>
    <cellStyle name="Labels - Style3 2 4 4 2 2" xfId="13070"/>
    <cellStyle name="Labels - Style3 2 4 4 2_YL Capex Cashflow &amp; Dep" xfId="13371"/>
    <cellStyle name="Labels - Style3 2 4 4_YL Capex Cashflow &amp; Dep" xfId="13344"/>
    <cellStyle name="Labels - Style3 2 4_YL Capex Cashflow &amp; Dep" xfId="13379"/>
    <cellStyle name="Labels - Style3 2 5" xfId="1397"/>
    <cellStyle name="Labels - Style3 2 5 2" xfId="1398"/>
    <cellStyle name="Labels - Style3 2 5 2 2" xfId="1399"/>
    <cellStyle name="Labels - Style3 2 5 2 2 2" xfId="1400"/>
    <cellStyle name="Labels - Style3 2 5 2 2 2 2" xfId="12932"/>
    <cellStyle name="Labels - Style3 2 5 2 2 2_YL Capex Cashflow &amp; Dep" xfId="13368"/>
    <cellStyle name="Labels - Style3 2 5 2 2_YL Capex Cashflow &amp; Dep" xfId="13367"/>
    <cellStyle name="Labels - Style3 2 5 2 3" xfId="1401"/>
    <cellStyle name="Labels - Style3 2 5 2 3 2" xfId="1402"/>
    <cellStyle name="Labels - Style3 2 5 2 3 2 2" xfId="13233"/>
    <cellStyle name="Labels - Style3 2 5 2 3 2_YL Capex Cashflow &amp; Dep" xfId="13366"/>
    <cellStyle name="Labels - Style3 2 5 2 3_YL Capex Cashflow &amp; Dep" xfId="13365"/>
    <cellStyle name="Labels - Style3 2 5 2_YL Capex Cashflow &amp; Dep" xfId="13370"/>
    <cellStyle name="Labels - Style3 2 5 3" xfId="1403"/>
    <cellStyle name="Labels - Style3 2 5 3 2" xfId="1404"/>
    <cellStyle name="Labels - Style3 2 5 3 2 2" xfId="13035"/>
    <cellStyle name="Labels - Style3 2 5 3 2_YL Capex Cashflow &amp; Dep" xfId="13364"/>
    <cellStyle name="Labels - Style3 2 5 3_YL Capex Cashflow &amp; Dep" xfId="13363"/>
    <cellStyle name="Labels - Style3 2 5 4" xfId="1405"/>
    <cellStyle name="Labels - Style3 2 5 4 2" xfId="1406"/>
    <cellStyle name="Labels - Style3 2 5 4 2 2" xfId="13103"/>
    <cellStyle name="Labels - Style3 2 5 4 2_YL Capex Cashflow &amp; Dep" xfId="13362"/>
    <cellStyle name="Labels - Style3 2 5 4_YL Capex Cashflow &amp; Dep" xfId="13359"/>
    <cellStyle name="Labels - Style3 2 5_YL Capex Cashflow &amp; Dep" xfId="13369"/>
    <cellStyle name="Labels - Style3 2 6" xfId="1407"/>
    <cellStyle name="Labels - Style3 2 6 2" xfId="1408"/>
    <cellStyle name="Labels - Style3 2 6 2 2" xfId="13161"/>
    <cellStyle name="Labels - Style3 2 6 2_YL Capex Cashflow &amp; Dep" xfId="13361"/>
    <cellStyle name="Labels - Style3 2 6_YL Capex Cashflow &amp; Dep" xfId="13360"/>
    <cellStyle name="Labels - Style3 2 7" xfId="1409"/>
    <cellStyle name="Labels - Style3 2 7 2" xfId="1410"/>
    <cellStyle name="Labels - Style3 2 7 2 2" xfId="12939"/>
    <cellStyle name="Labels - Style3 2 7 2_YL Capex Cashflow &amp; Dep" xfId="13358"/>
    <cellStyle name="Labels - Style3 2 7_YL Capex Cashflow &amp; Dep" xfId="13345"/>
    <cellStyle name="Labels - Style3 2 8" xfId="1411"/>
    <cellStyle name="Labels - Style3 2 8 2" xfId="12863"/>
    <cellStyle name="Labels - Style3 2 8_YL Capex Cashflow &amp; Dep" xfId="13356"/>
    <cellStyle name="Labels - Style3 2_YL Capex Cashflow &amp; Dep" xfId="13409"/>
    <cellStyle name="Labels - Style3 3" xfId="1412"/>
    <cellStyle name="Labels - Style3 3 2" xfId="1413"/>
    <cellStyle name="Labels - Style3 3 2 2" xfId="1414"/>
    <cellStyle name="Labels - Style3 3 2 2 2" xfId="1415"/>
    <cellStyle name="Labels - Style3 3 2 2 2 2" xfId="12824"/>
    <cellStyle name="Labels - Style3 3 2 2 2_YL Capex Cashflow &amp; Dep" xfId="13352"/>
    <cellStyle name="Labels - Style3 3 2 2_YL Capex Cashflow &amp; Dep" xfId="13355"/>
    <cellStyle name="Labels - Style3 3 2 3" xfId="1416"/>
    <cellStyle name="Labels - Style3 3 2 3 2" xfId="1417"/>
    <cellStyle name="Labels - Style3 3 2 3 2 2" xfId="13182"/>
    <cellStyle name="Labels - Style3 3 2 3 2_YL Capex Cashflow &amp; Dep" xfId="13350"/>
    <cellStyle name="Labels - Style3 3 2 3_YL Capex Cashflow &amp; Dep" xfId="13353"/>
    <cellStyle name="Labels - Style3 3 2_YL Capex Cashflow &amp; Dep" xfId="13354"/>
    <cellStyle name="Labels - Style3 3 3" xfId="1418"/>
    <cellStyle name="Labels - Style3 3 3 2" xfId="1419"/>
    <cellStyle name="Labels - Style3 3 3 2 2" xfId="1420"/>
    <cellStyle name="Labels - Style3 3 3 2 2 2" xfId="13011"/>
    <cellStyle name="Labels - Style3 3 3 2 2_YL Capex Cashflow &amp; Dep" xfId="13349"/>
    <cellStyle name="Labels - Style3 3 3 2_YL Capex Cashflow &amp; Dep" xfId="13346"/>
    <cellStyle name="Labels - Style3 3 3 3" xfId="1421"/>
    <cellStyle name="Labels - Style3 3 3 3 2" xfId="1422"/>
    <cellStyle name="Labels - Style3 3 3 3 2 2" xfId="13041"/>
    <cellStyle name="Labels - Style3 3 3 3 2_YL Capex Cashflow &amp; Dep" xfId="13348"/>
    <cellStyle name="Labels - Style3 3 3 3_YL Capex Cashflow &amp; Dep" xfId="13347"/>
    <cellStyle name="Labels - Style3 3 3_YL Capex Cashflow &amp; Dep" xfId="13351"/>
    <cellStyle name="Labels - Style3 3 4" xfId="1423"/>
    <cellStyle name="Labels - Style3 3 4 2" xfId="1424"/>
    <cellStyle name="Labels - Style3 3 4 2 2" xfId="13022"/>
    <cellStyle name="Labels - Style3 3 4 2_YL Capex Cashflow &amp; Dep" xfId="13292"/>
    <cellStyle name="Labels - Style3 3 4_YL Capex Cashflow &amp; Dep" xfId="13343"/>
    <cellStyle name="Labels - Style3 3 5" xfId="1425"/>
    <cellStyle name="Labels - Style3 3 5 2" xfId="1426"/>
    <cellStyle name="Labels - Style3 3 5 2 2" xfId="13025"/>
    <cellStyle name="Labels - Style3 3 5 2_YL Capex Cashflow &amp; Dep" xfId="13341"/>
    <cellStyle name="Labels - Style3 3 5_YL Capex Cashflow &amp; Dep" xfId="13340"/>
    <cellStyle name="Labels - Style3 3_YL Capex Cashflow &amp; Dep" xfId="13357"/>
    <cellStyle name="Labels - Style3 4" xfId="1427"/>
    <cellStyle name="Labels - Style3 4 2" xfId="1428"/>
    <cellStyle name="Labels - Style3 4 2 2" xfId="1429"/>
    <cellStyle name="Labels - Style3 4 2 2 2" xfId="1430"/>
    <cellStyle name="Labels - Style3 4 2 2 2 2" xfId="13000"/>
    <cellStyle name="Labels - Style3 4 2 2 2_YL Capex Cashflow &amp; Dep" xfId="13337"/>
    <cellStyle name="Labels - Style3 4 2 2_YL Capex Cashflow &amp; Dep" xfId="13336"/>
    <cellStyle name="Labels - Style3 4 2 3" xfId="1431"/>
    <cellStyle name="Labels - Style3 4 2 3 2" xfId="1432"/>
    <cellStyle name="Labels - Style3 4 2 3 2 2" xfId="13144"/>
    <cellStyle name="Labels - Style3 4 2 3 2_YL Capex Cashflow &amp; Dep" xfId="13335"/>
    <cellStyle name="Labels - Style3 4 2 3_YL Capex Cashflow &amp; Dep" xfId="13334"/>
    <cellStyle name="Labels - Style3 4 2_YL Capex Cashflow &amp; Dep" xfId="13339"/>
    <cellStyle name="Labels - Style3 4 3" xfId="1433"/>
    <cellStyle name="Labels - Style3 4 3 2" xfId="1434"/>
    <cellStyle name="Labels - Style3 4 3 2 2" xfId="1435"/>
    <cellStyle name="Labels - Style3 4 3 2 2 2" xfId="12761"/>
    <cellStyle name="Labels - Style3 4 3 2 2_YL Capex Cashflow &amp; Dep" xfId="13331"/>
    <cellStyle name="Labels - Style3 4 3 2_YL Capex Cashflow &amp; Dep" xfId="13333"/>
    <cellStyle name="Labels - Style3 4 3 3" xfId="1436"/>
    <cellStyle name="Labels - Style3 4 3 3 2" xfId="1437"/>
    <cellStyle name="Labels - Style3 4 3 3 2 2" xfId="13049"/>
    <cellStyle name="Labels - Style3 4 3 3 2_YL Capex Cashflow &amp; Dep" xfId="13327"/>
    <cellStyle name="Labels - Style3 4 3 3_YL Capex Cashflow &amp; Dep" xfId="13332"/>
    <cellStyle name="Labels - Style3 4 3_YL Capex Cashflow &amp; Dep" xfId="13330"/>
    <cellStyle name="Labels - Style3 4 4" xfId="1438"/>
    <cellStyle name="Labels - Style3 4 4 2" xfId="1439"/>
    <cellStyle name="Labels - Style3 4 4 2 2" xfId="13055"/>
    <cellStyle name="Labels - Style3 4 4 2_YL Capex Cashflow &amp; Dep" xfId="13329"/>
    <cellStyle name="Labels - Style3 4 4_YL Capex Cashflow &amp; Dep" xfId="13328"/>
    <cellStyle name="Labels - Style3 4 5" xfId="1440"/>
    <cellStyle name="Labels - Style3 4 5 2" xfId="1441"/>
    <cellStyle name="Labels - Style3 4 5 2 2" xfId="12983"/>
    <cellStyle name="Labels - Style3 4 5 2_YL Capex Cashflow &amp; Dep" xfId="13313"/>
    <cellStyle name="Labels - Style3 4 5_YL Capex Cashflow &amp; Dep" xfId="11263"/>
    <cellStyle name="Labels - Style3 4_YL Capex Cashflow &amp; Dep" xfId="13338"/>
    <cellStyle name="Labels - Style3 5" xfId="1442"/>
    <cellStyle name="Labels - Style3 5 2" xfId="1443"/>
    <cellStyle name="Labels - Style3 5 2 2" xfId="1444"/>
    <cellStyle name="Labels - Style3 5 2 2 2" xfId="1445"/>
    <cellStyle name="Labels - Style3 5 2 2 2 2" xfId="12892"/>
    <cellStyle name="Labels - Style3 5 2 2 2_YL Capex Cashflow &amp; Dep" xfId="13322"/>
    <cellStyle name="Labels - Style3 5 2 2_YL Capex Cashflow &amp; Dep" xfId="13325"/>
    <cellStyle name="Labels - Style3 5 2 3" xfId="1446"/>
    <cellStyle name="Labels - Style3 5 2 3 2" xfId="1447"/>
    <cellStyle name="Labels - Style3 5 2 3 2 2" xfId="13213"/>
    <cellStyle name="Labels - Style3 5 2 3 2_YL Capex Cashflow &amp; Dep" xfId="13320"/>
    <cellStyle name="Labels - Style3 5 2 3_YL Capex Cashflow &amp; Dep" xfId="13323"/>
    <cellStyle name="Labels - Style3 5 2_YL Capex Cashflow &amp; Dep" xfId="13324"/>
    <cellStyle name="Labels - Style3 5 3" xfId="1448"/>
    <cellStyle name="Labels - Style3 5 3 2" xfId="1449"/>
    <cellStyle name="Labels - Style3 5 3 2 2" xfId="12789"/>
    <cellStyle name="Labels - Style3 5 3 2_YL Capex Cashflow &amp; Dep" xfId="13318"/>
    <cellStyle name="Labels - Style3 5 3_YL Capex Cashflow &amp; Dep" xfId="13321"/>
    <cellStyle name="Labels - Style3 5 4" xfId="1450"/>
    <cellStyle name="Labels - Style3 5 4 2" xfId="1451"/>
    <cellStyle name="Labels - Style3 5 4 2 2" xfId="13078"/>
    <cellStyle name="Labels - Style3 5 4 2_YL Capex Cashflow &amp; Dep" xfId="13314"/>
    <cellStyle name="Labels - Style3 5 4_YL Capex Cashflow &amp; Dep" xfId="13319"/>
    <cellStyle name="Labels - Style3 5_YL Capex Cashflow &amp; Dep" xfId="13326"/>
    <cellStyle name="Labels - Style3 6" xfId="1452"/>
    <cellStyle name="Labels - Style3 6 2" xfId="1453"/>
    <cellStyle name="Labels - Style3 6 2 2" xfId="1454"/>
    <cellStyle name="Labels - Style3 6 2 2 2" xfId="1455"/>
    <cellStyle name="Labels - Style3 6 2 2 2 2" xfId="12772"/>
    <cellStyle name="Labels - Style3 6 2 2 2_YL Capex Cashflow &amp; Dep" xfId="13293"/>
    <cellStyle name="Labels - Style3 6 2 2_YL Capex Cashflow &amp; Dep" xfId="13316"/>
    <cellStyle name="Labels - Style3 6 2 3" xfId="1456"/>
    <cellStyle name="Labels - Style3 6 2 3 2" xfId="1457"/>
    <cellStyle name="Labels - Style3 6 2 3 2 2" xfId="13229"/>
    <cellStyle name="Labels - Style3 6 2 3 2_YL Capex Cashflow &amp; Dep" xfId="13310"/>
    <cellStyle name="Labels - Style3 6 2 3_YL Capex Cashflow &amp; Dep" xfId="13312"/>
    <cellStyle name="Labels - Style3 6 2_YL Capex Cashflow &amp; Dep" xfId="13315"/>
    <cellStyle name="Labels - Style3 6 3" xfId="1458"/>
    <cellStyle name="Labels - Style3 6 3 2" xfId="1459"/>
    <cellStyle name="Labels - Style3 6 3 2 2" xfId="12759"/>
    <cellStyle name="Labels - Style3 6 3 2_YL Capex Cashflow &amp; Dep" xfId="13308"/>
    <cellStyle name="Labels - Style3 6 3_YL Capex Cashflow &amp; Dep" xfId="13311"/>
    <cellStyle name="Labels - Style3 6 4" xfId="1460"/>
    <cellStyle name="Labels - Style3 6 4 2" xfId="1461"/>
    <cellStyle name="Labels - Style3 6 4 2 2" xfId="13094"/>
    <cellStyle name="Labels - Style3 6 4 2_YL Capex Cashflow &amp; Dep" xfId="13306"/>
    <cellStyle name="Labels - Style3 6 4_YL Capex Cashflow &amp; Dep" xfId="13309"/>
    <cellStyle name="Labels - Style3 6_YL Capex Cashflow &amp; Dep" xfId="13317"/>
    <cellStyle name="Labels - Style3 7" xfId="1462"/>
    <cellStyle name="Labels - Style3 7 2" xfId="1463"/>
    <cellStyle name="Labels - Style3 7 2 2" xfId="13003"/>
    <cellStyle name="Labels - Style3 7 2_YL Capex Cashflow &amp; Dep" xfId="13304"/>
    <cellStyle name="Labels - Style3 7_YL Capex Cashflow &amp; Dep" xfId="13307"/>
    <cellStyle name="Labels - Style3 8" xfId="1464"/>
    <cellStyle name="Labels - Style3 8 2" xfId="1465"/>
    <cellStyle name="Labels - Style3 8 2 2" xfId="12923"/>
    <cellStyle name="Labels - Style3 8 2_YL Capex Cashflow &amp; Dep" xfId="13302"/>
    <cellStyle name="Labels - Style3 8_YL Capex Cashflow &amp; Dep" xfId="13305"/>
    <cellStyle name="Labels - Style3 9" xfId="1466"/>
    <cellStyle name="Labels - Style3 9 2" xfId="12879"/>
    <cellStyle name="Labels - Style3 9_YL Capex Cashflow &amp; Dep" xfId="13303"/>
    <cellStyle name="Labels - Style3_YL Capex Cashflow &amp; Dep" xfId="13412"/>
    <cellStyle name="Lines Fill" xfId="1467"/>
    <cellStyle name="Link Currency (0)" xfId="1468"/>
    <cellStyle name="Link Currency (2)" xfId="1469"/>
    <cellStyle name="Link Units (0)" xfId="1470"/>
    <cellStyle name="Link Units (1)" xfId="1471"/>
    <cellStyle name="Link Units (2)" xfId="1472"/>
    <cellStyle name="Linked Cell 2" xfId="1473"/>
    <cellStyle name="Linked Cell 2 2" xfId="1474"/>
    <cellStyle name="Linked Cells" xfId="1475"/>
    <cellStyle name="Millares [0]_96 Risk" xfId="1476"/>
    <cellStyle name="Millares_96 Risk" xfId="1477"/>
    <cellStyle name="Milliers [0]_!!!GO" xfId="1478"/>
    <cellStyle name="Milliers_!!!GO" xfId="1479"/>
    <cellStyle name="Moeda [0]_pldt" xfId="1480"/>
    <cellStyle name="Moeda_pldt" xfId="1481"/>
    <cellStyle name="Mon¨¦taire [0]_!!!GO" xfId="1482"/>
    <cellStyle name="Mon¨¦taire_!!!GO" xfId="1483"/>
    <cellStyle name="Mon?aire [0]_AR1194" xfId="1484"/>
    <cellStyle name="Mon?aire_AR1194" xfId="1485"/>
    <cellStyle name="Monaire [0]_AR1194" xfId="1486"/>
    <cellStyle name="Monaire_AR1194" xfId="1487"/>
    <cellStyle name="Monšaire [0]_AR1194" xfId="1488"/>
    <cellStyle name="Monšaire_AR1194" xfId="1489"/>
    <cellStyle name="Moneda [0]_96 Risk" xfId="1490"/>
    <cellStyle name="Moneda_96 Risk" xfId="1491"/>
    <cellStyle name="Monétaire [0]_!!!GO" xfId="1492"/>
    <cellStyle name="Monétaire_!!!GO" xfId="1493"/>
    <cellStyle name="Mon谷taire [0]_!!!GO" xfId="1494"/>
    <cellStyle name="Mon谷taire_!!!GO" xfId="1495"/>
    <cellStyle name="Mth_Yr" xfId="1496"/>
    <cellStyle name="Multiple" xfId="1497"/>
    <cellStyle name="Neutral 2" xfId="1498"/>
    <cellStyle name="Neutral 2 2" xfId="1499"/>
    <cellStyle name="no dec" xfId="1500"/>
    <cellStyle name="Normal" xfId="0" builtinId="0"/>
    <cellStyle name="Normal - Style1" xfId="1501"/>
    <cellStyle name="Normal - Style1 2" xfId="1502"/>
    <cellStyle name="Normal 10" xfId="1503"/>
    <cellStyle name="Normal 10 2" xfId="1504"/>
    <cellStyle name="Normal 10 2 2" xfId="6003"/>
    <cellStyle name="Normal 10 2 2 2" xfId="6004"/>
    <cellStyle name="Normal 10 2 2 2 2" xfId="33032"/>
    <cellStyle name="Normal 10 2 2 3" xfId="33033"/>
    <cellStyle name="Normal 10 2 3" xfId="6005"/>
    <cellStyle name="Normal 10 2 3 2" xfId="33034"/>
    <cellStyle name="Normal 10 2 4" xfId="33035"/>
    <cellStyle name="Normal 10 2_YL Capex Cashflow &amp; Dep" xfId="13301"/>
    <cellStyle name="Normal 10 3" xfId="1505"/>
    <cellStyle name="Normal 10 3 2" xfId="6006"/>
    <cellStyle name="Normal 10 3 2 2" xfId="33036"/>
    <cellStyle name="Normal 10 3 3" xfId="33037"/>
    <cellStyle name="Normal 10 3_YL Capex Cashflow &amp; Dep" xfId="13299"/>
    <cellStyle name="Normal 10 4" xfId="6007"/>
    <cellStyle name="Normal 10 4 2" xfId="6008"/>
    <cellStyle name="Normal 10 4 2 2" xfId="33038"/>
    <cellStyle name="Normal 10 4 3" xfId="33039"/>
    <cellStyle name="Normal 10 5" xfId="33040"/>
    <cellStyle name="Normal 10 6" xfId="33041"/>
    <cellStyle name="Normal 11" xfId="1506"/>
    <cellStyle name="Normal 11 2" xfId="1507"/>
    <cellStyle name="Normal 11 2 2" xfId="6009"/>
    <cellStyle name="Normal 11 2 2 2" xfId="6010"/>
    <cellStyle name="Normal 11 2 2 2 2" xfId="33042"/>
    <cellStyle name="Normal 11 2 2 3" xfId="33043"/>
    <cellStyle name="Normal 11 2 3" xfId="6011"/>
    <cellStyle name="Normal 11 2 3 2" xfId="33044"/>
    <cellStyle name="Normal 11 2 4" xfId="33045"/>
    <cellStyle name="Normal 11 2_YL Capex Cashflow &amp; Dep" xfId="13300"/>
    <cellStyle name="Normal 11 3" xfId="6012"/>
    <cellStyle name="Normal 11 3 2" xfId="6013"/>
    <cellStyle name="Normal 11 3 2 2" xfId="33046"/>
    <cellStyle name="Normal 11 3 3" xfId="33047"/>
    <cellStyle name="Normal 11 4" xfId="6014"/>
    <cellStyle name="Normal 11 4 2" xfId="6015"/>
    <cellStyle name="Normal 11 4 2 2" xfId="33048"/>
    <cellStyle name="Normal 11 4 3" xfId="33049"/>
    <cellStyle name="Normal 11 5" xfId="33050"/>
    <cellStyle name="Normal 11 6" xfId="33051"/>
    <cellStyle name="Normal 12" xfId="1508"/>
    <cellStyle name="Normal 12 2" xfId="1509"/>
    <cellStyle name="Normal 12 2 2" xfId="6016"/>
    <cellStyle name="Normal 12 2 2 2" xfId="6017"/>
    <cellStyle name="Normal 12 2 2 2 2" xfId="33052"/>
    <cellStyle name="Normal 12 2 2 3" xfId="33053"/>
    <cellStyle name="Normal 12 2 3" xfId="6018"/>
    <cellStyle name="Normal 12 2 3 2" xfId="33054"/>
    <cellStyle name="Normal 12 2 4" xfId="33055"/>
    <cellStyle name="Normal 12 3" xfId="6019"/>
    <cellStyle name="Normal 12 3 2" xfId="6020"/>
    <cellStyle name="Normal 12 3 2 2" xfId="33056"/>
    <cellStyle name="Normal 12 3 3" xfId="33057"/>
    <cellStyle name="Normal 12 4" xfId="6021"/>
    <cellStyle name="Normal 12 4 2" xfId="6022"/>
    <cellStyle name="Normal 12 4 2 2" xfId="33058"/>
    <cellStyle name="Normal 12 4 3" xfId="33059"/>
    <cellStyle name="Normal 12 5" xfId="33060"/>
    <cellStyle name="Normal 12 6" xfId="33061"/>
    <cellStyle name="Normal 13" xfId="1510"/>
    <cellStyle name="Normal 13 2" xfId="1511"/>
    <cellStyle name="Normal 13 2 2" xfId="6023"/>
    <cellStyle name="Normal 13 2 2 2" xfId="6024"/>
    <cellStyle name="Normal 13 2 2 2 2" xfId="33062"/>
    <cellStyle name="Normal 13 2 2 3" xfId="33063"/>
    <cellStyle name="Normal 13 2 3" xfId="6025"/>
    <cellStyle name="Normal 13 2 3 2" xfId="33064"/>
    <cellStyle name="Normal 13 2 4" xfId="33065"/>
    <cellStyle name="Normal 13 3" xfId="6026"/>
    <cellStyle name="Normal 13 3 2" xfId="6027"/>
    <cellStyle name="Normal 13 3 2 2" xfId="33066"/>
    <cellStyle name="Normal 13 3 3" xfId="33067"/>
    <cellStyle name="Normal 13 4" xfId="6028"/>
    <cellStyle name="Normal 13 4 2" xfId="6029"/>
    <cellStyle name="Normal 13 4 2 2" xfId="33068"/>
    <cellStyle name="Normal 13 4 3" xfId="33069"/>
    <cellStyle name="Normal 13 5" xfId="33070"/>
    <cellStyle name="Normal 13 6" xfId="33071"/>
    <cellStyle name="Normal 14" xfId="1512"/>
    <cellStyle name="Normal 14 2" xfId="1513"/>
    <cellStyle name="Normal 14 2 2" xfId="6030"/>
    <cellStyle name="Normal 14 2 2 2" xfId="6031"/>
    <cellStyle name="Normal 14 2 2 2 2" xfId="33072"/>
    <cellStyle name="Normal 14 2 2 3" xfId="33073"/>
    <cellStyle name="Normal 14 2 3" xfId="6032"/>
    <cellStyle name="Normal 14 2 3 2" xfId="33074"/>
    <cellStyle name="Normal 14 2 4" xfId="33075"/>
    <cellStyle name="Normal 14 2_YL Capex Cashflow &amp; Dep" xfId="13297"/>
    <cellStyle name="Normal 14 3" xfId="6033"/>
    <cellStyle name="Normal 14 3 2" xfId="6034"/>
    <cellStyle name="Normal 14 3 2 2" xfId="33076"/>
    <cellStyle name="Normal 14 3 3" xfId="33077"/>
    <cellStyle name="Normal 14 4" xfId="6035"/>
    <cellStyle name="Normal 14 4 2" xfId="6036"/>
    <cellStyle name="Normal 14 4 2 2" xfId="33078"/>
    <cellStyle name="Normal 14 4 3" xfId="33079"/>
    <cellStyle name="Normal 14 5" xfId="33080"/>
    <cellStyle name="Normal 14 6" xfId="33081"/>
    <cellStyle name="Normal 15" xfId="1514"/>
    <cellStyle name="Normal 15 2" xfId="1515"/>
    <cellStyle name="Normal 15 2 2" xfId="6037"/>
    <cellStyle name="Normal 15 2 2 2" xfId="6038"/>
    <cellStyle name="Normal 15 2 2 2 2" xfId="33082"/>
    <cellStyle name="Normal 15 2 2 3" xfId="33083"/>
    <cellStyle name="Normal 15 2 3" xfId="6039"/>
    <cellStyle name="Normal 15 2 3 2" xfId="33084"/>
    <cellStyle name="Normal 15 2 4" xfId="33085"/>
    <cellStyle name="Normal 15 2_YL Capex Cashflow &amp; Dep" xfId="13298"/>
    <cellStyle name="Normal 15 3" xfId="6040"/>
    <cellStyle name="Normal 15 3 2" xfId="6041"/>
    <cellStyle name="Normal 15 3 2 2" xfId="33086"/>
    <cellStyle name="Normal 15 3 3" xfId="33087"/>
    <cellStyle name="Normal 15 4" xfId="6042"/>
    <cellStyle name="Normal 15 4 2" xfId="6043"/>
    <cellStyle name="Normal 15 4 2 2" xfId="33088"/>
    <cellStyle name="Normal 15 4 3" xfId="33089"/>
    <cellStyle name="Normal 15 5" xfId="33090"/>
    <cellStyle name="Normal 15 6" xfId="33091"/>
    <cellStyle name="Normal 16" xfId="1516"/>
    <cellStyle name="Normal 16 2" xfId="1517"/>
    <cellStyle name="Normal 16 2 2" xfId="6044"/>
    <cellStyle name="Normal 16 2 2 2" xfId="6045"/>
    <cellStyle name="Normal 16 2 2 2 2" xfId="33092"/>
    <cellStyle name="Normal 16 2 2 3" xfId="33093"/>
    <cellStyle name="Normal 16 2 3" xfId="6046"/>
    <cellStyle name="Normal 16 2 3 2" xfId="33094"/>
    <cellStyle name="Normal 16 2 4" xfId="33095"/>
    <cellStyle name="Normal 16 3" xfId="6047"/>
    <cellStyle name="Normal 16 3 2" xfId="6048"/>
    <cellStyle name="Normal 16 3 2 2" xfId="33096"/>
    <cellStyle name="Normal 16 3 3" xfId="33097"/>
    <cellStyle name="Normal 16 4" xfId="6049"/>
    <cellStyle name="Normal 16 4 2" xfId="6050"/>
    <cellStyle name="Normal 16 4 2 2" xfId="33098"/>
    <cellStyle name="Normal 16 4 3" xfId="33099"/>
    <cellStyle name="Normal 16 5" xfId="33100"/>
    <cellStyle name="Normal 16 6" xfId="33101"/>
    <cellStyle name="Normal 17" xfId="1518"/>
    <cellStyle name="Normal 17 2" xfId="1519"/>
    <cellStyle name="Normal 17 2 2" xfId="6051"/>
    <cellStyle name="Normal 17 2 2 2" xfId="6052"/>
    <cellStyle name="Normal 17 2 2 2 2" xfId="33102"/>
    <cellStyle name="Normal 17 2 2 3" xfId="33103"/>
    <cellStyle name="Normal 17 2 3" xfId="6053"/>
    <cellStyle name="Normal 17 2 3 2" xfId="33104"/>
    <cellStyle name="Normal 17 2 4" xfId="33105"/>
    <cellStyle name="Normal 17 2_YL Capex Cashflow &amp; Dep" xfId="13296"/>
    <cellStyle name="Normal 17 3" xfId="6054"/>
    <cellStyle name="Normal 17 3 2" xfId="6055"/>
    <cellStyle name="Normal 17 3 2 2" xfId="33106"/>
    <cellStyle name="Normal 17 3 3" xfId="33107"/>
    <cellStyle name="Normal 17 4" xfId="6056"/>
    <cellStyle name="Normal 17 4 2" xfId="6057"/>
    <cellStyle name="Normal 17 4 2 2" xfId="33108"/>
    <cellStyle name="Normal 17 4 3" xfId="33109"/>
    <cellStyle name="Normal 17 5" xfId="33110"/>
    <cellStyle name="Normal 17 6" xfId="33111"/>
    <cellStyle name="Normal 18" xfId="1520"/>
    <cellStyle name="Normal 18 2" xfId="1521"/>
    <cellStyle name="Normal 18 2 2" xfId="6058"/>
    <cellStyle name="Normal 18 2 2 2" xfId="6059"/>
    <cellStyle name="Normal 18 2 2 2 2" xfId="33112"/>
    <cellStyle name="Normal 18 2 2 3" xfId="33113"/>
    <cellStyle name="Normal 18 2 3" xfId="6060"/>
    <cellStyle name="Normal 18 2 3 2" xfId="33114"/>
    <cellStyle name="Normal 18 2 4" xfId="33115"/>
    <cellStyle name="Normal 18 2_YL Capex Cashflow &amp; Dep" xfId="13295"/>
    <cellStyle name="Normal 18 3" xfId="6061"/>
    <cellStyle name="Normal 18 3 2" xfId="6062"/>
    <cellStyle name="Normal 18 3 2 2" xfId="33116"/>
    <cellStyle name="Normal 18 3 3" xfId="33117"/>
    <cellStyle name="Normal 18 4" xfId="6063"/>
    <cellStyle name="Normal 18 4 2" xfId="6064"/>
    <cellStyle name="Normal 18 4 2 2" xfId="33118"/>
    <cellStyle name="Normal 18 4 3" xfId="33119"/>
    <cellStyle name="Normal 18 5" xfId="33120"/>
    <cellStyle name="Normal 18 6" xfId="33121"/>
    <cellStyle name="Normal 18_Cashflow trend" xfId="1522"/>
    <cellStyle name="Normal 19" xfId="1523"/>
    <cellStyle name="Normal 19 2" xfId="1524"/>
    <cellStyle name="Normal 19 2 2" xfId="6065"/>
    <cellStyle name="Normal 19 2 2 2" xfId="6066"/>
    <cellStyle name="Normal 19 2 2 2 2" xfId="33122"/>
    <cellStyle name="Normal 19 2 2 3" xfId="33123"/>
    <cellStyle name="Normal 19 2 3" xfId="6067"/>
    <cellStyle name="Normal 19 2 3 2" xfId="33124"/>
    <cellStyle name="Normal 19 2 4" xfId="33125"/>
    <cellStyle name="Normal 19 2_YL Capex Cashflow &amp; Dep" xfId="13294"/>
    <cellStyle name="Normal 19 3" xfId="6068"/>
    <cellStyle name="Normal 19 3 2" xfId="6069"/>
    <cellStyle name="Normal 19 3 2 2" xfId="33126"/>
    <cellStyle name="Normal 19 3 3" xfId="33127"/>
    <cellStyle name="Normal 19 4" xfId="6070"/>
    <cellStyle name="Normal 19 4 2" xfId="6071"/>
    <cellStyle name="Normal 19 4 2 2" xfId="33128"/>
    <cellStyle name="Normal 19 4 3" xfId="33129"/>
    <cellStyle name="Normal 19 5" xfId="33130"/>
    <cellStyle name="Normal 19 6" xfId="33131"/>
    <cellStyle name="Normal 19_Cashflow trend" xfId="1525"/>
    <cellStyle name="Normal 2" xfId="1526"/>
    <cellStyle name="Normal 2 10" xfId="1527"/>
    <cellStyle name="Normal 2 10 2" xfId="1528"/>
    <cellStyle name="Normal 2 11" xfId="1529"/>
    <cellStyle name="Normal 2 11 2" xfId="1530"/>
    <cellStyle name="Normal 2 11 3" xfId="1531"/>
    <cellStyle name="Normal 2 12" xfId="33132"/>
    <cellStyle name="Normal 2 13" xfId="62000"/>
    <cellStyle name="Normal 2 2" xfId="1532"/>
    <cellStyle name="Normal 2 2 10" xfId="6072"/>
    <cellStyle name="Normal 2 2 2" xfId="1533"/>
    <cellStyle name="Normal 2 2 2 2" xfId="1534"/>
    <cellStyle name="Normal 2 2 2 3" xfId="1535"/>
    <cellStyle name="Normal 2 2 2 4" xfId="1536"/>
    <cellStyle name="Normal 2 2 2 5" xfId="1537"/>
    <cellStyle name="Normal 2 2 2_Cashflow trend" xfId="1538"/>
    <cellStyle name="Normal 2 2 3" xfId="1539"/>
    <cellStyle name="Normal 2 2 3 2" xfId="1540"/>
    <cellStyle name="Normal 2 2 4" xfId="1541"/>
    <cellStyle name="Normal 2 2 5" xfId="1542"/>
    <cellStyle name="Normal 2 2 5 2" xfId="1543"/>
    <cellStyle name="Normal 2 2 6" xfId="1544"/>
    <cellStyle name="Normal 2 2 7" xfId="1545"/>
    <cellStyle name="Normal 2 2 8" xfId="6073"/>
    <cellStyle name="Normal 2 2 9" xfId="6074"/>
    <cellStyle name="Normal 2 2_Book3" xfId="1546"/>
    <cellStyle name="Normal 2 3" xfId="1547"/>
    <cellStyle name="Normal 2 4" xfId="1548"/>
    <cellStyle name="Normal 2 4 2" xfId="1549"/>
    <cellStyle name="Normal 2 4_Cashflow trend" xfId="1550"/>
    <cellStyle name="Normal 2 5" xfId="1551"/>
    <cellStyle name="Normal 2 5 2" xfId="1552"/>
    <cellStyle name="Normal 2 5_Cashflow trend" xfId="1553"/>
    <cellStyle name="Normal 2 6" xfId="1554"/>
    <cellStyle name="Normal 2 6 2" xfId="1555"/>
    <cellStyle name="Normal 2 7" xfId="1556"/>
    <cellStyle name="Normal 2 7 2" xfId="1557"/>
    <cellStyle name="Normal 2 8" xfId="1558"/>
    <cellStyle name="Normal 2 9" xfId="1559"/>
    <cellStyle name="Normal 2 9 2" xfId="1560"/>
    <cellStyle name="Normal 2_Cashflow trend" xfId="1561"/>
    <cellStyle name="Normal 20" xfId="1562"/>
    <cellStyle name="Normal 20 2" xfId="1563"/>
    <cellStyle name="Normal 20 2 2" xfId="6075"/>
    <cellStyle name="Normal 20 2 2 2" xfId="6076"/>
    <cellStyle name="Normal 20 2 2 2 2" xfId="33133"/>
    <cellStyle name="Normal 20 2 2 3" xfId="33134"/>
    <cellStyle name="Normal 20 2 3" xfId="6077"/>
    <cellStyle name="Normal 20 2 3 2" xfId="33135"/>
    <cellStyle name="Normal 20 2 4" xfId="33136"/>
    <cellStyle name="Normal 20 3" xfId="6078"/>
    <cellStyle name="Normal 20 3 2" xfId="6079"/>
    <cellStyle name="Normal 20 3 2 2" xfId="33137"/>
    <cellStyle name="Normal 20 3 3" xfId="33138"/>
    <cellStyle name="Normal 20 4" xfId="6080"/>
    <cellStyle name="Normal 20 4 2" xfId="6081"/>
    <cellStyle name="Normal 20 4 2 2" xfId="33139"/>
    <cellStyle name="Normal 20 4 3" xfId="33140"/>
    <cellStyle name="Normal 20 5" xfId="33141"/>
    <cellStyle name="Normal 20 6" xfId="33142"/>
    <cellStyle name="Normal 20_Cashflow trend" xfId="1564"/>
    <cellStyle name="Normal 21" xfId="1565"/>
    <cellStyle name="Normal 21 2" xfId="6082"/>
    <cellStyle name="Normal 21 2 2" xfId="6083"/>
    <cellStyle name="Normal 21 2 2 2" xfId="6084"/>
    <cellStyle name="Normal 21 2 2 2 2" xfId="33143"/>
    <cellStyle name="Normal 21 2 2 3" xfId="33144"/>
    <cellStyle name="Normal 21 2 3" xfId="6085"/>
    <cellStyle name="Normal 21 2 3 2" xfId="33145"/>
    <cellStyle name="Normal 21 2 4" xfId="33146"/>
    <cellStyle name="Normal 21 3" xfId="6086"/>
    <cellStyle name="Normal 21 3 2" xfId="6087"/>
    <cellStyle name="Normal 21 3 2 2" xfId="33147"/>
    <cellStyle name="Normal 21 3 3" xfId="33148"/>
    <cellStyle name="Normal 21 4" xfId="6088"/>
    <cellStyle name="Normal 21 4 2" xfId="6089"/>
    <cellStyle name="Normal 21 4 2 2" xfId="33149"/>
    <cellStyle name="Normal 21 4 3" xfId="33150"/>
    <cellStyle name="Normal 21 5" xfId="6090"/>
    <cellStyle name="Normal 21 5 2" xfId="33151"/>
    <cellStyle name="Normal 21 6" xfId="6091"/>
    <cellStyle name="Normal 21 7" xfId="33152"/>
    <cellStyle name="Normal 21_YL Capex Cashflow &amp; Dep" xfId="11009"/>
    <cellStyle name="Normal 22" xfId="1566"/>
    <cellStyle name="Normal 22 2" xfId="6092"/>
    <cellStyle name="Normal 22 2 2" xfId="6093"/>
    <cellStyle name="Normal 22 2 2 2" xfId="6094"/>
    <cellStyle name="Normal 22 2 2 2 2" xfId="33153"/>
    <cellStyle name="Normal 22 2 2 3" xfId="33154"/>
    <cellStyle name="Normal 22 2 3" xfId="6095"/>
    <cellStyle name="Normal 22 2 3 2" xfId="33155"/>
    <cellStyle name="Normal 22 2 4" xfId="33156"/>
    <cellStyle name="Normal 22 3" xfId="6096"/>
    <cellStyle name="Normal 22 3 2" xfId="6097"/>
    <cellStyle name="Normal 22 3 2 2" xfId="33157"/>
    <cellStyle name="Normal 22 3 3" xfId="33158"/>
    <cellStyle name="Normal 22 4" xfId="6098"/>
    <cellStyle name="Normal 22 4 2" xfId="6099"/>
    <cellStyle name="Normal 22 4 2 2" xfId="33159"/>
    <cellStyle name="Normal 22 4 3" xfId="33160"/>
    <cellStyle name="Normal 22 5" xfId="6100"/>
    <cellStyle name="Normal 22 5 2" xfId="33161"/>
    <cellStyle name="Normal 22 6" xfId="33162"/>
    <cellStyle name="Normal 22 7" xfId="33163"/>
    <cellStyle name="Normal 22_YL Capex Cashflow &amp; Dep" xfId="13291"/>
    <cellStyle name="Normal 23" xfId="1567"/>
    <cellStyle name="Normal 23 2" xfId="6101"/>
    <cellStyle name="Normal 23 2 2" xfId="6102"/>
    <cellStyle name="Normal 23 2 2 2" xfId="6103"/>
    <cellStyle name="Normal 23 2 2 2 2" xfId="33164"/>
    <cellStyle name="Normal 23 2 2 3" xfId="33165"/>
    <cellStyle name="Normal 23 2 3" xfId="6104"/>
    <cellStyle name="Normal 23 2 3 2" xfId="33166"/>
    <cellStyle name="Normal 23 2 4" xfId="33167"/>
    <cellStyle name="Normal 23 3" xfId="6105"/>
    <cellStyle name="Normal 23 3 2" xfId="6106"/>
    <cellStyle name="Normal 23 3 2 2" xfId="33168"/>
    <cellStyle name="Normal 23 3 3" xfId="33169"/>
    <cellStyle name="Normal 23 4" xfId="6107"/>
    <cellStyle name="Normal 23 4 2" xfId="6108"/>
    <cellStyle name="Normal 23 4 2 2" xfId="33170"/>
    <cellStyle name="Normal 23 4 3" xfId="33171"/>
    <cellStyle name="Normal 23 5" xfId="6109"/>
    <cellStyle name="Normal 23 5 2" xfId="33172"/>
    <cellStyle name="Normal 23 6" xfId="33173"/>
    <cellStyle name="Normal 23_YL Capex Cashflow &amp; Dep" xfId="11262"/>
    <cellStyle name="Normal 24" xfId="1568"/>
    <cellStyle name="Normal 24 2" xfId="6110"/>
    <cellStyle name="Normal 24 2 2" xfId="6111"/>
    <cellStyle name="Normal 24 2 2 2" xfId="6112"/>
    <cellStyle name="Normal 24 2 2 2 2" xfId="33174"/>
    <cellStyle name="Normal 24 2 2 3" xfId="33175"/>
    <cellStyle name="Normal 24 2 3" xfId="6113"/>
    <cellStyle name="Normal 24 2 3 2" xfId="33176"/>
    <cellStyle name="Normal 24 2 4" xfId="33177"/>
    <cellStyle name="Normal 24 3" xfId="6114"/>
    <cellStyle name="Normal 24 3 2" xfId="6115"/>
    <cellStyle name="Normal 24 3 2 2" xfId="33178"/>
    <cellStyle name="Normal 24 3 3" xfId="33179"/>
    <cellStyle name="Normal 24 4" xfId="6116"/>
    <cellStyle name="Normal 24 4 2" xfId="6117"/>
    <cellStyle name="Normal 24 4 2 2" xfId="33180"/>
    <cellStyle name="Normal 24 4 3" xfId="33181"/>
    <cellStyle name="Normal 24 5" xfId="6118"/>
    <cellStyle name="Normal 24 5 2" xfId="33182"/>
    <cellStyle name="Normal 24 6" xfId="33183"/>
    <cellStyle name="Normal 24_YL Capex Cashflow &amp; Dep" xfId="10892"/>
    <cellStyle name="Normal 25" xfId="1569"/>
    <cellStyle name="Normal 25 2" xfId="6119"/>
    <cellStyle name="Normal 25 2 2" xfId="6120"/>
    <cellStyle name="Normal 25 2 2 2" xfId="6121"/>
    <cellStyle name="Normal 25 2 2 2 2" xfId="33184"/>
    <cellStyle name="Normal 25 2 2 3" xfId="33185"/>
    <cellStyle name="Normal 25 2 3" xfId="6122"/>
    <cellStyle name="Normal 25 2 3 2" xfId="33186"/>
    <cellStyle name="Normal 25 2 4" xfId="33187"/>
    <cellStyle name="Normal 25 3" xfId="6123"/>
    <cellStyle name="Normal 25 3 2" xfId="6124"/>
    <cellStyle name="Normal 25 3 2 2" xfId="33188"/>
    <cellStyle name="Normal 25 3 3" xfId="33189"/>
    <cellStyle name="Normal 25 4" xfId="6125"/>
    <cellStyle name="Normal 25 4 2" xfId="6126"/>
    <cellStyle name="Normal 25 4 2 2" xfId="33190"/>
    <cellStyle name="Normal 25 4 3" xfId="33191"/>
    <cellStyle name="Normal 25 5" xfId="6127"/>
    <cellStyle name="Normal 25 5 2" xfId="33192"/>
    <cellStyle name="Normal 25 6" xfId="33193"/>
    <cellStyle name="Normal 25_YL Capex Cashflow &amp; Dep" xfId="10886"/>
    <cellStyle name="Normal 26" xfId="1570"/>
    <cellStyle name="Normal 26 2" xfId="6128"/>
    <cellStyle name="Normal 26 2 2" xfId="6129"/>
    <cellStyle name="Normal 26 2 2 2" xfId="6130"/>
    <cellStyle name="Normal 26 2 2 2 2" xfId="33194"/>
    <cellStyle name="Normal 26 2 2 3" xfId="33195"/>
    <cellStyle name="Normal 26 2 3" xfId="6131"/>
    <cellStyle name="Normal 26 2 3 2" xfId="33196"/>
    <cellStyle name="Normal 26 2 4" xfId="33197"/>
    <cellStyle name="Normal 26 3" xfId="6132"/>
    <cellStyle name="Normal 26 3 2" xfId="6133"/>
    <cellStyle name="Normal 26 3 2 2" xfId="33198"/>
    <cellStyle name="Normal 26 3 3" xfId="33199"/>
    <cellStyle name="Normal 26 4" xfId="6134"/>
    <cellStyle name="Normal 26 4 2" xfId="6135"/>
    <cellStyle name="Normal 26 4 2 2" xfId="33200"/>
    <cellStyle name="Normal 26 4 3" xfId="33201"/>
    <cellStyle name="Normal 26 5" xfId="6136"/>
    <cellStyle name="Normal 26 5 2" xfId="33202"/>
    <cellStyle name="Normal 26 6" xfId="33203"/>
    <cellStyle name="Normal 26_YL Capex Cashflow &amp; Dep" xfId="11713"/>
    <cellStyle name="Normal 27" xfId="1571"/>
    <cellStyle name="Normal 27 2" xfId="6137"/>
    <cellStyle name="Normal 27 2 2" xfId="6138"/>
    <cellStyle name="Normal 27 2 2 2" xfId="6139"/>
    <cellStyle name="Normal 27 2 2 2 2" xfId="33204"/>
    <cellStyle name="Normal 27 2 2 3" xfId="33205"/>
    <cellStyle name="Normal 27 2 3" xfId="6140"/>
    <cellStyle name="Normal 27 2 3 2" xfId="33206"/>
    <cellStyle name="Normal 27 2 4" xfId="33207"/>
    <cellStyle name="Normal 27 3" xfId="6141"/>
    <cellStyle name="Normal 27 3 2" xfId="6142"/>
    <cellStyle name="Normal 27 3 2 2" xfId="33208"/>
    <cellStyle name="Normal 27 3 3" xfId="33209"/>
    <cellStyle name="Normal 27 4" xfId="6143"/>
    <cellStyle name="Normal 27 4 2" xfId="6144"/>
    <cellStyle name="Normal 27 4 2 2" xfId="33210"/>
    <cellStyle name="Normal 27 4 3" xfId="33211"/>
    <cellStyle name="Normal 27 5" xfId="6145"/>
    <cellStyle name="Normal 27 5 2" xfId="33212"/>
    <cellStyle name="Normal 27 6" xfId="33213"/>
    <cellStyle name="Normal 27_YL Capex Cashflow &amp; Dep" xfId="11731"/>
    <cellStyle name="Normal 28" xfId="1572"/>
    <cellStyle name="Normal 28 2" xfId="6146"/>
    <cellStyle name="Normal 28 2 2" xfId="6147"/>
    <cellStyle name="Normal 28 2 2 2" xfId="6148"/>
    <cellStyle name="Normal 28 2 2 2 2" xfId="33214"/>
    <cellStyle name="Normal 28 2 2 3" xfId="33215"/>
    <cellStyle name="Normal 28 2 3" xfId="6149"/>
    <cellStyle name="Normal 28 2 3 2" xfId="33216"/>
    <cellStyle name="Normal 28 2 4" xfId="33217"/>
    <cellStyle name="Normal 28 3" xfId="6150"/>
    <cellStyle name="Normal 28 3 2" xfId="6151"/>
    <cellStyle name="Normal 28 3 2 2" xfId="33218"/>
    <cellStyle name="Normal 28 3 3" xfId="33219"/>
    <cellStyle name="Normal 28 4" xfId="6152"/>
    <cellStyle name="Normal 28 4 2" xfId="6153"/>
    <cellStyle name="Normal 28 4 2 2" xfId="33220"/>
    <cellStyle name="Normal 28 4 3" xfId="33221"/>
    <cellStyle name="Normal 28 5" xfId="6154"/>
    <cellStyle name="Normal 28 5 2" xfId="33222"/>
    <cellStyle name="Normal 28 6" xfId="33223"/>
    <cellStyle name="Normal 29" xfId="1573"/>
    <cellStyle name="Normal 29 2" xfId="6155"/>
    <cellStyle name="Normal 29 2 2" xfId="6156"/>
    <cellStyle name="Normal 29 2 2 2" xfId="6157"/>
    <cellStyle name="Normal 29 2 2 2 2" xfId="33224"/>
    <cellStyle name="Normal 29 2 2 3" xfId="33225"/>
    <cellStyle name="Normal 29 2 3" xfId="6158"/>
    <cellStyle name="Normal 29 2 3 2" xfId="33226"/>
    <cellStyle name="Normal 29 2 4" xfId="33227"/>
    <cellStyle name="Normal 29 3" xfId="6159"/>
    <cellStyle name="Normal 29 3 2" xfId="6160"/>
    <cellStyle name="Normal 29 3 2 2" xfId="33228"/>
    <cellStyle name="Normal 29 3 3" xfId="33229"/>
    <cellStyle name="Normal 29 4" xfId="6161"/>
    <cellStyle name="Normal 29 4 2" xfId="6162"/>
    <cellStyle name="Normal 29 4 2 2" xfId="33230"/>
    <cellStyle name="Normal 29 4 3" xfId="33231"/>
    <cellStyle name="Normal 29 5" xfId="6163"/>
    <cellStyle name="Normal 29 5 2" xfId="33232"/>
    <cellStyle name="Normal 29 6" xfId="33233"/>
    <cellStyle name="Normal 3" xfId="1574"/>
    <cellStyle name="Normal 3 10" xfId="1575"/>
    <cellStyle name="Normal 3 11" xfId="1576"/>
    <cellStyle name="Normal 3 2" xfId="1577"/>
    <cellStyle name="Normal 3 2 2" xfId="1578"/>
    <cellStyle name="Normal 3 2 2 2" xfId="1579"/>
    <cellStyle name="Normal 3 2 2_Cashflow trend" xfId="1580"/>
    <cellStyle name="Normal 3 2 3" xfId="1581"/>
    <cellStyle name="Normal 3 2 3 2" xfId="1582"/>
    <cellStyle name="Normal 3 2 3_Cashflow trend" xfId="1583"/>
    <cellStyle name="Normal 3 2_Cashflow trend" xfId="1584"/>
    <cellStyle name="Normal 3 3" xfId="1585"/>
    <cellStyle name="Normal 3 3 2" xfId="1586"/>
    <cellStyle name="Normal 3 3 2 2" xfId="1587"/>
    <cellStyle name="Normal 3 3 2_Cashflow trend" xfId="1588"/>
    <cellStyle name="Normal 3 3 3" xfId="1589"/>
    <cellStyle name="Normal 3 4" xfId="1590"/>
    <cellStyle name="Normal 3 4 10" xfId="1591"/>
    <cellStyle name="Normal 3 4 10 2" xfId="1592"/>
    <cellStyle name="Normal 3 4 10 2 2" xfId="12455"/>
    <cellStyle name="Normal 3 4 10 2_YL Capex Cashflow &amp; Dep" xfId="10967"/>
    <cellStyle name="Normal 3 4 10 3" xfId="11738"/>
    <cellStyle name="Normal 3 4 10_Cashflow trend" xfId="1593"/>
    <cellStyle name="Normal 3 4 11" xfId="1594"/>
    <cellStyle name="Normal 3 4 11 2" xfId="11506"/>
    <cellStyle name="Normal 3 4 11_YL Capex Cashflow &amp; Dep" xfId="10965"/>
    <cellStyle name="Normal 3 4 12" xfId="1595"/>
    <cellStyle name="Normal 3 4 12 2" xfId="12226"/>
    <cellStyle name="Normal 3 4 12_YL Capex Cashflow &amp; Dep" xfId="13289"/>
    <cellStyle name="Normal 3 4 13" xfId="10959"/>
    <cellStyle name="Normal 3 4 2" xfId="1596"/>
    <cellStyle name="Normal 3 4 2 10" xfId="1597"/>
    <cellStyle name="Normal 3 4 2 10 2" xfId="12230"/>
    <cellStyle name="Normal 3 4 2 10_YL Capex Cashflow &amp; Dep" xfId="10966"/>
    <cellStyle name="Normal 3 4 2 11" xfId="10976"/>
    <cellStyle name="Normal 3 4 2 2" xfId="1598"/>
    <cellStyle name="Normal 3 4 2 2 10" xfId="11021"/>
    <cellStyle name="Normal 3 4 2 2 2" xfId="1599"/>
    <cellStyle name="Normal 3 4 2 2 2 2" xfId="1600"/>
    <cellStyle name="Normal 3 4 2 2 2 2 2" xfId="1601"/>
    <cellStyle name="Normal 3 4 2 2 2 2 2 2" xfId="1602"/>
    <cellStyle name="Normal 3 4 2 2 2 2 2 2 2" xfId="12644"/>
    <cellStyle name="Normal 3 4 2 2 2 2 2 2_YL Capex Cashflow &amp; Dep" xfId="11260"/>
    <cellStyle name="Normal 3 4 2 2 2 2 2 3" xfId="11947"/>
    <cellStyle name="Normal 3 4 2 2 2 2 2_Cashflow trend" xfId="1603"/>
    <cellStyle name="Normal 3 4 2 2 2 2 3" xfId="1604"/>
    <cellStyle name="Normal 3 4 2 2 2 2 3 2" xfId="11648"/>
    <cellStyle name="Normal 3 4 2 2 2 2 3_YL Capex Cashflow &amp; Dep" xfId="10957"/>
    <cellStyle name="Normal 3 4 2 2 2 2 4" xfId="1605"/>
    <cellStyle name="Normal 3 4 2 2 2 2 4 2" xfId="12376"/>
    <cellStyle name="Normal 3 4 2 2 2 2 4_YL Capex Cashflow &amp; Dep" xfId="11259"/>
    <cellStyle name="Normal 3 4 2 2 2 2 5" xfId="11497"/>
    <cellStyle name="Normal 3 4 2 2 2 2_Cashflow trend" xfId="1606"/>
    <cellStyle name="Normal 3 4 2 2 2 3" xfId="1607"/>
    <cellStyle name="Normal 3 4 2 2 2 3 2" xfId="1608"/>
    <cellStyle name="Normal 3 4 2 2 2 3 2 2" xfId="12553"/>
    <cellStyle name="Normal 3 4 2 2 2 3 2_YL Capex Cashflow &amp; Dep" xfId="13288"/>
    <cellStyle name="Normal 3 4 2 2 2 3 3" xfId="11858"/>
    <cellStyle name="Normal 3 4 2 2 2 3_Cashflow trend" xfId="1609"/>
    <cellStyle name="Normal 3 4 2 2 2 4" xfId="1610"/>
    <cellStyle name="Normal 3 4 2 2 2 4 2" xfId="11567"/>
    <cellStyle name="Normal 3 4 2 2 2 4_YL Capex Cashflow &amp; Dep" xfId="11258"/>
    <cellStyle name="Normal 3 4 2 2 2 5" xfId="1611"/>
    <cellStyle name="Normal 3 4 2 2 2 5 2" xfId="12286"/>
    <cellStyle name="Normal 3 4 2 2 2 5_YL Capex Cashflow &amp; Dep" xfId="10887"/>
    <cellStyle name="Normal 3 4 2 2 2 6" xfId="11057"/>
    <cellStyle name="Normal 3 4 2 2 2_Cashflow trend" xfId="1612"/>
    <cellStyle name="Normal 3 4 2 2 3" xfId="1613"/>
    <cellStyle name="Normal 3 4 2 2 3 2" xfId="1614"/>
    <cellStyle name="Normal 3 4 2 2 3 2 2" xfId="1615"/>
    <cellStyle name="Normal 3 4 2 2 3 2 2 2" xfId="12670"/>
    <cellStyle name="Normal 3 4 2 2 3 2 2_YL Capex Cashflow &amp; Dep" xfId="10888"/>
    <cellStyle name="Normal 3 4 2 2 3 2 3" xfId="11973"/>
    <cellStyle name="Normal 3 4 2 2 3 2_Cashflow trend" xfId="1616"/>
    <cellStyle name="Normal 3 4 2 2 3 3" xfId="1617"/>
    <cellStyle name="Normal 3 4 2 2 3 3 2" xfId="11672"/>
    <cellStyle name="Normal 3 4 2 2 3 3_YL Capex Cashflow &amp; Dep" xfId="10895"/>
    <cellStyle name="Normal 3 4 2 2 3 4" xfId="1618"/>
    <cellStyle name="Normal 3 4 2 2 3 4 2" xfId="12402"/>
    <cellStyle name="Normal 3 4 2 2 3 4_YL Capex Cashflow &amp; Dep" xfId="11257"/>
    <cellStyle name="Normal 3 4 2 2 3 5" xfId="11430"/>
    <cellStyle name="Normal 3 4 2 2 3_Cashflow trend" xfId="1619"/>
    <cellStyle name="Normal 3 4 2 2 4" xfId="1620"/>
    <cellStyle name="Normal 3 4 2 2 4 2" xfId="1621"/>
    <cellStyle name="Normal 3 4 2 2 4 2 2" xfId="1622"/>
    <cellStyle name="Normal 3 4 2 2 4 2 2 2" xfId="12622"/>
    <cellStyle name="Normal 3 4 2 2 4 2 2_YL Capex Cashflow &amp; Dep" xfId="13270"/>
    <cellStyle name="Normal 3 4 2 2 4 2 3" xfId="11925"/>
    <cellStyle name="Normal 3 4 2 2 4 2_Cashflow trend" xfId="1623"/>
    <cellStyle name="Normal 3 4 2 2 4 3" xfId="1624"/>
    <cellStyle name="Normal 3 4 2 2 4 3 2" xfId="11626"/>
    <cellStyle name="Normal 3 4 2 2 4 3_YL Capex Cashflow &amp; Dep" xfId="11253"/>
    <cellStyle name="Normal 3 4 2 2 4 4" xfId="1625"/>
    <cellStyle name="Normal 3 4 2 2 4 4 2" xfId="12354"/>
    <cellStyle name="Normal 3 4 2 2 4 4_YL Capex Cashflow &amp; Dep" xfId="11256"/>
    <cellStyle name="Normal 3 4 2 2 4 5" xfId="11471"/>
    <cellStyle name="Normal 3 4 2 2 4_Cashflow trend" xfId="1626"/>
    <cellStyle name="Normal 3 4 2 2 5" xfId="1627"/>
    <cellStyle name="Normal 3 4 2 2 5 2" xfId="1628"/>
    <cellStyle name="Normal 3 4 2 2 5 2 2" xfId="1629"/>
    <cellStyle name="Normal 3 4 2 2 5 2 2 2" xfId="12704"/>
    <cellStyle name="Normal 3 4 2 2 5 2 2_YL Capex Cashflow &amp; Dep" xfId="13287"/>
    <cellStyle name="Normal 3 4 2 2 5 2 3" xfId="12005"/>
    <cellStyle name="Normal 3 4 2 2 5 2_Cashflow trend" xfId="1630"/>
    <cellStyle name="Normal 3 4 2 2 5 3" xfId="1631"/>
    <cellStyle name="Normal 3 4 2 2 5 3 2" xfId="12436"/>
    <cellStyle name="Normal 3 4 2 2 5 3_YL Capex Cashflow &amp; Dep" xfId="11254"/>
    <cellStyle name="Normal 3 4 2 2 5 4" xfId="11700"/>
    <cellStyle name="Normal 3 4 2 2 5_Cashflow trend" xfId="1632"/>
    <cellStyle name="Normal 3 4 2 2 6" xfId="1633"/>
    <cellStyle name="Normal 3 4 2 2 6 2" xfId="1634"/>
    <cellStyle name="Normal 3 4 2 2 6 2 2" xfId="1635"/>
    <cellStyle name="Normal 3 4 2 2 6 2 2 2" xfId="12590"/>
    <cellStyle name="Normal 3 4 2 2 6 2 2_YL Capex Cashflow &amp; Dep" xfId="11255"/>
    <cellStyle name="Normal 3 4 2 2 6 2 3" xfId="11894"/>
    <cellStyle name="Normal 3 4 2 2 6 2_Cashflow trend" xfId="1636"/>
    <cellStyle name="Normal 3 4 2 2 6 3" xfId="1637"/>
    <cellStyle name="Normal 3 4 2 2 6 3 2" xfId="12322"/>
    <cellStyle name="Normal 3 4 2 2 6 3_YL Capex Cashflow &amp; Dep" xfId="10896"/>
    <cellStyle name="Normal 3 4 2 2 6 4" xfId="11594"/>
    <cellStyle name="Normal 3 4 2 2 6_Cashflow trend" xfId="1638"/>
    <cellStyle name="Normal 3 4 2 2 7" xfId="1639"/>
    <cellStyle name="Normal 3 4 2 2 7 2" xfId="1640"/>
    <cellStyle name="Normal 3 4 2 2 7 2 2" xfId="12471"/>
    <cellStyle name="Normal 3 4 2 2 7 2_YL Capex Cashflow &amp; Dep" xfId="13249"/>
    <cellStyle name="Normal 3 4 2 2 7 3" xfId="11754"/>
    <cellStyle name="Normal 3 4 2 2 7_Cashflow trend" xfId="1641"/>
    <cellStyle name="Normal 3 4 2 2 8" xfId="1642"/>
    <cellStyle name="Normal 3 4 2 2 8 2" xfId="11522"/>
    <cellStyle name="Normal 3 4 2 2 8_YL Capex Cashflow &amp; Dep" xfId="11716"/>
    <cellStyle name="Normal 3 4 2 2 9" xfId="1643"/>
    <cellStyle name="Normal 3 4 2 2 9 2" xfId="12242"/>
    <cellStyle name="Normal 3 4 2 2 9_YL Capex Cashflow &amp; Dep" xfId="11707"/>
    <cellStyle name="Normal 3 4 2 2_Cashflow trend" xfId="1644"/>
    <cellStyle name="Normal 3 4 2 3" xfId="1645"/>
    <cellStyle name="Normal 3 4 2 3 2" xfId="1646"/>
    <cellStyle name="Normal 3 4 2 3 2 2" xfId="1647"/>
    <cellStyle name="Normal 3 4 2 3 2 2 2" xfId="1648"/>
    <cellStyle name="Normal 3 4 2 3 2 2 2 2" xfId="12632"/>
    <cellStyle name="Normal 3 4 2 3 2 2 2_YL Capex Cashflow &amp; Dep" xfId="13286"/>
    <cellStyle name="Normal 3 4 2 3 2 2 3" xfId="11935"/>
    <cellStyle name="Normal 3 4 2 3 2 2_Cashflow trend" xfId="1649"/>
    <cellStyle name="Normal 3 4 2 3 2 3" xfId="1650"/>
    <cellStyle name="Normal 3 4 2 3 2 3 2" xfId="11636"/>
    <cellStyle name="Normal 3 4 2 3 2 3_YL Capex Cashflow &amp; Dep" xfId="13277"/>
    <cellStyle name="Normal 3 4 2 3 2 4" xfId="1651"/>
    <cellStyle name="Normal 3 4 2 3 2 4 2" xfId="12364"/>
    <cellStyle name="Normal 3 4 2 3 2 4_YL Capex Cashflow &amp; Dep" xfId="10962"/>
    <cellStyle name="Normal 3 4 2 3 2 5" xfId="11485"/>
    <cellStyle name="Normal 3 4 2 3 2_Cashflow trend" xfId="1652"/>
    <cellStyle name="Normal 3 4 2 3 3" xfId="1653"/>
    <cellStyle name="Normal 3 4 2 3 3 2" xfId="1654"/>
    <cellStyle name="Normal 3 4 2 3 3 2 2" xfId="12541"/>
    <cellStyle name="Normal 3 4 2 3 3 2_YL Capex Cashflow &amp; Dep" xfId="13267"/>
    <cellStyle name="Normal 3 4 2 3 3 3" xfId="11846"/>
    <cellStyle name="Normal 3 4 2 3 3_Cashflow trend" xfId="1655"/>
    <cellStyle name="Normal 3 4 2 3 4" xfId="1656"/>
    <cellStyle name="Normal 3 4 2 3 4 2" xfId="11555"/>
    <cellStyle name="Normal 3 4 2 3 4_YL Capex Cashflow &amp; Dep" xfId="10955"/>
    <cellStyle name="Normal 3 4 2 3 5" xfId="1657"/>
    <cellStyle name="Normal 3 4 2 3 5 2" xfId="12274"/>
    <cellStyle name="Normal 3 4 2 3 5_YL Capex Cashflow &amp; Dep" xfId="13261"/>
    <cellStyle name="Normal 3 4 2 3 6" xfId="11045"/>
    <cellStyle name="Normal 3 4 2 3_Cashflow trend" xfId="1658"/>
    <cellStyle name="Normal 3 4 2 4" xfId="1659"/>
    <cellStyle name="Normal 3 4 2 4 2" xfId="1660"/>
    <cellStyle name="Normal 3 4 2 4 2 2" xfId="1661"/>
    <cellStyle name="Normal 3 4 2 4 2 2 2" xfId="12656"/>
    <cellStyle name="Normal 3 4 2 4 2 2_YL Capex Cashflow &amp; Dep" xfId="10951"/>
    <cellStyle name="Normal 3 4 2 4 2 3" xfId="11959"/>
    <cellStyle name="Normal 3 4 2 4 2_Cashflow trend" xfId="1662"/>
    <cellStyle name="Normal 3 4 2 4 3" xfId="1663"/>
    <cellStyle name="Normal 3 4 2 4 3 2" xfId="11660"/>
    <cellStyle name="Normal 3 4 2 4 3_YL Capex Cashflow &amp; Dep" xfId="13248"/>
    <cellStyle name="Normal 3 4 2 4 4" xfId="1664"/>
    <cellStyle name="Normal 3 4 2 4 4 2" xfId="12388"/>
    <cellStyle name="Normal 3 4 2 4 4_YL Capex Cashflow &amp; Dep" xfId="10952"/>
    <cellStyle name="Normal 3 4 2 4 5" xfId="11416"/>
    <cellStyle name="Normal 3 4 2 4_Cashflow trend" xfId="1665"/>
    <cellStyle name="Normal 3 4 2 5" xfId="1666"/>
    <cellStyle name="Normal 3 4 2 5 2" xfId="1667"/>
    <cellStyle name="Normal 3 4 2 5 2 2" xfId="1668"/>
    <cellStyle name="Normal 3 4 2 5 2 2 2" xfId="12610"/>
    <cellStyle name="Normal 3 4 2 5 2 2_YL Capex Cashflow &amp; Dep" xfId="13247"/>
    <cellStyle name="Normal 3 4 2 5 2 3" xfId="11913"/>
    <cellStyle name="Normal 3 4 2 5 2_Cashflow trend" xfId="1669"/>
    <cellStyle name="Normal 3 4 2 5 3" xfId="1670"/>
    <cellStyle name="Normal 3 4 2 5 3 2" xfId="11614"/>
    <cellStyle name="Normal 3 4 2 5 3_YL Capex Cashflow &amp; Dep" xfId="10897"/>
    <cellStyle name="Normal 3 4 2 5 4" xfId="1671"/>
    <cellStyle name="Normal 3 4 2 5 4 2" xfId="12342"/>
    <cellStyle name="Normal 3 4 2 5 4_YL Capex Cashflow &amp; Dep" xfId="13246"/>
    <cellStyle name="Normal 3 4 2 5 5" xfId="11459"/>
    <cellStyle name="Normal 3 4 2 5_Cashflow trend" xfId="1672"/>
    <cellStyle name="Normal 3 4 2 6" xfId="1673"/>
    <cellStyle name="Normal 3 4 2 6 2" xfId="1674"/>
    <cellStyle name="Normal 3 4 2 6 2 2" xfId="1675"/>
    <cellStyle name="Normal 3 4 2 6 2 2 2" xfId="12692"/>
    <cellStyle name="Normal 3 4 2 6 2 2_YL Capex Cashflow &amp; Dep" xfId="10949"/>
    <cellStyle name="Normal 3 4 2 6 2 3" xfId="11993"/>
    <cellStyle name="Normal 3 4 2 6 2_Cashflow trend" xfId="1676"/>
    <cellStyle name="Normal 3 4 2 6 3" xfId="1677"/>
    <cellStyle name="Normal 3 4 2 6 3 2" xfId="12424"/>
    <cellStyle name="Normal 3 4 2 6 3_YL Capex Cashflow &amp; Dep" xfId="13245"/>
    <cellStyle name="Normal 3 4 2 6 4" xfId="11688"/>
    <cellStyle name="Normal 3 4 2 6_Cashflow trend" xfId="1678"/>
    <cellStyle name="Normal 3 4 2 7" xfId="1679"/>
    <cellStyle name="Normal 3 4 2 7 2" xfId="1680"/>
    <cellStyle name="Normal 3 4 2 7 2 2" xfId="1681"/>
    <cellStyle name="Normal 3 4 2 7 2 2 2" xfId="12578"/>
    <cellStyle name="Normal 3 4 2 7 2 2_YL Capex Cashflow &amp; Dep" xfId="11252"/>
    <cellStyle name="Normal 3 4 2 7 2 3" xfId="11882"/>
    <cellStyle name="Normal 3 4 2 7 2_Cashflow trend" xfId="1682"/>
    <cellStyle name="Normal 3 4 2 7 3" xfId="1683"/>
    <cellStyle name="Normal 3 4 2 7 3 2" xfId="12310"/>
    <cellStyle name="Normal 3 4 2 7 3_YL Capex Cashflow &amp; Dep" xfId="10901"/>
    <cellStyle name="Normal 3 4 2 7 4" xfId="11582"/>
    <cellStyle name="Normal 3 4 2 7_Cashflow trend" xfId="1684"/>
    <cellStyle name="Normal 3 4 2 8" xfId="1685"/>
    <cellStyle name="Normal 3 4 2 8 2" xfId="1686"/>
    <cellStyle name="Normal 3 4 2 8 2 2" xfId="12459"/>
    <cellStyle name="Normal 3 4 2 8 2_YL Capex Cashflow &amp; Dep" xfId="11251"/>
    <cellStyle name="Normal 3 4 2 8 3" xfId="11742"/>
    <cellStyle name="Normal 3 4 2 8_Cashflow trend" xfId="1687"/>
    <cellStyle name="Normal 3 4 2 9" xfId="1688"/>
    <cellStyle name="Normal 3 4 2 9 2" xfId="11510"/>
    <cellStyle name="Normal 3 4 2 9_YL Capex Cashflow &amp; Dep" xfId="11391"/>
    <cellStyle name="Normal 3 4 2_Cashflow trend" xfId="1689"/>
    <cellStyle name="Normal 3 4 3" xfId="1690"/>
    <cellStyle name="Normal 3 4 3 10" xfId="11017"/>
    <cellStyle name="Normal 3 4 3 2" xfId="1691"/>
    <cellStyle name="Normal 3 4 3 2 2" xfId="1692"/>
    <cellStyle name="Normal 3 4 3 2 2 2" xfId="1693"/>
    <cellStyle name="Normal 3 4 3 2 2 2 2" xfId="1694"/>
    <cellStyle name="Normal 3 4 3 2 2 2 2 2" xfId="12640"/>
    <cellStyle name="Normal 3 4 3 2 2 2 2_YL Capex Cashflow &amp; Dep" xfId="11250"/>
    <cellStyle name="Normal 3 4 3 2 2 2 3" xfId="11943"/>
    <cellStyle name="Normal 3 4 3 2 2 2_Cashflow trend" xfId="1695"/>
    <cellStyle name="Normal 3 4 3 2 2 3" xfId="1696"/>
    <cellStyle name="Normal 3 4 3 2 2 3 2" xfId="11644"/>
    <cellStyle name="Normal 3 4 3 2 2 3_YL Capex Cashflow &amp; Dep" xfId="11249"/>
    <cellStyle name="Normal 3 4 3 2 2 4" xfId="1697"/>
    <cellStyle name="Normal 3 4 3 2 2 4 2" xfId="12372"/>
    <cellStyle name="Normal 3 4 3 2 2 4_YL Capex Cashflow &amp; Dep" xfId="11248"/>
    <cellStyle name="Normal 3 4 3 2 2 5" xfId="11493"/>
    <cellStyle name="Normal 3 4 3 2 2_Cashflow trend" xfId="1698"/>
    <cellStyle name="Normal 3 4 3 2 3" xfId="1699"/>
    <cellStyle name="Normal 3 4 3 2 3 2" xfId="1700"/>
    <cellStyle name="Normal 3 4 3 2 3 2 2" xfId="12549"/>
    <cellStyle name="Normal 3 4 3 2 3 2_YL Capex Cashflow &amp; Dep" xfId="11247"/>
    <cellStyle name="Normal 3 4 3 2 3 3" xfId="11854"/>
    <cellStyle name="Normal 3 4 3 2 3_Cashflow trend" xfId="1701"/>
    <cellStyle name="Normal 3 4 3 2 4" xfId="1702"/>
    <cellStyle name="Normal 3 4 3 2 4 2" xfId="11563"/>
    <cellStyle name="Normal 3 4 3 2 4_YL Capex Cashflow &amp; Dep" xfId="11246"/>
    <cellStyle name="Normal 3 4 3 2 5" xfId="1703"/>
    <cellStyle name="Normal 3 4 3 2 5 2" xfId="12282"/>
    <cellStyle name="Normal 3 4 3 2 5_YL Capex Cashflow &amp; Dep" xfId="11245"/>
    <cellStyle name="Normal 3 4 3 2 6" xfId="11053"/>
    <cellStyle name="Normal 3 4 3 2_Cashflow trend" xfId="1704"/>
    <cellStyle name="Normal 3 4 3 3" xfId="1705"/>
    <cellStyle name="Normal 3 4 3 3 2" xfId="1706"/>
    <cellStyle name="Normal 3 4 3 3 2 2" xfId="1707"/>
    <cellStyle name="Normal 3 4 3 3 2 2 2" xfId="12666"/>
    <cellStyle name="Normal 3 4 3 3 2 2_YL Capex Cashflow &amp; Dep" xfId="11244"/>
    <cellStyle name="Normal 3 4 3 3 2 3" xfId="11969"/>
    <cellStyle name="Normal 3 4 3 3 2_Cashflow trend" xfId="1708"/>
    <cellStyle name="Normal 3 4 3 3 3" xfId="1709"/>
    <cellStyle name="Normal 3 4 3 3 3 2" xfId="11668"/>
    <cellStyle name="Normal 3 4 3 3 3_YL Capex Cashflow &amp; Dep" xfId="11243"/>
    <cellStyle name="Normal 3 4 3 3 4" xfId="1710"/>
    <cellStyle name="Normal 3 4 3 3 4 2" xfId="12398"/>
    <cellStyle name="Normal 3 4 3 3 4_YL Capex Cashflow &amp; Dep" xfId="11242"/>
    <cellStyle name="Normal 3 4 3 3 5" xfId="11426"/>
    <cellStyle name="Normal 3 4 3 3_Cashflow trend" xfId="1711"/>
    <cellStyle name="Normal 3 4 3 4" xfId="1712"/>
    <cellStyle name="Normal 3 4 3 4 2" xfId="1713"/>
    <cellStyle name="Normal 3 4 3 4 2 2" xfId="1714"/>
    <cellStyle name="Normal 3 4 3 4 2 2 2" xfId="12618"/>
    <cellStyle name="Normal 3 4 3 4 2 2_YL Capex Cashflow &amp; Dep" xfId="11241"/>
    <cellStyle name="Normal 3 4 3 4 2 3" xfId="11921"/>
    <cellStyle name="Normal 3 4 3 4 2_Cashflow trend" xfId="1715"/>
    <cellStyle name="Normal 3 4 3 4 3" xfId="1716"/>
    <cellStyle name="Normal 3 4 3 4 3 2" xfId="11622"/>
    <cellStyle name="Normal 3 4 3 4 3_YL Capex Cashflow &amp; Dep" xfId="11240"/>
    <cellStyle name="Normal 3 4 3 4 4" xfId="1717"/>
    <cellStyle name="Normal 3 4 3 4 4 2" xfId="12350"/>
    <cellStyle name="Normal 3 4 3 4 4_YL Capex Cashflow &amp; Dep" xfId="11239"/>
    <cellStyle name="Normal 3 4 3 4 5" xfId="11467"/>
    <cellStyle name="Normal 3 4 3 4_Cashflow trend" xfId="1718"/>
    <cellStyle name="Normal 3 4 3 5" xfId="1719"/>
    <cellStyle name="Normal 3 4 3 5 2" xfId="1720"/>
    <cellStyle name="Normal 3 4 3 5 2 2" xfId="1721"/>
    <cellStyle name="Normal 3 4 3 5 2 2 2" xfId="12700"/>
    <cellStyle name="Normal 3 4 3 5 2 2_YL Capex Cashflow &amp; Dep" xfId="11238"/>
    <cellStyle name="Normal 3 4 3 5 2 3" xfId="12001"/>
    <cellStyle name="Normal 3 4 3 5 2_Cashflow trend" xfId="1722"/>
    <cellStyle name="Normal 3 4 3 5 3" xfId="1723"/>
    <cellStyle name="Normal 3 4 3 5 3 2" xfId="12432"/>
    <cellStyle name="Normal 3 4 3 5 3_YL Capex Cashflow &amp; Dep" xfId="11390"/>
    <cellStyle name="Normal 3 4 3 5 4" xfId="11696"/>
    <cellStyle name="Normal 3 4 3 5_Cashflow trend" xfId="1724"/>
    <cellStyle name="Normal 3 4 3 6" xfId="1725"/>
    <cellStyle name="Normal 3 4 3 6 2" xfId="1726"/>
    <cellStyle name="Normal 3 4 3 6 2 2" xfId="1727"/>
    <cellStyle name="Normal 3 4 3 6 2 2 2" xfId="12586"/>
    <cellStyle name="Normal 3 4 3 6 2 2_YL Capex Cashflow &amp; Dep" xfId="11237"/>
    <cellStyle name="Normal 3 4 3 6 2 3" xfId="11890"/>
    <cellStyle name="Normal 3 4 3 6 2_Cashflow trend" xfId="1728"/>
    <cellStyle name="Normal 3 4 3 6 3" xfId="1729"/>
    <cellStyle name="Normal 3 4 3 6 3 2" xfId="12318"/>
    <cellStyle name="Normal 3 4 3 6 3_YL Capex Cashflow &amp; Dep" xfId="11236"/>
    <cellStyle name="Normal 3 4 3 6 4" xfId="11590"/>
    <cellStyle name="Normal 3 4 3 6_Cashflow trend" xfId="1730"/>
    <cellStyle name="Normal 3 4 3 7" xfId="1731"/>
    <cellStyle name="Normal 3 4 3 7 2" xfId="1732"/>
    <cellStyle name="Normal 3 4 3 7 2 2" xfId="12467"/>
    <cellStyle name="Normal 3 4 3 7 2_YL Capex Cashflow &amp; Dep" xfId="11235"/>
    <cellStyle name="Normal 3 4 3 7 3" xfId="11750"/>
    <cellStyle name="Normal 3 4 3 7_Cashflow trend" xfId="1733"/>
    <cellStyle name="Normal 3 4 3 8" xfId="1734"/>
    <cellStyle name="Normal 3 4 3 8 2" xfId="11518"/>
    <cellStyle name="Normal 3 4 3 8_YL Capex Cashflow &amp; Dep" xfId="11234"/>
    <cellStyle name="Normal 3 4 3 9" xfId="1735"/>
    <cellStyle name="Normal 3 4 3 9 2" xfId="12238"/>
    <cellStyle name="Normal 3 4 3 9_YL Capex Cashflow &amp; Dep" xfId="12219"/>
    <cellStyle name="Normal 3 4 3_Cashflow trend" xfId="1736"/>
    <cellStyle name="Normal 3 4 4" xfId="1737"/>
    <cellStyle name="Normal 3 4 4 2" xfId="1738"/>
    <cellStyle name="Normal 3 4 4 3" xfId="1739"/>
    <cellStyle name="Normal 3 4 4 3 2" xfId="1740"/>
    <cellStyle name="Normal 3 4 4 3 2 2" xfId="1741"/>
    <cellStyle name="Normal 3 4 4 3 2 2 2" xfId="12606"/>
    <cellStyle name="Normal 3 4 4 3 2 2_YL Capex Cashflow &amp; Dep" xfId="12741"/>
    <cellStyle name="Normal 3 4 4 3 2 3" xfId="11909"/>
    <cellStyle name="Normal 3 4 4 3 2_Cashflow trend" xfId="1742"/>
    <cellStyle name="Normal 3 4 4 3 3" xfId="1743"/>
    <cellStyle name="Normal 3 4 4 3 3 2" xfId="12338"/>
    <cellStyle name="Normal 3 4 4 3 3_YL Capex Cashflow &amp; Dep" xfId="12211"/>
    <cellStyle name="Normal 3 4 4 3 4" xfId="11610"/>
    <cellStyle name="Normal 3 4 4 3_Cashflow trend" xfId="1744"/>
    <cellStyle name="Normal 3 4 4 4" xfId="10972"/>
    <cellStyle name="Normal 3 4 4_Cashflow trend" xfId="1745"/>
    <cellStyle name="Normal 3 4 5" xfId="1746"/>
    <cellStyle name="Normal 3 4 5 2" xfId="1747"/>
    <cellStyle name="Normal 3 4 5 2 2" xfId="1748"/>
    <cellStyle name="Normal 3 4 5 2 2 2" xfId="1749"/>
    <cellStyle name="Normal 3 4 5 2 2 2 2" xfId="12628"/>
    <cellStyle name="Normal 3 4 5 2 2 2_YL Capex Cashflow &amp; Dep" xfId="12120"/>
    <cellStyle name="Normal 3 4 5 2 2 3" xfId="11931"/>
    <cellStyle name="Normal 3 4 5 2 2_Cashflow trend" xfId="1750"/>
    <cellStyle name="Normal 3 4 5 2 3" xfId="1751"/>
    <cellStyle name="Normal 3 4 5 2 3 2" xfId="11632"/>
    <cellStyle name="Normal 3 4 5 2 3_YL Capex Cashflow &amp; Dep" xfId="12727"/>
    <cellStyle name="Normal 3 4 5 2 4" xfId="1752"/>
    <cellStyle name="Normal 3 4 5 2 4 2" xfId="12360"/>
    <cellStyle name="Normal 3 4 5 2 4_YL Capex Cashflow &amp; Dep" xfId="12197"/>
    <cellStyle name="Normal 3 4 5 2 5" xfId="11481"/>
    <cellStyle name="Normal 3 4 5 2_Cashflow trend" xfId="1753"/>
    <cellStyle name="Normal 3 4 5 3" xfId="1754"/>
    <cellStyle name="Normal 3 4 5 3 2" xfId="1755"/>
    <cellStyle name="Normal 3 4 5 3 2 2" xfId="12537"/>
    <cellStyle name="Normal 3 4 5 3 2_YL Capex Cashflow &amp; Dep" xfId="11784"/>
    <cellStyle name="Normal 3 4 5 3 3" xfId="11842"/>
    <cellStyle name="Normal 3 4 5 3_Cashflow trend" xfId="1756"/>
    <cellStyle name="Normal 3 4 5 4" xfId="1757"/>
    <cellStyle name="Normal 3 4 5 4 2" xfId="11551"/>
    <cellStyle name="Normal 3 4 5 4_YL Capex Cashflow &amp; Dep" xfId="12303"/>
    <cellStyle name="Normal 3 4 5 5" xfId="1758"/>
    <cellStyle name="Normal 3 4 5 5 2" xfId="12270"/>
    <cellStyle name="Normal 3 4 5 5_YL Capex Cashflow &amp; Dep" xfId="12071"/>
    <cellStyle name="Normal 3 4 5 6" xfId="11041"/>
    <cellStyle name="Normal 3 4 5_Cashflow trend" xfId="1759"/>
    <cellStyle name="Normal 3 4 6" xfId="1760"/>
    <cellStyle name="Normal 3 4 6 2" xfId="1761"/>
    <cellStyle name="Normal 3 4 6 2 2" xfId="1762"/>
    <cellStyle name="Normal 3 4 6 2 2 2" xfId="12652"/>
    <cellStyle name="Normal 3 4 6 2 2_YL Capex Cashflow &amp; Dep" xfId="11737"/>
    <cellStyle name="Normal 3 4 6 2 3" xfId="11955"/>
    <cellStyle name="Normal 3 4 6 2_Cashflow trend" xfId="1763"/>
    <cellStyle name="Normal 3 4 6 3" xfId="1764"/>
    <cellStyle name="Normal 3 4 6 3 2" xfId="11656"/>
    <cellStyle name="Normal 3 4 6 3_YL Capex Cashflow &amp; Dep" xfId="12571"/>
    <cellStyle name="Normal 3 4 6 4" xfId="1765"/>
    <cellStyle name="Normal 3 4 6 4 2" xfId="12384"/>
    <cellStyle name="Normal 3 4 6 4_YL Capex Cashflow &amp; Dep" xfId="12168"/>
    <cellStyle name="Normal 3 4 6 5" xfId="11412"/>
    <cellStyle name="Normal 3 4 6_Cashflow trend" xfId="1766"/>
    <cellStyle name="Normal 3 4 7" xfId="1767"/>
    <cellStyle name="Normal 3 4 7 2" xfId="1768"/>
    <cellStyle name="Normal 3 4 7 2 2" xfId="1769"/>
    <cellStyle name="Normal 3 4 7 2 2 2" xfId="12602"/>
    <cellStyle name="Normal 3 4 7 2 2_YL Capex Cashflow &amp; Dep" xfId="12412"/>
    <cellStyle name="Normal 3 4 7 2 3" xfId="11905"/>
    <cellStyle name="Normal 3 4 7 2_Cashflow trend" xfId="1770"/>
    <cellStyle name="Normal 3 4 7 3" xfId="1771"/>
    <cellStyle name="Normal 3 4 7 3 2" xfId="11606"/>
    <cellStyle name="Normal 3 4 7 3_YL Capex Cashflow &amp; Dep" xfId="12086"/>
    <cellStyle name="Normal 3 4 7 4" xfId="1772"/>
    <cellStyle name="Normal 3 4 7 4 2" xfId="12334"/>
    <cellStyle name="Normal 3 4 7 4_YL Capex Cashflow &amp; Dep" xfId="12447"/>
    <cellStyle name="Normal 3 4 7 5" xfId="11455"/>
    <cellStyle name="Normal 3 4 7_Cashflow trend" xfId="1773"/>
    <cellStyle name="Normal 3 4 8" xfId="1774"/>
    <cellStyle name="Normal 3 4 8 2" xfId="1775"/>
    <cellStyle name="Normal 3 4 8 2 2" xfId="1776"/>
    <cellStyle name="Normal 3 4 8 2 2 2" xfId="12688"/>
    <cellStyle name="Normal 3 4 8 2 2_YL Capex Cashflow &amp; Dep" xfId="12680"/>
    <cellStyle name="Normal 3 4 8 2 3" xfId="11989"/>
    <cellStyle name="Normal 3 4 8 2_Cashflow trend" xfId="1777"/>
    <cellStyle name="Normal 3 4 8 3" xfId="1778"/>
    <cellStyle name="Normal 3 4 8 3 2" xfId="12420"/>
    <cellStyle name="Normal 3 4 8 3_YL Capex Cashflow &amp; Dep" xfId="12178"/>
    <cellStyle name="Normal 3 4 8 4" xfId="11684"/>
    <cellStyle name="Normal 3 4 8_Cashflow trend" xfId="1779"/>
    <cellStyle name="Normal 3 4 9" xfId="1780"/>
    <cellStyle name="Normal 3 4 9 2" xfId="1781"/>
    <cellStyle name="Normal 3 4 9 2 2" xfId="1782"/>
    <cellStyle name="Normal 3 4 9 2 2 2" xfId="12574"/>
    <cellStyle name="Normal 3 4 9 2 2_YL Capex Cashflow &amp; Dep" xfId="12249"/>
    <cellStyle name="Normal 3 4 9 2 3" xfId="11878"/>
    <cellStyle name="Normal 3 4 9 2_Cashflow trend" xfId="1783"/>
    <cellStyle name="Normal 3 4 9 3" xfId="1784"/>
    <cellStyle name="Normal 3 4 9 3 2" xfId="12306"/>
    <cellStyle name="Normal 3 4 9 3_YL Capex Cashflow &amp; Dep" xfId="11544"/>
    <cellStyle name="Normal 3 4 9 4" xfId="11578"/>
    <cellStyle name="Normal 3 4 9_Cashflow trend" xfId="1785"/>
    <cellStyle name="Normal 3 4_Cashflow trend" xfId="1786"/>
    <cellStyle name="Normal 3 5" xfId="1787"/>
    <cellStyle name="Normal 3 5 10" xfId="1788"/>
    <cellStyle name="Normal 3 5 10 2" xfId="1789"/>
    <cellStyle name="Normal 3 5 10 2 2" xfId="12457"/>
    <cellStyle name="Normal 3 5 10 2_YL Capex Cashflow &amp; Dep" xfId="12745"/>
    <cellStyle name="Normal 3 5 10 3" xfId="11740"/>
    <cellStyle name="Normal 3 5 10_Cashflow trend" xfId="1790"/>
    <cellStyle name="Normal 3 5 11" xfId="1791"/>
    <cellStyle name="Normal 3 5 11 2" xfId="11508"/>
    <cellStyle name="Normal 3 5 11_YL Capex Cashflow &amp; Dep" xfId="12215"/>
    <cellStyle name="Normal 3 5 12" xfId="1792"/>
    <cellStyle name="Normal 3 5 12 2" xfId="12228"/>
    <cellStyle name="Normal 3 5 12_YL Capex Cashflow &amp; Dep" xfId="12043"/>
    <cellStyle name="Normal 3 5 13" xfId="10969"/>
    <cellStyle name="Normal 3 5 2" xfId="1793"/>
    <cellStyle name="Normal 3 5 2 10" xfId="1794"/>
    <cellStyle name="Normal 3 5 2 10 2" xfId="12232"/>
    <cellStyle name="Normal 3 5 2 10_YL Capex Cashflow &amp; Dep" xfId="12489"/>
    <cellStyle name="Normal 3 5 2 11" xfId="10978"/>
    <cellStyle name="Normal 3 5 2 2" xfId="1795"/>
    <cellStyle name="Normal 3 5 2 2 10" xfId="11023"/>
    <cellStyle name="Normal 3 5 2 2 2" xfId="1796"/>
    <cellStyle name="Normal 3 5 2 2 2 2" xfId="1797"/>
    <cellStyle name="Normal 3 5 2 2 2 2 2" xfId="1798"/>
    <cellStyle name="Normal 3 5 2 2 2 2 2 2" xfId="1799"/>
    <cellStyle name="Normal 3 5 2 2 2 2 2 2 2" xfId="12646"/>
    <cellStyle name="Normal 3 5 2 2 2 2 2 2_YL Capex Cashflow &amp; Dep" xfId="11777"/>
    <cellStyle name="Normal 3 5 2 2 2 2 2 3" xfId="11949"/>
    <cellStyle name="Normal 3 5 2 2 2 2 2_Cashflow trend" xfId="1800"/>
    <cellStyle name="Normal 3 5 2 2 2 2 3" xfId="1801"/>
    <cellStyle name="Normal 3 5 2 2 2 2 3 2" xfId="11650"/>
    <cellStyle name="Normal 3 5 2 2 2 2 3_YL Capex Cashflow &amp; Dep" xfId="12329"/>
    <cellStyle name="Normal 3 5 2 2 2 2 4" xfId="1802"/>
    <cellStyle name="Normal 3 5 2 2 2 2 4 2" xfId="12378"/>
    <cellStyle name="Normal 3 5 2 2 2 2 4_YL Capex Cashflow &amp; Dep" xfId="12075"/>
    <cellStyle name="Normal 3 5 2 2 2 2 5" xfId="11499"/>
    <cellStyle name="Normal 3 5 2 2 2 2_Cashflow trend" xfId="1803"/>
    <cellStyle name="Normal 3 5 2 2 2 3" xfId="1804"/>
    <cellStyle name="Normal 3 5 2 2 2 3 2" xfId="1805"/>
    <cellStyle name="Normal 3 5 2 2 2 3 2 2" xfId="12555"/>
    <cellStyle name="Normal 3 5 2 2 2 3 2_YL Capex Cashflow &amp; Dep" xfId="12108"/>
    <cellStyle name="Normal 3 5 2 2 2 3 3" xfId="11860"/>
    <cellStyle name="Normal 3 5 2 2 2 3_Cashflow trend" xfId="1806"/>
    <cellStyle name="Normal 3 5 2 2 2 4" xfId="1807"/>
    <cellStyle name="Normal 3 5 2 2 2 4 2" xfId="11569"/>
    <cellStyle name="Normal 3 5 2 2 2 4_YL Capex Cashflow &amp; Dep" xfId="11769"/>
    <cellStyle name="Normal 3 5 2 2 2 5" xfId="1808"/>
    <cellStyle name="Normal 3 5 2 2 2 5 2" xfId="12288"/>
    <cellStyle name="Normal 3 5 2 2 2 5_YL Capex Cashflow &amp; Dep" xfId="12597"/>
    <cellStyle name="Normal 3 5 2 2 2 6" xfId="11059"/>
    <cellStyle name="Normal 3 5 2 2 2_Cashflow trend" xfId="1809"/>
    <cellStyle name="Normal 3 5 2 2 3" xfId="1810"/>
    <cellStyle name="Normal 3 5 2 2 3 2" xfId="1811"/>
    <cellStyle name="Normal 3 5 2 2 3 2 2" xfId="1812"/>
    <cellStyle name="Normal 3 5 2 2 3 2 2 2" xfId="12672"/>
    <cellStyle name="Normal 3 5 2 2 3 2 2_YL Capex Cashflow &amp; Dep" xfId="11601"/>
    <cellStyle name="Normal 3 5 2 2 3 2 3" xfId="11975"/>
    <cellStyle name="Normal 3 5 2 2 3 2_Cashflow trend" xfId="1813"/>
    <cellStyle name="Normal 3 5 2 2 3 3" xfId="1814"/>
    <cellStyle name="Normal 3 5 2 2 3 3 2" xfId="11674"/>
    <cellStyle name="Normal 3 5 2 2 3 3_YL Capex Cashflow &amp; Dep" xfId="12409"/>
    <cellStyle name="Normal 3 5 2 2 3 4" xfId="1815"/>
    <cellStyle name="Normal 3 5 2 2 3 4 2" xfId="12404"/>
    <cellStyle name="Normal 3 5 2 2 3 4_YL Capex Cashflow &amp; Dep" xfId="12085"/>
    <cellStyle name="Normal 3 5 2 2 3 5" xfId="11432"/>
    <cellStyle name="Normal 3 5 2 2 3_Cashflow trend" xfId="1816"/>
    <cellStyle name="Normal 3 5 2 2 4" xfId="1817"/>
    <cellStyle name="Normal 3 5 2 2 4 2" xfId="1818"/>
    <cellStyle name="Normal 3 5 2 2 4 2 2" xfId="1819"/>
    <cellStyle name="Normal 3 5 2 2 4 2 2 2" xfId="12624"/>
    <cellStyle name="Normal 3 5 2 2 4 2 2_YL Capex Cashflow &amp; Dep" xfId="11761"/>
    <cellStyle name="Normal 3 5 2 2 4 2 3" xfId="11927"/>
    <cellStyle name="Normal 3 5 2 2 4 2_Cashflow trend" xfId="1820"/>
    <cellStyle name="Normal 3 5 2 2 4 3" xfId="1821"/>
    <cellStyle name="Normal 3 5 2 2 4 3 2" xfId="11628"/>
    <cellStyle name="Normal 3 5 2 2 4 3_YL Capex Cashflow &amp; Dep" xfId="12677"/>
    <cellStyle name="Normal 3 5 2 2 4 4" xfId="1822"/>
    <cellStyle name="Normal 3 5 2 2 4 4 2" xfId="12356"/>
    <cellStyle name="Normal 3 5 2 2 4 4_YL Capex Cashflow &amp; Dep" xfId="12177"/>
    <cellStyle name="Normal 3 5 2 2 4 5" xfId="11473"/>
    <cellStyle name="Normal 3 5 2 2 4_Cashflow trend" xfId="1823"/>
    <cellStyle name="Normal 3 5 2 2 5" xfId="1824"/>
    <cellStyle name="Normal 3 5 2 2 5 2" xfId="1825"/>
    <cellStyle name="Normal 3 5 2 2 5 2 2" xfId="1826"/>
    <cellStyle name="Normal 3 5 2 2 5 2 2 2" xfId="12706"/>
    <cellStyle name="Normal 3 5 2 2 5 2 2_YL Capex Cashflow &amp; Dep" xfId="11038"/>
    <cellStyle name="Normal 3 5 2 2 5 2 3" xfId="12007"/>
    <cellStyle name="Normal 3 5 2 2 5 2_Cashflow trend" xfId="1827"/>
    <cellStyle name="Normal 3 5 2 2 5 3" xfId="1828"/>
    <cellStyle name="Normal 3 5 2 2 5 3 2" xfId="12438"/>
    <cellStyle name="Normal 3 5 2 2 5 3_YL Capex Cashflow &amp; Dep" xfId="10900"/>
    <cellStyle name="Normal 3 5 2 2 5 4" xfId="11702"/>
    <cellStyle name="Normal 3 5 2 2 5_Cashflow trend" xfId="1829"/>
    <cellStyle name="Normal 3 5 2 2 6" xfId="1830"/>
    <cellStyle name="Normal 3 5 2 2 6 2" xfId="1831"/>
    <cellStyle name="Normal 3 5 2 2 6 2 2" xfId="1832"/>
    <cellStyle name="Normal 3 5 2 2 6 2 2 2" xfId="12592"/>
    <cellStyle name="Normal 3 5 2 2 6 2 2_YL Capex Cashflow &amp; Dep" xfId="11233"/>
    <cellStyle name="Normal 3 5 2 2 6 2 3" xfId="11896"/>
    <cellStyle name="Normal 3 5 2 2 6 2_Cashflow trend" xfId="1833"/>
    <cellStyle name="Normal 3 5 2 2 6 3" xfId="1834"/>
    <cellStyle name="Normal 3 5 2 2 6 3 2" xfId="12324"/>
    <cellStyle name="Normal 3 5 2 2 6 3_YL Capex Cashflow &amp; Dep" xfId="11232"/>
    <cellStyle name="Normal 3 5 2 2 6 4" xfId="11596"/>
    <cellStyle name="Normal 3 5 2 2 6_Cashflow trend" xfId="1835"/>
    <cellStyle name="Normal 3 5 2 2 7" xfId="1836"/>
    <cellStyle name="Normal 3 5 2 2 7 2" xfId="1837"/>
    <cellStyle name="Normal 3 5 2 2 7 2 2" xfId="12473"/>
    <cellStyle name="Normal 3 5 2 2 7 2_YL Capex Cashflow &amp; Dep" xfId="11231"/>
    <cellStyle name="Normal 3 5 2 2 7 3" xfId="11756"/>
    <cellStyle name="Normal 3 5 2 2 7_Cashflow trend" xfId="1838"/>
    <cellStyle name="Normal 3 5 2 2 8" xfId="1839"/>
    <cellStyle name="Normal 3 5 2 2 8 2" xfId="11524"/>
    <cellStyle name="Normal 3 5 2 2 8_YL Capex Cashflow &amp; Dep" xfId="11230"/>
    <cellStyle name="Normal 3 5 2 2 9" xfId="1840"/>
    <cellStyle name="Normal 3 5 2 2 9 2" xfId="12244"/>
    <cellStyle name="Normal 3 5 2 2 9_YL Capex Cashflow &amp; Dep" xfId="11229"/>
    <cellStyle name="Normal 3 5 2 2_Cashflow trend" xfId="1841"/>
    <cellStyle name="Normal 3 5 2 3" xfId="1842"/>
    <cellStyle name="Normal 3 5 2 3 2" xfId="1843"/>
    <cellStyle name="Normal 3 5 2 3 2 2" xfId="1844"/>
    <cellStyle name="Normal 3 5 2 3 2 2 2" xfId="1845"/>
    <cellStyle name="Normal 3 5 2 3 2 2 2 2" xfId="12634"/>
    <cellStyle name="Normal 3 5 2 3 2 2 2_YL Capex Cashflow &amp; Dep" xfId="11228"/>
    <cellStyle name="Normal 3 5 2 3 2 2 3" xfId="11937"/>
    <cellStyle name="Normal 3 5 2 3 2 2_Cashflow trend" xfId="1846"/>
    <cellStyle name="Normal 3 5 2 3 2 3" xfId="1847"/>
    <cellStyle name="Normal 3 5 2 3 2 3 2" xfId="11638"/>
    <cellStyle name="Normal 3 5 2 3 2 3_YL Capex Cashflow &amp; Dep" xfId="11227"/>
    <cellStyle name="Normal 3 5 2 3 2 4" xfId="1848"/>
    <cellStyle name="Normal 3 5 2 3 2 4 2" xfId="12366"/>
    <cellStyle name="Normal 3 5 2 3 2 4_YL Capex Cashflow &amp; Dep" xfId="11226"/>
    <cellStyle name="Normal 3 5 2 3 2 5" xfId="11487"/>
    <cellStyle name="Normal 3 5 2 3 2_Cashflow trend" xfId="1849"/>
    <cellStyle name="Normal 3 5 2 3 3" xfId="1850"/>
    <cellStyle name="Normal 3 5 2 3 3 2" xfId="1851"/>
    <cellStyle name="Normal 3 5 2 3 3 2 2" xfId="12543"/>
    <cellStyle name="Normal 3 5 2 3 3 2_YL Capex Cashflow &amp; Dep" xfId="11225"/>
    <cellStyle name="Normal 3 5 2 3 3 3" xfId="11848"/>
    <cellStyle name="Normal 3 5 2 3 3_Cashflow trend" xfId="1852"/>
    <cellStyle name="Normal 3 5 2 3 4" xfId="1853"/>
    <cellStyle name="Normal 3 5 2 3 4 2" xfId="11557"/>
    <cellStyle name="Normal 3 5 2 3 4_YL Capex Cashflow &amp; Dep" xfId="11224"/>
    <cellStyle name="Normal 3 5 2 3 5" xfId="1854"/>
    <cellStyle name="Normal 3 5 2 3 5 2" xfId="12276"/>
    <cellStyle name="Normal 3 5 2 3 5_YL Capex Cashflow &amp; Dep" xfId="11223"/>
    <cellStyle name="Normal 3 5 2 3 6" xfId="11047"/>
    <cellStyle name="Normal 3 5 2 3_Cashflow trend" xfId="1855"/>
    <cellStyle name="Normal 3 5 2 4" xfId="1856"/>
    <cellStyle name="Normal 3 5 2 4 2" xfId="1857"/>
    <cellStyle name="Normal 3 5 2 4 2 2" xfId="1858"/>
    <cellStyle name="Normal 3 5 2 4 2 2 2" xfId="12658"/>
    <cellStyle name="Normal 3 5 2 4 2 2_YL Capex Cashflow &amp; Dep" xfId="11222"/>
    <cellStyle name="Normal 3 5 2 4 2 3" xfId="11961"/>
    <cellStyle name="Normal 3 5 2 4 2_Cashflow trend" xfId="1859"/>
    <cellStyle name="Normal 3 5 2 4 3" xfId="1860"/>
    <cellStyle name="Normal 3 5 2 4 3 2" xfId="11662"/>
    <cellStyle name="Normal 3 5 2 4 3_YL Capex Cashflow &amp; Dep" xfId="11388"/>
    <cellStyle name="Normal 3 5 2 4 4" xfId="1861"/>
    <cellStyle name="Normal 3 5 2 4 4 2" xfId="12390"/>
    <cellStyle name="Normal 3 5 2 4 4_YL Capex Cashflow &amp; Dep" xfId="10937"/>
    <cellStyle name="Normal 3 5 2 4 5" xfId="11418"/>
    <cellStyle name="Normal 3 5 2 4_Cashflow trend" xfId="1862"/>
    <cellStyle name="Normal 3 5 2 5" xfId="1863"/>
    <cellStyle name="Normal 3 5 2 5 2" xfId="1864"/>
    <cellStyle name="Normal 3 5 2 5 2 2" xfId="1865"/>
    <cellStyle name="Normal 3 5 2 5 2 2 2" xfId="12612"/>
    <cellStyle name="Normal 3 5 2 5 2 2_YL Capex Cashflow &amp; Dep" xfId="11387"/>
    <cellStyle name="Normal 3 5 2 5 2 3" xfId="11915"/>
    <cellStyle name="Normal 3 5 2 5 2_Cashflow trend" xfId="1866"/>
    <cellStyle name="Normal 3 5 2 5 3" xfId="1867"/>
    <cellStyle name="Normal 3 5 2 5 3 2" xfId="11616"/>
    <cellStyle name="Normal 3 5 2 5 3_YL Capex Cashflow &amp; Dep" xfId="10936"/>
    <cellStyle name="Normal 3 5 2 5 4" xfId="1868"/>
    <cellStyle name="Normal 3 5 2 5 4 2" xfId="12344"/>
    <cellStyle name="Normal 3 5 2 5 4_YL Capex Cashflow &amp; Dep" xfId="11386"/>
    <cellStyle name="Normal 3 5 2 5 5" xfId="11461"/>
    <cellStyle name="Normal 3 5 2 5_Cashflow trend" xfId="1869"/>
    <cellStyle name="Normal 3 5 2 6" xfId="1870"/>
    <cellStyle name="Normal 3 5 2 6 2" xfId="1871"/>
    <cellStyle name="Normal 3 5 2 6 2 2" xfId="1872"/>
    <cellStyle name="Normal 3 5 2 6 2 2 2" xfId="12694"/>
    <cellStyle name="Normal 3 5 2 6 2 2_YL Capex Cashflow &amp; Dep" xfId="11453"/>
    <cellStyle name="Normal 3 5 2 6 2 3" xfId="11995"/>
    <cellStyle name="Normal 3 5 2 6 2_Cashflow trend" xfId="1873"/>
    <cellStyle name="Normal 3 5 2 6 3" xfId="1874"/>
    <cellStyle name="Normal 3 5 2 6 3 2" xfId="12426"/>
    <cellStyle name="Normal 3 5 2 6 3_YL Capex Cashflow &amp; Dep" xfId="11397"/>
    <cellStyle name="Normal 3 5 2 6 4" xfId="11690"/>
    <cellStyle name="Normal 3 5 2 6_Cashflow trend" xfId="1875"/>
    <cellStyle name="Normal 3 5 2 7" xfId="1876"/>
    <cellStyle name="Normal 3 5 2 7 2" xfId="1877"/>
    <cellStyle name="Normal 3 5 2 7 2 2" xfId="1878"/>
    <cellStyle name="Normal 3 5 2 7 2 2 2" xfId="12580"/>
    <cellStyle name="Normal 3 5 2 7 2 2_YL Capex Cashflow &amp; Dep" xfId="11221"/>
    <cellStyle name="Normal 3 5 2 7 2 3" xfId="11884"/>
    <cellStyle name="Normal 3 5 2 7 2_Cashflow trend" xfId="1879"/>
    <cellStyle name="Normal 3 5 2 7 3" xfId="1880"/>
    <cellStyle name="Normal 3 5 2 7 3 2" xfId="12312"/>
    <cellStyle name="Normal 3 5 2 7 3_YL Capex Cashflow &amp; Dep" xfId="11220"/>
    <cellStyle name="Normal 3 5 2 7 4" xfId="11584"/>
    <cellStyle name="Normal 3 5 2 7_Cashflow trend" xfId="1881"/>
    <cellStyle name="Normal 3 5 2 8" xfId="1882"/>
    <cellStyle name="Normal 3 5 2 8 2" xfId="1883"/>
    <cellStyle name="Normal 3 5 2 8 2 2" xfId="12461"/>
    <cellStyle name="Normal 3 5 2 8 2_YL Capex Cashflow &amp; Dep" xfId="11385"/>
    <cellStyle name="Normal 3 5 2 8 3" xfId="11744"/>
    <cellStyle name="Normal 3 5 2 8_Cashflow trend" xfId="1884"/>
    <cellStyle name="Normal 3 5 2 9" xfId="1885"/>
    <cellStyle name="Normal 3 5 2 9 2" xfId="11512"/>
    <cellStyle name="Normal 3 5 2 9_YL Capex Cashflow &amp; Dep" xfId="10935"/>
    <cellStyle name="Normal 3 5 2_Cashflow trend" xfId="1886"/>
    <cellStyle name="Normal 3 5 3" xfId="1887"/>
    <cellStyle name="Normal 3 5 3 10" xfId="11019"/>
    <cellStyle name="Normal 3 5 3 2" xfId="1888"/>
    <cellStyle name="Normal 3 5 3 2 2" xfId="1889"/>
    <cellStyle name="Normal 3 5 3 2 2 2" xfId="1890"/>
    <cellStyle name="Normal 3 5 3 2 2 2 2" xfId="1891"/>
    <cellStyle name="Normal 3 5 3 2 2 2 2 2" xfId="12642"/>
    <cellStyle name="Normal 3 5 3 2 2 2 2_YL Capex Cashflow &amp; Dep" xfId="11219"/>
    <cellStyle name="Normal 3 5 3 2 2 2 3" xfId="11945"/>
    <cellStyle name="Normal 3 5 3 2 2 2_Cashflow trend" xfId="1892"/>
    <cellStyle name="Normal 3 5 3 2 2 3" xfId="1893"/>
    <cellStyle name="Normal 3 5 3 2 2 3 2" xfId="11646"/>
    <cellStyle name="Normal 3 5 3 2 2 3_YL Capex Cashflow &amp; Dep" xfId="11218"/>
    <cellStyle name="Normal 3 5 3 2 2 4" xfId="1894"/>
    <cellStyle name="Normal 3 5 3 2 2 4 2" xfId="12374"/>
    <cellStyle name="Normal 3 5 3 2 2 4_YL Capex Cashflow &amp; Dep" xfId="11217"/>
    <cellStyle name="Normal 3 5 3 2 2 5" xfId="11495"/>
    <cellStyle name="Normal 3 5 3 2 2_Cashflow trend" xfId="1895"/>
    <cellStyle name="Normal 3 5 3 2 3" xfId="1896"/>
    <cellStyle name="Normal 3 5 3 2 3 2" xfId="1897"/>
    <cellStyle name="Normal 3 5 3 2 3 2 2" xfId="12551"/>
    <cellStyle name="Normal 3 5 3 2 3 2_YL Capex Cashflow &amp; Dep" xfId="11216"/>
    <cellStyle name="Normal 3 5 3 2 3 3" xfId="11856"/>
    <cellStyle name="Normal 3 5 3 2 3_Cashflow trend" xfId="1898"/>
    <cellStyle name="Normal 3 5 3 2 4" xfId="1899"/>
    <cellStyle name="Normal 3 5 3 2 4 2" xfId="11565"/>
    <cellStyle name="Normal 3 5 3 2 4_YL Capex Cashflow &amp; Dep" xfId="11215"/>
    <cellStyle name="Normal 3 5 3 2 5" xfId="1900"/>
    <cellStyle name="Normal 3 5 3 2 5 2" xfId="12284"/>
    <cellStyle name="Normal 3 5 3 2 5_YL Capex Cashflow &amp; Dep" xfId="11214"/>
    <cellStyle name="Normal 3 5 3 2 6" xfId="11055"/>
    <cellStyle name="Normal 3 5 3 2_Cashflow trend" xfId="1901"/>
    <cellStyle name="Normal 3 5 3 3" xfId="1902"/>
    <cellStyle name="Normal 3 5 3 3 2" xfId="1903"/>
    <cellStyle name="Normal 3 5 3 3 2 2" xfId="1904"/>
    <cellStyle name="Normal 3 5 3 3 2 2 2" xfId="12668"/>
    <cellStyle name="Normal 3 5 3 3 2 2_YL Capex Cashflow &amp; Dep" xfId="11384"/>
    <cellStyle name="Normal 3 5 3 3 2 3" xfId="11971"/>
    <cellStyle name="Normal 3 5 3 3 2_Cashflow trend" xfId="1905"/>
    <cellStyle name="Normal 3 5 3 3 3" xfId="1906"/>
    <cellStyle name="Normal 3 5 3 3 3 2" xfId="11670"/>
    <cellStyle name="Normal 3 5 3 3 3_YL Capex Cashflow &amp; Dep" xfId="10934"/>
    <cellStyle name="Normal 3 5 3 3 4" xfId="1907"/>
    <cellStyle name="Normal 3 5 3 3 4 2" xfId="12400"/>
    <cellStyle name="Normal 3 5 3 3 4_YL Capex Cashflow &amp; Dep" xfId="11213"/>
    <cellStyle name="Normal 3 5 3 3 5" xfId="11428"/>
    <cellStyle name="Normal 3 5 3 3_Cashflow trend" xfId="1908"/>
    <cellStyle name="Normal 3 5 3 4" xfId="1909"/>
    <cellStyle name="Normal 3 5 3 4 2" xfId="1910"/>
    <cellStyle name="Normal 3 5 3 4 2 2" xfId="1911"/>
    <cellStyle name="Normal 3 5 3 4 2 2 2" xfId="12620"/>
    <cellStyle name="Normal 3 5 3 4 2 2_YL Capex Cashflow &amp; Dep" xfId="11212"/>
    <cellStyle name="Normal 3 5 3 4 2 3" xfId="11923"/>
    <cellStyle name="Normal 3 5 3 4 2_Cashflow trend" xfId="1912"/>
    <cellStyle name="Normal 3 5 3 4 3" xfId="1913"/>
    <cellStyle name="Normal 3 5 3 4 3 2" xfId="11624"/>
    <cellStyle name="Normal 3 5 3 4 3_YL Capex Cashflow &amp; Dep" xfId="11211"/>
    <cellStyle name="Normal 3 5 3 4 4" xfId="1914"/>
    <cellStyle name="Normal 3 5 3 4 4 2" xfId="12352"/>
    <cellStyle name="Normal 3 5 3 4 4_YL Capex Cashflow &amp; Dep" xfId="11210"/>
    <cellStyle name="Normal 3 5 3 4 5" xfId="11469"/>
    <cellStyle name="Normal 3 5 3 4_Cashflow trend" xfId="1915"/>
    <cellStyle name="Normal 3 5 3 5" xfId="1916"/>
    <cellStyle name="Normal 3 5 3 5 2" xfId="1917"/>
    <cellStyle name="Normal 3 5 3 5 2 2" xfId="1918"/>
    <cellStyle name="Normal 3 5 3 5 2 2 2" xfId="12702"/>
    <cellStyle name="Normal 3 5 3 5 2 2_YL Capex Cashflow &amp; Dep" xfId="11209"/>
    <cellStyle name="Normal 3 5 3 5 2 3" xfId="12003"/>
    <cellStyle name="Normal 3 5 3 5 2_Cashflow trend" xfId="1919"/>
    <cellStyle name="Normal 3 5 3 5 3" xfId="1920"/>
    <cellStyle name="Normal 3 5 3 5 3 2" xfId="12434"/>
    <cellStyle name="Normal 3 5 3 5 3_YL Capex Cashflow &amp; Dep" xfId="11208"/>
    <cellStyle name="Normal 3 5 3 5 4" xfId="11698"/>
    <cellStyle name="Normal 3 5 3 5_Cashflow trend" xfId="1921"/>
    <cellStyle name="Normal 3 5 3 6" xfId="1922"/>
    <cellStyle name="Normal 3 5 3 6 2" xfId="1923"/>
    <cellStyle name="Normal 3 5 3 6 2 2" xfId="1924"/>
    <cellStyle name="Normal 3 5 3 6 2 2 2" xfId="12588"/>
    <cellStyle name="Normal 3 5 3 6 2 2_YL Capex Cashflow &amp; Dep" xfId="11207"/>
    <cellStyle name="Normal 3 5 3 6 2 3" xfId="11892"/>
    <cellStyle name="Normal 3 5 3 6 2_Cashflow trend" xfId="1925"/>
    <cellStyle name="Normal 3 5 3 6 3" xfId="1926"/>
    <cellStyle name="Normal 3 5 3 6 3 2" xfId="12320"/>
    <cellStyle name="Normal 3 5 3 6 3_YL Capex Cashflow &amp; Dep" xfId="11206"/>
    <cellStyle name="Normal 3 5 3 6 4" xfId="11592"/>
    <cellStyle name="Normal 3 5 3 6_Cashflow trend" xfId="1927"/>
    <cellStyle name="Normal 3 5 3 7" xfId="1928"/>
    <cellStyle name="Normal 3 5 3 7 2" xfId="1929"/>
    <cellStyle name="Normal 3 5 3 7 2 2" xfId="12469"/>
    <cellStyle name="Normal 3 5 3 7 2_YL Capex Cashflow &amp; Dep" xfId="11205"/>
    <cellStyle name="Normal 3 5 3 7 3" xfId="11752"/>
    <cellStyle name="Normal 3 5 3 7_Cashflow trend" xfId="1930"/>
    <cellStyle name="Normal 3 5 3 8" xfId="1931"/>
    <cellStyle name="Normal 3 5 3 8 2" xfId="11520"/>
    <cellStyle name="Normal 3 5 3 8_YL Capex Cashflow &amp; Dep" xfId="11204"/>
    <cellStyle name="Normal 3 5 3 9" xfId="1932"/>
    <cellStyle name="Normal 3 5 3 9 2" xfId="12240"/>
    <cellStyle name="Normal 3 5 3 9_YL Capex Cashflow &amp; Dep" xfId="11203"/>
    <cellStyle name="Normal 3 5 3_Cashflow trend" xfId="1933"/>
    <cellStyle name="Normal 3 5 4" xfId="1934"/>
    <cellStyle name="Normal 3 5 4 2" xfId="1935"/>
    <cellStyle name="Normal 3 5 4 3" xfId="1936"/>
    <cellStyle name="Normal 3 5 4 3 2" xfId="1937"/>
    <cellStyle name="Normal 3 5 4 3 2 2" xfId="1938"/>
    <cellStyle name="Normal 3 5 4 3 2 2 2" xfId="12608"/>
    <cellStyle name="Normal 3 5 4 3 2 2_YL Capex Cashflow &amp; Dep" xfId="10898"/>
    <cellStyle name="Normal 3 5 4 3 2 3" xfId="11911"/>
    <cellStyle name="Normal 3 5 4 3 2_Cashflow trend" xfId="1939"/>
    <cellStyle name="Normal 3 5 4 3 3" xfId="1940"/>
    <cellStyle name="Normal 3 5 4 3 3 2" xfId="12340"/>
    <cellStyle name="Normal 3 5 4 3 3_YL Capex Cashflow &amp; Dep" xfId="11202"/>
    <cellStyle name="Normal 3 5 4 3 4" xfId="11612"/>
    <cellStyle name="Normal 3 5 4 3_Cashflow trend" xfId="1941"/>
    <cellStyle name="Normal 3 5 4 4" xfId="10974"/>
    <cellStyle name="Normal 3 5 4_Cashflow trend" xfId="1942"/>
    <cellStyle name="Normal 3 5 5" xfId="1943"/>
    <cellStyle name="Normal 3 5 5 2" xfId="1944"/>
    <cellStyle name="Normal 3 5 5 2 2" xfId="1945"/>
    <cellStyle name="Normal 3 5 5 2 2 2" xfId="1946"/>
    <cellStyle name="Normal 3 5 5 2 2 2 2" xfId="12630"/>
    <cellStyle name="Normal 3 5 5 2 2 2_YL Capex Cashflow &amp; Dep" xfId="11201"/>
    <cellStyle name="Normal 3 5 5 2 2 3" xfId="11933"/>
    <cellStyle name="Normal 3 5 5 2 2_Cashflow trend" xfId="1947"/>
    <cellStyle name="Normal 3 5 5 2 3" xfId="1948"/>
    <cellStyle name="Normal 3 5 5 2 3 2" xfId="11634"/>
    <cellStyle name="Normal 3 5 5 2 3_YL Capex Cashflow &amp; Dep" xfId="11200"/>
    <cellStyle name="Normal 3 5 5 2 4" xfId="1949"/>
    <cellStyle name="Normal 3 5 5 2 4 2" xfId="12362"/>
    <cellStyle name="Normal 3 5 5 2 4_YL Capex Cashflow &amp; Dep" xfId="11199"/>
    <cellStyle name="Normal 3 5 5 2 5" xfId="11483"/>
    <cellStyle name="Normal 3 5 5 2_Cashflow trend" xfId="1950"/>
    <cellStyle name="Normal 3 5 5 3" xfId="1951"/>
    <cellStyle name="Normal 3 5 5 3 2" xfId="1952"/>
    <cellStyle name="Normal 3 5 5 3 2 2" xfId="12539"/>
    <cellStyle name="Normal 3 5 5 3 2_YL Capex Cashflow &amp; Dep" xfId="10961"/>
    <cellStyle name="Normal 3 5 5 3 3" xfId="11844"/>
    <cellStyle name="Normal 3 5 5 3_Cashflow trend" xfId="1953"/>
    <cellStyle name="Normal 3 5 5 4" xfId="1954"/>
    <cellStyle name="Normal 3 5 5 4 2" xfId="11553"/>
    <cellStyle name="Normal 3 5 5 4_YL Capex Cashflow &amp; Dep" xfId="11198"/>
    <cellStyle name="Normal 3 5 5 5" xfId="1955"/>
    <cellStyle name="Normal 3 5 5 5 2" xfId="12272"/>
    <cellStyle name="Normal 3 5 5 5_YL Capex Cashflow &amp; Dep" xfId="11196"/>
    <cellStyle name="Normal 3 5 5 6" xfId="11043"/>
    <cellStyle name="Normal 3 5 5_Cashflow trend" xfId="1956"/>
    <cellStyle name="Normal 3 5 6" xfId="1957"/>
    <cellStyle name="Normal 3 5 6 2" xfId="1958"/>
    <cellStyle name="Normal 3 5 6 2 2" xfId="1959"/>
    <cellStyle name="Normal 3 5 6 2 2 2" xfId="12654"/>
    <cellStyle name="Normal 3 5 6 2 2_YL Capex Cashflow &amp; Dep" xfId="11197"/>
    <cellStyle name="Normal 3 5 6 2 3" xfId="11957"/>
    <cellStyle name="Normal 3 5 6 2_Cashflow trend" xfId="1960"/>
    <cellStyle name="Normal 3 5 6 3" xfId="1961"/>
    <cellStyle name="Normal 3 5 6 3 2" xfId="11658"/>
    <cellStyle name="Normal 3 5 6 3_YL Capex Cashflow &amp; Dep" xfId="10907"/>
    <cellStyle name="Normal 3 5 6 4" xfId="1962"/>
    <cellStyle name="Normal 3 5 6 4 2" xfId="12386"/>
    <cellStyle name="Normal 3 5 6 4_YL Capex Cashflow &amp; Dep" xfId="11711"/>
    <cellStyle name="Normal 3 5 6 5" xfId="11414"/>
    <cellStyle name="Normal 3 5 6_Cashflow trend" xfId="1963"/>
    <cellStyle name="Normal 3 5 7" xfId="1964"/>
    <cellStyle name="Normal 3 5 7 2" xfId="1965"/>
    <cellStyle name="Normal 3 5 7 2 2" xfId="1966"/>
    <cellStyle name="Normal 3 5 7 2 2 2" xfId="12604"/>
    <cellStyle name="Normal 3 5 7 2 2_YL Capex Cashflow &amp; Dep" xfId="11195"/>
    <cellStyle name="Normal 3 5 7 2 3" xfId="11907"/>
    <cellStyle name="Normal 3 5 7 2_Cashflow trend" xfId="1967"/>
    <cellStyle name="Normal 3 5 7 3" xfId="1968"/>
    <cellStyle name="Normal 3 5 7 3 2" xfId="11608"/>
    <cellStyle name="Normal 3 5 7 3_YL Capex Cashflow &amp; Dep" xfId="11194"/>
    <cellStyle name="Normal 3 5 7 4" xfId="1969"/>
    <cellStyle name="Normal 3 5 7 4 2" xfId="12336"/>
    <cellStyle name="Normal 3 5 7 4_YL Capex Cashflow &amp; Dep" xfId="11193"/>
    <cellStyle name="Normal 3 5 7 5" xfId="11457"/>
    <cellStyle name="Normal 3 5 7_Cashflow trend" xfId="1970"/>
    <cellStyle name="Normal 3 5 8" xfId="1971"/>
    <cellStyle name="Normal 3 5 8 2" xfId="1972"/>
    <cellStyle name="Normal 3 5 8 2 2" xfId="1973"/>
    <cellStyle name="Normal 3 5 8 2 2 2" xfId="12690"/>
    <cellStyle name="Normal 3 5 8 2 2_YL Capex Cashflow &amp; Dep" xfId="11016"/>
    <cellStyle name="Normal 3 5 8 2 3" xfId="11991"/>
    <cellStyle name="Normal 3 5 8 2_Cashflow trend" xfId="1974"/>
    <cellStyle name="Normal 3 5 8 3" xfId="1975"/>
    <cellStyle name="Normal 3 5 8 3 2" xfId="12422"/>
    <cellStyle name="Normal 3 5 8 3_YL Capex Cashflow &amp; Dep" xfId="10956"/>
    <cellStyle name="Normal 3 5 8 4" xfId="11686"/>
    <cellStyle name="Normal 3 5 8_Cashflow trend" xfId="1976"/>
    <cellStyle name="Normal 3 5 9" xfId="1977"/>
    <cellStyle name="Normal 3 5 9 2" xfId="1978"/>
    <cellStyle name="Normal 3 5 9 2 2" xfId="1979"/>
    <cellStyle name="Normal 3 5 9 2 2 2" xfId="12576"/>
    <cellStyle name="Normal 3 5 9 2 2_YL Capex Cashflow &amp; Dep" xfId="10981"/>
    <cellStyle name="Normal 3 5 9 2 3" xfId="11880"/>
    <cellStyle name="Normal 3 5 9 2_Cashflow trend" xfId="1980"/>
    <cellStyle name="Normal 3 5 9 3" xfId="1981"/>
    <cellStyle name="Normal 3 5 9 3 2" xfId="12308"/>
    <cellStyle name="Normal 3 5 9 3_YL Capex Cashflow &amp; Dep" xfId="10905"/>
    <cellStyle name="Normal 3 5 9 4" xfId="11580"/>
    <cellStyle name="Normal 3 5 9_Cashflow trend" xfId="1982"/>
    <cellStyle name="Normal 3 5_Cashflow trend" xfId="1983"/>
    <cellStyle name="Normal 3 6" xfId="1984"/>
    <cellStyle name="Normal 3 6 10" xfId="1985"/>
    <cellStyle name="Normal 3 6 10 2" xfId="11514"/>
    <cellStyle name="Normal 3 6 10_YL Capex Cashflow &amp; Dep" xfId="11192"/>
    <cellStyle name="Normal 3 6 11" xfId="1986"/>
    <cellStyle name="Normal 3 6 11 2" xfId="12234"/>
    <cellStyle name="Normal 3 6 11_YL Capex Cashflow &amp; Dep" xfId="10891"/>
    <cellStyle name="Normal 3 6 12" xfId="10984"/>
    <cellStyle name="Normal 3 6 2" xfId="1987"/>
    <cellStyle name="Normal 3 6 2 10" xfId="11025"/>
    <cellStyle name="Normal 3 6 2 2" xfId="1988"/>
    <cellStyle name="Normal 3 6 2 2 2" xfId="1989"/>
    <cellStyle name="Normal 3 6 2 2 2 2" xfId="1990"/>
    <cellStyle name="Normal 3 6 2 2 2 2 2" xfId="1991"/>
    <cellStyle name="Normal 3 6 2 2 2 2 2 2" xfId="12648"/>
    <cellStyle name="Normal 3 6 2 2 2 2 2_YL Capex Cashflow &amp; Dep" xfId="13276"/>
    <cellStyle name="Normal 3 6 2 2 2 2 3" xfId="11951"/>
    <cellStyle name="Normal 3 6 2 2 2 2_Cashflow trend" xfId="1992"/>
    <cellStyle name="Normal 3 6 2 2 2 3" xfId="1993"/>
    <cellStyle name="Normal 3 6 2 2 2 3 2" xfId="11652"/>
    <cellStyle name="Normal 3 6 2 2 2 3_YL Capex Cashflow &amp; Dep" xfId="11191"/>
    <cellStyle name="Normal 3 6 2 2 2 4" xfId="1994"/>
    <cellStyle name="Normal 3 6 2 2 2 4 2" xfId="12380"/>
    <cellStyle name="Normal 3 6 2 2 2 4_YL Capex Cashflow &amp; Dep" xfId="13244"/>
    <cellStyle name="Normal 3 6 2 2 2 5" xfId="11501"/>
    <cellStyle name="Normal 3 6 2 2 2_Cashflow trend" xfId="1995"/>
    <cellStyle name="Normal 3 6 2 2 3" xfId="1996"/>
    <cellStyle name="Normal 3 6 2 2 3 2" xfId="1997"/>
    <cellStyle name="Normal 3 6 2 2 3 2 2" xfId="12557"/>
    <cellStyle name="Normal 3 6 2 2 3 2_YL Capex Cashflow &amp; Dep" xfId="10885"/>
    <cellStyle name="Normal 3 6 2 2 3 3" xfId="11862"/>
    <cellStyle name="Normal 3 6 2 2 3_Cashflow trend" xfId="1998"/>
    <cellStyle name="Normal 3 6 2 2 4" xfId="1999"/>
    <cellStyle name="Normal 3 6 2 2 4 2" xfId="11571"/>
    <cellStyle name="Normal 3 6 2 2 4_YL Capex Cashflow &amp; Dep" xfId="12895"/>
    <cellStyle name="Normal 3 6 2 2 5" xfId="2000"/>
    <cellStyle name="Normal 3 6 2 2 5 2" xfId="12290"/>
    <cellStyle name="Normal 3 6 2 2 5_YL Capex Cashflow &amp; Dep" xfId="12786"/>
    <cellStyle name="Normal 3 6 2 2 6" xfId="11061"/>
    <cellStyle name="Normal 3 6 2 2_Cashflow trend" xfId="2001"/>
    <cellStyle name="Normal 3 6 2 3" xfId="2002"/>
    <cellStyle name="Normal 3 6 2 3 2" xfId="2003"/>
    <cellStyle name="Normal 3 6 2 3 2 2" xfId="2004"/>
    <cellStyle name="Normal 3 6 2 3 2 2 2" xfId="12674"/>
    <cellStyle name="Normal 3 6 2 3 2 2_YL Capex Cashflow &amp; Dep" xfId="11803"/>
    <cellStyle name="Normal 3 6 2 3 2 3" xfId="11977"/>
    <cellStyle name="Normal 3 6 2 3 2_Cashflow trend" xfId="2005"/>
    <cellStyle name="Normal 3 6 2 3 3" xfId="2006"/>
    <cellStyle name="Normal 3 6 2 3 3 2" xfId="11676"/>
    <cellStyle name="Normal 3 6 2 3 3_YL Capex Cashflow &amp; Dep" xfId="11773"/>
    <cellStyle name="Normal 3 6 2 3 4" xfId="2007"/>
    <cellStyle name="Normal 3 6 2 3 4 2" xfId="12406"/>
    <cellStyle name="Normal 3 6 2 3 4_YL Capex Cashflow &amp; Dep" xfId="11735"/>
    <cellStyle name="Normal 3 6 2 3 5" xfId="11434"/>
    <cellStyle name="Normal 3 6 2 3_Cashflow trend" xfId="2008"/>
    <cellStyle name="Normal 3 6 2 4" xfId="2009"/>
    <cellStyle name="Normal 3 6 2 4 2" xfId="2010"/>
    <cellStyle name="Normal 3 6 2 4 2 2" xfId="2011"/>
    <cellStyle name="Normal 3 6 2 4 2 2 2" xfId="12626"/>
    <cellStyle name="Normal 3 6 2 4 2 2_YL Capex Cashflow &amp; Dep" xfId="11187"/>
    <cellStyle name="Normal 3 6 2 4 2 3" xfId="11929"/>
    <cellStyle name="Normal 3 6 2 4 2_Cashflow trend" xfId="2012"/>
    <cellStyle name="Normal 3 6 2 4 3" xfId="2013"/>
    <cellStyle name="Normal 3 6 2 4 3 2" xfId="11630"/>
    <cellStyle name="Normal 3 6 2 4 3_YL Capex Cashflow &amp; Dep" xfId="11190"/>
    <cellStyle name="Normal 3 6 2 4 4" xfId="2014"/>
    <cellStyle name="Normal 3 6 2 4 4 2" xfId="12358"/>
    <cellStyle name="Normal 3 6 2 4 4_YL Capex Cashflow &amp; Dep" xfId="11189"/>
    <cellStyle name="Normal 3 6 2 4 5" xfId="11475"/>
    <cellStyle name="Normal 3 6 2 4_Cashflow trend" xfId="2015"/>
    <cellStyle name="Normal 3 6 2 5" xfId="2016"/>
    <cellStyle name="Normal 3 6 2 5 2" xfId="2017"/>
    <cellStyle name="Normal 3 6 2 5 2 2" xfId="2018"/>
    <cellStyle name="Normal 3 6 2 5 2 2 2" xfId="12708"/>
    <cellStyle name="Normal 3 6 2 5 2 2_YL Capex Cashflow &amp; Dep" xfId="11188"/>
    <cellStyle name="Normal 3 6 2 5 2 3" xfId="12009"/>
    <cellStyle name="Normal 3 6 2 5 2_Cashflow trend" xfId="2019"/>
    <cellStyle name="Normal 3 6 2 5 3" xfId="2020"/>
    <cellStyle name="Normal 3 6 2 5 3 2" xfId="12440"/>
    <cellStyle name="Normal 3 6 2 5 3_YL Capex Cashflow &amp; Dep" xfId="10884"/>
    <cellStyle name="Normal 3 6 2 5 4" xfId="11704"/>
    <cellStyle name="Normal 3 6 2 5_Cashflow trend" xfId="2021"/>
    <cellStyle name="Normal 3 6 2 6" xfId="2022"/>
    <cellStyle name="Normal 3 6 2 6 2" xfId="2023"/>
    <cellStyle name="Normal 3 6 2 6 2 2" xfId="2024"/>
    <cellStyle name="Normal 3 6 2 6 2 2 2" xfId="12594"/>
    <cellStyle name="Normal 3 6 2 6 2 2_YL Capex Cashflow &amp; Dep" xfId="11407"/>
    <cellStyle name="Normal 3 6 2 6 2 3" xfId="11898"/>
    <cellStyle name="Normal 3 6 2 6 2_Cashflow trend" xfId="2025"/>
    <cellStyle name="Normal 3 6 2 6 3" xfId="2026"/>
    <cellStyle name="Normal 3 6 2 6 3 2" xfId="12326"/>
    <cellStyle name="Normal 3 6 2 6 3_YL Capex Cashflow &amp; Dep" xfId="11036"/>
    <cellStyle name="Normal 3 6 2 6 4" xfId="11598"/>
    <cellStyle name="Normal 3 6 2 6_Cashflow trend" xfId="2027"/>
    <cellStyle name="Normal 3 6 2 7" xfId="2028"/>
    <cellStyle name="Normal 3 6 2 7 2" xfId="2029"/>
    <cellStyle name="Normal 3 6 2 7 2 2" xfId="12475"/>
    <cellStyle name="Normal 3 6 2 7 2_YL Capex Cashflow &amp; Dep" xfId="11033"/>
    <cellStyle name="Normal 3 6 2 7 3" xfId="11758"/>
    <cellStyle name="Normal 3 6 2 7_Cashflow trend" xfId="2030"/>
    <cellStyle name="Normal 3 6 2 8" xfId="2031"/>
    <cellStyle name="Normal 3 6 2 8 2" xfId="11526"/>
    <cellStyle name="Normal 3 6 2 8_YL Capex Cashflow &amp; Dep" xfId="11034"/>
    <cellStyle name="Normal 3 6 2 9" xfId="2032"/>
    <cellStyle name="Normal 3 6 2 9 2" xfId="12246"/>
    <cellStyle name="Normal 3 6 2 9_YL Capex Cashflow &amp; Dep" xfId="11027"/>
    <cellStyle name="Normal 3 6 2_Cashflow trend" xfId="2033"/>
    <cellStyle name="Normal 3 6 3" xfId="2034"/>
    <cellStyle name="Normal 3 6 4" xfId="2035"/>
    <cellStyle name="Normal 3 6 4 2" xfId="2036"/>
    <cellStyle name="Normal 3 6 4 2 2" xfId="2037"/>
    <cellStyle name="Normal 3 6 4 2 2 2" xfId="2038"/>
    <cellStyle name="Normal 3 6 4 2 2 2 2" xfId="12636"/>
    <cellStyle name="Normal 3 6 4 2 2 2_YL Capex Cashflow &amp; Dep" xfId="11182"/>
    <cellStyle name="Normal 3 6 4 2 2 3" xfId="11939"/>
    <cellStyle name="Normal 3 6 4 2 2_Cashflow trend" xfId="2039"/>
    <cellStyle name="Normal 3 6 4 2 3" xfId="2040"/>
    <cellStyle name="Normal 3 6 4 2 3 2" xfId="11640"/>
    <cellStyle name="Normal 3 6 4 2 3_YL Capex Cashflow &amp; Dep" xfId="11186"/>
    <cellStyle name="Normal 3 6 4 2 4" xfId="2041"/>
    <cellStyle name="Normal 3 6 4 2 4 2" xfId="12368"/>
    <cellStyle name="Normal 3 6 4 2 4_YL Capex Cashflow &amp; Dep" xfId="11185"/>
    <cellStyle name="Normal 3 6 4 2 5" xfId="11489"/>
    <cellStyle name="Normal 3 6 4 2_Cashflow trend" xfId="2042"/>
    <cellStyle name="Normal 3 6 4 3" xfId="2043"/>
    <cellStyle name="Normal 3 6 4 3 2" xfId="2044"/>
    <cellStyle name="Normal 3 6 4 3 2 2" xfId="12545"/>
    <cellStyle name="Normal 3 6 4 3 2_YL Capex Cashflow &amp; Dep" xfId="11184"/>
    <cellStyle name="Normal 3 6 4 3 3" xfId="11850"/>
    <cellStyle name="Normal 3 6 4 3_Cashflow trend" xfId="2045"/>
    <cellStyle name="Normal 3 6 4 4" xfId="2046"/>
    <cellStyle name="Normal 3 6 4 4 2" xfId="11559"/>
    <cellStyle name="Normal 3 6 4 4_YL Capex Cashflow &amp; Dep" xfId="10980"/>
    <cellStyle name="Normal 3 6 4 5" xfId="2047"/>
    <cellStyle name="Normal 3 6 4 5 2" xfId="12278"/>
    <cellStyle name="Normal 3 6 4 5_YL Capex Cashflow &amp; Dep" xfId="11183"/>
    <cellStyle name="Normal 3 6 4 6" xfId="11049"/>
    <cellStyle name="Normal 3 6 4_Cashflow trend" xfId="2048"/>
    <cellStyle name="Normal 3 6 5" xfId="2049"/>
    <cellStyle name="Normal 3 6 5 2" xfId="2050"/>
    <cellStyle name="Normal 3 6 5 2 2" xfId="2051"/>
    <cellStyle name="Normal 3 6 5 2 2 2" xfId="12660"/>
    <cellStyle name="Normal 3 6 5 2 2_YL Capex Cashflow &amp; Dep" xfId="11006"/>
    <cellStyle name="Normal 3 6 5 2 3" xfId="11963"/>
    <cellStyle name="Normal 3 6 5 2_Cashflow trend" xfId="2052"/>
    <cellStyle name="Normal 3 6 5 3" xfId="2053"/>
    <cellStyle name="Normal 3 6 5 3 2" xfId="11664"/>
    <cellStyle name="Normal 3 6 5 3_YL Capex Cashflow &amp; Dep" xfId="11007"/>
    <cellStyle name="Normal 3 6 5 4" xfId="2054"/>
    <cellStyle name="Normal 3 6 5 4 2" xfId="12392"/>
    <cellStyle name="Normal 3 6 5 4_YL Capex Cashflow &amp; Dep" xfId="11004"/>
    <cellStyle name="Normal 3 6 5 5" xfId="11420"/>
    <cellStyle name="Normal 3 6 5_Cashflow trend" xfId="2055"/>
    <cellStyle name="Normal 3 6 6" xfId="2056"/>
    <cellStyle name="Normal 3 6 6 2" xfId="2057"/>
    <cellStyle name="Normal 3 6 6 2 2" xfId="2058"/>
    <cellStyle name="Normal 3 6 6 2 2 2" xfId="12614"/>
    <cellStyle name="Normal 3 6 6 2 2_YL Capex Cashflow &amp; Dep" xfId="11003"/>
    <cellStyle name="Normal 3 6 6 2 3" xfId="11917"/>
    <cellStyle name="Normal 3 6 6 2_Cashflow trend" xfId="2059"/>
    <cellStyle name="Normal 3 6 6 3" xfId="2060"/>
    <cellStyle name="Normal 3 6 6 3 2" xfId="11618"/>
    <cellStyle name="Normal 3 6 6 3_YL Capex Cashflow &amp; Dep" xfId="10999"/>
    <cellStyle name="Normal 3 6 6 4" xfId="2061"/>
    <cellStyle name="Normal 3 6 6 4 2" xfId="12346"/>
    <cellStyle name="Normal 3 6 6 4_YL Capex Cashflow &amp; Dep" xfId="10992"/>
    <cellStyle name="Normal 3 6 6 5" xfId="11463"/>
    <cellStyle name="Normal 3 6 6_Cashflow trend" xfId="2062"/>
    <cellStyle name="Normal 3 6 7" xfId="2063"/>
    <cellStyle name="Normal 3 6 7 2" xfId="2064"/>
    <cellStyle name="Normal 3 6 7 2 2" xfId="2065"/>
    <cellStyle name="Normal 3 6 7 2 2 2" xfId="12696"/>
    <cellStyle name="Normal 3 6 7 2 2_YL Capex Cashflow &amp; Dep" xfId="11181"/>
    <cellStyle name="Normal 3 6 7 2 3" xfId="11997"/>
    <cellStyle name="Normal 3 6 7 2_Cashflow trend" xfId="2066"/>
    <cellStyle name="Normal 3 6 7 3" xfId="2067"/>
    <cellStyle name="Normal 3 6 7 3 2" xfId="12428"/>
    <cellStyle name="Normal 3 6 7 3_YL Capex Cashflow &amp; Dep" xfId="11180"/>
    <cellStyle name="Normal 3 6 7 4" xfId="11692"/>
    <cellStyle name="Normal 3 6 7_Cashflow trend" xfId="2068"/>
    <cellStyle name="Normal 3 6 8" xfId="2069"/>
    <cellStyle name="Normal 3 6 8 2" xfId="2070"/>
    <cellStyle name="Normal 3 6 8 2 2" xfId="2071"/>
    <cellStyle name="Normal 3 6 8 2 2 2" xfId="12582"/>
    <cellStyle name="Normal 3 6 8 2 2_YL Capex Cashflow &amp; Dep" xfId="11179"/>
    <cellStyle name="Normal 3 6 8 2 3" xfId="11886"/>
    <cellStyle name="Normal 3 6 8 2_Cashflow trend" xfId="2072"/>
    <cellStyle name="Normal 3 6 8 3" xfId="2073"/>
    <cellStyle name="Normal 3 6 8 3 2" xfId="12314"/>
    <cellStyle name="Normal 3 6 8 3_YL Capex Cashflow &amp; Dep" xfId="11178"/>
    <cellStyle name="Normal 3 6 8 4" xfId="11586"/>
    <cellStyle name="Normal 3 6 8_Cashflow trend" xfId="2074"/>
    <cellStyle name="Normal 3 6 9" xfId="2075"/>
    <cellStyle name="Normal 3 6 9 2" xfId="2076"/>
    <cellStyle name="Normal 3 6 9 2 2" xfId="12463"/>
    <cellStyle name="Normal 3 6 9 2_YL Capex Cashflow &amp; Dep" xfId="11177"/>
    <cellStyle name="Normal 3 6 9 3" xfId="11746"/>
    <cellStyle name="Normal 3 6 9_Cashflow trend" xfId="2077"/>
    <cellStyle name="Normal 3 6_Cashflow trend" xfId="2078"/>
    <cellStyle name="Normal 3 7" xfId="2079"/>
    <cellStyle name="Normal 3 7 2" xfId="2080"/>
    <cellStyle name="Normal 3 8" xfId="2081"/>
    <cellStyle name="Normal 3 8 2" xfId="2082"/>
    <cellStyle name="Normal 3 9" xfId="2083"/>
    <cellStyle name="Normal 3 9 2" xfId="2084"/>
    <cellStyle name="Normal 3 9 3" xfId="2085"/>
    <cellStyle name="Normal 3 9 3 2" xfId="12443"/>
    <cellStyle name="Normal 3 9 3_YL Capex Cashflow &amp; Dep" xfId="11176"/>
    <cellStyle name="Normal 3 9 4" xfId="2086"/>
    <cellStyle name="Normal 3 9 5" xfId="11709"/>
    <cellStyle name="Normal 3 9_Cashflow trend" xfId="2087"/>
    <cellStyle name="Normal 3_Cashflow trend" xfId="2088"/>
    <cellStyle name="Normal 30" xfId="2089"/>
    <cellStyle name="Normal 30 2" xfId="6164"/>
    <cellStyle name="Normal 30 2 2" xfId="6165"/>
    <cellStyle name="Normal 30 2 2 2" xfId="6166"/>
    <cellStyle name="Normal 30 2 2 2 2" xfId="33234"/>
    <cellStyle name="Normal 30 2 2 3" xfId="33235"/>
    <cellStyle name="Normal 30 2 3" xfId="6167"/>
    <cellStyle name="Normal 30 2 3 2" xfId="33236"/>
    <cellStyle name="Normal 30 2 4" xfId="33237"/>
    <cellStyle name="Normal 30 3" xfId="6168"/>
    <cellStyle name="Normal 30 3 2" xfId="6169"/>
    <cellStyle name="Normal 30 3 2 2" xfId="33238"/>
    <cellStyle name="Normal 30 3 3" xfId="33239"/>
    <cellStyle name="Normal 30 4" xfId="6170"/>
    <cellStyle name="Normal 30 4 2" xfId="6171"/>
    <cellStyle name="Normal 30 4 2 2" xfId="33240"/>
    <cellStyle name="Normal 30 4 3" xfId="33241"/>
    <cellStyle name="Normal 30 5" xfId="6172"/>
    <cellStyle name="Normal 30 5 2" xfId="33242"/>
    <cellStyle name="Normal 30 6" xfId="33243"/>
    <cellStyle name="Normal 31" xfId="2090"/>
    <cellStyle name="Normal 31 2" xfId="6173"/>
    <cellStyle name="Normal 31 2 2" xfId="6174"/>
    <cellStyle name="Normal 31 2 2 2" xfId="6175"/>
    <cellStyle name="Normal 31 2 2 2 2" xfId="33244"/>
    <cellStyle name="Normal 31 2 2 3" xfId="33245"/>
    <cellStyle name="Normal 31 2 3" xfId="6176"/>
    <cellStyle name="Normal 31 2 3 2" xfId="33246"/>
    <cellStyle name="Normal 31 2 4" xfId="33247"/>
    <cellStyle name="Normal 31 3" xfId="6177"/>
    <cellStyle name="Normal 31 3 2" xfId="6178"/>
    <cellStyle name="Normal 31 3 2 2" xfId="33248"/>
    <cellStyle name="Normal 31 3 3" xfId="33249"/>
    <cellStyle name="Normal 31 4" xfId="6179"/>
    <cellStyle name="Normal 31 4 2" xfId="6180"/>
    <cellStyle name="Normal 31 4 2 2" xfId="33250"/>
    <cellStyle name="Normal 31 4 3" xfId="33251"/>
    <cellStyle name="Normal 31 5" xfId="6181"/>
    <cellStyle name="Normal 31 5 2" xfId="33252"/>
    <cellStyle name="Normal 31 6" xfId="33253"/>
    <cellStyle name="Normal 32" xfId="2091"/>
    <cellStyle name="Normal 32 2" xfId="6182"/>
    <cellStyle name="Normal 32 2 2" xfId="6183"/>
    <cellStyle name="Normal 32 2 2 2" xfId="6184"/>
    <cellStyle name="Normal 32 2 2 2 2" xfId="33254"/>
    <cellStyle name="Normal 32 2 2 3" xfId="33255"/>
    <cellStyle name="Normal 32 2 3" xfId="6185"/>
    <cellStyle name="Normal 32 2 3 2" xfId="33256"/>
    <cellStyle name="Normal 32 2 4" xfId="33257"/>
    <cellStyle name="Normal 32 3" xfId="6186"/>
    <cellStyle name="Normal 32 3 2" xfId="6187"/>
    <cellStyle name="Normal 32 3 2 2" xfId="33258"/>
    <cellStyle name="Normal 32 3 3" xfId="33259"/>
    <cellStyle name="Normal 32 4" xfId="6188"/>
    <cellStyle name="Normal 32 4 2" xfId="6189"/>
    <cellStyle name="Normal 32 4 2 2" xfId="33260"/>
    <cellStyle name="Normal 32 4 3" xfId="33261"/>
    <cellStyle name="Normal 32 5" xfId="6190"/>
    <cellStyle name="Normal 32 5 2" xfId="33262"/>
    <cellStyle name="Normal 32 6" xfId="33263"/>
    <cellStyle name="Normal 33" xfId="2092"/>
    <cellStyle name="Normal 33 2" xfId="6191"/>
    <cellStyle name="Normal 33 2 2" xfId="6192"/>
    <cellStyle name="Normal 33 2 2 2" xfId="6193"/>
    <cellStyle name="Normal 33 2 2 2 2" xfId="33264"/>
    <cellStyle name="Normal 33 2 2 3" xfId="33265"/>
    <cellStyle name="Normal 33 2 3" xfId="6194"/>
    <cellStyle name="Normal 33 2 3 2" xfId="33266"/>
    <cellStyle name="Normal 33 2 4" xfId="33267"/>
    <cellStyle name="Normal 33 3" xfId="6195"/>
    <cellStyle name="Normal 33 3 2" xfId="6196"/>
    <cellStyle name="Normal 33 3 2 2" xfId="33268"/>
    <cellStyle name="Normal 33 3 3" xfId="33269"/>
    <cellStyle name="Normal 33 4" xfId="6197"/>
    <cellStyle name="Normal 33 4 2" xfId="6198"/>
    <cellStyle name="Normal 33 4 2 2" xfId="33270"/>
    <cellStyle name="Normal 33 4 3" xfId="33271"/>
    <cellStyle name="Normal 33 5" xfId="6199"/>
    <cellStyle name="Normal 33 5 2" xfId="33272"/>
    <cellStyle name="Normal 33 6" xfId="33273"/>
    <cellStyle name="Normal 34" xfId="2093"/>
    <cellStyle name="Normal 34 2" xfId="6200"/>
    <cellStyle name="Normal 34 2 2" xfId="6201"/>
    <cellStyle name="Normal 34 2 2 2" xfId="6202"/>
    <cellStyle name="Normal 34 2 2 2 2" xfId="33274"/>
    <cellStyle name="Normal 34 2 2 3" xfId="33275"/>
    <cellStyle name="Normal 34 2 3" xfId="6203"/>
    <cellStyle name="Normal 34 2 3 2" xfId="33276"/>
    <cellStyle name="Normal 34 2 4" xfId="33277"/>
    <cellStyle name="Normal 34 3" xfId="6204"/>
    <cellStyle name="Normal 34 3 2" xfId="6205"/>
    <cellStyle name="Normal 34 3 2 2" xfId="33278"/>
    <cellStyle name="Normal 34 3 3" xfId="33279"/>
    <cellStyle name="Normal 34 4" xfId="6206"/>
    <cellStyle name="Normal 34 4 2" xfId="6207"/>
    <cellStyle name="Normal 34 4 2 2" xfId="33280"/>
    <cellStyle name="Normal 34 4 3" xfId="33281"/>
    <cellStyle name="Normal 34 5" xfId="6208"/>
    <cellStyle name="Normal 34 5 2" xfId="33282"/>
    <cellStyle name="Normal 34 6" xfId="33283"/>
    <cellStyle name="Normal 35" xfId="2094"/>
    <cellStyle name="Normal 35 2" xfId="6209"/>
    <cellStyle name="Normal 35 2 2" xfId="6210"/>
    <cellStyle name="Normal 35 2 2 2" xfId="6211"/>
    <cellStyle name="Normal 35 2 2 2 2" xfId="33284"/>
    <cellStyle name="Normal 35 2 2 3" xfId="33285"/>
    <cellStyle name="Normal 35 2 3" xfId="6212"/>
    <cellStyle name="Normal 35 2 3 2" xfId="33286"/>
    <cellStyle name="Normal 35 2 4" xfId="33287"/>
    <cellStyle name="Normal 35 3" xfId="6213"/>
    <cellStyle name="Normal 35 3 2" xfId="6214"/>
    <cellStyle name="Normal 35 3 2 2" xfId="33288"/>
    <cellStyle name="Normal 35 3 3" xfId="33289"/>
    <cellStyle name="Normal 35 4" xfId="6215"/>
    <cellStyle name="Normal 35 4 2" xfId="6216"/>
    <cellStyle name="Normal 35 4 2 2" xfId="33290"/>
    <cellStyle name="Normal 35 4 3" xfId="33291"/>
    <cellStyle name="Normal 35 5" xfId="6217"/>
    <cellStyle name="Normal 35 5 2" xfId="33292"/>
    <cellStyle name="Normal 35 6" xfId="33293"/>
    <cellStyle name="Normal 36" xfId="2095"/>
    <cellStyle name="Normal 36 2" xfId="6218"/>
    <cellStyle name="Normal 36 2 2" xfId="6219"/>
    <cellStyle name="Normal 36 2 2 2" xfId="6220"/>
    <cellStyle name="Normal 36 2 2 2 2" xfId="33294"/>
    <cellStyle name="Normal 36 2 2 3" xfId="33295"/>
    <cellStyle name="Normal 36 2 3" xfId="6221"/>
    <cellStyle name="Normal 36 2 3 2" xfId="33296"/>
    <cellStyle name="Normal 36 2 4" xfId="33297"/>
    <cellStyle name="Normal 36 3" xfId="6222"/>
    <cellStyle name="Normal 36 3 2" xfId="6223"/>
    <cellStyle name="Normal 36 3 2 2" xfId="33298"/>
    <cellStyle name="Normal 36 3 3" xfId="33299"/>
    <cellStyle name="Normal 36 4" xfId="6224"/>
    <cellStyle name="Normal 36 4 2" xfId="6225"/>
    <cellStyle name="Normal 36 4 2 2" xfId="33300"/>
    <cellStyle name="Normal 36 4 3" xfId="33301"/>
    <cellStyle name="Normal 36 5" xfId="6226"/>
    <cellStyle name="Normal 36 5 2" xfId="33302"/>
    <cellStyle name="Normal 36 6" xfId="33303"/>
    <cellStyle name="Normal 37" xfId="2096"/>
    <cellStyle name="Normal 37 2" xfId="6227"/>
    <cellStyle name="Normal 37 2 2" xfId="6228"/>
    <cellStyle name="Normal 37 2 2 2" xfId="6229"/>
    <cellStyle name="Normal 37 2 2 2 2" xfId="33304"/>
    <cellStyle name="Normal 37 2 2 3" xfId="33305"/>
    <cellStyle name="Normal 37 2 3" xfId="6230"/>
    <cellStyle name="Normal 37 2 3 2" xfId="33306"/>
    <cellStyle name="Normal 37 2 4" xfId="33307"/>
    <cellStyle name="Normal 37 3" xfId="6231"/>
    <cellStyle name="Normal 37 3 2" xfId="6232"/>
    <cellStyle name="Normal 37 3 2 2" xfId="33308"/>
    <cellStyle name="Normal 37 3 3" xfId="33309"/>
    <cellStyle name="Normal 37 4" xfId="6233"/>
    <cellStyle name="Normal 37 4 2" xfId="6234"/>
    <cellStyle name="Normal 37 4 2 2" xfId="33310"/>
    <cellStyle name="Normal 37 4 3" xfId="33311"/>
    <cellStyle name="Normal 37 5" xfId="6235"/>
    <cellStyle name="Normal 37 5 2" xfId="33312"/>
    <cellStyle name="Normal 37 6" xfId="33313"/>
    <cellStyle name="Normal 38" xfId="2097"/>
    <cellStyle name="Normal 38 2" xfId="6236"/>
    <cellStyle name="Normal 38 2 2" xfId="6237"/>
    <cellStyle name="Normal 38 2 2 2" xfId="6238"/>
    <cellStyle name="Normal 38 2 2 2 2" xfId="33314"/>
    <cellStyle name="Normal 38 2 2 3" xfId="33315"/>
    <cellStyle name="Normal 38 2 3" xfId="6239"/>
    <cellStyle name="Normal 38 2 3 2" xfId="33316"/>
    <cellStyle name="Normal 38 2 4" xfId="33317"/>
    <cellStyle name="Normal 38 3" xfId="6240"/>
    <cellStyle name="Normal 38 3 2" xfId="6241"/>
    <cellStyle name="Normal 38 3 2 2" xfId="33318"/>
    <cellStyle name="Normal 38 3 3" xfId="33319"/>
    <cellStyle name="Normal 38 4" xfId="6242"/>
    <cellStyle name="Normal 38 4 2" xfId="6243"/>
    <cellStyle name="Normal 38 4 2 2" xfId="33320"/>
    <cellStyle name="Normal 38 4 3" xfId="33321"/>
    <cellStyle name="Normal 38 5" xfId="6244"/>
    <cellStyle name="Normal 38 5 2" xfId="33322"/>
    <cellStyle name="Normal 38 6" xfId="33323"/>
    <cellStyle name="Normal 39" xfId="2098"/>
    <cellStyle name="Normal 39 2" xfId="6245"/>
    <cellStyle name="Normal 39 2 2" xfId="6246"/>
    <cellStyle name="Normal 39 2 2 2" xfId="6247"/>
    <cellStyle name="Normal 39 2 2 2 2" xfId="33324"/>
    <cellStyle name="Normal 39 2 2 3" xfId="33325"/>
    <cellStyle name="Normal 39 2 3" xfId="6248"/>
    <cellStyle name="Normal 39 2 3 2" xfId="33326"/>
    <cellStyle name="Normal 39 2 4" xfId="33327"/>
    <cellStyle name="Normal 39 3" xfId="6249"/>
    <cellStyle name="Normal 39 3 2" xfId="6250"/>
    <cellStyle name="Normal 39 3 2 2" xfId="33328"/>
    <cellStyle name="Normal 39 3 3" xfId="33329"/>
    <cellStyle name="Normal 39 4" xfId="6251"/>
    <cellStyle name="Normal 39 4 2" xfId="6252"/>
    <cellStyle name="Normal 39 4 2 2" xfId="33330"/>
    <cellStyle name="Normal 39 4 3" xfId="33331"/>
    <cellStyle name="Normal 39 5" xfId="6253"/>
    <cellStyle name="Normal 39 5 2" xfId="33332"/>
    <cellStyle name="Normal 39 6" xfId="33333"/>
    <cellStyle name="Normal 39_YL Capex Cashflow &amp; Dep" xfId="13271"/>
    <cellStyle name="Normal 4" xfId="2099"/>
    <cellStyle name="Normal 4 2" xfId="2100"/>
    <cellStyle name="Normal 4 2 2" xfId="2101"/>
    <cellStyle name="Normal 4 3" xfId="2102"/>
    <cellStyle name="Normal 4 4" xfId="2103"/>
    <cellStyle name="Normal 4 5" xfId="2104"/>
    <cellStyle name="Normal 4 6" xfId="2105"/>
    <cellStyle name="Normal 4 7" xfId="2106"/>
    <cellStyle name="Normal 4 7 2" xfId="2107"/>
    <cellStyle name="Normal 4 8" xfId="2108"/>
    <cellStyle name="Normal 4_SMI_FS_2009.07" xfId="2109"/>
    <cellStyle name="Normal 40" xfId="2110"/>
    <cellStyle name="Normal 40 2" xfId="6254"/>
    <cellStyle name="Normal 40 2 2" xfId="6255"/>
    <cellStyle name="Normal 40 2 2 2" xfId="6256"/>
    <cellStyle name="Normal 40 2 2 2 2" xfId="33334"/>
    <cellStyle name="Normal 40 2 2 3" xfId="33335"/>
    <cellStyle name="Normal 40 2 3" xfId="6257"/>
    <cellStyle name="Normal 40 2 3 2" xfId="33336"/>
    <cellStyle name="Normal 40 2 4" xfId="33337"/>
    <cellStyle name="Normal 40 3" xfId="6258"/>
    <cellStyle name="Normal 40 3 2" xfId="6259"/>
    <cellStyle name="Normal 40 3 2 2" xfId="33338"/>
    <cellStyle name="Normal 40 3 3" xfId="33339"/>
    <cellStyle name="Normal 40 4" xfId="6260"/>
    <cellStyle name="Normal 40 4 2" xfId="6261"/>
    <cellStyle name="Normal 40 4 2 2" xfId="33340"/>
    <cellStyle name="Normal 40 4 3" xfId="33341"/>
    <cellStyle name="Normal 40 5" xfId="6262"/>
    <cellStyle name="Normal 40 5 2" xfId="33342"/>
    <cellStyle name="Normal 40 6" xfId="33343"/>
    <cellStyle name="Normal 40_YL Capex Cashflow &amp; Dep" xfId="11175"/>
    <cellStyle name="Normal 41" xfId="2111"/>
    <cellStyle name="Normal 41 2" xfId="6263"/>
    <cellStyle name="Normal 41 2 2" xfId="6264"/>
    <cellStyle name="Normal 41 2 2 2" xfId="6265"/>
    <cellStyle name="Normal 41 2 2 2 2" xfId="33344"/>
    <cellStyle name="Normal 41 2 2 3" xfId="33345"/>
    <cellStyle name="Normal 41 2 3" xfId="6266"/>
    <cellStyle name="Normal 41 2 3 2" xfId="33346"/>
    <cellStyle name="Normal 41 2 4" xfId="33347"/>
    <cellStyle name="Normal 41 3" xfId="6267"/>
    <cellStyle name="Normal 41 3 2" xfId="6268"/>
    <cellStyle name="Normal 41 3 2 2" xfId="33348"/>
    <cellStyle name="Normal 41 3 3" xfId="33349"/>
    <cellStyle name="Normal 41 4" xfId="6269"/>
    <cellStyle name="Normal 41 4 2" xfId="6270"/>
    <cellStyle name="Normal 41 4 2 2" xfId="33350"/>
    <cellStyle name="Normal 41 4 3" xfId="33351"/>
    <cellStyle name="Normal 41 5" xfId="6271"/>
    <cellStyle name="Normal 41 5 2" xfId="33352"/>
    <cellStyle name="Normal 41 6" xfId="33353"/>
    <cellStyle name="Normal 41_YL Capex Cashflow &amp; Dep" xfId="11174"/>
    <cellStyle name="Normal 42" xfId="2112"/>
    <cellStyle name="Normal 42 10" xfId="33354"/>
    <cellStyle name="Normal 42 11" xfId="33355"/>
    <cellStyle name="Normal 42 2" xfId="2113"/>
    <cellStyle name="Normal 42 2 2" xfId="6272"/>
    <cellStyle name="Normal 42 2 2 2" xfId="6273"/>
    <cellStyle name="Normal 42 2 2 2 2" xfId="33356"/>
    <cellStyle name="Normal 42 2 2 3" xfId="33357"/>
    <cellStyle name="Normal 42 2 3" xfId="6274"/>
    <cellStyle name="Normal 42 2 3 2" xfId="33358"/>
    <cellStyle name="Normal 42 2 4" xfId="13283"/>
    <cellStyle name="Normal 42 2 5" xfId="33359"/>
    <cellStyle name="Normal 42 2_YL Capex Cashflow &amp; Dep" xfId="13242"/>
    <cellStyle name="Normal 42 3" xfId="2114"/>
    <cellStyle name="Normal 42 3 2" xfId="6275"/>
    <cellStyle name="Normal 42 3 2 2" xfId="6276"/>
    <cellStyle name="Normal 42 3 2 2 2" xfId="33360"/>
    <cellStyle name="Normal 42 3 2 3" xfId="33361"/>
    <cellStyle name="Normal 42 3 3" xfId="6277"/>
    <cellStyle name="Normal 42 3 3 2" xfId="6278"/>
    <cellStyle name="Normal 42 3 3 2 2" xfId="33362"/>
    <cellStyle name="Normal 42 3 3 3" xfId="33363"/>
    <cellStyle name="Normal 42 3 4" xfId="6279"/>
    <cellStyle name="Normal 42 3 4 2" xfId="33364"/>
    <cellStyle name="Normal 42 3 5" xfId="13279"/>
    <cellStyle name="Normal 42 3_YL Capex Cashflow &amp; Dep" xfId="11712"/>
    <cellStyle name="Normal 42 4" xfId="6280"/>
    <cellStyle name="Normal 42 4 2" xfId="6281"/>
    <cellStyle name="Normal 42 4 2 2" xfId="33365"/>
    <cellStyle name="Normal 42 4 3" xfId="33366"/>
    <cellStyle name="Normal 42 5" xfId="6282"/>
    <cellStyle name="Normal 42 5 2" xfId="6283"/>
    <cellStyle name="Normal 42 5 2 2" xfId="33367"/>
    <cellStyle name="Normal 42 5 3" xfId="33368"/>
    <cellStyle name="Normal 42 6" xfId="6284"/>
    <cellStyle name="Normal 42 6 2" xfId="6285"/>
    <cellStyle name="Normal 42 6 2 2" xfId="33369"/>
    <cellStyle name="Normal 42 6 3" xfId="33370"/>
    <cellStyle name="Normal 42 7" xfId="6286"/>
    <cellStyle name="Normal 42 7 2" xfId="6287"/>
    <cellStyle name="Normal 42 7 3" xfId="33371"/>
    <cellStyle name="Normal 42 8" xfId="6288"/>
    <cellStyle name="Normal 42 8 2" xfId="33372"/>
    <cellStyle name="Normal 42 9" xfId="6289"/>
    <cellStyle name="Normal 42_Cashflow trend" xfId="2115"/>
    <cellStyle name="Normal 43" xfId="2116"/>
    <cellStyle name="Normal 43 2" xfId="6290"/>
    <cellStyle name="Normal 43 2 2" xfId="6291"/>
    <cellStyle name="Normal 43 2 2 2" xfId="6292"/>
    <cellStyle name="Normal 43 2 2 2 2" xfId="33373"/>
    <cellStyle name="Normal 43 2 2 3" xfId="33374"/>
    <cellStyle name="Normal 43 2 3" xfId="6293"/>
    <cellStyle name="Normal 43 2 3 2" xfId="33375"/>
    <cellStyle name="Normal 43 2 4" xfId="33376"/>
    <cellStyle name="Normal 43 3" xfId="6294"/>
    <cellStyle name="Normal 43 3 2" xfId="6295"/>
    <cellStyle name="Normal 43 3 2 2" xfId="33377"/>
    <cellStyle name="Normal 43 3 3" xfId="33378"/>
    <cellStyle name="Normal 43 4" xfId="6296"/>
    <cellStyle name="Normal 43 4 2" xfId="6297"/>
    <cellStyle name="Normal 43 4 2 2" xfId="33379"/>
    <cellStyle name="Normal 43 4 3" xfId="33380"/>
    <cellStyle name="Normal 43 5" xfId="6298"/>
    <cellStyle name="Normal 43 5 2" xfId="33381"/>
    <cellStyle name="Normal 43 6" xfId="33382"/>
    <cellStyle name="Normal 43_YL Capex Cashflow &amp; Dep" xfId="11717"/>
    <cellStyle name="Normal 44" xfId="2117"/>
    <cellStyle name="Normal 44 2" xfId="6299"/>
    <cellStyle name="Normal 44 2 2" xfId="6300"/>
    <cellStyle name="Normal 44 2 2 2" xfId="6301"/>
    <cellStyle name="Normal 44 2 2 2 2" xfId="33383"/>
    <cellStyle name="Normal 44 2 2 3" xfId="33384"/>
    <cellStyle name="Normal 44 2 3" xfId="6302"/>
    <cellStyle name="Normal 44 2 3 2" xfId="33385"/>
    <cellStyle name="Normal 44 2 4" xfId="33386"/>
    <cellStyle name="Normal 44 3" xfId="6303"/>
    <cellStyle name="Normal 44 3 2" xfId="6304"/>
    <cellStyle name="Normal 44 3 2 2" xfId="33387"/>
    <cellStyle name="Normal 44 3 3" xfId="33388"/>
    <cellStyle name="Normal 44 4" xfId="6305"/>
    <cellStyle name="Normal 44 4 2" xfId="6306"/>
    <cellStyle name="Normal 44 4 2 2" xfId="33389"/>
    <cellStyle name="Normal 44 4 3" xfId="33390"/>
    <cellStyle name="Normal 44 5" xfId="6307"/>
    <cellStyle name="Normal 44 5 2" xfId="33391"/>
    <cellStyle name="Normal 44 6" xfId="33392"/>
    <cellStyle name="Normal 44_YL Capex Cashflow &amp; Dep" xfId="13243"/>
    <cellStyle name="Normal 45" xfId="2118"/>
    <cellStyle name="Normal 45 2" xfId="6308"/>
    <cellStyle name="Normal 45 2 2" xfId="6309"/>
    <cellStyle name="Normal 45 2 2 2" xfId="6310"/>
    <cellStyle name="Normal 45 2 2 2 2" xfId="33393"/>
    <cellStyle name="Normal 45 2 2 3" xfId="33394"/>
    <cellStyle name="Normal 45 2 3" xfId="6311"/>
    <cellStyle name="Normal 45 2 3 2" xfId="33395"/>
    <cellStyle name="Normal 45 2 4" xfId="33396"/>
    <cellStyle name="Normal 45 3" xfId="6312"/>
    <cellStyle name="Normal 45 3 2" xfId="6313"/>
    <cellStyle name="Normal 45 3 2 2" xfId="33397"/>
    <cellStyle name="Normal 45 3 3" xfId="33398"/>
    <cellStyle name="Normal 45 4" xfId="6314"/>
    <cellStyle name="Normal 45 4 2" xfId="6315"/>
    <cellStyle name="Normal 45 4 2 2" xfId="33399"/>
    <cellStyle name="Normal 45 4 3" xfId="33400"/>
    <cellStyle name="Normal 45 5" xfId="6316"/>
    <cellStyle name="Normal 45 5 2" xfId="33401"/>
    <cellStyle name="Normal 45 6" xfId="33402"/>
    <cellStyle name="Normal 45_YL Capex Cashflow &amp; Dep" xfId="11173"/>
    <cellStyle name="Normal 46" xfId="2119"/>
    <cellStyle name="Normal 46 10" xfId="11013"/>
    <cellStyle name="Normal 46 2" xfId="2120"/>
    <cellStyle name="Normal 46 2 2" xfId="2121"/>
    <cellStyle name="Normal 46 2 2 2" xfId="2122"/>
    <cellStyle name="Normal 46 2 2 2 2" xfId="2123"/>
    <cellStyle name="Normal 46 2 2 2 2 2" xfId="12639"/>
    <cellStyle name="Normal 46 2 2 2 2_YL Capex Cashflow &amp; Dep" xfId="13278"/>
    <cellStyle name="Normal 46 2 2 2 3" xfId="11942"/>
    <cellStyle name="Normal 46 2 2 2_Cashflow trend" xfId="2124"/>
    <cellStyle name="Normal 46 2 2 3" xfId="2125"/>
    <cellStyle name="Normal 46 2 2 3 2" xfId="11643"/>
    <cellStyle name="Normal 46 2 2 3_YL Capex Cashflow &amp; Dep" xfId="10971"/>
    <cellStyle name="Normal 46 2 2 4" xfId="2126"/>
    <cellStyle name="Normal 46 2 2 4 2" xfId="12371"/>
    <cellStyle name="Normal 46 2 2 4_YL Capex Cashflow &amp; Dep" xfId="13264"/>
    <cellStyle name="Normal 46 2 2 5" xfId="11492"/>
    <cellStyle name="Normal 46 2 2_Cashflow trend" xfId="2127"/>
    <cellStyle name="Normal 46 2 3" xfId="2128"/>
    <cellStyle name="Normal 46 2 3 2" xfId="2129"/>
    <cellStyle name="Normal 46 2 3 2 2" xfId="12548"/>
    <cellStyle name="Normal 46 2 3 2_YL Capex Cashflow &amp; Dep" xfId="13262"/>
    <cellStyle name="Normal 46 2 3 3" xfId="11853"/>
    <cellStyle name="Normal 46 2 3_Cashflow trend" xfId="2130"/>
    <cellStyle name="Normal 46 2 4" xfId="2131"/>
    <cellStyle name="Normal 46 2 4 2" xfId="11562"/>
    <cellStyle name="Normal 46 2 4_YL Capex Cashflow &amp; Dep" xfId="10968"/>
    <cellStyle name="Normal 46 2 5" xfId="2132"/>
    <cellStyle name="Normal 46 2 5 2" xfId="12281"/>
    <cellStyle name="Normal 46 2 5_YL Capex Cashflow &amp; Dep" xfId="13260"/>
    <cellStyle name="Normal 46 2 6" xfId="11052"/>
    <cellStyle name="Normal 46 2_Cashflow trend" xfId="2133"/>
    <cellStyle name="Normal 46 3" xfId="2134"/>
    <cellStyle name="Normal 46 3 2" xfId="2135"/>
    <cellStyle name="Normal 46 3 2 2" xfId="2136"/>
    <cellStyle name="Normal 46 3 2 2 2" xfId="12665"/>
    <cellStyle name="Normal 46 3 2 2_YL Capex Cashflow &amp; Dep" xfId="10964"/>
    <cellStyle name="Normal 46 3 2 3" xfId="11968"/>
    <cellStyle name="Normal 46 3 2_Cashflow trend" xfId="2137"/>
    <cellStyle name="Normal 46 3 3" xfId="2138"/>
    <cellStyle name="Normal 46 3 3 2" xfId="11667"/>
    <cellStyle name="Normal 46 3 3_YL Capex Cashflow &amp; Dep" xfId="13241"/>
    <cellStyle name="Normal 46 3 4" xfId="2139"/>
    <cellStyle name="Normal 46 3 4 2" xfId="12397"/>
    <cellStyle name="Normal 46 3 4_YL Capex Cashflow &amp; Dep" xfId="11355"/>
    <cellStyle name="Normal 46 3 5" xfId="11425"/>
    <cellStyle name="Normal 46 3_Cashflow trend" xfId="2140"/>
    <cellStyle name="Normal 46 4" xfId="2141"/>
    <cellStyle name="Normal 46 4 2" xfId="2142"/>
    <cellStyle name="Normal 46 4 2 2" xfId="2143"/>
    <cellStyle name="Normal 46 4 2 2 2" xfId="12617"/>
    <cellStyle name="Normal 46 4 2 2_YL Capex Cashflow &amp; Dep" xfId="11172"/>
    <cellStyle name="Normal 46 4 2 3" xfId="11920"/>
    <cellStyle name="Normal 46 4 2_Cashflow trend" xfId="2144"/>
    <cellStyle name="Normal 46 4 3" xfId="2145"/>
    <cellStyle name="Normal 46 4 3 2" xfId="11621"/>
    <cellStyle name="Normal 46 4 3_YL Capex Cashflow &amp; Dep" xfId="10963"/>
    <cellStyle name="Normal 46 4 4" xfId="2146"/>
    <cellStyle name="Normal 46 4 4 2" xfId="12349"/>
    <cellStyle name="Normal 46 4 4_YL Capex Cashflow &amp; Dep" xfId="11171"/>
    <cellStyle name="Normal 46 4 5" xfId="11466"/>
    <cellStyle name="Normal 46 4_Cashflow trend" xfId="2147"/>
    <cellStyle name="Normal 46 5" xfId="2148"/>
    <cellStyle name="Normal 46 5 2" xfId="2149"/>
    <cellStyle name="Normal 46 5 2 2" xfId="2150"/>
    <cellStyle name="Normal 46 5 2 2 2" xfId="12699"/>
    <cellStyle name="Normal 46 5 2 2_YL Capex Cashflow &amp; Dep" xfId="11170"/>
    <cellStyle name="Normal 46 5 2 3" xfId="12000"/>
    <cellStyle name="Normal 46 5 2_Cashflow trend" xfId="2151"/>
    <cellStyle name="Normal 46 5 3" xfId="2152"/>
    <cellStyle name="Normal 46 5 3 2" xfId="12431"/>
    <cellStyle name="Normal 46 5 3_YL Capex Cashflow &amp; Dep" xfId="10954"/>
    <cellStyle name="Normal 46 5 4" xfId="11695"/>
    <cellStyle name="Normal 46 5_Cashflow trend" xfId="2153"/>
    <cellStyle name="Normal 46 6" xfId="2154"/>
    <cellStyle name="Normal 46 6 2" xfId="2155"/>
    <cellStyle name="Normal 46 6 2 2" xfId="2156"/>
    <cellStyle name="Normal 46 6 2 2 2" xfId="12585"/>
    <cellStyle name="Normal 46 6 2 2_YL Capex Cashflow &amp; Dep" xfId="11169"/>
    <cellStyle name="Normal 46 6 2 3" xfId="11889"/>
    <cellStyle name="Normal 46 6 2_Cashflow trend" xfId="2157"/>
    <cellStyle name="Normal 46 6 3" xfId="2158"/>
    <cellStyle name="Normal 46 6 3 2" xfId="12317"/>
    <cellStyle name="Normal 46 6 3_YL Capex Cashflow &amp; Dep" xfId="11168"/>
    <cellStyle name="Normal 46 6 4" xfId="11589"/>
    <cellStyle name="Normal 46 6_Cashflow trend" xfId="2159"/>
    <cellStyle name="Normal 46 7" xfId="2160"/>
    <cellStyle name="Normal 46 7 2" xfId="2161"/>
    <cellStyle name="Normal 46 7 2 2" xfId="12466"/>
    <cellStyle name="Normal 46 7 2_YL Capex Cashflow &amp; Dep" xfId="11167"/>
    <cellStyle name="Normal 46 7 3" xfId="11749"/>
    <cellStyle name="Normal 46 7_Cashflow trend" xfId="2162"/>
    <cellStyle name="Normal 46 8" xfId="2163"/>
    <cellStyle name="Normal 46 8 2" xfId="11517"/>
    <cellStyle name="Normal 46 8_YL Capex Cashflow &amp; Dep" xfId="11166"/>
    <cellStyle name="Normal 46 9" xfId="2164"/>
    <cellStyle name="Normal 46 9 2" xfId="12237"/>
    <cellStyle name="Normal 46 9_YL Capex Cashflow &amp; Dep" xfId="11165"/>
    <cellStyle name="Normal 46_Cashflow trend" xfId="2165"/>
    <cellStyle name="Normal 47" xfId="2166"/>
    <cellStyle name="Normal 47 2" xfId="6317"/>
    <cellStyle name="Normal 47 2 2" xfId="6318"/>
    <cellStyle name="Normal 47 2 2 2" xfId="6319"/>
    <cellStyle name="Normal 47 2 2 2 2" xfId="33403"/>
    <cellStyle name="Normal 47 2 2 3" xfId="33404"/>
    <cellStyle name="Normal 47 2 3" xfId="6320"/>
    <cellStyle name="Normal 47 2 3 2" xfId="33405"/>
    <cellStyle name="Normal 47 2 4" xfId="33406"/>
    <cellStyle name="Normal 47 3" xfId="6321"/>
    <cellStyle name="Normal 47 3 2" xfId="6322"/>
    <cellStyle name="Normal 47 3 2 2" xfId="33407"/>
    <cellStyle name="Normal 47 3 3" xfId="33408"/>
    <cellStyle name="Normal 47 4" xfId="6323"/>
    <cellStyle name="Normal 47 4 2" xfId="6324"/>
    <cellStyle name="Normal 47 4 2 2" xfId="33409"/>
    <cellStyle name="Normal 47 4 3" xfId="33410"/>
    <cellStyle name="Normal 47 5" xfId="6325"/>
    <cellStyle name="Normal 47 5 2" xfId="33411"/>
    <cellStyle name="Normal 47 6" xfId="33412"/>
    <cellStyle name="Normal 48" xfId="2167"/>
    <cellStyle name="Normal 48 2" xfId="2168"/>
    <cellStyle name="Normal 48 2 2" xfId="6326"/>
    <cellStyle name="Normal 48 2 2 2" xfId="6327"/>
    <cellStyle name="Normal 48 2 2 2 2" xfId="33413"/>
    <cellStyle name="Normal 48 2 2 3" xfId="33414"/>
    <cellStyle name="Normal 48 2 3" xfId="6328"/>
    <cellStyle name="Normal 48 2 3 2" xfId="33415"/>
    <cellStyle name="Normal 48 2 4" xfId="33416"/>
    <cellStyle name="Normal 48 2_YL Capex Cashflow &amp; Dep" xfId="11164"/>
    <cellStyle name="Normal 48 3" xfId="6329"/>
    <cellStyle name="Normal 48 3 2" xfId="6330"/>
    <cellStyle name="Normal 48 3 2 2" xfId="33417"/>
    <cellStyle name="Normal 48 3 3" xfId="33418"/>
    <cellStyle name="Normal 48 4" xfId="6331"/>
    <cellStyle name="Normal 48 4 2" xfId="6332"/>
    <cellStyle name="Normal 48 4 2 2" xfId="33419"/>
    <cellStyle name="Normal 48 4 3" xfId="33420"/>
    <cellStyle name="Normal 48 5" xfId="6333"/>
    <cellStyle name="Normal 48 5 2" xfId="33421"/>
    <cellStyle name="Normal 48 6" xfId="33422"/>
    <cellStyle name="Normal 48_Cashflow trend" xfId="2169"/>
    <cellStyle name="Normal 49" xfId="2170"/>
    <cellStyle name="Normal 49 2" xfId="6334"/>
    <cellStyle name="Normal 49 2 2" xfId="6335"/>
    <cellStyle name="Normal 49 2 2 2" xfId="6336"/>
    <cellStyle name="Normal 49 2 2 2 2" xfId="33423"/>
    <cellStyle name="Normal 49 2 2 3" xfId="33424"/>
    <cellStyle name="Normal 49 2 3" xfId="6337"/>
    <cellStyle name="Normal 49 2 3 2" xfId="33425"/>
    <cellStyle name="Normal 49 2 4" xfId="33426"/>
    <cellStyle name="Normal 49 3" xfId="6338"/>
    <cellStyle name="Normal 49 3 2" xfId="6339"/>
    <cellStyle name="Normal 49 3 2 2" xfId="33427"/>
    <cellStyle name="Normal 49 3 3" xfId="33428"/>
    <cellStyle name="Normal 49 4" xfId="6340"/>
    <cellStyle name="Normal 49 4 2" xfId="6341"/>
    <cellStyle name="Normal 49 4 2 2" xfId="33429"/>
    <cellStyle name="Normal 49 4 3" xfId="33430"/>
    <cellStyle name="Normal 49 5" xfId="6342"/>
    <cellStyle name="Normal 49 5 2" xfId="33431"/>
    <cellStyle name="Normal 49 6" xfId="33432"/>
    <cellStyle name="Normal 49_YL Capex Cashflow &amp; Dep" xfId="11163"/>
    <cellStyle name="Normal 5" xfId="2171"/>
    <cellStyle name="Normal 5 2" xfId="2172"/>
    <cellStyle name="Normal 5 2 2" xfId="2173"/>
    <cellStyle name="Normal 5 3" xfId="2174"/>
    <cellStyle name="Normal 5 4" xfId="2175"/>
    <cellStyle name="Normal 5 4 2" xfId="2176"/>
    <cellStyle name="Normal 5 5" xfId="2177"/>
    <cellStyle name="Normal 5 6" xfId="6343"/>
    <cellStyle name="Normal 5 6 2" xfId="6344"/>
    <cellStyle name="Normal 5 6 3" xfId="33433"/>
    <cellStyle name="Normal 5 6 4" xfId="33434"/>
    <cellStyle name="Normal 5 7" xfId="33435"/>
    <cellStyle name="Normal 5 7 2" xfId="33436"/>
    <cellStyle name="Normal 5_SMI_FS_2009.10 (Vicky_20091111-2)" xfId="2178"/>
    <cellStyle name="Normal 50" xfId="2179"/>
    <cellStyle name="Normal 50 2" xfId="6345"/>
    <cellStyle name="Normal 50 2 2" xfId="6346"/>
    <cellStyle name="Normal 50 2 2 2" xfId="6347"/>
    <cellStyle name="Normal 50 2 2 2 2" xfId="33437"/>
    <cellStyle name="Normal 50 2 2 3" xfId="33438"/>
    <cellStyle name="Normal 50 2 3" xfId="6348"/>
    <cellStyle name="Normal 50 2 3 2" xfId="33439"/>
    <cellStyle name="Normal 50 2 4" xfId="33440"/>
    <cellStyle name="Normal 50 3" xfId="6349"/>
    <cellStyle name="Normal 50 3 2" xfId="6350"/>
    <cellStyle name="Normal 50 3 2 2" xfId="33441"/>
    <cellStyle name="Normal 50 3 3" xfId="33442"/>
    <cellStyle name="Normal 50 4" xfId="6351"/>
    <cellStyle name="Normal 50 4 2" xfId="6352"/>
    <cellStyle name="Normal 50 4 2 2" xfId="33443"/>
    <cellStyle name="Normal 50 4 3" xfId="33444"/>
    <cellStyle name="Normal 50 5" xfId="6353"/>
    <cellStyle name="Normal 50 5 2" xfId="33445"/>
    <cellStyle name="Normal 50 6" xfId="33446"/>
    <cellStyle name="Normal 50_YL Capex Cashflow &amp; Dep" xfId="11383"/>
    <cellStyle name="Normal 51" xfId="2180"/>
    <cellStyle name="Normal 51 2" xfId="6354"/>
    <cellStyle name="Normal 51 2 2" xfId="6355"/>
    <cellStyle name="Normal 51 2 2 2" xfId="6356"/>
    <cellStyle name="Normal 51 2 2 2 2" xfId="33447"/>
    <cellStyle name="Normal 51 2 2 3" xfId="33448"/>
    <cellStyle name="Normal 51 2 3" xfId="6357"/>
    <cellStyle name="Normal 51 2 3 2" xfId="33449"/>
    <cellStyle name="Normal 51 2 4" xfId="33450"/>
    <cellStyle name="Normal 51 3" xfId="6358"/>
    <cellStyle name="Normal 51 3 2" xfId="6359"/>
    <cellStyle name="Normal 51 3 2 2" xfId="33451"/>
    <cellStyle name="Normal 51 3 3" xfId="33452"/>
    <cellStyle name="Normal 51 4" xfId="6360"/>
    <cellStyle name="Normal 51 4 2" xfId="6361"/>
    <cellStyle name="Normal 51 4 2 2" xfId="33453"/>
    <cellStyle name="Normal 51 4 3" xfId="33454"/>
    <cellStyle name="Normal 51 5" xfId="6362"/>
    <cellStyle name="Normal 51 5 2" xfId="33455"/>
    <cellStyle name="Normal 51 6" xfId="33456"/>
    <cellStyle name="Normal 51_YL Capex Cashflow &amp; Dep" xfId="10933"/>
    <cellStyle name="Normal 52" xfId="2181"/>
    <cellStyle name="Normal 52 2" xfId="6363"/>
    <cellStyle name="Normal 52 2 2" xfId="6364"/>
    <cellStyle name="Normal 52 2 2 2" xfId="33457"/>
    <cellStyle name="Normal 52 2 3" xfId="33458"/>
    <cellStyle name="Normal 52 3" xfId="6365"/>
    <cellStyle name="Normal 52 3 2" xfId="33459"/>
    <cellStyle name="Normal 52 4" xfId="33460"/>
    <cellStyle name="Normal 52_YL Capex Cashflow &amp; Dep" xfId="11162"/>
    <cellStyle name="Normal 53" xfId="2182"/>
    <cellStyle name="Normal 53 2" xfId="2183"/>
    <cellStyle name="Normal 53 2 2" xfId="6366"/>
    <cellStyle name="Normal 53 2 2 2" xfId="33461"/>
    <cellStyle name="Normal 53 2 3" xfId="12442"/>
    <cellStyle name="Normal 53 2_YL Capex Cashflow &amp; Dep" xfId="11161"/>
    <cellStyle name="Normal 53 3" xfId="6367"/>
    <cellStyle name="Normal 53 3 2" xfId="6368"/>
    <cellStyle name="Normal 53 3 2 2" xfId="33462"/>
    <cellStyle name="Normal 53 3 3" xfId="33463"/>
    <cellStyle name="Normal 53 4" xfId="6369"/>
    <cellStyle name="Normal 53 4 2" xfId="33464"/>
    <cellStyle name="Normal 53 5" xfId="11708"/>
    <cellStyle name="Normal 53_Cashflow trend" xfId="2184"/>
    <cellStyle name="Normal 54" xfId="2185"/>
    <cellStyle name="Normal 54 2" xfId="12784"/>
    <cellStyle name="Normal 54_YL Capex Cashflow &amp; Dep" xfId="11160"/>
    <cellStyle name="Normal 55" xfId="2186"/>
    <cellStyle name="Normal 55 2" xfId="33465"/>
    <cellStyle name="Normal 56" xfId="6370"/>
    <cellStyle name="Normal 57" xfId="6371"/>
    <cellStyle name="Normal 57 2" xfId="33466"/>
    <cellStyle name="Normal 58" xfId="6372"/>
    <cellStyle name="Normal 58 2" xfId="33467"/>
    <cellStyle name="Normal 59" xfId="6373"/>
    <cellStyle name="Normal 59 2" xfId="33468"/>
    <cellStyle name="Normal 59 3" xfId="33469"/>
    <cellStyle name="Normal 6" xfId="2187"/>
    <cellStyle name="Normal 6 2" xfId="2188"/>
    <cellStyle name="Normal 6 2 2" xfId="2189"/>
    <cellStyle name="Normal 6 3" xfId="2190"/>
    <cellStyle name="Normal 6_Cashflow trend" xfId="2191"/>
    <cellStyle name="Normal 60" xfId="33470"/>
    <cellStyle name="Normal 60 2" xfId="33471"/>
    <cellStyle name="Normal 61" xfId="33472"/>
    <cellStyle name="Normal 62" xfId="33473"/>
    <cellStyle name="Normal 63" xfId="33474"/>
    <cellStyle name="Normal 63 2" xfId="33475"/>
    <cellStyle name="Normal 64" xfId="33476"/>
    <cellStyle name="Normal 65" xfId="33477"/>
    <cellStyle name="Normal 66" xfId="33478"/>
    <cellStyle name="Normal 67" xfId="33479"/>
    <cellStyle name="Normal 68" xfId="33480"/>
    <cellStyle name="Normal 69" xfId="33481"/>
    <cellStyle name="Normal 7" xfId="2192"/>
    <cellStyle name="Normal 7 2" xfId="2193"/>
    <cellStyle name="Normal 7 2 2" xfId="2194"/>
    <cellStyle name="Normal 7 3" xfId="2195"/>
    <cellStyle name="Normal 7 4" xfId="2196"/>
    <cellStyle name="Normal 7 5" xfId="2197"/>
    <cellStyle name="Normal 7 6" xfId="2198"/>
    <cellStyle name="Normal 7 7" xfId="2199"/>
    <cellStyle name="Normal 7 8" xfId="2200"/>
    <cellStyle name="Normal 7_SMI_FS_2009.10 (Vicky_20091111-2)" xfId="2201"/>
    <cellStyle name="Normal 70" xfId="33482"/>
    <cellStyle name="Normal 71" xfId="33483"/>
    <cellStyle name="Normal 72" xfId="33484"/>
    <cellStyle name="Normal 73" xfId="33485"/>
    <cellStyle name="Normal 74" xfId="61994"/>
    <cellStyle name="Normal 75" xfId="61996"/>
    <cellStyle name="Normal 76" xfId="62001"/>
    <cellStyle name="Normal 76 2" xfId="62007"/>
    <cellStyle name="Normal 77" xfId="62004"/>
    <cellStyle name="Normal 8" xfId="2202"/>
    <cellStyle name="Normal 8 2" xfId="2203"/>
    <cellStyle name="Normal 8 2 2" xfId="2204"/>
    <cellStyle name="Normal 8 2_Cashflow trend" xfId="2205"/>
    <cellStyle name="Normal 8 3" xfId="2206"/>
    <cellStyle name="Normal 8 3 2" xfId="2207"/>
    <cellStyle name="Normal 8 4" xfId="2208"/>
    <cellStyle name="Normal 8 5" xfId="2209"/>
    <cellStyle name="Normal 8 6" xfId="2210"/>
    <cellStyle name="Normal 8 7" xfId="2211"/>
    <cellStyle name="Normal 8_SMI_FS_2009.10 (Vicky_20091111-2)" xfId="2212"/>
    <cellStyle name="Normal 9" xfId="2213"/>
    <cellStyle name="Normal 9 2" xfId="2214"/>
    <cellStyle name="Normal 9 3" xfId="2215"/>
    <cellStyle name="Normal_Cashflow trend" xfId="2"/>
    <cellStyle name="NormalGB" xfId="2216"/>
    <cellStyle name="Normalny_Arkusz1" xfId="2217"/>
    <cellStyle name="Note 2" xfId="2218"/>
    <cellStyle name="Note 2 10" xfId="10939"/>
    <cellStyle name="Note 2 2" xfId="2219"/>
    <cellStyle name="Note 2 2 2" xfId="2220"/>
    <cellStyle name="Note 2 2 2 2" xfId="2221"/>
    <cellStyle name="Note 2 2 2 2 2" xfId="2222"/>
    <cellStyle name="Note 2 2 2 2 2 2" xfId="2223"/>
    <cellStyle name="Note 2 2 2 2 2 2 2" xfId="12988"/>
    <cellStyle name="Note 2 2 2 2 2 2_YL Capex Cashflow &amp; Dep" xfId="11381"/>
    <cellStyle name="Note 2 2 2 2 2 3" xfId="12164"/>
    <cellStyle name="Note 2 2 2 2 2_YL Capex Cashflow &amp; Dep" xfId="13284"/>
    <cellStyle name="Note 2 2 2 2 3" xfId="2224"/>
    <cellStyle name="Note 2 2 2 2 3 2" xfId="2225"/>
    <cellStyle name="Note 2 2 2 2 3 2 2" xfId="13136"/>
    <cellStyle name="Note 2 2 2 2 3 2_YL Capex Cashflow &amp; Dep" xfId="11155"/>
    <cellStyle name="Note 2 2 2 2 3 3" xfId="12564"/>
    <cellStyle name="Note 2 2 2 2 3_YL Capex Cashflow &amp; Dep" xfId="10950"/>
    <cellStyle name="Note 2 2 2 2 4" xfId="11869"/>
    <cellStyle name="Note 2 2 2 2_YL Capex Cashflow &amp; Dep" xfId="11156"/>
    <cellStyle name="Note 2 2 2 3" xfId="2226"/>
    <cellStyle name="Note 2 2 2 3 2" xfId="2227"/>
    <cellStyle name="Note 2 2 2 3 2 2" xfId="13008"/>
    <cellStyle name="Note 2 2 2 3 2_YL Capex Cashflow &amp; Dep" xfId="11153"/>
    <cellStyle name="Note 2 2 2 3 3" xfId="12065"/>
    <cellStyle name="Note 2 2 2 3_YL Capex Cashflow &amp; Dep" xfId="11154"/>
    <cellStyle name="Note 2 2 2 4" xfId="2228"/>
    <cellStyle name="Note 2 2 2 4 2" xfId="2229"/>
    <cellStyle name="Note 2 2 2 4 2 2" xfId="12975"/>
    <cellStyle name="Note 2 2 2 4 2_YL Capex Cashflow &amp; Dep" xfId="11151"/>
    <cellStyle name="Note 2 2 2 4 3" xfId="12297"/>
    <cellStyle name="Note 2 2 2 4_YL Capex Cashflow &amp; Dep" xfId="11152"/>
    <cellStyle name="Note 2 2 2 5" xfId="11446"/>
    <cellStyle name="Note 2 2 2_YL Capex Cashflow &amp; Dep" xfId="11157"/>
    <cellStyle name="Note 2 2 3" xfId="2230"/>
    <cellStyle name="Note 2 2 3 2" xfId="2231"/>
    <cellStyle name="Note 2 2 3 2 2" xfId="2232"/>
    <cellStyle name="Note 2 2 3 2 2 2" xfId="2233"/>
    <cellStyle name="Note 2 2 3 2 2 2 2" xfId="13010"/>
    <cellStyle name="Note 2 2 3 2 2 2_YL Capex Cashflow &amp; Dep" xfId="11147"/>
    <cellStyle name="Note 2 2 3 2 2 3" xfId="12207"/>
    <cellStyle name="Note 2 2 3 2 2_YL Capex Cashflow &amp; Dep" xfId="11148"/>
    <cellStyle name="Note 2 2 3 2 3" xfId="2234"/>
    <cellStyle name="Note 2 2 3 2 3 2" xfId="2235"/>
    <cellStyle name="Note 2 2 3 2 3 2 2" xfId="13224"/>
    <cellStyle name="Note 2 2 3 2 3 2_YL Capex Cashflow &amp; Dep" xfId="11145"/>
    <cellStyle name="Note 2 2 3 2 3 3" xfId="12736"/>
    <cellStyle name="Note 2 2 3 2 3_YL Capex Cashflow &amp; Dep" xfId="11146"/>
    <cellStyle name="Note 2 2 3 2 4" xfId="12037"/>
    <cellStyle name="Note 2 2 3 2_YL Capex Cashflow &amp; Dep" xfId="11149"/>
    <cellStyle name="Note 2 2 3 3" xfId="2236"/>
    <cellStyle name="Note 2 2 3 3 2" xfId="2237"/>
    <cellStyle name="Note 2 2 3 3 2 2" xfId="12999"/>
    <cellStyle name="Note 2 2 3 3 2_YL Capex Cashflow &amp; Dep" xfId="11143"/>
    <cellStyle name="Note 2 2 3 3 3" xfId="12130"/>
    <cellStyle name="Note 2 2 3 3_YL Capex Cashflow &amp; Dep" xfId="11144"/>
    <cellStyle name="Note 2 2 3 4" xfId="2238"/>
    <cellStyle name="Note 2 2 3 4 2" xfId="2239"/>
    <cellStyle name="Note 2 2 3 4 2 2" xfId="13089"/>
    <cellStyle name="Note 2 2 3 4 2_YL Capex Cashflow &amp; Dep" xfId="11380"/>
    <cellStyle name="Note 2 2 3 4 3" xfId="12508"/>
    <cellStyle name="Note 2 2 3 4_YL Capex Cashflow &amp; Dep" xfId="11142"/>
    <cellStyle name="Note 2 2 3 5" xfId="11798"/>
    <cellStyle name="Note 2 2 3_YL Capex Cashflow &amp; Dep" xfId="11150"/>
    <cellStyle name="Note 2 2 4" xfId="2240"/>
    <cellStyle name="Note 2 2 4 2" xfId="2241"/>
    <cellStyle name="Note 2 2 4 2 2" xfId="2242"/>
    <cellStyle name="Note 2 2 4 2 2 2" xfId="12906"/>
    <cellStyle name="Note 2 2 4 2 2_YL Capex Cashflow &amp; Dep" xfId="10930"/>
    <cellStyle name="Note 2 2 4 2 3" xfId="12150"/>
    <cellStyle name="Note 2 2 4 2_YL Capex Cashflow &amp; Dep" xfId="11379"/>
    <cellStyle name="Note 2 2 4 3" xfId="2243"/>
    <cellStyle name="Note 2 2 4 3 2" xfId="2244"/>
    <cellStyle name="Note 2 2 4 3 2 2" xfId="13115"/>
    <cellStyle name="Note 2 2 4 3 2_YL Capex Cashflow &amp; Dep" xfId="10929"/>
    <cellStyle name="Note 2 2 4 3 3" xfId="12531"/>
    <cellStyle name="Note 2 2 4 3_YL Capex Cashflow &amp; Dep" xfId="11378"/>
    <cellStyle name="Note 2 2 4 4" xfId="11832"/>
    <cellStyle name="Note 2 2 4_YL Capex Cashflow &amp; Dep" xfId="10931"/>
    <cellStyle name="Note 2 2 5" xfId="2245"/>
    <cellStyle name="Note 2 2 5 2" xfId="2246"/>
    <cellStyle name="Note 2 2 5 2 2" xfId="12845"/>
    <cellStyle name="Note 2 2 5 2_YL Capex Cashflow &amp; Dep" xfId="10928"/>
    <cellStyle name="Note 2 2 5 3" xfId="11528"/>
    <cellStyle name="Note 2 2 5_YL Capex Cashflow &amp; Dep" xfId="11377"/>
    <cellStyle name="Note 2 2 6" xfId="2247"/>
    <cellStyle name="Note 2 2 6 2" xfId="2248"/>
    <cellStyle name="Note 2 2 6 2 2" xfId="12953"/>
    <cellStyle name="Note 2 2 6 2_YL Capex Cashflow &amp; Dep" xfId="10927"/>
    <cellStyle name="Note 2 2 6 3" xfId="12263"/>
    <cellStyle name="Note 2 2 6_YL Capex Cashflow &amp; Dep" xfId="11376"/>
    <cellStyle name="Note 2 2 7" xfId="2249"/>
    <cellStyle name="Note 2 2 7 2" xfId="12775"/>
    <cellStyle name="Note 2 2 7_YL Capex Cashflow &amp; Dep" xfId="11375"/>
    <cellStyle name="Note 2 2 8" xfId="11401"/>
    <cellStyle name="Note 2 2_YL Capex Cashflow &amp; Dep" xfId="11158"/>
    <cellStyle name="Note 2 3" xfId="2250"/>
    <cellStyle name="Note 2 3 2" xfId="2251"/>
    <cellStyle name="Note 2 3 2 2" xfId="2252"/>
    <cellStyle name="Note 2 3 2 2 2" xfId="2253"/>
    <cellStyle name="Note 2 3 2 2 2 2" xfId="13009"/>
    <cellStyle name="Note 2 3 2 2 2_YL Capex Cashflow &amp; Dep" xfId="10925"/>
    <cellStyle name="Note 2 3 2 2 3" xfId="12156"/>
    <cellStyle name="Note 2 3 2 2_YL Capex Cashflow &amp; Dep" xfId="11374"/>
    <cellStyle name="Note 2 3 2 3" xfId="2254"/>
    <cellStyle name="Note 2 3 2 3 2" xfId="2255"/>
    <cellStyle name="Note 2 3 2 3 2 2" xfId="13121"/>
    <cellStyle name="Note 2 3 2 3 2_YL Capex Cashflow &amp; Dep" xfId="10924"/>
    <cellStyle name="Note 2 3 2 3 3" xfId="12535"/>
    <cellStyle name="Note 2 3 2 3_YL Capex Cashflow &amp; Dep" xfId="11373"/>
    <cellStyle name="Note 2 3 2 4" xfId="11840"/>
    <cellStyle name="Note 2 3 2_YL Capex Cashflow &amp; Dep" xfId="11141"/>
    <cellStyle name="Note 2 3 3" xfId="2256"/>
    <cellStyle name="Note 2 3 3 2" xfId="2257"/>
    <cellStyle name="Note 2 3 3 2 2" xfId="13016"/>
    <cellStyle name="Note 2 3 3 2_YL Capex Cashflow &amp; Dep" xfId="10923"/>
    <cellStyle name="Note 2 3 3 3" xfId="12057"/>
    <cellStyle name="Note 2 3 3_YL Capex Cashflow &amp; Dep" xfId="11372"/>
    <cellStyle name="Note 2 3 4" xfId="2258"/>
    <cellStyle name="Note 2 3 4 2" xfId="2259"/>
    <cellStyle name="Note 2 3 4 2 2" xfId="12959"/>
    <cellStyle name="Note 2 3 4 2_YL Capex Cashflow &amp; Dep" xfId="10922"/>
    <cellStyle name="Note 2 3 4 3" xfId="12268"/>
    <cellStyle name="Note 2 3 4_YL Capex Cashflow &amp; Dep" xfId="11371"/>
    <cellStyle name="Note 2 3 5" xfId="11447"/>
    <cellStyle name="Note 2 3_YL Capex Cashflow &amp; Dep" xfId="10926"/>
    <cellStyle name="Note 2 4" xfId="2260"/>
    <cellStyle name="Note 2 4 2" xfId="2261"/>
    <cellStyle name="Note 2 4 2 2" xfId="2262"/>
    <cellStyle name="Note 2 4 2 2 2" xfId="2263"/>
    <cellStyle name="Note 2 4 2 2 2 2" xfId="12819"/>
    <cellStyle name="Note 2 4 2 2 2_YL Capex Cashflow &amp; Dep" xfId="10920"/>
    <cellStyle name="Note 2 4 2 2 3" xfId="12188"/>
    <cellStyle name="Note 2 4 2 2_YL Capex Cashflow &amp; Dep" xfId="11369"/>
    <cellStyle name="Note 2 4 2 3" xfId="2264"/>
    <cellStyle name="Note 2 4 2 3 2" xfId="2265"/>
    <cellStyle name="Note 2 4 2 3 2 2" xfId="13199"/>
    <cellStyle name="Note 2 4 2 3 2_YL Capex Cashflow &amp; Dep" xfId="10919"/>
    <cellStyle name="Note 2 4 2 3 3" xfId="12716"/>
    <cellStyle name="Note 2 4 2 3_YL Capex Cashflow &amp; Dep" xfId="11368"/>
    <cellStyle name="Note 2 4 2 4" xfId="12017"/>
    <cellStyle name="Note 2 4 2_YL Capex Cashflow &amp; Dep" xfId="10921"/>
    <cellStyle name="Note 2 4 3" xfId="2266"/>
    <cellStyle name="Note 2 4 3 2" xfId="2267"/>
    <cellStyle name="Note 2 4 3 2 2" xfId="12758"/>
    <cellStyle name="Note 2 4 3 2_YL Capex Cashflow &amp; Dep" xfId="11367"/>
    <cellStyle name="Note 2 4 3 3" xfId="12105"/>
    <cellStyle name="Note 2 4 3_YL Capex Cashflow &amp; Dep" xfId="10988"/>
    <cellStyle name="Note 2 4 4" xfId="2268"/>
    <cellStyle name="Note 2 4 4 2" xfId="2269"/>
    <cellStyle name="Note 2 4 4 2 2" xfId="13060"/>
    <cellStyle name="Note 2 4 4 2_YL Capex Cashflow &amp; Dep" xfId="11366"/>
    <cellStyle name="Note 2 4 4 3" xfId="12482"/>
    <cellStyle name="Note 2 4 4_YL Capex Cashflow &amp; Dep" xfId="10918"/>
    <cellStyle name="Note 2 4 5" xfId="11766"/>
    <cellStyle name="Note 2 4_YL Capex Cashflow &amp; Dep" xfId="11370"/>
    <cellStyle name="Note 2 5" xfId="2270"/>
    <cellStyle name="Note 2 5 2" xfId="2271"/>
    <cellStyle name="Note 2 5 2 2" xfId="2272"/>
    <cellStyle name="Note 2 5 2 2 2" xfId="2273"/>
    <cellStyle name="Note 2 5 2 2 2 2" xfId="12861"/>
    <cellStyle name="Note 2 5 2 2 2_YL Capex Cashflow &amp; Dep" xfId="10916"/>
    <cellStyle name="Note 2 5 2 2 3" xfId="12193"/>
    <cellStyle name="Note 2 5 2 2_YL Capex Cashflow &amp; Dep" xfId="11365"/>
    <cellStyle name="Note 2 5 2 3" xfId="2274"/>
    <cellStyle name="Note 2 5 2 3 2" xfId="2275"/>
    <cellStyle name="Note 2 5 2 3 2 2" xfId="13209"/>
    <cellStyle name="Note 2 5 2 3 2_YL Capex Cashflow &amp; Dep" xfId="10915"/>
    <cellStyle name="Note 2 5 2 3 3" xfId="12723"/>
    <cellStyle name="Note 2 5 2 3_YL Capex Cashflow &amp; Dep" xfId="11364"/>
    <cellStyle name="Note 2 5 2 4" xfId="12023"/>
    <cellStyle name="Note 2 5 2_YL Capex Cashflow &amp; Dep" xfId="10986"/>
    <cellStyle name="Note 2 5 3" xfId="2276"/>
    <cellStyle name="Note 2 5 3 2" xfId="2277"/>
    <cellStyle name="Note 2 5 3 2 2" xfId="13014"/>
    <cellStyle name="Note 2 5 3 2_YL Capex Cashflow &amp; Dep" xfId="10914"/>
    <cellStyle name="Note 2 5 3 3" xfId="12116"/>
    <cellStyle name="Note 2 5 3_YL Capex Cashflow &amp; Dep" xfId="11363"/>
    <cellStyle name="Note 2 5 4" xfId="2278"/>
    <cellStyle name="Note 2 5 4 2" xfId="2279"/>
    <cellStyle name="Note 2 5 4 2 2" xfId="13074"/>
    <cellStyle name="Note 2 5 4 2_YL Capex Cashflow &amp; Dep" xfId="11139"/>
    <cellStyle name="Note 2 5 4 3" xfId="12491"/>
    <cellStyle name="Note 2 5 4_YL Capex Cashflow &amp; Dep" xfId="11140"/>
    <cellStyle name="Note 2 5 5" xfId="11780"/>
    <cellStyle name="Note 2 5_YL Capex Cashflow &amp; Dep" xfId="10917"/>
    <cellStyle name="Note 2 6" xfId="2280"/>
    <cellStyle name="Note 2 6 2" xfId="2281"/>
    <cellStyle name="Note 2 6 2 2" xfId="2282"/>
    <cellStyle name="Note 2 6 2 2 2" xfId="12989"/>
    <cellStyle name="Note 2 6 2 2_YL Capex Cashflow &amp; Dep" xfId="11136"/>
    <cellStyle name="Note 2 6 2 3" xfId="12137"/>
    <cellStyle name="Note 2 6 2_YL Capex Cashflow &amp; Dep" xfId="11137"/>
    <cellStyle name="Note 2 6 3" xfId="2283"/>
    <cellStyle name="Note 2 6 3 2" xfId="2284"/>
    <cellStyle name="Note 2 6 3 2 2" xfId="13099"/>
    <cellStyle name="Note 2 6 3 2_YL Capex Cashflow &amp; Dep" xfId="11134"/>
    <cellStyle name="Note 2 6 3 3" xfId="12516"/>
    <cellStyle name="Note 2 6 3_YL Capex Cashflow &amp; Dep" xfId="11135"/>
    <cellStyle name="Note 2 6 4" xfId="11810"/>
    <cellStyle name="Note 2 6_YL Capex Cashflow &amp; Dep" xfId="11138"/>
    <cellStyle name="Note 2 7" xfId="2285"/>
    <cellStyle name="Note 2 7 2" xfId="2286"/>
    <cellStyle name="Note 2 7 2 2" xfId="12803"/>
    <cellStyle name="Note 2 7 2_YL Capex Cashflow &amp; Dep" xfId="11362"/>
    <cellStyle name="Note 2 7 3" xfId="11546"/>
    <cellStyle name="Note 2 7_YL Capex Cashflow &amp; Dep" xfId="11133"/>
    <cellStyle name="Note 2 8" xfId="2287"/>
    <cellStyle name="Note 2 8 2" xfId="2288"/>
    <cellStyle name="Note 2 8 2 2" xfId="12928"/>
    <cellStyle name="Note 2 8 2_YL Capex Cashflow &amp; Dep" xfId="10987"/>
    <cellStyle name="Note 2 8 3" xfId="12224"/>
    <cellStyle name="Note 2 8_YL Capex Cashflow &amp; Dep" xfId="10913"/>
    <cellStyle name="Note 2 9" xfId="2289"/>
    <cellStyle name="Note 2 9 2" xfId="12916"/>
    <cellStyle name="Note 2 9_YL Capex Cashflow &amp; Dep" xfId="11361"/>
    <cellStyle name="Note 2_YL Capex Cashflow &amp; Dep" xfId="11159"/>
    <cellStyle name="Note 3" xfId="2290"/>
    <cellStyle name="Note 3 2" xfId="2291"/>
    <cellStyle name="Note 3 2 2" xfId="2292"/>
    <cellStyle name="Note 3 2 2 2" xfId="2293"/>
    <cellStyle name="Note 3 2 2 2 2" xfId="2294"/>
    <cellStyle name="Note 3 2 2 2 2 2" xfId="12812"/>
    <cellStyle name="Note 3 2 2 2 2_YL Capex Cashflow &amp; Dep" xfId="10910"/>
    <cellStyle name="Note 3 2 2 2 3" xfId="12160"/>
    <cellStyle name="Note 3 2 2 2_YL Capex Cashflow &amp; Dep" xfId="11359"/>
    <cellStyle name="Note 3 2 2 3" xfId="2295"/>
    <cellStyle name="Note 3 2 2 3 2" xfId="2296"/>
    <cellStyle name="Note 3 2 2 3 2 2" xfId="13131"/>
    <cellStyle name="Note 3 2 2 3 2_YL Capex Cashflow &amp; Dep" xfId="10909"/>
    <cellStyle name="Note 3 2 2 3 3" xfId="12561"/>
    <cellStyle name="Note 3 2 2 3_YL Capex Cashflow &amp; Dep" xfId="11358"/>
    <cellStyle name="Note 3 2 2 4" xfId="11866"/>
    <cellStyle name="Note 3 2 2_YL Capex Cashflow &amp; Dep" xfId="10911"/>
    <cellStyle name="Note 3 2 3" xfId="2297"/>
    <cellStyle name="Note 3 2 3 2" xfId="2298"/>
    <cellStyle name="Note 3 2 3 2 2" xfId="12792"/>
    <cellStyle name="Note 3 2 3 2_YL Capex Cashflow &amp; Dep" xfId="10908"/>
    <cellStyle name="Note 3 2 3 3" xfId="12061"/>
    <cellStyle name="Note 3 2 3_YL Capex Cashflow &amp; Dep" xfId="11357"/>
    <cellStyle name="Note 3 2 4" xfId="2299"/>
    <cellStyle name="Note 3 2 4 2" xfId="2300"/>
    <cellStyle name="Note 3 2 4 2 2" xfId="12970"/>
    <cellStyle name="Note 3 2 4 2_YL Capex Cashflow &amp; Dep" xfId="11131"/>
    <cellStyle name="Note 3 2 4 3" xfId="12294"/>
    <cellStyle name="Note 3 2 4_YL Capex Cashflow &amp; Dep" xfId="11132"/>
    <cellStyle name="Note 3 2 5" xfId="11440"/>
    <cellStyle name="Note 3 2_YL Capex Cashflow &amp; Dep" xfId="11360"/>
    <cellStyle name="Note 3 3" xfId="2301"/>
    <cellStyle name="Note 3 3 2" xfId="2302"/>
    <cellStyle name="Note 3 3 2 2" xfId="2303"/>
    <cellStyle name="Note 3 3 2 2 2" xfId="2304"/>
    <cellStyle name="Note 3 3 2 2 2 2" xfId="12908"/>
    <cellStyle name="Note 3 3 2 2 2_YL Capex Cashflow &amp; Dep" xfId="11127"/>
    <cellStyle name="Note 3 3 2 2 3" xfId="12202"/>
    <cellStyle name="Note 3 3 2 2_YL Capex Cashflow &amp; Dep" xfId="11128"/>
    <cellStyle name="Note 3 3 2 3" xfId="2305"/>
    <cellStyle name="Note 3 3 2 3 2" xfId="2306"/>
    <cellStyle name="Note 3 3 2 3 2 2" xfId="13218"/>
    <cellStyle name="Note 3 3 2 3 2_YL Capex Cashflow &amp; Dep" xfId="11125"/>
    <cellStyle name="Note 3 3 2 3 3" xfId="12732"/>
    <cellStyle name="Note 3 3 2 3_YL Capex Cashflow &amp; Dep" xfId="11126"/>
    <cellStyle name="Note 3 3 2 4" xfId="12031"/>
    <cellStyle name="Note 3 3 2_YL Capex Cashflow &amp; Dep" xfId="11129"/>
    <cellStyle name="Note 3 3 3" xfId="2307"/>
    <cellStyle name="Note 3 3 3 2" xfId="2308"/>
    <cellStyle name="Note 3 3 3 2 2" xfId="13006"/>
    <cellStyle name="Note 3 3 3 2_YL Capex Cashflow &amp; Dep" xfId="11123"/>
    <cellStyle name="Note 3 3 3 3" xfId="12125"/>
    <cellStyle name="Note 3 3 3_YL Capex Cashflow &amp; Dep" xfId="11124"/>
    <cellStyle name="Note 3 3 4" xfId="2309"/>
    <cellStyle name="Note 3 3 4 2" xfId="2310"/>
    <cellStyle name="Note 3 3 4 2 2" xfId="13083"/>
    <cellStyle name="Note 3 3 4 2_YL Capex Cashflow &amp; Dep" xfId="11121"/>
    <cellStyle name="Note 3 3 4 3" xfId="12501"/>
    <cellStyle name="Note 3 3 4_YL Capex Cashflow &amp; Dep" xfId="11122"/>
    <cellStyle name="Note 3 3 5" xfId="11791"/>
    <cellStyle name="Note 3 3_YL Capex Cashflow &amp; Dep" xfId="11130"/>
    <cellStyle name="Note 3 4" xfId="2311"/>
    <cellStyle name="Note 3 4 2" xfId="2312"/>
    <cellStyle name="Note 3 4 2 2" xfId="2313"/>
    <cellStyle name="Note 3 4 2 2 2" xfId="13160"/>
    <cellStyle name="Note 3 4 2 2_YL Capex Cashflow &amp; Dep" xfId="11118"/>
    <cellStyle name="Note 3 4 2 3" xfId="12146"/>
    <cellStyle name="Note 3 4 2_YL Capex Cashflow &amp; Dep" xfId="11119"/>
    <cellStyle name="Note 3 4 3" xfId="2314"/>
    <cellStyle name="Note 3 4 3 2" xfId="2315"/>
    <cellStyle name="Note 3 4 3 2 2" xfId="13109"/>
    <cellStyle name="Note 3 4 3 2_YL Capex Cashflow &amp; Dep" xfId="11116"/>
    <cellStyle name="Note 3 4 3 3" xfId="12523"/>
    <cellStyle name="Note 3 4 3_YL Capex Cashflow &amp; Dep" xfId="11117"/>
    <cellStyle name="Note 3 4 4" xfId="11825"/>
    <cellStyle name="Note 3 4_YL Capex Cashflow &amp; Dep" xfId="11120"/>
    <cellStyle name="Note 3 5" xfId="2316"/>
    <cellStyle name="Note 3 5 2" xfId="2317"/>
    <cellStyle name="Note 3 5 2 2" xfId="12818"/>
    <cellStyle name="Note 3 5 2_YL Capex Cashflow &amp; Dep" xfId="11114"/>
    <cellStyle name="Note 3 5 3" xfId="11533"/>
    <cellStyle name="Note 3 5_YL Capex Cashflow &amp; Dep" xfId="11115"/>
    <cellStyle name="Note 3 6" xfId="2318"/>
    <cellStyle name="Note 3 6 2" xfId="2319"/>
    <cellStyle name="Note 3 6 2 2" xfId="12947"/>
    <cellStyle name="Note 3 6 2_YL Capex Cashflow &amp; Dep" xfId="11112"/>
    <cellStyle name="Note 3 6 3" xfId="12257"/>
    <cellStyle name="Note 3 6_YL Capex Cashflow &amp; Dep" xfId="11113"/>
    <cellStyle name="Note 3 7" xfId="2320"/>
    <cellStyle name="Note 3 7 2" xfId="12806"/>
    <cellStyle name="Note 3 7_YL Capex Cashflow &amp; Dep" xfId="11111"/>
    <cellStyle name="Note 3 8" xfId="11392"/>
    <cellStyle name="Note 3_YL Capex Cashflow &amp; Dep" xfId="10912"/>
    <cellStyle name="Number" xfId="2321"/>
    <cellStyle name="Ø›ŽÅ [0]_06" xfId="2322"/>
    <cellStyle name="Ø›ŽÅ[0]_cashflow" xfId="2323"/>
    <cellStyle name="Ø›ŽÅ_06" xfId="2324"/>
    <cellStyle name="Ò»°ã_ˆó±í¸½±í" xfId="2325"/>
    <cellStyle name="ØÅ [0]_06" xfId="2326"/>
    <cellStyle name="ØÅ[0]_cashflow" xfId="2327"/>
    <cellStyle name="ØÅ_06" xfId="2328"/>
    <cellStyle name="Œ…‹æØ‚è [0.00]_Region Orders (2)" xfId="2329"/>
    <cellStyle name="Œ…‹æØ‚è_Region Orders (2)" xfId="2330"/>
    <cellStyle name="øFòé_BS9701-3" xfId="2331"/>
    <cellStyle name="øj‚¾?_BS9701-3" xfId="2332"/>
    <cellStyle name="ºó¼Ì³¬¼¶Á´½Ó" xfId="2333"/>
    <cellStyle name="Output 2" xfId="2334"/>
    <cellStyle name="Output 2 2" xfId="2335"/>
    <cellStyle name="Output 2 2 2" xfId="2336"/>
    <cellStyle name="Output 2 2 2 2" xfId="2337"/>
    <cellStyle name="Output 2 2 2 2 2" xfId="2338"/>
    <cellStyle name="Output 2 2 2 2 2 2" xfId="2339"/>
    <cellStyle name="Output 2 2 2 2 2 2 2" xfId="13148"/>
    <cellStyle name="Output 2 2 2 2 2 2_YL Capex Cashflow &amp; Dep" xfId="11105"/>
    <cellStyle name="Output 2 2 2 2 2_YL Capex Cashflow &amp; Dep" xfId="11106"/>
    <cellStyle name="Output 2 2 2 2 3" xfId="2340"/>
    <cellStyle name="Output 2 2 2 2 3 2" xfId="2341"/>
    <cellStyle name="Output 2 2 2 2 3 2 2" xfId="13137"/>
    <cellStyle name="Output 2 2 2 2 3 2_YL Capex Cashflow &amp; Dep" xfId="11103"/>
    <cellStyle name="Output 2 2 2 2 3_YL Capex Cashflow &amp; Dep" xfId="11104"/>
    <cellStyle name="Output 2 2 2 2_YL Capex Cashflow &amp; Dep" xfId="11107"/>
    <cellStyle name="Output 2 2 2 3" xfId="2342"/>
    <cellStyle name="Output 2 2 2 3 2" xfId="2343"/>
    <cellStyle name="Output 2 2 2 3 2 2" xfId="12847"/>
    <cellStyle name="Output 2 2 2 3 2_YL Capex Cashflow &amp; Dep" xfId="11101"/>
    <cellStyle name="Output 2 2 2 3_YL Capex Cashflow &amp; Dep" xfId="11102"/>
    <cellStyle name="Output 2 2 2 4" xfId="2344"/>
    <cellStyle name="Output 2 2 2 4 2" xfId="2345"/>
    <cellStyle name="Output 2 2 2 4 2 2" xfId="12976"/>
    <cellStyle name="Output 2 2 2 4 2_YL Capex Cashflow &amp; Dep" xfId="11099"/>
    <cellStyle name="Output 2 2 2 4_YL Capex Cashflow &amp; Dep" xfId="11100"/>
    <cellStyle name="Output 2 2 2_YL Capex Cashflow &amp; Dep" xfId="11108"/>
    <cellStyle name="Output 2 2 3" xfId="2346"/>
    <cellStyle name="Output 2 2 3 2" xfId="2347"/>
    <cellStyle name="Output 2 2 3 2 2" xfId="2348"/>
    <cellStyle name="Output 2 2 3 2 2 2" xfId="2349"/>
    <cellStyle name="Output 2 2 3 2 2 2 2" xfId="12849"/>
    <cellStyle name="Output 2 2 3 2 2 2_YL Capex Cashflow &amp; Dep" xfId="11095"/>
    <cellStyle name="Output 2 2 3 2 2_YL Capex Cashflow &amp; Dep" xfId="11096"/>
    <cellStyle name="Output 2 2 3 2 3" xfId="2350"/>
    <cellStyle name="Output 2 2 3 2 3 2" xfId="2351"/>
    <cellStyle name="Output 2 2 3 2 3 2 2" xfId="13225"/>
    <cellStyle name="Output 2 2 3 2 3 2_YL Capex Cashflow &amp; Dep" xfId="11093"/>
    <cellStyle name="Output 2 2 3 2 3_YL Capex Cashflow &amp; Dep" xfId="11094"/>
    <cellStyle name="Output 2 2 3 2_YL Capex Cashflow &amp; Dep" xfId="11097"/>
    <cellStyle name="Output 2 2 3 3" xfId="2352"/>
    <cellStyle name="Output 2 2 3 3 2" xfId="2353"/>
    <cellStyle name="Output 2 2 3 3 2 2" xfId="13157"/>
    <cellStyle name="Output 2 2 3 3 2_YL Capex Cashflow &amp; Dep" xfId="11091"/>
    <cellStyle name="Output 2 2 3 3_YL Capex Cashflow &amp; Dep" xfId="11092"/>
    <cellStyle name="Output 2 2 3 4" xfId="2354"/>
    <cellStyle name="Output 2 2 3 4 2" xfId="2355"/>
    <cellStyle name="Output 2 2 3 4 2 2" xfId="13090"/>
    <cellStyle name="Output 2 2 3 4 2_YL Capex Cashflow &amp; Dep" xfId="11089"/>
    <cellStyle name="Output 2 2 3 4_YL Capex Cashflow &amp; Dep" xfId="11090"/>
    <cellStyle name="Output 2 2 3_YL Capex Cashflow &amp; Dep" xfId="11098"/>
    <cellStyle name="Output 2 2 4" xfId="2356"/>
    <cellStyle name="Output 2 2 4 2" xfId="2357"/>
    <cellStyle name="Output 2 2 4 2 2" xfId="2358"/>
    <cellStyle name="Output 2 2 4 2 2 2" xfId="12793"/>
    <cellStyle name="Output 2 2 4 2 2_YL Capex Cashflow &amp; Dep" xfId="11086"/>
    <cellStyle name="Output 2 2 4 2_YL Capex Cashflow &amp; Dep" xfId="11087"/>
    <cellStyle name="Output 2 2 4 3" xfId="2359"/>
    <cellStyle name="Output 2 2 4 3 2" xfId="2360"/>
    <cellStyle name="Output 2 2 4 3 2 2" xfId="13116"/>
    <cellStyle name="Output 2 2 4 3 2_YL Capex Cashflow &amp; Dep" xfId="11084"/>
    <cellStyle name="Output 2 2 4 3_YL Capex Cashflow &amp; Dep" xfId="11085"/>
    <cellStyle name="Output 2 2 4_YL Capex Cashflow &amp; Dep" xfId="11088"/>
    <cellStyle name="Output 2 2 5" xfId="2361"/>
    <cellStyle name="Output 2 2 5 2" xfId="2362"/>
    <cellStyle name="Output 2 2 5 2 2" xfId="13001"/>
    <cellStyle name="Output 2 2 5 2_YL Capex Cashflow &amp; Dep" xfId="11082"/>
    <cellStyle name="Output 2 2 5_YL Capex Cashflow &amp; Dep" xfId="11083"/>
    <cellStyle name="Output 2 2 6" xfId="2363"/>
    <cellStyle name="Output 2 2 6 2" xfId="2364"/>
    <cellStyle name="Output 2 2 6 2 2" xfId="12954"/>
    <cellStyle name="Output 2 2 6 2_YL Capex Cashflow &amp; Dep" xfId="11080"/>
    <cellStyle name="Output 2 2 6_YL Capex Cashflow &amp; Dep" xfId="11081"/>
    <cellStyle name="Output 2 2 7" xfId="2365"/>
    <cellStyle name="Output 2 2 7 2" xfId="12921"/>
    <cellStyle name="Output 2 2 7_YL Capex Cashflow &amp; Dep" xfId="11079"/>
    <cellStyle name="Output 2 2_YL Capex Cashflow &amp; Dep" xfId="11109"/>
    <cellStyle name="Output 2 3" xfId="2366"/>
    <cellStyle name="Output 2 3 2" xfId="2367"/>
    <cellStyle name="Output 2 3 2 2" xfId="2368"/>
    <cellStyle name="Output 2 3 2 2 2" xfId="2369"/>
    <cellStyle name="Output 2 3 2 2 2 2" xfId="13034"/>
    <cellStyle name="Output 2 3 2 2 2_YL Capex Cashflow &amp; Dep" xfId="11075"/>
    <cellStyle name="Output 2 3 2 2_YL Capex Cashflow &amp; Dep" xfId="11076"/>
    <cellStyle name="Output 2 3 2 3" xfId="2370"/>
    <cellStyle name="Output 2 3 2 3 2" xfId="2371"/>
    <cellStyle name="Output 2 3 2 3 2 2" xfId="13140"/>
    <cellStyle name="Output 2 3 2 3 2_YL Capex Cashflow &amp; Dep" xfId="11073"/>
    <cellStyle name="Output 2 3 2 3_YL Capex Cashflow &amp; Dep" xfId="11074"/>
    <cellStyle name="Output 2 3 2_YL Capex Cashflow &amp; Dep" xfId="11077"/>
    <cellStyle name="Output 2 3 3" xfId="2372"/>
    <cellStyle name="Output 2 3 3 2" xfId="2373"/>
    <cellStyle name="Output 2 3 3 2 2" xfId="12811"/>
    <cellStyle name="Output 2 3 3 2_YL Capex Cashflow &amp; Dep" xfId="11071"/>
    <cellStyle name="Output 2 3 3_YL Capex Cashflow &amp; Dep" xfId="11072"/>
    <cellStyle name="Output 2 3 4" xfId="2374"/>
    <cellStyle name="Output 2 3 4 2" xfId="2375"/>
    <cellStyle name="Output 2 3 4 2 2" xfId="12979"/>
    <cellStyle name="Output 2 3 4 2_YL Capex Cashflow &amp; Dep" xfId="11069"/>
    <cellStyle name="Output 2 3 4_YL Capex Cashflow &amp; Dep" xfId="11070"/>
    <cellStyle name="Output 2 3_YL Capex Cashflow &amp; Dep" xfId="11078"/>
    <cellStyle name="Output 2 4" xfId="2376"/>
    <cellStyle name="Output 2 4 2" xfId="2377"/>
    <cellStyle name="Output 2 4 2 2" xfId="2378"/>
    <cellStyle name="Output 2 4 2 2 2" xfId="2379"/>
    <cellStyle name="Output 2 4 2 2 2 2" xfId="13054"/>
    <cellStyle name="Output 2 4 2 2 2_YL Capex Cashflow &amp; Dep" xfId="13455"/>
    <cellStyle name="Output 2 4 2 2_YL Capex Cashflow &amp; Dep" xfId="13454"/>
    <cellStyle name="Output 2 4 2 3" xfId="2380"/>
    <cellStyle name="Output 2 4 2 3 2" xfId="2381"/>
    <cellStyle name="Output 2 4 2 3 2 2" xfId="13200"/>
    <cellStyle name="Output 2 4 2 3 2_YL Capex Cashflow &amp; Dep" xfId="13457"/>
    <cellStyle name="Output 2 4 2 3_YL Capex Cashflow &amp; Dep" xfId="13456"/>
    <cellStyle name="Output 2 4 2_YL Capex Cashflow &amp; Dep" xfId="11067"/>
    <cellStyle name="Output 2 4 3" xfId="2382"/>
    <cellStyle name="Output 2 4 3 2" xfId="2383"/>
    <cellStyle name="Output 2 4 3 2 2" xfId="12986"/>
    <cellStyle name="Output 2 4 3 2_YL Capex Cashflow &amp; Dep" xfId="13459"/>
    <cellStyle name="Output 2 4 3_YL Capex Cashflow &amp; Dep" xfId="13458"/>
    <cellStyle name="Output 2 4 4" xfId="2384"/>
    <cellStyle name="Output 2 4 4 2" xfId="2385"/>
    <cellStyle name="Output 2 4 4 2 2" xfId="13061"/>
    <cellStyle name="Output 2 4 4 2_YL Capex Cashflow &amp; Dep" xfId="13461"/>
    <cellStyle name="Output 2 4 4_YL Capex Cashflow &amp; Dep" xfId="13460"/>
    <cellStyle name="Output 2 4_YL Capex Cashflow &amp; Dep" xfId="11068"/>
    <cellStyle name="Output 2 5" xfId="2386"/>
    <cellStyle name="Output 2 5 2" xfId="2387"/>
    <cellStyle name="Output 2 5 2 2" xfId="2388"/>
    <cellStyle name="Output 2 5 2 2 2" xfId="2389"/>
    <cellStyle name="Output 2 5 2 2 2 2" xfId="12914"/>
    <cellStyle name="Output 2 5 2 2 2_YL Capex Cashflow &amp; Dep" xfId="13465"/>
    <cellStyle name="Output 2 5 2 2_YL Capex Cashflow &amp; Dep" xfId="13464"/>
    <cellStyle name="Output 2 5 2 3" xfId="2390"/>
    <cellStyle name="Output 2 5 2 3 2" xfId="2391"/>
    <cellStyle name="Output 2 5 2 3 2 2" xfId="13208"/>
    <cellStyle name="Output 2 5 2 3 2_YL Capex Cashflow &amp; Dep" xfId="13467"/>
    <cellStyle name="Output 2 5 2 3_YL Capex Cashflow &amp; Dep" xfId="13466"/>
    <cellStyle name="Output 2 5 2_YL Capex Cashflow &amp; Dep" xfId="13463"/>
    <cellStyle name="Output 2 5 3" xfId="2392"/>
    <cellStyle name="Output 2 5 3 2" xfId="2393"/>
    <cellStyle name="Output 2 5 3 2 2" xfId="12799"/>
    <cellStyle name="Output 2 5 3 2_YL Capex Cashflow &amp; Dep" xfId="13469"/>
    <cellStyle name="Output 2 5 3_YL Capex Cashflow &amp; Dep" xfId="13468"/>
    <cellStyle name="Output 2 5 4" xfId="2394"/>
    <cellStyle name="Output 2 5 4 2" xfId="2395"/>
    <cellStyle name="Output 2 5 4 2 2" xfId="13073"/>
    <cellStyle name="Output 2 5 4 2_YL Capex Cashflow &amp; Dep" xfId="13471"/>
    <cellStyle name="Output 2 5 4_YL Capex Cashflow &amp; Dep" xfId="13470"/>
    <cellStyle name="Output 2 5_YL Capex Cashflow &amp; Dep" xfId="13462"/>
    <cellStyle name="Output 2 6" xfId="2396"/>
    <cellStyle name="Output 2 6 2" xfId="2397"/>
    <cellStyle name="Output 2 6 2 2" xfId="2398"/>
    <cellStyle name="Output 2 6 2 2 2" xfId="13149"/>
    <cellStyle name="Output 2 6 2 2_YL Capex Cashflow &amp; Dep" xfId="13474"/>
    <cellStyle name="Output 2 6 2_YL Capex Cashflow &amp; Dep" xfId="13473"/>
    <cellStyle name="Output 2 6 3" xfId="2399"/>
    <cellStyle name="Output 2 6 3 2" xfId="2400"/>
    <cellStyle name="Output 2 6 3 2 2" xfId="13100"/>
    <cellStyle name="Output 2 6 3 2_YL Capex Cashflow &amp; Dep" xfId="13476"/>
    <cellStyle name="Output 2 6 3_YL Capex Cashflow &amp; Dep" xfId="13475"/>
    <cellStyle name="Output 2 6_YL Capex Cashflow &amp; Dep" xfId="13472"/>
    <cellStyle name="Output 2 7" xfId="2401"/>
    <cellStyle name="Output 2 7 2" xfId="2402"/>
    <cellStyle name="Output 2 7 2 2" xfId="12891"/>
    <cellStyle name="Output 2 7 2_YL Capex Cashflow &amp; Dep" xfId="13478"/>
    <cellStyle name="Output 2 7_YL Capex Cashflow &amp; Dep" xfId="13477"/>
    <cellStyle name="Output 2 8" xfId="2403"/>
    <cellStyle name="Output 2 8 2" xfId="2404"/>
    <cellStyle name="Output 2 8 2 2" xfId="12929"/>
    <cellStyle name="Output 2 8 2_YL Capex Cashflow &amp; Dep" xfId="13480"/>
    <cellStyle name="Output 2 8_YL Capex Cashflow &amp; Dep" xfId="13479"/>
    <cellStyle name="Output 2 9" xfId="2405"/>
    <cellStyle name="Output 2 9 2" xfId="13192"/>
    <cellStyle name="Output 2 9_YL Capex Cashflow &amp; Dep" xfId="13481"/>
    <cellStyle name="Output 2_YL Capex Cashflow &amp; Dep" xfId="11110"/>
    <cellStyle name="Output 3" xfId="2406"/>
    <cellStyle name="Output 3 2" xfId="2407"/>
    <cellStyle name="Output 3 2 2" xfId="2408"/>
    <cellStyle name="Output 3 2 2 2" xfId="2409"/>
    <cellStyle name="Output 3 2 2 2 2" xfId="2410"/>
    <cellStyle name="Output 3 2 2 2 2 2" xfId="12771"/>
    <cellStyle name="Output 3 2 2 2 2_YL Capex Cashflow &amp; Dep" xfId="13486"/>
    <cellStyle name="Output 3 2 2 2_YL Capex Cashflow &amp; Dep" xfId="13485"/>
    <cellStyle name="Output 3 2 2 3" xfId="2411"/>
    <cellStyle name="Output 3 2 2 3 2" xfId="2412"/>
    <cellStyle name="Output 3 2 2 3 2 2" xfId="13132"/>
    <cellStyle name="Output 3 2 2 3 2_YL Capex Cashflow &amp; Dep" xfId="13488"/>
    <cellStyle name="Output 3 2 2 3_YL Capex Cashflow &amp; Dep" xfId="13487"/>
    <cellStyle name="Output 3 2 2_YL Capex Cashflow &amp; Dep" xfId="13484"/>
    <cellStyle name="Output 3 2 3" xfId="2413"/>
    <cellStyle name="Output 3 2 3 2" xfId="2414"/>
    <cellStyle name="Output 3 2 3 2 2" xfId="12964"/>
    <cellStyle name="Output 3 2 3 2_YL Capex Cashflow &amp; Dep" xfId="13490"/>
    <cellStyle name="Output 3 2 3_YL Capex Cashflow &amp; Dep" xfId="13489"/>
    <cellStyle name="Output 3 2 4" xfId="2415"/>
    <cellStyle name="Output 3 2 4 2" xfId="2416"/>
    <cellStyle name="Output 3 2 4 2 2" xfId="12971"/>
    <cellStyle name="Output 3 2 4 2_YL Capex Cashflow &amp; Dep" xfId="13492"/>
    <cellStyle name="Output 3 2 4_YL Capex Cashflow &amp; Dep" xfId="13491"/>
    <cellStyle name="Output 3 2_YL Capex Cashflow &amp; Dep" xfId="13483"/>
    <cellStyle name="Output 3 3" xfId="2417"/>
    <cellStyle name="Output 3 3 2" xfId="2418"/>
    <cellStyle name="Output 3 3 2 2" xfId="2419"/>
    <cellStyle name="Output 3 3 2 2 2" xfId="2420"/>
    <cellStyle name="Output 3 3 2 2 2 2" xfId="12794"/>
    <cellStyle name="Output 3 3 2 2 2_YL Capex Cashflow &amp; Dep" xfId="13496"/>
    <cellStyle name="Output 3 3 2 2_YL Capex Cashflow &amp; Dep" xfId="13495"/>
    <cellStyle name="Output 3 3 2 3" xfId="2421"/>
    <cellStyle name="Output 3 3 2 3 2" xfId="2422"/>
    <cellStyle name="Output 3 3 2 3 2 2" xfId="13219"/>
    <cellStyle name="Output 3 3 2 3 2_YL Capex Cashflow &amp; Dep" xfId="13498"/>
    <cellStyle name="Output 3 3 2 3_YL Capex Cashflow &amp; Dep" xfId="13497"/>
    <cellStyle name="Output 3 3 2_YL Capex Cashflow &amp; Dep" xfId="13494"/>
    <cellStyle name="Output 3 3 3" xfId="2423"/>
    <cellStyle name="Output 3 3 3 2" xfId="2424"/>
    <cellStyle name="Output 3 3 3 2 2" xfId="12844"/>
    <cellStyle name="Output 3 3 3 2_YL Capex Cashflow &amp; Dep" xfId="13500"/>
    <cellStyle name="Output 3 3 3_YL Capex Cashflow &amp; Dep" xfId="13499"/>
    <cellStyle name="Output 3 3 4" xfId="2425"/>
    <cellStyle name="Output 3 3 4 2" xfId="2426"/>
    <cellStyle name="Output 3 3 4 2 2" xfId="13084"/>
    <cellStyle name="Output 3 3 4 2_YL Capex Cashflow &amp; Dep" xfId="13502"/>
    <cellStyle name="Output 3 3 4_YL Capex Cashflow &amp; Dep" xfId="13501"/>
    <cellStyle name="Output 3 3_YL Capex Cashflow &amp; Dep" xfId="13493"/>
    <cellStyle name="Output 3 4" xfId="2427"/>
    <cellStyle name="Output 3 4 2" xfId="2428"/>
    <cellStyle name="Output 3 4 2 2" xfId="2429"/>
    <cellStyle name="Output 3 4 2 2 2" xfId="12890"/>
    <cellStyle name="Output 3 4 2 2_YL Capex Cashflow &amp; Dep" xfId="13505"/>
    <cellStyle name="Output 3 4 2_YL Capex Cashflow &amp; Dep" xfId="13504"/>
    <cellStyle name="Output 3 4 3" xfId="2430"/>
    <cellStyle name="Output 3 4 3 2" xfId="2431"/>
    <cellStyle name="Output 3 4 3 2 2" xfId="13110"/>
    <cellStyle name="Output 3 4 3 2_YL Capex Cashflow &amp; Dep" xfId="13507"/>
    <cellStyle name="Output 3 4 3_YL Capex Cashflow &amp; Dep" xfId="13506"/>
    <cellStyle name="Output 3 4_YL Capex Cashflow &amp; Dep" xfId="13503"/>
    <cellStyle name="Output 3 5" xfId="2432"/>
    <cellStyle name="Output 3 5 2" xfId="2433"/>
    <cellStyle name="Output 3 5 2 2" xfId="12935"/>
    <cellStyle name="Output 3 5 2_YL Capex Cashflow &amp; Dep" xfId="13509"/>
    <cellStyle name="Output 3 5_YL Capex Cashflow &amp; Dep" xfId="13508"/>
    <cellStyle name="Output 3 6" xfId="2434"/>
    <cellStyle name="Output 3 6 2" xfId="2435"/>
    <cellStyle name="Output 3 6 2 2" xfId="12948"/>
    <cellStyle name="Output 3 6 2_YL Capex Cashflow &amp; Dep" xfId="13511"/>
    <cellStyle name="Output 3 6_YL Capex Cashflow &amp; Dep" xfId="13510"/>
    <cellStyle name="Output 3 7" xfId="2436"/>
    <cellStyle name="Output 3 7 2" xfId="12797"/>
    <cellStyle name="Output 3 7_YL Capex Cashflow &amp; Dep" xfId="13512"/>
    <cellStyle name="Output 3_YL Capex Cashflow &amp; Dep" xfId="13482"/>
    <cellStyle name="Output Amounts" xfId="2437"/>
    <cellStyle name="Page Number" xfId="2438"/>
    <cellStyle name="Para Head" xfId="2439"/>
    <cellStyle name="per.style" xfId="2440"/>
    <cellStyle name="Percent" xfId="1" builtinId="5"/>
    <cellStyle name="Percent (0)" xfId="2441"/>
    <cellStyle name="Percent [0]" xfId="2442"/>
    <cellStyle name="Percent [00]" xfId="2443"/>
    <cellStyle name="Percent [2]" xfId="2444"/>
    <cellStyle name="Percent 10" xfId="2445"/>
    <cellStyle name="Percent 10 2" xfId="33486"/>
    <cellStyle name="Percent 11" xfId="2446"/>
    <cellStyle name="Percent 11 2" xfId="6374"/>
    <cellStyle name="Percent 12" xfId="2447"/>
    <cellStyle name="Percent 13" xfId="2448"/>
    <cellStyle name="Percent 13 2" xfId="33487"/>
    <cellStyle name="Percent 14" xfId="2449"/>
    <cellStyle name="Percent 15" xfId="33488"/>
    <cellStyle name="Percent 16" xfId="33489"/>
    <cellStyle name="Percent 17" xfId="61998"/>
    <cellStyle name="Percent 18" xfId="62003"/>
    <cellStyle name="Percent 2" xfId="2450"/>
    <cellStyle name="Percent 2 2" xfId="2451"/>
    <cellStyle name="Percent 2 3" xfId="2452"/>
    <cellStyle name="Percent 2 3 2" xfId="2453"/>
    <cellStyle name="Percent 2 4" xfId="2454"/>
    <cellStyle name="Percent 2 4 2" xfId="2455"/>
    <cellStyle name="Percent 2 5" xfId="2456"/>
    <cellStyle name="Percent 2 6" xfId="2457"/>
    <cellStyle name="Percent 3" xfId="2458"/>
    <cellStyle name="Percent 3 2" xfId="2459"/>
    <cellStyle name="Percent 3 2 2" xfId="2460"/>
    <cellStyle name="Percent 3 3" xfId="6375"/>
    <cellStyle name="Percent 4" xfId="2461"/>
    <cellStyle name="Percent 4 2" xfId="2462"/>
    <cellStyle name="Percent 4 2 2" xfId="2463"/>
    <cellStyle name="Percent 4 3" xfId="2464"/>
    <cellStyle name="Percent 5" xfId="2465"/>
    <cellStyle name="Percent 5 2" xfId="2466"/>
    <cellStyle name="Percent 5 3" xfId="2467"/>
    <cellStyle name="Percent 5 4" xfId="2468"/>
    <cellStyle name="Percent 6" xfId="2469"/>
    <cellStyle name="Percent 7" xfId="2470"/>
    <cellStyle name="Percent 7 2" xfId="2471"/>
    <cellStyle name="Percent 8" xfId="2472"/>
    <cellStyle name="Percent 8 2" xfId="2473"/>
    <cellStyle name="Percent 9" xfId="2474"/>
    <cellStyle name="Percent 9 2" xfId="2475"/>
    <cellStyle name="PERCENTAGE" xfId="2476"/>
    <cellStyle name="PERCENTAGE 2" xfId="6376"/>
    <cellStyle name="PERCENTAGE 2 2" xfId="33490"/>
    <cellStyle name="PERCENTAGE 3" xfId="6377"/>
    <cellStyle name="PERCENTAGE 3 2" xfId="33491"/>
    <cellStyle name="PERCENTAGE 3 3" xfId="33492"/>
    <cellStyle name="PERCENTAGE 3 4" xfId="33493"/>
    <cellStyle name="PERCENTAGE 3 5" xfId="33494"/>
    <cellStyle name="PERCENTAGE 3 6" xfId="33495"/>
    <cellStyle name="PERCENTAGE 3 7" xfId="33496"/>
    <cellStyle name="PERCENTAGE 3 8" xfId="33497"/>
    <cellStyle name="PERCENTAGE 4" xfId="33498"/>
    <cellStyle name="Pourcentage_pldt" xfId="2477"/>
    <cellStyle name="Prefilled" xfId="2478"/>
    <cellStyle name="Prefilled 10" xfId="6378"/>
    <cellStyle name="Prefilled 10 10" xfId="33499"/>
    <cellStyle name="Prefilled 10 2" xfId="33500"/>
    <cellStyle name="Prefilled 10 3" xfId="33501"/>
    <cellStyle name="Prefilled 10 4" xfId="33502"/>
    <cellStyle name="Prefilled 10 5" xfId="33503"/>
    <cellStyle name="Prefilled 10 6" xfId="33504"/>
    <cellStyle name="Prefilled 10 7" xfId="33505"/>
    <cellStyle name="Prefilled 10 8" xfId="33506"/>
    <cellStyle name="Prefilled 10 9" xfId="33507"/>
    <cellStyle name="Prefilled 11" xfId="6379"/>
    <cellStyle name="Prefilled 11 2" xfId="33508"/>
    <cellStyle name="Prefilled 11 3" xfId="33509"/>
    <cellStyle name="Prefilled 11 4" xfId="33510"/>
    <cellStyle name="Prefilled 11 5" xfId="33511"/>
    <cellStyle name="Prefilled 11 6" xfId="33512"/>
    <cellStyle name="Prefilled 11 7" xfId="33513"/>
    <cellStyle name="Prefilled 12" xfId="6380"/>
    <cellStyle name="Prefilled 12 2" xfId="33514"/>
    <cellStyle name="Prefilled 12 3" xfId="33515"/>
    <cellStyle name="Prefilled 12 4" xfId="33516"/>
    <cellStyle name="Prefilled 12 5" xfId="33517"/>
    <cellStyle name="Prefilled 12 6" xfId="33518"/>
    <cellStyle name="Prefilled 12 7" xfId="33519"/>
    <cellStyle name="Prefilled 13" xfId="6381"/>
    <cellStyle name="Prefilled 13 2" xfId="33520"/>
    <cellStyle name="Prefilled 13 3" xfId="33521"/>
    <cellStyle name="Prefilled 13 4" xfId="33522"/>
    <cellStyle name="Prefilled 13 5" xfId="33523"/>
    <cellStyle name="Prefilled 13 6" xfId="33524"/>
    <cellStyle name="Prefilled 13 7" xfId="33525"/>
    <cellStyle name="Prefilled 14" xfId="6382"/>
    <cellStyle name="Prefilled 14 2" xfId="33526"/>
    <cellStyle name="Prefilled 14 3" xfId="33527"/>
    <cellStyle name="Prefilled 14 4" xfId="33528"/>
    <cellStyle name="Prefilled 14 5" xfId="33529"/>
    <cellStyle name="Prefilled 14 6" xfId="33530"/>
    <cellStyle name="Prefilled 14 7" xfId="33531"/>
    <cellStyle name="Prefilled 15" xfId="6383"/>
    <cellStyle name="Prefilled 15 2" xfId="33532"/>
    <cellStyle name="Prefilled 15 3" xfId="33533"/>
    <cellStyle name="Prefilled 15 4" xfId="33534"/>
    <cellStyle name="Prefilled 15 5" xfId="33535"/>
    <cellStyle name="Prefilled 15 6" xfId="33536"/>
    <cellStyle name="Prefilled 15 7" xfId="33537"/>
    <cellStyle name="Prefilled 16" xfId="6384"/>
    <cellStyle name="Prefilled 16 2" xfId="33538"/>
    <cellStyle name="Prefilled 16 3" xfId="33539"/>
    <cellStyle name="Prefilled 16 4" xfId="33540"/>
    <cellStyle name="Prefilled 16 5" xfId="33541"/>
    <cellStyle name="Prefilled 16 6" xfId="33542"/>
    <cellStyle name="Prefilled 16 7" xfId="33543"/>
    <cellStyle name="Prefilled 17" xfId="6385"/>
    <cellStyle name="Prefilled 17 2" xfId="33544"/>
    <cellStyle name="Prefilled 17 3" xfId="33545"/>
    <cellStyle name="Prefilled 17 4" xfId="33546"/>
    <cellStyle name="Prefilled 17 5" xfId="33547"/>
    <cellStyle name="Prefilled 17 6" xfId="33548"/>
    <cellStyle name="Prefilled 17 7" xfId="33549"/>
    <cellStyle name="Prefilled 18" xfId="6386"/>
    <cellStyle name="Prefilled 18 2" xfId="33550"/>
    <cellStyle name="Prefilled 18 3" xfId="33551"/>
    <cellStyle name="Prefilled 18 4" xfId="33552"/>
    <cellStyle name="Prefilled 18 5" xfId="33553"/>
    <cellStyle name="Prefilled 18 6" xfId="33554"/>
    <cellStyle name="Prefilled 18 7" xfId="33555"/>
    <cellStyle name="Prefilled 19" xfId="6387"/>
    <cellStyle name="Prefilled 19 2" xfId="33556"/>
    <cellStyle name="Prefilled 19 3" xfId="33557"/>
    <cellStyle name="Prefilled 19 4" xfId="33558"/>
    <cellStyle name="Prefilled 19 5" xfId="33559"/>
    <cellStyle name="Prefilled 19 6" xfId="33560"/>
    <cellStyle name="Prefilled 19 7" xfId="33561"/>
    <cellStyle name="Prefilled 2" xfId="2479"/>
    <cellStyle name="Prefilled 2 10" xfId="6388"/>
    <cellStyle name="Prefilled 2 10 2" xfId="33562"/>
    <cellStyle name="Prefilled 2 10 3" xfId="33563"/>
    <cellStyle name="Prefilled 2 10 4" xfId="33564"/>
    <cellStyle name="Prefilled 2 10 5" xfId="33565"/>
    <cellStyle name="Prefilled 2 10 6" xfId="33566"/>
    <cellStyle name="Prefilled 2 10 7" xfId="33567"/>
    <cellStyle name="Prefilled 2 100" xfId="33568"/>
    <cellStyle name="Prefilled 2 11" xfId="6389"/>
    <cellStyle name="Prefilled 2 11 2" xfId="33569"/>
    <cellStyle name="Prefilled 2 11 3" xfId="33570"/>
    <cellStyle name="Prefilled 2 11 4" xfId="33571"/>
    <cellStyle name="Prefilled 2 11 5" xfId="33572"/>
    <cellStyle name="Prefilled 2 11 6" xfId="33573"/>
    <cellStyle name="Prefilled 2 11 7" xfId="33574"/>
    <cellStyle name="Prefilled 2 12" xfId="6390"/>
    <cellStyle name="Prefilled 2 12 2" xfId="33575"/>
    <cellStyle name="Prefilled 2 12 3" xfId="33576"/>
    <cellStyle name="Prefilled 2 12 4" xfId="33577"/>
    <cellStyle name="Prefilled 2 12 5" xfId="33578"/>
    <cellStyle name="Prefilled 2 12 6" xfId="33579"/>
    <cellStyle name="Prefilled 2 12 7" xfId="33580"/>
    <cellStyle name="Prefilled 2 13" xfId="6391"/>
    <cellStyle name="Prefilled 2 13 2" xfId="33581"/>
    <cellStyle name="Prefilled 2 13 3" xfId="33582"/>
    <cellStyle name="Prefilled 2 13 4" xfId="33583"/>
    <cellStyle name="Prefilled 2 13 5" xfId="33584"/>
    <cellStyle name="Prefilled 2 13 6" xfId="33585"/>
    <cellStyle name="Prefilled 2 13 7" xfId="33586"/>
    <cellStyle name="Prefilled 2 14" xfId="6392"/>
    <cellStyle name="Prefilled 2 14 2" xfId="33587"/>
    <cellStyle name="Prefilled 2 14 3" xfId="33588"/>
    <cellStyle name="Prefilled 2 14 4" xfId="33589"/>
    <cellStyle name="Prefilled 2 14 5" xfId="33590"/>
    <cellStyle name="Prefilled 2 14 6" xfId="33591"/>
    <cellStyle name="Prefilled 2 14 7" xfId="33592"/>
    <cellStyle name="Prefilled 2 15" xfId="6393"/>
    <cellStyle name="Prefilled 2 15 2" xfId="33593"/>
    <cellStyle name="Prefilled 2 15 3" xfId="33594"/>
    <cellStyle name="Prefilled 2 15 4" xfId="33595"/>
    <cellStyle name="Prefilled 2 15 5" xfId="33596"/>
    <cellStyle name="Prefilled 2 15 6" xfId="33597"/>
    <cellStyle name="Prefilled 2 15 7" xfId="33598"/>
    <cellStyle name="Prefilled 2 16" xfId="6394"/>
    <cellStyle name="Prefilled 2 16 2" xfId="33599"/>
    <cellStyle name="Prefilled 2 16 3" xfId="33600"/>
    <cellStyle name="Prefilled 2 16 4" xfId="33601"/>
    <cellStyle name="Prefilled 2 16 5" xfId="33602"/>
    <cellStyle name="Prefilled 2 16 6" xfId="33603"/>
    <cellStyle name="Prefilled 2 16 7" xfId="33604"/>
    <cellStyle name="Prefilled 2 17" xfId="6395"/>
    <cellStyle name="Prefilled 2 17 2" xfId="33605"/>
    <cellStyle name="Prefilled 2 17 3" xfId="33606"/>
    <cellStyle name="Prefilled 2 17 4" xfId="33607"/>
    <cellStyle name="Prefilled 2 17 5" xfId="33608"/>
    <cellStyle name="Prefilled 2 17 6" xfId="33609"/>
    <cellStyle name="Prefilled 2 17 7" xfId="33610"/>
    <cellStyle name="Prefilled 2 18" xfId="6396"/>
    <cellStyle name="Prefilled 2 18 2" xfId="33611"/>
    <cellStyle name="Prefilled 2 18 3" xfId="33612"/>
    <cellStyle name="Prefilled 2 18 4" xfId="33613"/>
    <cellStyle name="Prefilled 2 18 5" xfId="33614"/>
    <cellStyle name="Prefilled 2 18 6" xfId="33615"/>
    <cellStyle name="Prefilled 2 18 7" xfId="33616"/>
    <cellStyle name="Prefilled 2 19" xfId="6397"/>
    <cellStyle name="Prefilled 2 19 2" xfId="33617"/>
    <cellStyle name="Prefilled 2 19 3" xfId="33618"/>
    <cellStyle name="Prefilled 2 19 4" xfId="33619"/>
    <cellStyle name="Prefilled 2 19 5" xfId="33620"/>
    <cellStyle name="Prefilled 2 19 6" xfId="33621"/>
    <cellStyle name="Prefilled 2 19 7" xfId="33622"/>
    <cellStyle name="Prefilled 2 2" xfId="2480"/>
    <cellStyle name="Prefilled 2 2 10" xfId="6398"/>
    <cellStyle name="Prefilled 2 2 10 2" xfId="33623"/>
    <cellStyle name="Prefilled 2 2 10 3" xfId="33624"/>
    <cellStyle name="Prefilled 2 2 10 4" xfId="33625"/>
    <cellStyle name="Prefilled 2 2 10 5" xfId="33626"/>
    <cellStyle name="Prefilled 2 2 10 6" xfId="33627"/>
    <cellStyle name="Prefilled 2 2 10 7" xfId="33628"/>
    <cellStyle name="Prefilled 2 2 100" xfId="33629"/>
    <cellStyle name="Prefilled 2 2 101" xfId="33630"/>
    <cellStyle name="Prefilled 2 2 102" xfId="33631"/>
    <cellStyle name="Prefilled 2 2 11" xfId="6399"/>
    <cellStyle name="Prefilled 2 2 11 2" xfId="33632"/>
    <cellStyle name="Prefilled 2 2 11 3" xfId="33633"/>
    <cellStyle name="Prefilled 2 2 11 4" xfId="33634"/>
    <cellStyle name="Prefilled 2 2 11 5" xfId="33635"/>
    <cellStyle name="Prefilled 2 2 11 6" xfId="33636"/>
    <cellStyle name="Prefilled 2 2 11 7" xfId="33637"/>
    <cellStyle name="Prefilled 2 2 12" xfId="6400"/>
    <cellStyle name="Prefilled 2 2 12 2" xfId="33638"/>
    <cellStyle name="Prefilled 2 2 12 3" xfId="33639"/>
    <cellStyle name="Prefilled 2 2 12 4" xfId="33640"/>
    <cellStyle name="Prefilled 2 2 12 5" xfId="33641"/>
    <cellStyle name="Prefilled 2 2 12 6" xfId="33642"/>
    <cellStyle name="Prefilled 2 2 12 7" xfId="33643"/>
    <cellStyle name="Prefilled 2 2 13" xfId="6401"/>
    <cellStyle name="Prefilled 2 2 13 2" xfId="33644"/>
    <cellStyle name="Prefilled 2 2 13 3" xfId="33645"/>
    <cellStyle name="Prefilled 2 2 13 4" xfId="33646"/>
    <cellStyle name="Prefilled 2 2 13 5" xfId="33647"/>
    <cellStyle name="Prefilled 2 2 13 6" xfId="33648"/>
    <cellStyle name="Prefilled 2 2 13 7" xfId="33649"/>
    <cellStyle name="Prefilled 2 2 14" xfId="6402"/>
    <cellStyle name="Prefilled 2 2 14 2" xfId="33650"/>
    <cellStyle name="Prefilled 2 2 14 3" xfId="33651"/>
    <cellStyle name="Prefilled 2 2 14 4" xfId="33652"/>
    <cellStyle name="Prefilled 2 2 14 5" xfId="33653"/>
    <cellStyle name="Prefilled 2 2 14 6" xfId="33654"/>
    <cellStyle name="Prefilled 2 2 14 7" xfId="33655"/>
    <cellStyle name="Prefilled 2 2 15" xfId="6403"/>
    <cellStyle name="Prefilled 2 2 15 2" xfId="33656"/>
    <cellStyle name="Prefilled 2 2 15 3" xfId="33657"/>
    <cellStyle name="Prefilled 2 2 15 4" xfId="33658"/>
    <cellStyle name="Prefilled 2 2 15 5" xfId="33659"/>
    <cellStyle name="Prefilled 2 2 15 6" xfId="33660"/>
    <cellStyle name="Prefilled 2 2 15 7" xfId="33661"/>
    <cellStyle name="Prefilled 2 2 16" xfId="6404"/>
    <cellStyle name="Prefilled 2 2 16 2" xfId="33662"/>
    <cellStyle name="Prefilled 2 2 16 3" xfId="33663"/>
    <cellStyle name="Prefilled 2 2 16 4" xfId="33664"/>
    <cellStyle name="Prefilled 2 2 16 5" xfId="33665"/>
    <cellStyle name="Prefilled 2 2 16 6" xfId="33666"/>
    <cellStyle name="Prefilled 2 2 16 7" xfId="33667"/>
    <cellStyle name="Prefilled 2 2 17" xfId="6405"/>
    <cellStyle name="Prefilled 2 2 17 2" xfId="33668"/>
    <cellStyle name="Prefilled 2 2 17 3" xfId="33669"/>
    <cellStyle name="Prefilled 2 2 17 4" xfId="33670"/>
    <cellStyle name="Prefilled 2 2 17 5" xfId="33671"/>
    <cellStyle name="Prefilled 2 2 17 6" xfId="33672"/>
    <cellStyle name="Prefilled 2 2 17 7" xfId="33673"/>
    <cellStyle name="Prefilled 2 2 18" xfId="6406"/>
    <cellStyle name="Prefilled 2 2 18 2" xfId="33674"/>
    <cellStyle name="Prefilled 2 2 18 3" xfId="33675"/>
    <cellStyle name="Prefilled 2 2 18 4" xfId="33676"/>
    <cellStyle name="Prefilled 2 2 18 5" xfId="33677"/>
    <cellStyle name="Prefilled 2 2 18 6" xfId="33678"/>
    <cellStyle name="Prefilled 2 2 18 7" xfId="33679"/>
    <cellStyle name="Prefilled 2 2 19" xfId="6407"/>
    <cellStyle name="Prefilled 2 2 19 2" xfId="33680"/>
    <cellStyle name="Prefilled 2 2 19 3" xfId="33681"/>
    <cellStyle name="Prefilled 2 2 19 4" xfId="33682"/>
    <cellStyle name="Prefilled 2 2 19 5" xfId="33683"/>
    <cellStyle name="Prefilled 2 2 19 6" xfId="33684"/>
    <cellStyle name="Prefilled 2 2 19 7" xfId="33685"/>
    <cellStyle name="Prefilled 2 2 2" xfId="2481"/>
    <cellStyle name="Prefilled 2 2 2 10" xfId="33686"/>
    <cellStyle name="Prefilled 2 2 2 11" xfId="33687"/>
    <cellStyle name="Prefilled 2 2 2 2" xfId="12769"/>
    <cellStyle name="Prefilled 2 2 2 3" xfId="33688"/>
    <cellStyle name="Prefilled 2 2 2 4" xfId="33689"/>
    <cellStyle name="Prefilled 2 2 2 5" xfId="33690"/>
    <cellStyle name="Prefilled 2 2 2 6" xfId="33691"/>
    <cellStyle name="Prefilled 2 2 2 7" xfId="33692"/>
    <cellStyle name="Prefilled 2 2 2 8" xfId="33693"/>
    <cellStyle name="Prefilled 2 2 2 9" xfId="33694"/>
    <cellStyle name="Prefilled 2 2 2_YL Capex Cashflow &amp; Dep" xfId="13514"/>
    <cellStyle name="Prefilled 2 2 20" xfId="6408"/>
    <cellStyle name="Prefilled 2 2 20 2" xfId="33695"/>
    <cellStyle name="Prefilled 2 2 20 3" xfId="33696"/>
    <cellStyle name="Prefilled 2 2 20 4" xfId="33697"/>
    <cellStyle name="Prefilled 2 2 20 5" xfId="33698"/>
    <cellStyle name="Prefilled 2 2 20 6" xfId="33699"/>
    <cellStyle name="Prefilled 2 2 20 7" xfId="33700"/>
    <cellStyle name="Prefilled 2 2 21" xfId="6409"/>
    <cellStyle name="Prefilled 2 2 21 2" xfId="33701"/>
    <cellStyle name="Prefilled 2 2 21 3" xfId="33702"/>
    <cellStyle name="Prefilled 2 2 21 4" xfId="33703"/>
    <cellStyle name="Prefilled 2 2 21 5" xfId="33704"/>
    <cellStyle name="Prefilled 2 2 21 6" xfId="33705"/>
    <cellStyle name="Prefilled 2 2 21 7" xfId="33706"/>
    <cellStyle name="Prefilled 2 2 22" xfId="6410"/>
    <cellStyle name="Prefilled 2 2 22 2" xfId="33707"/>
    <cellStyle name="Prefilled 2 2 22 3" xfId="33708"/>
    <cellStyle name="Prefilled 2 2 22 4" xfId="33709"/>
    <cellStyle name="Prefilled 2 2 22 5" xfId="33710"/>
    <cellStyle name="Prefilled 2 2 22 6" xfId="33711"/>
    <cellStyle name="Prefilled 2 2 22 7" xfId="33712"/>
    <cellStyle name="Prefilled 2 2 23" xfId="6411"/>
    <cellStyle name="Prefilled 2 2 23 2" xfId="33713"/>
    <cellStyle name="Prefilled 2 2 23 3" xfId="33714"/>
    <cellStyle name="Prefilled 2 2 23 4" xfId="33715"/>
    <cellStyle name="Prefilled 2 2 23 5" xfId="33716"/>
    <cellStyle name="Prefilled 2 2 23 6" xfId="33717"/>
    <cellStyle name="Prefilled 2 2 23 7" xfId="33718"/>
    <cellStyle name="Prefilled 2 2 24" xfId="6412"/>
    <cellStyle name="Prefilled 2 2 24 2" xfId="33719"/>
    <cellStyle name="Prefilled 2 2 24 3" xfId="33720"/>
    <cellStyle name="Prefilled 2 2 24 4" xfId="33721"/>
    <cellStyle name="Prefilled 2 2 24 5" xfId="33722"/>
    <cellStyle name="Prefilled 2 2 24 6" xfId="33723"/>
    <cellStyle name="Prefilled 2 2 24 7" xfId="33724"/>
    <cellStyle name="Prefilled 2 2 25" xfId="6413"/>
    <cellStyle name="Prefilled 2 2 25 2" xfId="33725"/>
    <cellStyle name="Prefilled 2 2 25 3" xfId="33726"/>
    <cellStyle name="Prefilled 2 2 25 4" xfId="33727"/>
    <cellStyle name="Prefilled 2 2 25 5" xfId="33728"/>
    <cellStyle name="Prefilled 2 2 25 6" xfId="33729"/>
    <cellStyle name="Prefilled 2 2 25 7" xfId="33730"/>
    <cellStyle name="Prefilled 2 2 26" xfId="6414"/>
    <cellStyle name="Prefilled 2 2 26 2" xfId="33731"/>
    <cellStyle name="Prefilled 2 2 26 3" xfId="33732"/>
    <cellStyle name="Prefilled 2 2 26 4" xfId="33733"/>
    <cellStyle name="Prefilled 2 2 26 5" xfId="33734"/>
    <cellStyle name="Prefilled 2 2 26 6" xfId="33735"/>
    <cellStyle name="Prefilled 2 2 26 7" xfId="33736"/>
    <cellStyle name="Prefilled 2 2 27" xfId="6415"/>
    <cellStyle name="Prefilled 2 2 27 2" xfId="33737"/>
    <cellStyle name="Prefilled 2 2 27 3" xfId="33738"/>
    <cellStyle name="Prefilled 2 2 27 4" xfId="33739"/>
    <cellStyle name="Prefilled 2 2 27 5" xfId="33740"/>
    <cellStyle name="Prefilled 2 2 27 6" xfId="33741"/>
    <cellStyle name="Prefilled 2 2 27 7" xfId="33742"/>
    <cellStyle name="Prefilled 2 2 28" xfId="6416"/>
    <cellStyle name="Prefilled 2 2 28 2" xfId="33743"/>
    <cellStyle name="Prefilled 2 2 28 3" xfId="33744"/>
    <cellStyle name="Prefilled 2 2 28 4" xfId="33745"/>
    <cellStyle name="Prefilled 2 2 28 5" xfId="33746"/>
    <cellStyle name="Prefilled 2 2 28 6" xfId="33747"/>
    <cellStyle name="Prefilled 2 2 28 7" xfId="33748"/>
    <cellStyle name="Prefilled 2 2 29" xfId="6417"/>
    <cellStyle name="Prefilled 2 2 29 2" xfId="33749"/>
    <cellStyle name="Prefilled 2 2 29 3" xfId="33750"/>
    <cellStyle name="Prefilled 2 2 29 4" xfId="33751"/>
    <cellStyle name="Prefilled 2 2 29 5" xfId="33752"/>
    <cellStyle name="Prefilled 2 2 29 6" xfId="33753"/>
    <cellStyle name="Prefilled 2 2 29 7" xfId="33754"/>
    <cellStyle name="Prefilled 2 2 3" xfId="6418"/>
    <cellStyle name="Prefilled 2 2 3 10" xfId="33755"/>
    <cellStyle name="Prefilled 2 2 3 2" xfId="33756"/>
    <cellStyle name="Prefilled 2 2 3 3" xfId="33757"/>
    <cellStyle name="Prefilled 2 2 3 4" xfId="33758"/>
    <cellStyle name="Prefilled 2 2 3 5" xfId="33759"/>
    <cellStyle name="Prefilled 2 2 3 6" xfId="33760"/>
    <cellStyle name="Prefilled 2 2 3 7" xfId="33761"/>
    <cellStyle name="Prefilled 2 2 3 8" xfId="33762"/>
    <cellStyle name="Prefilled 2 2 3 9" xfId="33763"/>
    <cellStyle name="Prefilled 2 2 30" xfId="6419"/>
    <cellStyle name="Prefilled 2 2 30 2" xfId="33764"/>
    <cellStyle name="Prefilled 2 2 30 3" xfId="33765"/>
    <cellStyle name="Prefilled 2 2 30 4" xfId="33766"/>
    <cellStyle name="Prefilled 2 2 30 5" xfId="33767"/>
    <cellStyle name="Prefilled 2 2 30 6" xfId="33768"/>
    <cellStyle name="Prefilled 2 2 30 7" xfId="33769"/>
    <cellStyle name="Prefilled 2 2 31" xfId="6420"/>
    <cellStyle name="Prefilled 2 2 31 2" xfId="33770"/>
    <cellStyle name="Prefilled 2 2 31 3" xfId="33771"/>
    <cellStyle name="Prefilled 2 2 31 4" xfId="33772"/>
    <cellStyle name="Prefilled 2 2 31 5" xfId="33773"/>
    <cellStyle name="Prefilled 2 2 31 6" xfId="33774"/>
    <cellStyle name="Prefilled 2 2 31 7" xfId="33775"/>
    <cellStyle name="Prefilled 2 2 32" xfId="6421"/>
    <cellStyle name="Prefilled 2 2 32 2" xfId="33776"/>
    <cellStyle name="Prefilled 2 2 32 3" xfId="33777"/>
    <cellStyle name="Prefilled 2 2 32 4" xfId="33778"/>
    <cellStyle name="Prefilled 2 2 32 5" xfId="33779"/>
    <cellStyle name="Prefilled 2 2 32 6" xfId="33780"/>
    <cellStyle name="Prefilled 2 2 32 7" xfId="33781"/>
    <cellStyle name="Prefilled 2 2 33" xfId="6422"/>
    <cellStyle name="Prefilled 2 2 33 2" xfId="33782"/>
    <cellStyle name="Prefilled 2 2 33 3" xfId="33783"/>
    <cellStyle name="Prefilled 2 2 33 4" xfId="33784"/>
    <cellStyle name="Prefilled 2 2 33 5" xfId="33785"/>
    <cellStyle name="Prefilled 2 2 33 6" xfId="33786"/>
    <cellStyle name="Prefilled 2 2 33 7" xfId="33787"/>
    <cellStyle name="Prefilled 2 2 34" xfId="6423"/>
    <cellStyle name="Prefilled 2 2 34 2" xfId="33788"/>
    <cellStyle name="Prefilled 2 2 34 3" xfId="33789"/>
    <cellStyle name="Prefilled 2 2 34 4" xfId="33790"/>
    <cellStyle name="Prefilled 2 2 34 5" xfId="33791"/>
    <cellStyle name="Prefilled 2 2 34 6" xfId="33792"/>
    <cellStyle name="Prefilled 2 2 34 7" xfId="33793"/>
    <cellStyle name="Prefilled 2 2 35" xfId="6424"/>
    <cellStyle name="Prefilled 2 2 35 2" xfId="33794"/>
    <cellStyle name="Prefilled 2 2 35 3" xfId="33795"/>
    <cellStyle name="Prefilled 2 2 35 4" xfId="33796"/>
    <cellStyle name="Prefilled 2 2 35 5" xfId="33797"/>
    <cellStyle name="Prefilled 2 2 35 6" xfId="33798"/>
    <cellStyle name="Prefilled 2 2 35 7" xfId="33799"/>
    <cellStyle name="Prefilled 2 2 36" xfId="6425"/>
    <cellStyle name="Prefilled 2 2 36 2" xfId="33800"/>
    <cellStyle name="Prefilled 2 2 36 3" xfId="33801"/>
    <cellStyle name="Prefilled 2 2 36 4" xfId="33802"/>
    <cellStyle name="Prefilled 2 2 36 5" xfId="33803"/>
    <cellStyle name="Prefilled 2 2 36 6" xfId="33804"/>
    <cellStyle name="Prefilled 2 2 36 7" xfId="33805"/>
    <cellStyle name="Prefilled 2 2 37" xfId="6426"/>
    <cellStyle name="Prefilled 2 2 37 2" xfId="33806"/>
    <cellStyle name="Prefilled 2 2 37 3" xfId="33807"/>
    <cellStyle name="Prefilled 2 2 37 4" xfId="33808"/>
    <cellStyle name="Prefilled 2 2 37 5" xfId="33809"/>
    <cellStyle name="Prefilled 2 2 37 6" xfId="33810"/>
    <cellStyle name="Prefilled 2 2 37 7" xfId="33811"/>
    <cellStyle name="Prefilled 2 2 38" xfId="6427"/>
    <cellStyle name="Prefilled 2 2 38 2" xfId="33812"/>
    <cellStyle name="Prefilled 2 2 38 3" xfId="33813"/>
    <cellStyle name="Prefilled 2 2 38 4" xfId="33814"/>
    <cellStyle name="Prefilled 2 2 38 5" xfId="33815"/>
    <cellStyle name="Prefilled 2 2 38 6" xfId="33816"/>
    <cellStyle name="Prefilled 2 2 38 7" xfId="33817"/>
    <cellStyle name="Prefilled 2 2 39" xfId="6428"/>
    <cellStyle name="Prefilled 2 2 39 2" xfId="33818"/>
    <cellStyle name="Prefilled 2 2 39 3" xfId="33819"/>
    <cellStyle name="Prefilled 2 2 39 4" xfId="33820"/>
    <cellStyle name="Prefilled 2 2 39 5" xfId="33821"/>
    <cellStyle name="Prefilled 2 2 39 6" xfId="33822"/>
    <cellStyle name="Prefilled 2 2 39 7" xfId="33823"/>
    <cellStyle name="Prefilled 2 2 4" xfId="6429"/>
    <cellStyle name="Prefilled 2 2 4 10" xfId="33824"/>
    <cellStyle name="Prefilled 2 2 4 2" xfId="33825"/>
    <cellStyle name="Prefilled 2 2 4 3" xfId="33826"/>
    <cellStyle name="Prefilled 2 2 4 4" xfId="33827"/>
    <cellStyle name="Prefilled 2 2 4 5" xfId="33828"/>
    <cellStyle name="Prefilled 2 2 4 6" xfId="33829"/>
    <cellStyle name="Prefilled 2 2 4 7" xfId="33830"/>
    <cellStyle name="Prefilled 2 2 4 8" xfId="33831"/>
    <cellStyle name="Prefilled 2 2 4 9" xfId="33832"/>
    <cellStyle name="Prefilled 2 2 40" xfId="6430"/>
    <cellStyle name="Prefilled 2 2 40 2" xfId="33833"/>
    <cellStyle name="Prefilled 2 2 40 3" xfId="33834"/>
    <cellStyle name="Prefilled 2 2 40 4" xfId="33835"/>
    <cellStyle name="Prefilled 2 2 40 5" xfId="33836"/>
    <cellStyle name="Prefilled 2 2 40 6" xfId="33837"/>
    <cellStyle name="Prefilled 2 2 40 7" xfId="33838"/>
    <cellStyle name="Prefilled 2 2 41" xfId="6431"/>
    <cellStyle name="Prefilled 2 2 41 2" xfId="33839"/>
    <cellStyle name="Prefilled 2 2 41 3" xfId="33840"/>
    <cellStyle name="Prefilled 2 2 41 4" xfId="33841"/>
    <cellStyle name="Prefilled 2 2 41 5" xfId="33842"/>
    <cellStyle name="Prefilled 2 2 41 6" xfId="33843"/>
    <cellStyle name="Prefilled 2 2 41 7" xfId="33844"/>
    <cellStyle name="Prefilled 2 2 42" xfId="6432"/>
    <cellStyle name="Prefilled 2 2 42 2" xfId="33845"/>
    <cellStyle name="Prefilled 2 2 42 3" xfId="33846"/>
    <cellStyle name="Prefilled 2 2 42 4" xfId="33847"/>
    <cellStyle name="Prefilled 2 2 42 5" xfId="33848"/>
    <cellStyle name="Prefilled 2 2 42 6" xfId="33849"/>
    <cellStyle name="Prefilled 2 2 42 7" xfId="33850"/>
    <cellStyle name="Prefilled 2 2 43" xfId="6433"/>
    <cellStyle name="Prefilled 2 2 43 2" xfId="33851"/>
    <cellStyle name="Prefilled 2 2 43 3" xfId="33852"/>
    <cellStyle name="Prefilled 2 2 43 4" xfId="33853"/>
    <cellStyle name="Prefilled 2 2 43 5" xfId="33854"/>
    <cellStyle name="Prefilled 2 2 43 6" xfId="33855"/>
    <cellStyle name="Prefilled 2 2 43 7" xfId="33856"/>
    <cellStyle name="Prefilled 2 2 44" xfId="6434"/>
    <cellStyle name="Prefilled 2 2 44 2" xfId="33857"/>
    <cellStyle name="Prefilled 2 2 44 3" xfId="33858"/>
    <cellStyle name="Prefilled 2 2 44 4" xfId="33859"/>
    <cellStyle name="Prefilled 2 2 44 5" xfId="33860"/>
    <cellStyle name="Prefilled 2 2 44 6" xfId="33861"/>
    <cellStyle name="Prefilled 2 2 44 7" xfId="33862"/>
    <cellStyle name="Prefilled 2 2 45" xfId="6435"/>
    <cellStyle name="Prefilled 2 2 45 2" xfId="33863"/>
    <cellStyle name="Prefilled 2 2 45 3" xfId="33864"/>
    <cellStyle name="Prefilled 2 2 45 4" xfId="33865"/>
    <cellStyle name="Prefilled 2 2 45 5" xfId="33866"/>
    <cellStyle name="Prefilled 2 2 45 6" xfId="33867"/>
    <cellStyle name="Prefilled 2 2 45 7" xfId="33868"/>
    <cellStyle name="Prefilled 2 2 46" xfId="6436"/>
    <cellStyle name="Prefilled 2 2 46 2" xfId="33869"/>
    <cellStyle name="Prefilled 2 2 46 3" xfId="33870"/>
    <cellStyle name="Prefilled 2 2 46 4" xfId="33871"/>
    <cellStyle name="Prefilled 2 2 46 5" xfId="33872"/>
    <cellStyle name="Prefilled 2 2 46 6" xfId="33873"/>
    <cellStyle name="Prefilled 2 2 46 7" xfId="33874"/>
    <cellStyle name="Prefilled 2 2 47" xfId="6437"/>
    <cellStyle name="Prefilled 2 2 47 2" xfId="33875"/>
    <cellStyle name="Prefilled 2 2 47 3" xfId="33876"/>
    <cellStyle name="Prefilled 2 2 47 4" xfId="33877"/>
    <cellStyle name="Prefilled 2 2 47 5" xfId="33878"/>
    <cellStyle name="Prefilled 2 2 47 6" xfId="33879"/>
    <cellStyle name="Prefilled 2 2 47 7" xfId="33880"/>
    <cellStyle name="Prefilled 2 2 48" xfId="6438"/>
    <cellStyle name="Prefilled 2 2 48 2" xfId="33881"/>
    <cellStyle name="Prefilled 2 2 48 3" xfId="33882"/>
    <cellStyle name="Prefilled 2 2 48 4" xfId="33883"/>
    <cellStyle name="Prefilled 2 2 48 5" xfId="33884"/>
    <cellStyle name="Prefilled 2 2 48 6" xfId="33885"/>
    <cellStyle name="Prefilled 2 2 48 7" xfId="33886"/>
    <cellStyle name="Prefilled 2 2 49" xfId="6439"/>
    <cellStyle name="Prefilled 2 2 49 2" xfId="33887"/>
    <cellStyle name="Prefilled 2 2 49 3" xfId="33888"/>
    <cellStyle name="Prefilled 2 2 49 4" xfId="33889"/>
    <cellStyle name="Prefilled 2 2 49 5" xfId="33890"/>
    <cellStyle name="Prefilled 2 2 49 6" xfId="33891"/>
    <cellStyle name="Prefilled 2 2 49 7" xfId="33892"/>
    <cellStyle name="Prefilled 2 2 5" xfId="6440"/>
    <cellStyle name="Prefilled 2 2 5 2" xfId="33893"/>
    <cellStyle name="Prefilled 2 2 5 3" xfId="33894"/>
    <cellStyle name="Prefilled 2 2 5 4" xfId="33895"/>
    <cellStyle name="Prefilled 2 2 5 5" xfId="33896"/>
    <cellStyle name="Prefilled 2 2 5 6" xfId="33897"/>
    <cellStyle name="Prefilled 2 2 5 7" xfId="33898"/>
    <cellStyle name="Prefilled 2 2 50" xfId="6441"/>
    <cellStyle name="Prefilled 2 2 50 2" xfId="33899"/>
    <cellStyle name="Prefilled 2 2 50 3" xfId="33900"/>
    <cellStyle name="Prefilled 2 2 50 4" xfId="33901"/>
    <cellStyle name="Prefilled 2 2 50 5" xfId="33902"/>
    <cellStyle name="Prefilled 2 2 50 6" xfId="33903"/>
    <cellStyle name="Prefilled 2 2 50 7" xfId="33904"/>
    <cellStyle name="Prefilled 2 2 51" xfId="6442"/>
    <cellStyle name="Prefilled 2 2 51 2" xfId="33905"/>
    <cellStyle name="Prefilled 2 2 51 3" xfId="33906"/>
    <cellStyle name="Prefilled 2 2 51 4" xfId="33907"/>
    <cellStyle name="Prefilled 2 2 51 5" xfId="33908"/>
    <cellStyle name="Prefilled 2 2 51 6" xfId="33909"/>
    <cellStyle name="Prefilled 2 2 51 7" xfId="33910"/>
    <cellStyle name="Prefilled 2 2 52" xfId="6443"/>
    <cellStyle name="Prefilled 2 2 52 2" xfId="33911"/>
    <cellStyle name="Prefilled 2 2 52 3" xfId="33912"/>
    <cellStyle name="Prefilled 2 2 52 4" xfId="33913"/>
    <cellStyle name="Prefilled 2 2 52 5" xfId="33914"/>
    <cellStyle name="Prefilled 2 2 52 6" xfId="33915"/>
    <cellStyle name="Prefilled 2 2 52 7" xfId="33916"/>
    <cellStyle name="Prefilled 2 2 53" xfId="6444"/>
    <cellStyle name="Prefilled 2 2 53 2" xfId="33917"/>
    <cellStyle name="Prefilled 2 2 53 3" xfId="33918"/>
    <cellStyle name="Prefilled 2 2 53 4" xfId="33919"/>
    <cellStyle name="Prefilled 2 2 53 5" xfId="33920"/>
    <cellStyle name="Prefilled 2 2 53 6" xfId="33921"/>
    <cellStyle name="Prefilled 2 2 53 7" xfId="33922"/>
    <cellStyle name="Prefilled 2 2 54" xfId="6445"/>
    <cellStyle name="Prefilled 2 2 54 2" xfId="33923"/>
    <cellStyle name="Prefilled 2 2 54 3" xfId="33924"/>
    <cellStyle name="Prefilled 2 2 54 4" xfId="33925"/>
    <cellStyle name="Prefilled 2 2 54 5" xfId="33926"/>
    <cellStyle name="Prefilled 2 2 54 6" xfId="33927"/>
    <cellStyle name="Prefilled 2 2 54 7" xfId="33928"/>
    <cellStyle name="Prefilled 2 2 55" xfId="6446"/>
    <cellStyle name="Prefilled 2 2 55 2" xfId="33929"/>
    <cellStyle name="Prefilled 2 2 55 3" xfId="33930"/>
    <cellStyle name="Prefilled 2 2 55 4" xfId="33931"/>
    <cellStyle name="Prefilled 2 2 55 5" xfId="33932"/>
    <cellStyle name="Prefilled 2 2 55 6" xfId="33933"/>
    <cellStyle name="Prefilled 2 2 55 7" xfId="33934"/>
    <cellStyle name="Prefilled 2 2 56" xfId="6447"/>
    <cellStyle name="Prefilled 2 2 56 2" xfId="33935"/>
    <cellStyle name="Prefilled 2 2 56 3" xfId="33936"/>
    <cellStyle name="Prefilled 2 2 56 4" xfId="33937"/>
    <cellStyle name="Prefilled 2 2 56 5" xfId="33938"/>
    <cellStyle name="Prefilled 2 2 56 6" xfId="33939"/>
    <cellStyle name="Prefilled 2 2 56 7" xfId="33940"/>
    <cellStyle name="Prefilled 2 2 57" xfId="6448"/>
    <cellStyle name="Prefilled 2 2 57 2" xfId="33941"/>
    <cellStyle name="Prefilled 2 2 57 3" xfId="33942"/>
    <cellStyle name="Prefilled 2 2 57 4" xfId="33943"/>
    <cellStyle name="Prefilled 2 2 57 5" xfId="33944"/>
    <cellStyle name="Prefilled 2 2 57 6" xfId="33945"/>
    <cellStyle name="Prefilled 2 2 57 7" xfId="33946"/>
    <cellStyle name="Prefilled 2 2 58" xfId="6449"/>
    <cellStyle name="Prefilled 2 2 58 2" xfId="33947"/>
    <cellStyle name="Prefilled 2 2 58 3" xfId="33948"/>
    <cellStyle name="Prefilled 2 2 58 4" xfId="33949"/>
    <cellStyle name="Prefilled 2 2 58 5" xfId="33950"/>
    <cellStyle name="Prefilled 2 2 58 6" xfId="33951"/>
    <cellStyle name="Prefilled 2 2 58 7" xfId="33952"/>
    <cellStyle name="Prefilled 2 2 59" xfId="6450"/>
    <cellStyle name="Prefilled 2 2 59 2" xfId="33953"/>
    <cellStyle name="Prefilled 2 2 59 3" xfId="33954"/>
    <cellStyle name="Prefilled 2 2 59 4" xfId="33955"/>
    <cellStyle name="Prefilled 2 2 59 5" xfId="33956"/>
    <cellStyle name="Prefilled 2 2 59 6" xfId="33957"/>
    <cellStyle name="Prefilled 2 2 59 7" xfId="33958"/>
    <cellStyle name="Prefilled 2 2 6" xfId="6451"/>
    <cellStyle name="Prefilled 2 2 6 2" xfId="33959"/>
    <cellStyle name="Prefilled 2 2 6 3" xfId="33960"/>
    <cellStyle name="Prefilled 2 2 6 4" xfId="33961"/>
    <cellStyle name="Prefilled 2 2 6 5" xfId="33962"/>
    <cellStyle name="Prefilled 2 2 6 6" xfId="33963"/>
    <cellStyle name="Prefilled 2 2 6 7" xfId="33964"/>
    <cellStyle name="Prefilled 2 2 60" xfId="6452"/>
    <cellStyle name="Prefilled 2 2 60 2" xfId="33965"/>
    <cellStyle name="Prefilled 2 2 60 3" xfId="33966"/>
    <cellStyle name="Prefilled 2 2 60 4" xfId="33967"/>
    <cellStyle name="Prefilled 2 2 60 5" xfId="33968"/>
    <cellStyle name="Prefilled 2 2 60 6" xfId="33969"/>
    <cellStyle name="Prefilled 2 2 60 7" xfId="33970"/>
    <cellStyle name="Prefilled 2 2 61" xfId="6453"/>
    <cellStyle name="Prefilled 2 2 61 2" xfId="33971"/>
    <cellStyle name="Prefilled 2 2 61 3" xfId="33972"/>
    <cellStyle name="Prefilled 2 2 61 4" xfId="33973"/>
    <cellStyle name="Prefilled 2 2 61 5" xfId="33974"/>
    <cellStyle name="Prefilled 2 2 61 6" xfId="33975"/>
    <cellStyle name="Prefilled 2 2 61 7" xfId="33976"/>
    <cellStyle name="Prefilled 2 2 62" xfId="6454"/>
    <cellStyle name="Prefilled 2 2 62 2" xfId="33977"/>
    <cellStyle name="Prefilled 2 2 62 3" xfId="33978"/>
    <cellStyle name="Prefilled 2 2 62 4" xfId="33979"/>
    <cellStyle name="Prefilled 2 2 62 5" xfId="33980"/>
    <cellStyle name="Prefilled 2 2 62 6" xfId="33981"/>
    <cellStyle name="Prefilled 2 2 62 7" xfId="33982"/>
    <cellStyle name="Prefilled 2 2 63" xfId="6455"/>
    <cellStyle name="Prefilled 2 2 63 2" xfId="33983"/>
    <cellStyle name="Prefilled 2 2 63 3" xfId="33984"/>
    <cellStyle name="Prefilled 2 2 63 4" xfId="33985"/>
    <cellStyle name="Prefilled 2 2 63 5" xfId="33986"/>
    <cellStyle name="Prefilled 2 2 63 6" xfId="33987"/>
    <cellStyle name="Prefilled 2 2 63 7" xfId="33988"/>
    <cellStyle name="Prefilled 2 2 64" xfId="6456"/>
    <cellStyle name="Prefilled 2 2 64 2" xfId="33989"/>
    <cellStyle name="Prefilled 2 2 64 3" xfId="33990"/>
    <cellStyle name="Prefilled 2 2 64 4" xfId="33991"/>
    <cellStyle name="Prefilled 2 2 64 5" xfId="33992"/>
    <cellStyle name="Prefilled 2 2 64 6" xfId="33993"/>
    <cellStyle name="Prefilled 2 2 64 7" xfId="33994"/>
    <cellStyle name="Prefilled 2 2 65" xfId="6457"/>
    <cellStyle name="Prefilled 2 2 65 2" xfId="33995"/>
    <cellStyle name="Prefilled 2 2 65 3" xfId="33996"/>
    <cellStyle name="Prefilled 2 2 65 4" xfId="33997"/>
    <cellStyle name="Prefilled 2 2 65 5" xfId="33998"/>
    <cellStyle name="Prefilled 2 2 65 6" xfId="33999"/>
    <cellStyle name="Prefilled 2 2 65 7" xfId="34000"/>
    <cellStyle name="Prefilled 2 2 66" xfId="6458"/>
    <cellStyle name="Prefilled 2 2 66 2" xfId="34001"/>
    <cellStyle name="Prefilled 2 2 66 3" xfId="34002"/>
    <cellStyle name="Prefilled 2 2 66 4" xfId="34003"/>
    <cellStyle name="Prefilled 2 2 66 5" xfId="34004"/>
    <cellStyle name="Prefilled 2 2 66 6" xfId="34005"/>
    <cellStyle name="Prefilled 2 2 66 7" xfId="34006"/>
    <cellStyle name="Prefilled 2 2 67" xfId="6459"/>
    <cellStyle name="Prefilled 2 2 67 2" xfId="34007"/>
    <cellStyle name="Prefilled 2 2 67 3" xfId="34008"/>
    <cellStyle name="Prefilled 2 2 67 4" xfId="34009"/>
    <cellStyle name="Prefilled 2 2 67 5" xfId="34010"/>
    <cellStyle name="Prefilled 2 2 67 6" xfId="34011"/>
    <cellStyle name="Prefilled 2 2 67 7" xfId="34012"/>
    <cellStyle name="Prefilled 2 2 68" xfId="6460"/>
    <cellStyle name="Prefilled 2 2 68 2" xfId="34013"/>
    <cellStyle name="Prefilled 2 2 68 3" xfId="34014"/>
    <cellStyle name="Prefilled 2 2 68 4" xfId="34015"/>
    <cellStyle name="Prefilled 2 2 68 5" xfId="34016"/>
    <cellStyle name="Prefilled 2 2 68 6" xfId="34017"/>
    <cellStyle name="Prefilled 2 2 68 7" xfId="34018"/>
    <cellStyle name="Prefilled 2 2 69" xfId="6461"/>
    <cellStyle name="Prefilled 2 2 69 2" xfId="34019"/>
    <cellStyle name="Prefilled 2 2 69 3" xfId="34020"/>
    <cellStyle name="Prefilled 2 2 69 4" xfId="34021"/>
    <cellStyle name="Prefilled 2 2 69 5" xfId="34022"/>
    <cellStyle name="Prefilled 2 2 69 6" xfId="34023"/>
    <cellStyle name="Prefilled 2 2 69 7" xfId="34024"/>
    <cellStyle name="Prefilled 2 2 7" xfId="6462"/>
    <cellStyle name="Prefilled 2 2 7 2" xfId="34025"/>
    <cellStyle name="Prefilled 2 2 7 3" xfId="34026"/>
    <cellStyle name="Prefilled 2 2 7 4" xfId="34027"/>
    <cellStyle name="Prefilled 2 2 7 5" xfId="34028"/>
    <cellStyle name="Prefilled 2 2 7 6" xfId="34029"/>
    <cellStyle name="Prefilled 2 2 7 7" xfId="34030"/>
    <cellStyle name="Prefilled 2 2 70" xfId="6463"/>
    <cellStyle name="Prefilled 2 2 70 2" xfId="34031"/>
    <cellStyle name="Prefilled 2 2 70 3" xfId="34032"/>
    <cellStyle name="Prefilled 2 2 70 4" xfId="34033"/>
    <cellStyle name="Prefilled 2 2 70 5" xfId="34034"/>
    <cellStyle name="Prefilled 2 2 70 6" xfId="34035"/>
    <cellStyle name="Prefilled 2 2 70 7" xfId="34036"/>
    <cellStyle name="Prefilled 2 2 71" xfId="6464"/>
    <cellStyle name="Prefilled 2 2 71 2" xfId="34037"/>
    <cellStyle name="Prefilled 2 2 71 3" xfId="34038"/>
    <cellStyle name="Prefilled 2 2 71 4" xfId="34039"/>
    <cellStyle name="Prefilled 2 2 71 5" xfId="34040"/>
    <cellStyle name="Prefilled 2 2 71 6" xfId="34041"/>
    <cellStyle name="Prefilled 2 2 71 7" xfId="34042"/>
    <cellStyle name="Prefilled 2 2 72" xfId="6465"/>
    <cellStyle name="Prefilled 2 2 72 2" xfId="34043"/>
    <cellStyle name="Prefilled 2 2 72 3" xfId="34044"/>
    <cellStyle name="Prefilled 2 2 72 4" xfId="34045"/>
    <cellStyle name="Prefilled 2 2 72 5" xfId="34046"/>
    <cellStyle name="Prefilled 2 2 72 6" xfId="34047"/>
    <cellStyle name="Prefilled 2 2 72 7" xfId="34048"/>
    <cellStyle name="Prefilled 2 2 73" xfId="6466"/>
    <cellStyle name="Prefilled 2 2 73 2" xfId="34049"/>
    <cellStyle name="Prefilled 2 2 73 3" xfId="34050"/>
    <cellStyle name="Prefilled 2 2 73 4" xfId="34051"/>
    <cellStyle name="Prefilled 2 2 73 5" xfId="34052"/>
    <cellStyle name="Prefilled 2 2 73 6" xfId="34053"/>
    <cellStyle name="Prefilled 2 2 73 7" xfId="34054"/>
    <cellStyle name="Prefilled 2 2 74" xfId="6467"/>
    <cellStyle name="Prefilled 2 2 74 2" xfId="34055"/>
    <cellStyle name="Prefilled 2 2 74 3" xfId="34056"/>
    <cellStyle name="Prefilled 2 2 74 4" xfId="34057"/>
    <cellStyle name="Prefilled 2 2 74 5" xfId="34058"/>
    <cellStyle name="Prefilled 2 2 74 6" xfId="34059"/>
    <cellStyle name="Prefilled 2 2 74 7" xfId="34060"/>
    <cellStyle name="Prefilled 2 2 75" xfId="6468"/>
    <cellStyle name="Prefilled 2 2 75 2" xfId="34061"/>
    <cellStyle name="Prefilled 2 2 75 3" xfId="34062"/>
    <cellStyle name="Prefilled 2 2 75 4" xfId="34063"/>
    <cellStyle name="Prefilled 2 2 75 5" xfId="34064"/>
    <cellStyle name="Prefilled 2 2 75 6" xfId="34065"/>
    <cellStyle name="Prefilled 2 2 75 7" xfId="34066"/>
    <cellStyle name="Prefilled 2 2 76" xfId="6469"/>
    <cellStyle name="Prefilled 2 2 76 2" xfId="34067"/>
    <cellStyle name="Prefilled 2 2 76 3" xfId="34068"/>
    <cellStyle name="Prefilled 2 2 76 4" xfId="34069"/>
    <cellStyle name="Prefilled 2 2 76 5" xfId="34070"/>
    <cellStyle name="Prefilled 2 2 76 6" xfId="34071"/>
    <cellStyle name="Prefilled 2 2 76 7" xfId="34072"/>
    <cellStyle name="Prefilled 2 2 77" xfId="6470"/>
    <cellStyle name="Prefilled 2 2 77 2" xfId="34073"/>
    <cellStyle name="Prefilled 2 2 77 3" xfId="34074"/>
    <cellStyle name="Prefilled 2 2 77 4" xfId="34075"/>
    <cellStyle name="Prefilled 2 2 77 5" xfId="34076"/>
    <cellStyle name="Prefilled 2 2 77 6" xfId="34077"/>
    <cellStyle name="Prefilled 2 2 77 7" xfId="34078"/>
    <cellStyle name="Prefilled 2 2 78" xfId="6471"/>
    <cellStyle name="Prefilled 2 2 78 2" xfId="34079"/>
    <cellStyle name="Prefilled 2 2 78 3" xfId="34080"/>
    <cellStyle name="Prefilled 2 2 78 4" xfId="34081"/>
    <cellStyle name="Prefilled 2 2 78 5" xfId="34082"/>
    <cellStyle name="Prefilled 2 2 78 6" xfId="34083"/>
    <cellStyle name="Prefilled 2 2 78 7" xfId="34084"/>
    <cellStyle name="Prefilled 2 2 79" xfId="6472"/>
    <cellStyle name="Prefilled 2 2 79 2" xfId="34085"/>
    <cellStyle name="Prefilled 2 2 79 3" xfId="34086"/>
    <cellStyle name="Prefilled 2 2 79 4" xfId="34087"/>
    <cellStyle name="Prefilled 2 2 79 5" xfId="34088"/>
    <cellStyle name="Prefilled 2 2 79 6" xfId="34089"/>
    <cellStyle name="Prefilled 2 2 79 7" xfId="34090"/>
    <cellStyle name="Prefilled 2 2 8" xfId="6473"/>
    <cellStyle name="Prefilled 2 2 8 2" xfId="34091"/>
    <cellStyle name="Prefilled 2 2 8 3" xfId="34092"/>
    <cellStyle name="Prefilled 2 2 8 4" xfId="34093"/>
    <cellStyle name="Prefilled 2 2 8 5" xfId="34094"/>
    <cellStyle name="Prefilled 2 2 8 6" xfId="34095"/>
    <cellStyle name="Prefilled 2 2 8 7" xfId="34096"/>
    <cellStyle name="Prefilled 2 2 80" xfId="6474"/>
    <cellStyle name="Prefilled 2 2 80 2" xfId="34097"/>
    <cellStyle name="Prefilled 2 2 80 3" xfId="34098"/>
    <cellStyle name="Prefilled 2 2 80 4" xfId="34099"/>
    <cellStyle name="Prefilled 2 2 80 5" xfId="34100"/>
    <cellStyle name="Prefilled 2 2 80 6" xfId="34101"/>
    <cellStyle name="Prefilled 2 2 80 7" xfId="34102"/>
    <cellStyle name="Prefilled 2 2 81" xfId="6475"/>
    <cellStyle name="Prefilled 2 2 81 2" xfId="34103"/>
    <cellStyle name="Prefilled 2 2 81 3" xfId="34104"/>
    <cellStyle name="Prefilled 2 2 81 4" xfId="34105"/>
    <cellStyle name="Prefilled 2 2 81 5" xfId="34106"/>
    <cellStyle name="Prefilled 2 2 81 6" xfId="34107"/>
    <cellStyle name="Prefilled 2 2 81 7" xfId="34108"/>
    <cellStyle name="Prefilled 2 2 82" xfId="6476"/>
    <cellStyle name="Prefilled 2 2 82 2" xfId="34109"/>
    <cellStyle name="Prefilled 2 2 82 3" xfId="34110"/>
    <cellStyle name="Prefilled 2 2 82 4" xfId="34111"/>
    <cellStyle name="Prefilled 2 2 82 5" xfId="34112"/>
    <cellStyle name="Prefilled 2 2 82 6" xfId="34113"/>
    <cellStyle name="Prefilled 2 2 82 7" xfId="34114"/>
    <cellStyle name="Prefilled 2 2 83" xfId="6477"/>
    <cellStyle name="Prefilled 2 2 83 2" xfId="34115"/>
    <cellStyle name="Prefilled 2 2 83 3" xfId="34116"/>
    <cellStyle name="Prefilled 2 2 83 4" xfId="34117"/>
    <cellStyle name="Prefilled 2 2 83 5" xfId="34118"/>
    <cellStyle name="Prefilled 2 2 83 6" xfId="34119"/>
    <cellStyle name="Prefilled 2 2 83 7" xfId="34120"/>
    <cellStyle name="Prefilled 2 2 84" xfId="6478"/>
    <cellStyle name="Prefilled 2 2 84 2" xfId="34121"/>
    <cellStyle name="Prefilled 2 2 84 3" xfId="34122"/>
    <cellStyle name="Prefilled 2 2 84 4" xfId="34123"/>
    <cellStyle name="Prefilled 2 2 84 5" xfId="34124"/>
    <cellStyle name="Prefilled 2 2 84 6" xfId="34125"/>
    <cellStyle name="Prefilled 2 2 84 7" xfId="34126"/>
    <cellStyle name="Prefilled 2 2 85" xfId="6479"/>
    <cellStyle name="Prefilled 2 2 85 2" xfId="34127"/>
    <cellStyle name="Prefilled 2 2 85 3" xfId="34128"/>
    <cellStyle name="Prefilled 2 2 85 4" xfId="34129"/>
    <cellStyle name="Prefilled 2 2 85 5" xfId="34130"/>
    <cellStyle name="Prefilled 2 2 85 6" xfId="34131"/>
    <cellStyle name="Prefilled 2 2 85 7" xfId="34132"/>
    <cellStyle name="Prefilled 2 2 86" xfId="6480"/>
    <cellStyle name="Prefilled 2 2 86 2" xfId="34133"/>
    <cellStyle name="Prefilled 2 2 86 3" xfId="34134"/>
    <cellStyle name="Prefilled 2 2 86 4" xfId="34135"/>
    <cellStyle name="Prefilled 2 2 86 5" xfId="34136"/>
    <cellStyle name="Prefilled 2 2 86 6" xfId="34137"/>
    <cellStyle name="Prefilled 2 2 86 7" xfId="34138"/>
    <cellStyle name="Prefilled 2 2 87" xfId="6481"/>
    <cellStyle name="Prefilled 2 2 87 2" xfId="34139"/>
    <cellStyle name="Prefilled 2 2 87 3" xfId="34140"/>
    <cellStyle name="Prefilled 2 2 87 4" xfId="34141"/>
    <cellStyle name="Prefilled 2 2 87 5" xfId="34142"/>
    <cellStyle name="Prefilled 2 2 87 6" xfId="34143"/>
    <cellStyle name="Prefilled 2 2 87 7" xfId="34144"/>
    <cellStyle name="Prefilled 2 2 88" xfId="6482"/>
    <cellStyle name="Prefilled 2 2 88 2" xfId="34145"/>
    <cellStyle name="Prefilled 2 2 88 3" xfId="34146"/>
    <cellStyle name="Prefilled 2 2 88 4" xfId="34147"/>
    <cellStyle name="Prefilled 2 2 88 5" xfId="34148"/>
    <cellStyle name="Prefilled 2 2 88 6" xfId="34149"/>
    <cellStyle name="Prefilled 2 2 88 7" xfId="34150"/>
    <cellStyle name="Prefilled 2 2 89" xfId="6483"/>
    <cellStyle name="Prefilled 2 2 89 2" xfId="34151"/>
    <cellStyle name="Prefilled 2 2 89 3" xfId="34152"/>
    <cellStyle name="Prefilled 2 2 89 4" xfId="34153"/>
    <cellStyle name="Prefilled 2 2 89 5" xfId="34154"/>
    <cellStyle name="Prefilled 2 2 89 6" xfId="34155"/>
    <cellStyle name="Prefilled 2 2 89 7" xfId="34156"/>
    <cellStyle name="Prefilled 2 2 9" xfId="6484"/>
    <cellStyle name="Prefilled 2 2 9 2" xfId="34157"/>
    <cellStyle name="Prefilled 2 2 9 3" xfId="34158"/>
    <cellStyle name="Prefilled 2 2 9 4" xfId="34159"/>
    <cellStyle name="Prefilled 2 2 9 5" xfId="34160"/>
    <cellStyle name="Prefilled 2 2 9 6" xfId="34161"/>
    <cellStyle name="Prefilled 2 2 9 7" xfId="34162"/>
    <cellStyle name="Prefilled 2 2 90" xfId="6485"/>
    <cellStyle name="Prefilled 2 2 90 2" xfId="34163"/>
    <cellStyle name="Prefilled 2 2 90 3" xfId="34164"/>
    <cellStyle name="Prefilled 2 2 90 4" xfId="34165"/>
    <cellStyle name="Prefilled 2 2 90 5" xfId="34166"/>
    <cellStyle name="Prefilled 2 2 90 6" xfId="34167"/>
    <cellStyle name="Prefilled 2 2 90 7" xfId="34168"/>
    <cellStyle name="Prefilled 2 2 91" xfId="6486"/>
    <cellStyle name="Prefilled 2 2 91 2" xfId="34169"/>
    <cellStyle name="Prefilled 2 2 91 3" xfId="34170"/>
    <cellStyle name="Prefilled 2 2 91 4" xfId="34171"/>
    <cellStyle name="Prefilled 2 2 91 5" xfId="34172"/>
    <cellStyle name="Prefilled 2 2 91 6" xfId="34173"/>
    <cellStyle name="Prefilled 2 2 91 7" xfId="34174"/>
    <cellStyle name="Prefilled 2 2 92" xfId="6487"/>
    <cellStyle name="Prefilled 2 2 92 2" xfId="34175"/>
    <cellStyle name="Prefilled 2 2 92 3" xfId="34176"/>
    <cellStyle name="Prefilled 2 2 92 4" xfId="34177"/>
    <cellStyle name="Prefilled 2 2 92 5" xfId="34178"/>
    <cellStyle name="Prefilled 2 2 92 6" xfId="34179"/>
    <cellStyle name="Prefilled 2 2 92 7" xfId="34180"/>
    <cellStyle name="Prefilled 2 2 93" xfId="6488"/>
    <cellStyle name="Prefilled 2 2 93 2" xfId="34181"/>
    <cellStyle name="Prefilled 2 2 93 3" xfId="34182"/>
    <cellStyle name="Prefilled 2 2 93 4" xfId="34183"/>
    <cellStyle name="Prefilled 2 2 93 5" xfId="34184"/>
    <cellStyle name="Prefilled 2 2 93 6" xfId="34185"/>
    <cellStyle name="Prefilled 2 2 94" xfId="12186"/>
    <cellStyle name="Prefilled 2 2 95" xfId="34186"/>
    <cellStyle name="Prefilled 2 2 96" xfId="34187"/>
    <cellStyle name="Prefilled 2 2 97" xfId="34188"/>
    <cellStyle name="Prefilled 2 2 98" xfId="34189"/>
    <cellStyle name="Prefilled 2 2 99" xfId="34190"/>
    <cellStyle name="Prefilled 2 2_Cashflow trend" xfId="2482"/>
    <cellStyle name="Prefilled 2 20" xfId="6489"/>
    <cellStyle name="Prefilled 2 20 2" xfId="34191"/>
    <cellStyle name="Prefilled 2 20 3" xfId="34192"/>
    <cellStyle name="Prefilled 2 20 4" xfId="34193"/>
    <cellStyle name="Prefilled 2 20 5" xfId="34194"/>
    <cellStyle name="Prefilled 2 20 6" xfId="34195"/>
    <cellStyle name="Prefilled 2 20 7" xfId="34196"/>
    <cellStyle name="Prefilled 2 21" xfId="6490"/>
    <cellStyle name="Prefilled 2 21 2" xfId="34197"/>
    <cellStyle name="Prefilled 2 21 3" xfId="34198"/>
    <cellStyle name="Prefilled 2 21 4" xfId="34199"/>
    <cellStyle name="Prefilled 2 21 5" xfId="34200"/>
    <cellStyle name="Prefilled 2 21 6" xfId="34201"/>
    <cellStyle name="Prefilled 2 21 7" xfId="34202"/>
    <cellStyle name="Prefilled 2 22" xfId="6491"/>
    <cellStyle name="Prefilled 2 22 2" xfId="34203"/>
    <cellStyle name="Prefilled 2 22 3" xfId="34204"/>
    <cellStyle name="Prefilled 2 22 4" xfId="34205"/>
    <cellStyle name="Prefilled 2 22 5" xfId="34206"/>
    <cellStyle name="Prefilled 2 22 6" xfId="34207"/>
    <cellStyle name="Prefilled 2 22 7" xfId="34208"/>
    <cellStyle name="Prefilled 2 23" xfId="6492"/>
    <cellStyle name="Prefilled 2 23 2" xfId="34209"/>
    <cellStyle name="Prefilled 2 23 3" xfId="34210"/>
    <cellStyle name="Prefilled 2 23 4" xfId="34211"/>
    <cellStyle name="Prefilled 2 23 5" xfId="34212"/>
    <cellStyle name="Prefilled 2 23 6" xfId="34213"/>
    <cellStyle name="Prefilled 2 23 7" xfId="34214"/>
    <cellStyle name="Prefilled 2 24" xfId="6493"/>
    <cellStyle name="Prefilled 2 24 2" xfId="34215"/>
    <cellStyle name="Prefilled 2 24 3" xfId="34216"/>
    <cellStyle name="Prefilled 2 24 4" xfId="34217"/>
    <cellStyle name="Prefilled 2 24 5" xfId="34218"/>
    <cellStyle name="Prefilled 2 24 6" xfId="34219"/>
    <cellStyle name="Prefilled 2 24 7" xfId="34220"/>
    <cellStyle name="Prefilled 2 25" xfId="6494"/>
    <cellStyle name="Prefilled 2 25 2" xfId="34221"/>
    <cellStyle name="Prefilled 2 25 3" xfId="34222"/>
    <cellStyle name="Prefilled 2 25 4" xfId="34223"/>
    <cellStyle name="Prefilled 2 25 5" xfId="34224"/>
    <cellStyle name="Prefilled 2 25 6" xfId="34225"/>
    <cellStyle name="Prefilled 2 25 7" xfId="34226"/>
    <cellStyle name="Prefilled 2 26" xfId="6495"/>
    <cellStyle name="Prefilled 2 26 2" xfId="34227"/>
    <cellStyle name="Prefilled 2 26 3" xfId="34228"/>
    <cellStyle name="Prefilled 2 26 4" xfId="34229"/>
    <cellStyle name="Prefilled 2 26 5" xfId="34230"/>
    <cellStyle name="Prefilled 2 26 6" xfId="34231"/>
    <cellStyle name="Prefilled 2 26 7" xfId="34232"/>
    <cellStyle name="Prefilled 2 27" xfId="6496"/>
    <cellStyle name="Prefilled 2 27 2" xfId="34233"/>
    <cellStyle name="Prefilled 2 27 3" xfId="34234"/>
    <cellStyle name="Prefilled 2 27 4" xfId="34235"/>
    <cellStyle name="Prefilled 2 27 5" xfId="34236"/>
    <cellStyle name="Prefilled 2 27 6" xfId="34237"/>
    <cellStyle name="Prefilled 2 27 7" xfId="34238"/>
    <cellStyle name="Prefilled 2 28" xfId="6497"/>
    <cellStyle name="Prefilled 2 28 2" xfId="34239"/>
    <cellStyle name="Prefilled 2 28 3" xfId="34240"/>
    <cellStyle name="Prefilled 2 28 4" xfId="34241"/>
    <cellStyle name="Prefilled 2 28 5" xfId="34242"/>
    <cellStyle name="Prefilled 2 28 6" xfId="34243"/>
    <cellStyle name="Prefilled 2 28 7" xfId="34244"/>
    <cellStyle name="Prefilled 2 29" xfId="6498"/>
    <cellStyle name="Prefilled 2 29 2" xfId="34245"/>
    <cellStyle name="Prefilled 2 29 3" xfId="34246"/>
    <cellStyle name="Prefilled 2 29 4" xfId="34247"/>
    <cellStyle name="Prefilled 2 29 5" xfId="34248"/>
    <cellStyle name="Prefilled 2 29 6" xfId="34249"/>
    <cellStyle name="Prefilled 2 29 7" xfId="34250"/>
    <cellStyle name="Prefilled 2 3" xfId="2483"/>
    <cellStyle name="Prefilled 2 3 10" xfId="6499"/>
    <cellStyle name="Prefilled 2 3 10 2" xfId="34251"/>
    <cellStyle name="Prefilled 2 3 10 3" xfId="34252"/>
    <cellStyle name="Prefilled 2 3 10 4" xfId="34253"/>
    <cellStyle name="Prefilled 2 3 10 5" xfId="34254"/>
    <cellStyle name="Prefilled 2 3 10 6" xfId="34255"/>
    <cellStyle name="Prefilled 2 3 10 7" xfId="34256"/>
    <cellStyle name="Prefilled 2 3 100" xfId="34257"/>
    <cellStyle name="Prefilled 2 3 101" xfId="34258"/>
    <cellStyle name="Prefilled 2 3 102" xfId="34259"/>
    <cellStyle name="Prefilled 2 3 11" xfId="6500"/>
    <cellStyle name="Prefilled 2 3 11 2" xfId="34260"/>
    <cellStyle name="Prefilled 2 3 11 3" xfId="34261"/>
    <cellStyle name="Prefilled 2 3 11 4" xfId="34262"/>
    <cellStyle name="Prefilled 2 3 11 5" xfId="34263"/>
    <cellStyle name="Prefilled 2 3 11 6" xfId="34264"/>
    <cellStyle name="Prefilled 2 3 11 7" xfId="34265"/>
    <cellStyle name="Prefilled 2 3 12" xfId="6501"/>
    <cellStyle name="Prefilled 2 3 12 2" xfId="34266"/>
    <cellStyle name="Prefilled 2 3 12 3" xfId="34267"/>
    <cellStyle name="Prefilled 2 3 12 4" xfId="34268"/>
    <cellStyle name="Prefilled 2 3 12 5" xfId="34269"/>
    <cellStyle name="Prefilled 2 3 12 6" xfId="34270"/>
    <cellStyle name="Prefilled 2 3 12 7" xfId="34271"/>
    <cellStyle name="Prefilled 2 3 13" xfId="6502"/>
    <cellStyle name="Prefilled 2 3 13 2" xfId="34272"/>
    <cellStyle name="Prefilled 2 3 13 3" xfId="34273"/>
    <cellStyle name="Prefilled 2 3 13 4" xfId="34274"/>
    <cellStyle name="Prefilled 2 3 13 5" xfId="34275"/>
    <cellStyle name="Prefilled 2 3 13 6" xfId="34276"/>
    <cellStyle name="Prefilled 2 3 13 7" xfId="34277"/>
    <cellStyle name="Prefilled 2 3 14" xfId="6503"/>
    <cellStyle name="Prefilled 2 3 14 2" xfId="34278"/>
    <cellStyle name="Prefilled 2 3 14 3" xfId="34279"/>
    <cellStyle name="Prefilled 2 3 14 4" xfId="34280"/>
    <cellStyle name="Prefilled 2 3 14 5" xfId="34281"/>
    <cellStyle name="Prefilled 2 3 14 6" xfId="34282"/>
    <cellStyle name="Prefilled 2 3 14 7" xfId="34283"/>
    <cellStyle name="Prefilled 2 3 15" xfId="6504"/>
    <cellStyle name="Prefilled 2 3 15 2" xfId="34284"/>
    <cellStyle name="Prefilled 2 3 15 3" xfId="34285"/>
    <cellStyle name="Prefilled 2 3 15 4" xfId="34286"/>
    <cellStyle name="Prefilled 2 3 15 5" xfId="34287"/>
    <cellStyle name="Prefilled 2 3 15 6" xfId="34288"/>
    <cellStyle name="Prefilled 2 3 15 7" xfId="34289"/>
    <cellStyle name="Prefilled 2 3 16" xfId="6505"/>
    <cellStyle name="Prefilled 2 3 16 2" xfId="34290"/>
    <cellStyle name="Prefilled 2 3 16 3" xfId="34291"/>
    <cellStyle name="Prefilled 2 3 16 4" xfId="34292"/>
    <cellStyle name="Prefilled 2 3 16 5" xfId="34293"/>
    <cellStyle name="Prefilled 2 3 16 6" xfId="34294"/>
    <cellStyle name="Prefilled 2 3 16 7" xfId="34295"/>
    <cellStyle name="Prefilled 2 3 17" xfId="6506"/>
    <cellStyle name="Prefilled 2 3 17 2" xfId="34296"/>
    <cellStyle name="Prefilled 2 3 17 3" xfId="34297"/>
    <cellStyle name="Prefilled 2 3 17 4" xfId="34298"/>
    <cellStyle name="Prefilled 2 3 17 5" xfId="34299"/>
    <cellStyle name="Prefilled 2 3 17 6" xfId="34300"/>
    <cellStyle name="Prefilled 2 3 17 7" xfId="34301"/>
    <cellStyle name="Prefilled 2 3 18" xfId="6507"/>
    <cellStyle name="Prefilled 2 3 18 2" xfId="34302"/>
    <cellStyle name="Prefilled 2 3 18 3" xfId="34303"/>
    <cellStyle name="Prefilled 2 3 18 4" xfId="34304"/>
    <cellStyle name="Prefilled 2 3 18 5" xfId="34305"/>
    <cellStyle name="Prefilled 2 3 18 6" xfId="34306"/>
    <cellStyle name="Prefilled 2 3 18 7" xfId="34307"/>
    <cellStyle name="Prefilled 2 3 19" xfId="6508"/>
    <cellStyle name="Prefilled 2 3 19 2" xfId="34308"/>
    <cellStyle name="Prefilled 2 3 19 3" xfId="34309"/>
    <cellStyle name="Prefilled 2 3 19 4" xfId="34310"/>
    <cellStyle name="Prefilled 2 3 19 5" xfId="34311"/>
    <cellStyle name="Prefilled 2 3 19 6" xfId="34312"/>
    <cellStyle name="Prefilled 2 3 19 7" xfId="34313"/>
    <cellStyle name="Prefilled 2 3 2" xfId="2484"/>
    <cellStyle name="Prefilled 2 3 2 10" xfId="34314"/>
    <cellStyle name="Prefilled 2 3 2 11" xfId="34315"/>
    <cellStyle name="Prefilled 2 3 2 2" xfId="13197"/>
    <cellStyle name="Prefilled 2 3 2 3" xfId="34316"/>
    <cellStyle name="Prefilled 2 3 2 4" xfId="34317"/>
    <cellStyle name="Prefilled 2 3 2 5" xfId="34318"/>
    <cellStyle name="Prefilled 2 3 2 6" xfId="34319"/>
    <cellStyle name="Prefilled 2 3 2 7" xfId="34320"/>
    <cellStyle name="Prefilled 2 3 2 8" xfId="34321"/>
    <cellStyle name="Prefilled 2 3 2 9" xfId="34322"/>
    <cellStyle name="Prefilled 2 3 2_YL Capex Cashflow &amp; Dep" xfId="13515"/>
    <cellStyle name="Prefilled 2 3 20" xfId="6509"/>
    <cellStyle name="Prefilled 2 3 20 2" xfId="34323"/>
    <cellStyle name="Prefilled 2 3 20 3" xfId="34324"/>
    <cellStyle name="Prefilled 2 3 20 4" xfId="34325"/>
    <cellStyle name="Prefilled 2 3 20 5" xfId="34326"/>
    <cellStyle name="Prefilled 2 3 20 6" xfId="34327"/>
    <cellStyle name="Prefilled 2 3 20 7" xfId="34328"/>
    <cellStyle name="Prefilled 2 3 21" xfId="6510"/>
    <cellStyle name="Prefilled 2 3 21 2" xfId="34329"/>
    <cellStyle name="Prefilled 2 3 21 3" xfId="34330"/>
    <cellStyle name="Prefilled 2 3 21 4" xfId="34331"/>
    <cellStyle name="Prefilled 2 3 21 5" xfId="34332"/>
    <cellStyle name="Prefilled 2 3 21 6" xfId="34333"/>
    <cellStyle name="Prefilled 2 3 21 7" xfId="34334"/>
    <cellStyle name="Prefilled 2 3 22" xfId="6511"/>
    <cellStyle name="Prefilled 2 3 22 2" xfId="34335"/>
    <cellStyle name="Prefilled 2 3 22 3" xfId="34336"/>
    <cellStyle name="Prefilled 2 3 22 4" xfId="34337"/>
    <cellStyle name="Prefilled 2 3 22 5" xfId="34338"/>
    <cellStyle name="Prefilled 2 3 22 6" xfId="34339"/>
    <cellStyle name="Prefilled 2 3 22 7" xfId="34340"/>
    <cellStyle name="Prefilled 2 3 23" xfId="6512"/>
    <cellStyle name="Prefilled 2 3 23 2" xfId="34341"/>
    <cellStyle name="Prefilled 2 3 23 3" xfId="34342"/>
    <cellStyle name="Prefilled 2 3 23 4" xfId="34343"/>
    <cellStyle name="Prefilled 2 3 23 5" xfId="34344"/>
    <cellStyle name="Prefilled 2 3 23 6" xfId="34345"/>
    <cellStyle name="Prefilled 2 3 23 7" xfId="34346"/>
    <cellStyle name="Prefilled 2 3 24" xfId="6513"/>
    <cellStyle name="Prefilled 2 3 24 2" xfId="34347"/>
    <cellStyle name="Prefilled 2 3 24 3" xfId="34348"/>
    <cellStyle name="Prefilled 2 3 24 4" xfId="34349"/>
    <cellStyle name="Prefilled 2 3 24 5" xfId="34350"/>
    <cellStyle name="Prefilled 2 3 24 6" xfId="34351"/>
    <cellStyle name="Prefilled 2 3 24 7" xfId="34352"/>
    <cellStyle name="Prefilled 2 3 25" xfId="6514"/>
    <cellStyle name="Prefilled 2 3 25 2" xfId="34353"/>
    <cellStyle name="Prefilled 2 3 25 3" xfId="34354"/>
    <cellStyle name="Prefilled 2 3 25 4" xfId="34355"/>
    <cellStyle name="Prefilled 2 3 25 5" xfId="34356"/>
    <cellStyle name="Prefilled 2 3 25 6" xfId="34357"/>
    <cellStyle name="Prefilled 2 3 25 7" xfId="34358"/>
    <cellStyle name="Prefilled 2 3 26" xfId="6515"/>
    <cellStyle name="Prefilled 2 3 26 2" xfId="34359"/>
    <cellStyle name="Prefilled 2 3 26 3" xfId="34360"/>
    <cellStyle name="Prefilled 2 3 26 4" xfId="34361"/>
    <cellStyle name="Prefilled 2 3 26 5" xfId="34362"/>
    <cellStyle name="Prefilled 2 3 26 6" xfId="34363"/>
    <cellStyle name="Prefilled 2 3 26 7" xfId="34364"/>
    <cellStyle name="Prefilled 2 3 27" xfId="6516"/>
    <cellStyle name="Prefilled 2 3 27 2" xfId="34365"/>
    <cellStyle name="Prefilled 2 3 27 3" xfId="34366"/>
    <cellStyle name="Prefilled 2 3 27 4" xfId="34367"/>
    <cellStyle name="Prefilled 2 3 27 5" xfId="34368"/>
    <cellStyle name="Prefilled 2 3 27 6" xfId="34369"/>
    <cellStyle name="Prefilled 2 3 27 7" xfId="34370"/>
    <cellStyle name="Prefilled 2 3 28" xfId="6517"/>
    <cellStyle name="Prefilled 2 3 28 2" xfId="34371"/>
    <cellStyle name="Prefilled 2 3 28 3" xfId="34372"/>
    <cellStyle name="Prefilled 2 3 28 4" xfId="34373"/>
    <cellStyle name="Prefilled 2 3 28 5" xfId="34374"/>
    <cellStyle name="Prefilled 2 3 28 6" xfId="34375"/>
    <cellStyle name="Prefilled 2 3 28 7" xfId="34376"/>
    <cellStyle name="Prefilled 2 3 29" xfId="6518"/>
    <cellStyle name="Prefilled 2 3 29 2" xfId="34377"/>
    <cellStyle name="Prefilled 2 3 29 3" xfId="34378"/>
    <cellStyle name="Prefilled 2 3 29 4" xfId="34379"/>
    <cellStyle name="Prefilled 2 3 29 5" xfId="34380"/>
    <cellStyle name="Prefilled 2 3 29 6" xfId="34381"/>
    <cellStyle name="Prefilled 2 3 29 7" xfId="34382"/>
    <cellStyle name="Prefilled 2 3 3" xfId="6519"/>
    <cellStyle name="Prefilled 2 3 3 10" xfId="34383"/>
    <cellStyle name="Prefilled 2 3 3 2" xfId="34384"/>
    <cellStyle name="Prefilled 2 3 3 3" xfId="34385"/>
    <cellStyle name="Prefilled 2 3 3 4" xfId="34386"/>
    <cellStyle name="Prefilled 2 3 3 5" xfId="34387"/>
    <cellStyle name="Prefilled 2 3 3 6" xfId="34388"/>
    <cellStyle name="Prefilled 2 3 3 7" xfId="34389"/>
    <cellStyle name="Prefilled 2 3 3 8" xfId="34390"/>
    <cellStyle name="Prefilled 2 3 3 9" xfId="34391"/>
    <cellStyle name="Prefilled 2 3 30" xfId="6520"/>
    <cellStyle name="Prefilled 2 3 30 2" xfId="34392"/>
    <cellStyle name="Prefilled 2 3 30 3" xfId="34393"/>
    <cellStyle name="Prefilled 2 3 30 4" xfId="34394"/>
    <cellStyle name="Prefilled 2 3 30 5" xfId="34395"/>
    <cellStyle name="Prefilled 2 3 30 6" xfId="34396"/>
    <cellStyle name="Prefilled 2 3 30 7" xfId="34397"/>
    <cellStyle name="Prefilled 2 3 31" xfId="6521"/>
    <cellStyle name="Prefilled 2 3 31 2" xfId="34398"/>
    <cellStyle name="Prefilled 2 3 31 3" xfId="34399"/>
    <cellStyle name="Prefilled 2 3 31 4" xfId="34400"/>
    <cellStyle name="Prefilled 2 3 31 5" xfId="34401"/>
    <cellStyle name="Prefilled 2 3 31 6" xfId="34402"/>
    <cellStyle name="Prefilled 2 3 31 7" xfId="34403"/>
    <cellStyle name="Prefilled 2 3 32" xfId="6522"/>
    <cellStyle name="Prefilled 2 3 32 2" xfId="34404"/>
    <cellStyle name="Prefilled 2 3 32 3" xfId="34405"/>
    <cellStyle name="Prefilled 2 3 32 4" xfId="34406"/>
    <cellStyle name="Prefilled 2 3 32 5" xfId="34407"/>
    <cellStyle name="Prefilled 2 3 32 6" xfId="34408"/>
    <cellStyle name="Prefilled 2 3 32 7" xfId="34409"/>
    <cellStyle name="Prefilled 2 3 33" xfId="6523"/>
    <cellStyle name="Prefilled 2 3 33 2" xfId="34410"/>
    <cellStyle name="Prefilled 2 3 33 3" xfId="34411"/>
    <cellStyle name="Prefilled 2 3 33 4" xfId="34412"/>
    <cellStyle name="Prefilled 2 3 33 5" xfId="34413"/>
    <cellStyle name="Prefilled 2 3 33 6" xfId="34414"/>
    <cellStyle name="Prefilled 2 3 33 7" xfId="34415"/>
    <cellStyle name="Prefilled 2 3 34" xfId="6524"/>
    <cellStyle name="Prefilled 2 3 34 2" xfId="34416"/>
    <cellStyle name="Prefilled 2 3 34 3" xfId="34417"/>
    <cellStyle name="Prefilled 2 3 34 4" xfId="34418"/>
    <cellStyle name="Prefilled 2 3 34 5" xfId="34419"/>
    <cellStyle name="Prefilled 2 3 34 6" xfId="34420"/>
    <cellStyle name="Prefilled 2 3 34 7" xfId="34421"/>
    <cellStyle name="Prefilled 2 3 35" xfId="6525"/>
    <cellStyle name="Prefilled 2 3 35 2" xfId="34422"/>
    <cellStyle name="Prefilled 2 3 35 3" xfId="34423"/>
    <cellStyle name="Prefilled 2 3 35 4" xfId="34424"/>
    <cellStyle name="Prefilled 2 3 35 5" xfId="34425"/>
    <cellStyle name="Prefilled 2 3 35 6" xfId="34426"/>
    <cellStyle name="Prefilled 2 3 35 7" xfId="34427"/>
    <cellStyle name="Prefilled 2 3 36" xfId="6526"/>
    <cellStyle name="Prefilled 2 3 36 2" xfId="34428"/>
    <cellStyle name="Prefilled 2 3 36 3" xfId="34429"/>
    <cellStyle name="Prefilled 2 3 36 4" xfId="34430"/>
    <cellStyle name="Prefilled 2 3 36 5" xfId="34431"/>
    <cellStyle name="Prefilled 2 3 36 6" xfId="34432"/>
    <cellStyle name="Prefilled 2 3 36 7" xfId="34433"/>
    <cellStyle name="Prefilled 2 3 37" xfId="6527"/>
    <cellStyle name="Prefilled 2 3 37 2" xfId="34434"/>
    <cellStyle name="Prefilled 2 3 37 3" xfId="34435"/>
    <cellStyle name="Prefilled 2 3 37 4" xfId="34436"/>
    <cellStyle name="Prefilled 2 3 37 5" xfId="34437"/>
    <cellStyle name="Prefilled 2 3 37 6" xfId="34438"/>
    <cellStyle name="Prefilled 2 3 37 7" xfId="34439"/>
    <cellStyle name="Prefilled 2 3 38" xfId="6528"/>
    <cellStyle name="Prefilled 2 3 38 2" xfId="34440"/>
    <cellStyle name="Prefilled 2 3 38 3" xfId="34441"/>
    <cellStyle name="Prefilled 2 3 38 4" xfId="34442"/>
    <cellStyle name="Prefilled 2 3 38 5" xfId="34443"/>
    <cellStyle name="Prefilled 2 3 38 6" xfId="34444"/>
    <cellStyle name="Prefilled 2 3 38 7" xfId="34445"/>
    <cellStyle name="Prefilled 2 3 39" xfId="6529"/>
    <cellStyle name="Prefilled 2 3 39 2" xfId="34446"/>
    <cellStyle name="Prefilled 2 3 39 3" xfId="34447"/>
    <cellStyle name="Prefilled 2 3 39 4" xfId="34448"/>
    <cellStyle name="Prefilled 2 3 39 5" xfId="34449"/>
    <cellStyle name="Prefilled 2 3 39 6" xfId="34450"/>
    <cellStyle name="Prefilled 2 3 39 7" xfId="34451"/>
    <cellStyle name="Prefilled 2 3 4" xfId="6530"/>
    <cellStyle name="Prefilled 2 3 4 10" xfId="34452"/>
    <cellStyle name="Prefilled 2 3 4 2" xfId="34453"/>
    <cellStyle name="Prefilled 2 3 4 3" xfId="34454"/>
    <cellStyle name="Prefilled 2 3 4 4" xfId="34455"/>
    <cellStyle name="Prefilled 2 3 4 5" xfId="34456"/>
    <cellStyle name="Prefilled 2 3 4 6" xfId="34457"/>
    <cellStyle name="Prefilled 2 3 4 7" xfId="34458"/>
    <cellStyle name="Prefilled 2 3 4 8" xfId="34459"/>
    <cellStyle name="Prefilled 2 3 4 9" xfId="34460"/>
    <cellStyle name="Prefilled 2 3 40" xfId="6531"/>
    <cellStyle name="Prefilled 2 3 40 2" xfId="34461"/>
    <cellStyle name="Prefilled 2 3 40 3" xfId="34462"/>
    <cellStyle name="Prefilled 2 3 40 4" xfId="34463"/>
    <cellStyle name="Prefilled 2 3 40 5" xfId="34464"/>
    <cellStyle name="Prefilled 2 3 40 6" xfId="34465"/>
    <cellStyle name="Prefilled 2 3 40 7" xfId="34466"/>
    <cellStyle name="Prefilled 2 3 41" xfId="6532"/>
    <cellStyle name="Prefilled 2 3 41 2" xfId="34467"/>
    <cellStyle name="Prefilled 2 3 41 3" xfId="34468"/>
    <cellStyle name="Prefilled 2 3 41 4" xfId="34469"/>
    <cellStyle name="Prefilled 2 3 41 5" xfId="34470"/>
    <cellStyle name="Prefilled 2 3 41 6" xfId="34471"/>
    <cellStyle name="Prefilled 2 3 41 7" xfId="34472"/>
    <cellStyle name="Prefilled 2 3 42" xfId="6533"/>
    <cellStyle name="Prefilled 2 3 42 2" xfId="34473"/>
    <cellStyle name="Prefilled 2 3 42 3" xfId="34474"/>
    <cellStyle name="Prefilled 2 3 42 4" xfId="34475"/>
    <cellStyle name="Prefilled 2 3 42 5" xfId="34476"/>
    <cellStyle name="Prefilled 2 3 42 6" xfId="34477"/>
    <cellStyle name="Prefilled 2 3 42 7" xfId="34478"/>
    <cellStyle name="Prefilled 2 3 43" xfId="6534"/>
    <cellStyle name="Prefilled 2 3 43 2" xfId="34479"/>
    <cellStyle name="Prefilled 2 3 43 3" xfId="34480"/>
    <cellStyle name="Prefilled 2 3 43 4" xfId="34481"/>
    <cellStyle name="Prefilled 2 3 43 5" xfId="34482"/>
    <cellStyle name="Prefilled 2 3 43 6" xfId="34483"/>
    <cellStyle name="Prefilled 2 3 43 7" xfId="34484"/>
    <cellStyle name="Prefilled 2 3 44" xfId="6535"/>
    <cellStyle name="Prefilled 2 3 44 2" xfId="34485"/>
    <cellStyle name="Prefilled 2 3 44 3" xfId="34486"/>
    <cellStyle name="Prefilled 2 3 44 4" xfId="34487"/>
    <cellStyle name="Prefilled 2 3 44 5" xfId="34488"/>
    <cellStyle name="Prefilled 2 3 44 6" xfId="34489"/>
    <cellStyle name="Prefilled 2 3 44 7" xfId="34490"/>
    <cellStyle name="Prefilled 2 3 45" xfId="6536"/>
    <cellStyle name="Prefilled 2 3 45 2" xfId="34491"/>
    <cellStyle name="Prefilled 2 3 45 3" xfId="34492"/>
    <cellStyle name="Prefilled 2 3 45 4" xfId="34493"/>
    <cellStyle name="Prefilled 2 3 45 5" xfId="34494"/>
    <cellStyle name="Prefilled 2 3 45 6" xfId="34495"/>
    <cellStyle name="Prefilled 2 3 45 7" xfId="34496"/>
    <cellStyle name="Prefilled 2 3 46" xfId="6537"/>
    <cellStyle name="Prefilled 2 3 46 2" xfId="34497"/>
    <cellStyle name="Prefilled 2 3 46 3" xfId="34498"/>
    <cellStyle name="Prefilled 2 3 46 4" xfId="34499"/>
    <cellStyle name="Prefilled 2 3 46 5" xfId="34500"/>
    <cellStyle name="Prefilled 2 3 46 6" xfId="34501"/>
    <cellStyle name="Prefilled 2 3 46 7" xfId="34502"/>
    <cellStyle name="Prefilled 2 3 47" xfId="6538"/>
    <cellStyle name="Prefilled 2 3 47 2" xfId="34503"/>
    <cellStyle name="Prefilled 2 3 47 3" xfId="34504"/>
    <cellStyle name="Prefilled 2 3 47 4" xfId="34505"/>
    <cellStyle name="Prefilled 2 3 47 5" xfId="34506"/>
    <cellStyle name="Prefilled 2 3 47 6" xfId="34507"/>
    <cellStyle name="Prefilled 2 3 47 7" xfId="34508"/>
    <cellStyle name="Prefilled 2 3 48" xfId="6539"/>
    <cellStyle name="Prefilled 2 3 48 2" xfId="34509"/>
    <cellStyle name="Prefilled 2 3 48 3" xfId="34510"/>
    <cellStyle name="Prefilled 2 3 48 4" xfId="34511"/>
    <cellStyle name="Prefilled 2 3 48 5" xfId="34512"/>
    <cellStyle name="Prefilled 2 3 48 6" xfId="34513"/>
    <cellStyle name="Prefilled 2 3 48 7" xfId="34514"/>
    <cellStyle name="Prefilled 2 3 49" xfId="6540"/>
    <cellStyle name="Prefilled 2 3 49 2" xfId="34515"/>
    <cellStyle name="Prefilled 2 3 49 3" xfId="34516"/>
    <cellStyle name="Prefilled 2 3 49 4" xfId="34517"/>
    <cellStyle name="Prefilled 2 3 49 5" xfId="34518"/>
    <cellStyle name="Prefilled 2 3 49 6" xfId="34519"/>
    <cellStyle name="Prefilled 2 3 49 7" xfId="34520"/>
    <cellStyle name="Prefilled 2 3 5" xfId="6541"/>
    <cellStyle name="Prefilled 2 3 5 2" xfId="34521"/>
    <cellStyle name="Prefilled 2 3 5 3" xfId="34522"/>
    <cellStyle name="Prefilled 2 3 5 4" xfId="34523"/>
    <cellStyle name="Prefilled 2 3 5 5" xfId="34524"/>
    <cellStyle name="Prefilled 2 3 5 6" xfId="34525"/>
    <cellStyle name="Prefilled 2 3 5 7" xfId="34526"/>
    <cellStyle name="Prefilled 2 3 50" xfId="6542"/>
    <cellStyle name="Prefilled 2 3 50 2" xfId="34527"/>
    <cellStyle name="Prefilled 2 3 50 3" xfId="34528"/>
    <cellStyle name="Prefilled 2 3 50 4" xfId="34529"/>
    <cellStyle name="Prefilled 2 3 50 5" xfId="34530"/>
    <cellStyle name="Prefilled 2 3 50 6" xfId="34531"/>
    <cellStyle name="Prefilled 2 3 50 7" xfId="34532"/>
    <cellStyle name="Prefilled 2 3 51" xfId="6543"/>
    <cellStyle name="Prefilled 2 3 51 2" xfId="34533"/>
    <cellStyle name="Prefilled 2 3 51 3" xfId="34534"/>
    <cellStyle name="Prefilled 2 3 51 4" xfId="34535"/>
    <cellStyle name="Prefilled 2 3 51 5" xfId="34536"/>
    <cellStyle name="Prefilled 2 3 51 6" xfId="34537"/>
    <cellStyle name="Prefilled 2 3 51 7" xfId="34538"/>
    <cellStyle name="Prefilled 2 3 52" xfId="6544"/>
    <cellStyle name="Prefilled 2 3 52 2" xfId="34539"/>
    <cellStyle name="Prefilled 2 3 52 3" xfId="34540"/>
    <cellStyle name="Prefilled 2 3 52 4" xfId="34541"/>
    <cellStyle name="Prefilled 2 3 52 5" xfId="34542"/>
    <cellStyle name="Prefilled 2 3 52 6" xfId="34543"/>
    <cellStyle name="Prefilled 2 3 52 7" xfId="34544"/>
    <cellStyle name="Prefilled 2 3 53" xfId="6545"/>
    <cellStyle name="Prefilled 2 3 53 2" xfId="34545"/>
    <cellStyle name="Prefilled 2 3 53 3" xfId="34546"/>
    <cellStyle name="Prefilled 2 3 53 4" xfId="34547"/>
    <cellStyle name="Prefilled 2 3 53 5" xfId="34548"/>
    <cellStyle name="Prefilled 2 3 53 6" xfId="34549"/>
    <cellStyle name="Prefilled 2 3 53 7" xfId="34550"/>
    <cellStyle name="Prefilled 2 3 54" xfId="6546"/>
    <cellStyle name="Prefilled 2 3 54 2" xfId="34551"/>
    <cellStyle name="Prefilled 2 3 54 3" xfId="34552"/>
    <cellStyle name="Prefilled 2 3 54 4" xfId="34553"/>
    <cellStyle name="Prefilled 2 3 54 5" xfId="34554"/>
    <cellStyle name="Prefilled 2 3 54 6" xfId="34555"/>
    <cellStyle name="Prefilled 2 3 54 7" xfId="34556"/>
    <cellStyle name="Prefilled 2 3 55" xfId="6547"/>
    <cellStyle name="Prefilled 2 3 55 2" xfId="34557"/>
    <cellStyle name="Prefilled 2 3 55 3" xfId="34558"/>
    <cellStyle name="Prefilled 2 3 55 4" xfId="34559"/>
    <cellStyle name="Prefilled 2 3 55 5" xfId="34560"/>
    <cellStyle name="Prefilled 2 3 55 6" xfId="34561"/>
    <cellStyle name="Prefilled 2 3 55 7" xfId="34562"/>
    <cellStyle name="Prefilled 2 3 56" xfId="6548"/>
    <cellStyle name="Prefilled 2 3 56 2" xfId="34563"/>
    <cellStyle name="Prefilled 2 3 56 3" xfId="34564"/>
    <cellStyle name="Prefilled 2 3 56 4" xfId="34565"/>
    <cellStyle name="Prefilled 2 3 56 5" xfId="34566"/>
    <cellStyle name="Prefilled 2 3 56 6" xfId="34567"/>
    <cellStyle name="Prefilled 2 3 56 7" xfId="34568"/>
    <cellStyle name="Prefilled 2 3 57" xfId="6549"/>
    <cellStyle name="Prefilled 2 3 57 2" xfId="34569"/>
    <cellStyle name="Prefilled 2 3 57 3" xfId="34570"/>
    <cellStyle name="Prefilled 2 3 57 4" xfId="34571"/>
    <cellStyle name="Prefilled 2 3 57 5" xfId="34572"/>
    <cellStyle name="Prefilled 2 3 57 6" xfId="34573"/>
    <cellStyle name="Prefilled 2 3 57 7" xfId="34574"/>
    <cellStyle name="Prefilled 2 3 58" xfId="6550"/>
    <cellStyle name="Prefilled 2 3 58 2" xfId="34575"/>
    <cellStyle name="Prefilled 2 3 58 3" xfId="34576"/>
    <cellStyle name="Prefilled 2 3 58 4" xfId="34577"/>
    <cellStyle name="Prefilled 2 3 58 5" xfId="34578"/>
    <cellStyle name="Prefilled 2 3 58 6" xfId="34579"/>
    <cellStyle name="Prefilled 2 3 58 7" xfId="34580"/>
    <cellStyle name="Prefilled 2 3 59" xfId="6551"/>
    <cellStyle name="Prefilled 2 3 59 2" xfId="34581"/>
    <cellStyle name="Prefilled 2 3 59 3" xfId="34582"/>
    <cellStyle name="Prefilled 2 3 59 4" xfId="34583"/>
    <cellStyle name="Prefilled 2 3 59 5" xfId="34584"/>
    <cellStyle name="Prefilled 2 3 59 6" xfId="34585"/>
    <cellStyle name="Prefilled 2 3 59 7" xfId="34586"/>
    <cellStyle name="Prefilled 2 3 6" xfId="6552"/>
    <cellStyle name="Prefilled 2 3 6 2" xfId="34587"/>
    <cellStyle name="Prefilled 2 3 6 3" xfId="34588"/>
    <cellStyle name="Prefilled 2 3 6 4" xfId="34589"/>
    <cellStyle name="Prefilled 2 3 6 5" xfId="34590"/>
    <cellStyle name="Prefilled 2 3 6 6" xfId="34591"/>
    <cellStyle name="Prefilled 2 3 6 7" xfId="34592"/>
    <cellStyle name="Prefilled 2 3 60" xfId="6553"/>
    <cellStyle name="Prefilled 2 3 60 2" xfId="34593"/>
    <cellStyle name="Prefilled 2 3 60 3" xfId="34594"/>
    <cellStyle name="Prefilled 2 3 60 4" xfId="34595"/>
    <cellStyle name="Prefilled 2 3 60 5" xfId="34596"/>
    <cellStyle name="Prefilled 2 3 60 6" xfId="34597"/>
    <cellStyle name="Prefilled 2 3 60 7" xfId="34598"/>
    <cellStyle name="Prefilled 2 3 61" xfId="6554"/>
    <cellStyle name="Prefilled 2 3 61 2" xfId="34599"/>
    <cellStyle name="Prefilled 2 3 61 3" xfId="34600"/>
    <cellStyle name="Prefilled 2 3 61 4" xfId="34601"/>
    <cellStyle name="Prefilled 2 3 61 5" xfId="34602"/>
    <cellStyle name="Prefilled 2 3 61 6" xfId="34603"/>
    <cellStyle name="Prefilled 2 3 61 7" xfId="34604"/>
    <cellStyle name="Prefilled 2 3 62" xfId="6555"/>
    <cellStyle name="Prefilled 2 3 62 2" xfId="34605"/>
    <cellStyle name="Prefilled 2 3 62 3" xfId="34606"/>
    <cellStyle name="Prefilled 2 3 62 4" xfId="34607"/>
    <cellStyle name="Prefilled 2 3 62 5" xfId="34608"/>
    <cellStyle name="Prefilled 2 3 62 6" xfId="34609"/>
    <cellStyle name="Prefilled 2 3 62 7" xfId="34610"/>
    <cellStyle name="Prefilled 2 3 63" xfId="6556"/>
    <cellStyle name="Prefilled 2 3 63 2" xfId="34611"/>
    <cellStyle name="Prefilled 2 3 63 3" xfId="34612"/>
    <cellStyle name="Prefilled 2 3 63 4" xfId="34613"/>
    <cellStyle name="Prefilled 2 3 63 5" xfId="34614"/>
    <cellStyle name="Prefilled 2 3 63 6" xfId="34615"/>
    <cellStyle name="Prefilled 2 3 63 7" xfId="34616"/>
    <cellStyle name="Prefilled 2 3 64" xfId="6557"/>
    <cellStyle name="Prefilled 2 3 64 2" xfId="34617"/>
    <cellStyle name="Prefilled 2 3 64 3" xfId="34618"/>
    <cellStyle name="Prefilled 2 3 64 4" xfId="34619"/>
    <cellStyle name="Prefilled 2 3 64 5" xfId="34620"/>
    <cellStyle name="Prefilled 2 3 64 6" xfId="34621"/>
    <cellStyle name="Prefilled 2 3 64 7" xfId="34622"/>
    <cellStyle name="Prefilled 2 3 65" xfId="6558"/>
    <cellStyle name="Prefilled 2 3 65 2" xfId="34623"/>
    <cellStyle name="Prefilled 2 3 65 3" xfId="34624"/>
    <cellStyle name="Prefilled 2 3 65 4" xfId="34625"/>
    <cellStyle name="Prefilled 2 3 65 5" xfId="34626"/>
    <cellStyle name="Prefilled 2 3 65 6" xfId="34627"/>
    <cellStyle name="Prefilled 2 3 65 7" xfId="34628"/>
    <cellStyle name="Prefilled 2 3 66" xfId="6559"/>
    <cellStyle name="Prefilled 2 3 66 2" xfId="34629"/>
    <cellStyle name="Prefilled 2 3 66 3" xfId="34630"/>
    <cellStyle name="Prefilled 2 3 66 4" xfId="34631"/>
    <cellStyle name="Prefilled 2 3 66 5" xfId="34632"/>
    <cellStyle name="Prefilled 2 3 66 6" xfId="34633"/>
    <cellStyle name="Prefilled 2 3 66 7" xfId="34634"/>
    <cellStyle name="Prefilled 2 3 67" xfId="6560"/>
    <cellStyle name="Prefilled 2 3 67 2" xfId="34635"/>
    <cellStyle name="Prefilled 2 3 67 3" xfId="34636"/>
    <cellStyle name="Prefilled 2 3 67 4" xfId="34637"/>
    <cellStyle name="Prefilled 2 3 67 5" xfId="34638"/>
    <cellStyle name="Prefilled 2 3 67 6" xfId="34639"/>
    <cellStyle name="Prefilled 2 3 67 7" xfId="34640"/>
    <cellStyle name="Prefilled 2 3 68" xfId="6561"/>
    <cellStyle name="Prefilled 2 3 68 2" xfId="34641"/>
    <cellStyle name="Prefilled 2 3 68 3" xfId="34642"/>
    <cellStyle name="Prefilled 2 3 68 4" xfId="34643"/>
    <cellStyle name="Prefilled 2 3 68 5" xfId="34644"/>
    <cellStyle name="Prefilled 2 3 68 6" xfId="34645"/>
    <cellStyle name="Prefilled 2 3 68 7" xfId="34646"/>
    <cellStyle name="Prefilled 2 3 69" xfId="6562"/>
    <cellStyle name="Prefilled 2 3 69 2" xfId="34647"/>
    <cellStyle name="Prefilled 2 3 69 3" xfId="34648"/>
    <cellStyle name="Prefilled 2 3 69 4" xfId="34649"/>
    <cellStyle name="Prefilled 2 3 69 5" xfId="34650"/>
    <cellStyle name="Prefilled 2 3 69 6" xfId="34651"/>
    <cellStyle name="Prefilled 2 3 69 7" xfId="34652"/>
    <cellStyle name="Prefilled 2 3 7" xfId="6563"/>
    <cellStyle name="Prefilled 2 3 7 2" xfId="34653"/>
    <cellStyle name="Prefilled 2 3 7 3" xfId="34654"/>
    <cellStyle name="Prefilled 2 3 7 4" xfId="34655"/>
    <cellStyle name="Prefilled 2 3 7 5" xfId="34656"/>
    <cellStyle name="Prefilled 2 3 7 6" xfId="34657"/>
    <cellStyle name="Prefilled 2 3 7 7" xfId="34658"/>
    <cellStyle name="Prefilled 2 3 70" xfId="6564"/>
    <cellStyle name="Prefilled 2 3 70 2" xfId="34659"/>
    <cellStyle name="Prefilled 2 3 70 3" xfId="34660"/>
    <cellStyle name="Prefilled 2 3 70 4" xfId="34661"/>
    <cellStyle name="Prefilled 2 3 70 5" xfId="34662"/>
    <cellStyle name="Prefilled 2 3 70 6" xfId="34663"/>
    <cellStyle name="Prefilled 2 3 70 7" xfId="34664"/>
    <cellStyle name="Prefilled 2 3 71" xfId="6565"/>
    <cellStyle name="Prefilled 2 3 71 2" xfId="34665"/>
    <cellStyle name="Prefilled 2 3 71 3" xfId="34666"/>
    <cellStyle name="Prefilled 2 3 71 4" xfId="34667"/>
    <cellStyle name="Prefilled 2 3 71 5" xfId="34668"/>
    <cellStyle name="Prefilled 2 3 71 6" xfId="34669"/>
    <cellStyle name="Prefilled 2 3 71 7" xfId="34670"/>
    <cellStyle name="Prefilled 2 3 72" xfId="6566"/>
    <cellStyle name="Prefilled 2 3 72 2" xfId="34671"/>
    <cellStyle name="Prefilled 2 3 72 3" xfId="34672"/>
    <cellStyle name="Prefilled 2 3 72 4" xfId="34673"/>
    <cellStyle name="Prefilled 2 3 72 5" xfId="34674"/>
    <cellStyle name="Prefilled 2 3 72 6" xfId="34675"/>
    <cellStyle name="Prefilled 2 3 72 7" xfId="34676"/>
    <cellStyle name="Prefilled 2 3 73" xfId="6567"/>
    <cellStyle name="Prefilled 2 3 73 2" xfId="34677"/>
    <cellStyle name="Prefilled 2 3 73 3" xfId="34678"/>
    <cellStyle name="Prefilled 2 3 73 4" xfId="34679"/>
    <cellStyle name="Prefilled 2 3 73 5" xfId="34680"/>
    <cellStyle name="Prefilled 2 3 73 6" xfId="34681"/>
    <cellStyle name="Prefilled 2 3 73 7" xfId="34682"/>
    <cellStyle name="Prefilled 2 3 74" xfId="6568"/>
    <cellStyle name="Prefilled 2 3 74 2" xfId="34683"/>
    <cellStyle name="Prefilled 2 3 74 3" xfId="34684"/>
    <cellStyle name="Prefilled 2 3 74 4" xfId="34685"/>
    <cellStyle name="Prefilled 2 3 74 5" xfId="34686"/>
    <cellStyle name="Prefilled 2 3 74 6" xfId="34687"/>
    <cellStyle name="Prefilled 2 3 74 7" xfId="34688"/>
    <cellStyle name="Prefilled 2 3 75" xfId="6569"/>
    <cellStyle name="Prefilled 2 3 75 2" xfId="34689"/>
    <cellStyle name="Prefilled 2 3 75 3" xfId="34690"/>
    <cellStyle name="Prefilled 2 3 75 4" xfId="34691"/>
    <cellStyle name="Prefilled 2 3 75 5" xfId="34692"/>
    <cellStyle name="Prefilled 2 3 75 6" xfId="34693"/>
    <cellStyle name="Prefilled 2 3 75 7" xfId="34694"/>
    <cellStyle name="Prefilled 2 3 76" xfId="6570"/>
    <cellStyle name="Prefilled 2 3 76 2" xfId="34695"/>
    <cellStyle name="Prefilled 2 3 76 3" xfId="34696"/>
    <cellStyle name="Prefilled 2 3 76 4" xfId="34697"/>
    <cellStyle name="Prefilled 2 3 76 5" xfId="34698"/>
    <cellStyle name="Prefilled 2 3 76 6" xfId="34699"/>
    <cellStyle name="Prefilled 2 3 76 7" xfId="34700"/>
    <cellStyle name="Prefilled 2 3 77" xfId="6571"/>
    <cellStyle name="Prefilled 2 3 77 2" xfId="34701"/>
    <cellStyle name="Prefilled 2 3 77 3" xfId="34702"/>
    <cellStyle name="Prefilled 2 3 77 4" xfId="34703"/>
    <cellStyle name="Prefilled 2 3 77 5" xfId="34704"/>
    <cellStyle name="Prefilled 2 3 77 6" xfId="34705"/>
    <cellStyle name="Prefilled 2 3 77 7" xfId="34706"/>
    <cellStyle name="Prefilled 2 3 78" xfId="6572"/>
    <cellStyle name="Prefilled 2 3 78 2" xfId="34707"/>
    <cellStyle name="Prefilled 2 3 78 3" xfId="34708"/>
    <cellStyle name="Prefilled 2 3 78 4" xfId="34709"/>
    <cellStyle name="Prefilled 2 3 78 5" xfId="34710"/>
    <cellStyle name="Prefilled 2 3 78 6" xfId="34711"/>
    <cellStyle name="Prefilled 2 3 78 7" xfId="34712"/>
    <cellStyle name="Prefilled 2 3 79" xfId="6573"/>
    <cellStyle name="Prefilled 2 3 79 2" xfId="34713"/>
    <cellStyle name="Prefilled 2 3 79 3" xfId="34714"/>
    <cellStyle name="Prefilled 2 3 79 4" xfId="34715"/>
    <cellStyle name="Prefilled 2 3 79 5" xfId="34716"/>
    <cellStyle name="Prefilled 2 3 79 6" xfId="34717"/>
    <cellStyle name="Prefilled 2 3 79 7" xfId="34718"/>
    <cellStyle name="Prefilled 2 3 8" xfId="6574"/>
    <cellStyle name="Prefilled 2 3 8 2" xfId="34719"/>
    <cellStyle name="Prefilled 2 3 8 3" xfId="34720"/>
    <cellStyle name="Prefilled 2 3 8 4" xfId="34721"/>
    <cellStyle name="Prefilled 2 3 8 5" xfId="34722"/>
    <cellStyle name="Prefilled 2 3 8 6" xfId="34723"/>
    <cellStyle name="Prefilled 2 3 8 7" xfId="34724"/>
    <cellStyle name="Prefilled 2 3 80" xfId="6575"/>
    <cellStyle name="Prefilled 2 3 80 2" xfId="34725"/>
    <cellStyle name="Prefilled 2 3 80 3" xfId="34726"/>
    <cellStyle name="Prefilled 2 3 80 4" xfId="34727"/>
    <cellStyle name="Prefilled 2 3 80 5" xfId="34728"/>
    <cellStyle name="Prefilled 2 3 80 6" xfId="34729"/>
    <cellStyle name="Prefilled 2 3 80 7" xfId="34730"/>
    <cellStyle name="Prefilled 2 3 81" xfId="6576"/>
    <cellStyle name="Prefilled 2 3 81 2" xfId="34731"/>
    <cellStyle name="Prefilled 2 3 81 3" xfId="34732"/>
    <cellStyle name="Prefilled 2 3 81 4" xfId="34733"/>
    <cellStyle name="Prefilled 2 3 81 5" xfId="34734"/>
    <cellStyle name="Prefilled 2 3 81 6" xfId="34735"/>
    <cellStyle name="Prefilled 2 3 81 7" xfId="34736"/>
    <cellStyle name="Prefilled 2 3 82" xfId="6577"/>
    <cellStyle name="Prefilled 2 3 82 2" xfId="34737"/>
    <cellStyle name="Prefilled 2 3 82 3" xfId="34738"/>
    <cellStyle name="Prefilled 2 3 82 4" xfId="34739"/>
    <cellStyle name="Prefilled 2 3 82 5" xfId="34740"/>
    <cellStyle name="Prefilled 2 3 82 6" xfId="34741"/>
    <cellStyle name="Prefilled 2 3 82 7" xfId="34742"/>
    <cellStyle name="Prefilled 2 3 83" xfId="6578"/>
    <cellStyle name="Prefilled 2 3 83 2" xfId="34743"/>
    <cellStyle name="Prefilled 2 3 83 3" xfId="34744"/>
    <cellStyle name="Prefilled 2 3 83 4" xfId="34745"/>
    <cellStyle name="Prefilled 2 3 83 5" xfId="34746"/>
    <cellStyle name="Prefilled 2 3 83 6" xfId="34747"/>
    <cellStyle name="Prefilled 2 3 83 7" xfId="34748"/>
    <cellStyle name="Prefilled 2 3 84" xfId="6579"/>
    <cellStyle name="Prefilled 2 3 84 2" xfId="34749"/>
    <cellStyle name="Prefilled 2 3 84 3" xfId="34750"/>
    <cellStyle name="Prefilled 2 3 84 4" xfId="34751"/>
    <cellStyle name="Prefilled 2 3 84 5" xfId="34752"/>
    <cellStyle name="Prefilled 2 3 84 6" xfId="34753"/>
    <cellStyle name="Prefilled 2 3 84 7" xfId="34754"/>
    <cellStyle name="Prefilled 2 3 85" xfId="6580"/>
    <cellStyle name="Prefilled 2 3 85 2" xfId="34755"/>
    <cellStyle name="Prefilled 2 3 85 3" xfId="34756"/>
    <cellStyle name="Prefilled 2 3 85 4" xfId="34757"/>
    <cellStyle name="Prefilled 2 3 85 5" xfId="34758"/>
    <cellStyle name="Prefilled 2 3 85 6" xfId="34759"/>
    <cellStyle name="Prefilled 2 3 85 7" xfId="34760"/>
    <cellStyle name="Prefilled 2 3 86" xfId="6581"/>
    <cellStyle name="Prefilled 2 3 86 2" xfId="34761"/>
    <cellStyle name="Prefilled 2 3 86 3" xfId="34762"/>
    <cellStyle name="Prefilled 2 3 86 4" xfId="34763"/>
    <cellStyle name="Prefilled 2 3 86 5" xfId="34764"/>
    <cellStyle name="Prefilled 2 3 86 6" xfId="34765"/>
    <cellStyle name="Prefilled 2 3 86 7" xfId="34766"/>
    <cellStyle name="Prefilled 2 3 87" xfId="6582"/>
    <cellStyle name="Prefilled 2 3 87 2" xfId="34767"/>
    <cellStyle name="Prefilled 2 3 87 3" xfId="34768"/>
    <cellStyle name="Prefilled 2 3 87 4" xfId="34769"/>
    <cellStyle name="Prefilled 2 3 87 5" xfId="34770"/>
    <cellStyle name="Prefilled 2 3 87 6" xfId="34771"/>
    <cellStyle name="Prefilled 2 3 87 7" xfId="34772"/>
    <cellStyle name="Prefilled 2 3 88" xfId="6583"/>
    <cellStyle name="Prefilled 2 3 88 2" xfId="34773"/>
    <cellStyle name="Prefilled 2 3 88 3" xfId="34774"/>
    <cellStyle name="Prefilled 2 3 88 4" xfId="34775"/>
    <cellStyle name="Prefilled 2 3 88 5" xfId="34776"/>
    <cellStyle name="Prefilled 2 3 88 6" xfId="34777"/>
    <cellStyle name="Prefilled 2 3 88 7" xfId="34778"/>
    <cellStyle name="Prefilled 2 3 89" xfId="6584"/>
    <cellStyle name="Prefilled 2 3 89 2" xfId="34779"/>
    <cellStyle name="Prefilled 2 3 89 3" xfId="34780"/>
    <cellStyle name="Prefilled 2 3 89 4" xfId="34781"/>
    <cellStyle name="Prefilled 2 3 89 5" xfId="34782"/>
    <cellStyle name="Prefilled 2 3 89 6" xfId="34783"/>
    <cellStyle name="Prefilled 2 3 89 7" xfId="34784"/>
    <cellStyle name="Prefilled 2 3 9" xfId="6585"/>
    <cellStyle name="Prefilled 2 3 9 2" xfId="34785"/>
    <cellStyle name="Prefilled 2 3 9 3" xfId="34786"/>
    <cellStyle name="Prefilled 2 3 9 4" xfId="34787"/>
    <cellStyle name="Prefilled 2 3 9 5" xfId="34788"/>
    <cellStyle name="Prefilled 2 3 9 6" xfId="34789"/>
    <cellStyle name="Prefilled 2 3 9 7" xfId="34790"/>
    <cellStyle name="Prefilled 2 3 90" xfId="6586"/>
    <cellStyle name="Prefilled 2 3 90 2" xfId="34791"/>
    <cellStyle name="Prefilled 2 3 90 3" xfId="34792"/>
    <cellStyle name="Prefilled 2 3 90 4" xfId="34793"/>
    <cellStyle name="Prefilled 2 3 90 5" xfId="34794"/>
    <cellStyle name="Prefilled 2 3 90 6" xfId="34795"/>
    <cellStyle name="Prefilled 2 3 90 7" xfId="34796"/>
    <cellStyle name="Prefilled 2 3 91" xfId="6587"/>
    <cellStyle name="Prefilled 2 3 91 2" xfId="34797"/>
    <cellStyle name="Prefilled 2 3 91 3" xfId="34798"/>
    <cellStyle name="Prefilled 2 3 91 4" xfId="34799"/>
    <cellStyle name="Prefilled 2 3 91 5" xfId="34800"/>
    <cellStyle name="Prefilled 2 3 91 6" xfId="34801"/>
    <cellStyle name="Prefilled 2 3 91 7" xfId="34802"/>
    <cellStyle name="Prefilled 2 3 92" xfId="6588"/>
    <cellStyle name="Prefilled 2 3 92 2" xfId="34803"/>
    <cellStyle name="Prefilled 2 3 92 3" xfId="34804"/>
    <cellStyle name="Prefilled 2 3 92 4" xfId="34805"/>
    <cellStyle name="Prefilled 2 3 92 5" xfId="34806"/>
    <cellStyle name="Prefilled 2 3 92 6" xfId="34807"/>
    <cellStyle name="Prefilled 2 3 92 7" xfId="34808"/>
    <cellStyle name="Prefilled 2 3 93" xfId="6589"/>
    <cellStyle name="Prefilled 2 3 93 2" xfId="34809"/>
    <cellStyle name="Prefilled 2 3 93 3" xfId="34810"/>
    <cellStyle name="Prefilled 2 3 93 4" xfId="34811"/>
    <cellStyle name="Prefilled 2 3 93 5" xfId="34812"/>
    <cellStyle name="Prefilled 2 3 93 6" xfId="34813"/>
    <cellStyle name="Prefilled 2 3 94" xfId="12714"/>
    <cellStyle name="Prefilled 2 3 95" xfId="34814"/>
    <cellStyle name="Prefilled 2 3 96" xfId="34815"/>
    <cellStyle name="Prefilled 2 3 97" xfId="34816"/>
    <cellStyle name="Prefilled 2 3 98" xfId="34817"/>
    <cellStyle name="Prefilled 2 3 99" xfId="34818"/>
    <cellStyle name="Prefilled 2 3_Cashflow trend" xfId="2485"/>
    <cellStyle name="Prefilled 2 30" xfId="6590"/>
    <cellStyle name="Prefilled 2 30 2" xfId="34819"/>
    <cellStyle name="Prefilled 2 30 3" xfId="34820"/>
    <cellStyle name="Prefilled 2 30 4" xfId="34821"/>
    <cellStyle name="Prefilled 2 30 5" xfId="34822"/>
    <cellStyle name="Prefilled 2 30 6" xfId="34823"/>
    <cellStyle name="Prefilled 2 30 7" xfId="34824"/>
    <cellStyle name="Prefilled 2 31" xfId="6591"/>
    <cellStyle name="Prefilled 2 31 2" xfId="34825"/>
    <cellStyle name="Prefilled 2 31 3" xfId="34826"/>
    <cellStyle name="Prefilled 2 31 4" xfId="34827"/>
    <cellStyle name="Prefilled 2 31 5" xfId="34828"/>
    <cellStyle name="Prefilled 2 31 6" xfId="34829"/>
    <cellStyle name="Prefilled 2 31 7" xfId="34830"/>
    <cellStyle name="Prefilled 2 32" xfId="6592"/>
    <cellStyle name="Prefilled 2 32 2" xfId="34831"/>
    <cellStyle name="Prefilled 2 32 3" xfId="34832"/>
    <cellStyle name="Prefilled 2 32 4" xfId="34833"/>
    <cellStyle name="Prefilled 2 32 5" xfId="34834"/>
    <cellStyle name="Prefilled 2 32 6" xfId="34835"/>
    <cellStyle name="Prefilled 2 32 7" xfId="34836"/>
    <cellStyle name="Prefilled 2 33" xfId="6593"/>
    <cellStyle name="Prefilled 2 33 2" xfId="34837"/>
    <cellStyle name="Prefilled 2 33 3" xfId="34838"/>
    <cellStyle name="Prefilled 2 33 4" xfId="34839"/>
    <cellStyle name="Prefilled 2 33 5" xfId="34840"/>
    <cellStyle name="Prefilled 2 33 6" xfId="34841"/>
    <cellStyle name="Prefilled 2 33 7" xfId="34842"/>
    <cellStyle name="Prefilled 2 34" xfId="6594"/>
    <cellStyle name="Prefilled 2 34 2" xfId="34843"/>
    <cellStyle name="Prefilled 2 34 3" xfId="34844"/>
    <cellStyle name="Prefilled 2 34 4" xfId="34845"/>
    <cellStyle name="Prefilled 2 34 5" xfId="34846"/>
    <cellStyle name="Prefilled 2 34 6" xfId="34847"/>
    <cellStyle name="Prefilled 2 34 7" xfId="34848"/>
    <cellStyle name="Prefilled 2 35" xfId="6595"/>
    <cellStyle name="Prefilled 2 35 2" xfId="34849"/>
    <cellStyle name="Prefilled 2 35 3" xfId="34850"/>
    <cellStyle name="Prefilled 2 35 4" xfId="34851"/>
    <cellStyle name="Prefilled 2 35 5" xfId="34852"/>
    <cellStyle name="Prefilled 2 35 6" xfId="34853"/>
    <cellStyle name="Prefilled 2 35 7" xfId="34854"/>
    <cellStyle name="Prefilled 2 36" xfId="6596"/>
    <cellStyle name="Prefilled 2 36 2" xfId="34855"/>
    <cellStyle name="Prefilled 2 36 3" xfId="34856"/>
    <cellStyle name="Prefilled 2 36 4" xfId="34857"/>
    <cellStyle name="Prefilled 2 36 5" xfId="34858"/>
    <cellStyle name="Prefilled 2 36 6" xfId="34859"/>
    <cellStyle name="Prefilled 2 36 7" xfId="34860"/>
    <cellStyle name="Prefilled 2 37" xfId="6597"/>
    <cellStyle name="Prefilled 2 37 2" xfId="34861"/>
    <cellStyle name="Prefilled 2 37 3" xfId="34862"/>
    <cellStyle name="Prefilled 2 37 4" xfId="34863"/>
    <cellStyle name="Prefilled 2 37 5" xfId="34864"/>
    <cellStyle name="Prefilled 2 37 6" xfId="34865"/>
    <cellStyle name="Prefilled 2 37 7" xfId="34866"/>
    <cellStyle name="Prefilled 2 38" xfId="6598"/>
    <cellStyle name="Prefilled 2 38 2" xfId="34867"/>
    <cellStyle name="Prefilled 2 38 3" xfId="34868"/>
    <cellStyle name="Prefilled 2 38 4" xfId="34869"/>
    <cellStyle name="Prefilled 2 38 5" xfId="34870"/>
    <cellStyle name="Prefilled 2 38 6" xfId="34871"/>
    <cellStyle name="Prefilled 2 38 7" xfId="34872"/>
    <cellStyle name="Prefilled 2 39" xfId="6599"/>
    <cellStyle name="Prefilled 2 39 2" xfId="34873"/>
    <cellStyle name="Prefilled 2 39 3" xfId="34874"/>
    <cellStyle name="Prefilled 2 39 4" xfId="34875"/>
    <cellStyle name="Prefilled 2 39 5" xfId="34876"/>
    <cellStyle name="Prefilled 2 39 6" xfId="34877"/>
    <cellStyle name="Prefilled 2 39 7" xfId="34878"/>
    <cellStyle name="Prefilled 2 4" xfId="6600"/>
    <cellStyle name="Prefilled 2 4 10" xfId="6601"/>
    <cellStyle name="Prefilled 2 4 10 2" xfId="34879"/>
    <cellStyle name="Prefilled 2 4 10 3" xfId="34880"/>
    <cellStyle name="Prefilled 2 4 10 4" xfId="34881"/>
    <cellStyle name="Prefilled 2 4 10 5" xfId="34882"/>
    <cellStyle name="Prefilled 2 4 10 6" xfId="34883"/>
    <cellStyle name="Prefilled 2 4 10 7" xfId="34884"/>
    <cellStyle name="Prefilled 2 4 100" xfId="34885"/>
    <cellStyle name="Prefilled 2 4 101" xfId="34886"/>
    <cellStyle name="Prefilled 2 4 102" xfId="34887"/>
    <cellStyle name="Prefilled 2 4 11" xfId="6602"/>
    <cellStyle name="Prefilled 2 4 11 2" xfId="34888"/>
    <cellStyle name="Prefilled 2 4 11 3" xfId="34889"/>
    <cellStyle name="Prefilled 2 4 11 4" xfId="34890"/>
    <cellStyle name="Prefilled 2 4 11 5" xfId="34891"/>
    <cellStyle name="Prefilled 2 4 11 6" xfId="34892"/>
    <cellStyle name="Prefilled 2 4 11 7" xfId="34893"/>
    <cellStyle name="Prefilled 2 4 12" xfId="6603"/>
    <cellStyle name="Prefilled 2 4 12 2" xfId="34894"/>
    <cellStyle name="Prefilled 2 4 12 3" xfId="34895"/>
    <cellStyle name="Prefilled 2 4 12 4" xfId="34896"/>
    <cellStyle name="Prefilled 2 4 12 5" xfId="34897"/>
    <cellStyle name="Prefilled 2 4 12 6" xfId="34898"/>
    <cellStyle name="Prefilled 2 4 12 7" xfId="34899"/>
    <cellStyle name="Prefilled 2 4 13" xfId="6604"/>
    <cellStyle name="Prefilled 2 4 13 2" xfId="34900"/>
    <cellStyle name="Prefilled 2 4 13 3" xfId="34901"/>
    <cellStyle name="Prefilled 2 4 13 4" xfId="34902"/>
    <cellStyle name="Prefilled 2 4 13 5" xfId="34903"/>
    <cellStyle name="Prefilled 2 4 13 6" xfId="34904"/>
    <cellStyle name="Prefilled 2 4 13 7" xfId="34905"/>
    <cellStyle name="Prefilled 2 4 14" xfId="6605"/>
    <cellStyle name="Prefilled 2 4 14 2" xfId="34906"/>
    <cellStyle name="Prefilled 2 4 14 3" xfId="34907"/>
    <cellStyle name="Prefilled 2 4 14 4" xfId="34908"/>
    <cellStyle name="Prefilled 2 4 14 5" xfId="34909"/>
    <cellStyle name="Prefilled 2 4 14 6" xfId="34910"/>
    <cellStyle name="Prefilled 2 4 14 7" xfId="34911"/>
    <cellStyle name="Prefilled 2 4 15" xfId="6606"/>
    <cellStyle name="Prefilled 2 4 15 2" xfId="34912"/>
    <cellStyle name="Prefilled 2 4 15 3" xfId="34913"/>
    <cellStyle name="Prefilled 2 4 15 4" xfId="34914"/>
    <cellStyle name="Prefilled 2 4 15 5" xfId="34915"/>
    <cellStyle name="Prefilled 2 4 15 6" xfId="34916"/>
    <cellStyle name="Prefilled 2 4 15 7" xfId="34917"/>
    <cellStyle name="Prefilled 2 4 16" xfId="6607"/>
    <cellStyle name="Prefilled 2 4 16 2" xfId="34918"/>
    <cellStyle name="Prefilled 2 4 16 3" xfId="34919"/>
    <cellStyle name="Prefilled 2 4 16 4" xfId="34920"/>
    <cellStyle name="Prefilled 2 4 16 5" xfId="34921"/>
    <cellStyle name="Prefilled 2 4 16 6" xfId="34922"/>
    <cellStyle name="Prefilled 2 4 16 7" xfId="34923"/>
    <cellStyle name="Prefilled 2 4 17" xfId="6608"/>
    <cellStyle name="Prefilled 2 4 17 2" xfId="34924"/>
    <cellStyle name="Prefilled 2 4 17 3" xfId="34925"/>
    <cellStyle name="Prefilled 2 4 17 4" xfId="34926"/>
    <cellStyle name="Prefilled 2 4 17 5" xfId="34927"/>
    <cellStyle name="Prefilled 2 4 17 6" xfId="34928"/>
    <cellStyle name="Prefilled 2 4 17 7" xfId="34929"/>
    <cellStyle name="Prefilled 2 4 18" xfId="6609"/>
    <cellStyle name="Prefilled 2 4 18 2" xfId="34930"/>
    <cellStyle name="Prefilled 2 4 18 3" xfId="34931"/>
    <cellStyle name="Prefilled 2 4 18 4" xfId="34932"/>
    <cellStyle name="Prefilled 2 4 18 5" xfId="34933"/>
    <cellStyle name="Prefilled 2 4 18 6" xfId="34934"/>
    <cellStyle name="Prefilled 2 4 18 7" xfId="34935"/>
    <cellStyle name="Prefilled 2 4 19" xfId="6610"/>
    <cellStyle name="Prefilled 2 4 19 2" xfId="34936"/>
    <cellStyle name="Prefilled 2 4 19 3" xfId="34937"/>
    <cellStyle name="Prefilled 2 4 19 4" xfId="34938"/>
    <cellStyle name="Prefilled 2 4 19 5" xfId="34939"/>
    <cellStyle name="Prefilled 2 4 19 6" xfId="34940"/>
    <cellStyle name="Prefilled 2 4 19 7" xfId="34941"/>
    <cellStyle name="Prefilled 2 4 2" xfId="6611"/>
    <cellStyle name="Prefilled 2 4 2 10" xfId="34942"/>
    <cellStyle name="Prefilled 2 4 2 11" xfId="34943"/>
    <cellStyle name="Prefilled 2 4 2 2" xfId="34944"/>
    <cellStyle name="Prefilled 2 4 2 3" xfId="34945"/>
    <cellStyle name="Prefilled 2 4 2 4" xfId="34946"/>
    <cellStyle name="Prefilled 2 4 2 5" xfId="34947"/>
    <cellStyle name="Prefilled 2 4 2 6" xfId="34948"/>
    <cellStyle name="Prefilled 2 4 2 7" xfId="34949"/>
    <cellStyle name="Prefilled 2 4 2 8" xfId="34950"/>
    <cellStyle name="Prefilled 2 4 2 9" xfId="34951"/>
    <cellStyle name="Prefilled 2 4 20" xfId="6612"/>
    <cellStyle name="Prefilled 2 4 20 2" xfId="34952"/>
    <cellStyle name="Prefilled 2 4 20 3" xfId="34953"/>
    <cellStyle name="Prefilled 2 4 20 4" xfId="34954"/>
    <cellStyle name="Prefilled 2 4 20 5" xfId="34955"/>
    <cellStyle name="Prefilled 2 4 20 6" xfId="34956"/>
    <cellStyle name="Prefilled 2 4 20 7" xfId="34957"/>
    <cellStyle name="Prefilled 2 4 21" xfId="6613"/>
    <cellStyle name="Prefilled 2 4 21 2" xfId="34958"/>
    <cellStyle name="Prefilled 2 4 21 3" xfId="34959"/>
    <cellStyle name="Prefilled 2 4 21 4" xfId="34960"/>
    <cellStyle name="Prefilled 2 4 21 5" xfId="34961"/>
    <cellStyle name="Prefilled 2 4 21 6" xfId="34962"/>
    <cellStyle name="Prefilled 2 4 21 7" xfId="34963"/>
    <cellStyle name="Prefilled 2 4 22" xfId="6614"/>
    <cellStyle name="Prefilled 2 4 22 2" xfId="34964"/>
    <cellStyle name="Prefilled 2 4 22 3" xfId="34965"/>
    <cellStyle name="Prefilled 2 4 22 4" xfId="34966"/>
    <cellStyle name="Prefilled 2 4 22 5" xfId="34967"/>
    <cellStyle name="Prefilled 2 4 22 6" xfId="34968"/>
    <cellStyle name="Prefilled 2 4 22 7" xfId="34969"/>
    <cellStyle name="Prefilled 2 4 23" xfId="6615"/>
    <cellStyle name="Prefilled 2 4 23 2" xfId="34970"/>
    <cellStyle name="Prefilled 2 4 23 3" xfId="34971"/>
    <cellStyle name="Prefilled 2 4 23 4" xfId="34972"/>
    <cellStyle name="Prefilled 2 4 23 5" xfId="34973"/>
    <cellStyle name="Prefilled 2 4 23 6" xfId="34974"/>
    <cellStyle name="Prefilled 2 4 23 7" xfId="34975"/>
    <cellStyle name="Prefilled 2 4 24" xfId="6616"/>
    <cellStyle name="Prefilled 2 4 24 2" xfId="34976"/>
    <cellStyle name="Prefilled 2 4 24 3" xfId="34977"/>
    <cellStyle name="Prefilled 2 4 24 4" xfId="34978"/>
    <cellStyle name="Prefilled 2 4 24 5" xfId="34979"/>
    <cellStyle name="Prefilled 2 4 24 6" xfId="34980"/>
    <cellStyle name="Prefilled 2 4 24 7" xfId="34981"/>
    <cellStyle name="Prefilled 2 4 25" xfId="6617"/>
    <cellStyle name="Prefilled 2 4 25 2" xfId="34982"/>
    <cellStyle name="Prefilled 2 4 25 3" xfId="34983"/>
    <cellStyle name="Prefilled 2 4 25 4" xfId="34984"/>
    <cellStyle name="Prefilled 2 4 25 5" xfId="34985"/>
    <cellStyle name="Prefilled 2 4 25 6" xfId="34986"/>
    <cellStyle name="Prefilled 2 4 25 7" xfId="34987"/>
    <cellStyle name="Prefilled 2 4 26" xfId="6618"/>
    <cellStyle name="Prefilled 2 4 26 2" xfId="34988"/>
    <cellStyle name="Prefilled 2 4 26 3" xfId="34989"/>
    <cellStyle name="Prefilled 2 4 26 4" xfId="34990"/>
    <cellStyle name="Prefilled 2 4 26 5" xfId="34991"/>
    <cellStyle name="Prefilled 2 4 26 6" xfId="34992"/>
    <cellStyle name="Prefilled 2 4 26 7" xfId="34993"/>
    <cellStyle name="Prefilled 2 4 27" xfId="6619"/>
    <cellStyle name="Prefilled 2 4 27 2" xfId="34994"/>
    <cellStyle name="Prefilled 2 4 27 3" xfId="34995"/>
    <cellStyle name="Prefilled 2 4 27 4" xfId="34996"/>
    <cellStyle name="Prefilled 2 4 27 5" xfId="34997"/>
    <cellStyle name="Prefilled 2 4 27 6" xfId="34998"/>
    <cellStyle name="Prefilled 2 4 27 7" xfId="34999"/>
    <cellStyle name="Prefilled 2 4 28" xfId="6620"/>
    <cellStyle name="Prefilled 2 4 28 2" xfId="35000"/>
    <cellStyle name="Prefilled 2 4 28 3" xfId="35001"/>
    <cellStyle name="Prefilled 2 4 28 4" xfId="35002"/>
    <cellStyle name="Prefilled 2 4 28 5" xfId="35003"/>
    <cellStyle name="Prefilled 2 4 28 6" xfId="35004"/>
    <cellStyle name="Prefilled 2 4 28 7" xfId="35005"/>
    <cellStyle name="Prefilled 2 4 29" xfId="6621"/>
    <cellStyle name="Prefilled 2 4 29 2" xfId="35006"/>
    <cellStyle name="Prefilled 2 4 29 3" xfId="35007"/>
    <cellStyle name="Prefilled 2 4 29 4" xfId="35008"/>
    <cellStyle name="Prefilled 2 4 29 5" xfId="35009"/>
    <cellStyle name="Prefilled 2 4 29 6" xfId="35010"/>
    <cellStyle name="Prefilled 2 4 29 7" xfId="35011"/>
    <cellStyle name="Prefilled 2 4 3" xfId="6622"/>
    <cellStyle name="Prefilled 2 4 3 10" xfId="35012"/>
    <cellStyle name="Prefilled 2 4 3 2" xfId="35013"/>
    <cellStyle name="Prefilled 2 4 3 3" xfId="35014"/>
    <cellStyle name="Prefilled 2 4 3 4" xfId="35015"/>
    <cellStyle name="Prefilled 2 4 3 5" xfId="35016"/>
    <cellStyle name="Prefilled 2 4 3 6" xfId="35017"/>
    <cellStyle name="Prefilled 2 4 3 7" xfId="35018"/>
    <cellStyle name="Prefilled 2 4 3 8" xfId="35019"/>
    <cellStyle name="Prefilled 2 4 3 9" xfId="35020"/>
    <cellStyle name="Prefilled 2 4 30" xfId="6623"/>
    <cellStyle name="Prefilled 2 4 30 2" xfId="35021"/>
    <cellStyle name="Prefilled 2 4 30 3" xfId="35022"/>
    <cellStyle name="Prefilled 2 4 30 4" xfId="35023"/>
    <cellStyle name="Prefilled 2 4 30 5" xfId="35024"/>
    <cellStyle name="Prefilled 2 4 30 6" xfId="35025"/>
    <cellStyle name="Prefilled 2 4 30 7" xfId="35026"/>
    <cellStyle name="Prefilled 2 4 31" xfId="6624"/>
    <cellStyle name="Prefilled 2 4 31 2" xfId="35027"/>
    <cellStyle name="Prefilled 2 4 31 3" xfId="35028"/>
    <cellStyle name="Prefilled 2 4 31 4" xfId="35029"/>
    <cellStyle name="Prefilled 2 4 31 5" xfId="35030"/>
    <cellStyle name="Prefilled 2 4 31 6" xfId="35031"/>
    <cellStyle name="Prefilled 2 4 31 7" xfId="35032"/>
    <cellStyle name="Prefilled 2 4 32" xfId="6625"/>
    <cellStyle name="Prefilled 2 4 32 2" xfId="35033"/>
    <cellStyle name="Prefilled 2 4 32 3" xfId="35034"/>
    <cellStyle name="Prefilled 2 4 32 4" xfId="35035"/>
    <cellStyle name="Prefilled 2 4 32 5" xfId="35036"/>
    <cellStyle name="Prefilled 2 4 32 6" xfId="35037"/>
    <cellStyle name="Prefilled 2 4 32 7" xfId="35038"/>
    <cellStyle name="Prefilled 2 4 33" xfId="6626"/>
    <cellStyle name="Prefilled 2 4 33 2" xfId="35039"/>
    <cellStyle name="Prefilled 2 4 33 3" xfId="35040"/>
    <cellStyle name="Prefilled 2 4 33 4" xfId="35041"/>
    <cellStyle name="Prefilled 2 4 33 5" xfId="35042"/>
    <cellStyle name="Prefilled 2 4 33 6" xfId="35043"/>
    <cellStyle name="Prefilled 2 4 33 7" xfId="35044"/>
    <cellStyle name="Prefilled 2 4 34" xfId="6627"/>
    <cellStyle name="Prefilled 2 4 34 2" xfId="35045"/>
    <cellStyle name="Prefilled 2 4 34 3" xfId="35046"/>
    <cellStyle name="Prefilled 2 4 34 4" xfId="35047"/>
    <cellStyle name="Prefilled 2 4 34 5" xfId="35048"/>
    <cellStyle name="Prefilled 2 4 34 6" xfId="35049"/>
    <cellStyle name="Prefilled 2 4 34 7" xfId="35050"/>
    <cellStyle name="Prefilled 2 4 35" xfId="6628"/>
    <cellStyle name="Prefilled 2 4 35 2" xfId="35051"/>
    <cellStyle name="Prefilled 2 4 35 3" xfId="35052"/>
    <cellStyle name="Prefilled 2 4 35 4" xfId="35053"/>
    <cellStyle name="Prefilled 2 4 35 5" xfId="35054"/>
    <cellStyle name="Prefilled 2 4 35 6" xfId="35055"/>
    <cellStyle name="Prefilled 2 4 35 7" xfId="35056"/>
    <cellStyle name="Prefilled 2 4 36" xfId="6629"/>
    <cellStyle name="Prefilled 2 4 36 2" xfId="35057"/>
    <cellStyle name="Prefilled 2 4 36 3" xfId="35058"/>
    <cellStyle name="Prefilled 2 4 36 4" xfId="35059"/>
    <cellStyle name="Prefilled 2 4 36 5" xfId="35060"/>
    <cellStyle name="Prefilled 2 4 36 6" xfId="35061"/>
    <cellStyle name="Prefilled 2 4 36 7" xfId="35062"/>
    <cellStyle name="Prefilled 2 4 37" xfId="6630"/>
    <cellStyle name="Prefilled 2 4 37 2" xfId="35063"/>
    <cellStyle name="Prefilled 2 4 37 3" xfId="35064"/>
    <cellStyle name="Prefilled 2 4 37 4" xfId="35065"/>
    <cellStyle name="Prefilled 2 4 37 5" xfId="35066"/>
    <cellStyle name="Prefilled 2 4 37 6" xfId="35067"/>
    <cellStyle name="Prefilled 2 4 37 7" xfId="35068"/>
    <cellStyle name="Prefilled 2 4 38" xfId="6631"/>
    <cellStyle name="Prefilled 2 4 38 2" xfId="35069"/>
    <cellStyle name="Prefilled 2 4 38 3" xfId="35070"/>
    <cellStyle name="Prefilled 2 4 38 4" xfId="35071"/>
    <cellStyle name="Prefilled 2 4 38 5" xfId="35072"/>
    <cellStyle name="Prefilled 2 4 38 6" xfId="35073"/>
    <cellStyle name="Prefilled 2 4 38 7" xfId="35074"/>
    <cellStyle name="Prefilled 2 4 39" xfId="6632"/>
    <cellStyle name="Prefilled 2 4 39 2" xfId="35075"/>
    <cellStyle name="Prefilled 2 4 39 3" xfId="35076"/>
    <cellStyle name="Prefilled 2 4 39 4" xfId="35077"/>
    <cellStyle name="Prefilled 2 4 39 5" xfId="35078"/>
    <cellStyle name="Prefilled 2 4 39 6" xfId="35079"/>
    <cellStyle name="Prefilled 2 4 39 7" xfId="35080"/>
    <cellStyle name="Prefilled 2 4 4" xfId="6633"/>
    <cellStyle name="Prefilled 2 4 4 10" xfId="35081"/>
    <cellStyle name="Prefilled 2 4 4 2" xfId="35082"/>
    <cellStyle name="Prefilled 2 4 4 3" xfId="35083"/>
    <cellStyle name="Prefilled 2 4 4 4" xfId="35084"/>
    <cellStyle name="Prefilled 2 4 4 5" xfId="35085"/>
    <cellStyle name="Prefilled 2 4 4 6" xfId="35086"/>
    <cellStyle name="Prefilled 2 4 4 7" xfId="35087"/>
    <cellStyle name="Prefilled 2 4 4 8" xfId="35088"/>
    <cellStyle name="Prefilled 2 4 4 9" xfId="35089"/>
    <cellStyle name="Prefilled 2 4 40" xfId="6634"/>
    <cellStyle name="Prefilled 2 4 40 2" xfId="35090"/>
    <cellStyle name="Prefilled 2 4 40 3" xfId="35091"/>
    <cellStyle name="Prefilled 2 4 40 4" xfId="35092"/>
    <cellStyle name="Prefilled 2 4 40 5" xfId="35093"/>
    <cellStyle name="Prefilled 2 4 40 6" xfId="35094"/>
    <cellStyle name="Prefilled 2 4 40 7" xfId="35095"/>
    <cellStyle name="Prefilled 2 4 41" xfId="6635"/>
    <cellStyle name="Prefilled 2 4 41 2" xfId="35096"/>
    <cellStyle name="Prefilled 2 4 41 3" xfId="35097"/>
    <cellStyle name="Prefilled 2 4 41 4" xfId="35098"/>
    <cellStyle name="Prefilled 2 4 41 5" xfId="35099"/>
    <cellStyle name="Prefilled 2 4 41 6" xfId="35100"/>
    <cellStyle name="Prefilled 2 4 41 7" xfId="35101"/>
    <cellStyle name="Prefilled 2 4 42" xfId="6636"/>
    <cellStyle name="Prefilled 2 4 42 2" xfId="35102"/>
    <cellStyle name="Prefilled 2 4 42 3" xfId="35103"/>
    <cellStyle name="Prefilled 2 4 42 4" xfId="35104"/>
    <cellStyle name="Prefilled 2 4 42 5" xfId="35105"/>
    <cellStyle name="Prefilled 2 4 42 6" xfId="35106"/>
    <cellStyle name="Prefilled 2 4 42 7" xfId="35107"/>
    <cellStyle name="Prefilled 2 4 43" xfId="6637"/>
    <cellStyle name="Prefilled 2 4 43 2" xfId="35108"/>
    <cellStyle name="Prefilled 2 4 43 3" xfId="35109"/>
    <cellStyle name="Prefilled 2 4 43 4" xfId="35110"/>
    <cellStyle name="Prefilled 2 4 43 5" xfId="35111"/>
    <cellStyle name="Prefilled 2 4 43 6" xfId="35112"/>
    <cellStyle name="Prefilled 2 4 43 7" xfId="35113"/>
    <cellStyle name="Prefilled 2 4 44" xfId="6638"/>
    <cellStyle name="Prefilled 2 4 44 2" xfId="35114"/>
    <cellStyle name="Prefilled 2 4 44 3" xfId="35115"/>
    <cellStyle name="Prefilled 2 4 44 4" xfId="35116"/>
    <cellStyle name="Prefilled 2 4 44 5" xfId="35117"/>
    <cellStyle name="Prefilled 2 4 44 6" xfId="35118"/>
    <cellStyle name="Prefilled 2 4 44 7" xfId="35119"/>
    <cellStyle name="Prefilled 2 4 45" xfId="6639"/>
    <cellStyle name="Prefilled 2 4 45 2" xfId="35120"/>
    <cellStyle name="Prefilled 2 4 45 3" xfId="35121"/>
    <cellStyle name="Prefilled 2 4 45 4" xfId="35122"/>
    <cellStyle name="Prefilled 2 4 45 5" xfId="35123"/>
    <cellStyle name="Prefilled 2 4 45 6" xfId="35124"/>
    <cellStyle name="Prefilled 2 4 45 7" xfId="35125"/>
    <cellStyle name="Prefilled 2 4 46" xfId="6640"/>
    <cellStyle name="Prefilled 2 4 46 2" xfId="35126"/>
    <cellStyle name="Prefilled 2 4 46 3" xfId="35127"/>
    <cellStyle name="Prefilled 2 4 46 4" xfId="35128"/>
    <cellStyle name="Prefilled 2 4 46 5" xfId="35129"/>
    <cellStyle name="Prefilled 2 4 46 6" xfId="35130"/>
    <cellStyle name="Prefilled 2 4 46 7" xfId="35131"/>
    <cellStyle name="Prefilled 2 4 47" xfId="6641"/>
    <cellStyle name="Prefilled 2 4 47 2" xfId="35132"/>
    <cellStyle name="Prefilled 2 4 47 3" xfId="35133"/>
    <cellStyle name="Prefilled 2 4 47 4" xfId="35134"/>
    <cellStyle name="Prefilled 2 4 47 5" xfId="35135"/>
    <cellStyle name="Prefilled 2 4 47 6" xfId="35136"/>
    <cellStyle name="Prefilled 2 4 47 7" xfId="35137"/>
    <cellStyle name="Prefilled 2 4 48" xfId="6642"/>
    <cellStyle name="Prefilled 2 4 48 2" xfId="35138"/>
    <cellStyle name="Prefilled 2 4 48 3" xfId="35139"/>
    <cellStyle name="Prefilled 2 4 48 4" xfId="35140"/>
    <cellStyle name="Prefilled 2 4 48 5" xfId="35141"/>
    <cellStyle name="Prefilled 2 4 48 6" xfId="35142"/>
    <cellStyle name="Prefilled 2 4 48 7" xfId="35143"/>
    <cellStyle name="Prefilled 2 4 49" xfId="6643"/>
    <cellStyle name="Prefilled 2 4 49 2" xfId="35144"/>
    <cellStyle name="Prefilled 2 4 49 3" xfId="35145"/>
    <cellStyle name="Prefilled 2 4 49 4" xfId="35146"/>
    <cellStyle name="Prefilled 2 4 49 5" xfId="35147"/>
    <cellStyle name="Prefilled 2 4 49 6" xfId="35148"/>
    <cellStyle name="Prefilled 2 4 49 7" xfId="35149"/>
    <cellStyle name="Prefilled 2 4 5" xfId="6644"/>
    <cellStyle name="Prefilled 2 4 5 2" xfId="35150"/>
    <cellStyle name="Prefilled 2 4 5 3" xfId="35151"/>
    <cellStyle name="Prefilled 2 4 5 4" xfId="35152"/>
    <cellStyle name="Prefilled 2 4 5 5" xfId="35153"/>
    <cellStyle name="Prefilled 2 4 5 6" xfId="35154"/>
    <cellStyle name="Prefilled 2 4 5 7" xfId="35155"/>
    <cellStyle name="Prefilled 2 4 50" xfId="6645"/>
    <cellStyle name="Prefilled 2 4 50 2" xfId="35156"/>
    <cellStyle name="Prefilled 2 4 50 3" xfId="35157"/>
    <cellStyle name="Prefilled 2 4 50 4" xfId="35158"/>
    <cellStyle name="Prefilled 2 4 50 5" xfId="35159"/>
    <cellStyle name="Prefilled 2 4 50 6" xfId="35160"/>
    <cellStyle name="Prefilled 2 4 50 7" xfId="35161"/>
    <cellStyle name="Prefilled 2 4 51" xfId="6646"/>
    <cellStyle name="Prefilled 2 4 51 2" xfId="35162"/>
    <cellStyle name="Prefilled 2 4 51 3" xfId="35163"/>
    <cellStyle name="Prefilled 2 4 51 4" xfId="35164"/>
    <cellStyle name="Prefilled 2 4 51 5" xfId="35165"/>
    <cellStyle name="Prefilled 2 4 51 6" xfId="35166"/>
    <cellStyle name="Prefilled 2 4 51 7" xfId="35167"/>
    <cellStyle name="Prefilled 2 4 52" xfId="6647"/>
    <cellStyle name="Prefilled 2 4 52 2" xfId="35168"/>
    <cellStyle name="Prefilled 2 4 52 3" xfId="35169"/>
    <cellStyle name="Prefilled 2 4 52 4" xfId="35170"/>
    <cellStyle name="Prefilled 2 4 52 5" xfId="35171"/>
    <cellStyle name="Prefilled 2 4 52 6" xfId="35172"/>
    <cellStyle name="Prefilled 2 4 52 7" xfId="35173"/>
    <cellStyle name="Prefilled 2 4 53" xfId="6648"/>
    <cellStyle name="Prefilled 2 4 53 2" xfId="35174"/>
    <cellStyle name="Prefilled 2 4 53 3" xfId="35175"/>
    <cellStyle name="Prefilled 2 4 53 4" xfId="35176"/>
    <cellStyle name="Prefilled 2 4 53 5" xfId="35177"/>
    <cellStyle name="Prefilled 2 4 53 6" xfId="35178"/>
    <cellStyle name="Prefilled 2 4 53 7" xfId="35179"/>
    <cellStyle name="Prefilled 2 4 54" xfId="6649"/>
    <cellStyle name="Prefilled 2 4 54 2" xfId="35180"/>
    <cellStyle name="Prefilled 2 4 54 3" xfId="35181"/>
    <cellStyle name="Prefilled 2 4 54 4" xfId="35182"/>
    <cellStyle name="Prefilled 2 4 54 5" xfId="35183"/>
    <cellStyle name="Prefilled 2 4 54 6" xfId="35184"/>
    <cellStyle name="Prefilled 2 4 54 7" xfId="35185"/>
    <cellStyle name="Prefilled 2 4 55" xfId="6650"/>
    <cellStyle name="Prefilled 2 4 55 2" xfId="35186"/>
    <cellStyle name="Prefilled 2 4 55 3" xfId="35187"/>
    <cellStyle name="Prefilled 2 4 55 4" xfId="35188"/>
    <cellStyle name="Prefilled 2 4 55 5" xfId="35189"/>
    <cellStyle name="Prefilled 2 4 55 6" xfId="35190"/>
    <cellStyle name="Prefilled 2 4 55 7" xfId="35191"/>
    <cellStyle name="Prefilled 2 4 56" xfId="6651"/>
    <cellStyle name="Prefilled 2 4 56 2" xfId="35192"/>
    <cellStyle name="Prefilled 2 4 56 3" xfId="35193"/>
    <cellStyle name="Prefilled 2 4 56 4" xfId="35194"/>
    <cellStyle name="Prefilled 2 4 56 5" xfId="35195"/>
    <cellStyle name="Prefilled 2 4 56 6" xfId="35196"/>
    <cellStyle name="Prefilled 2 4 56 7" xfId="35197"/>
    <cellStyle name="Prefilled 2 4 57" xfId="6652"/>
    <cellStyle name="Prefilled 2 4 57 2" xfId="35198"/>
    <cellStyle name="Prefilled 2 4 57 3" xfId="35199"/>
    <cellStyle name="Prefilled 2 4 57 4" xfId="35200"/>
    <cellStyle name="Prefilled 2 4 57 5" xfId="35201"/>
    <cellStyle name="Prefilled 2 4 57 6" xfId="35202"/>
    <cellStyle name="Prefilled 2 4 57 7" xfId="35203"/>
    <cellStyle name="Prefilled 2 4 58" xfId="6653"/>
    <cellStyle name="Prefilled 2 4 58 2" xfId="35204"/>
    <cellStyle name="Prefilled 2 4 58 3" xfId="35205"/>
    <cellStyle name="Prefilled 2 4 58 4" xfId="35206"/>
    <cellStyle name="Prefilled 2 4 58 5" xfId="35207"/>
    <cellStyle name="Prefilled 2 4 58 6" xfId="35208"/>
    <cellStyle name="Prefilled 2 4 58 7" xfId="35209"/>
    <cellStyle name="Prefilled 2 4 59" xfId="6654"/>
    <cellStyle name="Prefilled 2 4 59 2" xfId="35210"/>
    <cellStyle name="Prefilled 2 4 59 3" xfId="35211"/>
    <cellStyle name="Prefilled 2 4 59 4" xfId="35212"/>
    <cellStyle name="Prefilled 2 4 59 5" xfId="35213"/>
    <cellStyle name="Prefilled 2 4 59 6" xfId="35214"/>
    <cellStyle name="Prefilled 2 4 59 7" xfId="35215"/>
    <cellStyle name="Prefilled 2 4 6" xfId="6655"/>
    <cellStyle name="Prefilled 2 4 6 2" xfId="35216"/>
    <cellStyle name="Prefilled 2 4 6 3" xfId="35217"/>
    <cellStyle name="Prefilled 2 4 6 4" xfId="35218"/>
    <cellStyle name="Prefilled 2 4 6 5" xfId="35219"/>
    <cellStyle name="Prefilled 2 4 6 6" xfId="35220"/>
    <cellStyle name="Prefilled 2 4 6 7" xfId="35221"/>
    <cellStyle name="Prefilled 2 4 60" xfId="6656"/>
    <cellStyle name="Prefilled 2 4 60 2" xfId="35222"/>
    <cellStyle name="Prefilled 2 4 60 3" xfId="35223"/>
    <cellStyle name="Prefilled 2 4 60 4" xfId="35224"/>
    <cellStyle name="Prefilled 2 4 60 5" xfId="35225"/>
    <cellStyle name="Prefilled 2 4 60 6" xfId="35226"/>
    <cellStyle name="Prefilled 2 4 60 7" xfId="35227"/>
    <cellStyle name="Prefilled 2 4 61" xfId="6657"/>
    <cellStyle name="Prefilled 2 4 61 2" xfId="35228"/>
    <cellStyle name="Prefilled 2 4 61 3" xfId="35229"/>
    <cellStyle name="Prefilled 2 4 61 4" xfId="35230"/>
    <cellStyle name="Prefilled 2 4 61 5" xfId="35231"/>
    <cellStyle name="Prefilled 2 4 61 6" xfId="35232"/>
    <cellStyle name="Prefilled 2 4 61 7" xfId="35233"/>
    <cellStyle name="Prefilled 2 4 62" xfId="6658"/>
    <cellStyle name="Prefilled 2 4 62 2" xfId="35234"/>
    <cellStyle name="Prefilled 2 4 62 3" xfId="35235"/>
    <cellStyle name="Prefilled 2 4 62 4" xfId="35236"/>
    <cellStyle name="Prefilled 2 4 62 5" xfId="35237"/>
    <cellStyle name="Prefilled 2 4 62 6" xfId="35238"/>
    <cellStyle name="Prefilled 2 4 62 7" xfId="35239"/>
    <cellStyle name="Prefilled 2 4 63" xfId="6659"/>
    <cellStyle name="Prefilled 2 4 63 2" xfId="35240"/>
    <cellStyle name="Prefilled 2 4 63 3" xfId="35241"/>
    <cellStyle name="Prefilled 2 4 63 4" xfId="35242"/>
    <cellStyle name="Prefilled 2 4 63 5" xfId="35243"/>
    <cellStyle name="Prefilled 2 4 63 6" xfId="35244"/>
    <cellStyle name="Prefilled 2 4 63 7" xfId="35245"/>
    <cellStyle name="Prefilled 2 4 64" xfId="6660"/>
    <cellStyle name="Prefilled 2 4 64 2" xfId="35246"/>
    <cellStyle name="Prefilled 2 4 64 3" xfId="35247"/>
    <cellStyle name="Prefilled 2 4 64 4" xfId="35248"/>
    <cellStyle name="Prefilled 2 4 64 5" xfId="35249"/>
    <cellStyle name="Prefilled 2 4 64 6" xfId="35250"/>
    <cellStyle name="Prefilled 2 4 64 7" xfId="35251"/>
    <cellStyle name="Prefilled 2 4 65" xfId="6661"/>
    <cellStyle name="Prefilled 2 4 65 2" xfId="35252"/>
    <cellStyle name="Prefilled 2 4 65 3" xfId="35253"/>
    <cellStyle name="Prefilled 2 4 65 4" xfId="35254"/>
    <cellStyle name="Prefilled 2 4 65 5" xfId="35255"/>
    <cellStyle name="Prefilled 2 4 65 6" xfId="35256"/>
    <cellStyle name="Prefilled 2 4 65 7" xfId="35257"/>
    <cellStyle name="Prefilled 2 4 66" xfId="6662"/>
    <cellStyle name="Prefilled 2 4 66 2" xfId="35258"/>
    <cellStyle name="Prefilled 2 4 66 3" xfId="35259"/>
    <cellStyle name="Prefilled 2 4 66 4" xfId="35260"/>
    <cellStyle name="Prefilled 2 4 66 5" xfId="35261"/>
    <cellStyle name="Prefilled 2 4 66 6" xfId="35262"/>
    <cellStyle name="Prefilled 2 4 66 7" xfId="35263"/>
    <cellStyle name="Prefilled 2 4 67" xfId="6663"/>
    <cellStyle name="Prefilled 2 4 67 2" xfId="35264"/>
    <cellStyle name="Prefilled 2 4 67 3" xfId="35265"/>
    <cellStyle name="Prefilled 2 4 67 4" xfId="35266"/>
    <cellStyle name="Prefilled 2 4 67 5" xfId="35267"/>
    <cellStyle name="Prefilled 2 4 67 6" xfId="35268"/>
    <cellStyle name="Prefilled 2 4 67 7" xfId="35269"/>
    <cellStyle name="Prefilled 2 4 68" xfId="6664"/>
    <cellStyle name="Prefilled 2 4 68 2" xfId="35270"/>
    <cellStyle name="Prefilled 2 4 68 3" xfId="35271"/>
    <cellStyle name="Prefilled 2 4 68 4" xfId="35272"/>
    <cellStyle name="Prefilled 2 4 68 5" xfId="35273"/>
    <cellStyle name="Prefilled 2 4 68 6" xfId="35274"/>
    <cellStyle name="Prefilled 2 4 68 7" xfId="35275"/>
    <cellStyle name="Prefilled 2 4 69" xfId="6665"/>
    <cellStyle name="Prefilled 2 4 69 2" xfId="35276"/>
    <cellStyle name="Prefilled 2 4 69 3" xfId="35277"/>
    <cellStyle name="Prefilled 2 4 69 4" xfId="35278"/>
    <cellStyle name="Prefilled 2 4 69 5" xfId="35279"/>
    <cellStyle name="Prefilled 2 4 69 6" xfId="35280"/>
    <cellStyle name="Prefilled 2 4 69 7" xfId="35281"/>
    <cellStyle name="Prefilled 2 4 7" xfId="6666"/>
    <cellStyle name="Prefilled 2 4 7 2" xfId="35282"/>
    <cellStyle name="Prefilled 2 4 7 3" xfId="35283"/>
    <cellStyle name="Prefilled 2 4 7 4" xfId="35284"/>
    <cellStyle name="Prefilled 2 4 7 5" xfId="35285"/>
    <cellStyle name="Prefilled 2 4 7 6" xfId="35286"/>
    <cellStyle name="Prefilled 2 4 7 7" xfId="35287"/>
    <cellStyle name="Prefilled 2 4 70" xfId="6667"/>
    <cellStyle name="Prefilled 2 4 70 2" xfId="35288"/>
    <cellStyle name="Prefilled 2 4 70 3" xfId="35289"/>
    <cellStyle name="Prefilled 2 4 70 4" xfId="35290"/>
    <cellStyle name="Prefilled 2 4 70 5" xfId="35291"/>
    <cellStyle name="Prefilled 2 4 70 6" xfId="35292"/>
    <cellStyle name="Prefilled 2 4 70 7" xfId="35293"/>
    <cellStyle name="Prefilled 2 4 71" xfId="6668"/>
    <cellStyle name="Prefilled 2 4 71 2" xfId="35294"/>
    <cellStyle name="Prefilled 2 4 71 3" xfId="35295"/>
    <cellStyle name="Prefilled 2 4 71 4" xfId="35296"/>
    <cellStyle name="Prefilled 2 4 71 5" xfId="35297"/>
    <cellStyle name="Prefilled 2 4 71 6" xfId="35298"/>
    <cellStyle name="Prefilled 2 4 71 7" xfId="35299"/>
    <cellStyle name="Prefilled 2 4 72" xfId="6669"/>
    <cellStyle name="Prefilled 2 4 72 2" xfId="35300"/>
    <cellStyle name="Prefilled 2 4 72 3" xfId="35301"/>
    <cellStyle name="Prefilled 2 4 72 4" xfId="35302"/>
    <cellStyle name="Prefilled 2 4 72 5" xfId="35303"/>
    <cellStyle name="Prefilled 2 4 72 6" xfId="35304"/>
    <cellStyle name="Prefilled 2 4 72 7" xfId="35305"/>
    <cellStyle name="Prefilled 2 4 73" xfId="6670"/>
    <cellStyle name="Prefilled 2 4 73 2" xfId="35306"/>
    <cellStyle name="Prefilled 2 4 73 3" xfId="35307"/>
    <cellStyle name="Prefilled 2 4 73 4" xfId="35308"/>
    <cellStyle name="Prefilled 2 4 73 5" xfId="35309"/>
    <cellStyle name="Prefilled 2 4 73 6" xfId="35310"/>
    <cellStyle name="Prefilled 2 4 73 7" xfId="35311"/>
    <cellStyle name="Prefilled 2 4 74" xfId="6671"/>
    <cellStyle name="Prefilled 2 4 74 2" xfId="35312"/>
    <cellStyle name="Prefilled 2 4 74 3" xfId="35313"/>
    <cellStyle name="Prefilled 2 4 74 4" xfId="35314"/>
    <cellStyle name="Prefilled 2 4 74 5" xfId="35315"/>
    <cellStyle name="Prefilled 2 4 74 6" xfId="35316"/>
    <cellStyle name="Prefilled 2 4 74 7" xfId="35317"/>
    <cellStyle name="Prefilled 2 4 75" xfId="6672"/>
    <cellStyle name="Prefilled 2 4 75 2" xfId="35318"/>
    <cellStyle name="Prefilled 2 4 75 3" xfId="35319"/>
    <cellStyle name="Prefilled 2 4 75 4" xfId="35320"/>
    <cellStyle name="Prefilled 2 4 75 5" xfId="35321"/>
    <cellStyle name="Prefilled 2 4 75 6" xfId="35322"/>
    <cellStyle name="Prefilled 2 4 75 7" xfId="35323"/>
    <cellStyle name="Prefilled 2 4 76" xfId="6673"/>
    <cellStyle name="Prefilled 2 4 76 2" xfId="35324"/>
    <cellStyle name="Prefilled 2 4 76 3" xfId="35325"/>
    <cellStyle name="Prefilled 2 4 76 4" xfId="35326"/>
    <cellStyle name="Prefilled 2 4 76 5" xfId="35327"/>
    <cellStyle name="Prefilled 2 4 76 6" xfId="35328"/>
    <cellStyle name="Prefilled 2 4 76 7" xfId="35329"/>
    <cellStyle name="Prefilled 2 4 77" xfId="6674"/>
    <cellStyle name="Prefilled 2 4 77 2" xfId="35330"/>
    <cellStyle name="Prefilled 2 4 77 3" xfId="35331"/>
    <cellStyle name="Prefilled 2 4 77 4" xfId="35332"/>
    <cellStyle name="Prefilled 2 4 77 5" xfId="35333"/>
    <cellStyle name="Prefilled 2 4 77 6" xfId="35334"/>
    <cellStyle name="Prefilled 2 4 77 7" xfId="35335"/>
    <cellStyle name="Prefilled 2 4 78" xfId="6675"/>
    <cellStyle name="Prefilled 2 4 78 2" xfId="35336"/>
    <cellStyle name="Prefilled 2 4 78 3" xfId="35337"/>
    <cellStyle name="Prefilled 2 4 78 4" xfId="35338"/>
    <cellStyle name="Prefilled 2 4 78 5" xfId="35339"/>
    <cellStyle name="Prefilled 2 4 78 6" xfId="35340"/>
    <cellStyle name="Prefilled 2 4 78 7" xfId="35341"/>
    <cellStyle name="Prefilled 2 4 79" xfId="6676"/>
    <cellStyle name="Prefilled 2 4 79 2" xfId="35342"/>
    <cellStyle name="Prefilled 2 4 79 3" xfId="35343"/>
    <cellStyle name="Prefilled 2 4 79 4" xfId="35344"/>
    <cellStyle name="Prefilled 2 4 79 5" xfId="35345"/>
    <cellStyle name="Prefilled 2 4 79 6" xfId="35346"/>
    <cellStyle name="Prefilled 2 4 79 7" xfId="35347"/>
    <cellStyle name="Prefilled 2 4 8" xfId="6677"/>
    <cellStyle name="Prefilled 2 4 8 2" xfId="35348"/>
    <cellStyle name="Prefilled 2 4 8 3" xfId="35349"/>
    <cellStyle name="Prefilled 2 4 8 4" xfId="35350"/>
    <cellStyle name="Prefilled 2 4 8 5" xfId="35351"/>
    <cellStyle name="Prefilled 2 4 8 6" xfId="35352"/>
    <cellStyle name="Prefilled 2 4 8 7" xfId="35353"/>
    <cellStyle name="Prefilled 2 4 80" xfId="6678"/>
    <cellStyle name="Prefilled 2 4 80 2" xfId="35354"/>
    <cellStyle name="Prefilled 2 4 80 3" xfId="35355"/>
    <cellStyle name="Prefilled 2 4 80 4" xfId="35356"/>
    <cellStyle name="Prefilled 2 4 80 5" xfId="35357"/>
    <cellStyle name="Prefilled 2 4 80 6" xfId="35358"/>
    <cellStyle name="Prefilled 2 4 80 7" xfId="35359"/>
    <cellStyle name="Prefilled 2 4 81" xfId="6679"/>
    <cellStyle name="Prefilled 2 4 81 2" xfId="35360"/>
    <cellStyle name="Prefilled 2 4 81 3" xfId="35361"/>
    <cellStyle name="Prefilled 2 4 81 4" xfId="35362"/>
    <cellStyle name="Prefilled 2 4 81 5" xfId="35363"/>
    <cellStyle name="Prefilled 2 4 81 6" xfId="35364"/>
    <cellStyle name="Prefilled 2 4 81 7" xfId="35365"/>
    <cellStyle name="Prefilled 2 4 82" xfId="6680"/>
    <cellStyle name="Prefilled 2 4 82 2" xfId="35366"/>
    <cellStyle name="Prefilled 2 4 82 3" xfId="35367"/>
    <cellStyle name="Prefilled 2 4 82 4" xfId="35368"/>
    <cellStyle name="Prefilled 2 4 82 5" xfId="35369"/>
    <cellStyle name="Prefilled 2 4 82 6" xfId="35370"/>
    <cellStyle name="Prefilled 2 4 82 7" xfId="35371"/>
    <cellStyle name="Prefilled 2 4 83" xfId="6681"/>
    <cellStyle name="Prefilled 2 4 83 2" xfId="35372"/>
    <cellStyle name="Prefilled 2 4 83 3" xfId="35373"/>
    <cellStyle name="Prefilled 2 4 83 4" xfId="35374"/>
    <cellStyle name="Prefilled 2 4 83 5" xfId="35375"/>
    <cellStyle name="Prefilled 2 4 83 6" xfId="35376"/>
    <cellStyle name="Prefilled 2 4 83 7" xfId="35377"/>
    <cellStyle name="Prefilled 2 4 84" xfId="6682"/>
    <cellStyle name="Prefilled 2 4 84 2" xfId="35378"/>
    <cellStyle name="Prefilled 2 4 84 3" xfId="35379"/>
    <cellStyle name="Prefilled 2 4 84 4" xfId="35380"/>
    <cellStyle name="Prefilled 2 4 84 5" xfId="35381"/>
    <cellStyle name="Prefilled 2 4 84 6" xfId="35382"/>
    <cellStyle name="Prefilled 2 4 84 7" xfId="35383"/>
    <cellStyle name="Prefilled 2 4 85" xfId="6683"/>
    <cellStyle name="Prefilled 2 4 85 2" xfId="35384"/>
    <cellStyle name="Prefilled 2 4 85 3" xfId="35385"/>
    <cellStyle name="Prefilled 2 4 85 4" xfId="35386"/>
    <cellStyle name="Prefilled 2 4 85 5" xfId="35387"/>
    <cellStyle name="Prefilled 2 4 85 6" xfId="35388"/>
    <cellStyle name="Prefilled 2 4 85 7" xfId="35389"/>
    <cellStyle name="Prefilled 2 4 86" xfId="6684"/>
    <cellStyle name="Prefilled 2 4 86 2" xfId="35390"/>
    <cellStyle name="Prefilled 2 4 86 3" xfId="35391"/>
    <cellStyle name="Prefilled 2 4 86 4" xfId="35392"/>
    <cellStyle name="Prefilled 2 4 86 5" xfId="35393"/>
    <cellStyle name="Prefilled 2 4 86 6" xfId="35394"/>
    <cellStyle name="Prefilled 2 4 86 7" xfId="35395"/>
    <cellStyle name="Prefilled 2 4 87" xfId="6685"/>
    <cellStyle name="Prefilled 2 4 87 2" xfId="35396"/>
    <cellStyle name="Prefilled 2 4 87 3" xfId="35397"/>
    <cellStyle name="Prefilled 2 4 87 4" xfId="35398"/>
    <cellStyle name="Prefilled 2 4 87 5" xfId="35399"/>
    <cellStyle name="Prefilled 2 4 87 6" xfId="35400"/>
    <cellStyle name="Prefilled 2 4 87 7" xfId="35401"/>
    <cellStyle name="Prefilled 2 4 88" xfId="6686"/>
    <cellStyle name="Prefilled 2 4 88 2" xfId="35402"/>
    <cellStyle name="Prefilled 2 4 88 3" xfId="35403"/>
    <cellStyle name="Prefilled 2 4 88 4" xfId="35404"/>
    <cellStyle name="Prefilled 2 4 88 5" xfId="35405"/>
    <cellStyle name="Prefilled 2 4 88 6" xfId="35406"/>
    <cellStyle name="Prefilled 2 4 88 7" xfId="35407"/>
    <cellStyle name="Prefilled 2 4 89" xfId="6687"/>
    <cellStyle name="Prefilled 2 4 89 2" xfId="35408"/>
    <cellStyle name="Prefilled 2 4 89 3" xfId="35409"/>
    <cellStyle name="Prefilled 2 4 89 4" xfId="35410"/>
    <cellStyle name="Prefilled 2 4 89 5" xfId="35411"/>
    <cellStyle name="Prefilled 2 4 89 6" xfId="35412"/>
    <cellStyle name="Prefilled 2 4 89 7" xfId="35413"/>
    <cellStyle name="Prefilled 2 4 9" xfId="6688"/>
    <cellStyle name="Prefilled 2 4 9 2" xfId="35414"/>
    <cellStyle name="Prefilled 2 4 9 3" xfId="35415"/>
    <cellStyle name="Prefilled 2 4 9 4" xfId="35416"/>
    <cellStyle name="Prefilled 2 4 9 5" xfId="35417"/>
    <cellStyle name="Prefilled 2 4 9 6" xfId="35418"/>
    <cellStyle name="Prefilled 2 4 9 7" xfId="35419"/>
    <cellStyle name="Prefilled 2 4 90" xfId="6689"/>
    <cellStyle name="Prefilled 2 4 90 2" xfId="35420"/>
    <cellStyle name="Prefilled 2 4 90 3" xfId="35421"/>
    <cellStyle name="Prefilled 2 4 90 4" xfId="35422"/>
    <cellStyle name="Prefilled 2 4 90 5" xfId="35423"/>
    <cellStyle name="Prefilled 2 4 90 6" xfId="35424"/>
    <cellStyle name="Prefilled 2 4 90 7" xfId="35425"/>
    <cellStyle name="Prefilled 2 4 91" xfId="6690"/>
    <cellStyle name="Prefilled 2 4 91 2" xfId="35426"/>
    <cellStyle name="Prefilled 2 4 91 3" xfId="35427"/>
    <cellStyle name="Prefilled 2 4 91 4" xfId="35428"/>
    <cellStyle name="Prefilled 2 4 91 5" xfId="35429"/>
    <cellStyle name="Prefilled 2 4 91 6" xfId="35430"/>
    <cellStyle name="Prefilled 2 4 91 7" xfId="35431"/>
    <cellStyle name="Prefilled 2 4 92" xfId="6691"/>
    <cellStyle name="Prefilled 2 4 92 2" xfId="35432"/>
    <cellStyle name="Prefilled 2 4 92 3" xfId="35433"/>
    <cellStyle name="Prefilled 2 4 92 4" xfId="35434"/>
    <cellStyle name="Prefilled 2 4 92 5" xfId="35435"/>
    <cellStyle name="Prefilled 2 4 92 6" xfId="35436"/>
    <cellStyle name="Prefilled 2 4 92 7" xfId="35437"/>
    <cellStyle name="Prefilled 2 4 93" xfId="6692"/>
    <cellStyle name="Prefilled 2 4 93 2" xfId="35438"/>
    <cellStyle name="Prefilled 2 4 93 3" xfId="35439"/>
    <cellStyle name="Prefilled 2 4 93 4" xfId="35440"/>
    <cellStyle name="Prefilled 2 4 93 5" xfId="35441"/>
    <cellStyle name="Prefilled 2 4 93 6" xfId="35442"/>
    <cellStyle name="Prefilled 2 4 94" xfId="35443"/>
    <cellStyle name="Prefilled 2 4 95" xfId="35444"/>
    <cellStyle name="Prefilled 2 4 96" xfId="35445"/>
    <cellStyle name="Prefilled 2 4 97" xfId="35446"/>
    <cellStyle name="Prefilled 2 4 98" xfId="35447"/>
    <cellStyle name="Prefilled 2 4 99" xfId="35448"/>
    <cellStyle name="Prefilled 2 40" xfId="6693"/>
    <cellStyle name="Prefilled 2 40 2" xfId="35449"/>
    <cellStyle name="Prefilled 2 40 3" xfId="35450"/>
    <cellStyle name="Prefilled 2 40 4" xfId="35451"/>
    <cellStyle name="Prefilled 2 40 5" xfId="35452"/>
    <cellStyle name="Prefilled 2 40 6" xfId="35453"/>
    <cellStyle name="Prefilled 2 40 7" xfId="35454"/>
    <cellStyle name="Prefilled 2 41" xfId="6694"/>
    <cellStyle name="Prefilled 2 41 2" xfId="35455"/>
    <cellStyle name="Prefilled 2 41 3" xfId="35456"/>
    <cellStyle name="Prefilled 2 41 4" xfId="35457"/>
    <cellStyle name="Prefilled 2 41 5" xfId="35458"/>
    <cellStyle name="Prefilled 2 41 6" xfId="35459"/>
    <cellStyle name="Prefilled 2 41 7" xfId="35460"/>
    <cellStyle name="Prefilled 2 42" xfId="6695"/>
    <cellStyle name="Prefilled 2 42 2" xfId="35461"/>
    <cellStyle name="Prefilled 2 42 3" xfId="35462"/>
    <cellStyle name="Prefilled 2 42 4" xfId="35463"/>
    <cellStyle name="Prefilled 2 42 5" xfId="35464"/>
    <cellStyle name="Prefilled 2 42 6" xfId="35465"/>
    <cellStyle name="Prefilled 2 42 7" xfId="35466"/>
    <cellStyle name="Prefilled 2 43" xfId="6696"/>
    <cellStyle name="Prefilled 2 43 2" xfId="35467"/>
    <cellStyle name="Prefilled 2 43 3" xfId="35468"/>
    <cellStyle name="Prefilled 2 43 4" xfId="35469"/>
    <cellStyle name="Prefilled 2 43 5" xfId="35470"/>
    <cellStyle name="Prefilled 2 43 6" xfId="35471"/>
    <cellStyle name="Prefilled 2 43 7" xfId="35472"/>
    <cellStyle name="Prefilled 2 44" xfId="6697"/>
    <cellStyle name="Prefilled 2 44 2" xfId="35473"/>
    <cellStyle name="Prefilled 2 44 3" xfId="35474"/>
    <cellStyle name="Prefilled 2 44 4" xfId="35475"/>
    <cellStyle name="Prefilled 2 44 5" xfId="35476"/>
    <cellStyle name="Prefilled 2 44 6" xfId="35477"/>
    <cellStyle name="Prefilled 2 44 7" xfId="35478"/>
    <cellStyle name="Prefilled 2 45" xfId="6698"/>
    <cellStyle name="Prefilled 2 45 2" xfId="35479"/>
    <cellStyle name="Prefilled 2 45 3" xfId="35480"/>
    <cellStyle name="Prefilled 2 45 4" xfId="35481"/>
    <cellStyle name="Prefilled 2 45 5" xfId="35482"/>
    <cellStyle name="Prefilled 2 45 6" xfId="35483"/>
    <cellStyle name="Prefilled 2 45 7" xfId="35484"/>
    <cellStyle name="Prefilled 2 46" xfId="6699"/>
    <cellStyle name="Prefilled 2 46 2" xfId="35485"/>
    <cellStyle name="Prefilled 2 46 3" xfId="35486"/>
    <cellStyle name="Prefilled 2 46 4" xfId="35487"/>
    <cellStyle name="Prefilled 2 46 5" xfId="35488"/>
    <cellStyle name="Prefilled 2 46 6" xfId="35489"/>
    <cellStyle name="Prefilled 2 46 7" xfId="35490"/>
    <cellStyle name="Prefilled 2 47" xfId="6700"/>
    <cellStyle name="Prefilled 2 47 2" xfId="35491"/>
    <cellStyle name="Prefilled 2 47 3" xfId="35492"/>
    <cellStyle name="Prefilled 2 47 4" xfId="35493"/>
    <cellStyle name="Prefilled 2 47 5" xfId="35494"/>
    <cellStyle name="Prefilled 2 47 6" xfId="35495"/>
    <cellStyle name="Prefilled 2 47 7" xfId="35496"/>
    <cellStyle name="Prefilled 2 48" xfId="6701"/>
    <cellStyle name="Prefilled 2 48 2" xfId="35497"/>
    <cellStyle name="Prefilled 2 48 3" xfId="35498"/>
    <cellStyle name="Prefilled 2 48 4" xfId="35499"/>
    <cellStyle name="Prefilled 2 48 5" xfId="35500"/>
    <cellStyle name="Prefilled 2 48 6" xfId="35501"/>
    <cellStyle name="Prefilled 2 48 7" xfId="35502"/>
    <cellStyle name="Prefilled 2 49" xfId="6702"/>
    <cellStyle name="Prefilled 2 49 2" xfId="35503"/>
    <cellStyle name="Prefilled 2 49 3" xfId="35504"/>
    <cellStyle name="Prefilled 2 49 4" xfId="35505"/>
    <cellStyle name="Prefilled 2 49 5" xfId="35506"/>
    <cellStyle name="Prefilled 2 49 6" xfId="35507"/>
    <cellStyle name="Prefilled 2 49 7" xfId="35508"/>
    <cellStyle name="Prefilled 2 5" xfId="6703"/>
    <cellStyle name="Prefilled 2 5 10" xfId="6704"/>
    <cellStyle name="Prefilled 2 5 10 2" xfId="35509"/>
    <cellStyle name="Prefilled 2 5 10 3" xfId="35510"/>
    <cellStyle name="Prefilled 2 5 10 4" xfId="35511"/>
    <cellStyle name="Prefilled 2 5 10 5" xfId="35512"/>
    <cellStyle name="Prefilled 2 5 10 6" xfId="35513"/>
    <cellStyle name="Prefilled 2 5 10 7" xfId="35514"/>
    <cellStyle name="Prefilled 2 5 100" xfId="35515"/>
    <cellStyle name="Prefilled 2 5 101" xfId="35516"/>
    <cellStyle name="Prefilled 2 5 102" xfId="35517"/>
    <cellStyle name="Prefilled 2 5 11" xfId="6705"/>
    <cellStyle name="Prefilled 2 5 11 2" xfId="35518"/>
    <cellStyle name="Prefilled 2 5 11 3" xfId="35519"/>
    <cellStyle name="Prefilled 2 5 11 4" xfId="35520"/>
    <cellStyle name="Prefilled 2 5 11 5" xfId="35521"/>
    <cellStyle name="Prefilled 2 5 11 6" xfId="35522"/>
    <cellStyle name="Prefilled 2 5 11 7" xfId="35523"/>
    <cellStyle name="Prefilled 2 5 12" xfId="6706"/>
    <cellStyle name="Prefilled 2 5 12 2" xfId="35524"/>
    <cellStyle name="Prefilled 2 5 12 3" xfId="35525"/>
    <cellStyle name="Prefilled 2 5 12 4" xfId="35526"/>
    <cellStyle name="Prefilled 2 5 12 5" xfId="35527"/>
    <cellStyle name="Prefilled 2 5 12 6" xfId="35528"/>
    <cellStyle name="Prefilled 2 5 12 7" xfId="35529"/>
    <cellStyle name="Prefilled 2 5 13" xfId="6707"/>
    <cellStyle name="Prefilled 2 5 13 2" xfId="35530"/>
    <cellStyle name="Prefilled 2 5 13 3" xfId="35531"/>
    <cellStyle name="Prefilled 2 5 13 4" xfId="35532"/>
    <cellStyle name="Prefilled 2 5 13 5" xfId="35533"/>
    <cellStyle name="Prefilled 2 5 13 6" xfId="35534"/>
    <cellStyle name="Prefilled 2 5 13 7" xfId="35535"/>
    <cellStyle name="Prefilled 2 5 14" xfId="6708"/>
    <cellStyle name="Prefilled 2 5 14 2" xfId="35536"/>
    <cellStyle name="Prefilled 2 5 14 3" xfId="35537"/>
    <cellStyle name="Prefilled 2 5 14 4" xfId="35538"/>
    <cellStyle name="Prefilled 2 5 14 5" xfId="35539"/>
    <cellStyle name="Prefilled 2 5 14 6" xfId="35540"/>
    <cellStyle name="Prefilled 2 5 14 7" xfId="35541"/>
    <cellStyle name="Prefilled 2 5 15" xfId="6709"/>
    <cellStyle name="Prefilled 2 5 15 2" xfId="35542"/>
    <cellStyle name="Prefilled 2 5 15 3" xfId="35543"/>
    <cellStyle name="Prefilled 2 5 15 4" xfId="35544"/>
    <cellStyle name="Prefilled 2 5 15 5" xfId="35545"/>
    <cellStyle name="Prefilled 2 5 15 6" xfId="35546"/>
    <cellStyle name="Prefilled 2 5 15 7" xfId="35547"/>
    <cellStyle name="Prefilled 2 5 16" xfId="6710"/>
    <cellStyle name="Prefilled 2 5 16 2" xfId="35548"/>
    <cellStyle name="Prefilled 2 5 16 3" xfId="35549"/>
    <cellStyle name="Prefilled 2 5 16 4" xfId="35550"/>
    <cellStyle name="Prefilled 2 5 16 5" xfId="35551"/>
    <cellStyle name="Prefilled 2 5 16 6" xfId="35552"/>
    <cellStyle name="Prefilled 2 5 16 7" xfId="35553"/>
    <cellStyle name="Prefilled 2 5 17" xfId="6711"/>
    <cellStyle name="Prefilled 2 5 17 2" xfId="35554"/>
    <cellStyle name="Prefilled 2 5 17 3" xfId="35555"/>
    <cellStyle name="Prefilled 2 5 17 4" xfId="35556"/>
    <cellStyle name="Prefilled 2 5 17 5" xfId="35557"/>
    <cellStyle name="Prefilled 2 5 17 6" xfId="35558"/>
    <cellStyle name="Prefilled 2 5 17 7" xfId="35559"/>
    <cellStyle name="Prefilled 2 5 18" xfId="6712"/>
    <cellStyle name="Prefilled 2 5 18 2" xfId="35560"/>
    <cellStyle name="Prefilled 2 5 18 3" xfId="35561"/>
    <cellStyle name="Prefilled 2 5 18 4" xfId="35562"/>
    <cellStyle name="Prefilled 2 5 18 5" xfId="35563"/>
    <cellStyle name="Prefilled 2 5 18 6" xfId="35564"/>
    <cellStyle name="Prefilled 2 5 18 7" xfId="35565"/>
    <cellStyle name="Prefilled 2 5 19" xfId="6713"/>
    <cellStyle name="Prefilled 2 5 19 2" xfId="35566"/>
    <cellStyle name="Prefilled 2 5 19 3" xfId="35567"/>
    <cellStyle name="Prefilled 2 5 19 4" xfId="35568"/>
    <cellStyle name="Prefilled 2 5 19 5" xfId="35569"/>
    <cellStyle name="Prefilled 2 5 19 6" xfId="35570"/>
    <cellStyle name="Prefilled 2 5 19 7" xfId="35571"/>
    <cellStyle name="Prefilled 2 5 2" xfId="6714"/>
    <cellStyle name="Prefilled 2 5 2 10" xfId="35572"/>
    <cellStyle name="Prefilled 2 5 2 11" xfId="35573"/>
    <cellStyle name="Prefilled 2 5 2 2" xfId="35574"/>
    <cellStyle name="Prefilled 2 5 2 3" xfId="35575"/>
    <cellStyle name="Prefilled 2 5 2 4" xfId="35576"/>
    <cellStyle name="Prefilled 2 5 2 5" xfId="35577"/>
    <cellStyle name="Prefilled 2 5 2 6" xfId="35578"/>
    <cellStyle name="Prefilled 2 5 2 7" xfId="35579"/>
    <cellStyle name="Prefilled 2 5 2 8" xfId="35580"/>
    <cellStyle name="Prefilled 2 5 2 9" xfId="35581"/>
    <cellStyle name="Prefilled 2 5 20" xfId="6715"/>
    <cellStyle name="Prefilled 2 5 20 2" xfId="35582"/>
    <cellStyle name="Prefilled 2 5 20 3" xfId="35583"/>
    <cellStyle name="Prefilled 2 5 20 4" xfId="35584"/>
    <cellStyle name="Prefilled 2 5 20 5" xfId="35585"/>
    <cellStyle name="Prefilled 2 5 20 6" xfId="35586"/>
    <cellStyle name="Prefilled 2 5 20 7" xfId="35587"/>
    <cellStyle name="Prefilled 2 5 21" xfId="6716"/>
    <cellStyle name="Prefilled 2 5 21 2" xfId="35588"/>
    <cellStyle name="Prefilled 2 5 21 3" xfId="35589"/>
    <cellStyle name="Prefilled 2 5 21 4" xfId="35590"/>
    <cellStyle name="Prefilled 2 5 21 5" xfId="35591"/>
    <cellStyle name="Prefilled 2 5 21 6" xfId="35592"/>
    <cellStyle name="Prefilled 2 5 21 7" xfId="35593"/>
    <cellStyle name="Prefilled 2 5 22" xfId="6717"/>
    <cellStyle name="Prefilled 2 5 22 2" xfId="35594"/>
    <cellStyle name="Prefilled 2 5 22 3" xfId="35595"/>
    <cellStyle name="Prefilled 2 5 22 4" xfId="35596"/>
    <cellStyle name="Prefilled 2 5 22 5" xfId="35597"/>
    <cellStyle name="Prefilled 2 5 22 6" xfId="35598"/>
    <cellStyle name="Prefilled 2 5 22 7" xfId="35599"/>
    <cellStyle name="Prefilled 2 5 23" xfId="6718"/>
    <cellStyle name="Prefilled 2 5 23 2" xfId="35600"/>
    <cellStyle name="Prefilled 2 5 23 3" xfId="35601"/>
    <cellStyle name="Prefilled 2 5 23 4" xfId="35602"/>
    <cellStyle name="Prefilled 2 5 23 5" xfId="35603"/>
    <cellStyle name="Prefilled 2 5 23 6" xfId="35604"/>
    <cellStyle name="Prefilled 2 5 23 7" xfId="35605"/>
    <cellStyle name="Prefilled 2 5 24" xfId="6719"/>
    <cellStyle name="Prefilled 2 5 24 2" xfId="35606"/>
    <cellStyle name="Prefilled 2 5 24 3" xfId="35607"/>
    <cellStyle name="Prefilled 2 5 24 4" xfId="35608"/>
    <cellStyle name="Prefilled 2 5 24 5" xfId="35609"/>
    <cellStyle name="Prefilled 2 5 24 6" xfId="35610"/>
    <cellStyle name="Prefilled 2 5 24 7" xfId="35611"/>
    <cellStyle name="Prefilled 2 5 25" xfId="6720"/>
    <cellStyle name="Prefilled 2 5 25 2" xfId="35612"/>
    <cellStyle name="Prefilled 2 5 25 3" xfId="35613"/>
    <cellStyle name="Prefilled 2 5 25 4" xfId="35614"/>
    <cellStyle name="Prefilled 2 5 25 5" xfId="35615"/>
    <cellStyle name="Prefilled 2 5 25 6" xfId="35616"/>
    <cellStyle name="Prefilled 2 5 25 7" xfId="35617"/>
    <cellStyle name="Prefilled 2 5 26" xfId="6721"/>
    <cellStyle name="Prefilled 2 5 26 2" xfId="35618"/>
    <cellStyle name="Prefilled 2 5 26 3" xfId="35619"/>
    <cellStyle name="Prefilled 2 5 26 4" xfId="35620"/>
    <cellStyle name="Prefilled 2 5 26 5" xfId="35621"/>
    <cellStyle name="Prefilled 2 5 26 6" xfId="35622"/>
    <cellStyle name="Prefilled 2 5 26 7" xfId="35623"/>
    <cellStyle name="Prefilled 2 5 27" xfId="6722"/>
    <cellStyle name="Prefilled 2 5 27 2" xfId="35624"/>
    <cellStyle name="Prefilled 2 5 27 3" xfId="35625"/>
    <cellStyle name="Prefilled 2 5 27 4" xfId="35626"/>
    <cellStyle name="Prefilled 2 5 27 5" xfId="35627"/>
    <cellStyle name="Prefilled 2 5 27 6" xfId="35628"/>
    <cellStyle name="Prefilled 2 5 27 7" xfId="35629"/>
    <cellStyle name="Prefilled 2 5 28" xfId="6723"/>
    <cellStyle name="Prefilled 2 5 28 2" xfId="35630"/>
    <cellStyle name="Prefilled 2 5 28 3" xfId="35631"/>
    <cellStyle name="Prefilled 2 5 28 4" xfId="35632"/>
    <cellStyle name="Prefilled 2 5 28 5" xfId="35633"/>
    <cellStyle name="Prefilled 2 5 28 6" xfId="35634"/>
    <cellStyle name="Prefilled 2 5 28 7" xfId="35635"/>
    <cellStyle name="Prefilled 2 5 29" xfId="6724"/>
    <cellStyle name="Prefilled 2 5 29 2" xfId="35636"/>
    <cellStyle name="Prefilled 2 5 29 3" xfId="35637"/>
    <cellStyle name="Prefilled 2 5 29 4" xfId="35638"/>
    <cellStyle name="Prefilled 2 5 29 5" xfId="35639"/>
    <cellStyle name="Prefilled 2 5 29 6" xfId="35640"/>
    <cellStyle name="Prefilled 2 5 29 7" xfId="35641"/>
    <cellStyle name="Prefilled 2 5 3" xfId="6725"/>
    <cellStyle name="Prefilled 2 5 3 10" xfId="35642"/>
    <cellStyle name="Prefilled 2 5 3 2" xfId="35643"/>
    <cellStyle name="Prefilled 2 5 3 3" xfId="35644"/>
    <cellStyle name="Prefilled 2 5 3 4" xfId="35645"/>
    <cellStyle name="Prefilled 2 5 3 5" xfId="35646"/>
    <cellStyle name="Prefilled 2 5 3 6" xfId="35647"/>
    <cellStyle name="Prefilled 2 5 3 7" xfId="35648"/>
    <cellStyle name="Prefilled 2 5 3 8" xfId="35649"/>
    <cellStyle name="Prefilled 2 5 3 9" xfId="35650"/>
    <cellStyle name="Prefilled 2 5 30" xfId="6726"/>
    <cellStyle name="Prefilled 2 5 30 2" xfId="35651"/>
    <cellStyle name="Prefilled 2 5 30 3" xfId="35652"/>
    <cellStyle name="Prefilled 2 5 30 4" xfId="35653"/>
    <cellStyle name="Prefilled 2 5 30 5" xfId="35654"/>
    <cellStyle name="Prefilled 2 5 30 6" xfId="35655"/>
    <cellStyle name="Prefilled 2 5 30 7" xfId="35656"/>
    <cellStyle name="Prefilled 2 5 31" xfId="6727"/>
    <cellStyle name="Prefilled 2 5 31 2" xfId="35657"/>
    <cellStyle name="Prefilled 2 5 31 3" xfId="35658"/>
    <cellStyle name="Prefilled 2 5 31 4" xfId="35659"/>
    <cellStyle name="Prefilled 2 5 31 5" xfId="35660"/>
    <cellStyle name="Prefilled 2 5 31 6" xfId="35661"/>
    <cellStyle name="Prefilled 2 5 31 7" xfId="35662"/>
    <cellStyle name="Prefilled 2 5 32" xfId="6728"/>
    <cellStyle name="Prefilled 2 5 32 2" xfId="35663"/>
    <cellStyle name="Prefilled 2 5 32 3" xfId="35664"/>
    <cellStyle name="Prefilled 2 5 32 4" xfId="35665"/>
    <cellStyle name="Prefilled 2 5 32 5" xfId="35666"/>
    <cellStyle name="Prefilled 2 5 32 6" xfId="35667"/>
    <cellStyle name="Prefilled 2 5 32 7" xfId="35668"/>
    <cellStyle name="Prefilled 2 5 33" xfId="6729"/>
    <cellStyle name="Prefilled 2 5 33 2" xfId="35669"/>
    <cellStyle name="Prefilled 2 5 33 3" xfId="35670"/>
    <cellStyle name="Prefilled 2 5 33 4" xfId="35671"/>
    <cellStyle name="Prefilled 2 5 33 5" xfId="35672"/>
    <cellStyle name="Prefilled 2 5 33 6" xfId="35673"/>
    <cellStyle name="Prefilled 2 5 33 7" xfId="35674"/>
    <cellStyle name="Prefilled 2 5 34" xfId="6730"/>
    <cellStyle name="Prefilled 2 5 34 2" xfId="35675"/>
    <cellStyle name="Prefilled 2 5 34 3" xfId="35676"/>
    <cellStyle name="Prefilled 2 5 34 4" xfId="35677"/>
    <cellStyle name="Prefilled 2 5 34 5" xfId="35678"/>
    <cellStyle name="Prefilled 2 5 34 6" xfId="35679"/>
    <cellStyle name="Prefilled 2 5 34 7" xfId="35680"/>
    <cellStyle name="Prefilled 2 5 35" xfId="6731"/>
    <cellStyle name="Prefilled 2 5 35 2" xfId="35681"/>
    <cellStyle name="Prefilled 2 5 35 3" xfId="35682"/>
    <cellStyle name="Prefilled 2 5 35 4" xfId="35683"/>
    <cellStyle name="Prefilled 2 5 35 5" xfId="35684"/>
    <cellStyle name="Prefilled 2 5 35 6" xfId="35685"/>
    <cellStyle name="Prefilled 2 5 35 7" xfId="35686"/>
    <cellStyle name="Prefilled 2 5 36" xfId="6732"/>
    <cellStyle name="Prefilled 2 5 36 2" xfId="35687"/>
    <cellStyle name="Prefilled 2 5 36 3" xfId="35688"/>
    <cellStyle name="Prefilled 2 5 36 4" xfId="35689"/>
    <cellStyle name="Prefilled 2 5 36 5" xfId="35690"/>
    <cellStyle name="Prefilled 2 5 36 6" xfId="35691"/>
    <cellStyle name="Prefilled 2 5 36 7" xfId="35692"/>
    <cellStyle name="Prefilled 2 5 37" xfId="6733"/>
    <cellStyle name="Prefilled 2 5 37 2" xfId="35693"/>
    <cellStyle name="Prefilled 2 5 37 3" xfId="35694"/>
    <cellStyle name="Prefilled 2 5 37 4" xfId="35695"/>
    <cellStyle name="Prefilled 2 5 37 5" xfId="35696"/>
    <cellStyle name="Prefilled 2 5 37 6" xfId="35697"/>
    <cellStyle name="Prefilled 2 5 37 7" xfId="35698"/>
    <cellStyle name="Prefilled 2 5 38" xfId="6734"/>
    <cellStyle name="Prefilled 2 5 38 2" xfId="35699"/>
    <cellStyle name="Prefilled 2 5 38 3" xfId="35700"/>
    <cellStyle name="Prefilled 2 5 38 4" xfId="35701"/>
    <cellStyle name="Prefilled 2 5 38 5" xfId="35702"/>
    <cellStyle name="Prefilled 2 5 38 6" xfId="35703"/>
    <cellStyle name="Prefilled 2 5 38 7" xfId="35704"/>
    <cellStyle name="Prefilled 2 5 39" xfId="6735"/>
    <cellStyle name="Prefilled 2 5 39 2" xfId="35705"/>
    <cellStyle name="Prefilled 2 5 39 3" xfId="35706"/>
    <cellStyle name="Prefilled 2 5 39 4" xfId="35707"/>
    <cellStyle name="Prefilled 2 5 39 5" xfId="35708"/>
    <cellStyle name="Prefilled 2 5 39 6" xfId="35709"/>
    <cellStyle name="Prefilled 2 5 39 7" xfId="35710"/>
    <cellStyle name="Prefilled 2 5 4" xfId="6736"/>
    <cellStyle name="Prefilled 2 5 4 10" xfId="35711"/>
    <cellStyle name="Prefilled 2 5 4 2" xfId="35712"/>
    <cellStyle name="Prefilled 2 5 4 3" xfId="35713"/>
    <cellStyle name="Prefilled 2 5 4 4" xfId="35714"/>
    <cellStyle name="Prefilled 2 5 4 5" xfId="35715"/>
    <cellStyle name="Prefilled 2 5 4 6" xfId="35716"/>
    <cellStyle name="Prefilled 2 5 4 7" xfId="35717"/>
    <cellStyle name="Prefilled 2 5 4 8" xfId="35718"/>
    <cellStyle name="Prefilled 2 5 4 9" xfId="35719"/>
    <cellStyle name="Prefilled 2 5 40" xfId="6737"/>
    <cellStyle name="Prefilled 2 5 40 2" xfId="35720"/>
    <cellStyle name="Prefilled 2 5 40 3" xfId="35721"/>
    <cellStyle name="Prefilled 2 5 40 4" xfId="35722"/>
    <cellStyle name="Prefilled 2 5 40 5" xfId="35723"/>
    <cellStyle name="Prefilled 2 5 40 6" xfId="35724"/>
    <cellStyle name="Prefilled 2 5 40 7" xfId="35725"/>
    <cellStyle name="Prefilled 2 5 41" xfId="6738"/>
    <cellStyle name="Prefilled 2 5 41 2" xfId="35726"/>
    <cellStyle name="Prefilled 2 5 41 3" xfId="35727"/>
    <cellStyle name="Prefilled 2 5 41 4" xfId="35728"/>
    <cellStyle name="Prefilled 2 5 41 5" xfId="35729"/>
    <cellStyle name="Prefilled 2 5 41 6" xfId="35730"/>
    <cellStyle name="Prefilled 2 5 41 7" xfId="35731"/>
    <cellStyle name="Prefilled 2 5 42" xfId="6739"/>
    <cellStyle name="Prefilled 2 5 42 2" xfId="35732"/>
    <cellStyle name="Prefilled 2 5 42 3" xfId="35733"/>
    <cellStyle name="Prefilled 2 5 42 4" xfId="35734"/>
    <cellStyle name="Prefilled 2 5 42 5" xfId="35735"/>
    <cellStyle name="Prefilled 2 5 42 6" xfId="35736"/>
    <cellStyle name="Prefilled 2 5 42 7" xfId="35737"/>
    <cellStyle name="Prefilled 2 5 43" xfId="6740"/>
    <cellStyle name="Prefilled 2 5 43 2" xfId="35738"/>
    <cellStyle name="Prefilled 2 5 43 3" xfId="35739"/>
    <cellStyle name="Prefilled 2 5 43 4" xfId="35740"/>
    <cellStyle name="Prefilled 2 5 43 5" xfId="35741"/>
    <cellStyle name="Prefilled 2 5 43 6" xfId="35742"/>
    <cellStyle name="Prefilled 2 5 43 7" xfId="35743"/>
    <cellStyle name="Prefilled 2 5 44" xfId="6741"/>
    <cellStyle name="Prefilled 2 5 44 2" xfId="35744"/>
    <cellStyle name="Prefilled 2 5 44 3" xfId="35745"/>
    <cellStyle name="Prefilled 2 5 44 4" xfId="35746"/>
    <cellStyle name="Prefilled 2 5 44 5" xfId="35747"/>
    <cellStyle name="Prefilled 2 5 44 6" xfId="35748"/>
    <cellStyle name="Prefilled 2 5 44 7" xfId="35749"/>
    <cellStyle name="Prefilled 2 5 45" xfId="6742"/>
    <cellStyle name="Prefilled 2 5 45 2" xfId="35750"/>
    <cellStyle name="Prefilled 2 5 45 3" xfId="35751"/>
    <cellStyle name="Prefilled 2 5 45 4" xfId="35752"/>
    <cellStyle name="Prefilled 2 5 45 5" xfId="35753"/>
    <cellStyle name="Prefilled 2 5 45 6" xfId="35754"/>
    <cellStyle name="Prefilled 2 5 45 7" xfId="35755"/>
    <cellStyle name="Prefilled 2 5 46" xfId="6743"/>
    <cellStyle name="Prefilled 2 5 46 2" xfId="35756"/>
    <cellStyle name="Prefilled 2 5 46 3" xfId="35757"/>
    <cellStyle name="Prefilled 2 5 46 4" xfId="35758"/>
    <cellStyle name="Prefilled 2 5 46 5" xfId="35759"/>
    <cellStyle name="Prefilled 2 5 46 6" xfId="35760"/>
    <cellStyle name="Prefilled 2 5 46 7" xfId="35761"/>
    <cellStyle name="Prefilled 2 5 47" xfId="6744"/>
    <cellStyle name="Prefilled 2 5 47 2" xfId="35762"/>
    <cellStyle name="Prefilled 2 5 47 3" xfId="35763"/>
    <cellStyle name="Prefilled 2 5 47 4" xfId="35764"/>
    <cellStyle name="Prefilled 2 5 47 5" xfId="35765"/>
    <cellStyle name="Prefilled 2 5 47 6" xfId="35766"/>
    <cellStyle name="Prefilled 2 5 47 7" xfId="35767"/>
    <cellStyle name="Prefilled 2 5 48" xfId="6745"/>
    <cellStyle name="Prefilled 2 5 48 2" xfId="35768"/>
    <cellStyle name="Prefilled 2 5 48 3" xfId="35769"/>
    <cellStyle name="Prefilled 2 5 48 4" xfId="35770"/>
    <cellStyle name="Prefilled 2 5 48 5" xfId="35771"/>
    <cellStyle name="Prefilled 2 5 48 6" xfId="35772"/>
    <cellStyle name="Prefilled 2 5 48 7" xfId="35773"/>
    <cellStyle name="Prefilled 2 5 49" xfId="6746"/>
    <cellStyle name="Prefilled 2 5 49 2" xfId="35774"/>
    <cellStyle name="Prefilled 2 5 49 3" xfId="35775"/>
    <cellStyle name="Prefilled 2 5 49 4" xfId="35776"/>
    <cellStyle name="Prefilled 2 5 49 5" xfId="35777"/>
    <cellStyle name="Prefilled 2 5 49 6" xfId="35778"/>
    <cellStyle name="Prefilled 2 5 49 7" xfId="35779"/>
    <cellStyle name="Prefilled 2 5 5" xfId="6747"/>
    <cellStyle name="Prefilled 2 5 5 2" xfId="35780"/>
    <cellStyle name="Prefilled 2 5 5 3" xfId="35781"/>
    <cellStyle name="Prefilled 2 5 5 4" xfId="35782"/>
    <cellStyle name="Prefilled 2 5 5 5" xfId="35783"/>
    <cellStyle name="Prefilled 2 5 5 6" xfId="35784"/>
    <cellStyle name="Prefilled 2 5 5 7" xfId="35785"/>
    <cellStyle name="Prefilled 2 5 50" xfId="6748"/>
    <cellStyle name="Prefilled 2 5 50 2" xfId="35786"/>
    <cellStyle name="Prefilled 2 5 50 3" xfId="35787"/>
    <cellStyle name="Prefilled 2 5 50 4" xfId="35788"/>
    <cellStyle name="Prefilled 2 5 50 5" xfId="35789"/>
    <cellStyle name="Prefilled 2 5 50 6" xfId="35790"/>
    <cellStyle name="Prefilled 2 5 50 7" xfId="35791"/>
    <cellStyle name="Prefilled 2 5 51" xfId="6749"/>
    <cellStyle name="Prefilled 2 5 51 2" xfId="35792"/>
    <cellStyle name="Prefilled 2 5 51 3" xfId="35793"/>
    <cellStyle name="Prefilled 2 5 51 4" xfId="35794"/>
    <cellStyle name="Prefilled 2 5 51 5" xfId="35795"/>
    <cellStyle name="Prefilled 2 5 51 6" xfId="35796"/>
    <cellStyle name="Prefilled 2 5 51 7" xfId="35797"/>
    <cellStyle name="Prefilled 2 5 52" xfId="6750"/>
    <cellStyle name="Prefilled 2 5 52 2" xfId="35798"/>
    <cellStyle name="Prefilled 2 5 52 3" xfId="35799"/>
    <cellStyle name="Prefilled 2 5 52 4" xfId="35800"/>
    <cellStyle name="Prefilled 2 5 52 5" xfId="35801"/>
    <cellStyle name="Prefilled 2 5 52 6" xfId="35802"/>
    <cellStyle name="Prefilled 2 5 52 7" xfId="35803"/>
    <cellStyle name="Prefilled 2 5 53" xfId="6751"/>
    <cellStyle name="Prefilled 2 5 53 2" xfId="35804"/>
    <cellStyle name="Prefilled 2 5 53 3" xfId="35805"/>
    <cellStyle name="Prefilled 2 5 53 4" xfId="35806"/>
    <cellStyle name="Prefilled 2 5 53 5" xfId="35807"/>
    <cellStyle name="Prefilled 2 5 53 6" xfId="35808"/>
    <cellStyle name="Prefilled 2 5 53 7" xfId="35809"/>
    <cellStyle name="Prefilled 2 5 54" xfId="6752"/>
    <cellStyle name="Prefilled 2 5 54 2" xfId="35810"/>
    <cellStyle name="Prefilled 2 5 54 3" xfId="35811"/>
    <cellStyle name="Prefilled 2 5 54 4" xfId="35812"/>
    <cellStyle name="Prefilled 2 5 54 5" xfId="35813"/>
    <cellStyle name="Prefilled 2 5 54 6" xfId="35814"/>
    <cellStyle name="Prefilled 2 5 54 7" xfId="35815"/>
    <cellStyle name="Prefilled 2 5 55" xfId="6753"/>
    <cellStyle name="Prefilled 2 5 55 2" xfId="35816"/>
    <cellStyle name="Prefilled 2 5 55 3" xfId="35817"/>
    <cellStyle name="Prefilled 2 5 55 4" xfId="35818"/>
    <cellStyle name="Prefilled 2 5 55 5" xfId="35819"/>
    <cellStyle name="Prefilled 2 5 55 6" xfId="35820"/>
    <cellStyle name="Prefilled 2 5 55 7" xfId="35821"/>
    <cellStyle name="Prefilled 2 5 56" xfId="6754"/>
    <cellStyle name="Prefilled 2 5 56 2" xfId="35822"/>
    <cellStyle name="Prefilled 2 5 56 3" xfId="35823"/>
    <cellStyle name="Prefilled 2 5 56 4" xfId="35824"/>
    <cellStyle name="Prefilled 2 5 56 5" xfId="35825"/>
    <cellStyle name="Prefilled 2 5 56 6" xfId="35826"/>
    <cellStyle name="Prefilled 2 5 56 7" xfId="35827"/>
    <cellStyle name="Prefilled 2 5 57" xfId="6755"/>
    <cellStyle name="Prefilled 2 5 57 2" xfId="35828"/>
    <cellStyle name="Prefilled 2 5 57 3" xfId="35829"/>
    <cellStyle name="Prefilled 2 5 57 4" xfId="35830"/>
    <cellStyle name="Prefilled 2 5 57 5" xfId="35831"/>
    <cellStyle name="Prefilled 2 5 57 6" xfId="35832"/>
    <cellStyle name="Prefilled 2 5 57 7" xfId="35833"/>
    <cellStyle name="Prefilled 2 5 58" xfId="6756"/>
    <cellStyle name="Prefilled 2 5 58 2" xfId="35834"/>
    <cellStyle name="Prefilled 2 5 58 3" xfId="35835"/>
    <cellStyle name="Prefilled 2 5 58 4" xfId="35836"/>
    <cellStyle name="Prefilled 2 5 58 5" xfId="35837"/>
    <cellStyle name="Prefilled 2 5 58 6" xfId="35838"/>
    <cellStyle name="Prefilled 2 5 58 7" xfId="35839"/>
    <cellStyle name="Prefilled 2 5 59" xfId="6757"/>
    <cellStyle name="Prefilled 2 5 59 2" xfId="35840"/>
    <cellStyle name="Prefilled 2 5 59 3" xfId="35841"/>
    <cellStyle name="Prefilled 2 5 59 4" xfId="35842"/>
    <cellStyle name="Prefilled 2 5 59 5" xfId="35843"/>
    <cellStyle name="Prefilled 2 5 59 6" xfId="35844"/>
    <cellStyle name="Prefilled 2 5 59 7" xfId="35845"/>
    <cellStyle name="Prefilled 2 5 6" xfId="6758"/>
    <cellStyle name="Prefilled 2 5 6 2" xfId="35846"/>
    <cellStyle name="Prefilled 2 5 6 3" xfId="35847"/>
    <cellStyle name="Prefilled 2 5 6 4" xfId="35848"/>
    <cellStyle name="Prefilled 2 5 6 5" xfId="35849"/>
    <cellStyle name="Prefilled 2 5 6 6" xfId="35850"/>
    <cellStyle name="Prefilled 2 5 6 7" xfId="35851"/>
    <cellStyle name="Prefilled 2 5 60" xfId="6759"/>
    <cellStyle name="Prefilled 2 5 60 2" xfId="35852"/>
    <cellStyle name="Prefilled 2 5 60 3" xfId="35853"/>
    <cellStyle name="Prefilled 2 5 60 4" xfId="35854"/>
    <cellStyle name="Prefilled 2 5 60 5" xfId="35855"/>
    <cellStyle name="Prefilled 2 5 60 6" xfId="35856"/>
    <cellStyle name="Prefilled 2 5 60 7" xfId="35857"/>
    <cellStyle name="Prefilled 2 5 61" xfId="6760"/>
    <cellStyle name="Prefilled 2 5 61 2" xfId="35858"/>
    <cellStyle name="Prefilled 2 5 61 3" xfId="35859"/>
    <cellStyle name="Prefilled 2 5 61 4" xfId="35860"/>
    <cellStyle name="Prefilled 2 5 61 5" xfId="35861"/>
    <cellStyle name="Prefilled 2 5 61 6" xfId="35862"/>
    <cellStyle name="Prefilled 2 5 61 7" xfId="35863"/>
    <cellStyle name="Prefilled 2 5 62" xfId="6761"/>
    <cellStyle name="Prefilled 2 5 62 2" xfId="35864"/>
    <cellStyle name="Prefilled 2 5 62 3" xfId="35865"/>
    <cellStyle name="Prefilled 2 5 62 4" xfId="35866"/>
    <cellStyle name="Prefilled 2 5 62 5" xfId="35867"/>
    <cellStyle name="Prefilled 2 5 62 6" xfId="35868"/>
    <cellStyle name="Prefilled 2 5 62 7" xfId="35869"/>
    <cellStyle name="Prefilled 2 5 63" xfId="6762"/>
    <cellStyle name="Prefilled 2 5 63 2" xfId="35870"/>
    <cellStyle name="Prefilled 2 5 63 3" xfId="35871"/>
    <cellStyle name="Prefilled 2 5 63 4" xfId="35872"/>
    <cellStyle name="Prefilled 2 5 63 5" xfId="35873"/>
    <cellStyle name="Prefilled 2 5 63 6" xfId="35874"/>
    <cellStyle name="Prefilled 2 5 63 7" xfId="35875"/>
    <cellStyle name="Prefilled 2 5 64" xfId="6763"/>
    <cellStyle name="Prefilled 2 5 64 2" xfId="35876"/>
    <cellStyle name="Prefilled 2 5 64 3" xfId="35877"/>
    <cellStyle name="Prefilled 2 5 64 4" xfId="35878"/>
    <cellStyle name="Prefilled 2 5 64 5" xfId="35879"/>
    <cellStyle name="Prefilled 2 5 64 6" xfId="35880"/>
    <cellStyle name="Prefilled 2 5 64 7" xfId="35881"/>
    <cellStyle name="Prefilled 2 5 65" xfId="6764"/>
    <cellStyle name="Prefilled 2 5 65 2" xfId="35882"/>
    <cellStyle name="Prefilled 2 5 65 3" xfId="35883"/>
    <cellStyle name="Prefilled 2 5 65 4" xfId="35884"/>
    <cellStyle name="Prefilled 2 5 65 5" xfId="35885"/>
    <cellStyle name="Prefilled 2 5 65 6" xfId="35886"/>
    <cellStyle name="Prefilled 2 5 65 7" xfId="35887"/>
    <cellStyle name="Prefilled 2 5 66" xfId="6765"/>
    <cellStyle name="Prefilled 2 5 66 2" xfId="35888"/>
    <cellStyle name="Prefilled 2 5 66 3" xfId="35889"/>
    <cellStyle name="Prefilled 2 5 66 4" xfId="35890"/>
    <cellStyle name="Prefilled 2 5 66 5" xfId="35891"/>
    <cellStyle name="Prefilled 2 5 66 6" xfId="35892"/>
    <cellStyle name="Prefilled 2 5 66 7" xfId="35893"/>
    <cellStyle name="Prefilled 2 5 67" xfId="6766"/>
    <cellStyle name="Prefilled 2 5 67 2" xfId="35894"/>
    <cellStyle name="Prefilled 2 5 67 3" xfId="35895"/>
    <cellStyle name="Prefilled 2 5 67 4" xfId="35896"/>
    <cellStyle name="Prefilled 2 5 67 5" xfId="35897"/>
    <cellStyle name="Prefilled 2 5 67 6" xfId="35898"/>
    <cellStyle name="Prefilled 2 5 67 7" xfId="35899"/>
    <cellStyle name="Prefilled 2 5 68" xfId="6767"/>
    <cellStyle name="Prefilled 2 5 68 2" xfId="35900"/>
    <cellStyle name="Prefilled 2 5 68 3" xfId="35901"/>
    <cellStyle name="Prefilled 2 5 68 4" xfId="35902"/>
    <cellStyle name="Prefilled 2 5 68 5" xfId="35903"/>
    <cellStyle name="Prefilled 2 5 68 6" xfId="35904"/>
    <cellStyle name="Prefilled 2 5 68 7" xfId="35905"/>
    <cellStyle name="Prefilled 2 5 69" xfId="6768"/>
    <cellStyle name="Prefilled 2 5 69 2" xfId="35906"/>
    <cellStyle name="Prefilled 2 5 69 3" xfId="35907"/>
    <cellStyle name="Prefilled 2 5 69 4" xfId="35908"/>
    <cellStyle name="Prefilled 2 5 69 5" xfId="35909"/>
    <cellStyle name="Prefilled 2 5 69 6" xfId="35910"/>
    <cellStyle name="Prefilled 2 5 69 7" xfId="35911"/>
    <cellStyle name="Prefilled 2 5 7" xfId="6769"/>
    <cellStyle name="Prefilled 2 5 7 2" xfId="35912"/>
    <cellStyle name="Prefilled 2 5 7 3" xfId="35913"/>
    <cellStyle name="Prefilled 2 5 7 4" xfId="35914"/>
    <cellStyle name="Prefilled 2 5 7 5" xfId="35915"/>
    <cellStyle name="Prefilled 2 5 7 6" xfId="35916"/>
    <cellStyle name="Prefilled 2 5 7 7" xfId="35917"/>
    <cellStyle name="Prefilled 2 5 70" xfId="6770"/>
    <cellStyle name="Prefilled 2 5 70 2" xfId="35918"/>
    <cellStyle name="Prefilled 2 5 70 3" xfId="35919"/>
    <cellStyle name="Prefilled 2 5 70 4" xfId="35920"/>
    <cellStyle name="Prefilled 2 5 70 5" xfId="35921"/>
    <cellStyle name="Prefilled 2 5 70 6" xfId="35922"/>
    <cellStyle name="Prefilled 2 5 70 7" xfId="35923"/>
    <cellStyle name="Prefilled 2 5 71" xfId="6771"/>
    <cellStyle name="Prefilled 2 5 71 2" xfId="35924"/>
    <cellStyle name="Prefilled 2 5 71 3" xfId="35925"/>
    <cellStyle name="Prefilled 2 5 71 4" xfId="35926"/>
    <cellStyle name="Prefilled 2 5 71 5" xfId="35927"/>
    <cellStyle name="Prefilled 2 5 71 6" xfId="35928"/>
    <cellStyle name="Prefilled 2 5 71 7" xfId="35929"/>
    <cellStyle name="Prefilled 2 5 72" xfId="6772"/>
    <cellStyle name="Prefilled 2 5 72 2" xfId="35930"/>
    <cellStyle name="Prefilled 2 5 72 3" xfId="35931"/>
    <cellStyle name="Prefilled 2 5 72 4" xfId="35932"/>
    <cellStyle name="Prefilled 2 5 72 5" xfId="35933"/>
    <cellStyle name="Prefilled 2 5 72 6" xfId="35934"/>
    <cellStyle name="Prefilled 2 5 72 7" xfId="35935"/>
    <cellStyle name="Prefilled 2 5 73" xfId="6773"/>
    <cellStyle name="Prefilled 2 5 73 2" xfId="35936"/>
    <cellStyle name="Prefilled 2 5 73 3" xfId="35937"/>
    <cellStyle name="Prefilled 2 5 73 4" xfId="35938"/>
    <cellStyle name="Prefilled 2 5 73 5" xfId="35939"/>
    <cellStyle name="Prefilled 2 5 73 6" xfId="35940"/>
    <cellStyle name="Prefilled 2 5 73 7" xfId="35941"/>
    <cellStyle name="Prefilled 2 5 74" xfId="6774"/>
    <cellStyle name="Prefilled 2 5 74 2" xfId="35942"/>
    <cellStyle name="Prefilled 2 5 74 3" xfId="35943"/>
    <cellStyle name="Prefilled 2 5 74 4" xfId="35944"/>
    <cellStyle name="Prefilled 2 5 74 5" xfId="35945"/>
    <cellStyle name="Prefilled 2 5 74 6" xfId="35946"/>
    <cellStyle name="Prefilled 2 5 74 7" xfId="35947"/>
    <cellStyle name="Prefilled 2 5 75" xfId="6775"/>
    <cellStyle name="Prefilled 2 5 75 2" xfId="35948"/>
    <cellStyle name="Prefilled 2 5 75 3" xfId="35949"/>
    <cellStyle name="Prefilled 2 5 75 4" xfId="35950"/>
    <cellStyle name="Prefilled 2 5 75 5" xfId="35951"/>
    <cellStyle name="Prefilled 2 5 75 6" xfId="35952"/>
    <cellStyle name="Prefilled 2 5 75 7" xfId="35953"/>
    <cellStyle name="Prefilled 2 5 76" xfId="6776"/>
    <cellStyle name="Prefilled 2 5 76 2" xfId="35954"/>
    <cellStyle name="Prefilled 2 5 76 3" xfId="35955"/>
    <cellStyle name="Prefilled 2 5 76 4" xfId="35956"/>
    <cellStyle name="Prefilled 2 5 76 5" xfId="35957"/>
    <cellStyle name="Prefilled 2 5 76 6" xfId="35958"/>
    <cellStyle name="Prefilled 2 5 76 7" xfId="35959"/>
    <cellStyle name="Prefilled 2 5 77" xfId="6777"/>
    <cellStyle name="Prefilled 2 5 77 2" xfId="35960"/>
    <cellStyle name="Prefilled 2 5 77 3" xfId="35961"/>
    <cellStyle name="Prefilled 2 5 77 4" xfId="35962"/>
    <cellStyle name="Prefilled 2 5 77 5" xfId="35963"/>
    <cellStyle name="Prefilled 2 5 77 6" xfId="35964"/>
    <cellStyle name="Prefilled 2 5 77 7" xfId="35965"/>
    <cellStyle name="Prefilled 2 5 78" xfId="6778"/>
    <cellStyle name="Prefilled 2 5 78 2" xfId="35966"/>
    <cellStyle name="Prefilled 2 5 78 3" xfId="35967"/>
    <cellStyle name="Prefilled 2 5 78 4" xfId="35968"/>
    <cellStyle name="Prefilled 2 5 78 5" xfId="35969"/>
    <cellStyle name="Prefilled 2 5 78 6" xfId="35970"/>
    <cellStyle name="Prefilled 2 5 78 7" xfId="35971"/>
    <cellStyle name="Prefilled 2 5 79" xfId="6779"/>
    <cellStyle name="Prefilled 2 5 79 2" xfId="35972"/>
    <cellStyle name="Prefilled 2 5 79 3" xfId="35973"/>
    <cellStyle name="Prefilled 2 5 79 4" xfId="35974"/>
    <cellStyle name="Prefilled 2 5 79 5" xfId="35975"/>
    <cellStyle name="Prefilled 2 5 79 6" xfId="35976"/>
    <cellStyle name="Prefilled 2 5 79 7" xfId="35977"/>
    <cellStyle name="Prefilled 2 5 8" xfId="6780"/>
    <cellStyle name="Prefilled 2 5 8 2" xfId="35978"/>
    <cellStyle name="Prefilled 2 5 8 3" xfId="35979"/>
    <cellStyle name="Prefilled 2 5 8 4" xfId="35980"/>
    <cellStyle name="Prefilled 2 5 8 5" xfId="35981"/>
    <cellStyle name="Prefilled 2 5 8 6" xfId="35982"/>
    <cellStyle name="Prefilled 2 5 8 7" xfId="35983"/>
    <cellStyle name="Prefilled 2 5 80" xfId="6781"/>
    <cellStyle name="Prefilled 2 5 80 2" xfId="35984"/>
    <cellStyle name="Prefilled 2 5 80 3" xfId="35985"/>
    <cellStyle name="Prefilled 2 5 80 4" xfId="35986"/>
    <cellStyle name="Prefilled 2 5 80 5" xfId="35987"/>
    <cellStyle name="Prefilled 2 5 80 6" xfId="35988"/>
    <cellStyle name="Prefilled 2 5 80 7" xfId="35989"/>
    <cellStyle name="Prefilled 2 5 81" xfId="6782"/>
    <cellStyle name="Prefilled 2 5 81 2" xfId="35990"/>
    <cellStyle name="Prefilled 2 5 81 3" xfId="35991"/>
    <cellStyle name="Prefilled 2 5 81 4" xfId="35992"/>
    <cellStyle name="Prefilled 2 5 81 5" xfId="35993"/>
    <cellStyle name="Prefilled 2 5 81 6" xfId="35994"/>
    <cellStyle name="Prefilled 2 5 81 7" xfId="35995"/>
    <cellStyle name="Prefilled 2 5 82" xfId="6783"/>
    <cellStyle name="Prefilled 2 5 82 2" xfId="35996"/>
    <cellStyle name="Prefilled 2 5 82 3" xfId="35997"/>
    <cellStyle name="Prefilled 2 5 82 4" xfId="35998"/>
    <cellStyle name="Prefilled 2 5 82 5" xfId="35999"/>
    <cellStyle name="Prefilled 2 5 82 6" xfId="36000"/>
    <cellStyle name="Prefilled 2 5 82 7" xfId="36001"/>
    <cellStyle name="Prefilled 2 5 83" xfId="6784"/>
    <cellStyle name="Prefilled 2 5 83 2" xfId="36002"/>
    <cellStyle name="Prefilled 2 5 83 3" xfId="36003"/>
    <cellStyle name="Prefilled 2 5 83 4" xfId="36004"/>
    <cellStyle name="Prefilled 2 5 83 5" xfId="36005"/>
    <cellStyle name="Prefilled 2 5 83 6" xfId="36006"/>
    <cellStyle name="Prefilled 2 5 83 7" xfId="36007"/>
    <cellStyle name="Prefilled 2 5 84" xfId="6785"/>
    <cellStyle name="Prefilled 2 5 84 2" xfId="36008"/>
    <cellStyle name="Prefilled 2 5 84 3" xfId="36009"/>
    <cellStyle name="Prefilled 2 5 84 4" xfId="36010"/>
    <cellStyle name="Prefilled 2 5 84 5" xfId="36011"/>
    <cellStyle name="Prefilled 2 5 84 6" xfId="36012"/>
    <cellStyle name="Prefilled 2 5 84 7" xfId="36013"/>
    <cellStyle name="Prefilled 2 5 85" xfId="6786"/>
    <cellStyle name="Prefilled 2 5 85 2" xfId="36014"/>
    <cellStyle name="Prefilled 2 5 85 3" xfId="36015"/>
    <cellStyle name="Prefilled 2 5 85 4" xfId="36016"/>
    <cellStyle name="Prefilled 2 5 85 5" xfId="36017"/>
    <cellStyle name="Prefilled 2 5 85 6" xfId="36018"/>
    <cellStyle name="Prefilled 2 5 85 7" xfId="36019"/>
    <cellStyle name="Prefilled 2 5 86" xfId="6787"/>
    <cellStyle name="Prefilled 2 5 86 2" xfId="36020"/>
    <cellStyle name="Prefilled 2 5 86 3" xfId="36021"/>
    <cellStyle name="Prefilled 2 5 86 4" xfId="36022"/>
    <cellStyle name="Prefilled 2 5 86 5" xfId="36023"/>
    <cellStyle name="Prefilled 2 5 86 6" xfId="36024"/>
    <cellStyle name="Prefilled 2 5 86 7" xfId="36025"/>
    <cellStyle name="Prefilled 2 5 87" xfId="6788"/>
    <cellStyle name="Prefilled 2 5 87 2" xfId="36026"/>
    <cellStyle name="Prefilled 2 5 87 3" xfId="36027"/>
    <cellStyle name="Prefilled 2 5 87 4" xfId="36028"/>
    <cellStyle name="Prefilled 2 5 87 5" xfId="36029"/>
    <cellStyle name="Prefilled 2 5 87 6" xfId="36030"/>
    <cellStyle name="Prefilled 2 5 87 7" xfId="36031"/>
    <cellStyle name="Prefilled 2 5 88" xfId="6789"/>
    <cellStyle name="Prefilled 2 5 88 2" xfId="36032"/>
    <cellStyle name="Prefilled 2 5 88 3" xfId="36033"/>
    <cellStyle name="Prefilled 2 5 88 4" xfId="36034"/>
    <cellStyle name="Prefilled 2 5 88 5" xfId="36035"/>
    <cellStyle name="Prefilled 2 5 88 6" xfId="36036"/>
    <cellStyle name="Prefilled 2 5 88 7" xfId="36037"/>
    <cellStyle name="Prefilled 2 5 89" xfId="6790"/>
    <cellStyle name="Prefilled 2 5 89 2" xfId="36038"/>
    <cellStyle name="Prefilled 2 5 89 3" xfId="36039"/>
    <cellStyle name="Prefilled 2 5 89 4" xfId="36040"/>
    <cellStyle name="Prefilled 2 5 89 5" xfId="36041"/>
    <cellStyle name="Prefilled 2 5 89 6" xfId="36042"/>
    <cellStyle name="Prefilled 2 5 89 7" xfId="36043"/>
    <cellStyle name="Prefilled 2 5 9" xfId="6791"/>
    <cellStyle name="Prefilled 2 5 9 2" xfId="36044"/>
    <cellStyle name="Prefilled 2 5 9 3" xfId="36045"/>
    <cellStyle name="Prefilled 2 5 9 4" xfId="36046"/>
    <cellStyle name="Prefilled 2 5 9 5" xfId="36047"/>
    <cellStyle name="Prefilled 2 5 9 6" xfId="36048"/>
    <cellStyle name="Prefilled 2 5 9 7" xfId="36049"/>
    <cellStyle name="Prefilled 2 5 90" xfId="6792"/>
    <cellStyle name="Prefilled 2 5 90 2" xfId="36050"/>
    <cellStyle name="Prefilled 2 5 90 3" xfId="36051"/>
    <cellStyle name="Prefilled 2 5 90 4" xfId="36052"/>
    <cellStyle name="Prefilled 2 5 90 5" xfId="36053"/>
    <cellStyle name="Prefilled 2 5 90 6" xfId="36054"/>
    <cellStyle name="Prefilled 2 5 90 7" xfId="36055"/>
    <cellStyle name="Prefilled 2 5 91" xfId="6793"/>
    <cellStyle name="Prefilled 2 5 91 2" xfId="36056"/>
    <cellStyle name="Prefilled 2 5 91 3" xfId="36057"/>
    <cellStyle name="Prefilled 2 5 91 4" xfId="36058"/>
    <cellStyle name="Prefilled 2 5 91 5" xfId="36059"/>
    <cellStyle name="Prefilled 2 5 91 6" xfId="36060"/>
    <cellStyle name="Prefilled 2 5 91 7" xfId="36061"/>
    <cellStyle name="Prefilled 2 5 92" xfId="6794"/>
    <cellStyle name="Prefilled 2 5 92 2" xfId="36062"/>
    <cellStyle name="Prefilled 2 5 92 3" xfId="36063"/>
    <cellStyle name="Prefilled 2 5 92 4" xfId="36064"/>
    <cellStyle name="Prefilled 2 5 92 5" xfId="36065"/>
    <cellStyle name="Prefilled 2 5 92 6" xfId="36066"/>
    <cellStyle name="Prefilled 2 5 92 7" xfId="36067"/>
    <cellStyle name="Prefilled 2 5 93" xfId="6795"/>
    <cellStyle name="Prefilled 2 5 93 2" xfId="36068"/>
    <cellStyle name="Prefilled 2 5 93 3" xfId="36069"/>
    <cellStyle name="Prefilled 2 5 93 4" xfId="36070"/>
    <cellStyle name="Prefilled 2 5 93 5" xfId="36071"/>
    <cellStyle name="Prefilled 2 5 93 6" xfId="36072"/>
    <cellStyle name="Prefilled 2 5 94" xfId="36073"/>
    <cellStyle name="Prefilled 2 5 95" xfId="36074"/>
    <cellStyle name="Prefilled 2 5 96" xfId="36075"/>
    <cellStyle name="Prefilled 2 5 97" xfId="36076"/>
    <cellStyle name="Prefilled 2 5 98" xfId="36077"/>
    <cellStyle name="Prefilled 2 5 99" xfId="36078"/>
    <cellStyle name="Prefilled 2 50" xfId="6796"/>
    <cellStyle name="Prefilled 2 50 2" xfId="36079"/>
    <cellStyle name="Prefilled 2 50 3" xfId="36080"/>
    <cellStyle name="Prefilled 2 50 4" xfId="36081"/>
    <cellStyle name="Prefilled 2 50 5" xfId="36082"/>
    <cellStyle name="Prefilled 2 50 6" xfId="36083"/>
    <cellStyle name="Prefilled 2 50 7" xfId="36084"/>
    <cellStyle name="Prefilled 2 51" xfId="6797"/>
    <cellStyle name="Prefilled 2 51 2" xfId="36085"/>
    <cellStyle name="Prefilled 2 51 3" xfId="36086"/>
    <cellStyle name="Prefilled 2 51 4" xfId="36087"/>
    <cellStyle name="Prefilled 2 51 5" xfId="36088"/>
    <cellStyle name="Prefilled 2 51 6" xfId="36089"/>
    <cellStyle name="Prefilled 2 51 7" xfId="36090"/>
    <cellStyle name="Prefilled 2 52" xfId="6798"/>
    <cellStyle name="Prefilled 2 52 2" xfId="36091"/>
    <cellStyle name="Prefilled 2 52 3" xfId="36092"/>
    <cellStyle name="Prefilled 2 52 4" xfId="36093"/>
    <cellStyle name="Prefilled 2 52 5" xfId="36094"/>
    <cellStyle name="Prefilled 2 52 6" xfId="36095"/>
    <cellStyle name="Prefilled 2 52 7" xfId="36096"/>
    <cellStyle name="Prefilled 2 53" xfId="6799"/>
    <cellStyle name="Prefilled 2 53 2" xfId="36097"/>
    <cellStyle name="Prefilled 2 53 3" xfId="36098"/>
    <cellStyle name="Prefilled 2 53 4" xfId="36099"/>
    <cellStyle name="Prefilled 2 53 5" xfId="36100"/>
    <cellStyle name="Prefilled 2 53 6" xfId="36101"/>
    <cellStyle name="Prefilled 2 53 7" xfId="36102"/>
    <cellStyle name="Prefilled 2 54" xfId="6800"/>
    <cellStyle name="Prefilled 2 54 2" xfId="36103"/>
    <cellStyle name="Prefilled 2 54 3" xfId="36104"/>
    <cellStyle name="Prefilled 2 54 4" xfId="36105"/>
    <cellStyle name="Prefilled 2 54 5" xfId="36106"/>
    <cellStyle name="Prefilled 2 54 6" xfId="36107"/>
    <cellStyle name="Prefilled 2 54 7" xfId="36108"/>
    <cellStyle name="Prefilled 2 55" xfId="6801"/>
    <cellStyle name="Prefilled 2 55 2" xfId="36109"/>
    <cellStyle name="Prefilled 2 55 3" xfId="36110"/>
    <cellStyle name="Prefilled 2 55 4" xfId="36111"/>
    <cellStyle name="Prefilled 2 55 5" xfId="36112"/>
    <cellStyle name="Prefilled 2 55 6" xfId="36113"/>
    <cellStyle name="Prefilled 2 55 7" xfId="36114"/>
    <cellStyle name="Prefilled 2 56" xfId="6802"/>
    <cellStyle name="Prefilled 2 56 2" xfId="36115"/>
    <cellStyle name="Prefilled 2 56 3" xfId="36116"/>
    <cellStyle name="Prefilled 2 56 4" xfId="36117"/>
    <cellStyle name="Prefilled 2 56 5" xfId="36118"/>
    <cellStyle name="Prefilled 2 56 6" xfId="36119"/>
    <cellStyle name="Prefilled 2 56 7" xfId="36120"/>
    <cellStyle name="Prefilled 2 57" xfId="6803"/>
    <cellStyle name="Prefilled 2 57 2" xfId="36121"/>
    <cellStyle name="Prefilled 2 57 3" xfId="36122"/>
    <cellStyle name="Prefilled 2 57 4" xfId="36123"/>
    <cellStyle name="Prefilled 2 57 5" xfId="36124"/>
    <cellStyle name="Prefilled 2 57 6" xfId="36125"/>
    <cellStyle name="Prefilled 2 57 7" xfId="36126"/>
    <cellStyle name="Prefilled 2 58" xfId="6804"/>
    <cellStyle name="Prefilled 2 58 2" xfId="36127"/>
    <cellStyle name="Prefilled 2 58 3" xfId="36128"/>
    <cellStyle name="Prefilled 2 58 4" xfId="36129"/>
    <cellStyle name="Prefilled 2 58 5" xfId="36130"/>
    <cellStyle name="Prefilled 2 58 6" xfId="36131"/>
    <cellStyle name="Prefilled 2 58 7" xfId="36132"/>
    <cellStyle name="Prefilled 2 59" xfId="6805"/>
    <cellStyle name="Prefilled 2 59 2" xfId="36133"/>
    <cellStyle name="Prefilled 2 59 3" xfId="36134"/>
    <cellStyle name="Prefilled 2 59 4" xfId="36135"/>
    <cellStyle name="Prefilled 2 59 5" xfId="36136"/>
    <cellStyle name="Prefilled 2 59 6" xfId="36137"/>
    <cellStyle name="Prefilled 2 59 7" xfId="36138"/>
    <cellStyle name="Prefilled 2 6" xfId="6806"/>
    <cellStyle name="Prefilled 2 6 10" xfId="36139"/>
    <cellStyle name="Prefilled 2 6 11" xfId="36140"/>
    <cellStyle name="Prefilled 2 6 2" xfId="36141"/>
    <cellStyle name="Prefilled 2 6 3" xfId="36142"/>
    <cellStyle name="Prefilled 2 6 4" xfId="36143"/>
    <cellStyle name="Prefilled 2 6 5" xfId="36144"/>
    <cellStyle name="Prefilled 2 6 6" xfId="36145"/>
    <cellStyle name="Prefilled 2 6 7" xfId="36146"/>
    <cellStyle name="Prefilled 2 6 8" xfId="36147"/>
    <cellStyle name="Prefilled 2 6 9" xfId="36148"/>
    <cellStyle name="Prefilled 2 60" xfId="6807"/>
    <cellStyle name="Prefilled 2 60 2" xfId="36149"/>
    <cellStyle name="Prefilled 2 60 3" xfId="36150"/>
    <cellStyle name="Prefilled 2 60 4" xfId="36151"/>
    <cellStyle name="Prefilled 2 60 5" xfId="36152"/>
    <cellStyle name="Prefilled 2 60 6" xfId="36153"/>
    <cellStyle name="Prefilled 2 60 7" xfId="36154"/>
    <cellStyle name="Prefilled 2 61" xfId="6808"/>
    <cellStyle name="Prefilled 2 61 2" xfId="36155"/>
    <cellStyle name="Prefilled 2 61 3" xfId="36156"/>
    <cellStyle name="Prefilled 2 61 4" xfId="36157"/>
    <cellStyle name="Prefilled 2 61 5" xfId="36158"/>
    <cellStyle name="Prefilled 2 61 6" xfId="36159"/>
    <cellStyle name="Prefilled 2 61 7" xfId="36160"/>
    <cellStyle name="Prefilled 2 62" xfId="6809"/>
    <cellStyle name="Prefilled 2 62 2" xfId="36161"/>
    <cellStyle name="Prefilled 2 62 3" xfId="36162"/>
    <cellStyle name="Prefilled 2 62 4" xfId="36163"/>
    <cellStyle name="Prefilled 2 62 5" xfId="36164"/>
    <cellStyle name="Prefilled 2 62 6" xfId="36165"/>
    <cellStyle name="Prefilled 2 62 7" xfId="36166"/>
    <cellStyle name="Prefilled 2 63" xfId="6810"/>
    <cellStyle name="Prefilled 2 63 2" xfId="36167"/>
    <cellStyle name="Prefilled 2 63 3" xfId="36168"/>
    <cellStyle name="Prefilled 2 63 4" xfId="36169"/>
    <cellStyle name="Prefilled 2 63 5" xfId="36170"/>
    <cellStyle name="Prefilled 2 63 6" xfId="36171"/>
    <cellStyle name="Prefilled 2 63 7" xfId="36172"/>
    <cellStyle name="Prefilled 2 64" xfId="6811"/>
    <cellStyle name="Prefilled 2 64 2" xfId="36173"/>
    <cellStyle name="Prefilled 2 64 3" xfId="36174"/>
    <cellStyle name="Prefilled 2 64 4" xfId="36175"/>
    <cellStyle name="Prefilled 2 64 5" xfId="36176"/>
    <cellStyle name="Prefilled 2 64 6" xfId="36177"/>
    <cellStyle name="Prefilled 2 64 7" xfId="36178"/>
    <cellStyle name="Prefilled 2 65" xfId="6812"/>
    <cellStyle name="Prefilled 2 65 2" xfId="36179"/>
    <cellStyle name="Prefilled 2 65 3" xfId="36180"/>
    <cellStyle name="Prefilled 2 65 4" xfId="36181"/>
    <cellStyle name="Prefilled 2 65 5" xfId="36182"/>
    <cellStyle name="Prefilled 2 65 6" xfId="36183"/>
    <cellStyle name="Prefilled 2 65 7" xfId="36184"/>
    <cellStyle name="Prefilled 2 66" xfId="6813"/>
    <cellStyle name="Prefilled 2 66 2" xfId="36185"/>
    <cellStyle name="Prefilled 2 66 3" xfId="36186"/>
    <cellStyle name="Prefilled 2 66 4" xfId="36187"/>
    <cellStyle name="Prefilled 2 66 5" xfId="36188"/>
    <cellStyle name="Prefilled 2 66 6" xfId="36189"/>
    <cellStyle name="Prefilled 2 66 7" xfId="36190"/>
    <cellStyle name="Prefilled 2 67" xfId="6814"/>
    <cellStyle name="Prefilled 2 67 2" xfId="36191"/>
    <cellStyle name="Prefilled 2 67 3" xfId="36192"/>
    <cellStyle name="Prefilled 2 67 4" xfId="36193"/>
    <cellStyle name="Prefilled 2 67 5" xfId="36194"/>
    <cellStyle name="Prefilled 2 67 6" xfId="36195"/>
    <cellStyle name="Prefilled 2 67 7" xfId="36196"/>
    <cellStyle name="Prefilled 2 68" xfId="6815"/>
    <cellStyle name="Prefilled 2 68 2" xfId="36197"/>
    <cellStyle name="Prefilled 2 68 3" xfId="36198"/>
    <cellStyle name="Prefilled 2 68 4" xfId="36199"/>
    <cellStyle name="Prefilled 2 68 5" xfId="36200"/>
    <cellStyle name="Prefilled 2 68 6" xfId="36201"/>
    <cellStyle name="Prefilled 2 68 7" xfId="36202"/>
    <cellStyle name="Prefilled 2 69" xfId="6816"/>
    <cellStyle name="Prefilled 2 69 2" xfId="36203"/>
    <cellStyle name="Prefilled 2 69 3" xfId="36204"/>
    <cellStyle name="Prefilled 2 69 4" xfId="36205"/>
    <cellStyle name="Prefilled 2 69 5" xfId="36206"/>
    <cellStyle name="Prefilled 2 69 6" xfId="36207"/>
    <cellStyle name="Prefilled 2 69 7" xfId="36208"/>
    <cellStyle name="Prefilled 2 7" xfId="6817"/>
    <cellStyle name="Prefilled 2 7 10" xfId="36209"/>
    <cellStyle name="Prefilled 2 7 11" xfId="36210"/>
    <cellStyle name="Prefilled 2 7 2" xfId="36211"/>
    <cellStyle name="Prefilled 2 7 3" xfId="36212"/>
    <cellStyle name="Prefilled 2 7 4" xfId="36213"/>
    <cellStyle name="Prefilled 2 7 5" xfId="36214"/>
    <cellStyle name="Prefilled 2 7 6" xfId="36215"/>
    <cellStyle name="Prefilled 2 7 7" xfId="36216"/>
    <cellStyle name="Prefilled 2 7 8" xfId="36217"/>
    <cellStyle name="Prefilled 2 7 9" xfId="36218"/>
    <cellStyle name="Prefilled 2 70" xfId="6818"/>
    <cellStyle name="Prefilled 2 70 2" xfId="36219"/>
    <cellStyle name="Prefilled 2 70 3" xfId="36220"/>
    <cellStyle name="Prefilled 2 70 4" xfId="36221"/>
    <cellStyle name="Prefilled 2 70 5" xfId="36222"/>
    <cellStyle name="Prefilled 2 70 6" xfId="36223"/>
    <cellStyle name="Prefilled 2 70 7" xfId="36224"/>
    <cellStyle name="Prefilled 2 71" xfId="6819"/>
    <cellStyle name="Prefilled 2 71 2" xfId="36225"/>
    <cellStyle name="Prefilled 2 71 3" xfId="36226"/>
    <cellStyle name="Prefilled 2 71 4" xfId="36227"/>
    <cellStyle name="Prefilled 2 71 5" xfId="36228"/>
    <cellStyle name="Prefilled 2 71 6" xfId="36229"/>
    <cellStyle name="Prefilled 2 71 7" xfId="36230"/>
    <cellStyle name="Prefilled 2 72" xfId="6820"/>
    <cellStyle name="Prefilled 2 72 2" xfId="36231"/>
    <cellStyle name="Prefilled 2 72 3" xfId="36232"/>
    <cellStyle name="Prefilled 2 72 4" xfId="36233"/>
    <cellStyle name="Prefilled 2 72 5" xfId="36234"/>
    <cellStyle name="Prefilled 2 72 6" xfId="36235"/>
    <cellStyle name="Prefilled 2 72 7" xfId="36236"/>
    <cellStyle name="Prefilled 2 73" xfId="6821"/>
    <cellStyle name="Prefilled 2 73 2" xfId="36237"/>
    <cellStyle name="Prefilled 2 73 3" xfId="36238"/>
    <cellStyle name="Prefilled 2 73 4" xfId="36239"/>
    <cellStyle name="Prefilled 2 73 5" xfId="36240"/>
    <cellStyle name="Prefilled 2 73 6" xfId="36241"/>
    <cellStyle name="Prefilled 2 73 7" xfId="36242"/>
    <cellStyle name="Prefilled 2 74" xfId="6822"/>
    <cellStyle name="Prefilled 2 74 2" xfId="36243"/>
    <cellStyle name="Prefilled 2 74 3" xfId="36244"/>
    <cellStyle name="Prefilled 2 74 4" xfId="36245"/>
    <cellStyle name="Prefilled 2 74 5" xfId="36246"/>
    <cellStyle name="Prefilled 2 74 6" xfId="36247"/>
    <cellStyle name="Prefilled 2 74 7" xfId="36248"/>
    <cellStyle name="Prefilled 2 75" xfId="6823"/>
    <cellStyle name="Prefilled 2 75 2" xfId="36249"/>
    <cellStyle name="Prefilled 2 75 3" xfId="36250"/>
    <cellStyle name="Prefilled 2 75 4" xfId="36251"/>
    <cellStyle name="Prefilled 2 75 5" xfId="36252"/>
    <cellStyle name="Prefilled 2 75 6" xfId="36253"/>
    <cellStyle name="Prefilled 2 75 7" xfId="36254"/>
    <cellStyle name="Prefilled 2 76" xfId="6824"/>
    <cellStyle name="Prefilled 2 76 2" xfId="36255"/>
    <cellStyle name="Prefilled 2 76 3" xfId="36256"/>
    <cellStyle name="Prefilled 2 76 4" xfId="36257"/>
    <cellStyle name="Prefilled 2 76 5" xfId="36258"/>
    <cellStyle name="Prefilled 2 76 6" xfId="36259"/>
    <cellStyle name="Prefilled 2 76 7" xfId="36260"/>
    <cellStyle name="Prefilled 2 77" xfId="6825"/>
    <cellStyle name="Prefilled 2 77 2" xfId="36261"/>
    <cellStyle name="Prefilled 2 77 3" xfId="36262"/>
    <cellStyle name="Prefilled 2 77 4" xfId="36263"/>
    <cellStyle name="Prefilled 2 77 5" xfId="36264"/>
    <cellStyle name="Prefilled 2 77 6" xfId="36265"/>
    <cellStyle name="Prefilled 2 77 7" xfId="36266"/>
    <cellStyle name="Prefilled 2 78" xfId="6826"/>
    <cellStyle name="Prefilled 2 78 2" xfId="36267"/>
    <cellStyle name="Prefilled 2 78 3" xfId="36268"/>
    <cellStyle name="Prefilled 2 78 4" xfId="36269"/>
    <cellStyle name="Prefilled 2 78 5" xfId="36270"/>
    <cellStyle name="Prefilled 2 78 6" xfId="36271"/>
    <cellStyle name="Prefilled 2 78 7" xfId="36272"/>
    <cellStyle name="Prefilled 2 79" xfId="6827"/>
    <cellStyle name="Prefilled 2 79 2" xfId="36273"/>
    <cellStyle name="Prefilled 2 79 3" xfId="36274"/>
    <cellStyle name="Prefilled 2 79 4" xfId="36275"/>
    <cellStyle name="Prefilled 2 79 5" xfId="36276"/>
    <cellStyle name="Prefilled 2 79 6" xfId="36277"/>
    <cellStyle name="Prefilled 2 79 7" xfId="36278"/>
    <cellStyle name="Prefilled 2 8" xfId="6828"/>
    <cellStyle name="Prefilled 2 8 10" xfId="36279"/>
    <cellStyle name="Prefilled 2 8 11" xfId="36280"/>
    <cellStyle name="Prefilled 2 8 2" xfId="36281"/>
    <cellStyle name="Prefilled 2 8 3" xfId="36282"/>
    <cellStyle name="Prefilled 2 8 4" xfId="36283"/>
    <cellStyle name="Prefilled 2 8 5" xfId="36284"/>
    <cellStyle name="Prefilled 2 8 6" xfId="36285"/>
    <cellStyle name="Prefilled 2 8 7" xfId="36286"/>
    <cellStyle name="Prefilled 2 8 8" xfId="36287"/>
    <cellStyle name="Prefilled 2 8 9" xfId="36288"/>
    <cellStyle name="Prefilled 2 80" xfId="6829"/>
    <cellStyle name="Prefilled 2 80 2" xfId="36289"/>
    <cellStyle name="Prefilled 2 80 3" xfId="36290"/>
    <cellStyle name="Prefilled 2 80 4" xfId="36291"/>
    <cellStyle name="Prefilled 2 80 5" xfId="36292"/>
    <cellStyle name="Prefilled 2 80 6" xfId="36293"/>
    <cellStyle name="Prefilled 2 80 7" xfId="36294"/>
    <cellStyle name="Prefilled 2 81" xfId="6830"/>
    <cellStyle name="Prefilled 2 81 2" xfId="36295"/>
    <cellStyle name="Prefilled 2 81 3" xfId="36296"/>
    <cellStyle name="Prefilled 2 81 4" xfId="36297"/>
    <cellStyle name="Prefilled 2 81 5" xfId="36298"/>
    <cellStyle name="Prefilled 2 81 6" xfId="36299"/>
    <cellStyle name="Prefilled 2 81 7" xfId="36300"/>
    <cellStyle name="Prefilled 2 82" xfId="6831"/>
    <cellStyle name="Prefilled 2 82 2" xfId="36301"/>
    <cellStyle name="Prefilled 2 82 3" xfId="36302"/>
    <cellStyle name="Prefilled 2 82 4" xfId="36303"/>
    <cellStyle name="Prefilled 2 82 5" xfId="36304"/>
    <cellStyle name="Prefilled 2 82 6" xfId="36305"/>
    <cellStyle name="Prefilled 2 82 7" xfId="36306"/>
    <cellStyle name="Prefilled 2 83" xfId="6832"/>
    <cellStyle name="Prefilled 2 83 2" xfId="36307"/>
    <cellStyle name="Prefilled 2 83 3" xfId="36308"/>
    <cellStyle name="Prefilled 2 83 4" xfId="36309"/>
    <cellStyle name="Prefilled 2 83 5" xfId="36310"/>
    <cellStyle name="Prefilled 2 83 6" xfId="36311"/>
    <cellStyle name="Prefilled 2 83 7" xfId="36312"/>
    <cellStyle name="Prefilled 2 84" xfId="6833"/>
    <cellStyle name="Prefilled 2 84 2" xfId="36313"/>
    <cellStyle name="Prefilled 2 84 3" xfId="36314"/>
    <cellStyle name="Prefilled 2 84 4" xfId="36315"/>
    <cellStyle name="Prefilled 2 84 5" xfId="36316"/>
    <cellStyle name="Prefilled 2 84 6" xfId="36317"/>
    <cellStyle name="Prefilled 2 84 7" xfId="36318"/>
    <cellStyle name="Prefilled 2 85" xfId="6834"/>
    <cellStyle name="Prefilled 2 85 2" xfId="36319"/>
    <cellStyle name="Prefilled 2 85 3" xfId="36320"/>
    <cellStyle name="Prefilled 2 85 4" xfId="36321"/>
    <cellStyle name="Prefilled 2 85 5" xfId="36322"/>
    <cellStyle name="Prefilled 2 85 6" xfId="36323"/>
    <cellStyle name="Prefilled 2 85 7" xfId="36324"/>
    <cellStyle name="Prefilled 2 86" xfId="6835"/>
    <cellStyle name="Prefilled 2 86 2" xfId="36325"/>
    <cellStyle name="Prefilled 2 86 3" xfId="36326"/>
    <cellStyle name="Prefilled 2 86 4" xfId="36327"/>
    <cellStyle name="Prefilled 2 86 5" xfId="36328"/>
    <cellStyle name="Prefilled 2 86 6" xfId="36329"/>
    <cellStyle name="Prefilled 2 86 7" xfId="36330"/>
    <cellStyle name="Prefilled 2 87" xfId="6836"/>
    <cellStyle name="Prefilled 2 87 2" xfId="36331"/>
    <cellStyle name="Prefilled 2 87 3" xfId="36332"/>
    <cellStyle name="Prefilled 2 87 4" xfId="36333"/>
    <cellStyle name="Prefilled 2 87 5" xfId="36334"/>
    <cellStyle name="Prefilled 2 87 6" xfId="36335"/>
    <cellStyle name="Prefilled 2 87 7" xfId="36336"/>
    <cellStyle name="Prefilled 2 88" xfId="6837"/>
    <cellStyle name="Prefilled 2 88 2" xfId="36337"/>
    <cellStyle name="Prefilled 2 88 3" xfId="36338"/>
    <cellStyle name="Prefilled 2 88 4" xfId="36339"/>
    <cellStyle name="Prefilled 2 88 5" xfId="36340"/>
    <cellStyle name="Prefilled 2 88 6" xfId="36341"/>
    <cellStyle name="Prefilled 2 88 7" xfId="36342"/>
    <cellStyle name="Prefilled 2 89" xfId="6838"/>
    <cellStyle name="Prefilled 2 89 2" xfId="36343"/>
    <cellStyle name="Prefilled 2 89 3" xfId="36344"/>
    <cellStyle name="Prefilled 2 89 4" xfId="36345"/>
    <cellStyle name="Prefilled 2 89 5" xfId="36346"/>
    <cellStyle name="Prefilled 2 89 6" xfId="36347"/>
    <cellStyle name="Prefilled 2 89 7" xfId="36348"/>
    <cellStyle name="Prefilled 2 9" xfId="6839"/>
    <cellStyle name="Prefilled 2 9 10" xfId="36349"/>
    <cellStyle name="Prefilled 2 9 2" xfId="36350"/>
    <cellStyle name="Prefilled 2 9 3" xfId="36351"/>
    <cellStyle name="Prefilled 2 9 4" xfId="36352"/>
    <cellStyle name="Prefilled 2 9 5" xfId="36353"/>
    <cellStyle name="Prefilled 2 9 6" xfId="36354"/>
    <cellStyle name="Prefilled 2 9 7" xfId="36355"/>
    <cellStyle name="Prefilled 2 9 8" xfId="36356"/>
    <cellStyle name="Prefilled 2 9 9" xfId="36357"/>
    <cellStyle name="Prefilled 2 90" xfId="6840"/>
    <cellStyle name="Prefilled 2 90 2" xfId="36358"/>
    <cellStyle name="Prefilled 2 90 3" xfId="36359"/>
    <cellStyle name="Prefilled 2 90 4" xfId="36360"/>
    <cellStyle name="Prefilled 2 90 5" xfId="36361"/>
    <cellStyle name="Prefilled 2 90 6" xfId="36362"/>
    <cellStyle name="Prefilled 2 90 7" xfId="36363"/>
    <cellStyle name="Prefilled 2 91" xfId="6841"/>
    <cellStyle name="Prefilled 2 91 2" xfId="36364"/>
    <cellStyle name="Prefilled 2 91 3" xfId="36365"/>
    <cellStyle name="Prefilled 2 91 4" xfId="36366"/>
    <cellStyle name="Prefilled 2 91 5" xfId="36367"/>
    <cellStyle name="Prefilled 2 91 6" xfId="36368"/>
    <cellStyle name="Prefilled 2 91 7" xfId="36369"/>
    <cellStyle name="Prefilled 2 92" xfId="6842"/>
    <cellStyle name="Prefilled 2 92 2" xfId="36370"/>
    <cellStyle name="Prefilled 2 92 3" xfId="36371"/>
    <cellStyle name="Prefilled 2 92 4" xfId="36372"/>
    <cellStyle name="Prefilled 2 92 5" xfId="36373"/>
    <cellStyle name="Prefilled 2 92 6" xfId="36374"/>
    <cellStyle name="Prefilled 2 92 7" xfId="36375"/>
    <cellStyle name="Prefilled 2 93" xfId="12015"/>
    <cellStyle name="Prefilled 2 94" xfId="36376"/>
    <cellStyle name="Prefilled 2 95" xfId="36377"/>
    <cellStyle name="Prefilled 2 96" xfId="36378"/>
    <cellStyle name="Prefilled 2 97" xfId="36379"/>
    <cellStyle name="Prefilled 2 98" xfId="36380"/>
    <cellStyle name="Prefilled 2 99" xfId="36381"/>
    <cellStyle name="Prefilled 2_Cashflow trend" xfId="2486"/>
    <cellStyle name="Prefilled 20" xfId="6843"/>
    <cellStyle name="Prefilled 20 2" xfId="36382"/>
    <cellStyle name="Prefilled 20 3" xfId="36383"/>
    <cellStyle name="Prefilled 20 4" xfId="36384"/>
    <cellStyle name="Prefilled 20 5" xfId="36385"/>
    <cellStyle name="Prefilled 20 6" xfId="36386"/>
    <cellStyle name="Prefilled 20 7" xfId="36387"/>
    <cellStyle name="Prefilled 21" xfId="6844"/>
    <cellStyle name="Prefilled 21 2" xfId="36388"/>
    <cellStyle name="Prefilled 21 3" xfId="36389"/>
    <cellStyle name="Prefilled 21 4" xfId="36390"/>
    <cellStyle name="Prefilled 21 5" xfId="36391"/>
    <cellStyle name="Prefilled 21 6" xfId="36392"/>
    <cellStyle name="Prefilled 21 7" xfId="36393"/>
    <cellStyle name="Prefilled 22" xfId="6845"/>
    <cellStyle name="Prefilled 22 2" xfId="36394"/>
    <cellStyle name="Prefilled 22 3" xfId="36395"/>
    <cellStyle name="Prefilled 22 4" xfId="36396"/>
    <cellStyle name="Prefilled 22 5" xfId="36397"/>
    <cellStyle name="Prefilled 22 6" xfId="36398"/>
    <cellStyle name="Prefilled 22 7" xfId="36399"/>
    <cellStyle name="Prefilled 23" xfId="6846"/>
    <cellStyle name="Prefilled 23 2" xfId="36400"/>
    <cellStyle name="Prefilled 23 3" xfId="36401"/>
    <cellStyle name="Prefilled 23 4" xfId="36402"/>
    <cellStyle name="Prefilled 23 5" xfId="36403"/>
    <cellStyle name="Prefilled 23 6" xfId="36404"/>
    <cellStyle name="Prefilled 23 7" xfId="36405"/>
    <cellStyle name="Prefilled 24" xfId="6847"/>
    <cellStyle name="Prefilled 24 2" xfId="36406"/>
    <cellStyle name="Prefilled 24 3" xfId="36407"/>
    <cellStyle name="Prefilled 24 4" xfId="36408"/>
    <cellStyle name="Prefilled 24 5" xfId="36409"/>
    <cellStyle name="Prefilled 24 6" xfId="36410"/>
    <cellStyle name="Prefilled 24 7" xfId="36411"/>
    <cellStyle name="Prefilled 25" xfId="6848"/>
    <cellStyle name="Prefilled 25 2" xfId="36412"/>
    <cellStyle name="Prefilled 25 3" xfId="36413"/>
    <cellStyle name="Prefilled 25 4" xfId="36414"/>
    <cellStyle name="Prefilled 25 5" xfId="36415"/>
    <cellStyle name="Prefilled 25 6" xfId="36416"/>
    <cellStyle name="Prefilled 25 7" xfId="36417"/>
    <cellStyle name="Prefilled 26" xfId="6849"/>
    <cellStyle name="Prefilled 26 2" xfId="36418"/>
    <cellStyle name="Prefilled 26 3" xfId="36419"/>
    <cellStyle name="Prefilled 26 4" xfId="36420"/>
    <cellStyle name="Prefilled 26 5" xfId="36421"/>
    <cellStyle name="Prefilled 26 6" xfId="36422"/>
    <cellStyle name="Prefilled 26 7" xfId="36423"/>
    <cellStyle name="Prefilled 27" xfId="6850"/>
    <cellStyle name="Prefilled 27 2" xfId="36424"/>
    <cellStyle name="Prefilled 27 3" xfId="36425"/>
    <cellStyle name="Prefilled 27 4" xfId="36426"/>
    <cellStyle name="Prefilled 27 5" xfId="36427"/>
    <cellStyle name="Prefilled 27 6" xfId="36428"/>
    <cellStyle name="Prefilled 27 7" xfId="36429"/>
    <cellStyle name="Prefilled 28" xfId="6851"/>
    <cellStyle name="Prefilled 28 2" xfId="36430"/>
    <cellStyle name="Prefilled 28 3" xfId="36431"/>
    <cellStyle name="Prefilled 28 4" xfId="36432"/>
    <cellStyle name="Prefilled 28 5" xfId="36433"/>
    <cellStyle name="Prefilled 28 6" xfId="36434"/>
    <cellStyle name="Prefilled 28 7" xfId="36435"/>
    <cellStyle name="Prefilled 29" xfId="6852"/>
    <cellStyle name="Prefilled 29 2" xfId="36436"/>
    <cellStyle name="Prefilled 29 3" xfId="36437"/>
    <cellStyle name="Prefilled 29 4" xfId="36438"/>
    <cellStyle name="Prefilled 29 5" xfId="36439"/>
    <cellStyle name="Prefilled 29 6" xfId="36440"/>
    <cellStyle name="Prefilled 29 7" xfId="36441"/>
    <cellStyle name="Prefilled 3" xfId="6853"/>
    <cellStyle name="Prefilled 3 10" xfId="6854"/>
    <cellStyle name="Prefilled 3 10 2" xfId="36442"/>
    <cellStyle name="Prefilled 3 10 3" xfId="36443"/>
    <cellStyle name="Prefilled 3 10 4" xfId="36444"/>
    <cellStyle name="Prefilled 3 10 5" xfId="36445"/>
    <cellStyle name="Prefilled 3 10 6" xfId="36446"/>
    <cellStyle name="Prefilled 3 10 7" xfId="36447"/>
    <cellStyle name="Prefilled 3 100" xfId="36448"/>
    <cellStyle name="Prefilled 3 101" xfId="36449"/>
    <cellStyle name="Prefilled 3 102" xfId="36450"/>
    <cellStyle name="Prefilled 3 11" xfId="6855"/>
    <cellStyle name="Prefilled 3 11 2" xfId="36451"/>
    <cellStyle name="Prefilled 3 11 3" xfId="36452"/>
    <cellStyle name="Prefilled 3 11 4" xfId="36453"/>
    <cellStyle name="Prefilled 3 11 5" xfId="36454"/>
    <cellStyle name="Prefilled 3 11 6" xfId="36455"/>
    <cellStyle name="Prefilled 3 11 7" xfId="36456"/>
    <cellStyle name="Prefilled 3 12" xfId="6856"/>
    <cellStyle name="Prefilled 3 12 2" xfId="36457"/>
    <cellStyle name="Prefilled 3 12 3" xfId="36458"/>
    <cellStyle name="Prefilled 3 12 4" xfId="36459"/>
    <cellStyle name="Prefilled 3 12 5" xfId="36460"/>
    <cellStyle name="Prefilled 3 12 6" xfId="36461"/>
    <cellStyle name="Prefilled 3 12 7" xfId="36462"/>
    <cellStyle name="Prefilled 3 13" xfId="6857"/>
    <cellStyle name="Prefilled 3 13 2" xfId="36463"/>
    <cellStyle name="Prefilled 3 13 3" xfId="36464"/>
    <cellStyle name="Prefilled 3 13 4" xfId="36465"/>
    <cellStyle name="Prefilled 3 13 5" xfId="36466"/>
    <cellStyle name="Prefilled 3 13 6" xfId="36467"/>
    <cellStyle name="Prefilled 3 13 7" xfId="36468"/>
    <cellStyle name="Prefilled 3 14" xfId="6858"/>
    <cellStyle name="Prefilled 3 14 2" xfId="36469"/>
    <cellStyle name="Prefilled 3 14 3" xfId="36470"/>
    <cellStyle name="Prefilled 3 14 4" xfId="36471"/>
    <cellStyle name="Prefilled 3 14 5" xfId="36472"/>
    <cellStyle name="Prefilled 3 14 6" xfId="36473"/>
    <cellStyle name="Prefilled 3 14 7" xfId="36474"/>
    <cellStyle name="Prefilled 3 15" xfId="6859"/>
    <cellStyle name="Prefilled 3 15 2" xfId="36475"/>
    <cellStyle name="Prefilled 3 15 3" xfId="36476"/>
    <cellStyle name="Prefilled 3 15 4" xfId="36477"/>
    <cellStyle name="Prefilled 3 15 5" xfId="36478"/>
    <cellStyle name="Prefilled 3 15 6" xfId="36479"/>
    <cellStyle name="Prefilled 3 15 7" xfId="36480"/>
    <cellStyle name="Prefilled 3 16" xfId="6860"/>
    <cellStyle name="Prefilled 3 16 2" xfId="36481"/>
    <cellStyle name="Prefilled 3 16 3" xfId="36482"/>
    <cellStyle name="Prefilled 3 16 4" xfId="36483"/>
    <cellStyle name="Prefilled 3 16 5" xfId="36484"/>
    <cellStyle name="Prefilled 3 16 6" xfId="36485"/>
    <cellStyle name="Prefilled 3 16 7" xfId="36486"/>
    <cellStyle name="Prefilled 3 17" xfId="6861"/>
    <cellStyle name="Prefilled 3 17 2" xfId="36487"/>
    <cellStyle name="Prefilled 3 17 3" xfId="36488"/>
    <cellStyle name="Prefilled 3 17 4" xfId="36489"/>
    <cellStyle name="Prefilled 3 17 5" xfId="36490"/>
    <cellStyle name="Prefilled 3 17 6" xfId="36491"/>
    <cellStyle name="Prefilled 3 17 7" xfId="36492"/>
    <cellStyle name="Prefilled 3 18" xfId="6862"/>
    <cellStyle name="Prefilled 3 18 2" xfId="36493"/>
    <cellStyle name="Prefilled 3 18 3" xfId="36494"/>
    <cellStyle name="Prefilled 3 18 4" xfId="36495"/>
    <cellStyle name="Prefilled 3 18 5" xfId="36496"/>
    <cellStyle name="Prefilled 3 18 6" xfId="36497"/>
    <cellStyle name="Prefilled 3 18 7" xfId="36498"/>
    <cellStyle name="Prefilled 3 19" xfId="6863"/>
    <cellStyle name="Prefilled 3 19 2" xfId="36499"/>
    <cellStyle name="Prefilled 3 19 3" xfId="36500"/>
    <cellStyle name="Prefilled 3 19 4" xfId="36501"/>
    <cellStyle name="Prefilled 3 19 5" xfId="36502"/>
    <cellStyle name="Prefilled 3 19 6" xfId="36503"/>
    <cellStyle name="Prefilled 3 19 7" xfId="36504"/>
    <cellStyle name="Prefilled 3 2" xfId="6864"/>
    <cellStyle name="Prefilled 3 2 10" xfId="36505"/>
    <cellStyle name="Prefilled 3 2 11" xfId="36506"/>
    <cellStyle name="Prefilled 3 2 2" xfId="36507"/>
    <cellStyle name="Prefilled 3 2 3" xfId="36508"/>
    <cellStyle name="Prefilled 3 2 4" xfId="36509"/>
    <cellStyle name="Prefilled 3 2 5" xfId="36510"/>
    <cellStyle name="Prefilled 3 2 6" xfId="36511"/>
    <cellStyle name="Prefilled 3 2 7" xfId="36512"/>
    <cellStyle name="Prefilled 3 2 8" xfId="36513"/>
    <cellStyle name="Prefilled 3 2 9" xfId="36514"/>
    <cellStyle name="Prefilled 3 20" xfId="6865"/>
    <cellStyle name="Prefilled 3 20 2" xfId="36515"/>
    <cellStyle name="Prefilled 3 20 3" xfId="36516"/>
    <cellStyle name="Prefilled 3 20 4" xfId="36517"/>
    <cellStyle name="Prefilled 3 20 5" xfId="36518"/>
    <cellStyle name="Prefilled 3 20 6" xfId="36519"/>
    <cellStyle name="Prefilled 3 20 7" xfId="36520"/>
    <cellStyle name="Prefilled 3 21" xfId="6866"/>
    <cellStyle name="Prefilled 3 21 2" xfId="36521"/>
    <cellStyle name="Prefilled 3 21 3" xfId="36522"/>
    <cellStyle name="Prefilled 3 21 4" xfId="36523"/>
    <cellStyle name="Prefilled 3 21 5" xfId="36524"/>
    <cellStyle name="Prefilled 3 21 6" xfId="36525"/>
    <cellStyle name="Prefilled 3 21 7" xfId="36526"/>
    <cellStyle name="Prefilled 3 22" xfId="6867"/>
    <cellStyle name="Prefilled 3 22 2" xfId="36527"/>
    <cellStyle name="Prefilled 3 22 3" xfId="36528"/>
    <cellStyle name="Prefilled 3 22 4" xfId="36529"/>
    <cellStyle name="Prefilled 3 22 5" xfId="36530"/>
    <cellStyle name="Prefilled 3 22 6" xfId="36531"/>
    <cellStyle name="Prefilled 3 22 7" xfId="36532"/>
    <cellStyle name="Prefilled 3 23" xfId="6868"/>
    <cellStyle name="Prefilled 3 23 2" xfId="36533"/>
    <cellStyle name="Prefilled 3 23 3" xfId="36534"/>
    <cellStyle name="Prefilled 3 23 4" xfId="36535"/>
    <cellStyle name="Prefilled 3 23 5" xfId="36536"/>
    <cellStyle name="Prefilled 3 23 6" xfId="36537"/>
    <cellStyle name="Prefilled 3 23 7" xfId="36538"/>
    <cellStyle name="Prefilled 3 24" xfId="6869"/>
    <cellStyle name="Prefilled 3 24 2" xfId="36539"/>
    <cellStyle name="Prefilled 3 24 3" xfId="36540"/>
    <cellStyle name="Prefilled 3 24 4" xfId="36541"/>
    <cellStyle name="Prefilled 3 24 5" xfId="36542"/>
    <cellStyle name="Prefilled 3 24 6" xfId="36543"/>
    <cellStyle name="Prefilled 3 24 7" xfId="36544"/>
    <cellStyle name="Prefilled 3 25" xfId="6870"/>
    <cellStyle name="Prefilled 3 25 2" xfId="36545"/>
    <cellStyle name="Prefilled 3 25 3" xfId="36546"/>
    <cellStyle name="Prefilled 3 25 4" xfId="36547"/>
    <cellStyle name="Prefilled 3 25 5" xfId="36548"/>
    <cellStyle name="Prefilled 3 25 6" xfId="36549"/>
    <cellStyle name="Prefilled 3 25 7" xfId="36550"/>
    <cellStyle name="Prefilled 3 26" xfId="6871"/>
    <cellStyle name="Prefilled 3 26 2" xfId="36551"/>
    <cellStyle name="Prefilled 3 26 3" xfId="36552"/>
    <cellStyle name="Prefilled 3 26 4" xfId="36553"/>
    <cellStyle name="Prefilled 3 26 5" xfId="36554"/>
    <cellStyle name="Prefilled 3 26 6" xfId="36555"/>
    <cellStyle name="Prefilled 3 26 7" xfId="36556"/>
    <cellStyle name="Prefilled 3 27" xfId="6872"/>
    <cellStyle name="Prefilled 3 27 2" xfId="36557"/>
    <cellStyle name="Prefilled 3 27 3" xfId="36558"/>
    <cellStyle name="Prefilled 3 27 4" xfId="36559"/>
    <cellStyle name="Prefilled 3 27 5" xfId="36560"/>
    <cellStyle name="Prefilled 3 27 6" xfId="36561"/>
    <cellStyle name="Prefilled 3 27 7" xfId="36562"/>
    <cellStyle name="Prefilled 3 28" xfId="6873"/>
    <cellStyle name="Prefilled 3 28 2" xfId="36563"/>
    <cellStyle name="Prefilled 3 28 3" xfId="36564"/>
    <cellStyle name="Prefilled 3 28 4" xfId="36565"/>
    <cellStyle name="Prefilled 3 28 5" xfId="36566"/>
    <cellStyle name="Prefilled 3 28 6" xfId="36567"/>
    <cellStyle name="Prefilled 3 28 7" xfId="36568"/>
    <cellStyle name="Prefilled 3 29" xfId="6874"/>
    <cellStyle name="Prefilled 3 29 2" xfId="36569"/>
    <cellStyle name="Prefilled 3 29 3" xfId="36570"/>
    <cellStyle name="Prefilled 3 29 4" xfId="36571"/>
    <cellStyle name="Prefilled 3 29 5" xfId="36572"/>
    <cellStyle name="Prefilled 3 29 6" xfId="36573"/>
    <cellStyle name="Prefilled 3 29 7" xfId="36574"/>
    <cellStyle name="Prefilled 3 3" xfId="6875"/>
    <cellStyle name="Prefilled 3 3 10" xfId="36575"/>
    <cellStyle name="Prefilled 3 3 2" xfId="36576"/>
    <cellStyle name="Prefilled 3 3 3" xfId="36577"/>
    <cellStyle name="Prefilled 3 3 4" xfId="36578"/>
    <cellStyle name="Prefilled 3 3 5" xfId="36579"/>
    <cellStyle name="Prefilled 3 3 6" xfId="36580"/>
    <cellStyle name="Prefilled 3 3 7" xfId="36581"/>
    <cellStyle name="Prefilled 3 3 8" xfId="36582"/>
    <cellStyle name="Prefilled 3 3 9" xfId="36583"/>
    <cellStyle name="Prefilled 3 30" xfId="6876"/>
    <cellStyle name="Prefilled 3 30 2" xfId="36584"/>
    <cellStyle name="Prefilled 3 30 3" xfId="36585"/>
    <cellStyle name="Prefilled 3 30 4" xfId="36586"/>
    <cellStyle name="Prefilled 3 30 5" xfId="36587"/>
    <cellStyle name="Prefilled 3 30 6" xfId="36588"/>
    <cellStyle name="Prefilled 3 30 7" xfId="36589"/>
    <cellStyle name="Prefilled 3 31" xfId="6877"/>
    <cellStyle name="Prefilled 3 31 2" xfId="36590"/>
    <cellStyle name="Prefilled 3 31 3" xfId="36591"/>
    <cellStyle name="Prefilled 3 31 4" xfId="36592"/>
    <cellStyle name="Prefilled 3 31 5" xfId="36593"/>
    <cellStyle name="Prefilled 3 31 6" xfId="36594"/>
    <cellStyle name="Prefilled 3 31 7" xfId="36595"/>
    <cellStyle name="Prefilled 3 32" xfId="6878"/>
    <cellStyle name="Prefilled 3 32 2" xfId="36596"/>
    <cellStyle name="Prefilled 3 32 3" xfId="36597"/>
    <cellStyle name="Prefilled 3 32 4" xfId="36598"/>
    <cellStyle name="Prefilled 3 32 5" xfId="36599"/>
    <cellStyle name="Prefilled 3 32 6" xfId="36600"/>
    <cellStyle name="Prefilled 3 32 7" xfId="36601"/>
    <cellStyle name="Prefilled 3 33" xfId="6879"/>
    <cellStyle name="Prefilled 3 33 2" xfId="36602"/>
    <cellStyle name="Prefilled 3 33 3" xfId="36603"/>
    <cellStyle name="Prefilled 3 33 4" xfId="36604"/>
    <cellStyle name="Prefilled 3 33 5" xfId="36605"/>
    <cellStyle name="Prefilled 3 33 6" xfId="36606"/>
    <cellStyle name="Prefilled 3 33 7" xfId="36607"/>
    <cellStyle name="Prefilled 3 34" xfId="6880"/>
    <cellStyle name="Prefilled 3 34 2" xfId="36608"/>
    <cellStyle name="Prefilled 3 34 3" xfId="36609"/>
    <cellStyle name="Prefilled 3 34 4" xfId="36610"/>
    <cellStyle name="Prefilled 3 34 5" xfId="36611"/>
    <cellStyle name="Prefilled 3 34 6" xfId="36612"/>
    <cellStyle name="Prefilled 3 34 7" xfId="36613"/>
    <cellStyle name="Prefilled 3 35" xfId="6881"/>
    <cellStyle name="Prefilled 3 35 2" xfId="36614"/>
    <cellStyle name="Prefilled 3 35 3" xfId="36615"/>
    <cellStyle name="Prefilled 3 35 4" xfId="36616"/>
    <cellStyle name="Prefilled 3 35 5" xfId="36617"/>
    <cellStyle name="Prefilled 3 35 6" xfId="36618"/>
    <cellStyle name="Prefilled 3 35 7" xfId="36619"/>
    <cellStyle name="Prefilled 3 36" xfId="6882"/>
    <cellStyle name="Prefilled 3 36 2" xfId="36620"/>
    <cellStyle name="Prefilled 3 36 3" xfId="36621"/>
    <cellStyle name="Prefilled 3 36 4" xfId="36622"/>
    <cellStyle name="Prefilled 3 36 5" xfId="36623"/>
    <cellStyle name="Prefilled 3 36 6" xfId="36624"/>
    <cellStyle name="Prefilled 3 36 7" xfId="36625"/>
    <cellStyle name="Prefilled 3 37" xfId="6883"/>
    <cellStyle name="Prefilled 3 37 2" xfId="36626"/>
    <cellStyle name="Prefilled 3 37 3" xfId="36627"/>
    <cellStyle name="Prefilled 3 37 4" xfId="36628"/>
    <cellStyle name="Prefilled 3 37 5" xfId="36629"/>
    <cellStyle name="Prefilled 3 37 6" xfId="36630"/>
    <cellStyle name="Prefilled 3 37 7" xfId="36631"/>
    <cellStyle name="Prefilled 3 38" xfId="6884"/>
    <cellStyle name="Prefilled 3 38 2" xfId="36632"/>
    <cellStyle name="Prefilled 3 38 3" xfId="36633"/>
    <cellStyle name="Prefilled 3 38 4" xfId="36634"/>
    <cellStyle name="Prefilled 3 38 5" xfId="36635"/>
    <cellStyle name="Prefilled 3 38 6" xfId="36636"/>
    <cellStyle name="Prefilled 3 38 7" xfId="36637"/>
    <cellStyle name="Prefilled 3 39" xfId="6885"/>
    <cellStyle name="Prefilled 3 39 2" xfId="36638"/>
    <cellStyle name="Prefilled 3 39 3" xfId="36639"/>
    <cellStyle name="Prefilled 3 39 4" xfId="36640"/>
    <cellStyle name="Prefilled 3 39 5" xfId="36641"/>
    <cellStyle name="Prefilled 3 39 6" xfId="36642"/>
    <cellStyle name="Prefilled 3 39 7" xfId="36643"/>
    <cellStyle name="Prefilled 3 4" xfId="6886"/>
    <cellStyle name="Prefilled 3 4 10" xfId="36644"/>
    <cellStyle name="Prefilled 3 4 2" xfId="36645"/>
    <cellStyle name="Prefilled 3 4 3" xfId="36646"/>
    <cellStyle name="Prefilled 3 4 4" xfId="36647"/>
    <cellStyle name="Prefilled 3 4 5" xfId="36648"/>
    <cellStyle name="Prefilled 3 4 6" xfId="36649"/>
    <cellStyle name="Prefilled 3 4 7" xfId="36650"/>
    <cellStyle name="Prefilled 3 4 8" xfId="36651"/>
    <cellStyle name="Prefilled 3 4 9" xfId="36652"/>
    <cellStyle name="Prefilled 3 40" xfId="6887"/>
    <cellStyle name="Prefilled 3 40 2" xfId="36653"/>
    <cellStyle name="Prefilled 3 40 3" xfId="36654"/>
    <cellStyle name="Prefilled 3 40 4" xfId="36655"/>
    <cellStyle name="Prefilled 3 40 5" xfId="36656"/>
    <cellStyle name="Prefilled 3 40 6" xfId="36657"/>
    <cellStyle name="Prefilled 3 40 7" xfId="36658"/>
    <cellStyle name="Prefilled 3 41" xfId="6888"/>
    <cellStyle name="Prefilled 3 41 2" xfId="36659"/>
    <cellStyle name="Prefilled 3 41 3" xfId="36660"/>
    <cellStyle name="Prefilled 3 41 4" xfId="36661"/>
    <cellStyle name="Prefilled 3 41 5" xfId="36662"/>
    <cellStyle name="Prefilled 3 41 6" xfId="36663"/>
    <cellStyle name="Prefilled 3 41 7" xfId="36664"/>
    <cellStyle name="Prefilled 3 42" xfId="6889"/>
    <cellStyle name="Prefilled 3 42 2" xfId="36665"/>
    <cellStyle name="Prefilled 3 42 3" xfId="36666"/>
    <cellStyle name="Prefilled 3 42 4" xfId="36667"/>
    <cellStyle name="Prefilled 3 42 5" xfId="36668"/>
    <cellStyle name="Prefilled 3 42 6" xfId="36669"/>
    <cellStyle name="Prefilled 3 42 7" xfId="36670"/>
    <cellStyle name="Prefilled 3 43" xfId="6890"/>
    <cellStyle name="Prefilled 3 43 2" xfId="36671"/>
    <cellStyle name="Prefilled 3 43 3" xfId="36672"/>
    <cellStyle name="Prefilled 3 43 4" xfId="36673"/>
    <cellStyle name="Prefilled 3 43 5" xfId="36674"/>
    <cellStyle name="Prefilled 3 43 6" xfId="36675"/>
    <cellStyle name="Prefilled 3 43 7" xfId="36676"/>
    <cellStyle name="Prefilled 3 44" xfId="6891"/>
    <cellStyle name="Prefilled 3 44 2" xfId="36677"/>
    <cellStyle name="Prefilled 3 44 3" xfId="36678"/>
    <cellStyle name="Prefilled 3 44 4" xfId="36679"/>
    <cellStyle name="Prefilled 3 44 5" xfId="36680"/>
    <cellStyle name="Prefilled 3 44 6" xfId="36681"/>
    <cellStyle name="Prefilled 3 44 7" xfId="36682"/>
    <cellStyle name="Prefilled 3 45" xfId="6892"/>
    <cellStyle name="Prefilled 3 45 2" xfId="36683"/>
    <cellStyle name="Prefilled 3 45 3" xfId="36684"/>
    <cellStyle name="Prefilled 3 45 4" xfId="36685"/>
    <cellStyle name="Prefilled 3 45 5" xfId="36686"/>
    <cellStyle name="Prefilled 3 45 6" xfId="36687"/>
    <cellStyle name="Prefilled 3 45 7" xfId="36688"/>
    <cellStyle name="Prefilled 3 46" xfId="6893"/>
    <cellStyle name="Prefilled 3 46 2" xfId="36689"/>
    <cellStyle name="Prefilled 3 46 3" xfId="36690"/>
    <cellStyle name="Prefilled 3 46 4" xfId="36691"/>
    <cellStyle name="Prefilled 3 46 5" xfId="36692"/>
    <cellStyle name="Prefilled 3 46 6" xfId="36693"/>
    <cellStyle name="Prefilled 3 46 7" xfId="36694"/>
    <cellStyle name="Prefilled 3 47" xfId="6894"/>
    <cellStyle name="Prefilled 3 47 2" xfId="36695"/>
    <cellStyle name="Prefilled 3 47 3" xfId="36696"/>
    <cellStyle name="Prefilled 3 47 4" xfId="36697"/>
    <cellStyle name="Prefilled 3 47 5" xfId="36698"/>
    <cellStyle name="Prefilled 3 47 6" xfId="36699"/>
    <cellStyle name="Prefilled 3 47 7" xfId="36700"/>
    <cellStyle name="Prefilled 3 48" xfId="6895"/>
    <cellStyle name="Prefilled 3 48 2" xfId="36701"/>
    <cellStyle name="Prefilled 3 48 3" xfId="36702"/>
    <cellStyle name="Prefilled 3 48 4" xfId="36703"/>
    <cellStyle name="Prefilled 3 48 5" xfId="36704"/>
    <cellStyle name="Prefilled 3 48 6" xfId="36705"/>
    <cellStyle name="Prefilled 3 48 7" xfId="36706"/>
    <cellStyle name="Prefilled 3 49" xfId="6896"/>
    <cellStyle name="Prefilled 3 49 2" xfId="36707"/>
    <cellStyle name="Prefilled 3 49 3" xfId="36708"/>
    <cellStyle name="Prefilled 3 49 4" xfId="36709"/>
    <cellStyle name="Prefilled 3 49 5" xfId="36710"/>
    <cellStyle name="Prefilled 3 49 6" xfId="36711"/>
    <cellStyle name="Prefilled 3 49 7" xfId="36712"/>
    <cellStyle name="Prefilled 3 5" xfId="6897"/>
    <cellStyle name="Prefilled 3 5 2" xfId="36713"/>
    <cellStyle name="Prefilled 3 5 3" xfId="36714"/>
    <cellStyle name="Prefilled 3 5 4" xfId="36715"/>
    <cellStyle name="Prefilled 3 5 5" xfId="36716"/>
    <cellStyle name="Prefilled 3 5 6" xfId="36717"/>
    <cellStyle name="Prefilled 3 5 7" xfId="36718"/>
    <cellStyle name="Prefilled 3 50" xfId="6898"/>
    <cellStyle name="Prefilled 3 50 2" xfId="36719"/>
    <cellStyle name="Prefilled 3 50 3" xfId="36720"/>
    <cellStyle name="Prefilled 3 50 4" xfId="36721"/>
    <cellStyle name="Prefilled 3 50 5" xfId="36722"/>
    <cellStyle name="Prefilled 3 50 6" xfId="36723"/>
    <cellStyle name="Prefilled 3 50 7" xfId="36724"/>
    <cellStyle name="Prefilled 3 51" xfId="6899"/>
    <cellStyle name="Prefilled 3 51 2" xfId="36725"/>
    <cellStyle name="Prefilled 3 51 3" xfId="36726"/>
    <cellStyle name="Prefilled 3 51 4" xfId="36727"/>
    <cellStyle name="Prefilled 3 51 5" xfId="36728"/>
    <cellStyle name="Prefilled 3 51 6" xfId="36729"/>
    <cellStyle name="Prefilled 3 51 7" xfId="36730"/>
    <cellStyle name="Prefilled 3 52" xfId="6900"/>
    <cellStyle name="Prefilled 3 52 2" xfId="36731"/>
    <cellStyle name="Prefilled 3 52 3" xfId="36732"/>
    <cellStyle name="Prefilled 3 52 4" xfId="36733"/>
    <cellStyle name="Prefilled 3 52 5" xfId="36734"/>
    <cellStyle name="Prefilled 3 52 6" xfId="36735"/>
    <cellStyle name="Prefilled 3 52 7" xfId="36736"/>
    <cellStyle name="Prefilled 3 53" xfId="6901"/>
    <cellStyle name="Prefilled 3 53 2" xfId="36737"/>
    <cellStyle name="Prefilled 3 53 3" xfId="36738"/>
    <cellStyle name="Prefilled 3 53 4" xfId="36739"/>
    <cellStyle name="Prefilled 3 53 5" xfId="36740"/>
    <cellStyle name="Prefilled 3 53 6" xfId="36741"/>
    <cellStyle name="Prefilled 3 53 7" xfId="36742"/>
    <cellStyle name="Prefilled 3 54" xfId="6902"/>
    <cellStyle name="Prefilled 3 54 2" xfId="36743"/>
    <cellStyle name="Prefilled 3 54 3" xfId="36744"/>
    <cellStyle name="Prefilled 3 54 4" xfId="36745"/>
    <cellStyle name="Prefilled 3 54 5" xfId="36746"/>
    <cellStyle name="Prefilled 3 54 6" xfId="36747"/>
    <cellStyle name="Prefilled 3 54 7" xfId="36748"/>
    <cellStyle name="Prefilled 3 55" xfId="6903"/>
    <cellStyle name="Prefilled 3 55 2" xfId="36749"/>
    <cellStyle name="Prefilled 3 55 3" xfId="36750"/>
    <cellStyle name="Prefilled 3 55 4" xfId="36751"/>
    <cellStyle name="Prefilled 3 55 5" xfId="36752"/>
    <cellStyle name="Prefilled 3 55 6" xfId="36753"/>
    <cellStyle name="Prefilled 3 55 7" xfId="36754"/>
    <cellStyle name="Prefilled 3 56" xfId="6904"/>
    <cellStyle name="Prefilled 3 56 2" xfId="36755"/>
    <cellStyle name="Prefilled 3 56 3" xfId="36756"/>
    <cellStyle name="Prefilled 3 56 4" xfId="36757"/>
    <cellStyle name="Prefilled 3 56 5" xfId="36758"/>
    <cellStyle name="Prefilled 3 56 6" xfId="36759"/>
    <cellStyle name="Prefilled 3 56 7" xfId="36760"/>
    <cellStyle name="Prefilled 3 57" xfId="6905"/>
    <cellStyle name="Prefilled 3 57 2" xfId="36761"/>
    <cellStyle name="Prefilled 3 57 3" xfId="36762"/>
    <cellStyle name="Prefilled 3 57 4" xfId="36763"/>
    <cellStyle name="Prefilled 3 57 5" xfId="36764"/>
    <cellStyle name="Prefilled 3 57 6" xfId="36765"/>
    <cellStyle name="Prefilled 3 57 7" xfId="36766"/>
    <cellStyle name="Prefilled 3 58" xfId="6906"/>
    <cellStyle name="Prefilled 3 58 2" xfId="36767"/>
    <cellStyle name="Prefilled 3 58 3" xfId="36768"/>
    <cellStyle name="Prefilled 3 58 4" xfId="36769"/>
    <cellStyle name="Prefilled 3 58 5" xfId="36770"/>
    <cellStyle name="Prefilled 3 58 6" xfId="36771"/>
    <cellStyle name="Prefilled 3 58 7" xfId="36772"/>
    <cellStyle name="Prefilled 3 59" xfId="6907"/>
    <cellStyle name="Prefilled 3 59 2" xfId="36773"/>
    <cellStyle name="Prefilled 3 59 3" xfId="36774"/>
    <cellStyle name="Prefilled 3 59 4" xfId="36775"/>
    <cellStyle name="Prefilled 3 59 5" xfId="36776"/>
    <cellStyle name="Prefilled 3 59 6" xfId="36777"/>
    <cellStyle name="Prefilled 3 59 7" xfId="36778"/>
    <cellStyle name="Prefilled 3 6" xfId="6908"/>
    <cellStyle name="Prefilled 3 6 2" xfId="36779"/>
    <cellStyle name="Prefilled 3 6 3" xfId="36780"/>
    <cellStyle name="Prefilled 3 6 4" xfId="36781"/>
    <cellStyle name="Prefilled 3 6 5" xfId="36782"/>
    <cellStyle name="Prefilled 3 6 6" xfId="36783"/>
    <cellStyle name="Prefilled 3 6 7" xfId="36784"/>
    <cellStyle name="Prefilled 3 60" xfId="6909"/>
    <cellStyle name="Prefilled 3 60 2" xfId="36785"/>
    <cellStyle name="Prefilled 3 60 3" xfId="36786"/>
    <cellStyle name="Prefilled 3 60 4" xfId="36787"/>
    <cellStyle name="Prefilled 3 60 5" xfId="36788"/>
    <cellStyle name="Prefilled 3 60 6" xfId="36789"/>
    <cellStyle name="Prefilled 3 60 7" xfId="36790"/>
    <cellStyle name="Prefilled 3 61" xfId="6910"/>
    <cellStyle name="Prefilled 3 61 2" xfId="36791"/>
    <cellStyle name="Prefilled 3 61 3" xfId="36792"/>
    <cellStyle name="Prefilled 3 61 4" xfId="36793"/>
    <cellStyle name="Prefilled 3 61 5" xfId="36794"/>
    <cellStyle name="Prefilled 3 61 6" xfId="36795"/>
    <cellStyle name="Prefilled 3 61 7" xfId="36796"/>
    <cellStyle name="Prefilled 3 62" xfId="6911"/>
    <cellStyle name="Prefilled 3 62 2" xfId="36797"/>
    <cellStyle name="Prefilled 3 62 3" xfId="36798"/>
    <cellStyle name="Prefilled 3 62 4" xfId="36799"/>
    <cellStyle name="Prefilled 3 62 5" xfId="36800"/>
    <cellStyle name="Prefilled 3 62 6" xfId="36801"/>
    <cellStyle name="Prefilled 3 62 7" xfId="36802"/>
    <cellStyle name="Prefilled 3 63" xfId="6912"/>
    <cellStyle name="Prefilled 3 63 2" xfId="36803"/>
    <cellStyle name="Prefilled 3 63 3" xfId="36804"/>
    <cellStyle name="Prefilled 3 63 4" xfId="36805"/>
    <cellStyle name="Prefilled 3 63 5" xfId="36806"/>
    <cellStyle name="Prefilled 3 63 6" xfId="36807"/>
    <cellStyle name="Prefilled 3 63 7" xfId="36808"/>
    <cellStyle name="Prefilled 3 64" xfId="6913"/>
    <cellStyle name="Prefilled 3 64 2" xfId="36809"/>
    <cellStyle name="Prefilled 3 64 3" xfId="36810"/>
    <cellStyle name="Prefilled 3 64 4" xfId="36811"/>
    <cellStyle name="Prefilled 3 64 5" xfId="36812"/>
    <cellStyle name="Prefilled 3 64 6" xfId="36813"/>
    <cellStyle name="Prefilled 3 64 7" xfId="36814"/>
    <cellStyle name="Prefilled 3 65" xfId="6914"/>
    <cellStyle name="Prefilled 3 65 2" xfId="36815"/>
    <cellStyle name="Prefilled 3 65 3" xfId="36816"/>
    <cellStyle name="Prefilled 3 65 4" xfId="36817"/>
    <cellStyle name="Prefilled 3 65 5" xfId="36818"/>
    <cellStyle name="Prefilled 3 65 6" xfId="36819"/>
    <cellStyle name="Prefilled 3 65 7" xfId="36820"/>
    <cellStyle name="Prefilled 3 66" xfId="6915"/>
    <cellStyle name="Prefilled 3 66 2" xfId="36821"/>
    <cellStyle name="Prefilled 3 66 3" xfId="36822"/>
    <cellStyle name="Prefilled 3 66 4" xfId="36823"/>
    <cellStyle name="Prefilled 3 66 5" xfId="36824"/>
    <cellStyle name="Prefilled 3 66 6" xfId="36825"/>
    <cellStyle name="Prefilled 3 66 7" xfId="36826"/>
    <cellStyle name="Prefilled 3 67" xfId="6916"/>
    <cellStyle name="Prefilled 3 67 2" xfId="36827"/>
    <cellStyle name="Prefilled 3 67 3" xfId="36828"/>
    <cellStyle name="Prefilled 3 67 4" xfId="36829"/>
    <cellStyle name="Prefilled 3 67 5" xfId="36830"/>
    <cellStyle name="Prefilled 3 67 6" xfId="36831"/>
    <cellStyle name="Prefilled 3 67 7" xfId="36832"/>
    <cellStyle name="Prefilled 3 68" xfId="6917"/>
    <cellStyle name="Prefilled 3 68 2" xfId="36833"/>
    <cellStyle name="Prefilled 3 68 3" xfId="36834"/>
    <cellStyle name="Prefilled 3 68 4" xfId="36835"/>
    <cellStyle name="Prefilled 3 68 5" xfId="36836"/>
    <cellStyle name="Prefilled 3 68 6" xfId="36837"/>
    <cellStyle name="Prefilled 3 68 7" xfId="36838"/>
    <cellStyle name="Prefilled 3 69" xfId="6918"/>
    <cellStyle name="Prefilled 3 69 2" xfId="36839"/>
    <cellStyle name="Prefilled 3 69 3" xfId="36840"/>
    <cellStyle name="Prefilled 3 69 4" xfId="36841"/>
    <cellStyle name="Prefilled 3 69 5" xfId="36842"/>
    <cellStyle name="Prefilled 3 69 6" xfId="36843"/>
    <cellStyle name="Prefilled 3 69 7" xfId="36844"/>
    <cellStyle name="Prefilled 3 7" xfId="6919"/>
    <cellStyle name="Prefilled 3 7 2" xfId="36845"/>
    <cellStyle name="Prefilled 3 7 3" xfId="36846"/>
    <cellStyle name="Prefilled 3 7 4" xfId="36847"/>
    <cellStyle name="Prefilled 3 7 5" xfId="36848"/>
    <cellStyle name="Prefilled 3 7 6" xfId="36849"/>
    <cellStyle name="Prefilled 3 7 7" xfId="36850"/>
    <cellStyle name="Prefilled 3 70" xfId="6920"/>
    <cellStyle name="Prefilled 3 70 2" xfId="36851"/>
    <cellStyle name="Prefilled 3 70 3" xfId="36852"/>
    <cellStyle name="Prefilled 3 70 4" xfId="36853"/>
    <cellStyle name="Prefilled 3 70 5" xfId="36854"/>
    <cellStyle name="Prefilled 3 70 6" xfId="36855"/>
    <cellStyle name="Prefilled 3 70 7" xfId="36856"/>
    <cellStyle name="Prefilled 3 71" xfId="6921"/>
    <cellStyle name="Prefilled 3 71 2" xfId="36857"/>
    <cellStyle name="Prefilled 3 71 3" xfId="36858"/>
    <cellStyle name="Prefilled 3 71 4" xfId="36859"/>
    <cellStyle name="Prefilled 3 71 5" xfId="36860"/>
    <cellStyle name="Prefilled 3 71 6" xfId="36861"/>
    <cellStyle name="Prefilled 3 71 7" xfId="36862"/>
    <cellStyle name="Prefilled 3 72" xfId="6922"/>
    <cellStyle name="Prefilled 3 72 2" xfId="36863"/>
    <cellStyle name="Prefilled 3 72 3" xfId="36864"/>
    <cellStyle name="Prefilled 3 72 4" xfId="36865"/>
    <cellStyle name="Prefilled 3 72 5" xfId="36866"/>
    <cellStyle name="Prefilled 3 72 6" xfId="36867"/>
    <cellStyle name="Prefilled 3 72 7" xfId="36868"/>
    <cellStyle name="Prefilled 3 73" xfId="6923"/>
    <cellStyle name="Prefilled 3 73 2" xfId="36869"/>
    <cellStyle name="Prefilled 3 73 3" xfId="36870"/>
    <cellStyle name="Prefilled 3 73 4" xfId="36871"/>
    <cellStyle name="Prefilled 3 73 5" xfId="36872"/>
    <cellStyle name="Prefilled 3 73 6" xfId="36873"/>
    <cellStyle name="Prefilled 3 73 7" xfId="36874"/>
    <cellStyle name="Prefilled 3 74" xfId="6924"/>
    <cellStyle name="Prefilled 3 74 2" xfId="36875"/>
    <cellStyle name="Prefilled 3 74 3" xfId="36876"/>
    <cellStyle name="Prefilled 3 74 4" xfId="36877"/>
    <cellStyle name="Prefilled 3 74 5" xfId="36878"/>
    <cellStyle name="Prefilled 3 74 6" xfId="36879"/>
    <cellStyle name="Prefilled 3 74 7" xfId="36880"/>
    <cellStyle name="Prefilled 3 75" xfId="6925"/>
    <cellStyle name="Prefilled 3 75 2" xfId="36881"/>
    <cellStyle name="Prefilled 3 75 3" xfId="36882"/>
    <cellStyle name="Prefilled 3 75 4" xfId="36883"/>
    <cellStyle name="Prefilled 3 75 5" xfId="36884"/>
    <cellStyle name="Prefilled 3 75 6" xfId="36885"/>
    <cellStyle name="Prefilled 3 75 7" xfId="36886"/>
    <cellStyle name="Prefilled 3 76" xfId="6926"/>
    <cellStyle name="Prefilled 3 76 2" xfId="36887"/>
    <cellStyle name="Prefilled 3 76 3" xfId="36888"/>
    <cellStyle name="Prefilled 3 76 4" xfId="36889"/>
    <cellStyle name="Prefilled 3 76 5" xfId="36890"/>
    <cellStyle name="Prefilled 3 76 6" xfId="36891"/>
    <cellStyle name="Prefilled 3 76 7" xfId="36892"/>
    <cellStyle name="Prefilled 3 77" xfId="6927"/>
    <cellStyle name="Prefilled 3 77 2" xfId="36893"/>
    <cellStyle name="Prefilled 3 77 3" xfId="36894"/>
    <cellStyle name="Prefilled 3 77 4" xfId="36895"/>
    <cellStyle name="Prefilled 3 77 5" xfId="36896"/>
    <cellStyle name="Prefilled 3 77 6" xfId="36897"/>
    <cellStyle name="Prefilled 3 77 7" xfId="36898"/>
    <cellStyle name="Prefilled 3 78" xfId="6928"/>
    <cellStyle name="Prefilled 3 78 2" xfId="36899"/>
    <cellStyle name="Prefilled 3 78 3" xfId="36900"/>
    <cellStyle name="Prefilled 3 78 4" xfId="36901"/>
    <cellStyle name="Prefilled 3 78 5" xfId="36902"/>
    <cellStyle name="Prefilled 3 78 6" xfId="36903"/>
    <cellStyle name="Prefilled 3 78 7" xfId="36904"/>
    <cellStyle name="Prefilled 3 79" xfId="6929"/>
    <cellStyle name="Prefilled 3 79 2" xfId="36905"/>
    <cellStyle name="Prefilled 3 79 3" xfId="36906"/>
    <cellStyle name="Prefilled 3 79 4" xfId="36907"/>
    <cellStyle name="Prefilled 3 79 5" xfId="36908"/>
    <cellStyle name="Prefilled 3 79 6" xfId="36909"/>
    <cellStyle name="Prefilled 3 79 7" xfId="36910"/>
    <cellStyle name="Prefilled 3 8" xfId="6930"/>
    <cellStyle name="Prefilled 3 8 2" xfId="36911"/>
    <cellStyle name="Prefilled 3 8 3" xfId="36912"/>
    <cellStyle name="Prefilled 3 8 4" xfId="36913"/>
    <cellStyle name="Prefilled 3 8 5" xfId="36914"/>
    <cellStyle name="Prefilled 3 8 6" xfId="36915"/>
    <cellStyle name="Prefilled 3 8 7" xfId="36916"/>
    <cellStyle name="Prefilled 3 80" xfId="6931"/>
    <cellStyle name="Prefilled 3 80 2" xfId="36917"/>
    <cellStyle name="Prefilled 3 80 3" xfId="36918"/>
    <cellStyle name="Prefilled 3 80 4" xfId="36919"/>
    <cellStyle name="Prefilled 3 80 5" xfId="36920"/>
    <cellStyle name="Prefilled 3 80 6" xfId="36921"/>
    <cellStyle name="Prefilled 3 80 7" xfId="36922"/>
    <cellStyle name="Prefilled 3 81" xfId="6932"/>
    <cellStyle name="Prefilled 3 81 2" xfId="36923"/>
    <cellStyle name="Prefilled 3 81 3" xfId="36924"/>
    <cellStyle name="Prefilled 3 81 4" xfId="36925"/>
    <cellStyle name="Prefilled 3 81 5" xfId="36926"/>
    <cellStyle name="Prefilled 3 81 6" xfId="36927"/>
    <cellStyle name="Prefilled 3 81 7" xfId="36928"/>
    <cellStyle name="Prefilled 3 82" xfId="6933"/>
    <cellStyle name="Prefilled 3 82 2" xfId="36929"/>
    <cellStyle name="Prefilled 3 82 3" xfId="36930"/>
    <cellStyle name="Prefilled 3 82 4" xfId="36931"/>
    <cellStyle name="Prefilled 3 82 5" xfId="36932"/>
    <cellStyle name="Prefilled 3 82 6" xfId="36933"/>
    <cellStyle name="Prefilled 3 82 7" xfId="36934"/>
    <cellStyle name="Prefilled 3 83" xfId="6934"/>
    <cellStyle name="Prefilled 3 83 2" xfId="36935"/>
    <cellStyle name="Prefilled 3 83 3" xfId="36936"/>
    <cellStyle name="Prefilled 3 83 4" xfId="36937"/>
    <cellStyle name="Prefilled 3 83 5" xfId="36938"/>
    <cellStyle name="Prefilled 3 83 6" xfId="36939"/>
    <cellStyle name="Prefilled 3 83 7" xfId="36940"/>
    <cellStyle name="Prefilled 3 84" xfId="6935"/>
    <cellStyle name="Prefilled 3 84 2" xfId="36941"/>
    <cellStyle name="Prefilled 3 84 3" xfId="36942"/>
    <cellStyle name="Prefilled 3 84 4" xfId="36943"/>
    <cellStyle name="Prefilled 3 84 5" xfId="36944"/>
    <cellStyle name="Prefilled 3 84 6" xfId="36945"/>
    <cellStyle name="Prefilled 3 84 7" xfId="36946"/>
    <cellStyle name="Prefilled 3 85" xfId="6936"/>
    <cellStyle name="Prefilled 3 85 2" xfId="36947"/>
    <cellStyle name="Prefilled 3 85 3" xfId="36948"/>
    <cellStyle name="Prefilled 3 85 4" xfId="36949"/>
    <cellStyle name="Prefilled 3 85 5" xfId="36950"/>
    <cellStyle name="Prefilled 3 85 6" xfId="36951"/>
    <cellStyle name="Prefilled 3 85 7" xfId="36952"/>
    <cellStyle name="Prefilled 3 86" xfId="6937"/>
    <cellStyle name="Prefilled 3 86 2" xfId="36953"/>
    <cellStyle name="Prefilled 3 86 3" xfId="36954"/>
    <cellStyle name="Prefilled 3 86 4" xfId="36955"/>
    <cellStyle name="Prefilled 3 86 5" xfId="36956"/>
    <cellStyle name="Prefilled 3 86 6" xfId="36957"/>
    <cellStyle name="Prefilled 3 86 7" xfId="36958"/>
    <cellStyle name="Prefilled 3 87" xfId="6938"/>
    <cellStyle name="Prefilled 3 87 2" xfId="36959"/>
    <cellStyle name="Prefilled 3 87 3" xfId="36960"/>
    <cellStyle name="Prefilled 3 87 4" xfId="36961"/>
    <cellStyle name="Prefilled 3 87 5" xfId="36962"/>
    <cellStyle name="Prefilled 3 87 6" xfId="36963"/>
    <cellStyle name="Prefilled 3 87 7" xfId="36964"/>
    <cellStyle name="Prefilled 3 88" xfId="6939"/>
    <cellStyle name="Prefilled 3 88 2" xfId="36965"/>
    <cellStyle name="Prefilled 3 88 3" xfId="36966"/>
    <cellStyle name="Prefilled 3 88 4" xfId="36967"/>
    <cellStyle name="Prefilled 3 88 5" xfId="36968"/>
    <cellStyle name="Prefilled 3 88 6" xfId="36969"/>
    <cellStyle name="Prefilled 3 88 7" xfId="36970"/>
    <cellStyle name="Prefilled 3 89" xfId="6940"/>
    <cellStyle name="Prefilled 3 89 2" xfId="36971"/>
    <cellStyle name="Prefilled 3 89 3" xfId="36972"/>
    <cellStyle name="Prefilled 3 89 4" xfId="36973"/>
    <cellStyle name="Prefilled 3 89 5" xfId="36974"/>
    <cellStyle name="Prefilled 3 89 6" xfId="36975"/>
    <cellStyle name="Prefilled 3 89 7" xfId="36976"/>
    <cellStyle name="Prefilled 3 9" xfId="6941"/>
    <cellStyle name="Prefilled 3 9 2" xfId="36977"/>
    <cellStyle name="Prefilled 3 9 3" xfId="36978"/>
    <cellStyle name="Prefilled 3 9 4" xfId="36979"/>
    <cellStyle name="Prefilled 3 9 5" xfId="36980"/>
    <cellStyle name="Prefilled 3 9 6" xfId="36981"/>
    <cellStyle name="Prefilled 3 9 7" xfId="36982"/>
    <cellStyle name="Prefilled 3 90" xfId="6942"/>
    <cellStyle name="Prefilled 3 90 2" xfId="36983"/>
    <cellStyle name="Prefilled 3 90 3" xfId="36984"/>
    <cellStyle name="Prefilled 3 90 4" xfId="36985"/>
    <cellStyle name="Prefilled 3 90 5" xfId="36986"/>
    <cellStyle name="Prefilled 3 90 6" xfId="36987"/>
    <cellStyle name="Prefilled 3 90 7" xfId="36988"/>
    <cellStyle name="Prefilled 3 91" xfId="6943"/>
    <cellStyle name="Prefilled 3 91 2" xfId="36989"/>
    <cellStyle name="Prefilled 3 91 3" xfId="36990"/>
    <cellStyle name="Prefilled 3 91 4" xfId="36991"/>
    <cellStyle name="Prefilled 3 91 5" xfId="36992"/>
    <cellStyle name="Prefilled 3 91 6" xfId="36993"/>
    <cellStyle name="Prefilled 3 91 7" xfId="36994"/>
    <cellStyle name="Prefilled 3 92" xfId="6944"/>
    <cellStyle name="Prefilled 3 92 2" xfId="36995"/>
    <cellStyle name="Prefilled 3 92 3" xfId="36996"/>
    <cellStyle name="Prefilled 3 92 4" xfId="36997"/>
    <cellStyle name="Prefilled 3 92 5" xfId="36998"/>
    <cellStyle name="Prefilled 3 92 6" xfId="36999"/>
    <cellStyle name="Prefilled 3 92 7" xfId="37000"/>
    <cellStyle name="Prefilled 3 93" xfId="6945"/>
    <cellStyle name="Prefilled 3 93 2" xfId="37001"/>
    <cellStyle name="Prefilled 3 93 3" xfId="37002"/>
    <cellStyle name="Prefilled 3 93 4" xfId="37003"/>
    <cellStyle name="Prefilled 3 93 5" xfId="37004"/>
    <cellStyle name="Prefilled 3 93 6" xfId="37005"/>
    <cellStyle name="Prefilled 3 94" xfId="37006"/>
    <cellStyle name="Prefilled 3 95" xfId="37007"/>
    <cellStyle name="Prefilled 3 96" xfId="37008"/>
    <cellStyle name="Prefilled 3 97" xfId="37009"/>
    <cellStyle name="Prefilled 3 98" xfId="37010"/>
    <cellStyle name="Prefilled 3 99" xfId="37011"/>
    <cellStyle name="Prefilled 30" xfId="6946"/>
    <cellStyle name="Prefilled 30 2" xfId="37012"/>
    <cellStyle name="Prefilled 30 3" xfId="37013"/>
    <cellStyle name="Prefilled 30 4" xfId="37014"/>
    <cellStyle name="Prefilled 30 5" xfId="37015"/>
    <cellStyle name="Prefilled 30 6" xfId="37016"/>
    <cellStyle name="Prefilled 30 7" xfId="37017"/>
    <cellStyle name="Prefilled 31" xfId="6947"/>
    <cellStyle name="Prefilled 31 2" xfId="37018"/>
    <cellStyle name="Prefilled 31 3" xfId="37019"/>
    <cellStyle name="Prefilled 31 4" xfId="37020"/>
    <cellStyle name="Prefilled 31 5" xfId="37021"/>
    <cellStyle name="Prefilled 31 6" xfId="37022"/>
    <cellStyle name="Prefilled 31 7" xfId="37023"/>
    <cellStyle name="Prefilled 32" xfId="6948"/>
    <cellStyle name="Prefilled 32 2" xfId="37024"/>
    <cellStyle name="Prefilled 32 3" xfId="37025"/>
    <cellStyle name="Prefilled 32 4" xfId="37026"/>
    <cellStyle name="Prefilled 32 5" xfId="37027"/>
    <cellStyle name="Prefilled 32 6" xfId="37028"/>
    <cellStyle name="Prefilled 32 7" xfId="37029"/>
    <cellStyle name="Prefilled 33" xfId="6949"/>
    <cellStyle name="Prefilled 33 2" xfId="37030"/>
    <cellStyle name="Prefilled 33 3" xfId="37031"/>
    <cellStyle name="Prefilled 33 4" xfId="37032"/>
    <cellStyle name="Prefilled 33 5" xfId="37033"/>
    <cellStyle name="Prefilled 33 6" xfId="37034"/>
    <cellStyle name="Prefilled 33 7" xfId="37035"/>
    <cellStyle name="Prefilled 34" xfId="6950"/>
    <cellStyle name="Prefilled 34 2" xfId="37036"/>
    <cellStyle name="Prefilled 34 3" xfId="37037"/>
    <cellStyle name="Prefilled 34 4" xfId="37038"/>
    <cellStyle name="Prefilled 34 5" xfId="37039"/>
    <cellStyle name="Prefilled 34 6" xfId="37040"/>
    <cellStyle name="Prefilled 34 7" xfId="37041"/>
    <cellStyle name="Prefilled 35" xfId="6951"/>
    <cellStyle name="Prefilled 35 2" xfId="37042"/>
    <cellStyle name="Prefilled 35 3" xfId="37043"/>
    <cellStyle name="Prefilled 35 4" xfId="37044"/>
    <cellStyle name="Prefilled 35 5" xfId="37045"/>
    <cellStyle name="Prefilled 35 6" xfId="37046"/>
    <cellStyle name="Prefilled 35 7" xfId="37047"/>
    <cellStyle name="Prefilled 36" xfId="6952"/>
    <cellStyle name="Prefilled 36 2" xfId="37048"/>
    <cellStyle name="Prefilled 36 3" xfId="37049"/>
    <cellStyle name="Prefilled 36 4" xfId="37050"/>
    <cellStyle name="Prefilled 36 5" xfId="37051"/>
    <cellStyle name="Prefilled 36 6" xfId="37052"/>
    <cellStyle name="Prefilled 36 7" xfId="37053"/>
    <cellStyle name="Prefilled 37" xfId="6953"/>
    <cellStyle name="Prefilled 37 2" xfId="37054"/>
    <cellStyle name="Prefilled 37 3" xfId="37055"/>
    <cellStyle name="Prefilled 37 4" xfId="37056"/>
    <cellStyle name="Prefilled 37 5" xfId="37057"/>
    <cellStyle name="Prefilled 37 6" xfId="37058"/>
    <cellStyle name="Prefilled 37 7" xfId="37059"/>
    <cellStyle name="Prefilled 38" xfId="6954"/>
    <cellStyle name="Prefilled 38 2" xfId="37060"/>
    <cellStyle name="Prefilled 38 3" xfId="37061"/>
    <cellStyle name="Prefilled 38 4" xfId="37062"/>
    <cellStyle name="Prefilled 38 5" xfId="37063"/>
    <cellStyle name="Prefilled 38 6" xfId="37064"/>
    <cellStyle name="Prefilled 38 7" xfId="37065"/>
    <cellStyle name="Prefilled 39" xfId="6955"/>
    <cellStyle name="Prefilled 39 2" xfId="37066"/>
    <cellStyle name="Prefilled 39 3" xfId="37067"/>
    <cellStyle name="Prefilled 39 4" xfId="37068"/>
    <cellStyle name="Prefilled 39 5" xfId="37069"/>
    <cellStyle name="Prefilled 39 6" xfId="37070"/>
    <cellStyle name="Prefilled 39 7" xfId="37071"/>
    <cellStyle name="Prefilled 4" xfId="6956"/>
    <cellStyle name="Prefilled 4 10" xfId="6957"/>
    <cellStyle name="Prefilled 4 10 2" xfId="37072"/>
    <cellStyle name="Prefilled 4 10 3" xfId="37073"/>
    <cellStyle name="Prefilled 4 10 4" xfId="37074"/>
    <cellStyle name="Prefilled 4 10 5" xfId="37075"/>
    <cellStyle name="Prefilled 4 10 6" xfId="37076"/>
    <cellStyle name="Prefilled 4 10 7" xfId="37077"/>
    <cellStyle name="Prefilled 4 100" xfId="37078"/>
    <cellStyle name="Prefilled 4 101" xfId="37079"/>
    <cellStyle name="Prefilled 4 102" xfId="37080"/>
    <cellStyle name="Prefilled 4 11" xfId="6958"/>
    <cellStyle name="Prefilled 4 11 2" xfId="37081"/>
    <cellStyle name="Prefilled 4 11 3" xfId="37082"/>
    <cellStyle name="Prefilled 4 11 4" xfId="37083"/>
    <cellStyle name="Prefilled 4 11 5" xfId="37084"/>
    <cellStyle name="Prefilled 4 11 6" xfId="37085"/>
    <cellStyle name="Prefilled 4 11 7" xfId="37086"/>
    <cellStyle name="Prefilled 4 12" xfId="6959"/>
    <cellStyle name="Prefilled 4 12 2" xfId="37087"/>
    <cellStyle name="Prefilled 4 12 3" xfId="37088"/>
    <cellStyle name="Prefilled 4 12 4" xfId="37089"/>
    <cellStyle name="Prefilled 4 12 5" xfId="37090"/>
    <cellStyle name="Prefilled 4 12 6" xfId="37091"/>
    <cellStyle name="Prefilled 4 12 7" xfId="37092"/>
    <cellStyle name="Prefilled 4 13" xfId="6960"/>
    <cellStyle name="Prefilled 4 13 2" xfId="37093"/>
    <cellStyle name="Prefilled 4 13 3" xfId="37094"/>
    <cellStyle name="Prefilled 4 13 4" xfId="37095"/>
    <cellStyle name="Prefilled 4 13 5" xfId="37096"/>
    <cellStyle name="Prefilled 4 13 6" xfId="37097"/>
    <cellStyle name="Prefilled 4 13 7" xfId="37098"/>
    <cellStyle name="Prefilled 4 14" xfId="6961"/>
    <cellStyle name="Prefilled 4 14 2" xfId="37099"/>
    <cellStyle name="Prefilled 4 14 3" xfId="37100"/>
    <cellStyle name="Prefilled 4 14 4" xfId="37101"/>
    <cellStyle name="Prefilled 4 14 5" xfId="37102"/>
    <cellStyle name="Prefilled 4 14 6" xfId="37103"/>
    <cellStyle name="Prefilled 4 14 7" xfId="37104"/>
    <cellStyle name="Prefilled 4 15" xfId="6962"/>
    <cellStyle name="Prefilled 4 15 2" xfId="37105"/>
    <cellStyle name="Prefilled 4 15 3" xfId="37106"/>
    <cellStyle name="Prefilled 4 15 4" xfId="37107"/>
    <cellStyle name="Prefilled 4 15 5" xfId="37108"/>
    <cellStyle name="Prefilled 4 15 6" xfId="37109"/>
    <cellStyle name="Prefilled 4 15 7" xfId="37110"/>
    <cellStyle name="Prefilled 4 16" xfId="6963"/>
    <cellStyle name="Prefilled 4 16 2" xfId="37111"/>
    <cellStyle name="Prefilled 4 16 3" xfId="37112"/>
    <cellStyle name="Prefilled 4 16 4" xfId="37113"/>
    <cellStyle name="Prefilled 4 16 5" xfId="37114"/>
    <cellStyle name="Prefilled 4 16 6" xfId="37115"/>
    <cellStyle name="Prefilled 4 16 7" xfId="37116"/>
    <cellStyle name="Prefilled 4 17" xfId="6964"/>
    <cellStyle name="Prefilled 4 17 2" xfId="37117"/>
    <cellStyle name="Prefilled 4 17 3" xfId="37118"/>
    <cellStyle name="Prefilled 4 17 4" xfId="37119"/>
    <cellStyle name="Prefilled 4 17 5" xfId="37120"/>
    <cellStyle name="Prefilled 4 17 6" xfId="37121"/>
    <cellStyle name="Prefilled 4 17 7" xfId="37122"/>
    <cellStyle name="Prefilled 4 18" xfId="6965"/>
    <cellStyle name="Prefilled 4 18 2" xfId="37123"/>
    <cellStyle name="Prefilled 4 18 3" xfId="37124"/>
    <cellStyle name="Prefilled 4 18 4" xfId="37125"/>
    <cellStyle name="Prefilled 4 18 5" xfId="37126"/>
    <cellStyle name="Prefilled 4 18 6" xfId="37127"/>
    <cellStyle name="Prefilled 4 18 7" xfId="37128"/>
    <cellStyle name="Prefilled 4 19" xfId="6966"/>
    <cellStyle name="Prefilled 4 19 2" xfId="37129"/>
    <cellStyle name="Prefilled 4 19 3" xfId="37130"/>
    <cellStyle name="Prefilled 4 19 4" xfId="37131"/>
    <cellStyle name="Prefilled 4 19 5" xfId="37132"/>
    <cellStyle name="Prefilled 4 19 6" xfId="37133"/>
    <cellStyle name="Prefilled 4 19 7" xfId="37134"/>
    <cellStyle name="Prefilled 4 2" xfId="6967"/>
    <cellStyle name="Prefilled 4 2 10" xfId="37135"/>
    <cellStyle name="Prefilled 4 2 11" xfId="37136"/>
    <cellStyle name="Prefilled 4 2 2" xfId="37137"/>
    <cellStyle name="Prefilled 4 2 3" xfId="37138"/>
    <cellStyle name="Prefilled 4 2 4" xfId="37139"/>
    <cellStyle name="Prefilled 4 2 5" xfId="37140"/>
    <cellStyle name="Prefilled 4 2 6" xfId="37141"/>
    <cellStyle name="Prefilled 4 2 7" xfId="37142"/>
    <cellStyle name="Prefilled 4 2 8" xfId="37143"/>
    <cellStyle name="Prefilled 4 2 9" xfId="37144"/>
    <cellStyle name="Prefilled 4 20" xfId="6968"/>
    <cellStyle name="Prefilled 4 20 2" xfId="37145"/>
    <cellStyle name="Prefilled 4 20 3" xfId="37146"/>
    <cellStyle name="Prefilled 4 20 4" xfId="37147"/>
    <cellStyle name="Prefilled 4 20 5" xfId="37148"/>
    <cellStyle name="Prefilled 4 20 6" xfId="37149"/>
    <cellStyle name="Prefilled 4 20 7" xfId="37150"/>
    <cellStyle name="Prefilled 4 21" xfId="6969"/>
    <cellStyle name="Prefilled 4 21 2" xfId="37151"/>
    <cellStyle name="Prefilled 4 21 3" xfId="37152"/>
    <cellStyle name="Prefilled 4 21 4" xfId="37153"/>
    <cellStyle name="Prefilled 4 21 5" xfId="37154"/>
    <cellStyle name="Prefilled 4 21 6" xfId="37155"/>
    <cellStyle name="Prefilled 4 21 7" xfId="37156"/>
    <cellStyle name="Prefilled 4 22" xfId="6970"/>
    <cellStyle name="Prefilled 4 22 2" xfId="37157"/>
    <cellStyle name="Prefilled 4 22 3" xfId="37158"/>
    <cellStyle name="Prefilled 4 22 4" xfId="37159"/>
    <cellStyle name="Prefilled 4 22 5" xfId="37160"/>
    <cellStyle name="Prefilled 4 22 6" xfId="37161"/>
    <cellStyle name="Prefilled 4 22 7" xfId="37162"/>
    <cellStyle name="Prefilled 4 23" xfId="6971"/>
    <cellStyle name="Prefilled 4 23 2" xfId="37163"/>
    <cellStyle name="Prefilled 4 23 3" xfId="37164"/>
    <cellStyle name="Prefilled 4 23 4" xfId="37165"/>
    <cellStyle name="Prefilled 4 23 5" xfId="37166"/>
    <cellStyle name="Prefilled 4 23 6" xfId="37167"/>
    <cellStyle name="Prefilled 4 23 7" xfId="37168"/>
    <cellStyle name="Prefilled 4 24" xfId="6972"/>
    <cellStyle name="Prefilled 4 24 2" xfId="37169"/>
    <cellStyle name="Prefilled 4 24 3" xfId="37170"/>
    <cellStyle name="Prefilled 4 24 4" xfId="37171"/>
    <cellStyle name="Prefilled 4 24 5" xfId="37172"/>
    <cellStyle name="Prefilled 4 24 6" xfId="37173"/>
    <cellStyle name="Prefilled 4 24 7" xfId="37174"/>
    <cellStyle name="Prefilled 4 25" xfId="6973"/>
    <cellStyle name="Prefilled 4 25 2" xfId="37175"/>
    <cellStyle name="Prefilled 4 25 3" xfId="37176"/>
    <cellStyle name="Prefilled 4 25 4" xfId="37177"/>
    <cellStyle name="Prefilled 4 25 5" xfId="37178"/>
    <cellStyle name="Prefilled 4 25 6" xfId="37179"/>
    <cellStyle name="Prefilled 4 25 7" xfId="37180"/>
    <cellStyle name="Prefilled 4 26" xfId="6974"/>
    <cellStyle name="Prefilled 4 26 2" xfId="37181"/>
    <cellStyle name="Prefilled 4 26 3" xfId="37182"/>
    <cellStyle name="Prefilled 4 26 4" xfId="37183"/>
    <cellStyle name="Prefilled 4 26 5" xfId="37184"/>
    <cellStyle name="Prefilled 4 26 6" xfId="37185"/>
    <cellStyle name="Prefilled 4 26 7" xfId="37186"/>
    <cellStyle name="Prefilled 4 27" xfId="6975"/>
    <cellStyle name="Prefilled 4 27 2" xfId="37187"/>
    <cellStyle name="Prefilled 4 27 3" xfId="37188"/>
    <cellStyle name="Prefilled 4 27 4" xfId="37189"/>
    <cellStyle name="Prefilled 4 27 5" xfId="37190"/>
    <cellStyle name="Prefilled 4 27 6" xfId="37191"/>
    <cellStyle name="Prefilled 4 27 7" xfId="37192"/>
    <cellStyle name="Prefilled 4 28" xfId="6976"/>
    <cellStyle name="Prefilled 4 28 2" xfId="37193"/>
    <cellStyle name="Prefilled 4 28 3" xfId="37194"/>
    <cellStyle name="Prefilled 4 28 4" xfId="37195"/>
    <cellStyle name="Prefilled 4 28 5" xfId="37196"/>
    <cellStyle name="Prefilled 4 28 6" xfId="37197"/>
    <cellStyle name="Prefilled 4 28 7" xfId="37198"/>
    <cellStyle name="Prefilled 4 29" xfId="6977"/>
    <cellStyle name="Prefilled 4 29 2" xfId="37199"/>
    <cellStyle name="Prefilled 4 29 3" xfId="37200"/>
    <cellStyle name="Prefilled 4 29 4" xfId="37201"/>
    <cellStyle name="Prefilled 4 29 5" xfId="37202"/>
    <cellStyle name="Prefilled 4 29 6" xfId="37203"/>
    <cellStyle name="Prefilled 4 29 7" xfId="37204"/>
    <cellStyle name="Prefilled 4 3" xfId="6978"/>
    <cellStyle name="Prefilled 4 3 10" xfId="37205"/>
    <cellStyle name="Prefilled 4 3 2" xfId="37206"/>
    <cellStyle name="Prefilled 4 3 3" xfId="37207"/>
    <cellStyle name="Prefilled 4 3 4" xfId="37208"/>
    <cellStyle name="Prefilled 4 3 5" xfId="37209"/>
    <cellStyle name="Prefilled 4 3 6" xfId="37210"/>
    <cellStyle name="Prefilled 4 3 7" xfId="37211"/>
    <cellStyle name="Prefilled 4 3 8" xfId="37212"/>
    <cellStyle name="Prefilled 4 3 9" xfId="37213"/>
    <cellStyle name="Prefilled 4 30" xfId="6979"/>
    <cellStyle name="Prefilled 4 30 2" xfId="37214"/>
    <cellStyle name="Prefilled 4 30 3" xfId="37215"/>
    <cellStyle name="Prefilled 4 30 4" xfId="37216"/>
    <cellStyle name="Prefilled 4 30 5" xfId="37217"/>
    <cellStyle name="Prefilled 4 30 6" xfId="37218"/>
    <cellStyle name="Prefilled 4 30 7" xfId="37219"/>
    <cellStyle name="Prefilled 4 31" xfId="6980"/>
    <cellStyle name="Prefilled 4 31 2" xfId="37220"/>
    <cellStyle name="Prefilled 4 31 3" xfId="37221"/>
    <cellStyle name="Prefilled 4 31 4" xfId="37222"/>
    <cellStyle name="Prefilled 4 31 5" xfId="37223"/>
    <cellStyle name="Prefilled 4 31 6" xfId="37224"/>
    <cellStyle name="Prefilled 4 31 7" xfId="37225"/>
    <cellStyle name="Prefilled 4 32" xfId="6981"/>
    <cellStyle name="Prefilled 4 32 2" xfId="37226"/>
    <cellStyle name="Prefilled 4 32 3" xfId="37227"/>
    <cellStyle name="Prefilled 4 32 4" xfId="37228"/>
    <cellStyle name="Prefilled 4 32 5" xfId="37229"/>
    <cellStyle name="Prefilled 4 32 6" xfId="37230"/>
    <cellStyle name="Prefilled 4 32 7" xfId="37231"/>
    <cellStyle name="Prefilled 4 33" xfId="6982"/>
    <cellStyle name="Prefilled 4 33 2" xfId="37232"/>
    <cellStyle name="Prefilled 4 33 3" xfId="37233"/>
    <cellStyle name="Prefilled 4 33 4" xfId="37234"/>
    <cellStyle name="Prefilled 4 33 5" xfId="37235"/>
    <cellStyle name="Prefilled 4 33 6" xfId="37236"/>
    <cellStyle name="Prefilled 4 33 7" xfId="37237"/>
    <cellStyle name="Prefilled 4 34" xfId="6983"/>
    <cellStyle name="Prefilled 4 34 2" xfId="37238"/>
    <cellStyle name="Prefilled 4 34 3" xfId="37239"/>
    <cellStyle name="Prefilled 4 34 4" xfId="37240"/>
    <cellStyle name="Prefilled 4 34 5" xfId="37241"/>
    <cellStyle name="Prefilled 4 34 6" xfId="37242"/>
    <cellStyle name="Prefilled 4 34 7" xfId="37243"/>
    <cellStyle name="Prefilled 4 35" xfId="6984"/>
    <cellStyle name="Prefilled 4 35 2" xfId="37244"/>
    <cellStyle name="Prefilled 4 35 3" xfId="37245"/>
    <cellStyle name="Prefilled 4 35 4" xfId="37246"/>
    <cellStyle name="Prefilled 4 35 5" xfId="37247"/>
    <cellStyle name="Prefilled 4 35 6" xfId="37248"/>
    <cellStyle name="Prefilled 4 35 7" xfId="37249"/>
    <cellStyle name="Prefilled 4 36" xfId="6985"/>
    <cellStyle name="Prefilled 4 36 2" xfId="37250"/>
    <cellStyle name="Prefilled 4 36 3" xfId="37251"/>
    <cellStyle name="Prefilled 4 36 4" xfId="37252"/>
    <cellStyle name="Prefilled 4 36 5" xfId="37253"/>
    <cellStyle name="Prefilled 4 36 6" xfId="37254"/>
    <cellStyle name="Prefilled 4 36 7" xfId="37255"/>
    <cellStyle name="Prefilled 4 37" xfId="6986"/>
    <cellStyle name="Prefilled 4 37 2" xfId="37256"/>
    <cellStyle name="Prefilled 4 37 3" xfId="37257"/>
    <cellStyle name="Prefilled 4 37 4" xfId="37258"/>
    <cellStyle name="Prefilled 4 37 5" xfId="37259"/>
    <cellStyle name="Prefilled 4 37 6" xfId="37260"/>
    <cellStyle name="Prefilled 4 37 7" xfId="37261"/>
    <cellStyle name="Prefilled 4 38" xfId="6987"/>
    <cellStyle name="Prefilled 4 38 2" xfId="37262"/>
    <cellStyle name="Prefilled 4 38 3" xfId="37263"/>
    <cellStyle name="Prefilled 4 38 4" xfId="37264"/>
    <cellStyle name="Prefilled 4 38 5" xfId="37265"/>
    <cellStyle name="Prefilled 4 38 6" xfId="37266"/>
    <cellStyle name="Prefilled 4 38 7" xfId="37267"/>
    <cellStyle name="Prefilled 4 39" xfId="6988"/>
    <cellStyle name="Prefilled 4 39 2" xfId="37268"/>
    <cellStyle name="Prefilled 4 39 3" xfId="37269"/>
    <cellStyle name="Prefilled 4 39 4" xfId="37270"/>
    <cellStyle name="Prefilled 4 39 5" xfId="37271"/>
    <cellStyle name="Prefilled 4 39 6" xfId="37272"/>
    <cellStyle name="Prefilled 4 39 7" xfId="37273"/>
    <cellStyle name="Prefilled 4 4" xfId="6989"/>
    <cellStyle name="Prefilled 4 4 10" xfId="37274"/>
    <cellStyle name="Prefilled 4 4 2" xfId="37275"/>
    <cellStyle name="Prefilled 4 4 3" xfId="37276"/>
    <cellStyle name="Prefilled 4 4 4" xfId="37277"/>
    <cellStyle name="Prefilled 4 4 5" xfId="37278"/>
    <cellStyle name="Prefilled 4 4 6" xfId="37279"/>
    <cellStyle name="Prefilled 4 4 7" xfId="37280"/>
    <cellStyle name="Prefilled 4 4 8" xfId="37281"/>
    <cellStyle name="Prefilled 4 4 9" xfId="37282"/>
    <cellStyle name="Prefilled 4 40" xfId="6990"/>
    <cellStyle name="Prefilled 4 40 2" xfId="37283"/>
    <cellStyle name="Prefilled 4 40 3" xfId="37284"/>
    <cellStyle name="Prefilled 4 40 4" xfId="37285"/>
    <cellStyle name="Prefilled 4 40 5" xfId="37286"/>
    <cellStyle name="Prefilled 4 40 6" xfId="37287"/>
    <cellStyle name="Prefilled 4 40 7" xfId="37288"/>
    <cellStyle name="Prefilled 4 41" xfId="6991"/>
    <cellStyle name="Prefilled 4 41 2" xfId="37289"/>
    <cellStyle name="Prefilled 4 41 3" xfId="37290"/>
    <cellStyle name="Prefilled 4 41 4" xfId="37291"/>
    <cellStyle name="Prefilled 4 41 5" xfId="37292"/>
    <cellStyle name="Prefilled 4 41 6" xfId="37293"/>
    <cellStyle name="Prefilled 4 41 7" xfId="37294"/>
    <cellStyle name="Prefilled 4 42" xfId="6992"/>
    <cellStyle name="Prefilled 4 42 2" xfId="37295"/>
    <cellStyle name="Prefilled 4 42 3" xfId="37296"/>
    <cellStyle name="Prefilled 4 42 4" xfId="37297"/>
    <cellStyle name="Prefilled 4 42 5" xfId="37298"/>
    <cellStyle name="Prefilled 4 42 6" xfId="37299"/>
    <cellStyle name="Prefilled 4 42 7" xfId="37300"/>
    <cellStyle name="Prefilled 4 43" xfId="6993"/>
    <cellStyle name="Prefilled 4 43 2" xfId="37301"/>
    <cellStyle name="Prefilled 4 43 3" xfId="37302"/>
    <cellStyle name="Prefilled 4 43 4" xfId="37303"/>
    <cellStyle name="Prefilled 4 43 5" xfId="37304"/>
    <cellStyle name="Prefilled 4 43 6" xfId="37305"/>
    <cellStyle name="Prefilled 4 43 7" xfId="37306"/>
    <cellStyle name="Prefilled 4 44" xfId="6994"/>
    <cellStyle name="Prefilled 4 44 2" xfId="37307"/>
    <cellStyle name="Prefilled 4 44 3" xfId="37308"/>
    <cellStyle name="Prefilled 4 44 4" xfId="37309"/>
    <cellStyle name="Prefilled 4 44 5" xfId="37310"/>
    <cellStyle name="Prefilled 4 44 6" xfId="37311"/>
    <cellStyle name="Prefilled 4 44 7" xfId="37312"/>
    <cellStyle name="Prefilled 4 45" xfId="6995"/>
    <cellStyle name="Prefilled 4 45 2" xfId="37313"/>
    <cellStyle name="Prefilled 4 45 3" xfId="37314"/>
    <cellStyle name="Prefilled 4 45 4" xfId="37315"/>
    <cellStyle name="Prefilled 4 45 5" xfId="37316"/>
    <cellStyle name="Prefilled 4 45 6" xfId="37317"/>
    <cellStyle name="Prefilled 4 45 7" xfId="37318"/>
    <cellStyle name="Prefilled 4 46" xfId="6996"/>
    <cellStyle name="Prefilled 4 46 2" xfId="37319"/>
    <cellStyle name="Prefilled 4 46 3" xfId="37320"/>
    <cellStyle name="Prefilled 4 46 4" xfId="37321"/>
    <cellStyle name="Prefilled 4 46 5" xfId="37322"/>
    <cellStyle name="Prefilled 4 46 6" xfId="37323"/>
    <cellStyle name="Prefilled 4 46 7" xfId="37324"/>
    <cellStyle name="Prefilled 4 47" xfId="6997"/>
    <cellStyle name="Prefilled 4 47 2" xfId="37325"/>
    <cellStyle name="Prefilled 4 47 3" xfId="37326"/>
    <cellStyle name="Prefilled 4 47 4" xfId="37327"/>
    <cellStyle name="Prefilled 4 47 5" xfId="37328"/>
    <cellStyle name="Prefilled 4 47 6" xfId="37329"/>
    <cellStyle name="Prefilled 4 47 7" xfId="37330"/>
    <cellStyle name="Prefilled 4 48" xfId="6998"/>
    <cellStyle name="Prefilled 4 48 2" xfId="37331"/>
    <cellStyle name="Prefilled 4 48 3" xfId="37332"/>
    <cellStyle name="Prefilled 4 48 4" xfId="37333"/>
    <cellStyle name="Prefilled 4 48 5" xfId="37334"/>
    <cellStyle name="Prefilled 4 48 6" xfId="37335"/>
    <cellStyle name="Prefilled 4 48 7" xfId="37336"/>
    <cellStyle name="Prefilled 4 49" xfId="6999"/>
    <cellStyle name="Prefilled 4 49 2" xfId="37337"/>
    <cellStyle name="Prefilled 4 49 3" xfId="37338"/>
    <cellStyle name="Prefilled 4 49 4" xfId="37339"/>
    <cellStyle name="Prefilled 4 49 5" xfId="37340"/>
    <cellStyle name="Prefilled 4 49 6" xfId="37341"/>
    <cellStyle name="Prefilled 4 49 7" xfId="37342"/>
    <cellStyle name="Prefilled 4 5" xfId="7000"/>
    <cellStyle name="Prefilled 4 5 2" xfId="37343"/>
    <cellStyle name="Prefilled 4 5 3" xfId="37344"/>
    <cellStyle name="Prefilled 4 5 4" xfId="37345"/>
    <cellStyle name="Prefilled 4 5 5" xfId="37346"/>
    <cellStyle name="Prefilled 4 5 6" xfId="37347"/>
    <cellStyle name="Prefilled 4 5 7" xfId="37348"/>
    <cellStyle name="Prefilled 4 50" xfId="7001"/>
    <cellStyle name="Prefilled 4 50 2" xfId="37349"/>
    <cellStyle name="Prefilled 4 50 3" xfId="37350"/>
    <cellStyle name="Prefilled 4 50 4" xfId="37351"/>
    <cellStyle name="Prefilled 4 50 5" xfId="37352"/>
    <cellStyle name="Prefilled 4 50 6" xfId="37353"/>
    <cellStyle name="Prefilled 4 50 7" xfId="37354"/>
    <cellStyle name="Prefilled 4 51" xfId="7002"/>
    <cellStyle name="Prefilled 4 51 2" xfId="37355"/>
    <cellStyle name="Prefilled 4 51 3" xfId="37356"/>
    <cellStyle name="Prefilled 4 51 4" xfId="37357"/>
    <cellStyle name="Prefilled 4 51 5" xfId="37358"/>
    <cellStyle name="Prefilled 4 51 6" xfId="37359"/>
    <cellStyle name="Prefilled 4 51 7" xfId="37360"/>
    <cellStyle name="Prefilled 4 52" xfId="7003"/>
    <cellStyle name="Prefilled 4 52 2" xfId="37361"/>
    <cellStyle name="Prefilled 4 52 3" xfId="37362"/>
    <cellStyle name="Prefilled 4 52 4" xfId="37363"/>
    <cellStyle name="Prefilled 4 52 5" xfId="37364"/>
    <cellStyle name="Prefilled 4 52 6" xfId="37365"/>
    <cellStyle name="Prefilled 4 52 7" xfId="37366"/>
    <cellStyle name="Prefilled 4 53" xfId="7004"/>
    <cellStyle name="Prefilled 4 53 2" xfId="37367"/>
    <cellStyle name="Prefilled 4 53 3" xfId="37368"/>
    <cellStyle name="Prefilled 4 53 4" xfId="37369"/>
    <cellStyle name="Prefilled 4 53 5" xfId="37370"/>
    <cellStyle name="Prefilled 4 53 6" xfId="37371"/>
    <cellStyle name="Prefilled 4 53 7" xfId="37372"/>
    <cellStyle name="Prefilled 4 54" xfId="7005"/>
    <cellStyle name="Prefilled 4 54 2" xfId="37373"/>
    <cellStyle name="Prefilled 4 54 3" xfId="37374"/>
    <cellStyle name="Prefilled 4 54 4" xfId="37375"/>
    <cellStyle name="Prefilled 4 54 5" xfId="37376"/>
    <cellStyle name="Prefilled 4 54 6" xfId="37377"/>
    <cellStyle name="Prefilled 4 54 7" xfId="37378"/>
    <cellStyle name="Prefilled 4 55" xfId="7006"/>
    <cellStyle name="Prefilled 4 55 2" xfId="37379"/>
    <cellStyle name="Prefilled 4 55 3" xfId="37380"/>
    <cellStyle name="Prefilled 4 55 4" xfId="37381"/>
    <cellStyle name="Prefilled 4 55 5" xfId="37382"/>
    <cellStyle name="Prefilled 4 55 6" xfId="37383"/>
    <cellStyle name="Prefilled 4 55 7" xfId="37384"/>
    <cellStyle name="Prefilled 4 56" xfId="7007"/>
    <cellStyle name="Prefilled 4 56 2" xfId="37385"/>
    <cellStyle name="Prefilled 4 56 3" xfId="37386"/>
    <cellStyle name="Prefilled 4 56 4" xfId="37387"/>
    <cellStyle name="Prefilled 4 56 5" xfId="37388"/>
    <cellStyle name="Prefilled 4 56 6" xfId="37389"/>
    <cellStyle name="Prefilled 4 56 7" xfId="37390"/>
    <cellStyle name="Prefilled 4 57" xfId="7008"/>
    <cellStyle name="Prefilled 4 57 2" xfId="37391"/>
    <cellStyle name="Prefilled 4 57 3" xfId="37392"/>
    <cellStyle name="Prefilled 4 57 4" xfId="37393"/>
    <cellStyle name="Prefilled 4 57 5" xfId="37394"/>
    <cellStyle name="Prefilled 4 57 6" xfId="37395"/>
    <cellStyle name="Prefilled 4 57 7" xfId="37396"/>
    <cellStyle name="Prefilled 4 58" xfId="7009"/>
    <cellStyle name="Prefilled 4 58 2" xfId="37397"/>
    <cellStyle name="Prefilled 4 58 3" xfId="37398"/>
    <cellStyle name="Prefilled 4 58 4" xfId="37399"/>
    <cellStyle name="Prefilled 4 58 5" xfId="37400"/>
    <cellStyle name="Prefilled 4 58 6" xfId="37401"/>
    <cellStyle name="Prefilled 4 58 7" xfId="37402"/>
    <cellStyle name="Prefilled 4 59" xfId="7010"/>
    <cellStyle name="Prefilled 4 59 2" xfId="37403"/>
    <cellStyle name="Prefilled 4 59 3" xfId="37404"/>
    <cellStyle name="Prefilled 4 59 4" xfId="37405"/>
    <cellStyle name="Prefilled 4 59 5" xfId="37406"/>
    <cellStyle name="Prefilled 4 59 6" xfId="37407"/>
    <cellStyle name="Prefilled 4 59 7" xfId="37408"/>
    <cellStyle name="Prefilled 4 6" xfId="7011"/>
    <cellStyle name="Prefilled 4 6 2" xfId="37409"/>
    <cellStyle name="Prefilled 4 6 3" xfId="37410"/>
    <cellStyle name="Prefilled 4 6 4" xfId="37411"/>
    <cellStyle name="Prefilled 4 6 5" xfId="37412"/>
    <cellStyle name="Prefilled 4 6 6" xfId="37413"/>
    <cellStyle name="Prefilled 4 6 7" xfId="37414"/>
    <cellStyle name="Prefilled 4 60" xfId="7012"/>
    <cellStyle name="Prefilled 4 60 2" xfId="37415"/>
    <cellStyle name="Prefilled 4 60 3" xfId="37416"/>
    <cellStyle name="Prefilled 4 60 4" xfId="37417"/>
    <cellStyle name="Prefilled 4 60 5" xfId="37418"/>
    <cellStyle name="Prefilled 4 60 6" xfId="37419"/>
    <cellStyle name="Prefilled 4 60 7" xfId="37420"/>
    <cellStyle name="Prefilled 4 61" xfId="7013"/>
    <cellStyle name="Prefilled 4 61 2" xfId="37421"/>
    <cellStyle name="Prefilled 4 61 3" xfId="37422"/>
    <cellStyle name="Prefilled 4 61 4" xfId="37423"/>
    <cellStyle name="Prefilled 4 61 5" xfId="37424"/>
    <cellStyle name="Prefilled 4 61 6" xfId="37425"/>
    <cellStyle name="Prefilled 4 61 7" xfId="37426"/>
    <cellStyle name="Prefilled 4 62" xfId="7014"/>
    <cellStyle name="Prefilled 4 62 2" xfId="37427"/>
    <cellStyle name="Prefilled 4 62 3" xfId="37428"/>
    <cellStyle name="Prefilled 4 62 4" xfId="37429"/>
    <cellStyle name="Prefilled 4 62 5" xfId="37430"/>
    <cellStyle name="Prefilled 4 62 6" xfId="37431"/>
    <cellStyle name="Prefilled 4 62 7" xfId="37432"/>
    <cellStyle name="Prefilled 4 63" xfId="7015"/>
    <cellStyle name="Prefilled 4 63 2" xfId="37433"/>
    <cellStyle name="Prefilled 4 63 3" xfId="37434"/>
    <cellStyle name="Prefilled 4 63 4" xfId="37435"/>
    <cellStyle name="Prefilled 4 63 5" xfId="37436"/>
    <cellStyle name="Prefilled 4 63 6" xfId="37437"/>
    <cellStyle name="Prefilled 4 63 7" xfId="37438"/>
    <cellStyle name="Prefilled 4 64" xfId="7016"/>
    <cellStyle name="Prefilled 4 64 2" xfId="37439"/>
    <cellStyle name="Prefilled 4 64 3" xfId="37440"/>
    <cellStyle name="Prefilled 4 64 4" xfId="37441"/>
    <cellStyle name="Prefilled 4 64 5" xfId="37442"/>
    <cellStyle name="Prefilled 4 64 6" xfId="37443"/>
    <cellStyle name="Prefilled 4 64 7" xfId="37444"/>
    <cellStyle name="Prefilled 4 65" xfId="7017"/>
    <cellStyle name="Prefilled 4 65 2" xfId="37445"/>
    <cellStyle name="Prefilled 4 65 3" xfId="37446"/>
    <cellStyle name="Prefilled 4 65 4" xfId="37447"/>
    <cellStyle name="Prefilled 4 65 5" xfId="37448"/>
    <cellStyle name="Prefilled 4 65 6" xfId="37449"/>
    <cellStyle name="Prefilled 4 65 7" xfId="37450"/>
    <cellStyle name="Prefilled 4 66" xfId="7018"/>
    <cellStyle name="Prefilled 4 66 2" xfId="37451"/>
    <cellStyle name="Prefilled 4 66 3" xfId="37452"/>
    <cellStyle name="Prefilled 4 66 4" xfId="37453"/>
    <cellStyle name="Prefilled 4 66 5" xfId="37454"/>
    <cellStyle name="Prefilled 4 66 6" xfId="37455"/>
    <cellStyle name="Prefilled 4 66 7" xfId="37456"/>
    <cellStyle name="Prefilled 4 67" xfId="7019"/>
    <cellStyle name="Prefilled 4 67 2" xfId="37457"/>
    <cellStyle name="Prefilled 4 67 3" xfId="37458"/>
    <cellStyle name="Prefilled 4 67 4" xfId="37459"/>
    <cellStyle name="Prefilled 4 67 5" xfId="37460"/>
    <cellStyle name="Prefilled 4 67 6" xfId="37461"/>
    <cellStyle name="Prefilled 4 67 7" xfId="37462"/>
    <cellStyle name="Prefilled 4 68" xfId="7020"/>
    <cellStyle name="Prefilled 4 68 2" xfId="37463"/>
    <cellStyle name="Prefilled 4 68 3" xfId="37464"/>
    <cellStyle name="Prefilled 4 68 4" xfId="37465"/>
    <cellStyle name="Prefilled 4 68 5" xfId="37466"/>
    <cellStyle name="Prefilled 4 68 6" xfId="37467"/>
    <cellStyle name="Prefilled 4 68 7" xfId="37468"/>
    <cellStyle name="Prefilled 4 69" xfId="7021"/>
    <cellStyle name="Prefilled 4 69 2" xfId="37469"/>
    <cellStyle name="Prefilled 4 69 3" xfId="37470"/>
    <cellStyle name="Prefilled 4 69 4" xfId="37471"/>
    <cellStyle name="Prefilled 4 69 5" xfId="37472"/>
    <cellStyle name="Prefilled 4 69 6" xfId="37473"/>
    <cellStyle name="Prefilled 4 69 7" xfId="37474"/>
    <cellStyle name="Prefilled 4 7" xfId="7022"/>
    <cellStyle name="Prefilled 4 7 2" xfId="37475"/>
    <cellStyle name="Prefilled 4 7 3" xfId="37476"/>
    <cellStyle name="Prefilled 4 7 4" xfId="37477"/>
    <cellStyle name="Prefilled 4 7 5" xfId="37478"/>
    <cellStyle name="Prefilled 4 7 6" xfId="37479"/>
    <cellStyle name="Prefilled 4 7 7" xfId="37480"/>
    <cellStyle name="Prefilled 4 70" xfId="7023"/>
    <cellStyle name="Prefilled 4 70 2" xfId="37481"/>
    <cellStyle name="Prefilled 4 70 3" xfId="37482"/>
    <cellStyle name="Prefilled 4 70 4" xfId="37483"/>
    <cellStyle name="Prefilled 4 70 5" xfId="37484"/>
    <cellStyle name="Prefilled 4 70 6" xfId="37485"/>
    <cellStyle name="Prefilled 4 70 7" xfId="37486"/>
    <cellStyle name="Prefilled 4 71" xfId="7024"/>
    <cellStyle name="Prefilled 4 71 2" xfId="37487"/>
    <cellStyle name="Prefilled 4 71 3" xfId="37488"/>
    <cellStyle name="Prefilled 4 71 4" xfId="37489"/>
    <cellStyle name="Prefilled 4 71 5" xfId="37490"/>
    <cellStyle name="Prefilled 4 71 6" xfId="37491"/>
    <cellStyle name="Prefilled 4 71 7" xfId="37492"/>
    <cellStyle name="Prefilled 4 72" xfId="7025"/>
    <cellStyle name="Prefilled 4 72 2" xfId="37493"/>
    <cellStyle name="Prefilled 4 72 3" xfId="37494"/>
    <cellStyle name="Prefilled 4 72 4" xfId="37495"/>
    <cellStyle name="Prefilled 4 72 5" xfId="37496"/>
    <cellStyle name="Prefilled 4 72 6" xfId="37497"/>
    <cellStyle name="Prefilled 4 72 7" xfId="37498"/>
    <cellStyle name="Prefilled 4 73" xfId="7026"/>
    <cellStyle name="Prefilled 4 73 2" xfId="37499"/>
    <cellStyle name="Prefilled 4 73 3" xfId="37500"/>
    <cellStyle name="Prefilled 4 73 4" xfId="37501"/>
    <cellStyle name="Prefilled 4 73 5" xfId="37502"/>
    <cellStyle name="Prefilled 4 73 6" xfId="37503"/>
    <cellStyle name="Prefilled 4 73 7" xfId="37504"/>
    <cellStyle name="Prefilled 4 74" xfId="7027"/>
    <cellStyle name="Prefilled 4 74 2" xfId="37505"/>
    <cellStyle name="Prefilled 4 74 3" xfId="37506"/>
    <cellStyle name="Prefilled 4 74 4" xfId="37507"/>
    <cellStyle name="Prefilled 4 74 5" xfId="37508"/>
    <cellStyle name="Prefilled 4 74 6" xfId="37509"/>
    <cellStyle name="Prefilled 4 74 7" xfId="37510"/>
    <cellStyle name="Prefilled 4 75" xfId="7028"/>
    <cellStyle name="Prefilled 4 75 2" xfId="37511"/>
    <cellStyle name="Prefilled 4 75 3" xfId="37512"/>
    <cellStyle name="Prefilled 4 75 4" xfId="37513"/>
    <cellStyle name="Prefilled 4 75 5" xfId="37514"/>
    <cellStyle name="Prefilled 4 75 6" xfId="37515"/>
    <cellStyle name="Prefilled 4 75 7" xfId="37516"/>
    <cellStyle name="Prefilled 4 76" xfId="7029"/>
    <cellStyle name="Prefilled 4 76 2" xfId="37517"/>
    <cellStyle name="Prefilled 4 76 3" xfId="37518"/>
    <cellStyle name="Prefilled 4 76 4" xfId="37519"/>
    <cellStyle name="Prefilled 4 76 5" xfId="37520"/>
    <cellStyle name="Prefilled 4 76 6" xfId="37521"/>
    <cellStyle name="Prefilled 4 76 7" xfId="37522"/>
    <cellStyle name="Prefilled 4 77" xfId="7030"/>
    <cellStyle name="Prefilled 4 77 2" xfId="37523"/>
    <cellStyle name="Prefilled 4 77 3" xfId="37524"/>
    <cellStyle name="Prefilled 4 77 4" xfId="37525"/>
    <cellStyle name="Prefilled 4 77 5" xfId="37526"/>
    <cellStyle name="Prefilled 4 77 6" xfId="37527"/>
    <cellStyle name="Prefilled 4 77 7" xfId="37528"/>
    <cellStyle name="Prefilled 4 78" xfId="7031"/>
    <cellStyle name="Prefilled 4 78 2" xfId="37529"/>
    <cellStyle name="Prefilled 4 78 3" xfId="37530"/>
    <cellStyle name="Prefilled 4 78 4" xfId="37531"/>
    <cellStyle name="Prefilled 4 78 5" xfId="37532"/>
    <cellStyle name="Prefilled 4 78 6" xfId="37533"/>
    <cellStyle name="Prefilled 4 78 7" xfId="37534"/>
    <cellStyle name="Prefilled 4 79" xfId="7032"/>
    <cellStyle name="Prefilled 4 79 2" xfId="37535"/>
    <cellStyle name="Prefilled 4 79 3" xfId="37536"/>
    <cellStyle name="Prefilled 4 79 4" xfId="37537"/>
    <cellStyle name="Prefilled 4 79 5" xfId="37538"/>
    <cellStyle name="Prefilled 4 79 6" xfId="37539"/>
    <cellStyle name="Prefilled 4 79 7" xfId="37540"/>
    <cellStyle name="Prefilled 4 8" xfId="7033"/>
    <cellStyle name="Prefilled 4 8 2" xfId="37541"/>
    <cellStyle name="Prefilled 4 8 3" xfId="37542"/>
    <cellStyle name="Prefilled 4 8 4" xfId="37543"/>
    <cellStyle name="Prefilled 4 8 5" xfId="37544"/>
    <cellStyle name="Prefilled 4 8 6" xfId="37545"/>
    <cellStyle name="Prefilled 4 8 7" xfId="37546"/>
    <cellStyle name="Prefilled 4 80" xfId="7034"/>
    <cellStyle name="Prefilled 4 80 2" xfId="37547"/>
    <cellStyle name="Prefilled 4 80 3" xfId="37548"/>
    <cellStyle name="Prefilled 4 80 4" xfId="37549"/>
    <cellStyle name="Prefilled 4 80 5" xfId="37550"/>
    <cellStyle name="Prefilled 4 80 6" xfId="37551"/>
    <cellStyle name="Prefilled 4 80 7" xfId="37552"/>
    <cellStyle name="Prefilled 4 81" xfId="7035"/>
    <cellStyle name="Prefilled 4 81 2" xfId="37553"/>
    <cellStyle name="Prefilled 4 81 3" xfId="37554"/>
    <cellStyle name="Prefilled 4 81 4" xfId="37555"/>
    <cellStyle name="Prefilled 4 81 5" xfId="37556"/>
    <cellStyle name="Prefilled 4 81 6" xfId="37557"/>
    <cellStyle name="Prefilled 4 81 7" xfId="37558"/>
    <cellStyle name="Prefilled 4 82" xfId="7036"/>
    <cellStyle name="Prefilled 4 82 2" xfId="37559"/>
    <cellStyle name="Prefilled 4 82 3" xfId="37560"/>
    <cellStyle name="Prefilled 4 82 4" xfId="37561"/>
    <cellStyle name="Prefilled 4 82 5" xfId="37562"/>
    <cellStyle name="Prefilled 4 82 6" xfId="37563"/>
    <cellStyle name="Prefilled 4 82 7" xfId="37564"/>
    <cellStyle name="Prefilled 4 83" xfId="7037"/>
    <cellStyle name="Prefilled 4 83 2" xfId="37565"/>
    <cellStyle name="Prefilled 4 83 3" xfId="37566"/>
    <cellStyle name="Prefilled 4 83 4" xfId="37567"/>
    <cellStyle name="Prefilled 4 83 5" xfId="37568"/>
    <cellStyle name="Prefilled 4 83 6" xfId="37569"/>
    <cellStyle name="Prefilled 4 83 7" xfId="37570"/>
    <cellStyle name="Prefilled 4 84" xfId="7038"/>
    <cellStyle name="Prefilled 4 84 2" xfId="37571"/>
    <cellStyle name="Prefilled 4 84 3" xfId="37572"/>
    <cellStyle name="Prefilled 4 84 4" xfId="37573"/>
    <cellStyle name="Prefilled 4 84 5" xfId="37574"/>
    <cellStyle name="Prefilled 4 84 6" xfId="37575"/>
    <cellStyle name="Prefilled 4 84 7" xfId="37576"/>
    <cellStyle name="Prefilled 4 85" xfId="7039"/>
    <cellStyle name="Prefilled 4 85 2" xfId="37577"/>
    <cellStyle name="Prefilled 4 85 3" xfId="37578"/>
    <cellStyle name="Prefilled 4 85 4" xfId="37579"/>
    <cellStyle name="Prefilled 4 85 5" xfId="37580"/>
    <cellStyle name="Prefilled 4 85 6" xfId="37581"/>
    <cellStyle name="Prefilled 4 85 7" xfId="37582"/>
    <cellStyle name="Prefilled 4 86" xfId="7040"/>
    <cellStyle name="Prefilled 4 86 2" xfId="37583"/>
    <cellStyle name="Prefilled 4 86 3" xfId="37584"/>
    <cellStyle name="Prefilled 4 86 4" xfId="37585"/>
    <cellStyle name="Prefilled 4 86 5" xfId="37586"/>
    <cellStyle name="Prefilled 4 86 6" xfId="37587"/>
    <cellStyle name="Prefilled 4 86 7" xfId="37588"/>
    <cellStyle name="Prefilled 4 87" xfId="7041"/>
    <cellStyle name="Prefilled 4 87 2" xfId="37589"/>
    <cellStyle name="Prefilled 4 87 3" xfId="37590"/>
    <cellStyle name="Prefilled 4 87 4" xfId="37591"/>
    <cellStyle name="Prefilled 4 87 5" xfId="37592"/>
    <cellStyle name="Prefilled 4 87 6" xfId="37593"/>
    <cellStyle name="Prefilled 4 87 7" xfId="37594"/>
    <cellStyle name="Prefilled 4 88" xfId="7042"/>
    <cellStyle name="Prefilled 4 88 2" xfId="37595"/>
    <cellStyle name="Prefilled 4 88 3" xfId="37596"/>
    <cellStyle name="Prefilled 4 88 4" xfId="37597"/>
    <cellStyle name="Prefilled 4 88 5" xfId="37598"/>
    <cellStyle name="Prefilled 4 88 6" xfId="37599"/>
    <cellStyle name="Prefilled 4 88 7" xfId="37600"/>
    <cellStyle name="Prefilled 4 89" xfId="7043"/>
    <cellStyle name="Prefilled 4 89 2" xfId="37601"/>
    <cellStyle name="Prefilled 4 89 3" xfId="37602"/>
    <cellStyle name="Prefilled 4 89 4" xfId="37603"/>
    <cellStyle name="Prefilled 4 89 5" xfId="37604"/>
    <cellStyle name="Prefilled 4 89 6" xfId="37605"/>
    <cellStyle name="Prefilled 4 89 7" xfId="37606"/>
    <cellStyle name="Prefilled 4 9" xfId="7044"/>
    <cellStyle name="Prefilled 4 9 2" xfId="37607"/>
    <cellStyle name="Prefilled 4 9 3" xfId="37608"/>
    <cellStyle name="Prefilled 4 9 4" xfId="37609"/>
    <cellStyle name="Prefilled 4 9 5" xfId="37610"/>
    <cellStyle name="Prefilled 4 9 6" xfId="37611"/>
    <cellStyle name="Prefilled 4 9 7" xfId="37612"/>
    <cellStyle name="Prefilled 4 90" xfId="7045"/>
    <cellStyle name="Prefilled 4 90 2" xfId="37613"/>
    <cellStyle name="Prefilled 4 90 3" xfId="37614"/>
    <cellStyle name="Prefilled 4 90 4" xfId="37615"/>
    <cellStyle name="Prefilled 4 90 5" xfId="37616"/>
    <cellStyle name="Prefilled 4 90 6" xfId="37617"/>
    <cellStyle name="Prefilled 4 90 7" xfId="37618"/>
    <cellStyle name="Prefilled 4 91" xfId="7046"/>
    <cellStyle name="Prefilled 4 91 2" xfId="37619"/>
    <cellStyle name="Prefilled 4 91 3" xfId="37620"/>
    <cellStyle name="Prefilled 4 91 4" xfId="37621"/>
    <cellStyle name="Prefilled 4 91 5" xfId="37622"/>
    <cellStyle name="Prefilled 4 91 6" xfId="37623"/>
    <cellStyle name="Prefilled 4 91 7" xfId="37624"/>
    <cellStyle name="Prefilled 4 92" xfId="7047"/>
    <cellStyle name="Prefilled 4 92 2" xfId="37625"/>
    <cellStyle name="Prefilled 4 92 3" xfId="37626"/>
    <cellStyle name="Prefilled 4 92 4" xfId="37627"/>
    <cellStyle name="Prefilled 4 92 5" xfId="37628"/>
    <cellStyle name="Prefilled 4 92 6" xfId="37629"/>
    <cellStyle name="Prefilled 4 92 7" xfId="37630"/>
    <cellStyle name="Prefilled 4 93" xfId="7048"/>
    <cellStyle name="Prefilled 4 93 2" xfId="37631"/>
    <cellStyle name="Prefilled 4 93 3" xfId="37632"/>
    <cellStyle name="Prefilled 4 93 4" xfId="37633"/>
    <cellStyle name="Prefilled 4 93 5" xfId="37634"/>
    <cellStyle name="Prefilled 4 93 6" xfId="37635"/>
    <cellStyle name="Prefilled 4 94" xfId="37636"/>
    <cellStyle name="Prefilled 4 95" xfId="37637"/>
    <cellStyle name="Prefilled 4 96" xfId="37638"/>
    <cellStyle name="Prefilled 4 97" xfId="37639"/>
    <cellStyle name="Prefilled 4 98" xfId="37640"/>
    <cellStyle name="Prefilled 4 99" xfId="37641"/>
    <cellStyle name="Prefilled 40" xfId="7049"/>
    <cellStyle name="Prefilled 40 2" xfId="37642"/>
    <cellStyle name="Prefilled 40 3" xfId="37643"/>
    <cellStyle name="Prefilled 40 4" xfId="37644"/>
    <cellStyle name="Prefilled 40 5" xfId="37645"/>
    <cellStyle name="Prefilled 40 6" xfId="37646"/>
    <cellStyle name="Prefilled 40 7" xfId="37647"/>
    <cellStyle name="Prefilled 41" xfId="7050"/>
    <cellStyle name="Prefilled 41 2" xfId="37648"/>
    <cellStyle name="Prefilled 41 3" xfId="37649"/>
    <cellStyle name="Prefilled 41 4" xfId="37650"/>
    <cellStyle name="Prefilled 41 5" xfId="37651"/>
    <cellStyle name="Prefilled 41 6" xfId="37652"/>
    <cellStyle name="Prefilled 41 7" xfId="37653"/>
    <cellStyle name="Prefilled 42" xfId="7051"/>
    <cellStyle name="Prefilled 42 2" xfId="37654"/>
    <cellStyle name="Prefilled 42 3" xfId="37655"/>
    <cellStyle name="Prefilled 42 4" xfId="37656"/>
    <cellStyle name="Prefilled 42 5" xfId="37657"/>
    <cellStyle name="Prefilled 42 6" xfId="37658"/>
    <cellStyle name="Prefilled 42 7" xfId="37659"/>
    <cellStyle name="Prefilled 43" xfId="7052"/>
    <cellStyle name="Prefilled 43 2" xfId="37660"/>
    <cellStyle name="Prefilled 43 3" xfId="37661"/>
    <cellStyle name="Prefilled 43 4" xfId="37662"/>
    <cellStyle name="Prefilled 43 5" xfId="37663"/>
    <cellStyle name="Prefilled 43 6" xfId="37664"/>
    <cellStyle name="Prefilled 43 7" xfId="37665"/>
    <cellStyle name="Prefilled 44" xfId="7053"/>
    <cellStyle name="Prefilled 44 2" xfId="37666"/>
    <cellStyle name="Prefilled 44 3" xfId="37667"/>
    <cellStyle name="Prefilled 44 4" xfId="37668"/>
    <cellStyle name="Prefilled 44 5" xfId="37669"/>
    <cellStyle name="Prefilled 44 6" xfId="37670"/>
    <cellStyle name="Prefilled 44 7" xfId="37671"/>
    <cellStyle name="Prefilled 45" xfId="7054"/>
    <cellStyle name="Prefilled 45 2" xfId="37672"/>
    <cellStyle name="Prefilled 45 3" xfId="37673"/>
    <cellStyle name="Prefilled 45 4" xfId="37674"/>
    <cellStyle name="Prefilled 45 5" xfId="37675"/>
    <cellStyle name="Prefilled 45 6" xfId="37676"/>
    <cellStyle name="Prefilled 45 7" xfId="37677"/>
    <cellStyle name="Prefilled 46" xfId="7055"/>
    <cellStyle name="Prefilled 46 2" xfId="37678"/>
    <cellStyle name="Prefilled 46 3" xfId="37679"/>
    <cellStyle name="Prefilled 46 4" xfId="37680"/>
    <cellStyle name="Prefilled 46 5" xfId="37681"/>
    <cellStyle name="Prefilled 46 6" xfId="37682"/>
    <cellStyle name="Prefilled 46 7" xfId="37683"/>
    <cellStyle name="Prefilled 47" xfId="7056"/>
    <cellStyle name="Prefilled 47 2" xfId="37684"/>
    <cellStyle name="Prefilled 47 3" xfId="37685"/>
    <cellStyle name="Prefilled 47 4" xfId="37686"/>
    <cellStyle name="Prefilled 47 5" xfId="37687"/>
    <cellStyle name="Prefilled 47 6" xfId="37688"/>
    <cellStyle name="Prefilled 47 7" xfId="37689"/>
    <cellStyle name="Prefilled 48" xfId="7057"/>
    <cellStyle name="Prefilled 48 2" xfId="37690"/>
    <cellStyle name="Prefilled 48 3" xfId="37691"/>
    <cellStyle name="Prefilled 48 4" xfId="37692"/>
    <cellStyle name="Prefilled 48 5" xfId="37693"/>
    <cellStyle name="Prefilled 48 6" xfId="37694"/>
    <cellStyle name="Prefilled 48 7" xfId="37695"/>
    <cellStyle name="Prefilled 49" xfId="7058"/>
    <cellStyle name="Prefilled 49 2" xfId="37696"/>
    <cellStyle name="Prefilled 49 3" xfId="37697"/>
    <cellStyle name="Prefilled 49 4" xfId="37698"/>
    <cellStyle name="Prefilled 49 5" xfId="37699"/>
    <cellStyle name="Prefilled 49 6" xfId="37700"/>
    <cellStyle name="Prefilled 49 7" xfId="37701"/>
    <cellStyle name="Prefilled 5" xfId="7059"/>
    <cellStyle name="Prefilled 5 10" xfId="7060"/>
    <cellStyle name="Prefilled 5 10 2" xfId="37702"/>
    <cellStyle name="Prefilled 5 10 3" xfId="37703"/>
    <cellStyle name="Prefilled 5 10 4" xfId="37704"/>
    <cellStyle name="Prefilled 5 10 5" xfId="37705"/>
    <cellStyle name="Prefilled 5 10 6" xfId="37706"/>
    <cellStyle name="Prefilled 5 10 7" xfId="37707"/>
    <cellStyle name="Prefilled 5 100" xfId="37708"/>
    <cellStyle name="Prefilled 5 101" xfId="37709"/>
    <cellStyle name="Prefilled 5 102" xfId="37710"/>
    <cellStyle name="Prefilled 5 11" xfId="7061"/>
    <cellStyle name="Prefilled 5 11 2" xfId="37711"/>
    <cellStyle name="Prefilled 5 11 3" xfId="37712"/>
    <cellStyle name="Prefilled 5 11 4" xfId="37713"/>
    <cellStyle name="Prefilled 5 11 5" xfId="37714"/>
    <cellStyle name="Prefilled 5 11 6" xfId="37715"/>
    <cellStyle name="Prefilled 5 11 7" xfId="37716"/>
    <cellStyle name="Prefilled 5 12" xfId="7062"/>
    <cellStyle name="Prefilled 5 12 2" xfId="37717"/>
    <cellStyle name="Prefilled 5 12 3" xfId="37718"/>
    <cellStyle name="Prefilled 5 12 4" xfId="37719"/>
    <cellStyle name="Prefilled 5 12 5" xfId="37720"/>
    <cellStyle name="Prefilled 5 12 6" xfId="37721"/>
    <cellStyle name="Prefilled 5 12 7" xfId="37722"/>
    <cellStyle name="Prefilled 5 13" xfId="7063"/>
    <cellStyle name="Prefilled 5 13 2" xfId="37723"/>
    <cellStyle name="Prefilled 5 13 3" xfId="37724"/>
    <cellStyle name="Prefilled 5 13 4" xfId="37725"/>
    <cellStyle name="Prefilled 5 13 5" xfId="37726"/>
    <cellStyle name="Prefilled 5 13 6" xfId="37727"/>
    <cellStyle name="Prefilled 5 13 7" xfId="37728"/>
    <cellStyle name="Prefilled 5 14" xfId="7064"/>
    <cellStyle name="Prefilled 5 14 2" xfId="37729"/>
    <cellStyle name="Prefilled 5 14 3" xfId="37730"/>
    <cellStyle name="Prefilled 5 14 4" xfId="37731"/>
    <cellStyle name="Prefilled 5 14 5" xfId="37732"/>
    <cellStyle name="Prefilled 5 14 6" xfId="37733"/>
    <cellStyle name="Prefilled 5 14 7" xfId="37734"/>
    <cellStyle name="Prefilled 5 15" xfId="7065"/>
    <cellStyle name="Prefilled 5 15 2" xfId="37735"/>
    <cellStyle name="Prefilled 5 15 3" xfId="37736"/>
    <cellStyle name="Prefilled 5 15 4" xfId="37737"/>
    <cellStyle name="Prefilled 5 15 5" xfId="37738"/>
    <cellStyle name="Prefilled 5 15 6" xfId="37739"/>
    <cellStyle name="Prefilled 5 15 7" xfId="37740"/>
    <cellStyle name="Prefilled 5 16" xfId="7066"/>
    <cellStyle name="Prefilled 5 16 2" xfId="37741"/>
    <cellStyle name="Prefilled 5 16 3" xfId="37742"/>
    <cellStyle name="Prefilled 5 16 4" xfId="37743"/>
    <cellStyle name="Prefilled 5 16 5" xfId="37744"/>
    <cellStyle name="Prefilled 5 16 6" xfId="37745"/>
    <cellStyle name="Prefilled 5 16 7" xfId="37746"/>
    <cellStyle name="Prefilled 5 17" xfId="7067"/>
    <cellStyle name="Prefilled 5 17 2" xfId="37747"/>
    <cellStyle name="Prefilled 5 17 3" xfId="37748"/>
    <cellStyle name="Prefilled 5 17 4" xfId="37749"/>
    <cellStyle name="Prefilled 5 17 5" xfId="37750"/>
    <cellStyle name="Prefilled 5 17 6" xfId="37751"/>
    <cellStyle name="Prefilled 5 17 7" xfId="37752"/>
    <cellStyle name="Prefilled 5 18" xfId="7068"/>
    <cellStyle name="Prefilled 5 18 2" xfId="37753"/>
    <cellStyle name="Prefilled 5 18 3" xfId="37754"/>
    <cellStyle name="Prefilled 5 18 4" xfId="37755"/>
    <cellStyle name="Prefilled 5 18 5" xfId="37756"/>
    <cellStyle name="Prefilled 5 18 6" xfId="37757"/>
    <cellStyle name="Prefilled 5 18 7" xfId="37758"/>
    <cellStyle name="Prefilled 5 19" xfId="7069"/>
    <cellStyle name="Prefilled 5 19 2" xfId="37759"/>
    <cellStyle name="Prefilled 5 19 3" xfId="37760"/>
    <cellStyle name="Prefilled 5 19 4" xfId="37761"/>
    <cellStyle name="Prefilled 5 19 5" xfId="37762"/>
    <cellStyle name="Prefilled 5 19 6" xfId="37763"/>
    <cellStyle name="Prefilled 5 19 7" xfId="37764"/>
    <cellStyle name="Prefilled 5 2" xfId="7070"/>
    <cellStyle name="Prefilled 5 2 10" xfId="37765"/>
    <cellStyle name="Prefilled 5 2 11" xfId="37766"/>
    <cellStyle name="Prefilled 5 2 2" xfId="37767"/>
    <cellStyle name="Prefilled 5 2 3" xfId="37768"/>
    <cellStyle name="Prefilled 5 2 4" xfId="37769"/>
    <cellStyle name="Prefilled 5 2 5" xfId="37770"/>
    <cellStyle name="Prefilled 5 2 6" xfId="37771"/>
    <cellStyle name="Prefilled 5 2 7" xfId="37772"/>
    <cellStyle name="Prefilled 5 2 8" xfId="37773"/>
    <cellStyle name="Prefilled 5 2 9" xfId="37774"/>
    <cellStyle name="Prefilled 5 20" xfId="7071"/>
    <cellStyle name="Prefilled 5 20 2" xfId="37775"/>
    <cellStyle name="Prefilled 5 20 3" xfId="37776"/>
    <cellStyle name="Prefilled 5 20 4" xfId="37777"/>
    <cellStyle name="Prefilled 5 20 5" xfId="37778"/>
    <cellStyle name="Prefilled 5 20 6" xfId="37779"/>
    <cellStyle name="Prefilled 5 20 7" xfId="37780"/>
    <cellStyle name="Prefilled 5 21" xfId="7072"/>
    <cellStyle name="Prefilled 5 21 2" xfId="37781"/>
    <cellStyle name="Prefilled 5 21 3" xfId="37782"/>
    <cellStyle name="Prefilled 5 21 4" xfId="37783"/>
    <cellStyle name="Prefilled 5 21 5" xfId="37784"/>
    <cellStyle name="Prefilled 5 21 6" xfId="37785"/>
    <cellStyle name="Prefilled 5 21 7" xfId="37786"/>
    <cellStyle name="Prefilled 5 22" xfId="7073"/>
    <cellStyle name="Prefilled 5 22 2" xfId="37787"/>
    <cellStyle name="Prefilled 5 22 3" xfId="37788"/>
    <cellStyle name="Prefilled 5 22 4" xfId="37789"/>
    <cellStyle name="Prefilled 5 22 5" xfId="37790"/>
    <cellStyle name="Prefilled 5 22 6" xfId="37791"/>
    <cellStyle name="Prefilled 5 22 7" xfId="37792"/>
    <cellStyle name="Prefilled 5 23" xfId="7074"/>
    <cellStyle name="Prefilled 5 23 2" xfId="37793"/>
    <cellStyle name="Prefilled 5 23 3" xfId="37794"/>
    <cellStyle name="Prefilled 5 23 4" xfId="37795"/>
    <cellStyle name="Prefilled 5 23 5" xfId="37796"/>
    <cellStyle name="Prefilled 5 23 6" xfId="37797"/>
    <cellStyle name="Prefilled 5 23 7" xfId="37798"/>
    <cellStyle name="Prefilled 5 24" xfId="7075"/>
    <cellStyle name="Prefilled 5 24 2" xfId="37799"/>
    <cellStyle name="Prefilled 5 24 3" xfId="37800"/>
    <cellStyle name="Prefilled 5 24 4" xfId="37801"/>
    <cellStyle name="Prefilled 5 24 5" xfId="37802"/>
    <cellStyle name="Prefilled 5 24 6" xfId="37803"/>
    <cellStyle name="Prefilled 5 24 7" xfId="37804"/>
    <cellStyle name="Prefilled 5 25" xfId="7076"/>
    <cellStyle name="Prefilled 5 25 2" xfId="37805"/>
    <cellStyle name="Prefilled 5 25 3" xfId="37806"/>
    <cellStyle name="Prefilled 5 25 4" xfId="37807"/>
    <cellStyle name="Prefilled 5 25 5" xfId="37808"/>
    <cellStyle name="Prefilled 5 25 6" xfId="37809"/>
    <cellStyle name="Prefilled 5 25 7" xfId="37810"/>
    <cellStyle name="Prefilled 5 26" xfId="7077"/>
    <cellStyle name="Prefilled 5 26 2" xfId="37811"/>
    <cellStyle name="Prefilled 5 26 3" xfId="37812"/>
    <cellStyle name="Prefilled 5 26 4" xfId="37813"/>
    <cellStyle name="Prefilled 5 26 5" xfId="37814"/>
    <cellStyle name="Prefilled 5 26 6" xfId="37815"/>
    <cellStyle name="Prefilled 5 26 7" xfId="37816"/>
    <cellStyle name="Prefilled 5 27" xfId="7078"/>
    <cellStyle name="Prefilled 5 27 2" xfId="37817"/>
    <cellStyle name="Prefilled 5 27 3" xfId="37818"/>
    <cellStyle name="Prefilled 5 27 4" xfId="37819"/>
    <cellStyle name="Prefilled 5 27 5" xfId="37820"/>
    <cellStyle name="Prefilled 5 27 6" xfId="37821"/>
    <cellStyle name="Prefilled 5 27 7" xfId="37822"/>
    <cellStyle name="Prefilled 5 28" xfId="7079"/>
    <cellStyle name="Prefilled 5 28 2" xfId="37823"/>
    <cellStyle name="Prefilled 5 28 3" xfId="37824"/>
    <cellStyle name="Prefilled 5 28 4" xfId="37825"/>
    <cellStyle name="Prefilled 5 28 5" xfId="37826"/>
    <cellStyle name="Prefilled 5 28 6" xfId="37827"/>
    <cellStyle name="Prefilled 5 28 7" xfId="37828"/>
    <cellStyle name="Prefilled 5 29" xfId="7080"/>
    <cellStyle name="Prefilled 5 29 2" xfId="37829"/>
    <cellStyle name="Prefilled 5 29 3" xfId="37830"/>
    <cellStyle name="Prefilled 5 29 4" xfId="37831"/>
    <cellStyle name="Prefilled 5 29 5" xfId="37832"/>
    <cellStyle name="Prefilled 5 29 6" xfId="37833"/>
    <cellStyle name="Prefilled 5 29 7" xfId="37834"/>
    <cellStyle name="Prefilled 5 3" xfId="7081"/>
    <cellStyle name="Prefilled 5 3 10" xfId="37835"/>
    <cellStyle name="Prefilled 5 3 2" xfId="37836"/>
    <cellStyle name="Prefilled 5 3 3" xfId="37837"/>
    <cellStyle name="Prefilled 5 3 4" xfId="37838"/>
    <cellStyle name="Prefilled 5 3 5" xfId="37839"/>
    <cellStyle name="Prefilled 5 3 6" xfId="37840"/>
    <cellStyle name="Prefilled 5 3 7" xfId="37841"/>
    <cellStyle name="Prefilled 5 3 8" xfId="37842"/>
    <cellStyle name="Prefilled 5 3 9" xfId="37843"/>
    <cellStyle name="Prefilled 5 30" xfId="7082"/>
    <cellStyle name="Prefilled 5 30 2" xfId="37844"/>
    <cellStyle name="Prefilled 5 30 3" xfId="37845"/>
    <cellStyle name="Prefilled 5 30 4" xfId="37846"/>
    <cellStyle name="Prefilled 5 30 5" xfId="37847"/>
    <cellStyle name="Prefilled 5 30 6" xfId="37848"/>
    <cellStyle name="Prefilled 5 30 7" xfId="37849"/>
    <cellStyle name="Prefilled 5 31" xfId="7083"/>
    <cellStyle name="Prefilled 5 31 2" xfId="37850"/>
    <cellStyle name="Prefilled 5 31 3" xfId="37851"/>
    <cellStyle name="Prefilled 5 31 4" xfId="37852"/>
    <cellStyle name="Prefilled 5 31 5" xfId="37853"/>
    <cellStyle name="Prefilled 5 31 6" xfId="37854"/>
    <cellStyle name="Prefilled 5 31 7" xfId="37855"/>
    <cellStyle name="Prefilled 5 32" xfId="7084"/>
    <cellStyle name="Prefilled 5 32 2" xfId="37856"/>
    <cellStyle name="Prefilled 5 32 3" xfId="37857"/>
    <cellStyle name="Prefilled 5 32 4" xfId="37858"/>
    <cellStyle name="Prefilled 5 32 5" xfId="37859"/>
    <cellStyle name="Prefilled 5 32 6" xfId="37860"/>
    <cellStyle name="Prefilled 5 32 7" xfId="37861"/>
    <cellStyle name="Prefilled 5 33" xfId="7085"/>
    <cellStyle name="Prefilled 5 33 2" xfId="37862"/>
    <cellStyle name="Prefilled 5 33 3" xfId="37863"/>
    <cellStyle name="Prefilled 5 33 4" xfId="37864"/>
    <cellStyle name="Prefilled 5 33 5" xfId="37865"/>
    <cellStyle name="Prefilled 5 33 6" xfId="37866"/>
    <cellStyle name="Prefilled 5 33 7" xfId="37867"/>
    <cellStyle name="Prefilled 5 34" xfId="7086"/>
    <cellStyle name="Prefilled 5 34 2" xfId="37868"/>
    <cellStyle name="Prefilled 5 34 3" xfId="37869"/>
    <cellStyle name="Prefilled 5 34 4" xfId="37870"/>
    <cellStyle name="Prefilled 5 34 5" xfId="37871"/>
    <cellStyle name="Prefilled 5 34 6" xfId="37872"/>
    <cellStyle name="Prefilled 5 34 7" xfId="37873"/>
    <cellStyle name="Prefilled 5 35" xfId="7087"/>
    <cellStyle name="Prefilled 5 35 2" xfId="37874"/>
    <cellStyle name="Prefilled 5 35 3" xfId="37875"/>
    <cellStyle name="Prefilled 5 35 4" xfId="37876"/>
    <cellStyle name="Prefilled 5 35 5" xfId="37877"/>
    <cellStyle name="Prefilled 5 35 6" xfId="37878"/>
    <cellStyle name="Prefilled 5 35 7" xfId="37879"/>
    <cellStyle name="Prefilled 5 36" xfId="7088"/>
    <cellStyle name="Prefilled 5 36 2" xfId="37880"/>
    <cellStyle name="Prefilled 5 36 3" xfId="37881"/>
    <cellStyle name="Prefilled 5 36 4" xfId="37882"/>
    <cellStyle name="Prefilled 5 36 5" xfId="37883"/>
    <cellStyle name="Prefilled 5 36 6" xfId="37884"/>
    <cellStyle name="Prefilled 5 36 7" xfId="37885"/>
    <cellStyle name="Prefilled 5 37" xfId="7089"/>
    <cellStyle name="Prefilled 5 37 2" xfId="37886"/>
    <cellStyle name="Prefilled 5 37 3" xfId="37887"/>
    <cellStyle name="Prefilled 5 37 4" xfId="37888"/>
    <cellStyle name="Prefilled 5 37 5" xfId="37889"/>
    <cellStyle name="Prefilled 5 37 6" xfId="37890"/>
    <cellStyle name="Prefilled 5 37 7" xfId="37891"/>
    <cellStyle name="Prefilled 5 38" xfId="7090"/>
    <cellStyle name="Prefilled 5 38 2" xfId="37892"/>
    <cellStyle name="Prefilled 5 38 3" xfId="37893"/>
    <cellStyle name="Prefilled 5 38 4" xfId="37894"/>
    <cellStyle name="Prefilled 5 38 5" xfId="37895"/>
    <cellStyle name="Prefilled 5 38 6" xfId="37896"/>
    <cellStyle name="Prefilled 5 38 7" xfId="37897"/>
    <cellStyle name="Prefilled 5 39" xfId="7091"/>
    <cellStyle name="Prefilled 5 39 2" xfId="37898"/>
    <cellStyle name="Prefilled 5 39 3" xfId="37899"/>
    <cellStyle name="Prefilled 5 39 4" xfId="37900"/>
    <cellStyle name="Prefilled 5 39 5" xfId="37901"/>
    <cellStyle name="Prefilled 5 39 6" xfId="37902"/>
    <cellStyle name="Prefilled 5 39 7" xfId="37903"/>
    <cellStyle name="Prefilled 5 4" xfId="7092"/>
    <cellStyle name="Prefilled 5 4 10" xfId="37904"/>
    <cellStyle name="Prefilled 5 4 2" xfId="37905"/>
    <cellStyle name="Prefilled 5 4 3" xfId="37906"/>
    <cellStyle name="Prefilled 5 4 4" xfId="37907"/>
    <cellStyle name="Prefilled 5 4 5" xfId="37908"/>
    <cellStyle name="Prefilled 5 4 6" xfId="37909"/>
    <cellStyle name="Prefilled 5 4 7" xfId="37910"/>
    <cellStyle name="Prefilled 5 4 8" xfId="37911"/>
    <cellStyle name="Prefilled 5 4 9" xfId="37912"/>
    <cellStyle name="Prefilled 5 40" xfId="7093"/>
    <cellStyle name="Prefilled 5 40 2" xfId="37913"/>
    <cellStyle name="Prefilled 5 40 3" xfId="37914"/>
    <cellStyle name="Prefilled 5 40 4" xfId="37915"/>
    <cellStyle name="Prefilled 5 40 5" xfId="37916"/>
    <cellStyle name="Prefilled 5 40 6" xfId="37917"/>
    <cellStyle name="Prefilled 5 40 7" xfId="37918"/>
    <cellStyle name="Prefilled 5 41" xfId="7094"/>
    <cellStyle name="Prefilled 5 41 2" xfId="37919"/>
    <cellStyle name="Prefilled 5 41 3" xfId="37920"/>
    <cellStyle name="Prefilled 5 41 4" xfId="37921"/>
    <cellStyle name="Prefilled 5 41 5" xfId="37922"/>
    <cellStyle name="Prefilled 5 41 6" xfId="37923"/>
    <cellStyle name="Prefilled 5 41 7" xfId="37924"/>
    <cellStyle name="Prefilled 5 42" xfId="7095"/>
    <cellStyle name="Prefilled 5 42 2" xfId="37925"/>
    <cellStyle name="Prefilled 5 42 3" xfId="37926"/>
    <cellStyle name="Prefilled 5 42 4" xfId="37927"/>
    <cellStyle name="Prefilled 5 42 5" xfId="37928"/>
    <cellStyle name="Prefilled 5 42 6" xfId="37929"/>
    <cellStyle name="Prefilled 5 42 7" xfId="37930"/>
    <cellStyle name="Prefilled 5 43" xfId="7096"/>
    <cellStyle name="Prefilled 5 43 2" xfId="37931"/>
    <cellStyle name="Prefilled 5 43 3" xfId="37932"/>
    <cellStyle name="Prefilled 5 43 4" xfId="37933"/>
    <cellStyle name="Prefilled 5 43 5" xfId="37934"/>
    <cellStyle name="Prefilled 5 43 6" xfId="37935"/>
    <cellStyle name="Prefilled 5 43 7" xfId="37936"/>
    <cellStyle name="Prefilled 5 44" xfId="7097"/>
    <cellStyle name="Prefilled 5 44 2" xfId="37937"/>
    <cellStyle name="Prefilled 5 44 3" xfId="37938"/>
    <cellStyle name="Prefilled 5 44 4" xfId="37939"/>
    <cellStyle name="Prefilled 5 44 5" xfId="37940"/>
    <cellStyle name="Prefilled 5 44 6" xfId="37941"/>
    <cellStyle name="Prefilled 5 44 7" xfId="37942"/>
    <cellStyle name="Prefilled 5 45" xfId="7098"/>
    <cellStyle name="Prefilled 5 45 2" xfId="37943"/>
    <cellStyle name="Prefilled 5 45 3" xfId="37944"/>
    <cellStyle name="Prefilled 5 45 4" xfId="37945"/>
    <cellStyle name="Prefilled 5 45 5" xfId="37946"/>
    <cellStyle name="Prefilled 5 45 6" xfId="37947"/>
    <cellStyle name="Prefilled 5 45 7" xfId="37948"/>
    <cellStyle name="Prefilled 5 46" xfId="7099"/>
    <cellStyle name="Prefilled 5 46 2" xfId="37949"/>
    <cellStyle name="Prefilled 5 46 3" xfId="37950"/>
    <cellStyle name="Prefilled 5 46 4" xfId="37951"/>
    <cellStyle name="Prefilled 5 46 5" xfId="37952"/>
    <cellStyle name="Prefilled 5 46 6" xfId="37953"/>
    <cellStyle name="Prefilled 5 46 7" xfId="37954"/>
    <cellStyle name="Prefilled 5 47" xfId="7100"/>
    <cellStyle name="Prefilled 5 47 2" xfId="37955"/>
    <cellStyle name="Prefilled 5 47 3" xfId="37956"/>
    <cellStyle name="Prefilled 5 47 4" xfId="37957"/>
    <cellStyle name="Prefilled 5 47 5" xfId="37958"/>
    <cellStyle name="Prefilled 5 47 6" xfId="37959"/>
    <cellStyle name="Prefilled 5 47 7" xfId="37960"/>
    <cellStyle name="Prefilled 5 48" xfId="7101"/>
    <cellStyle name="Prefilled 5 48 2" xfId="37961"/>
    <cellStyle name="Prefilled 5 48 3" xfId="37962"/>
    <cellStyle name="Prefilled 5 48 4" xfId="37963"/>
    <cellStyle name="Prefilled 5 48 5" xfId="37964"/>
    <cellStyle name="Prefilled 5 48 6" xfId="37965"/>
    <cellStyle name="Prefilled 5 48 7" xfId="37966"/>
    <cellStyle name="Prefilled 5 49" xfId="7102"/>
    <cellStyle name="Prefilled 5 49 2" xfId="37967"/>
    <cellStyle name="Prefilled 5 49 3" xfId="37968"/>
    <cellStyle name="Prefilled 5 49 4" xfId="37969"/>
    <cellStyle name="Prefilled 5 49 5" xfId="37970"/>
    <cellStyle name="Prefilled 5 49 6" xfId="37971"/>
    <cellStyle name="Prefilled 5 49 7" xfId="37972"/>
    <cellStyle name="Prefilled 5 5" xfId="7103"/>
    <cellStyle name="Prefilled 5 5 2" xfId="37973"/>
    <cellStyle name="Prefilled 5 5 3" xfId="37974"/>
    <cellStyle name="Prefilled 5 5 4" xfId="37975"/>
    <cellStyle name="Prefilled 5 5 5" xfId="37976"/>
    <cellStyle name="Prefilled 5 5 6" xfId="37977"/>
    <cellStyle name="Prefilled 5 5 7" xfId="37978"/>
    <cellStyle name="Prefilled 5 50" xfId="7104"/>
    <cellStyle name="Prefilled 5 50 2" xfId="37979"/>
    <cellStyle name="Prefilled 5 50 3" xfId="37980"/>
    <cellStyle name="Prefilled 5 50 4" xfId="37981"/>
    <cellStyle name="Prefilled 5 50 5" xfId="37982"/>
    <cellStyle name="Prefilled 5 50 6" xfId="37983"/>
    <cellStyle name="Prefilled 5 50 7" xfId="37984"/>
    <cellStyle name="Prefilled 5 51" xfId="7105"/>
    <cellStyle name="Prefilled 5 51 2" xfId="37985"/>
    <cellStyle name="Prefilled 5 51 3" xfId="37986"/>
    <cellStyle name="Prefilled 5 51 4" xfId="37987"/>
    <cellStyle name="Prefilled 5 51 5" xfId="37988"/>
    <cellStyle name="Prefilled 5 51 6" xfId="37989"/>
    <cellStyle name="Prefilled 5 51 7" xfId="37990"/>
    <cellStyle name="Prefilled 5 52" xfId="7106"/>
    <cellStyle name="Prefilled 5 52 2" xfId="37991"/>
    <cellStyle name="Prefilled 5 52 3" xfId="37992"/>
    <cellStyle name="Prefilled 5 52 4" xfId="37993"/>
    <cellStyle name="Prefilled 5 52 5" xfId="37994"/>
    <cellStyle name="Prefilled 5 52 6" xfId="37995"/>
    <cellStyle name="Prefilled 5 52 7" xfId="37996"/>
    <cellStyle name="Prefilled 5 53" xfId="7107"/>
    <cellStyle name="Prefilled 5 53 2" xfId="37997"/>
    <cellStyle name="Prefilled 5 53 3" xfId="37998"/>
    <cellStyle name="Prefilled 5 53 4" xfId="37999"/>
    <cellStyle name="Prefilled 5 53 5" xfId="38000"/>
    <cellStyle name="Prefilled 5 53 6" xfId="38001"/>
    <cellStyle name="Prefilled 5 53 7" xfId="38002"/>
    <cellStyle name="Prefilled 5 54" xfId="7108"/>
    <cellStyle name="Prefilled 5 54 2" xfId="38003"/>
    <cellStyle name="Prefilled 5 54 3" xfId="38004"/>
    <cellStyle name="Prefilled 5 54 4" xfId="38005"/>
    <cellStyle name="Prefilled 5 54 5" xfId="38006"/>
    <cellStyle name="Prefilled 5 54 6" xfId="38007"/>
    <cellStyle name="Prefilled 5 54 7" xfId="38008"/>
    <cellStyle name="Prefilled 5 55" xfId="7109"/>
    <cellStyle name="Prefilled 5 55 2" xfId="38009"/>
    <cellStyle name="Prefilled 5 55 3" xfId="38010"/>
    <cellStyle name="Prefilled 5 55 4" xfId="38011"/>
    <cellStyle name="Prefilled 5 55 5" xfId="38012"/>
    <cellStyle name="Prefilled 5 55 6" xfId="38013"/>
    <cellStyle name="Prefilled 5 55 7" xfId="38014"/>
    <cellStyle name="Prefilled 5 56" xfId="7110"/>
    <cellStyle name="Prefilled 5 56 2" xfId="38015"/>
    <cellStyle name="Prefilled 5 56 3" xfId="38016"/>
    <cellStyle name="Prefilled 5 56 4" xfId="38017"/>
    <cellStyle name="Prefilled 5 56 5" xfId="38018"/>
    <cellStyle name="Prefilled 5 56 6" xfId="38019"/>
    <cellStyle name="Prefilled 5 56 7" xfId="38020"/>
    <cellStyle name="Prefilled 5 57" xfId="7111"/>
    <cellStyle name="Prefilled 5 57 2" xfId="38021"/>
    <cellStyle name="Prefilled 5 57 3" xfId="38022"/>
    <cellStyle name="Prefilled 5 57 4" xfId="38023"/>
    <cellStyle name="Prefilled 5 57 5" xfId="38024"/>
    <cellStyle name="Prefilled 5 57 6" xfId="38025"/>
    <cellStyle name="Prefilled 5 57 7" xfId="38026"/>
    <cellStyle name="Prefilled 5 58" xfId="7112"/>
    <cellStyle name="Prefilled 5 58 2" xfId="38027"/>
    <cellStyle name="Prefilled 5 58 3" xfId="38028"/>
    <cellStyle name="Prefilled 5 58 4" xfId="38029"/>
    <cellStyle name="Prefilled 5 58 5" xfId="38030"/>
    <cellStyle name="Prefilled 5 58 6" xfId="38031"/>
    <cellStyle name="Prefilled 5 58 7" xfId="38032"/>
    <cellStyle name="Prefilled 5 59" xfId="7113"/>
    <cellStyle name="Prefilled 5 59 2" xfId="38033"/>
    <cellStyle name="Prefilled 5 59 3" xfId="38034"/>
    <cellStyle name="Prefilled 5 59 4" xfId="38035"/>
    <cellStyle name="Prefilled 5 59 5" xfId="38036"/>
    <cellStyle name="Prefilled 5 59 6" xfId="38037"/>
    <cellStyle name="Prefilled 5 59 7" xfId="38038"/>
    <cellStyle name="Prefilled 5 6" xfId="7114"/>
    <cellStyle name="Prefilled 5 6 2" xfId="38039"/>
    <cellStyle name="Prefilled 5 6 3" xfId="38040"/>
    <cellStyle name="Prefilled 5 6 4" xfId="38041"/>
    <cellStyle name="Prefilled 5 6 5" xfId="38042"/>
    <cellStyle name="Prefilled 5 6 6" xfId="38043"/>
    <cellStyle name="Prefilled 5 6 7" xfId="38044"/>
    <cellStyle name="Prefilled 5 60" xfId="7115"/>
    <cellStyle name="Prefilled 5 60 2" xfId="38045"/>
    <cellStyle name="Prefilled 5 60 3" xfId="38046"/>
    <cellStyle name="Prefilled 5 60 4" xfId="38047"/>
    <cellStyle name="Prefilled 5 60 5" xfId="38048"/>
    <cellStyle name="Prefilled 5 60 6" xfId="38049"/>
    <cellStyle name="Prefilled 5 60 7" xfId="38050"/>
    <cellStyle name="Prefilled 5 61" xfId="7116"/>
    <cellStyle name="Prefilled 5 61 2" xfId="38051"/>
    <cellStyle name="Prefilled 5 61 3" xfId="38052"/>
    <cellStyle name="Prefilled 5 61 4" xfId="38053"/>
    <cellStyle name="Prefilled 5 61 5" xfId="38054"/>
    <cellStyle name="Prefilled 5 61 6" xfId="38055"/>
    <cellStyle name="Prefilled 5 61 7" xfId="38056"/>
    <cellStyle name="Prefilled 5 62" xfId="7117"/>
    <cellStyle name="Prefilled 5 62 2" xfId="38057"/>
    <cellStyle name="Prefilled 5 62 3" xfId="38058"/>
    <cellStyle name="Prefilled 5 62 4" xfId="38059"/>
    <cellStyle name="Prefilled 5 62 5" xfId="38060"/>
    <cellStyle name="Prefilled 5 62 6" xfId="38061"/>
    <cellStyle name="Prefilled 5 62 7" xfId="38062"/>
    <cellStyle name="Prefilled 5 63" xfId="7118"/>
    <cellStyle name="Prefilled 5 63 2" xfId="38063"/>
    <cellStyle name="Prefilled 5 63 3" xfId="38064"/>
    <cellStyle name="Prefilled 5 63 4" xfId="38065"/>
    <cellStyle name="Prefilled 5 63 5" xfId="38066"/>
    <cellStyle name="Prefilled 5 63 6" xfId="38067"/>
    <cellStyle name="Prefilled 5 63 7" xfId="38068"/>
    <cellStyle name="Prefilled 5 64" xfId="7119"/>
    <cellStyle name="Prefilled 5 64 2" xfId="38069"/>
    <cellStyle name="Prefilled 5 64 3" xfId="38070"/>
    <cellStyle name="Prefilled 5 64 4" xfId="38071"/>
    <cellStyle name="Prefilled 5 64 5" xfId="38072"/>
    <cellStyle name="Prefilled 5 64 6" xfId="38073"/>
    <cellStyle name="Prefilled 5 64 7" xfId="38074"/>
    <cellStyle name="Prefilled 5 65" xfId="7120"/>
    <cellStyle name="Prefilled 5 65 2" xfId="38075"/>
    <cellStyle name="Prefilled 5 65 3" xfId="38076"/>
    <cellStyle name="Prefilled 5 65 4" xfId="38077"/>
    <cellStyle name="Prefilled 5 65 5" xfId="38078"/>
    <cellStyle name="Prefilled 5 65 6" xfId="38079"/>
    <cellStyle name="Prefilled 5 65 7" xfId="38080"/>
    <cellStyle name="Prefilled 5 66" xfId="7121"/>
    <cellStyle name="Prefilled 5 66 2" xfId="38081"/>
    <cellStyle name="Prefilled 5 66 3" xfId="38082"/>
    <cellStyle name="Prefilled 5 66 4" xfId="38083"/>
    <cellStyle name="Prefilled 5 66 5" xfId="38084"/>
    <cellStyle name="Prefilled 5 66 6" xfId="38085"/>
    <cellStyle name="Prefilled 5 66 7" xfId="38086"/>
    <cellStyle name="Prefilled 5 67" xfId="7122"/>
    <cellStyle name="Prefilled 5 67 2" xfId="38087"/>
    <cellStyle name="Prefilled 5 67 3" xfId="38088"/>
    <cellStyle name="Prefilled 5 67 4" xfId="38089"/>
    <cellStyle name="Prefilled 5 67 5" xfId="38090"/>
    <cellStyle name="Prefilled 5 67 6" xfId="38091"/>
    <cellStyle name="Prefilled 5 67 7" xfId="38092"/>
    <cellStyle name="Prefilled 5 68" xfId="7123"/>
    <cellStyle name="Prefilled 5 68 2" xfId="38093"/>
    <cellStyle name="Prefilled 5 68 3" xfId="38094"/>
    <cellStyle name="Prefilled 5 68 4" xfId="38095"/>
    <cellStyle name="Prefilled 5 68 5" xfId="38096"/>
    <cellStyle name="Prefilled 5 68 6" xfId="38097"/>
    <cellStyle name="Prefilled 5 68 7" xfId="38098"/>
    <cellStyle name="Prefilled 5 69" xfId="7124"/>
    <cellStyle name="Prefilled 5 69 2" xfId="38099"/>
    <cellStyle name="Prefilled 5 69 3" xfId="38100"/>
    <cellStyle name="Prefilled 5 69 4" xfId="38101"/>
    <cellStyle name="Prefilled 5 69 5" xfId="38102"/>
    <cellStyle name="Prefilled 5 69 6" xfId="38103"/>
    <cellStyle name="Prefilled 5 69 7" xfId="38104"/>
    <cellStyle name="Prefilled 5 7" xfId="7125"/>
    <cellStyle name="Prefilled 5 7 2" xfId="38105"/>
    <cellStyle name="Prefilled 5 7 3" xfId="38106"/>
    <cellStyle name="Prefilled 5 7 4" xfId="38107"/>
    <cellStyle name="Prefilled 5 7 5" xfId="38108"/>
    <cellStyle name="Prefilled 5 7 6" xfId="38109"/>
    <cellStyle name="Prefilled 5 7 7" xfId="38110"/>
    <cellStyle name="Prefilled 5 70" xfId="7126"/>
    <cellStyle name="Prefilled 5 70 2" xfId="38111"/>
    <cellStyle name="Prefilled 5 70 3" xfId="38112"/>
    <cellStyle name="Prefilled 5 70 4" xfId="38113"/>
    <cellStyle name="Prefilled 5 70 5" xfId="38114"/>
    <cellStyle name="Prefilled 5 70 6" xfId="38115"/>
    <cellStyle name="Prefilled 5 70 7" xfId="38116"/>
    <cellStyle name="Prefilled 5 71" xfId="7127"/>
    <cellStyle name="Prefilled 5 71 2" xfId="38117"/>
    <cellStyle name="Prefilled 5 71 3" xfId="38118"/>
    <cellStyle name="Prefilled 5 71 4" xfId="38119"/>
    <cellStyle name="Prefilled 5 71 5" xfId="38120"/>
    <cellStyle name="Prefilled 5 71 6" xfId="38121"/>
    <cellStyle name="Prefilled 5 71 7" xfId="38122"/>
    <cellStyle name="Prefilled 5 72" xfId="7128"/>
    <cellStyle name="Prefilled 5 72 2" xfId="38123"/>
    <cellStyle name="Prefilled 5 72 3" xfId="38124"/>
    <cellStyle name="Prefilled 5 72 4" xfId="38125"/>
    <cellStyle name="Prefilled 5 72 5" xfId="38126"/>
    <cellStyle name="Prefilled 5 72 6" xfId="38127"/>
    <cellStyle name="Prefilled 5 72 7" xfId="38128"/>
    <cellStyle name="Prefilled 5 73" xfId="7129"/>
    <cellStyle name="Prefilled 5 73 2" xfId="38129"/>
    <cellStyle name="Prefilled 5 73 3" xfId="38130"/>
    <cellStyle name="Prefilled 5 73 4" xfId="38131"/>
    <cellStyle name="Prefilled 5 73 5" xfId="38132"/>
    <cellStyle name="Prefilled 5 73 6" xfId="38133"/>
    <cellStyle name="Prefilled 5 73 7" xfId="38134"/>
    <cellStyle name="Prefilled 5 74" xfId="7130"/>
    <cellStyle name="Prefilled 5 74 2" xfId="38135"/>
    <cellStyle name="Prefilled 5 74 3" xfId="38136"/>
    <cellStyle name="Prefilled 5 74 4" xfId="38137"/>
    <cellStyle name="Prefilled 5 74 5" xfId="38138"/>
    <cellStyle name="Prefilled 5 74 6" xfId="38139"/>
    <cellStyle name="Prefilled 5 74 7" xfId="38140"/>
    <cellStyle name="Prefilled 5 75" xfId="7131"/>
    <cellStyle name="Prefilled 5 75 2" xfId="38141"/>
    <cellStyle name="Prefilled 5 75 3" xfId="38142"/>
    <cellStyle name="Prefilled 5 75 4" xfId="38143"/>
    <cellStyle name="Prefilled 5 75 5" xfId="38144"/>
    <cellStyle name="Prefilled 5 75 6" xfId="38145"/>
    <cellStyle name="Prefilled 5 75 7" xfId="38146"/>
    <cellStyle name="Prefilled 5 76" xfId="7132"/>
    <cellStyle name="Prefilled 5 76 2" xfId="38147"/>
    <cellStyle name="Prefilled 5 76 3" xfId="38148"/>
    <cellStyle name="Prefilled 5 76 4" xfId="38149"/>
    <cellStyle name="Prefilled 5 76 5" xfId="38150"/>
    <cellStyle name="Prefilled 5 76 6" xfId="38151"/>
    <cellStyle name="Prefilled 5 76 7" xfId="38152"/>
    <cellStyle name="Prefilled 5 77" xfId="7133"/>
    <cellStyle name="Prefilled 5 77 2" xfId="38153"/>
    <cellStyle name="Prefilled 5 77 3" xfId="38154"/>
    <cellStyle name="Prefilled 5 77 4" xfId="38155"/>
    <cellStyle name="Prefilled 5 77 5" xfId="38156"/>
    <cellStyle name="Prefilled 5 77 6" xfId="38157"/>
    <cellStyle name="Prefilled 5 77 7" xfId="38158"/>
    <cellStyle name="Prefilled 5 78" xfId="7134"/>
    <cellStyle name="Prefilled 5 78 2" xfId="38159"/>
    <cellStyle name="Prefilled 5 78 3" xfId="38160"/>
    <cellStyle name="Prefilled 5 78 4" xfId="38161"/>
    <cellStyle name="Prefilled 5 78 5" xfId="38162"/>
    <cellStyle name="Prefilled 5 78 6" xfId="38163"/>
    <cellStyle name="Prefilled 5 78 7" xfId="38164"/>
    <cellStyle name="Prefilled 5 79" xfId="7135"/>
    <cellStyle name="Prefilled 5 79 2" xfId="38165"/>
    <cellStyle name="Prefilled 5 79 3" xfId="38166"/>
    <cellStyle name="Prefilled 5 79 4" xfId="38167"/>
    <cellStyle name="Prefilled 5 79 5" xfId="38168"/>
    <cellStyle name="Prefilled 5 79 6" xfId="38169"/>
    <cellStyle name="Prefilled 5 79 7" xfId="38170"/>
    <cellStyle name="Prefilled 5 8" xfId="7136"/>
    <cellStyle name="Prefilled 5 8 2" xfId="38171"/>
    <cellStyle name="Prefilled 5 8 3" xfId="38172"/>
    <cellStyle name="Prefilled 5 8 4" xfId="38173"/>
    <cellStyle name="Prefilled 5 8 5" xfId="38174"/>
    <cellStyle name="Prefilled 5 8 6" xfId="38175"/>
    <cellStyle name="Prefilled 5 8 7" xfId="38176"/>
    <cellStyle name="Prefilled 5 80" xfId="7137"/>
    <cellStyle name="Prefilled 5 80 2" xfId="38177"/>
    <cellStyle name="Prefilled 5 80 3" xfId="38178"/>
    <cellStyle name="Prefilled 5 80 4" xfId="38179"/>
    <cellStyle name="Prefilled 5 80 5" xfId="38180"/>
    <cellStyle name="Prefilled 5 80 6" xfId="38181"/>
    <cellStyle name="Prefilled 5 80 7" xfId="38182"/>
    <cellStyle name="Prefilled 5 81" xfId="7138"/>
    <cellStyle name="Prefilled 5 81 2" xfId="38183"/>
    <cellStyle name="Prefilled 5 81 3" xfId="38184"/>
    <cellStyle name="Prefilled 5 81 4" xfId="38185"/>
    <cellStyle name="Prefilled 5 81 5" xfId="38186"/>
    <cellStyle name="Prefilled 5 81 6" xfId="38187"/>
    <cellStyle name="Prefilled 5 81 7" xfId="38188"/>
    <cellStyle name="Prefilled 5 82" xfId="7139"/>
    <cellStyle name="Prefilled 5 82 2" xfId="38189"/>
    <cellStyle name="Prefilled 5 82 3" xfId="38190"/>
    <cellStyle name="Prefilled 5 82 4" xfId="38191"/>
    <cellStyle name="Prefilled 5 82 5" xfId="38192"/>
    <cellStyle name="Prefilled 5 82 6" xfId="38193"/>
    <cellStyle name="Prefilled 5 82 7" xfId="38194"/>
    <cellStyle name="Prefilled 5 83" xfId="7140"/>
    <cellStyle name="Prefilled 5 83 2" xfId="38195"/>
    <cellStyle name="Prefilled 5 83 3" xfId="38196"/>
    <cellStyle name="Prefilled 5 83 4" xfId="38197"/>
    <cellStyle name="Prefilled 5 83 5" xfId="38198"/>
    <cellStyle name="Prefilled 5 83 6" xfId="38199"/>
    <cellStyle name="Prefilled 5 83 7" xfId="38200"/>
    <cellStyle name="Prefilled 5 84" xfId="7141"/>
    <cellStyle name="Prefilled 5 84 2" xfId="38201"/>
    <cellStyle name="Prefilled 5 84 3" xfId="38202"/>
    <cellStyle name="Prefilled 5 84 4" xfId="38203"/>
    <cellStyle name="Prefilled 5 84 5" xfId="38204"/>
    <cellStyle name="Prefilled 5 84 6" xfId="38205"/>
    <cellStyle name="Prefilled 5 84 7" xfId="38206"/>
    <cellStyle name="Prefilled 5 85" xfId="7142"/>
    <cellStyle name="Prefilled 5 85 2" xfId="38207"/>
    <cellStyle name="Prefilled 5 85 3" xfId="38208"/>
    <cellStyle name="Prefilled 5 85 4" xfId="38209"/>
    <cellStyle name="Prefilled 5 85 5" xfId="38210"/>
    <cellStyle name="Prefilled 5 85 6" xfId="38211"/>
    <cellStyle name="Prefilled 5 85 7" xfId="38212"/>
    <cellStyle name="Prefilled 5 86" xfId="7143"/>
    <cellStyle name="Prefilled 5 86 2" xfId="38213"/>
    <cellStyle name="Prefilled 5 86 3" xfId="38214"/>
    <cellStyle name="Prefilled 5 86 4" xfId="38215"/>
    <cellStyle name="Prefilled 5 86 5" xfId="38216"/>
    <cellStyle name="Prefilled 5 86 6" xfId="38217"/>
    <cellStyle name="Prefilled 5 86 7" xfId="38218"/>
    <cellStyle name="Prefilled 5 87" xfId="7144"/>
    <cellStyle name="Prefilled 5 87 2" xfId="38219"/>
    <cellStyle name="Prefilled 5 87 3" xfId="38220"/>
    <cellStyle name="Prefilled 5 87 4" xfId="38221"/>
    <cellStyle name="Prefilled 5 87 5" xfId="38222"/>
    <cellStyle name="Prefilled 5 87 6" xfId="38223"/>
    <cellStyle name="Prefilled 5 87 7" xfId="38224"/>
    <cellStyle name="Prefilled 5 88" xfId="7145"/>
    <cellStyle name="Prefilled 5 88 2" xfId="38225"/>
    <cellStyle name="Prefilled 5 88 3" xfId="38226"/>
    <cellStyle name="Prefilled 5 88 4" xfId="38227"/>
    <cellStyle name="Prefilled 5 88 5" xfId="38228"/>
    <cellStyle name="Prefilled 5 88 6" xfId="38229"/>
    <cellStyle name="Prefilled 5 88 7" xfId="38230"/>
    <cellStyle name="Prefilled 5 89" xfId="7146"/>
    <cellStyle name="Prefilled 5 89 2" xfId="38231"/>
    <cellStyle name="Prefilled 5 89 3" xfId="38232"/>
    <cellStyle name="Prefilled 5 89 4" xfId="38233"/>
    <cellStyle name="Prefilled 5 89 5" xfId="38234"/>
    <cellStyle name="Prefilled 5 89 6" xfId="38235"/>
    <cellStyle name="Prefilled 5 89 7" xfId="38236"/>
    <cellStyle name="Prefilled 5 9" xfId="7147"/>
    <cellStyle name="Prefilled 5 9 2" xfId="38237"/>
    <cellStyle name="Prefilled 5 9 3" xfId="38238"/>
    <cellStyle name="Prefilled 5 9 4" xfId="38239"/>
    <cellStyle name="Prefilled 5 9 5" xfId="38240"/>
    <cellStyle name="Prefilled 5 9 6" xfId="38241"/>
    <cellStyle name="Prefilled 5 9 7" xfId="38242"/>
    <cellStyle name="Prefilled 5 90" xfId="7148"/>
    <cellStyle name="Prefilled 5 90 2" xfId="38243"/>
    <cellStyle name="Prefilled 5 90 3" xfId="38244"/>
    <cellStyle name="Prefilled 5 90 4" xfId="38245"/>
    <cellStyle name="Prefilled 5 90 5" xfId="38246"/>
    <cellStyle name="Prefilled 5 90 6" xfId="38247"/>
    <cellStyle name="Prefilled 5 90 7" xfId="38248"/>
    <cellStyle name="Prefilled 5 91" xfId="7149"/>
    <cellStyle name="Prefilled 5 91 2" xfId="38249"/>
    <cellStyle name="Prefilled 5 91 3" xfId="38250"/>
    <cellStyle name="Prefilled 5 91 4" xfId="38251"/>
    <cellStyle name="Prefilled 5 91 5" xfId="38252"/>
    <cellStyle name="Prefilled 5 91 6" xfId="38253"/>
    <cellStyle name="Prefilled 5 91 7" xfId="38254"/>
    <cellStyle name="Prefilled 5 92" xfId="7150"/>
    <cellStyle name="Prefilled 5 92 2" xfId="38255"/>
    <cellStyle name="Prefilled 5 92 3" xfId="38256"/>
    <cellStyle name="Prefilled 5 92 4" xfId="38257"/>
    <cellStyle name="Prefilled 5 92 5" xfId="38258"/>
    <cellStyle name="Prefilled 5 92 6" xfId="38259"/>
    <cellStyle name="Prefilled 5 92 7" xfId="38260"/>
    <cellStyle name="Prefilled 5 93" xfId="7151"/>
    <cellStyle name="Prefilled 5 93 2" xfId="38261"/>
    <cellStyle name="Prefilled 5 93 3" xfId="38262"/>
    <cellStyle name="Prefilled 5 93 4" xfId="38263"/>
    <cellStyle name="Prefilled 5 93 5" xfId="38264"/>
    <cellStyle name="Prefilled 5 93 6" xfId="38265"/>
    <cellStyle name="Prefilled 5 94" xfId="38266"/>
    <cellStyle name="Prefilled 5 95" xfId="38267"/>
    <cellStyle name="Prefilled 5 96" xfId="38268"/>
    <cellStyle name="Prefilled 5 97" xfId="38269"/>
    <cellStyle name="Prefilled 5 98" xfId="38270"/>
    <cellStyle name="Prefilled 5 99" xfId="38271"/>
    <cellStyle name="Prefilled 50" xfId="7152"/>
    <cellStyle name="Prefilled 50 2" xfId="38272"/>
    <cellStyle name="Prefilled 50 3" xfId="38273"/>
    <cellStyle name="Prefilled 50 4" xfId="38274"/>
    <cellStyle name="Prefilled 50 5" xfId="38275"/>
    <cellStyle name="Prefilled 50 6" xfId="38276"/>
    <cellStyle name="Prefilled 50 7" xfId="38277"/>
    <cellStyle name="Prefilled 51" xfId="7153"/>
    <cellStyle name="Prefilled 51 2" xfId="38278"/>
    <cellStyle name="Prefilled 51 3" xfId="38279"/>
    <cellStyle name="Prefilled 51 4" xfId="38280"/>
    <cellStyle name="Prefilled 51 5" xfId="38281"/>
    <cellStyle name="Prefilled 51 6" xfId="38282"/>
    <cellStyle name="Prefilled 51 7" xfId="38283"/>
    <cellStyle name="Prefilled 52" xfId="7154"/>
    <cellStyle name="Prefilled 52 2" xfId="38284"/>
    <cellStyle name="Prefilled 52 3" xfId="38285"/>
    <cellStyle name="Prefilled 52 4" xfId="38286"/>
    <cellStyle name="Prefilled 52 5" xfId="38287"/>
    <cellStyle name="Prefilled 52 6" xfId="38288"/>
    <cellStyle name="Prefilled 52 7" xfId="38289"/>
    <cellStyle name="Prefilled 53" xfId="7155"/>
    <cellStyle name="Prefilled 53 2" xfId="38290"/>
    <cellStyle name="Prefilled 53 3" xfId="38291"/>
    <cellStyle name="Prefilled 53 4" xfId="38292"/>
    <cellStyle name="Prefilled 53 5" xfId="38293"/>
    <cellStyle name="Prefilled 53 6" xfId="38294"/>
    <cellStyle name="Prefilled 53 7" xfId="38295"/>
    <cellStyle name="Prefilled 54" xfId="7156"/>
    <cellStyle name="Prefilled 54 2" xfId="38296"/>
    <cellStyle name="Prefilled 54 3" xfId="38297"/>
    <cellStyle name="Prefilled 54 4" xfId="38298"/>
    <cellStyle name="Prefilled 54 5" xfId="38299"/>
    <cellStyle name="Prefilled 54 6" xfId="38300"/>
    <cellStyle name="Prefilled 54 7" xfId="38301"/>
    <cellStyle name="Prefilled 55" xfId="7157"/>
    <cellStyle name="Prefilled 55 2" xfId="38302"/>
    <cellStyle name="Prefilled 55 3" xfId="38303"/>
    <cellStyle name="Prefilled 55 4" xfId="38304"/>
    <cellStyle name="Prefilled 55 5" xfId="38305"/>
    <cellStyle name="Prefilled 55 6" xfId="38306"/>
    <cellStyle name="Prefilled 55 7" xfId="38307"/>
    <cellStyle name="Prefilled 56" xfId="7158"/>
    <cellStyle name="Prefilled 56 2" xfId="38308"/>
    <cellStyle name="Prefilled 56 3" xfId="38309"/>
    <cellStyle name="Prefilled 56 4" xfId="38310"/>
    <cellStyle name="Prefilled 56 5" xfId="38311"/>
    <cellStyle name="Prefilled 56 6" xfId="38312"/>
    <cellStyle name="Prefilled 56 7" xfId="38313"/>
    <cellStyle name="Prefilled 57" xfId="7159"/>
    <cellStyle name="Prefilled 57 2" xfId="38314"/>
    <cellStyle name="Prefilled 57 3" xfId="38315"/>
    <cellStyle name="Prefilled 57 4" xfId="38316"/>
    <cellStyle name="Prefilled 57 5" xfId="38317"/>
    <cellStyle name="Prefilled 57 6" xfId="38318"/>
    <cellStyle name="Prefilled 57 7" xfId="38319"/>
    <cellStyle name="Prefilled 58" xfId="7160"/>
    <cellStyle name="Prefilled 58 2" xfId="38320"/>
    <cellStyle name="Prefilled 58 3" xfId="38321"/>
    <cellStyle name="Prefilled 58 4" xfId="38322"/>
    <cellStyle name="Prefilled 58 5" xfId="38323"/>
    <cellStyle name="Prefilled 58 6" xfId="38324"/>
    <cellStyle name="Prefilled 58 7" xfId="38325"/>
    <cellStyle name="Prefilled 59" xfId="7161"/>
    <cellStyle name="Prefilled 59 2" xfId="38326"/>
    <cellStyle name="Prefilled 59 3" xfId="38327"/>
    <cellStyle name="Prefilled 59 4" xfId="38328"/>
    <cellStyle name="Prefilled 59 5" xfId="38329"/>
    <cellStyle name="Prefilled 59 6" xfId="38330"/>
    <cellStyle name="Prefilled 59 7" xfId="38331"/>
    <cellStyle name="Prefilled 6" xfId="7162"/>
    <cellStyle name="Prefilled 6 10" xfId="7163"/>
    <cellStyle name="Prefilled 6 10 2" xfId="38332"/>
    <cellStyle name="Prefilled 6 10 3" xfId="38333"/>
    <cellStyle name="Prefilled 6 10 4" xfId="38334"/>
    <cellStyle name="Prefilled 6 10 5" xfId="38335"/>
    <cellStyle name="Prefilled 6 10 6" xfId="38336"/>
    <cellStyle name="Prefilled 6 10 7" xfId="38337"/>
    <cellStyle name="Prefilled 6 100" xfId="38338"/>
    <cellStyle name="Prefilled 6 101" xfId="38339"/>
    <cellStyle name="Prefilled 6 102" xfId="38340"/>
    <cellStyle name="Prefilled 6 11" xfId="7164"/>
    <cellStyle name="Prefilled 6 11 2" xfId="38341"/>
    <cellStyle name="Prefilled 6 11 3" xfId="38342"/>
    <cellStyle name="Prefilled 6 11 4" xfId="38343"/>
    <cellStyle name="Prefilled 6 11 5" xfId="38344"/>
    <cellStyle name="Prefilled 6 11 6" xfId="38345"/>
    <cellStyle name="Prefilled 6 11 7" xfId="38346"/>
    <cellStyle name="Prefilled 6 12" xfId="7165"/>
    <cellStyle name="Prefilled 6 12 2" xfId="38347"/>
    <cellStyle name="Prefilled 6 12 3" xfId="38348"/>
    <cellStyle name="Prefilled 6 12 4" xfId="38349"/>
    <cellStyle name="Prefilled 6 12 5" xfId="38350"/>
    <cellStyle name="Prefilled 6 12 6" xfId="38351"/>
    <cellStyle name="Prefilled 6 12 7" xfId="38352"/>
    <cellStyle name="Prefilled 6 13" xfId="7166"/>
    <cellStyle name="Prefilled 6 13 2" xfId="38353"/>
    <cellStyle name="Prefilled 6 13 3" xfId="38354"/>
    <cellStyle name="Prefilled 6 13 4" xfId="38355"/>
    <cellStyle name="Prefilled 6 13 5" xfId="38356"/>
    <cellStyle name="Prefilled 6 13 6" xfId="38357"/>
    <cellStyle name="Prefilled 6 13 7" xfId="38358"/>
    <cellStyle name="Prefilled 6 14" xfId="7167"/>
    <cellStyle name="Prefilled 6 14 2" xfId="38359"/>
    <cellStyle name="Prefilled 6 14 3" xfId="38360"/>
    <cellStyle name="Prefilled 6 14 4" xfId="38361"/>
    <cellStyle name="Prefilled 6 14 5" xfId="38362"/>
    <cellStyle name="Prefilled 6 14 6" xfId="38363"/>
    <cellStyle name="Prefilled 6 14 7" xfId="38364"/>
    <cellStyle name="Prefilled 6 15" xfId="7168"/>
    <cellStyle name="Prefilled 6 15 2" xfId="38365"/>
    <cellStyle name="Prefilled 6 15 3" xfId="38366"/>
    <cellStyle name="Prefilled 6 15 4" xfId="38367"/>
    <cellStyle name="Prefilled 6 15 5" xfId="38368"/>
    <cellStyle name="Prefilled 6 15 6" xfId="38369"/>
    <cellStyle name="Prefilled 6 15 7" xfId="38370"/>
    <cellStyle name="Prefilled 6 16" xfId="7169"/>
    <cellStyle name="Prefilled 6 16 2" xfId="38371"/>
    <cellStyle name="Prefilled 6 16 3" xfId="38372"/>
    <cellStyle name="Prefilled 6 16 4" xfId="38373"/>
    <cellStyle name="Prefilled 6 16 5" xfId="38374"/>
    <cellStyle name="Prefilled 6 16 6" xfId="38375"/>
    <cellStyle name="Prefilled 6 16 7" xfId="38376"/>
    <cellStyle name="Prefilled 6 17" xfId="7170"/>
    <cellStyle name="Prefilled 6 17 2" xfId="38377"/>
    <cellStyle name="Prefilled 6 17 3" xfId="38378"/>
    <cellStyle name="Prefilled 6 17 4" xfId="38379"/>
    <cellStyle name="Prefilled 6 17 5" xfId="38380"/>
    <cellStyle name="Prefilled 6 17 6" xfId="38381"/>
    <cellStyle name="Prefilled 6 17 7" xfId="38382"/>
    <cellStyle name="Prefilled 6 18" xfId="7171"/>
    <cellStyle name="Prefilled 6 18 2" xfId="38383"/>
    <cellStyle name="Prefilled 6 18 3" xfId="38384"/>
    <cellStyle name="Prefilled 6 18 4" xfId="38385"/>
    <cellStyle name="Prefilled 6 18 5" xfId="38386"/>
    <cellStyle name="Prefilled 6 18 6" xfId="38387"/>
    <cellStyle name="Prefilled 6 18 7" xfId="38388"/>
    <cellStyle name="Prefilled 6 19" xfId="7172"/>
    <cellStyle name="Prefilled 6 19 2" xfId="38389"/>
    <cellStyle name="Prefilled 6 19 3" xfId="38390"/>
    <cellStyle name="Prefilled 6 19 4" xfId="38391"/>
    <cellStyle name="Prefilled 6 19 5" xfId="38392"/>
    <cellStyle name="Prefilled 6 19 6" xfId="38393"/>
    <cellStyle name="Prefilled 6 19 7" xfId="38394"/>
    <cellStyle name="Prefilled 6 2" xfId="7173"/>
    <cellStyle name="Prefilled 6 2 10" xfId="38395"/>
    <cellStyle name="Prefilled 6 2 11" xfId="38396"/>
    <cellStyle name="Prefilled 6 2 2" xfId="38397"/>
    <cellStyle name="Prefilled 6 2 3" xfId="38398"/>
    <cellStyle name="Prefilled 6 2 4" xfId="38399"/>
    <cellStyle name="Prefilled 6 2 5" xfId="38400"/>
    <cellStyle name="Prefilled 6 2 6" xfId="38401"/>
    <cellStyle name="Prefilled 6 2 7" xfId="38402"/>
    <cellStyle name="Prefilled 6 2 8" xfId="38403"/>
    <cellStyle name="Prefilled 6 2 9" xfId="38404"/>
    <cellStyle name="Prefilled 6 20" xfId="7174"/>
    <cellStyle name="Prefilled 6 20 2" xfId="38405"/>
    <cellStyle name="Prefilled 6 20 3" xfId="38406"/>
    <cellStyle name="Prefilled 6 20 4" xfId="38407"/>
    <cellStyle name="Prefilled 6 20 5" xfId="38408"/>
    <cellStyle name="Prefilled 6 20 6" xfId="38409"/>
    <cellStyle name="Prefilled 6 20 7" xfId="38410"/>
    <cellStyle name="Prefilled 6 21" xfId="7175"/>
    <cellStyle name="Prefilled 6 21 2" xfId="38411"/>
    <cellStyle name="Prefilled 6 21 3" xfId="38412"/>
    <cellStyle name="Prefilled 6 21 4" xfId="38413"/>
    <cellStyle name="Prefilled 6 21 5" xfId="38414"/>
    <cellStyle name="Prefilled 6 21 6" xfId="38415"/>
    <cellStyle name="Prefilled 6 21 7" xfId="38416"/>
    <cellStyle name="Prefilled 6 22" xfId="7176"/>
    <cellStyle name="Prefilled 6 22 2" xfId="38417"/>
    <cellStyle name="Prefilled 6 22 3" xfId="38418"/>
    <cellStyle name="Prefilled 6 22 4" xfId="38419"/>
    <cellStyle name="Prefilled 6 22 5" xfId="38420"/>
    <cellStyle name="Prefilled 6 22 6" xfId="38421"/>
    <cellStyle name="Prefilled 6 22 7" xfId="38422"/>
    <cellStyle name="Prefilled 6 23" xfId="7177"/>
    <cellStyle name="Prefilled 6 23 2" xfId="38423"/>
    <cellStyle name="Prefilled 6 23 3" xfId="38424"/>
    <cellStyle name="Prefilled 6 23 4" xfId="38425"/>
    <cellStyle name="Prefilled 6 23 5" xfId="38426"/>
    <cellStyle name="Prefilled 6 23 6" xfId="38427"/>
    <cellStyle name="Prefilled 6 23 7" xfId="38428"/>
    <cellStyle name="Prefilled 6 24" xfId="7178"/>
    <cellStyle name="Prefilled 6 24 2" xfId="38429"/>
    <cellStyle name="Prefilled 6 24 3" xfId="38430"/>
    <cellStyle name="Prefilled 6 24 4" xfId="38431"/>
    <cellStyle name="Prefilled 6 24 5" xfId="38432"/>
    <cellStyle name="Prefilled 6 24 6" xfId="38433"/>
    <cellStyle name="Prefilled 6 24 7" xfId="38434"/>
    <cellStyle name="Prefilled 6 25" xfId="7179"/>
    <cellStyle name="Prefilled 6 25 2" xfId="38435"/>
    <cellStyle name="Prefilled 6 25 3" xfId="38436"/>
    <cellStyle name="Prefilled 6 25 4" xfId="38437"/>
    <cellStyle name="Prefilled 6 25 5" xfId="38438"/>
    <cellStyle name="Prefilled 6 25 6" xfId="38439"/>
    <cellStyle name="Prefilled 6 25 7" xfId="38440"/>
    <cellStyle name="Prefilled 6 26" xfId="7180"/>
    <cellStyle name="Prefilled 6 26 2" xfId="38441"/>
    <cellStyle name="Prefilled 6 26 3" xfId="38442"/>
    <cellStyle name="Prefilled 6 26 4" xfId="38443"/>
    <cellStyle name="Prefilled 6 26 5" xfId="38444"/>
    <cellStyle name="Prefilled 6 26 6" xfId="38445"/>
    <cellStyle name="Prefilled 6 26 7" xfId="38446"/>
    <cellStyle name="Prefilled 6 27" xfId="7181"/>
    <cellStyle name="Prefilled 6 27 2" xfId="38447"/>
    <cellStyle name="Prefilled 6 27 3" xfId="38448"/>
    <cellStyle name="Prefilled 6 27 4" xfId="38449"/>
    <cellStyle name="Prefilled 6 27 5" xfId="38450"/>
    <cellStyle name="Prefilled 6 27 6" xfId="38451"/>
    <cellStyle name="Prefilled 6 27 7" xfId="38452"/>
    <cellStyle name="Prefilled 6 28" xfId="7182"/>
    <cellStyle name="Prefilled 6 28 2" xfId="38453"/>
    <cellStyle name="Prefilled 6 28 3" xfId="38454"/>
    <cellStyle name="Prefilled 6 28 4" xfId="38455"/>
    <cellStyle name="Prefilled 6 28 5" xfId="38456"/>
    <cellStyle name="Prefilled 6 28 6" xfId="38457"/>
    <cellStyle name="Prefilled 6 28 7" xfId="38458"/>
    <cellStyle name="Prefilled 6 29" xfId="7183"/>
    <cellStyle name="Prefilled 6 29 2" xfId="38459"/>
    <cellStyle name="Prefilled 6 29 3" xfId="38460"/>
    <cellStyle name="Prefilled 6 29 4" xfId="38461"/>
    <cellStyle name="Prefilled 6 29 5" xfId="38462"/>
    <cellStyle name="Prefilled 6 29 6" xfId="38463"/>
    <cellStyle name="Prefilled 6 29 7" xfId="38464"/>
    <cellStyle name="Prefilled 6 3" xfId="7184"/>
    <cellStyle name="Prefilled 6 3 10" xfId="38465"/>
    <cellStyle name="Prefilled 6 3 2" xfId="38466"/>
    <cellStyle name="Prefilled 6 3 3" xfId="38467"/>
    <cellStyle name="Prefilled 6 3 4" xfId="38468"/>
    <cellStyle name="Prefilled 6 3 5" xfId="38469"/>
    <cellStyle name="Prefilled 6 3 6" xfId="38470"/>
    <cellStyle name="Prefilled 6 3 7" xfId="38471"/>
    <cellStyle name="Prefilled 6 3 8" xfId="38472"/>
    <cellStyle name="Prefilled 6 3 9" xfId="38473"/>
    <cellStyle name="Prefilled 6 30" xfId="7185"/>
    <cellStyle name="Prefilled 6 30 2" xfId="38474"/>
    <cellStyle name="Prefilled 6 30 3" xfId="38475"/>
    <cellStyle name="Prefilled 6 30 4" xfId="38476"/>
    <cellStyle name="Prefilled 6 30 5" xfId="38477"/>
    <cellStyle name="Prefilled 6 30 6" xfId="38478"/>
    <cellStyle name="Prefilled 6 30 7" xfId="38479"/>
    <cellStyle name="Prefilled 6 31" xfId="7186"/>
    <cellStyle name="Prefilled 6 31 2" xfId="38480"/>
    <cellStyle name="Prefilled 6 31 3" xfId="38481"/>
    <cellStyle name="Prefilled 6 31 4" xfId="38482"/>
    <cellStyle name="Prefilled 6 31 5" xfId="38483"/>
    <cellStyle name="Prefilled 6 31 6" xfId="38484"/>
    <cellStyle name="Prefilled 6 31 7" xfId="38485"/>
    <cellStyle name="Prefilled 6 32" xfId="7187"/>
    <cellStyle name="Prefilled 6 32 2" xfId="38486"/>
    <cellStyle name="Prefilled 6 32 3" xfId="38487"/>
    <cellStyle name="Prefilled 6 32 4" xfId="38488"/>
    <cellStyle name="Prefilled 6 32 5" xfId="38489"/>
    <cellStyle name="Prefilled 6 32 6" xfId="38490"/>
    <cellStyle name="Prefilled 6 32 7" xfId="38491"/>
    <cellStyle name="Prefilled 6 33" xfId="7188"/>
    <cellStyle name="Prefilled 6 33 2" xfId="38492"/>
    <cellStyle name="Prefilled 6 33 3" xfId="38493"/>
    <cellStyle name="Prefilled 6 33 4" xfId="38494"/>
    <cellStyle name="Prefilled 6 33 5" xfId="38495"/>
    <cellStyle name="Prefilled 6 33 6" xfId="38496"/>
    <cellStyle name="Prefilled 6 33 7" xfId="38497"/>
    <cellStyle name="Prefilled 6 34" xfId="7189"/>
    <cellStyle name="Prefilled 6 34 2" xfId="38498"/>
    <cellStyle name="Prefilled 6 34 3" xfId="38499"/>
    <cellStyle name="Prefilled 6 34 4" xfId="38500"/>
    <cellStyle name="Prefilled 6 34 5" xfId="38501"/>
    <cellStyle name="Prefilled 6 34 6" xfId="38502"/>
    <cellStyle name="Prefilled 6 34 7" xfId="38503"/>
    <cellStyle name="Prefilled 6 35" xfId="7190"/>
    <cellStyle name="Prefilled 6 35 2" xfId="38504"/>
    <cellStyle name="Prefilled 6 35 3" xfId="38505"/>
    <cellStyle name="Prefilled 6 35 4" xfId="38506"/>
    <cellStyle name="Prefilled 6 35 5" xfId="38507"/>
    <cellStyle name="Prefilled 6 35 6" xfId="38508"/>
    <cellStyle name="Prefilled 6 35 7" xfId="38509"/>
    <cellStyle name="Prefilled 6 36" xfId="7191"/>
    <cellStyle name="Prefilled 6 36 2" xfId="38510"/>
    <cellStyle name="Prefilled 6 36 3" xfId="38511"/>
    <cellStyle name="Prefilled 6 36 4" xfId="38512"/>
    <cellStyle name="Prefilled 6 36 5" xfId="38513"/>
    <cellStyle name="Prefilled 6 36 6" xfId="38514"/>
    <cellStyle name="Prefilled 6 36 7" xfId="38515"/>
    <cellStyle name="Prefilled 6 37" xfId="7192"/>
    <cellStyle name="Prefilled 6 37 2" xfId="38516"/>
    <cellStyle name="Prefilled 6 37 3" xfId="38517"/>
    <cellStyle name="Prefilled 6 37 4" xfId="38518"/>
    <cellStyle name="Prefilled 6 37 5" xfId="38519"/>
    <cellStyle name="Prefilled 6 37 6" xfId="38520"/>
    <cellStyle name="Prefilled 6 37 7" xfId="38521"/>
    <cellStyle name="Prefilled 6 38" xfId="7193"/>
    <cellStyle name="Prefilled 6 38 2" xfId="38522"/>
    <cellStyle name="Prefilled 6 38 3" xfId="38523"/>
    <cellStyle name="Prefilled 6 38 4" xfId="38524"/>
    <cellStyle name="Prefilled 6 38 5" xfId="38525"/>
    <cellStyle name="Prefilled 6 38 6" xfId="38526"/>
    <cellStyle name="Prefilled 6 38 7" xfId="38527"/>
    <cellStyle name="Prefilled 6 39" xfId="7194"/>
    <cellStyle name="Prefilled 6 39 2" xfId="38528"/>
    <cellStyle name="Prefilled 6 39 3" xfId="38529"/>
    <cellStyle name="Prefilled 6 39 4" xfId="38530"/>
    <cellStyle name="Prefilled 6 39 5" xfId="38531"/>
    <cellStyle name="Prefilled 6 39 6" xfId="38532"/>
    <cellStyle name="Prefilled 6 39 7" xfId="38533"/>
    <cellStyle name="Prefilled 6 4" xfId="7195"/>
    <cellStyle name="Prefilled 6 4 10" xfId="38534"/>
    <cellStyle name="Prefilled 6 4 2" xfId="38535"/>
    <cellStyle name="Prefilled 6 4 3" xfId="38536"/>
    <cellStyle name="Prefilled 6 4 4" xfId="38537"/>
    <cellStyle name="Prefilled 6 4 5" xfId="38538"/>
    <cellStyle name="Prefilled 6 4 6" xfId="38539"/>
    <cellStyle name="Prefilled 6 4 7" xfId="38540"/>
    <cellStyle name="Prefilled 6 4 8" xfId="38541"/>
    <cellStyle name="Prefilled 6 4 9" xfId="38542"/>
    <cellStyle name="Prefilled 6 40" xfId="7196"/>
    <cellStyle name="Prefilled 6 40 2" xfId="38543"/>
    <cellStyle name="Prefilled 6 40 3" xfId="38544"/>
    <cellStyle name="Prefilled 6 40 4" xfId="38545"/>
    <cellStyle name="Prefilled 6 40 5" xfId="38546"/>
    <cellStyle name="Prefilled 6 40 6" xfId="38547"/>
    <cellStyle name="Prefilled 6 40 7" xfId="38548"/>
    <cellStyle name="Prefilled 6 41" xfId="7197"/>
    <cellStyle name="Prefilled 6 41 2" xfId="38549"/>
    <cellStyle name="Prefilled 6 41 3" xfId="38550"/>
    <cellStyle name="Prefilled 6 41 4" xfId="38551"/>
    <cellStyle name="Prefilled 6 41 5" xfId="38552"/>
    <cellStyle name="Prefilled 6 41 6" xfId="38553"/>
    <cellStyle name="Prefilled 6 41 7" xfId="38554"/>
    <cellStyle name="Prefilled 6 42" xfId="7198"/>
    <cellStyle name="Prefilled 6 42 2" xfId="38555"/>
    <cellStyle name="Prefilled 6 42 3" xfId="38556"/>
    <cellStyle name="Prefilled 6 42 4" xfId="38557"/>
    <cellStyle name="Prefilled 6 42 5" xfId="38558"/>
    <cellStyle name="Prefilled 6 42 6" xfId="38559"/>
    <cellStyle name="Prefilled 6 42 7" xfId="38560"/>
    <cellStyle name="Prefilled 6 43" xfId="7199"/>
    <cellStyle name="Prefilled 6 43 2" xfId="38561"/>
    <cellStyle name="Prefilled 6 43 3" xfId="38562"/>
    <cellStyle name="Prefilled 6 43 4" xfId="38563"/>
    <cellStyle name="Prefilled 6 43 5" xfId="38564"/>
    <cellStyle name="Prefilled 6 43 6" xfId="38565"/>
    <cellStyle name="Prefilled 6 43 7" xfId="38566"/>
    <cellStyle name="Prefilled 6 44" xfId="7200"/>
    <cellStyle name="Prefilled 6 44 2" xfId="38567"/>
    <cellStyle name="Prefilled 6 44 3" xfId="38568"/>
    <cellStyle name="Prefilled 6 44 4" xfId="38569"/>
    <cellStyle name="Prefilled 6 44 5" xfId="38570"/>
    <cellStyle name="Prefilled 6 44 6" xfId="38571"/>
    <cellStyle name="Prefilled 6 44 7" xfId="38572"/>
    <cellStyle name="Prefilled 6 45" xfId="7201"/>
    <cellStyle name="Prefilled 6 45 2" xfId="38573"/>
    <cellStyle name="Prefilled 6 45 3" xfId="38574"/>
    <cellStyle name="Prefilled 6 45 4" xfId="38575"/>
    <cellStyle name="Prefilled 6 45 5" xfId="38576"/>
    <cellStyle name="Prefilled 6 45 6" xfId="38577"/>
    <cellStyle name="Prefilled 6 45 7" xfId="38578"/>
    <cellStyle name="Prefilled 6 46" xfId="7202"/>
    <cellStyle name="Prefilled 6 46 2" xfId="38579"/>
    <cellStyle name="Prefilled 6 46 3" xfId="38580"/>
    <cellStyle name="Prefilled 6 46 4" xfId="38581"/>
    <cellStyle name="Prefilled 6 46 5" xfId="38582"/>
    <cellStyle name="Prefilled 6 46 6" xfId="38583"/>
    <cellStyle name="Prefilled 6 46 7" xfId="38584"/>
    <cellStyle name="Prefilled 6 47" xfId="7203"/>
    <cellStyle name="Prefilled 6 47 2" xfId="38585"/>
    <cellStyle name="Prefilled 6 47 3" xfId="38586"/>
    <cellStyle name="Prefilled 6 47 4" xfId="38587"/>
    <cellStyle name="Prefilled 6 47 5" xfId="38588"/>
    <cellStyle name="Prefilled 6 47 6" xfId="38589"/>
    <cellStyle name="Prefilled 6 47 7" xfId="38590"/>
    <cellStyle name="Prefilled 6 48" xfId="7204"/>
    <cellStyle name="Prefilled 6 48 2" xfId="38591"/>
    <cellStyle name="Prefilled 6 48 3" xfId="38592"/>
    <cellStyle name="Prefilled 6 48 4" xfId="38593"/>
    <cellStyle name="Prefilled 6 48 5" xfId="38594"/>
    <cellStyle name="Prefilled 6 48 6" xfId="38595"/>
    <cellStyle name="Prefilled 6 48 7" xfId="38596"/>
    <cellStyle name="Prefilled 6 49" xfId="7205"/>
    <cellStyle name="Prefilled 6 49 2" xfId="38597"/>
    <cellStyle name="Prefilled 6 49 3" xfId="38598"/>
    <cellStyle name="Prefilled 6 49 4" xfId="38599"/>
    <cellStyle name="Prefilled 6 49 5" xfId="38600"/>
    <cellStyle name="Prefilled 6 49 6" xfId="38601"/>
    <cellStyle name="Prefilled 6 49 7" xfId="38602"/>
    <cellStyle name="Prefilled 6 5" xfId="7206"/>
    <cellStyle name="Prefilled 6 5 2" xfId="38603"/>
    <cellStyle name="Prefilled 6 5 3" xfId="38604"/>
    <cellStyle name="Prefilled 6 5 4" xfId="38605"/>
    <cellStyle name="Prefilled 6 5 5" xfId="38606"/>
    <cellStyle name="Prefilled 6 5 6" xfId="38607"/>
    <cellStyle name="Prefilled 6 5 7" xfId="38608"/>
    <cellStyle name="Prefilled 6 50" xfId="7207"/>
    <cellStyle name="Prefilled 6 50 2" xfId="38609"/>
    <cellStyle name="Prefilled 6 50 3" xfId="38610"/>
    <cellStyle name="Prefilled 6 50 4" xfId="38611"/>
    <cellStyle name="Prefilled 6 50 5" xfId="38612"/>
    <cellStyle name="Prefilled 6 50 6" xfId="38613"/>
    <cellStyle name="Prefilled 6 50 7" xfId="38614"/>
    <cellStyle name="Prefilled 6 51" xfId="7208"/>
    <cellStyle name="Prefilled 6 51 2" xfId="38615"/>
    <cellStyle name="Prefilled 6 51 3" xfId="38616"/>
    <cellStyle name="Prefilled 6 51 4" xfId="38617"/>
    <cellStyle name="Prefilled 6 51 5" xfId="38618"/>
    <cellStyle name="Prefilled 6 51 6" xfId="38619"/>
    <cellStyle name="Prefilled 6 51 7" xfId="38620"/>
    <cellStyle name="Prefilled 6 52" xfId="7209"/>
    <cellStyle name="Prefilled 6 52 2" xfId="38621"/>
    <cellStyle name="Prefilled 6 52 3" xfId="38622"/>
    <cellStyle name="Prefilled 6 52 4" xfId="38623"/>
    <cellStyle name="Prefilled 6 52 5" xfId="38624"/>
    <cellStyle name="Prefilled 6 52 6" xfId="38625"/>
    <cellStyle name="Prefilled 6 52 7" xfId="38626"/>
    <cellStyle name="Prefilled 6 53" xfId="7210"/>
    <cellStyle name="Prefilled 6 53 2" xfId="38627"/>
    <cellStyle name="Prefilled 6 53 3" xfId="38628"/>
    <cellStyle name="Prefilled 6 53 4" xfId="38629"/>
    <cellStyle name="Prefilled 6 53 5" xfId="38630"/>
    <cellStyle name="Prefilled 6 53 6" xfId="38631"/>
    <cellStyle name="Prefilled 6 53 7" xfId="38632"/>
    <cellStyle name="Prefilled 6 54" xfId="7211"/>
    <cellStyle name="Prefilled 6 54 2" xfId="38633"/>
    <cellStyle name="Prefilled 6 54 3" xfId="38634"/>
    <cellStyle name="Prefilled 6 54 4" xfId="38635"/>
    <cellStyle name="Prefilled 6 54 5" xfId="38636"/>
    <cellStyle name="Prefilled 6 54 6" xfId="38637"/>
    <cellStyle name="Prefilled 6 54 7" xfId="38638"/>
    <cellStyle name="Prefilled 6 55" xfId="7212"/>
    <cellStyle name="Prefilled 6 55 2" xfId="38639"/>
    <cellStyle name="Prefilled 6 55 3" xfId="38640"/>
    <cellStyle name="Prefilled 6 55 4" xfId="38641"/>
    <cellStyle name="Prefilled 6 55 5" xfId="38642"/>
    <cellStyle name="Prefilled 6 55 6" xfId="38643"/>
    <cellStyle name="Prefilled 6 55 7" xfId="38644"/>
    <cellStyle name="Prefilled 6 56" xfId="7213"/>
    <cellStyle name="Prefilled 6 56 2" xfId="38645"/>
    <cellStyle name="Prefilled 6 56 3" xfId="38646"/>
    <cellStyle name="Prefilled 6 56 4" xfId="38647"/>
    <cellStyle name="Prefilled 6 56 5" xfId="38648"/>
    <cellStyle name="Prefilled 6 56 6" xfId="38649"/>
    <cellStyle name="Prefilled 6 56 7" xfId="38650"/>
    <cellStyle name="Prefilled 6 57" xfId="7214"/>
    <cellStyle name="Prefilled 6 57 2" xfId="38651"/>
    <cellStyle name="Prefilled 6 57 3" xfId="38652"/>
    <cellStyle name="Prefilled 6 57 4" xfId="38653"/>
    <cellStyle name="Prefilled 6 57 5" xfId="38654"/>
    <cellStyle name="Prefilled 6 57 6" xfId="38655"/>
    <cellStyle name="Prefilled 6 57 7" xfId="38656"/>
    <cellStyle name="Prefilled 6 58" xfId="7215"/>
    <cellStyle name="Prefilled 6 58 2" xfId="38657"/>
    <cellStyle name="Prefilled 6 58 3" xfId="38658"/>
    <cellStyle name="Prefilled 6 58 4" xfId="38659"/>
    <cellStyle name="Prefilled 6 58 5" xfId="38660"/>
    <cellStyle name="Prefilled 6 58 6" xfId="38661"/>
    <cellStyle name="Prefilled 6 58 7" xfId="38662"/>
    <cellStyle name="Prefilled 6 59" xfId="7216"/>
    <cellStyle name="Prefilled 6 59 2" xfId="38663"/>
    <cellStyle name="Prefilled 6 59 3" xfId="38664"/>
    <cellStyle name="Prefilled 6 59 4" xfId="38665"/>
    <cellStyle name="Prefilled 6 59 5" xfId="38666"/>
    <cellStyle name="Prefilled 6 59 6" xfId="38667"/>
    <cellStyle name="Prefilled 6 59 7" xfId="38668"/>
    <cellStyle name="Prefilled 6 6" xfId="7217"/>
    <cellStyle name="Prefilled 6 6 2" xfId="38669"/>
    <cellStyle name="Prefilled 6 6 3" xfId="38670"/>
    <cellStyle name="Prefilled 6 6 4" xfId="38671"/>
    <cellStyle name="Prefilled 6 6 5" xfId="38672"/>
    <cellStyle name="Prefilled 6 6 6" xfId="38673"/>
    <cellStyle name="Prefilled 6 6 7" xfId="38674"/>
    <cellStyle name="Prefilled 6 60" xfId="7218"/>
    <cellStyle name="Prefilled 6 60 2" xfId="38675"/>
    <cellStyle name="Prefilled 6 60 3" xfId="38676"/>
    <cellStyle name="Prefilled 6 60 4" xfId="38677"/>
    <cellStyle name="Prefilled 6 60 5" xfId="38678"/>
    <cellStyle name="Prefilled 6 60 6" xfId="38679"/>
    <cellStyle name="Prefilled 6 60 7" xfId="38680"/>
    <cellStyle name="Prefilled 6 61" xfId="7219"/>
    <cellStyle name="Prefilled 6 61 2" xfId="38681"/>
    <cellStyle name="Prefilled 6 61 3" xfId="38682"/>
    <cellStyle name="Prefilled 6 61 4" xfId="38683"/>
    <cellStyle name="Prefilled 6 61 5" xfId="38684"/>
    <cellStyle name="Prefilled 6 61 6" xfId="38685"/>
    <cellStyle name="Prefilled 6 61 7" xfId="38686"/>
    <cellStyle name="Prefilled 6 62" xfId="7220"/>
    <cellStyle name="Prefilled 6 62 2" xfId="38687"/>
    <cellStyle name="Prefilled 6 62 3" xfId="38688"/>
    <cellStyle name="Prefilled 6 62 4" xfId="38689"/>
    <cellStyle name="Prefilled 6 62 5" xfId="38690"/>
    <cellStyle name="Prefilled 6 62 6" xfId="38691"/>
    <cellStyle name="Prefilled 6 62 7" xfId="38692"/>
    <cellStyle name="Prefilled 6 63" xfId="7221"/>
    <cellStyle name="Prefilled 6 63 2" xfId="38693"/>
    <cellStyle name="Prefilled 6 63 3" xfId="38694"/>
    <cellStyle name="Prefilled 6 63 4" xfId="38695"/>
    <cellStyle name="Prefilled 6 63 5" xfId="38696"/>
    <cellStyle name="Prefilled 6 63 6" xfId="38697"/>
    <cellStyle name="Prefilled 6 63 7" xfId="38698"/>
    <cellStyle name="Prefilled 6 64" xfId="7222"/>
    <cellStyle name="Prefilled 6 64 2" xfId="38699"/>
    <cellStyle name="Prefilled 6 64 3" xfId="38700"/>
    <cellStyle name="Prefilled 6 64 4" xfId="38701"/>
    <cellStyle name="Prefilled 6 64 5" xfId="38702"/>
    <cellStyle name="Prefilled 6 64 6" xfId="38703"/>
    <cellStyle name="Prefilled 6 64 7" xfId="38704"/>
    <cellStyle name="Prefilled 6 65" xfId="7223"/>
    <cellStyle name="Prefilled 6 65 2" xfId="38705"/>
    <cellStyle name="Prefilled 6 65 3" xfId="38706"/>
    <cellStyle name="Prefilled 6 65 4" xfId="38707"/>
    <cellStyle name="Prefilled 6 65 5" xfId="38708"/>
    <cellStyle name="Prefilled 6 65 6" xfId="38709"/>
    <cellStyle name="Prefilled 6 65 7" xfId="38710"/>
    <cellStyle name="Prefilled 6 66" xfId="7224"/>
    <cellStyle name="Prefilled 6 66 2" xfId="38711"/>
    <cellStyle name="Prefilled 6 66 3" xfId="38712"/>
    <cellStyle name="Prefilled 6 66 4" xfId="38713"/>
    <cellStyle name="Prefilled 6 66 5" xfId="38714"/>
    <cellStyle name="Prefilled 6 66 6" xfId="38715"/>
    <cellStyle name="Prefilled 6 66 7" xfId="38716"/>
    <cellStyle name="Prefilled 6 67" xfId="7225"/>
    <cellStyle name="Prefilled 6 67 2" xfId="38717"/>
    <cellStyle name="Prefilled 6 67 3" xfId="38718"/>
    <cellStyle name="Prefilled 6 67 4" xfId="38719"/>
    <cellStyle name="Prefilled 6 67 5" xfId="38720"/>
    <cellStyle name="Prefilled 6 67 6" xfId="38721"/>
    <cellStyle name="Prefilled 6 67 7" xfId="38722"/>
    <cellStyle name="Prefilled 6 68" xfId="7226"/>
    <cellStyle name="Prefilled 6 68 2" xfId="38723"/>
    <cellStyle name="Prefilled 6 68 3" xfId="38724"/>
    <cellStyle name="Prefilled 6 68 4" xfId="38725"/>
    <cellStyle name="Prefilled 6 68 5" xfId="38726"/>
    <cellStyle name="Prefilled 6 68 6" xfId="38727"/>
    <cellStyle name="Prefilled 6 68 7" xfId="38728"/>
    <cellStyle name="Prefilled 6 69" xfId="7227"/>
    <cellStyle name="Prefilled 6 69 2" xfId="38729"/>
    <cellStyle name="Prefilled 6 69 3" xfId="38730"/>
    <cellStyle name="Prefilled 6 69 4" xfId="38731"/>
    <cellStyle name="Prefilled 6 69 5" xfId="38732"/>
    <cellStyle name="Prefilled 6 69 6" xfId="38733"/>
    <cellStyle name="Prefilled 6 69 7" xfId="38734"/>
    <cellStyle name="Prefilled 6 7" xfId="7228"/>
    <cellStyle name="Prefilled 6 7 2" xfId="38735"/>
    <cellStyle name="Prefilled 6 7 3" xfId="38736"/>
    <cellStyle name="Prefilled 6 7 4" xfId="38737"/>
    <cellStyle name="Prefilled 6 7 5" xfId="38738"/>
    <cellStyle name="Prefilled 6 7 6" xfId="38739"/>
    <cellStyle name="Prefilled 6 7 7" xfId="38740"/>
    <cellStyle name="Prefilled 6 70" xfId="7229"/>
    <cellStyle name="Prefilled 6 70 2" xfId="38741"/>
    <cellStyle name="Prefilled 6 70 3" xfId="38742"/>
    <cellStyle name="Prefilled 6 70 4" xfId="38743"/>
    <cellStyle name="Prefilled 6 70 5" xfId="38744"/>
    <cellStyle name="Prefilled 6 70 6" xfId="38745"/>
    <cellStyle name="Prefilled 6 70 7" xfId="38746"/>
    <cellStyle name="Prefilled 6 71" xfId="7230"/>
    <cellStyle name="Prefilled 6 71 2" xfId="38747"/>
    <cellStyle name="Prefilled 6 71 3" xfId="38748"/>
    <cellStyle name="Prefilled 6 71 4" xfId="38749"/>
    <cellStyle name="Prefilled 6 71 5" xfId="38750"/>
    <cellStyle name="Prefilled 6 71 6" xfId="38751"/>
    <cellStyle name="Prefilled 6 71 7" xfId="38752"/>
    <cellStyle name="Prefilled 6 72" xfId="7231"/>
    <cellStyle name="Prefilled 6 72 2" xfId="38753"/>
    <cellStyle name="Prefilled 6 72 3" xfId="38754"/>
    <cellStyle name="Prefilled 6 72 4" xfId="38755"/>
    <cellStyle name="Prefilled 6 72 5" xfId="38756"/>
    <cellStyle name="Prefilled 6 72 6" xfId="38757"/>
    <cellStyle name="Prefilled 6 72 7" xfId="38758"/>
    <cellStyle name="Prefilled 6 73" xfId="7232"/>
    <cellStyle name="Prefilled 6 73 2" xfId="38759"/>
    <cellStyle name="Prefilled 6 73 3" xfId="38760"/>
    <cellStyle name="Prefilled 6 73 4" xfId="38761"/>
    <cellStyle name="Prefilled 6 73 5" xfId="38762"/>
    <cellStyle name="Prefilled 6 73 6" xfId="38763"/>
    <cellStyle name="Prefilled 6 73 7" xfId="38764"/>
    <cellStyle name="Prefilled 6 74" xfId="7233"/>
    <cellStyle name="Prefilled 6 74 2" xfId="38765"/>
    <cellStyle name="Prefilled 6 74 3" xfId="38766"/>
    <cellStyle name="Prefilled 6 74 4" xfId="38767"/>
    <cellStyle name="Prefilled 6 74 5" xfId="38768"/>
    <cellStyle name="Prefilled 6 74 6" xfId="38769"/>
    <cellStyle name="Prefilled 6 74 7" xfId="38770"/>
    <cellStyle name="Prefilled 6 75" xfId="7234"/>
    <cellStyle name="Prefilled 6 75 2" xfId="38771"/>
    <cellStyle name="Prefilled 6 75 3" xfId="38772"/>
    <cellStyle name="Prefilled 6 75 4" xfId="38773"/>
    <cellStyle name="Prefilled 6 75 5" xfId="38774"/>
    <cellStyle name="Prefilled 6 75 6" xfId="38775"/>
    <cellStyle name="Prefilled 6 75 7" xfId="38776"/>
    <cellStyle name="Prefilled 6 76" xfId="7235"/>
    <cellStyle name="Prefilled 6 76 2" xfId="38777"/>
    <cellStyle name="Prefilled 6 76 3" xfId="38778"/>
    <cellStyle name="Prefilled 6 76 4" xfId="38779"/>
    <cellStyle name="Prefilled 6 76 5" xfId="38780"/>
    <cellStyle name="Prefilled 6 76 6" xfId="38781"/>
    <cellStyle name="Prefilled 6 76 7" xfId="38782"/>
    <cellStyle name="Prefilled 6 77" xfId="7236"/>
    <cellStyle name="Prefilled 6 77 2" xfId="38783"/>
    <cellStyle name="Prefilled 6 77 3" xfId="38784"/>
    <cellStyle name="Prefilled 6 77 4" xfId="38785"/>
    <cellStyle name="Prefilled 6 77 5" xfId="38786"/>
    <cellStyle name="Prefilled 6 77 6" xfId="38787"/>
    <cellStyle name="Prefilled 6 77 7" xfId="38788"/>
    <cellStyle name="Prefilled 6 78" xfId="7237"/>
    <cellStyle name="Prefilled 6 78 2" xfId="38789"/>
    <cellStyle name="Prefilled 6 78 3" xfId="38790"/>
    <cellStyle name="Prefilled 6 78 4" xfId="38791"/>
    <cellStyle name="Prefilled 6 78 5" xfId="38792"/>
    <cellStyle name="Prefilled 6 78 6" xfId="38793"/>
    <cellStyle name="Prefilled 6 78 7" xfId="38794"/>
    <cellStyle name="Prefilled 6 79" xfId="7238"/>
    <cellStyle name="Prefilled 6 79 2" xfId="38795"/>
    <cellStyle name="Prefilled 6 79 3" xfId="38796"/>
    <cellStyle name="Prefilled 6 79 4" xfId="38797"/>
    <cellStyle name="Prefilled 6 79 5" xfId="38798"/>
    <cellStyle name="Prefilled 6 79 6" xfId="38799"/>
    <cellStyle name="Prefilled 6 79 7" xfId="38800"/>
    <cellStyle name="Prefilled 6 8" xfId="7239"/>
    <cellStyle name="Prefilled 6 8 2" xfId="38801"/>
    <cellStyle name="Prefilled 6 8 3" xfId="38802"/>
    <cellStyle name="Prefilled 6 8 4" xfId="38803"/>
    <cellStyle name="Prefilled 6 8 5" xfId="38804"/>
    <cellStyle name="Prefilled 6 8 6" xfId="38805"/>
    <cellStyle name="Prefilled 6 8 7" xfId="38806"/>
    <cellStyle name="Prefilled 6 80" xfId="7240"/>
    <cellStyle name="Prefilled 6 80 2" xfId="38807"/>
    <cellStyle name="Prefilled 6 80 3" xfId="38808"/>
    <cellStyle name="Prefilled 6 80 4" xfId="38809"/>
    <cellStyle name="Prefilled 6 80 5" xfId="38810"/>
    <cellStyle name="Prefilled 6 80 6" xfId="38811"/>
    <cellStyle name="Prefilled 6 80 7" xfId="38812"/>
    <cellStyle name="Prefilled 6 81" xfId="7241"/>
    <cellStyle name="Prefilled 6 81 2" xfId="38813"/>
    <cellStyle name="Prefilled 6 81 3" xfId="38814"/>
    <cellStyle name="Prefilled 6 81 4" xfId="38815"/>
    <cellStyle name="Prefilled 6 81 5" xfId="38816"/>
    <cellStyle name="Prefilled 6 81 6" xfId="38817"/>
    <cellStyle name="Prefilled 6 81 7" xfId="38818"/>
    <cellStyle name="Prefilled 6 82" xfId="7242"/>
    <cellStyle name="Prefilled 6 82 2" xfId="38819"/>
    <cellStyle name="Prefilled 6 82 3" xfId="38820"/>
    <cellStyle name="Prefilled 6 82 4" xfId="38821"/>
    <cellStyle name="Prefilled 6 82 5" xfId="38822"/>
    <cellStyle name="Prefilled 6 82 6" xfId="38823"/>
    <cellStyle name="Prefilled 6 82 7" xfId="38824"/>
    <cellStyle name="Prefilled 6 83" xfId="7243"/>
    <cellStyle name="Prefilled 6 83 2" xfId="38825"/>
    <cellStyle name="Prefilled 6 83 3" xfId="38826"/>
    <cellStyle name="Prefilled 6 83 4" xfId="38827"/>
    <cellStyle name="Prefilled 6 83 5" xfId="38828"/>
    <cellStyle name="Prefilled 6 83 6" xfId="38829"/>
    <cellStyle name="Prefilled 6 83 7" xfId="38830"/>
    <cellStyle name="Prefilled 6 84" xfId="7244"/>
    <cellStyle name="Prefilled 6 84 2" xfId="38831"/>
    <cellStyle name="Prefilled 6 84 3" xfId="38832"/>
    <cellStyle name="Prefilled 6 84 4" xfId="38833"/>
    <cellStyle name="Prefilled 6 84 5" xfId="38834"/>
    <cellStyle name="Prefilled 6 84 6" xfId="38835"/>
    <cellStyle name="Prefilled 6 84 7" xfId="38836"/>
    <cellStyle name="Prefilled 6 85" xfId="7245"/>
    <cellStyle name="Prefilled 6 85 2" xfId="38837"/>
    <cellStyle name="Prefilled 6 85 3" xfId="38838"/>
    <cellStyle name="Prefilled 6 85 4" xfId="38839"/>
    <cellStyle name="Prefilled 6 85 5" xfId="38840"/>
    <cellStyle name="Prefilled 6 85 6" xfId="38841"/>
    <cellStyle name="Prefilled 6 85 7" xfId="38842"/>
    <cellStyle name="Prefilled 6 86" xfId="7246"/>
    <cellStyle name="Prefilled 6 86 2" xfId="38843"/>
    <cellStyle name="Prefilled 6 86 3" xfId="38844"/>
    <cellStyle name="Prefilled 6 86 4" xfId="38845"/>
    <cellStyle name="Prefilled 6 86 5" xfId="38846"/>
    <cellStyle name="Prefilled 6 86 6" xfId="38847"/>
    <cellStyle name="Prefilled 6 86 7" xfId="38848"/>
    <cellStyle name="Prefilled 6 87" xfId="7247"/>
    <cellStyle name="Prefilled 6 87 2" xfId="38849"/>
    <cellStyle name="Prefilled 6 87 3" xfId="38850"/>
    <cellStyle name="Prefilled 6 87 4" xfId="38851"/>
    <cellStyle name="Prefilled 6 87 5" xfId="38852"/>
    <cellStyle name="Prefilled 6 87 6" xfId="38853"/>
    <cellStyle name="Prefilled 6 87 7" xfId="38854"/>
    <cellStyle name="Prefilled 6 88" xfId="7248"/>
    <cellStyle name="Prefilled 6 88 2" xfId="38855"/>
    <cellStyle name="Prefilled 6 88 3" xfId="38856"/>
    <cellStyle name="Prefilled 6 88 4" xfId="38857"/>
    <cellStyle name="Prefilled 6 88 5" xfId="38858"/>
    <cellStyle name="Prefilled 6 88 6" xfId="38859"/>
    <cellStyle name="Prefilled 6 88 7" xfId="38860"/>
    <cellStyle name="Prefilled 6 89" xfId="7249"/>
    <cellStyle name="Prefilled 6 89 2" xfId="38861"/>
    <cellStyle name="Prefilled 6 89 3" xfId="38862"/>
    <cellStyle name="Prefilled 6 89 4" xfId="38863"/>
    <cellStyle name="Prefilled 6 89 5" xfId="38864"/>
    <cellStyle name="Prefilled 6 89 6" xfId="38865"/>
    <cellStyle name="Prefilled 6 89 7" xfId="38866"/>
    <cellStyle name="Prefilled 6 9" xfId="7250"/>
    <cellStyle name="Prefilled 6 9 2" xfId="38867"/>
    <cellStyle name="Prefilled 6 9 3" xfId="38868"/>
    <cellStyle name="Prefilled 6 9 4" xfId="38869"/>
    <cellStyle name="Prefilled 6 9 5" xfId="38870"/>
    <cellStyle name="Prefilled 6 9 6" xfId="38871"/>
    <cellStyle name="Prefilled 6 9 7" xfId="38872"/>
    <cellStyle name="Prefilled 6 90" xfId="7251"/>
    <cellStyle name="Prefilled 6 90 2" xfId="38873"/>
    <cellStyle name="Prefilled 6 90 3" xfId="38874"/>
    <cellStyle name="Prefilled 6 90 4" xfId="38875"/>
    <cellStyle name="Prefilled 6 90 5" xfId="38876"/>
    <cellStyle name="Prefilled 6 90 6" xfId="38877"/>
    <cellStyle name="Prefilled 6 90 7" xfId="38878"/>
    <cellStyle name="Prefilled 6 91" xfId="7252"/>
    <cellStyle name="Prefilled 6 91 2" xfId="38879"/>
    <cellStyle name="Prefilled 6 91 3" xfId="38880"/>
    <cellStyle name="Prefilled 6 91 4" xfId="38881"/>
    <cellStyle name="Prefilled 6 91 5" xfId="38882"/>
    <cellStyle name="Prefilled 6 91 6" xfId="38883"/>
    <cellStyle name="Prefilled 6 91 7" xfId="38884"/>
    <cellStyle name="Prefilled 6 92" xfId="7253"/>
    <cellStyle name="Prefilled 6 92 2" xfId="38885"/>
    <cellStyle name="Prefilled 6 92 3" xfId="38886"/>
    <cellStyle name="Prefilled 6 92 4" xfId="38887"/>
    <cellStyle name="Prefilled 6 92 5" xfId="38888"/>
    <cellStyle name="Prefilled 6 92 6" xfId="38889"/>
    <cellStyle name="Prefilled 6 92 7" xfId="38890"/>
    <cellStyle name="Prefilled 6 93" xfId="7254"/>
    <cellStyle name="Prefilled 6 93 2" xfId="38891"/>
    <cellStyle name="Prefilled 6 93 3" xfId="38892"/>
    <cellStyle name="Prefilled 6 93 4" xfId="38893"/>
    <cellStyle name="Prefilled 6 93 5" xfId="38894"/>
    <cellStyle name="Prefilled 6 93 6" xfId="38895"/>
    <cellStyle name="Prefilled 6 94" xfId="38896"/>
    <cellStyle name="Prefilled 6 95" xfId="38897"/>
    <cellStyle name="Prefilled 6 96" xfId="38898"/>
    <cellStyle name="Prefilled 6 97" xfId="38899"/>
    <cellStyle name="Prefilled 6 98" xfId="38900"/>
    <cellStyle name="Prefilled 6 99" xfId="38901"/>
    <cellStyle name="Prefilled 60" xfId="7255"/>
    <cellStyle name="Prefilled 60 2" xfId="38902"/>
    <cellStyle name="Prefilled 60 3" xfId="38903"/>
    <cellStyle name="Prefilled 60 4" xfId="38904"/>
    <cellStyle name="Prefilled 60 5" xfId="38905"/>
    <cellStyle name="Prefilled 60 6" xfId="38906"/>
    <cellStyle name="Prefilled 60 7" xfId="38907"/>
    <cellStyle name="Prefilled 61" xfId="7256"/>
    <cellStyle name="Prefilled 61 2" xfId="38908"/>
    <cellStyle name="Prefilled 61 3" xfId="38909"/>
    <cellStyle name="Prefilled 61 4" xfId="38910"/>
    <cellStyle name="Prefilled 61 5" xfId="38911"/>
    <cellStyle name="Prefilled 61 6" xfId="38912"/>
    <cellStyle name="Prefilled 61 7" xfId="38913"/>
    <cellStyle name="Prefilled 62" xfId="7257"/>
    <cellStyle name="Prefilled 62 2" xfId="38914"/>
    <cellStyle name="Prefilled 62 3" xfId="38915"/>
    <cellStyle name="Prefilled 62 4" xfId="38916"/>
    <cellStyle name="Prefilled 62 5" xfId="38917"/>
    <cellStyle name="Prefilled 62 6" xfId="38918"/>
    <cellStyle name="Prefilled 62 7" xfId="38919"/>
    <cellStyle name="Prefilled 63" xfId="7258"/>
    <cellStyle name="Prefilled 63 2" xfId="38920"/>
    <cellStyle name="Prefilled 63 3" xfId="38921"/>
    <cellStyle name="Prefilled 63 4" xfId="38922"/>
    <cellStyle name="Prefilled 63 5" xfId="38923"/>
    <cellStyle name="Prefilled 63 6" xfId="38924"/>
    <cellStyle name="Prefilled 63 7" xfId="38925"/>
    <cellStyle name="Prefilled 64" xfId="7259"/>
    <cellStyle name="Prefilled 64 2" xfId="38926"/>
    <cellStyle name="Prefilled 64 3" xfId="38927"/>
    <cellStyle name="Prefilled 64 4" xfId="38928"/>
    <cellStyle name="Prefilled 64 5" xfId="38929"/>
    <cellStyle name="Prefilled 64 6" xfId="38930"/>
    <cellStyle name="Prefilled 64 7" xfId="38931"/>
    <cellStyle name="Prefilled 65" xfId="7260"/>
    <cellStyle name="Prefilled 65 2" xfId="38932"/>
    <cellStyle name="Prefilled 65 3" xfId="38933"/>
    <cellStyle name="Prefilled 65 4" xfId="38934"/>
    <cellStyle name="Prefilled 65 5" xfId="38935"/>
    <cellStyle name="Prefilled 65 6" xfId="38936"/>
    <cellStyle name="Prefilled 65 7" xfId="38937"/>
    <cellStyle name="Prefilled 66" xfId="7261"/>
    <cellStyle name="Prefilled 66 2" xfId="38938"/>
    <cellStyle name="Prefilled 66 3" xfId="38939"/>
    <cellStyle name="Prefilled 66 4" xfId="38940"/>
    <cellStyle name="Prefilled 66 5" xfId="38941"/>
    <cellStyle name="Prefilled 66 6" xfId="38942"/>
    <cellStyle name="Prefilled 66 7" xfId="38943"/>
    <cellStyle name="Prefilled 67" xfId="7262"/>
    <cellStyle name="Prefilled 67 2" xfId="38944"/>
    <cellStyle name="Prefilled 67 3" xfId="38945"/>
    <cellStyle name="Prefilled 67 4" xfId="38946"/>
    <cellStyle name="Prefilled 67 5" xfId="38947"/>
    <cellStyle name="Prefilled 67 6" xfId="38948"/>
    <cellStyle name="Prefilled 67 7" xfId="38949"/>
    <cellStyle name="Prefilled 68" xfId="7263"/>
    <cellStyle name="Prefilled 68 2" xfId="38950"/>
    <cellStyle name="Prefilled 68 3" xfId="38951"/>
    <cellStyle name="Prefilled 68 4" xfId="38952"/>
    <cellStyle name="Prefilled 68 5" xfId="38953"/>
    <cellStyle name="Prefilled 68 6" xfId="38954"/>
    <cellStyle name="Prefilled 68 7" xfId="38955"/>
    <cellStyle name="Prefilled 69" xfId="7264"/>
    <cellStyle name="Prefilled 69 2" xfId="38956"/>
    <cellStyle name="Prefilled 69 3" xfId="38957"/>
    <cellStyle name="Prefilled 69 4" xfId="38958"/>
    <cellStyle name="Prefilled 69 5" xfId="38959"/>
    <cellStyle name="Prefilled 69 6" xfId="38960"/>
    <cellStyle name="Prefilled 69 7" xfId="38961"/>
    <cellStyle name="Prefilled 7" xfId="7265"/>
    <cellStyle name="Prefilled 7 10" xfId="38962"/>
    <cellStyle name="Prefilled 7 11" xfId="38963"/>
    <cellStyle name="Prefilled 7 2" xfId="38964"/>
    <cellStyle name="Prefilled 7 3" xfId="38965"/>
    <cellStyle name="Prefilled 7 4" xfId="38966"/>
    <cellStyle name="Prefilled 7 5" xfId="38967"/>
    <cellStyle name="Prefilled 7 6" xfId="38968"/>
    <cellStyle name="Prefilled 7 7" xfId="38969"/>
    <cellStyle name="Prefilled 7 8" xfId="38970"/>
    <cellStyle name="Prefilled 7 9" xfId="38971"/>
    <cellStyle name="Prefilled 70" xfId="7266"/>
    <cellStyle name="Prefilled 70 2" xfId="38972"/>
    <cellStyle name="Prefilled 70 3" xfId="38973"/>
    <cellStyle name="Prefilled 70 4" xfId="38974"/>
    <cellStyle name="Prefilled 70 5" xfId="38975"/>
    <cellStyle name="Prefilled 70 6" xfId="38976"/>
    <cellStyle name="Prefilled 70 7" xfId="38977"/>
    <cellStyle name="Prefilled 71" xfId="7267"/>
    <cellStyle name="Prefilled 71 2" xfId="38978"/>
    <cellStyle name="Prefilled 71 3" xfId="38979"/>
    <cellStyle name="Prefilled 71 4" xfId="38980"/>
    <cellStyle name="Prefilled 71 5" xfId="38981"/>
    <cellStyle name="Prefilled 71 6" xfId="38982"/>
    <cellStyle name="Prefilled 71 7" xfId="38983"/>
    <cellStyle name="Prefilled 72" xfId="7268"/>
    <cellStyle name="Prefilled 72 2" xfId="38984"/>
    <cellStyle name="Prefilled 72 3" xfId="38985"/>
    <cellStyle name="Prefilled 72 4" xfId="38986"/>
    <cellStyle name="Prefilled 72 5" xfId="38987"/>
    <cellStyle name="Prefilled 72 6" xfId="38988"/>
    <cellStyle name="Prefilled 72 7" xfId="38989"/>
    <cellStyle name="Prefilled 73" xfId="7269"/>
    <cellStyle name="Prefilled 73 2" xfId="38990"/>
    <cellStyle name="Prefilled 73 3" xfId="38991"/>
    <cellStyle name="Prefilled 73 4" xfId="38992"/>
    <cellStyle name="Prefilled 73 5" xfId="38993"/>
    <cellStyle name="Prefilled 73 6" xfId="38994"/>
    <cellStyle name="Prefilled 73 7" xfId="38995"/>
    <cellStyle name="Prefilled 74" xfId="7270"/>
    <cellStyle name="Prefilled 74 2" xfId="38996"/>
    <cellStyle name="Prefilled 74 3" xfId="38997"/>
    <cellStyle name="Prefilled 74 4" xfId="38998"/>
    <cellStyle name="Prefilled 74 5" xfId="38999"/>
    <cellStyle name="Prefilled 74 6" xfId="39000"/>
    <cellStyle name="Prefilled 74 7" xfId="39001"/>
    <cellStyle name="Prefilled 75" xfId="7271"/>
    <cellStyle name="Prefilled 75 2" xfId="39002"/>
    <cellStyle name="Prefilled 75 3" xfId="39003"/>
    <cellStyle name="Prefilled 75 4" xfId="39004"/>
    <cellStyle name="Prefilled 75 5" xfId="39005"/>
    <cellStyle name="Prefilled 75 6" xfId="39006"/>
    <cellStyle name="Prefilled 75 7" xfId="39007"/>
    <cellStyle name="Prefilled 8" xfId="7272"/>
    <cellStyle name="Prefilled 8 10" xfId="39008"/>
    <cellStyle name="Prefilled 8 11" xfId="39009"/>
    <cellStyle name="Prefilled 8 2" xfId="39010"/>
    <cellStyle name="Prefilled 8 3" xfId="39011"/>
    <cellStyle name="Prefilled 8 4" xfId="39012"/>
    <cellStyle name="Prefilled 8 5" xfId="39013"/>
    <cellStyle name="Prefilled 8 6" xfId="39014"/>
    <cellStyle name="Prefilled 8 7" xfId="39015"/>
    <cellStyle name="Prefilled 8 8" xfId="39016"/>
    <cellStyle name="Prefilled 8 9" xfId="39017"/>
    <cellStyle name="Prefilled 9" xfId="7273"/>
    <cellStyle name="Prefilled 9 10" xfId="39018"/>
    <cellStyle name="Prefilled 9 11" xfId="39019"/>
    <cellStyle name="Prefilled 9 2" xfId="39020"/>
    <cellStyle name="Prefilled 9 3" xfId="39021"/>
    <cellStyle name="Prefilled 9 4" xfId="39022"/>
    <cellStyle name="Prefilled 9 5" xfId="39023"/>
    <cellStyle name="Prefilled 9 6" xfId="39024"/>
    <cellStyle name="Prefilled 9 7" xfId="39025"/>
    <cellStyle name="Prefilled 9 8" xfId="39026"/>
    <cellStyle name="Prefilled 9 9" xfId="39027"/>
    <cellStyle name="Prefilled_YL Capex Cashflow &amp; Dep" xfId="13513"/>
    <cellStyle name="PrePop Currency (0)" xfId="2487"/>
    <cellStyle name="PrePop Currency (2)" xfId="2488"/>
    <cellStyle name="PrePop Units (0)" xfId="2489"/>
    <cellStyle name="PrePop Units (1)" xfId="2490"/>
    <cellStyle name="PrePop Units (2)" xfId="2491"/>
    <cellStyle name="price" xfId="2492"/>
    <cellStyle name="Product Header" xfId="2493"/>
    <cellStyle name="PSChar" xfId="2494"/>
    <cellStyle name="PSDate" xfId="2495"/>
    <cellStyle name="PSDec" xfId="2496"/>
    <cellStyle name="PSHeading" xfId="2497"/>
    <cellStyle name="PSInt" xfId="2498"/>
    <cellStyle name="PSSpacer" xfId="2499"/>
    <cellStyle name="regstoresfromspecstores" xfId="2500"/>
    <cellStyle name="Reset  - Style7" xfId="2501"/>
    <cellStyle name="revised" xfId="2502"/>
    <cellStyle name="RevList" xfId="2503"/>
    <cellStyle name="row_def_array" xfId="2504"/>
    <cellStyle name="s]_x000d__x000a_load=_x000d__x000a_run=_x000d__x000a_NullPort=None_x000d__x000a_device=HP LaserJet 4 Plus,HPPCL5MS,LPT1:_x000d__x000a__x000d__x000a_[Desktop]_x000d__x000a_Wallpaper=(无)_x000d__x000a_TileWallpaper=0_x000d_" xfId="2505"/>
    <cellStyle name="Salomon Logo" xfId="2506"/>
    <cellStyle name="Salomon Logo 2" xfId="7274"/>
    <cellStyle name="Salomon Logo 2 2" xfId="39028"/>
    <cellStyle name="Salomon Logo 2 3" xfId="39029"/>
    <cellStyle name="Salomon Logo 2 4" xfId="39030"/>
    <cellStyle name="Salomon Logo 2 5" xfId="39031"/>
    <cellStyle name="Salomon Logo 2 6" xfId="39032"/>
    <cellStyle name="Salomon Logo 2 7" xfId="39033"/>
    <cellStyle name="Salomon Logo 2 8" xfId="39034"/>
    <cellStyle name="Salomon Logo 3" xfId="7275"/>
    <cellStyle name="Salomon Logo 3 2" xfId="39035"/>
    <cellStyle name="Salomon Logo 4" xfId="39036"/>
    <cellStyle name="Salomon Logo 5" xfId="39037"/>
    <cellStyle name="Salomon Logo 6" xfId="39038"/>
    <cellStyle name="Salomon Logo 7" xfId="39039"/>
    <cellStyle name="Salomon Logo 8" xfId="39040"/>
    <cellStyle name="Scientific" xfId="2507"/>
    <cellStyle name="section" xfId="2508"/>
    <cellStyle name="SHADEDSTORES" xfId="2509"/>
    <cellStyle name="SHADEDSTORES 10" xfId="7276"/>
    <cellStyle name="SHADEDSTORES 10 10" xfId="39041"/>
    <cellStyle name="SHADEDSTORES 10 2" xfId="39042"/>
    <cellStyle name="SHADEDSTORES 10 3" xfId="39043"/>
    <cellStyle name="SHADEDSTORES 10 4" xfId="39044"/>
    <cellStyle name="SHADEDSTORES 10 5" xfId="39045"/>
    <cellStyle name="SHADEDSTORES 10 6" xfId="39046"/>
    <cellStyle name="SHADEDSTORES 10 7" xfId="39047"/>
    <cellStyle name="SHADEDSTORES 10 8" xfId="39048"/>
    <cellStyle name="SHADEDSTORES 10 9" xfId="39049"/>
    <cellStyle name="SHADEDSTORES 11" xfId="7277"/>
    <cellStyle name="SHADEDSTORES 11 2" xfId="39050"/>
    <cellStyle name="SHADEDSTORES 11 3" xfId="39051"/>
    <cellStyle name="SHADEDSTORES 11 4" xfId="39052"/>
    <cellStyle name="SHADEDSTORES 11 5" xfId="39053"/>
    <cellStyle name="SHADEDSTORES 11 6" xfId="39054"/>
    <cellStyle name="SHADEDSTORES 11 7" xfId="39055"/>
    <cellStyle name="SHADEDSTORES 11 8" xfId="39056"/>
    <cellStyle name="SHADEDSTORES 11 9" xfId="39057"/>
    <cellStyle name="SHADEDSTORES 12" xfId="7278"/>
    <cellStyle name="SHADEDSTORES 12 2" xfId="39058"/>
    <cellStyle name="SHADEDSTORES 12 3" xfId="39059"/>
    <cellStyle name="SHADEDSTORES 12 4" xfId="39060"/>
    <cellStyle name="SHADEDSTORES 12 5" xfId="39061"/>
    <cellStyle name="SHADEDSTORES 12 6" xfId="39062"/>
    <cellStyle name="SHADEDSTORES 12 7" xfId="39063"/>
    <cellStyle name="SHADEDSTORES 12 8" xfId="39064"/>
    <cellStyle name="SHADEDSTORES 12 9" xfId="39065"/>
    <cellStyle name="SHADEDSTORES 13" xfId="7279"/>
    <cellStyle name="SHADEDSTORES 13 2" xfId="39066"/>
    <cellStyle name="SHADEDSTORES 13 3" xfId="39067"/>
    <cellStyle name="SHADEDSTORES 13 4" xfId="39068"/>
    <cellStyle name="SHADEDSTORES 13 5" xfId="39069"/>
    <cellStyle name="SHADEDSTORES 13 6" xfId="39070"/>
    <cellStyle name="SHADEDSTORES 13 7" xfId="39071"/>
    <cellStyle name="SHADEDSTORES 13 8" xfId="39072"/>
    <cellStyle name="SHADEDSTORES 13 9" xfId="39073"/>
    <cellStyle name="SHADEDSTORES 14" xfId="7280"/>
    <cellStyle name="SHADEDSTORES 14 2" xfId="39074"/>
    <cellStyle name="SHADEDSTORES 14 3" xfId="39075"/>
    <cellStyle name="SHADEDSTORES 14 4" xfId="39076"/>
    <cellStyle name="SHADEDSTORES 14 5" xfId="39077"/>
    <cellStyle name="SHADEDSTORES 14 6" xfId="39078"/>
    <cellStyle name="SHADEDSTORES 14 7" xfId="39079"/>
    <cellStyle name="SHADEDSTORES 14 8" xfId="39080"/>
    <cellStyle name="SHADEDSTORES 14 9" xfId="39081"/>
    <cellStyle name="SHADEDSTORES 15" xfId="7281"/>
    <cellStyle name="SHADEDSTORES 15 2" xfId="39082"/>
    <cellStyle name="SHADEDSTORES 15 3" xfId="39083"/>
    <cellStyle name="SHADEDSTORES 15 4" xfId="39084"/>
    <cellStyle name="SHADEDSTORES 15 5" xfId="39085"/>
    <cellStyle name="SHADEDSTORES 15 6" xfId="39086"/>
    <cellStyle name="SHADEDSTORES 15 7" xfId="39087"/>
    <cellStyle name="SHADEDSTORES 15 8" xfId="39088"/>
    <cellStyle name="SHADEDSTORES 15 9" xfId="39089"/>
    <cellStyle name="SHADEDSTORES 16" xfId="7282"/>
    <cellStyle name="SHADEDSTORES 16 2" xfId="39090"/>
    <cellStyle name="SHADEDSTORES 16 3" xfId="39091"/>
    <cellStyle name="SHADEDSTORES 16 4" xfId="39092"/>
    <cellStyle name="SHADEDSTORES 16 5" xfId="39093"/>
    <cellStyle name="SHADEDSTORES 16 6" xfId="39094"/>
    <cellStyle name="SHADEDSTORES 16 7" xfId="39095"/>
    <cellStyle name="SHADEDSTORES 16 8" xfId="39096"/>
    <cellStyle name="SHADEDSTORES 16 9" xfId="39097"/>
    <cellStyle name="SHADEDSTORES 17" xfId="7283"/>
    <cellStyle name="SHADEDSTORES 17 2" xfId="39098"/>
    <cellStyle name="SHADEDSTORES 17 3" xfId="39099"/>
    <cellStyle name="SHADEDSTORES 17 4" xfId="39100"/>
    <cellStyle name="SHADEDSTORES 17 5" xfId="39101"/>
    <cellStyle name="SHADEDSTORES 17 6" xfId="39102"/>
    <cellStyle name="SHADEDSTORES 17 7" xfId="39103"/>
    <cellStyle name="SHADEDSTORES 17 8" xfId="39104"/>
    <cellStyle name="SHADEDSTORES 17 9" xfId="39105"/>
    <cellStyle name="SHADEDSTORES 18" xfId="7284"/>
    <cellStyle name="SHADEDSTORES 18 2" xfId="39106"/>
    <cellStyle name="SHADEDSTORES 18 3" xfId="39107"/>
    <cellStyle name="SHADEDSTORES 18 4" xfId="39108"/>
    <cellStyle name="SHADEDSTORES 18 5" xfId="39109"/>
    <cellStyle name="SHADEDSTORES 18 6" xfId="39110"/>
    <cellStyle name="SHADEDSTORES 18 7" xfId="39111"/>
    <cellStyle name="SHADEDSTORES 18 8" xfId="39112"/>
    <cellStyle name="SHADEDSTORES 18 9" xfId="39113"/>
    <cellStyle name="SHADEDSTORES 19" xfId="7285"/>
    <cellStyle name="SHADEDSTORES 19 2" xfId="39114"/>
    <cellStyle name="SHADEDSTORES 19 3" xfId="39115"/>
    <cellStyle name="SHADEDSTORES 19 4" xfId="39116"/>
    <cellStyle name="SHADEDSTORES 19 5" xfId="39117"/>
    <cellStyle name="SHADEDSTORES 19 6" xfId="39118"/>
    <cellStyle name="SHADEDSTORES 19 7" xfId="39119"/>
    <cellStyle name="SHADEDSTORES 19 8" xfId="39120"/>
    <cellStyle name="SHADEDSTORES 19 9" xfId="39121"/>
    <cellStyle name="SHADEDSTORES 2" xfId="2510"/>
    <cellStyle name="SHADEDSTORES 2 10" xfId="7286"/>
    <cellStyle name="SHADEDSTORES 2 10 2" xfId="39122"/>
    <cellStyle name="SHADEDSTORES 2 10 3" xfId="39123"/>
    <cellStyle name="SHADEDSTORES 2 10 4" xfId="39124"/>
    <cellStyle name="SHADEDSTORES 2 10 5" xfId="39125"/>
    <cellStyle name="SHADEDSTORES 2 10 6" xfId="39126"/>
    <cellStyle name="SHADEDSTORES 2 10 7" xfId="39127"/>
    <cellStyle name="SHADEDSTORES 2 10 8" xfId="39128"/>
    <cellStyle name="SHADEDSTORES 2 10 9" xfId="39129"/>
    <cellStyle name="SHADEDSTORES 2 100" xfId="39130"/>
    <cellStyle name="SHADEDSTORES 2 11" xfId="7287"/>
    <cellStyle name="SHADEDSTORES 2 11 2" xfId="39131"/>
    <cellStyle name="SHADEDSTORES 2 11 3" xfId="39132"/>
    <cellStyle name="SHADEDSTORES 2 11 4" xfId="39133"/>
    <cellStyle name="SHADEDSTORES 2 11 5" xfId="39134"/>
    <cellStyle name="SHADEDSTORES 2 11 6" xfId="39135"/>
    <cellStyle name="SHADEDSTORES 2 11 7" xfId="39136"/>
    <cellStyle name="SHADEDSTORES 2 11 8" xfId="39137"/>
    <cellStyle name="SHADEDSTORES 2 11 9" xfId="39138"/>
    <cellStyle name="SHADEDSTORES 2 12" xfId="7288"/>
    <cellStyle name="SHADEDSTORES 2 12 2" xfId="39139"/>
    <cellStyle name="SHADEDSTORES 2 12 3" xfId="39140"/>
    <cellStyle name="SHADEDSTORES 2 12 4" xfId="39141"/>
    <cellStyle name="SHADEDSTORES 2 12 5" xfId="39142"/>
    <cellStyle name="SHADEDSTORES 2 12 6" xfId="39143"/>
    <cellStyle name="SHADEDSTORES 2 12 7" xfId="39144"/>
    <cellStyle name="SHADEDSTORES 2 12 8" xfId="39145"/>
    <cellStyle name="SHADEDSTORES 2 12 9" xfId="39146"/>
    <cellStyle name="SHADEDSTORES 2 13" xfId="7289"/>
    <cellStyle name="SHADEDSTORES 2 13 2" xfId="39147"/>
    <cellStyle name="SHADEDSTORES 2 13 3" xfId="39148"/>
    <cellStyle name="SHADEDSTORES 2 13 4" xfId="39149"/>
    <cellStyle name="SHADEDSTORES 2 13 5" xfId="39150"/>
    <cellStyle name="SHADEDSTORES 2 13 6" xfId="39151"/>
    <cellStyle name="SHADEDSTORES 2 13 7" xfId="39152"/>
    <cellStyle name="SHADEDSTORES 2 13 8" xfId="39153"/>
    <cellStyle name="SHADEDSTORES 2 13 9" xfId="39154"/>
    <cellStyle name="SHADEDSTORES 2 14" xfId="7290"/>
    <cellStyle name="SHADEDSTORES 2 14 2" xfId="39155"/>
    <cellStyle name="SHADEDSTORES 2 14 3" xfId="39156"/>
    <cellStyle name="SHADEDSTORES 2 14 4" xfId="39157"/>
    <cellStyle name="SHADEDSTORES 2 14 5" xfId="39158"/>
    <cellStyle name="SHADEDSTORES 2 14 6" xfId="39159"/>
    <cellStyle name="SHADEDSTORES 2 14 7" xfId="39160"/>
    <cellStyle name="SHADEDSTORES 2 14 8" xfId="39161"/>
    <cellStyle name="SHADEDSTORES 2 14 9" xfId="39162"/>
    <cellStyle name="SHADEDSTORES 2 15" xfId="7291"/>
    <cellStyle name="SHADEDSTORES 2 15 2" xfId="39163"/>
    <cellStyle name="SHADEDSTORES 2 15 3" xfId="39164"/>
    <cellStyle name="SHADEDSTORES 2 15 4" xfId="39165"/>
    <cellStyle name="SHADEDSTORES 2 15 5" xfId="39166"/>
    <cellStyle name="SHADEDSTORES 2 15 6" xfId="39167"/>
    <cellStyle name="SHADEDSTORES 2 15 7" xfId="39168"/>
    <cellStyle name="SHADEDSTORES 2 15 8" xfId="39169"/>
    <cellStyle name="SHADEDSTORES 2 15 9" xfId="39170"/>
    <cellStyle name="SHADEDSTORES 2 16" xfId="7292"/>
    <cellStyle name="SHADEDSTORES 2 16 2" xfId="39171"/>
    <cellStyle name="SHADEDSTORES 2 16 3" xfId="39172"/>
    <cellStyle name="SHADEDSTORES 2 16 4" xfId="39173"/>
    <cellStyle name="SHADEDSTORES 2 16 5" xfId="39174"/>
    <cellStyle name="SHADEDSTORES 2 16 6" xfId="39175"/>
    <cellStyle name="SHADEDSTORES 2 16 7" xfId="39176"/>
    <cellStyle name="SHADEDSTORES 2 16 8" xfId="39177"/>
    <cellStyle name="SHADEDSTORES 2 16 9" xfId="39178"/>
    <cellStyle name="SHADEDSTORES 2 17" xfId="7293"/>
    <cellStyle name="SHADEDSTORES 2 17 2" xfId="39179"/>
    <cellStyle name="SHADEDSTORES 2 17 3" xfId="39180"/>
    <cellStyle name="SHADEDSTORES 2 17 4" xfId="39181"/>
    <cellStyle name="SHADEDSTORES 2 17 5" xfId="39182"/>
    <cellStyle name="SHADEDSTORES 2 17 6" xfId="39183"/>
    <cellStyle name="SHADEDSTORES 2 17 7" xfId="39184"/>
    <cellStyle name="SHADEDSTORES 2 17 8" xfId="39185"/>
    <cellStyle name="SHADEDSTORES 2 17 9" xfId="39186"/>
    <cellStyle name="SHADEDSTORES 2 18" xfId="7294"/>
    <cellStyle name="SHADEDSTORES 2 18 2" xfId="39187"/>
    <cellStyle name="SHADEDSTORES 2 18 3" xfId="39188"/>
    <cellStyle name="SHADEDSTORES 2 18 4" xfId="39189"/>
    <cellStyle name="SHADEDSTORES 2 18 5" xfId="39190"/>
    <cellStyle name="SHADEDSTORES 2 18 6" xfId="39191"/>
    <cellStyle name="SHADEDSTORES 2 18 7" xfId="39192"/>
    <cellStyle name="SHADEDSTORES 2 18 8" xfId="39193"/>
    <cellStyle name="SHADEDSTORES 2 18 9" xfId="39194"/>
    <cellStyle name="SHADEDSTORES 2 19" xfId="7295"/>
    <cellStyle name="SHADEDSTORES 2 19 2" xfId="39195"/>
    <cellStyle name="SHADEDSTORES 2 19 3" xfId="39196"/>
    <cellStyle name="SHADEDSTORES 2 19 4" xfId="39197"/>
    <cellStyle name="SHADEDSTORES 2 19 5" xfId="39198"/>
    <cellStyle name="SHADEDSTORES 2 19 6" xfId="39199"/>
    <cellStyle name="SHADEDSTORES 2 19 7" xfId="39200"/>
    <cellStyle name="SHADEDSTORES 2 19 8" xfId="39201"/>
    <cellStyle name="SHADEDSTORES 2 19 9" xfId="39202"/>
    <cellStyle name="SHADEDSTORES 2 2" xfId="2511"/>
    <cellStyle name="SHADEDSTORES 2 2 10" xfId="7296"/>
    <cellStyle name="SHADEDSTORES 2 2 10 2" xfId="39203"/>
    <cellStyle name="SHADEDSTORES 2 2 10 3" xfId="39204"/>
    <cellStyle name="SHADEDSTORES 2 2 10 4" xfId="39205"/>
    <cellStyle name="SHADEDSTORES 2 2 10 5" xfId="39206"/>
    <cellStyle name="SHADEDSTORES 2 2 10 6" xfId="39207"/>
    <cellStyle name="SHADEDSTORES 2 2 10 7" xfId="39208"/>
    <cellStyle name="SHADEDSTORES 2 2 10 8" xfId="39209"/>
    <cellStyle name="SHADEDSTORES 2 2 10 9" xfId="39210"/>
    <cellStyle name="SHADEDSTORES 2 2 100" xfId="39211"/>
    <cellStyle name="SHADEDSTORES 2 2 101" xfId="39212"/>
    <cellStyle name="SHADEDSTORES 2 2 102" xfId="39213"/>
    <cellStyle name="SHADEDSTORES 2 2 11" xfId="7297"/>
    <cellStyle name="SHADEDSTORES 2 2 11 2" xfId="39214"/>
    <cellStyle name="SHADEDSTORES 2 2 11 3" xfId="39215"/>
    <cellStyle name="SHADEDSTORES 2 2 11 4" xfId="39216"/>
    <cellStyle name="SHADEDSTORES 2 2 11 5" xfId="39217"/>
    <cellStyle name="SHADEDSTORES 2 2 11 6" xfId="39218"/>
    <cellStyle name="SHADEDSTORES 2 2 11 7" xfId="39219"/>
    <cellStyle name="SHADEDSTORES 2 2 11 8" xfId="39220"/>
    <cellStyle name="SHADEDSTORES 2 2 11 9" xfId="39221"/>
    <cellStyle name="SHADEDSTORES 2 2 12" xfId="7298"/>
    <cellStyle name="SHADEDSTORES 2 2 12 2" xfId="39222"/>
    <cellStyle name="SHADEDSTORES 2 2 12 3" xfId="39223"/>
    <cellStyle name="SHADEDSTORES 2 2 12 4" xfId="39224"/>
    <cellStyle name="SHADEDSTORES 2 2 12 5" xfId="39225"/>
    <cellStyle name="SHADEDSTORES 2 2 12 6" xfId="39226"/>
    <cellStyle name="SHADEDSTORES 2 2 12 7" xfId="39227"/>
    <cellStyle name="SHADEDSTORES 2 2 12 8" xfId="39228"/>
    <cellStyle name="SHADEDSTORES 2 2 12 9" xfId="39229"/>
    <cellStyle name="SHADEDSTORES 2 2 13" xfId="7299"/>
    <cellStyle name="SHADEDSTORES 2 2 13 2" xfId="39230"/>
    <cellStyle name="SHADEDSTORES 2 2 13 3" xfId="39231"/>
    <cellStyle name="SHADEDSTORES 2 2 13 4" xfId="39232"/>
    <cellStyle name="SHADEDSTORES 2 2 13 5" xfId="39233"/>
    <cellStyle name="SHADEDSTORES 2 2 13 6" xfId="39234"/>
    <cellStyle name="SHADEDSTORES 2 2 13 7" xfId="39235"/>
    <cellStyle name="SHADEDSTORES 2 2 13 8" xfId="39236"/>
    <cellStyle name="SHADEDSTORES 2 2 13 9" xfId="39237"/>
    <cellStyle name="SHADEDSTORES 2 2 14" xfId="7300"/>
    <cellStyle name="SHADEDSTORES 2 2 14 2" xfId="39238"/>
    <cellStyle name="SHADEDSTORES 2 2 14 3" xfId="39239"/>
    <cellStyle name="SHADEDSTORES 2 2 14 4" xfId="39240"/>
    <cellStyle name="SHADEDSTORES 2 2 14 5" xfId="39241"/>
    <cellStyle name="SHADEDSTORES 2 2 14 6" xfId="39242"/>
    <cellStyle name="SHADEDSTORES 2 2 14 7" xfId="39243"/>
    <cellStyle name="SHADEDSTORES 2 2 14 8" xfId="39244"/>
    <cellStyle name="SHADEDSTORES 2 2 14 9" xfId="39245"/>
    <cellStyle name="SHADEDSTORES 2 2 15" xfId="7301"/>
    <cellStyle name="SHADEDSTORES 2 2 15 2" xfId="39246"/>
    <cellStyle name="SHADEDSTORES 2 2 15 3" xfId="39247"/>
    <cellStyle name="SHADEDSTORES 2 2 15 4" xfId="39248"/>
    <cellStyle name="SHADEDSTORES 2 2 15 5" xfId="39249"/>
    <cellStyle name="SHADEDSTORES 2 2 15 6" xfId="39250"/>
    <cellStyle name="SHADEDSTORES 2 2 15 7" xfId="39251"/>
    <cellStyle name="SHADEDSTORES 2 2 15 8" xfId="39252"/>
    <cellStyle name="SHADEDSTORES 2 2 15 9" xfId="39253"/>
    <cellStyle name="SHADEDSTORES 2 2 16" xfId="7302"/>
    <cellStyle name="SHADEDSTORES 2 2 16 2" xfId="39254"/>
    <cellStyle name="SHADEDSTORES 2 2 16 3" xfId="39255"/>
    <cellStyle name="SHADEDSTORES 2 2 16 4" xfId="39256"/>
    <cellStyle name="SHADEDSTORES 2 2 16 5" xfId="39257"/>
    <cellStyle name="SHADEDSTORES 2 2 16 6" xfId="39258"/>
    <cellStyle name="SHADEDSTORES 2 2 16 7" xfId="39259"/>
    <cellStyle name="SHADEDSTORES 2 2 16 8" xfId="39260"/>
    <cellStyle name="SHADEDSTORES 2 2 16 9" xfId="39261"/>
    <cellStyle name="SHADEDSTORES 2 2 17" xfId="7303"/>
    <cellStyle name="SHADEDSTORES 2 2 17 2" xfId="39262"/>
    <cellStyle name="SHADEDSTORES 2 2 17 3" xfId="39263"/>
    <cellStyle name="SHADEDSTORES 2 2 17 4" xfId="39264"/>
    <cellStyle name="SHADEDSTORES 2 2 17 5" xfId="39265"/>
    <cellStyle name="SHADEDSTORES 2 2 17 6" xfId="39266"/>
    <cellStyle name="SHADEDSTORES 2 2 17 7" xfId="39267"/>
    <cellStyle name="SHADEDSTORES 2 2 17 8" xfId="39268"/>
    <cellStyle name="SHADEDSTORES 2 2 17 9" xfId="39269"/>
    <cellStyle name="SHADEDSTORES 2 2 18" xfId="7304"/>
    <cellStyle name="SHADEDSTORES 2 2 18 2" xfId="39270"/>
    <cellStyle name="SHADEDSTORES 2 2 18 3" xfId="39271"/>
    <cellStyle name="SHADEDSTORES 2 2 18 4" xfId="39272"/>
    <cellStyle name="SHADEDSTORES 2 2 18 5" xfId="39273"/>
    <cellStyle name="SHADEDSTORES 2 2 18 6" xfId="39274"/>
    <cellStyle name="SHADEDSTORES 2 2 18 7" xfId="39275"/>
    <cellStyle name="SHADEDSTORES 2 2 18 8" xfId="39276"/>
    <cellStyle name="SHADEDSTORES 2 2 18 9" xfId="39277"/>
    <cellStyle name="SHADEDSTORES 2 2 19" xfId="7305"/>
    <cellStyle name="SHADEDSTORES 2 2 19 2" xfId="39278"/>
    <cellStyle name="SHADEDSTORES 2 2 19 3" xfId="39279"/>
    <cellStyle name="SHADEDSTORES 2 2 19 4" xfId="39280"/>
    <cellStyle name="SHADEDSTORES 2 2 19 5" xfId="39281"/>
    <cellStyle name="SHADEDSTORES 2 2 19 6" xfId="39282"/>
    <cellStyle name="SHADEDSTORES 2 2 19 7" xfId="39283"/>
    <cellStyle name="SHADEDSTORES 2 2 19 8" xfId="39284"/>
    <cellStyle name="SHADEDSTORES 2 2 19 9" xfId="39285"/>
    <cellStyle name="SHADEDSTORES 2 2 2" xfId="2512"/>
    <cellStyle name="SHADEDSTORES 2 2 2 10" xfId="39286"/>
    <cellStyle name="SHADEDSTORES 2 2 2 11" xfId="39287"/>
    <cellStyle name="SHADEDSTORES 2 2 2 2" xfId="2513"/>
    <cellStyle name="SHADEDSTORES 2 2 2 2 2" xfId="2514"/>
    <cellStyle name="SHADEDSTORES 2 2 2 2 2 2" xfId="12755"/>
    <cellStyle name="SHADEDSTORES 2 2 2 2 2_YL Capex Cashflow &amp; Dep" xfId="13519"/>
    <cellStyle name="SHADEDSTORES 2 2 2 2 3" xfId="12053"/>
    <cellStyle name="SHADEDSTORES 2 2 2 2_Cashflow trend" xfId="2515"/>
    <cellStyle name="SHADEDSTORES 2 2 2 3" xfId="2516"/>
    <cellStyle name="SHADEDSTORES 2 2 2 3 2" xfId="2517"/>
    <cellStyle name="SHADEDSTORES 2 2 2 3 2 2" xfId="12687"/>
    <cellStyle name="SHADEDSTORES 2 2 2 3 2_YL Capex Cashflow &amp; Dep" xfId="13520"/>
    <cellStyle name="SHADEDSTORES 2 2 2 3 3" xfId="11988"/>
    <cellStyle name="SHADEDSTORES 2 2 2 3_Cashflow trend" xfId="2518"/>
    <cellStyle name="SHADEDSTORES 2 2 2 4" xfId="2519"/>
    <cellStyle name="SHADEDSTORES 2 2 2 4 2" xfId="11683"/>
    <cellStyle name="SHADEDSTORES 2 2 2 4_YL Capex Cashflow &amp; Dep" xfId="13521"/>
    <cellStyle name="SHADEDSTORES 2 2 2 5" xfId="2520"/>
    <cellStyle name="SHADEDSTORES 2 2 2 5 2" xfId="2521"/>
    <cellStyle name="SHADEDSTORES 2 2 2 5 2 2" xfId="13128"/>
    <cellStyle name="SHADEDSTORES 2 2 2 5 2_YL Capex Cashflow &amp; Dep" xfId="13523"/>
    <cellStyle name="SHADEDSTORES 2 2 2 5 3" xfId="12093"/>
    <cellStyle name="SHADEDSTORES 2 2 2 5_YL Capex Cashflow &amp; Dep" xfId="13522"/>
    <cellStyle name="SHADEDSTORES 2 2 2 6" xfId="2522"/>
    <cellStyle name="SHADEDSTORES 2 2 2 6 2" xfId="2523"/>
    <cellStyle name="SHADEDSTORES 2 2 2 6 2 2" xfId="13032"/>
    <cellStyle name="SHADEDSTORES 2 2 2 6 2_YL Capex Cashflow &amp; Dep" xfId="13525"/>
    <cellStyle name="SHADEDSTORES 2 2 2 6 3" xfId="2524"/>
    <cellStyle name="SHADEDSTORES 2 2 2 6 3 2" xfId="12757"/>
    <cellStyle name="SHADEDSTORES 2 2 2 6 3_YL Capex Cashflow &amp; Dep" xfId="13526"/>
    <cellStyle name="SHADEDSTORES 2 2 2 6 4" xfId="12419"/>
    <cellStyle name="SHADEDSTORES 2 2 2 6_YL Capex Cashflow &amp; Dep" xfId="13524"/>
    <cellStyle name="SHADEDSTORES 2 2 2 7" xfId="11504"/>
    <cellStyle name="SHADEDSTORES 2 2 2 8" xfId="39288"/>
    <cellStyle name="SHADEDSTORES 2 2 2 9" xfId="39289"/>
    <cellStyle name="SHADEDSTORES 2 2 2_Cashflow trend" xfId="2525"/>
    <cellStyle name="SHADEDSTORES 2 2 20" xfId="7306"/>
    <cellStyle name="SHADEDSTORES 2 2 20 10" xfId="39290"/>
    <cellStyle name="SHADEDSTORES 2 2 20 2" xfId="39291"/>
    <cellStyle name="SHADEDSTORES 2 2 20 3" xfId="39292"/>
    <cellStyle name="SHADEDSTORES 2 2 20 4" xfId="39293"/>
    <cellStyle name="SHADEDSTORES 2 2 20 5" xfId="39294"/>
    <cellStyle name="SHADEDSTORES 2 2 20 6" xfId="39295"/>
    <cellStyle name="SHADEDSTORES 2 2 20 7" xfId="39296"/>
    <cellStyle name="SHADEDSTORES 2 2 20 8" xfId="39297"/>
    <cellStyle name="SHADEDSTORES 2 2 20 9" xfId="39298"/>
    <cellStyle name="SHADEDSTORES 2 2 21" xfId="7307"/>
    <cellStyle name="SHADEDSTORES 2 2 21 10" xfId="39299"/>
    <cellStyle name="SHADEDSTORES 2 2 21 2" xfId="39300"/>
    <cellStyle name="SHADEDSTORES 2 2 21 3" xfId="39301"/>
    <cellStyle name="SHADEDSTORES 2 2 21 4" xfId="39302"/>
    <cellStyle name="SHADEDSTORES 2 2 21 5" xfId="39303"/>
    <cellStyle name="SHADEDSTORES 2 2 21 6" xfId="39304"/>
    <cellStyle name="SHADEDSTORES 2 2 21 7" xfId="39305"/>
    <cellStyle name="SHADEDSTORES 2 2 21 8" xfId="39306"/>
    <cellStyle name="SHADEDSTORES 2 2 21 9" xfId="39307"/>
    <cellStyle name="SHADEDSTORES 2 2 22" xfId="7308"/>
    <cellStyle name="SHADEDSTORES 2 2 22 10" xfId="39308"/>
    <cellStyle name="SHADEDSTORES 2 2 22 2" xfId="39309"/>
    <cellStyle name="SHADEDSTORES 2 2 22 3" xfId="39310"/>
    <cellStyle name="SHADEDSTORES 2 2 22 4" xfId="39311"/>
    <cellStyle name="SHADEDSTORES 2 2 22 5" xfId="39312"/>
    <cellStyle name="SHADEDSTORES 2 2 22 6" xfId="39313"/>
    <cellStyle name="SHADEDSTORES 2 2 22 7" xfId="39314"/>
    <cellStyle name="SHADEDSTORES 2 2 22 8" xfId="39315"/>
    <cellStyle name="SHADEDSTORES 2 2 22 9" xfId="39316"/>
    <cellStyle name="SHADEDSTORES 2 2 23" xfId="7309"/>
    <cellStyle name="SHADEDSTORES 2 2 23 10" xfId="39317"/>
    <cellStyle name="SHADEDSTORES 2 2 23 2" xfId="39318"/>
    <cellStyle name="SHADEDSTORES 2 2 23 3" xfId="39319"/>
    <cellStyle name="SHADEDSTORES 2 2 23 4" xfId="39320"/>
    <cellStyle name="SHADEDSTORES 2 2 23 5" xfId="39321"/>
    <cellStyle name="SHADEDSTORES 2 2 23 6" xfId="39322"/>
    <cellStyle name="SHADEDSTORES 2 2 23 7" xfId="39323"/>
    <cellStyle name="SHADEDSTORES 2 2 23 8" xfId="39324"/>
    <cellStyle name="SHADEDSTORES 2 2 23 9" xfId="39325"/>
    <cellStyle name="SHADEDSTORES 2 2 24" xfId="7310"/>
    <cellStyle name="SHADEDSTORES 2 2 24 10" xfId="39326"/>
    <cellStyle name="SHADEDSTORES 2 2 24 2" xfId="39327"/>
    <cellStyle name="SHADEDSTORES 2 2 24 3" xfId="39328"/>
    <cellStyle name="SHADEDSTORES 2 2 24 4" xfId="39329"/>
    <cellStyle name="SHADEDSTORES 2 2 24 5" xfId="39330"/>
    <cellStyle name="SHADEDSTORES 2 2 24 6" xfId="39331"/>
    <cellStyle name="SHADEDSTORES 2 2 24 7" xfId="39332"/>
    <cellStyle name="SHADEDSTORES 2 2 24 8" xfId="39333"/>
    <cellStyle name="SHADEDSTORES 2 2 24 9" xfId="39334"/>
    <cellStyle name="SHADEDSTORES 2 2 25" xfId="7311"/>
    <cellStyle name="SHADEDSTORES 2 2 25 10" xfId="39335"/>
    <cellStyle name="SHADEDSTORES 2 2 25 2" xfId="39336"/>
    <cellStyle name="SHADEDSTORES 2 2 25 3" xfId="39337"/>
    <cellStyle name="SHADEDSTORES 2 2 25 4" xfId="39338"/>
    <cellStyle name="SHADEDSTORES 2 2 25 5" xfId="39339"/>
    <cellStyle name="SHADEDSTORES 2 2 25 6" xfId="39340"/>
    <cellStyle name="SHADEDSTORES 2 2 25 7" xfId="39341"/>
    <cellStyle name="SHADEDSTORES 2 2 25 8" xfId="39342"/>
    <cellStyle name="SHADEDSTORES 2 2 25 9" xfId="39343"/>
    <cellStyle name="SHADEDSTORES 2 2 26" xfId="7312"/>
    <cellStyle name="SHADEDSTORES 2 2 26 10" xfId="39344"/>
    <cellStyle name="SHADEDSTORES 2 2 26 2" xfId="39345"/>
    <cellStyle name="SHADEDSTORES 2 2 26 3" xfId="39346"/>
    <cellStyle name="SHADEDSTORES 2 2 26 4" xfId="39347"/>
    <cellStyle name="SHADEDSTORES 2 2 26 5" xfId="39348"/>
    <cellStyle name="SHADEDSTORES 2 2 26 6" xfId="39349"/>
    <cellStyle name="SHADEDSTORES 2 2 26 7" xfId="39350"/>
    <cellStyle name="SHADEDSTORES 2 2 26 8" xfId="39351"/>
    <cellStyle name="SHADEDSTORES 2 2 26 9" xfId="39352"/>
    <cellStyle name="SHADEDSTORES 2 2 27" xfId="7313"/>
    <cellStyle name="SHADEDSTORES 2 2 27 10" xfId="39353"/>
    <cellStyle name="SHADEDSTORES 2 2 27 2" xfId="39354"/>
    <cellStyle name="SHADEDSTORES 2 2 27 3" xfId="39355"/>
    <cellStyle name="SHADEDSTORES 2 2 27 4" xfId="39356"/>
    <cellStyle name="SHADEDSTORES 2 2 27 5" xfId="39357"/>
    <cellStyle name="SHADEDSTORES 2 2 27 6" xfId="39358"/>
    <cellStyle name="SHADEDSTORES 2 2 27 7" xfId="39359"/>
    <cellStyle name="SHADEDSTORES 2 2 27 8" xfId="39360"/>
    <cellStyle name="SHADEDSTORES 2 2 27 9" xfId="39361"/>
    <cellStyle name="SHADEDSTORES 2 2 28" xfId="7314"/>
    <cellStyle name="SHADEDSTORES 2 2 28 10" xfId="39362"/>
    <cellStyle name="SHADEDSTORES 2 2 28 2" xfId="39363"/>
    <cellStyle name="SHADEDSTORES 2 2 28 3" xfId="39364"/>
    <cellStyle name="SHADEDSTORES 2 2 28 4" xfId="39365"/>
    <cellStyle name="SHADEDSTORES 2 2 28 5" xfId="39366"/>
    <cellStyle name="SHADEDSTORES 2 2 28 6" xfId="39367"/>
    <cellStyle name="SHADEDSTORES 2 2 28 7" xfId="39368"/>
    <cellStyle name="SHADEDSTORES 2 2 28 8" xfId="39369"/>
    <cellStyle name="SHADEDSTORES 2 2 28 9" xfId="39370"/>
    <cellStyle name="SHADEDSTORES 2 2 29" xfId="7315"/>
    <cellStyle name="SHADEDSTORES 2 2 29 10" xfId="39371"/>
    <cellStyle name="SHADEDSTORES 2 2 29 2" xfId="39372"/>
    <cellStyle name="SHADEDSTORES 2 2 29 3" xfId="39373"/>
    <cellStyle name="SHADEDSTORES 2 2 29 4" xfId="39374"/>
    <cellStyle name="SHADEDSTORES 2 2 29 5" xfId="39375"/>
    <cellStyle name="SHADEDSTORES 2 2 29 6" xfId="39376"/>
    <cellStyle name="SHADEDSTORES 2 2 29 7" xfId="39377"/>
    <cellStyle name="SHADEDSTORES 2 2 29 8" xfId="39378"/>
    <cellStyle name="SHADEDSTORES 2 2 29 9" xfId="39379"/>
    <cellStyle name="SHADEDSTORES 2 2 3" xfId="2526"/>
    <cellStyle name="SHADEDSTORES 2 2 3 10" xfId="39380"/>
    <cellStyle name="SHADEDSTORES 2 2 3 2" xfId="2527"/>
    <cellStyle name="SHADEDSTORES 2 2 3 2 2" xfId="12569"/>
    <cellStyle name="SHADEDSTORES 2 2 3 2_YL Capex Cashflow &amp; Dep" xfId="13527"/>
    <cellStyle name="SHADEDSTORES 2 2 3 3" xfId="11874"/>
    <cellStyle name="SHADEDSTORES 2 2 3 4" xfId="39381"/>
    <cellStyle name="SHADEDSTORES 2 2 3 5" xfId="39382"/>
    <cellStyle name="SHADEDSTORES 2 2 3 6" xfId="39383"/>
    <cellStyle name="SHADEDSTORES 2 2 3 7" xfId="39384"/>
    <cellStyle name="SHADEDSTORES 2 2 3 8" xfId="39385"/>
    <cellStyle name="SHADEDSTORES 2 2 3 9" xfId="39386"/>
    <cellStyle name="SHADEDSTORES 2 2 3_Cashflow trend" xfId="2528"/>
    <cellStyle name="SHADEDSTORES 2 2 30" xfId="7316"/>
    <cellStyle name="SHADEDSTORES 2 2 30 10" xfId="39387"/>
    <cellStyle name="SHADEDSTORES 2 2 30 2" xfId="39388"/>
    <cellStyle name="SHADEDSTORES 2 2 30 3" xfId="39389"/>
    <cellStyle name="SHADEDSTORES 2 2 30 4" xfId="39390"/>
    <cellStyle name="SHADEDSTORES 2 2 30 5" xfId="39391"/>
    <cellStyle name="SHADEDSTORES 2 2 30 6" xfId="39392"/>
    <cellStyle name="SHADEDSTORES 2 2 30 7" xfId="39393"/>
    <cellStyle name="SHADEDSTORES 2 2 30 8" xfId="39394"/>
    <cellStyle name="SHADEDSTORES 2 2 30 9" xfId="39395"/>
    <cellStyle name="SHADEDSTORES 2 2 31" xfId="7317"/>
    <cellStyle name="SHADEDSTORES 2 2 31 10" xfId="39396"/>
    <cellStyle name="SHADEDSTORES 2 2 31 2" xfId="39397"/>
    <cellStyle name="SHADEDSTORES 2 2 31 3" xfId="39398"/>
    <cellStyle name="SHADEDSTORES 2 2 31 4" xfId="39399"/>
    <cellStyle name="SHADEDSTORES 2 2 31 5" xfId="39400"/>
    <cellStyle name="SHADEDSTORES 2 2 31 6" xfId="39401"/>
    <cellStyle name="SHADEDSTORES 2 2 31 7" xfId="39402"/>
    <cellStyle name="SHADEDSTORES 2 2 31 8" xfId="39403"/>
    <cellStyle name="SHADEDSTORES 2 2 31 9" xfId="39404"/>
    <cellStyle name="SHADEDSTORES 2 2 32" xfId="7318"/>
    <cellStyle name="SHADEDSTORES 2 2 32 10" xfId="39405"/>
    <cellStyle name="SHADEDSTORES 2 2 32 2" xfId="39406"/>
    <cellStyle name="SHADEDSTORES 2 2 32 3" xfId="39407"/>
    <cellStyle name="SHADEDSTORES 2 2 32 4" xfId="39408"/>
    <cellStyle name="SHADEDSTORES 2 2 32 5" xfId="39409"/>
    <cellStyle name="SHADEDSTORES 2 2 32 6" xfId="39410"/>
    <cellStyle name="SHADEDSTORES 2 2 32 7" xfId="39411"/>
    <cellStyle name="SHADEDSTORES 2 2 32 8" xfId="39412"/>
    <cellStyle name="SHADEDSTORES 2 2 32 9" xfId="39413"/>
    <cellStyle name="SHADEDSTORES 2 2 33" xfId="7319"/>
    <cellStyle name="SHADEDSTORES 2 2 33 10" xfId="39414"/>
    <cellStyle name="SHADEDSTORES 2 2 33 2" xfId="39415"/>
    <cellStyle name="SHADEDSTORES 2 2 33 3" xfId="39416"/>
    <cellStyle name="SHADEDSTORES 2 2 33 4" xfId="39417"/>
    <cellStyle name="SHADEDSTORES 2 2 33 5" xfId="39418"/>
    <cellStyle name="SHADEDSTORES 2 2 33 6" xfId="39419"/>
    <cellStyle name="SHADEDSTORES 2 2 33 7" xfId="39420"/>
    <cellStyle name="SHADEDSTORES 2 2 33 8" xfId="39421"/>
    <cellStyle name="SHADEDSTORES 2 2 33 9" xfId="39422"/>
    <cellStyle name="SHADEDSTORES 2 2 34" xfId="7320"/>
    <cellStyle name="SHADEDSTORES 2 2 34 10" xfId="39423"/>
    <cellStyle name="SHADEDSTORES 2 2 34 2" xfId="39424"/>
    <cellStyle name="SHADEDSTORES 2 2 34 3" xfId="39425"/>
    <cellStyle name="SHADEDSTORES 2 2 34 4" xfId="39426"/>
    <cellStyle name="SHADEDSTORES 2 2 34 5" xfId="39427"/>
    <cellStyle name="SHADEDSTORES 2 2 34 6" xfId="39428"/>
    <cellStyle name="SHADEDSTORES 2 2 34 7" xfId="39429"/>
    <cellStyle name="SHADEDSTORES 2 2 34 8" xfId="39430"/>
    <cellStyle name="SHADEDSTORES 2 2 34 9" xfId="39431"/>
    <cellStyle name="SHADEDSTORES 2 2 35" xfId="7321"/>
    <cellStyle name="SHADEDSTORES 2 2 35 10" xfId="39432"/>
    <cellStyle name="SHADEDSTORES 2 2 35 2" xfId="39433"/>
    <cellStyle name="SHADEDSTORES 2 2 35 3" xfId="39434"/>
    <cellStyle name="SHADEDSTORES 2 2 35 4" xfId="39435"/>
    <cellStyle name="SHADEDSTORES 2 2 35 5" xfId="39436"/>
    <cellStyle name="SHADEDSTORES 2 2 35 6" xfId="39437"/>
    <cellStyle name="SHADEDSTORES 2 2 35 7" xfId="39438"/>
    <cellStyle name="SHADEDSTORES 2 2 35 8" xfId="39439"/>
    <cellStyle name="SHADEDSTORES 2 2 35 9" xfId="39440"/>
    <cellStyle name="SHADEDSTORES 2 2 36" xfId="7322"/>
    <cellStyle name="SHADEDSTORES 2 2 36 10" xfId="39441"/>
    <cellStyle name="SHADEDSTORES 2 2 36 2" xfId="39442"/>
    <cellStyle name="SHADEDSTORES 2 2 36 3" xfId="39443"/>
    <cellStyle name="SHADEDSTORES 2 2 36 4" xfId="39444"/>
    <cellStyle name="SHADEDSTORES 2 2 36 5" xfId="39445"/>
    <cellStyle name="SHADEDSTORES 2 2 36 6" xfId="39446"/>
    <cellStyle name="SHADEDSTORES 2 2 36 7" xfId="39447"/>
    <cellStyle name="SHADEDSTORES 2 2 36 8" xfId="39448"/>
    <cellStyle name="SHADEDSTORES 2 2 36 9" xfId="39449"/>
    <cellStyle name="SHADEDSTORES 2 2 37" xfId="7323"/>
    <cellStyle name="SHADEDSTORES 2 2 37 10" xfId="39450"/>
    <cellStyle name="SHADEDSTORES 2 2 37 2" xfId="39451"/>
    <cellStyle name="SHADEDSTORES 2 2 37 3" xfId="39452"/>
    <cellStyle name="SHADEDSTORES 2 2 37 4" xfId="39453"/>
    <cellStyle name="SHADEDSTORES 2 2 37 5" xfId="39454"/>
    <cellStyle name="SHADEDSTORES 2 2 37 6" xfId="39455"/>
    <cellStyle name="SHADEDSTORES 2 2 37 7" xfId="39456"/>
    <cellStyle name="SHADEDSTORES 2 2 37 8" xfId="39457"/>
    <cellStyle name="SHADEDSTORES 2 2 37 9" xfId="39458"/>
    <cellStyle name="SHADEDSTORES 2 2 38" xfId="7324"/>
    <cellStyle name="SHADEDSTORES 2 2 38 10" xfId="39459"/>
    <cellStyle name="SHADEDSTORES 2 2 38 2" xfId="39460"/>
    <cellStyle name="SHADEDSTORES 2 2 38 3" xfId="39461"/>
    <cellStyle name="SHADEDSTORES 2 2 38 4" xfId="39462"/>
    <cellStyle name="SHADEDSTORES 2 2 38 5" xfId="39463"/>
    <cellStyle name="SHADEDSTORES 2 2 38 6" xfId="39464"/>
    <cellStyle name="SHADEDSTORES 2 2 38 7" xfId="39465"/>
    <cellStyle name="SHADEDSTORES 2 2 38 8" xfId="39466"/>
    <cellStyle name="SHADEDSTORES 2 2 38 9" xfId="39467"/>
    <cellStyle name="SHADEDSTORES 2 2 39" xfId="7325"/>
    <cellStyle name="SHADEDSTORES 2 2 39 10" xfId="39468"/>
    <cellStyle name="SHADEDSTORES 2 2 39 2" xfId="39469"/>
    <cellStyle name="SHADEDSTORES 2 2 39 3" xfId="39470"/>
    <cellStyle name="SHADEDSTORES 2 2 39 4" xfId="39471"/>
    <cellStyle name="SHADEDSTORES 2 2 39 5" xfId="39472"/>
    <cellStyle name="SHADEDSTORES 2 2 39 6" xfId="39473"/>
    <cellStyle name="SHADEDSTORES 2 2 39 7" xfId="39474"/>
    <cellStyle name="SHADEDSTORES 2 2 39 8" xfId="39475"/>
    <cellStyle name="SHADEDSTORES 2 2 39 9" xfId="39476"/>
    <cellStyle name="SHADEDSTORES 2 2 4" xfId="2529"/>
    <cellStyle name="SHADEDSTORES 2 2 4 10" xfId="39477"/>
    <cellStyle name="SHADEDSTORES 2 2 4 2" xfId="2530"/>
    <cellStyle name="SHADEDSTORES 2 2 4 2 2" xfId="12498"/>
    <cellStyle name="SHADEDSTORES 2 2 4 2_YL Capex Cashflow &amp; Dep" xfId="13528"/>
    <cellStyle name="SHADEDSTORES 2 2 4 3" xfId="11788"/>
    <cellStyle name="SHADEDSTORES 2 2 4 4" xfId="39478"/>
    <cellStyle name="SHADEDSTORES 2 2 4 5" xfId="39479"/>
    <cellStyle name="SHADEDSTORES 2 2 4 6" xfId="39480"/>
    <cellStyle name="SHADEDSTORES 2 2 4 7" xfId="39481"/>
    <cellStyle name="SHADEDSTORES 2 2 4 8" xfId="39482"/>
    <cellStyle name="SHADEDSTORES 2 2 4 9" xfId="39483"/>
    <cellStyle name="SHADEDSTORES 2 2 4_Cashflow trend" xfId="2531"/>
    <cellStyle name="SHADEDSTORES 2 2 40" xfId="7326"/>
    <cellStyle name="SHADEDSTORES 2 2 40 10" xfId="39484"/>
    <cellStyle name="SHADEDSTORES 2 2 40 2" xfId="39485"/>
    <cellStyle name="SHADEDSTORES 2 2 40 3" xfId="39486"/>
    <cellStyle name="SHADEDSTORES 2 2 40 4" xfId="39487"/>
    <cellStyle name="SHADEDSTORES 2 2 40 5" xfId="39488"/>
    <cellStyle name="SHADEDSTORES 2 2 40 6" xfId="39489"/>
    <cellStyle name="SHADEDSTORES 2 2 40 7" xfId="39490"/>
    <cellStyle name="SHADEDSTORES 2 2 40 8" xfId="39491"/>
    <cellStyle name="SHADEDSTORES 2 2 40 9" xfId="39492"/>
    <cellStyle name="SHADEDSTORES 2 2 41" xfId="7327"/>
    <cellStyle name="SHADEDSTORES 2 2 41 10" xfId="39493"/>
    <cellStyle name="SHADEDSTORES 2 2 41 2" xfId="39494"/>
    <cellStyle name="SHADEDSTORES 2 2 41 3" xfId="39495"/>
    <cellStyle name="SHADEDSTORES 2 2 41 4" xfId="39496"/>
    <cellStyle name="SHADEDSTORES 2 2 41 5" xfId="39497"/>
    <cellStyle name="SHADEDSTORES 2 2 41 6" xfId="39498"/>
    <cellStyle name="SHADEDSTORES 2 2 41 7" xfId="39499"/>
    <cellStyle name="SHADEDSTORES 2 2 41 8" xfId="39500"/>
    <cellStyle name="SHADEDSTORES 2 2 41 9" xfId="39501"/>
    <cellStyle name="SHADEDSTORES 2 2 42" xfId="7328"/>
    <cellStyle name="SHADEDSTORES 2 2 42 10" xfId="39502"/>
    <cellStyle name="SHADEDSTORES 2 2 42 2" xfId="39503"/>
    <cellStyle name="SHADEDSTORES 2 2 42 3" xfId="39504"/>
    <cellStyle name="SHADEDSTORES 2 2 42 4" xfId="39505"/>
    <cellStyle name="SHADEDSTORES 2 2 42 5" xfId="39506"/>
    <cellStyle name="SHADEDSTORES 2 2 42 6" xfId="39507"/>
    <cellStyle name="SHADEDSTORES 2 2 42 7" xfId="39508"/>
    <cellStyle name="SHADEDSTORES 2 2 42 8" xfId="39509"/>
    <cellStyle name="SHADEDSTORES 2 2 42 9" xfId="39510"/>
    <cellStyle name="SHADEDSTORES 2 2 43" xfId="7329"/>
    <cellStyle name="SHADEDSTORES 2 2 43 10" xfId="39511"/>
    <cellStyle name="SHADEDSTORES 2 2 43 2" xfId="39512"/>
    <cellStyle name="SHADEDSTORES 2 2 43 3" xfId="39513"/>
    <cellStyle name="SHADEDSTORES 2 2 43 4" xfId="39514"/>
    <cellStyle name="SHADEDSTORES 2 2 43 5" xfId="39515"/>
    <cellStyle name="SHADEDSTORES 2 2 43 6" xfId="39516"/>
    <cellStyle name="SHADEDSTORES 2 2 43 7" xfId="39517"/>
    <cellStyle name="SHADEDSTORES 2 2 43 8" xfId="39518"/>
    <cellStyle name="SHADEDSTORES 2 2 43 9" xfId="39519"/>
    <cellStyle name="SHADEDSTORES 2 2 44" xfId="7330"/>
    <cellStyle name="SHADEDSTORES 2 2 44 10" xfId="39520"/>
    <cellStyle name="SHADEDSTORES 2 2 44 2" xfId="39521"/>
    <cellStyle name="SHADEDSTORES 2 2 44 3" xfId="39522"/>
    <cellStyle name="SHADEDSTORES 2 2 44 4" xfId="39523"/>
    <cellStyle name="SHADEDSTORES 2 2 44 5" xfId="39524"/>
    <cellStyle name="SHADEDSTORES 2 2 44 6" xfId="39525"/>
    <cellStyle name="SHADEDSTORES 2 2 44 7" xfId="39526"/>
    <cellStyle name="SHADEDSTORES 2 2 44 8" xfId="39527"/>
    <cellStyle name="SHADEDSTORES 2 2 44 9" xfId="39528"/>
    <cellStyle name="SHADEDSTORES 2 2 45" xfId="7331"/>
    <cellStyle name="SHADEDSTORES 2 2 45 10" xfId="39529"/>
    <cellStyle name="SHADEDSTORES 2 2 45 2" xfId="39530"/>
    <cellStyle name="SHADEDSTORES 2 2 45 3" xfId="39531"/>
    <cellStyle name="SHADEDSTORES 2 2 45 4" xfId="39532"/>
    <cellStyle name="SHADEDSTORES 2 2 45 5" xfId="39533"/>
    <cellStyle name="SHADEDSTORES 2 2 45 6" xfId="39534"/>
    <cellStyle name="SHADEDSTORES 2 2 45 7" xfId="39535"/>
    <cellStyle name="SHADEDSTORES 2 2 45 8" xfId="39536"/>
    <cellStyle name="SHADEDSTORES 2 2 45 9" xfId="39537"/>
    <cellStyle name="SHADEDSTORES 2 2 46" xfId="7332"/>
    <cellStyle name="SHADEDSTORES 2 2 46 10" xfId="39538"/>
    <cellStyle name="SHADEDSTORES 2 2 46 2" xfId="39539"/>
    <cellStyle name="SHADEDSTORES 2 2 46 3" xfId="39540"/>
    <cellStyle name="SHADEDSTORES 2 2 46 4" xfId="39541"/>
    <cellStyle name="SHADEDSTORES 2 2 46 5" xfId="39542"/>
    <cellStyle name="SHADEDSTORES 2 2 46 6" xfId="39543"/>
    <cellStyle name="SHADEDSTORES 2 2 46 7" xfId="39544"/>
    <cellStyle name="SHADEDSTORES 2 2 46 8" xfId="39545"/>
    <cellStyle name="SHADEDSTORES 2 2 46 9" xfId="39546"/>
    <cellStyle name="SHADEDSTORES 2 2 47" xfId="7333"/>
    <cellStyle name="SHADEDSTORES 2 2 47 10" xfId="39547"/>
    <cellStyle name="SHADEDSTORES 2 2 47 2" xfId="39548"/>
    <cellStyle name="SHADEDSTORES 2 2 47 3" xfId="39549"/>
    <cellStyle name="SHADEDSTORES 2 2 47 4" xfId="39550"/>
    <cellStyle name="SHADEDSTORES 2 2 47 5" xfId="39551"/>
    <cellStyle name="SHADEDSTORES 2 2 47 6" xfId="39552"/>
    <cellStyle name="SHADEDSTORES 2 2 47 7" xfId="39553"/>
    <cellStyle name="SHADEDSTORES 2 2 47 8" xfId="39554"/>
    <cellStyle name="SHADEDSTORES 2 2 47 9" xfId="39555"/>
    <cellStyle name="SHADEDSTORES 2 2 48" xfId="7334"/>
    <cellStyle name="SHADEDSTORES 2 2 48 10" xfId="39556"/>
    <cellStyle name="SHADEDSTORES 2 2 48 2" xfId="39557"/>
    <cellStyle name="SHADEDSTORES 2 2 48 3" xfId="39558"/>
    <cellStyle name="SHADEDSTORES 2 2 48 4" xfId="39559"/>
    <cellStyle name="SHADEDSTORES 2 2 48 5" xfId="39560"/>
    <cellStyle name="SHADEDSTORES 2 2 48 6" xfId="39561"/>
    <cellStyle name="SHADEDSTORES 2 2 48 7" xfId="39562"/>
    <cellStyle name="SHADEDSTORES 2 2 48 8" xfId="39563"/>
    <cellStyle name="SHADEDSTORES 2 2 48 9" xfId="39564"/>
    <cellStyle name="SHADEDSTORES 2 2 49" xfId="7335"/>
    <cellStyle name="SHADEDSTORES 2 2 49 10" xfId="39565"/>
    <cellStyle name="SHADEDSTORES 2 2 49 2" xfId="39566"/>
    <cellStyle name="SHADEDSTORES 2 2 49 3" xfId="39567"/>
    <cellStyle name="SHADEDSTORES 2 2 49 4" xfId="39568"/>
    <cellStyle name="SHADEDSTORES 2 2 49 5" xfId="39569"/>
    <cellStyle name="SHADEDSTORES 2 2 49 6" xfId="39570"/>
    <cellStyle name="SHADEDSTORES 2 2 49 7" xfId="39571"/>
    <cellStyle name="SHADEDSTORES 2 2 49 8" xfId="39572"/>
    <cellStyle name="SHADEDSTORES 2 2 49 9" xfId="39573"/>
    <cellStyle name="SHADEDSTORES 2 2 5" xfId="2532"/>
    <cellStyle name="SHADEDSTORES 2 2 5 2" xfId="11574"/>
    <cellStyle name="SHADEDSTORES 2 2 5 3" xfId="39574"/>
    <cellStyle name="SHADEDSTORES 2 2 5 4" xfId="39575"/>
    <cellStyle name="SHADEDSTORES 2 2 5 5" xfId="39576"/>
    <cellStyle name="SHADEDSTORES 2 2 5 6" xfId="39577"/>
    <cellStyle name="SHADEDSTORES 2 2 5 7" xfId="39578"/>
    <cellStyle name="SHADEDSTORES 2 2 5 8" xfId="39579"/>
    <cellStyle name="SHADEDSTORES 2 2 5 9" xfId="39580"/>
    <cellStyle name="SHADEDSTORES 2 2 5_YL Capex Cashflow &amp; Dep" xfId="13529"/>
    <cellStyle name="SHADEDSTORES 2 2 50" xfId="7336"/>
    <cellStyle name="SHADEDSTORES 2 2 50 10" xfId="39581"/>
    <cellStyle name="SHADEDSTORES 2 2 50 2" xfId="39582"/>
    <cellStyle name="SHADEDSTORES 2 2 50 3" xfId="39583"/>
    <cellStyle name="SHADEDSTORES 2 2 50 4" xfId="39584"/>
    <cellStyle name="SHADEDSTORES 2 2 50 5" xfId="39585"/>
    <cellStyle name="SHADEDSTORES 2 2 50 6" xfId="39586"/>
    <cellStyle name="SHADEDSTORES 2 2 50 7" xfId="39587"/>
    <cellStyle name="SHADEDSTORES 2 2 50 8" xfId="39588"/>
    <cellStyle name="SHADEDSTORES 2 2 50 9" xfId="39589"/>
    <cellStyle name="SHADEDSTORES 2 2 51" xfId="7337"/>
    <cellStyle name="SHADEDSTORES 2 2 51 10" xfId="39590"/>
    <cellStyle name="SHADEDSTORES 2 2 51 2" xfId="39591"/>
    <cellStyle name="SHADEDSTORES 2 2 51 3" xfId="39592"/>
    <cellStyle name="SHADEDSTORES 2 2 51 4" xfId="39593"/>
    <cellStyle name="SHADEDSTORES 2 2 51 5" xfId="39594"/>
    <cellStyle name="SHADEDSTORES 2 2 51 6" xfId="39595"/>
    <cellStyle name="SHADEDSTORES 2 2 51 7" xfId="39596"/>
    <cellStyle name="SHADEDSTORES 2 2 51 8" xfId="39597"/>
    <cellStyle name="SHADEDSTORES 2 2 51 9" xfId="39598"/>
    <cellStyle name="SHADEDSTORES 2 2 52" xfId="7338"/>
    <cellStyle name="SHADEDSTORES 2 2 52 10" xfId="39599"/>
    <cellStyle name="SHADEDSTORES 2 2 52 2" xfId="39600"/>
    <cellStyle name="SHADEDSTORES 2 2 52 3" xfId="39601"/>
    <cellStyle name="SHADEDSTORES 2 2 52 4" xfId="39602"/>
    <cellStyle name="SHADEDSTORES 2 2 52 5" xfId="39603"/>
    <cellStyle name="SHADEDSTORES 2 2 52 6" xfId="39604"/>
    <cellStyle name="SHADEDSTORES 2 2 52 7" xfId="39605"/>
    <cellStyle name="SHADEDSTORES 2 2 52 8" xfId="39606"/>
    <cellStyle name="SHADEDSTORES 2 2 52 9" xfId="39607"/>
    <cellStyle name="SHADEDSTORES 2 2 53" xfId="7339"/>
    <cellStyle name="SHADEDSTORES 2 2 53 10" xfId="39608"/>
    <cellStyle name="SHADEDSTORES 2 2 53 2" xfId="39609"/>
    <cellStyle name="SHADEDSTORES 2 2 53 3" xfId="39610"/>
    <cellStyle name="SHADEDSTORES 2 2 53 4" xfId="39611"/>
    <cellStyle name="SHADEDSTORES 2 2 53 5" xfId="39612"/>
    <cellStyle name="SHADEDSTORES 2 2 53 6" xfId="39613"/>
    <cellStyle name="SHADEDSTORES 2 2 53 7" xfId="39614"/>
    <cellStyle name="SHADEDSTORES 2 2 53 8" xfId="39615"/>
    <cellStyle name="SHADEDSTORES 2 2 53 9" xfId="39616"/>
    <cellStyle name="SHADEDSTORES 2 2 54" xfId="7340"/>
    <cellStyle name="SHADEDSTORES 2 2 54 10" xfId="39617"/>
    <cellStyle name="SHADEDSTORES 2 2 54 2" xfId="39618"/>
    <cellStyle name="SHADEDSTORES 2 2 54 3" xfId="39619"/>
    <cellStyle name="SHADEDSTORES 2 2 54 4" xfId="39620"/>
    <cellStyle name="SHADEDSTORES 2 2 54 5" xfId="39621"/>
    <cellStyle name="SHADEDSTORES 2 2 54 6" xfId="39622"/>
    <cellStyle name="SHADEDSTORES 2 2 54 7" xfId="39623"/>
    <cellStyle name="SHADEDSTORES 2 2 54 8" xfId="39624"/>
    <cellStyle name="SHADEDSTORES 2 2 54 9" xfId="39625"/>
    <cellStyle name="SHADEDSTORES 2 2 55" xfId="7341"/>
    <cellStyle name="SHADEDSTORES 2 2 55 10" xfId="39626"/>
    <cellStyle name="SHADEDSTORES 2 2 55 2" xfId="39627"/>
    <cellStyle name="SHADEDSTORES 2 2 55 3" xfId="39628"/>
    <cellStyle name="SHADEDSTORES 2 2 55 4" xfId="39629"/>
    <cellStyle name="SHADEDSTORES 2 2 55 5" xfId="39630"/>
    <cellStyle name="SHADEDSTORES 2 2 55 6" xfId="39631"/>
    <cellStyle name="SHADEDSTORES 2 2 55 7" xfId="39632"/>
    <cellStyle name="SHADEDSTORES 2 2 55 8" xfId="39633"/>
    <cellStyle name="SHADEDSTORES 2 2 55 9" xfId="39634"/>
    <cellStyle name="SHADEDSTORES 2 2 56" xfId="7342"/>
    <cellStyle name="SHADEDSTORES 2 2 56 10" xfId="39635"/>
    <cellStyle name="SHADEDSTORES 2 2 56 2" xfId="39636"/>
    <cellStyle name="SHADEDSTORES 2 2 56 3" xfId="39637"/>
    <cellStyle name="SHADEDSTORES 2 2 56 4" xfId="39638"/>
    <cellStyle name="SHADEDSTORES 2 2 56 5" xfId="39639"/>
    <cellStyle name="SHADEDSTORES 2 2 56 6" xfId="39640"/>
    <cellStyle name="SHADEDSTORES 2 2 56 7" xfId="39641"/>
    <cellStyle name="SHADEDSTORES 2 2 56 8" xfId="39642"/>
    <cellStyle name="SHADEDSTORES 2 2 56 9" xfId="39643"/>
    <cellStyle name="SHADEDSTORES 2 2 57" xfId="7343"/>
    <cellStyle name="SHADEDSTORES 2 2 57 10" xfId="39644"/>
    <cellStyle name="SHADEDSTORES 2 2 57 2" xfId="39645"/>
    <cellStyle name="SHADEDSTORES 2 2 57 3" xfId="39646"/>
    <cellStyle name="SHADEDSTORES 2 2 57 4" xfId="39647"/>
    <cellStyle name="SHADEDSTORES 2 2 57 5" xfId="39648"/>
    <cellStyle name="SHADEDSTORES 2 2 57 6" xfId="39649"/>
    <cellStyle name="SHADEDSTORES 2 2 57 7" xfId="39650"/>
    <cellStyle name="SHADEDSTORES 2 2 57 8" xfId="39651"/>
    <cellStyle name="SHADEDSTORES 2 2 57 9" xfId="39652"/>
    <cellStyle name="SHADEDSTORES 2 2 58" xfId="7344"/>
    <cellStyle name="SHADEDSTORES 2 2 58 10" xfId="39653"/>
    <cellStyle name="SHADEDSTORES 2 2 58 2" xfId="39654"/>
    <cellStyle name="SHADEDSTORES 2 2 58 3" xfId="39655"/>
    <cellStyle name="SHADEDSTORES 2 2 58 4" xfId="39656"/>
    <cellStyle name="SHADEDSTORES 2 2 58 5" xfId="39657"/>
    <cellStyle name="SHADEDSTORES 2 2 58 6" xfId="39658"/>
    <cellStyle name="SHADEDSTORES 2 2 58 7" xfId="39659"/>
    <cellStyle name="SHADEDSTORES 2 2 58 8" xfId="39660"/>
    <cellStyle name="SHADEDSTORES 2 2 58 9" xfId="39661"/>
    <cellStyle name="SHADEDSTORES 2 2 59" xfId="7345"/>
    <cellStyle name="SHADEDSTORES 2 2 59 10" xfId="39662"/>
    <cellStyle name="SHADEDSTORES 2 2 59 2" xfId="39663"/>
    <cellStyle name="SHADEDSTORES 2 2 59 3" xfId="39664"/>
    <cellStyle name="SHADEDSTORES 2 2 59 4" xfId="39665"/>
    <cellStyle name="SHADEDSTORES 2 2 59 5" xfId="39666"/>
    <cellStyle name="SHADEDSTORES 2 2 59 6" xfId="39667"/>
    <cellStyle name="SHADEDSTORES 2 2 59 7" xfId="39668"/>
    <cellStyle name="SHADEDSTORES 2 2 59 8" xfId="39669"/>
    <cellStyle name="SHADEDSTORES 2 2 59 9" xfId="39670"/>
    <cellStyle name="SHADEDSTORES 2 2 6" xfId="2533"/>
    <cellStyle name="SHADEDSTORES 2 2 6 2" xfId="12301"/>
    <cellStyle name="SHADEDSTORES 2 2 6 3" xfId="39671"/>
    <cellStyle name="SHADEDSTORES 2 2 6 4" xfId="39672"/>
    <cellStyle name="SHADEDSTORES 2 2 6 5" xfId="39673"/>
    <cellStyle name="SHADEDSTORES 2 2 6 6" xfId="39674"/>
    <cellStyle name="SHADEDSTORES 2 2 6 7" xfId="39675"/>
    <cellStyle name="SHADEDSTORES 2 2 6 8" xfId="39676"/>
    <cellStyle name="SHADEDSTORES 2 2 6 9" xfId="39677"/>
    <cellStyle name="SHADEDSTORES 2 2 6_YL Capex Cashflow &amp; Dep" xfId="13530"/>
    <cellStyle name="SHADEDSTORES 2 2 60" xfId="7346"/>
    <cellStyle name="SHADEDSTORES 2 2 60 10" xfId="39678"/>
    <cellStyle name="SHADEDSTORES 2 2 60 2" xfId="39679"/>
    <cellStyle name="SHADEDSTORES 2 2 60 3" xfId="39680"/>
    <cellStyle name="SHADEDSTORES 2 2 60 4" xfId="39681"/>
    <cellStyle name="SHADEDSTORES 2 2 60 5" xfId="39682"/>
    <cellStyle name="SHADEDSTORES 2 2 60 6" xfId="39683"/>
    <cellStyle name="SHADEDSTORES 2 2 60 7" xfId="39684"/>
    <cellStyle name="SHADEDSTORES 2 2 60 8" xfId="39685"/>
    <cellStyle name="SHADEDSTORES 2 2 60 9" xfId="39686"/>
    <cellStyle name="SHADEDSTORES 2 2 61" xfId="7347"/>
    <cellStyle name="SHADEDSTORES 2 2 61 10" xfId="39687"/>
    <cellStyle name="SHADEDSTORES 2 2 61 2" xfId="39688"/>
    <cellStyle name="SHADEDSTORES 2 2 61 3" xfId="39689"/>
    <cellStyle name="SHADEDSTORES 2 2 61 4" xfId="39690"/>
    <cellStyle name="SHADEDSTORES 2 2 61 5" xfId="39691"/>
    <cellStyle name="SHADEDSTORES 2 2 61 6" xfId="39692"/>
    <cellStyle name="SHADEDSTORES 2 2 61 7" xfId="39693"/>
    <cellStyle name="SHADEDSTORES 2 2 61 8" xfId="39694"/>
    <cellStyle name="SHADEDSTORES 2 2 61 9" xfId="39695"/>
    <cellStyle name="SHADEDSTORES 2 2 62" xfId="7348"/>
    <cellStyle name="SHADEDSTORES 2 2 62 10" xfId="39696"/>
    <cellStyle name="SHADEDSTORES 2 2 62 2" xfId="39697"/>
    <cellStyle name="SHADEDSTORES 2 2 62 3" xfId="39698"/>
    <cellStyle name="SHADEDSTORES 2 2 62 4" xfId="39699"/>
    <cellStyle name="SHADEDSTORES 2 2 62 5" xfId="39700"/>
    <cellStyle name="SHADEDSTORES 2 2 62 6" xfId="39701"/>
    <cellStyle name="SHADEDSTORES 2 2 62 7" xfId="39702"/>
    <cellStyle name="SHADEDSTORES 2 2 62 8" xfId="39703"/>
    <cellStyle name="SHADEDSTORES 2 2 62 9" xfId="39704"/>
    <cellStyle name="SHADEDSTORES 2 2 63" xfId="7349"/>
    <cellStyle name="SHADEDSTORES 2 2 63 10" xfId="39705"/>
    <cellStyle name="SHADEDSTORES 2 2 63 2" xfId="39706"/>
    <cellStyle name="SHADEDSTORES 2 2 63 3" xfId="39707"/>
    <cellStyle name="SHADEDSTORES 2 2 63 4" xfId="39708"/>
    <cellStyle name="SHADEDSTORES 2 2 63 5" xfId="39709"/>
    <cellStyle name="SHADEDSTORES 2 2 63 6" xfId="39710"/>
    <cellStyle name="SHADEDSTORES 2 2 63 7" xfId="39711"/>
    <cellStyle name="SHADEDSTORES 2 2 63 8" xfId="39712"/>
    <cellStyle name="SHADEDSTORES 2 2 63 9" xfId="39713"/>
    <cellStyle name="SHADEDSTORES 2 2 64" xfId="7350"/>
    <cellStyle name="SHADEDSTORES 2 2 64 10" xfId="39714"/>
    <cellStyle name="SHADEDSTORES 2 2 64 2" xfId="39715"/>
    <cellStyle name="SHADEDSTORES 2 2 64 3" xfId="39716"/>
    <cellStyle name="SHADEDSTORES 2 2 64 4" xfId="39717"/>
    <cellStyle name="SHADEDSTORES 2 2 64 5" xfId="39718"/>
    <cellStyle name="SHADEDSTORES 2 2 64 6" xfId="39719"/>
    <cellStyle name="SHADEDSTORES 2 2 64 7" xfId="39720"/>
    <cellStyle name="SHADEDSTORES 2 2 64 8" xfId="39721"/>
    <cellStyle name="SHADEDSTORES 2 2 64 9" xfId="39722"/>
    <cellStyle name="SHADEDSTORES 2 2 65" xfId="7351"/>
    <cellStyle name="SHADEDSTORES 2 2 65 10" xfId="39723"/>
    <cellStyle name="SHADEDSTORES 2 2 65 2" xfId="39724"/>
    <cellStyle name="SHADEDSTORES 2 2 65 3" xfId="39725"/>
    <cellStyle name="SHADEDSTORES 2 2 65 4" xfId="39726"/>
    <cellStyle name="SHADEDSTORES 2 2 65 5" xfId="39727"/>
    <cellStyle name="SHADEDSTORES 2 2 65 6" xfId="39728"/>
    <cellStyle name="SHADEDSTORES 2 2 65 7" xfId="39729"/>
    <cellStyle name="SHADEDSTORES 2 2 65 8" xfId="39730"/>
    <cellStyle name="SHADEDSTORES 2 2 65 9" xfId="39731"/>
    <cellStyle name="SHADEDSTORES 2 2 66" xfId="7352"/>
    <cellStyle name="SHADEDSTORES 2 2 66 10" xfId="39732"/>
    <cellStyle name="SHADEDSTORES 2 2 66 2" xfId="39733"/>
    <cellStyle name="SHADEDSTORES 2 2 66 3" xfId="39734"/>
    <cellStyle name="SHADEDSTORES 2 2 66 4" xfId="39735"/>
    <cellStyle name="SHADEDSTORES 2 2 66 5" xfId="39736"/>
    <cellStyle name="SHADEDSTORES 2 2 66 6" xfId="39737"/>
    <cellStyle name="SHADEDSTORES 2 2 66 7" xfId="39738"/>
    <cellStyle name="SHADEDSTORES 2 2 66 8" xfId="39739"/>
    <cellStyle name="SHADEDSTORES 2 2 66 9" xfId="39740"/>
    <cellStyle name="SHADEDSTORES 2 2 67" xfId="7353"/>
    <cellStyle name="SHADEDSTORES 2 2 67 10" xfId="39741"/>
    <cellStyle name="SHADEDSTORES 2 2 67 2" xfId="39742"/>
    <cellStyle name="SHADEDSTORES 2 2 67 3" xfId="39743"/>
    <cellStyle name="SHADEDSTORES 2 2 67 4" xfId="39744"/>
    <cellStyle name="SHADEDSTORES 2 2 67 5" xfId="39745"/>
    <cellStyle name="SHADEDSTORES 2 2 67 6" xfId="39746"/>
    <cellStyle name="SHADEDSTORES 2 2 67 7" xfId="39747"/>
    <cellStyle name="SHADEDSTORES 2 2 67 8" xfId="39748"/>
    <cellStyle name="SHADEDSTORES 2 2 67 9" xfId="39749"/>
    <cellStyle name="SHADEDSTORES 2 2 68" xfId="7354"/>
    <cellStyle name="SHADEDSTORES 2 2 68 10" xfId="39750"/>
    <cellStyle name="SHADEDSTORES 2 2 68 2" xfId="39751"/>
    <cellStyle name="SHADEDSTORES 2 2 68 3" xfId="39752"/>
    <cellStyle name="SHADEDSTORES 2 2 68 4" xfId="39753"/>
    <cellStyle name="SHADEDSTORES 2 2 68 5" xfId="39754"/>
    <cellStyle name="SHADEDSTORES 2 2 68 6" xfId="39755"/>
    <cellStyle name="SHADEDSTORES 2 2 68 7" xfId="39756"/>
    <cellStyle name="SHADEDSTORES 2 2 68 8" xfId="39757"/>
    <cellStyle name="SHADEDSTORES 2 2 68 9" xfId="39758"/>
    <cellStyle name="SHADEDSTORES 2 2 69" xfId="7355"/>
    <cellStyle name="SHADEDSTORES 2 2 69 10" xfId="39759"/>
    <cellStyle name="SHADEDSTORES 2 2 69 2" xfId="39760"/>
    <cellStyle name="SHADEDSTORES 2 2 69 3" xfId="39761"/>
    <cellStyle name="SHADEDSTORES 2 2 69 4" xfId="39762"/>
    <cellStyle name="SHADEDSTORES 2 2 69 5" xfId="39763"/>
    <cellStyle name="SHADEDSTORES 2 2 69 6" xfId="39764"/>
    <cellStyle name="SHADEDSTORES 2 2 69 7" xfId="39765"/>
    <cellStyle name="SHADEDSTORES 2 2 69 8" xfId="39766"/>
    <cellStyle name="SHADEDSTORES 2 2 69 9" xfId="39767"/>
    <cellStyle name="SHADEDSTORES 2 2 7" xfId="2534"/>
    <cellStyle name="SHADEDSTORES 2 2 7 2" xfId="12961"/>
    <cellStyle name="SHADEDSTORES 2 2 7 3" xfId="39768"/>
    <cellStyle name="SHADEDSTORES 2 2 7 4" xfId="39769"/>
    <cellStyle name="SHADEDSTORES 2 2 7 5" xfId="39770"/>
    <cellStyle name="SHADEDSTORES 2 2 7 6" xfId="39771"/>
    <cellStyle name="SHADEDSTORES 2 2 7 7" xfId="39772"/>
    <cellStyle name="SHADEDSTORES 2 2 7 8" xfId="39773"/>
    <cellStyle name="SHADEDSTORES 2 2 7 9" xfId="39774"/>
    <cellStyle name="SHADEDSTORES 2 2 7_YL Capex Cashflow &amp; Dep" xfId="13531"/>
    <cellStyle name="SHADEDSTORES 2 2 70" xfId="7356"/>
    <cellStyle name="SHADEDSTORES 2 2 70 10" xfId="39775"/>
    <cellStyle name="SHADEDSTORES 2 2 70 2" xfId="39776"/>
    <cellStyle name="SHADEDSTORES 2 2 70 3" xfId="39777"/>
    <cellStyle name="SHADEDSTORES 2 2 70 4" xfId="39778"/>
    <cellStyle name="SHADEDSTORES 2 2 70 5" xfId="39779"/>
    <cellStyle name="SHADEDSTORES 2 2 70 6" xfId="39780"/>
    <cellStyle name="SHADEDSTORES 2 2 70 7" xfId="39781"/>
    <cellStyle name="SHADEDSTORES 2 2 70 8" xfId="39782"/>
    <cellStyle name="SHADEDSTORES 2 2 70 9" xfId="39783"/>
    <cellStyle name="SHADEDSTORES 2 2 71" xfId="7357"/>
    <cellStyle name="SHADEDSTORES 2 2 71 10" xfId="39784"/>
    <cellStyle name="SHADEDSTORES 2 2 71 2" xfId="39785"/>
    <cellStyle name="SHADEDSTORES 2 2 71 3" xfId="39786"/>
    <cellStyle name="SHADEDSTORES 2 2 71 4" xfId="39787"/>
    <cellStyle name="SHADEDSTORES 2 2 71 5" xfId="39788"/>
    <cellStyle name="SHADEDSTORES 2 2 71 6" xfId="39789"/>
    <cellStyle name="SHADEDSTORES 2 2 71 7" xfId="39790"/>
    <cellStyle name="SHADEDSTORES 2 2 71 8" xfId="39791"/>
    <cellStyle name="SHADEDSTORES 2 2 71 9" xfId="39792"/>
    <cellStyle name="SHADEDSTORES 2 2 72" xfId="7358"/>
    <cellStyle name="SHADEDSTORES 2 2 72 10" xfId="39793"/>
    <cellStyle name="SHADEDSTORES 2 2 72 2" xfId="39794"/>
    <cellStyle name="SHADEDSTORES 2 2 72 3" xfId="39795"/>
    <cellStyle name="SHADEDSTORES 2 2 72 4" xfId="39796"/>
    <cellStyle name="SHADEDSTORES 2 2 72 5" xfId="39797"/>
    <cellStyle name="SHADEDSTORES 2 2 72 6" xfId="39798"/>
    <cellStyle name="SHADEDSTORES 2 2 72 7" xfId="39799"/>
    <cellStyle name="SHADEDSTORES 2 2 72 8" xfId="39800"/>
    <cellStyle name="SHADEDSTORES 2 2 72 9" xfId="39801"/>
    <cellStyle name="SHADEDSTORES 2 2 73" xfId="7359"/>
    <cellStyle name="SHADEDSTORES 2 2 73 10" xfId="39802"/>
    <cellStyle name="SHADEDSTORES 2 2 73 2" xfId="39803"/>
    <cellStyle name="SHADEDSTORES 2 2 73 3" xfId="39804"/>
    <cellStyle name="SHADEDSTORES 2 2 73 4" xfId="39805"/>
    <cellStyle name="SHADEDSTORES 2 2 73 5" xfId="39806"/>
    <cellStyle name="SHADEDSTORES 2 2 73 6" xfId="39807"/>
    <cellStyle name="SHADEDSTORES 2 2 73 7" xfId="39808"/>
    <cellStyle name="SHADEDSTORES 2 2 73 8" xfId="39809"/>
    <cellStyle name="SHADEDSTORES 2 2 73 9" xfId="39810"/>
    <cellStyle name="SHADEDSTORES 2 2 74" xfId="7360"/>
    <cellStyle name="SHADEDSTORES 2 2 74 10" xfId="39811"/>
    <cellStyle name="SHADEDSTORES 2 2 74 2" xfId="39812"/>
    <cellStyle name="SHADEDSTORES 2 2 74 3" xfId="39813"/>
    <cellStyle name="SHADEDSTORES 2 2 74 4" xfId="39814"/>
    <cellStyle name="SHADEDSTORES 2 2 74 5" xfId="39815"/>
    <cellStyle name="SHADEDSTORES 2 2 74 6" xfId="39816"/>
    <cellStyle name="SHADEDSTORES 2 2 74 7" xfId="39817"/>
    <cellStyle name="SHADEDSTORES 2 2 74 8" xfId="39818"/>
    <cellStyle name="SHADEDSTORES 2 2 74 9" xfId="39819"/>
    <cellStyle name="SHADEDSTORES 2 2 75" xfId="7361"/>
    <cellStyle name="SHADEDSTORES 2 2 75 10" xfId="39820"/>
    <cellStyle name="SHADEDSTORES 2 2 75 2" xfId="39821"/>
    <cellStyle name="SHADEDSTORES 2 2 75 3" xfId="39822"/>
    <cellStyle name="SHADEDSTORES 2 2 75 4" xfId="39823"/>
    <cellStyle name="SHADEDSTORES 2 2 75 5" xfId="39824"/>
    <cellStyle name="SHADEDSTORES 2 2 75 6" xfId="39825"/>
    <cellStyle name="SHADEDSTORES 2 2 75 7" xfId="39826"/>
    <cellStyle name="SHADEDSTORES 2 2 75 8" xfId="39827"/>
    <cellStyle name="SHADEDSTORES 2 2 75 9" xfId="39828"/>
    <cellStyle name="SHADEDSTORES 2 2 76" xfId="7362"/>
    <cellStyle name="SHADEDSTORES 2 2 76 10" xfId="39829"/>
    <cellStyle name="SHADEDSTORES 2 2 76 2" xfId="39830"/>
    <cellStyle name="SHADEDSTORES 2 2 76 3" xfId="39831"/>
    <cellStyle name="SHADEDSTORES 2 2 76 4" xfId="39832"/>
    <cellStyle name="SHADEDSTORES 2 2 76 5" xfId="39833"/>
    <cellStyle name="SHADEDSTORES 2 2 76 6" xfId="39834"/>
    <cellStyle name="SHADEDSTORES 2 2 76 7" xfId="39835"/>
    <cellStyle name="SHADEDSTORES 2 2 76 8" xfId="39836"/>
    <cellStyle name="SHADEDSTORES 2 2 76 9" xfId="39837"/>
    <cellStyle name="SHADEDSTORES 2 2 77" xfId="7363"/>
    <cellStyle name="SHADEDSTORES 2 2 77 10" xfId="39838"/>
    <cellStyle name="SHADEDSTORES 2 2 77 2" xfId="39839"/>
    <cellStyle name="SHADEDSTORES 2 2 77 3" xfId="39840"/>
    <cellStyle name="SHADEDSTORES 2 2 77 4" xfId="39841"/>
    <cellStyle name="SHADEDSTORES 2 2 77 5" xfId="39842"/>
    <cellStyle name="SHADEDSTORES 2 2 77 6" xfId="39843"/>
    <cellStyle name="SHADEDSTORES 2 2 77 7" xfId="39844"/>
    <cellStyle name="SHADEDSTORES 2 2 77 8" xfId="39845"/>
    <cellStyle name="SHADEDSTORES 2 2 77 9" xfId="39846"/>
    <cellStyle name="SHADEDSTORES 2 2 78" xfId="7364"/>
    <cellStyle name="SHADEDSTORES 2 2 78 10" xfId="39847"/>
    <cellStyle name="SHADEDSTORES 2 2 78 2" xfId="39848"/>
    <cellStyle name="SHADEDSTORES 2 2 78 3" xfId="39849"/>
    <cellStyle name="SHADEDSTORES 2 2 78 4" xfId="39850"/>
    <cellStyle name="SHADEDSTORES 2 2 78 5" xfId="39851"/>
    <cellStyle name="SHADEDSTORES 2 2 78 6" xfId="39852"/>
    <cellStyle name="SHADEDSTORES 2 2 78 7" xfId="39853"/>
    <cellStyle name="SHADEDSTORES 2 2 78 8" xfId="39854"/>
    <cellStyle name="SHADEDSTORES 2 2 78 9" xfId="39855"/>
    <cellStyle name="SHADEDSTORES 2 2 79" xfId="7365"/>
    <cellStyle name="SHADEDSTORES 2 2 79 10" xfId="39856"/>
    <cellStyle name="SHADEDSTORES 2 2 79 2" xfId="39857"/>
    <cellStyle name="SHADEDSTORES 2 2 79 3" xfId="39858"/>
    <cellStyle name="SHADEDSTORES 2 2 79 4" xfId="39859"/>
    <cellStyle name="SHADEDSTORES 2 2 79 5" xfId="39860"/>
    <cellStyle name="SHADEDSTORES 2 2 79 6" xfId="39861"/>
    <cellStyle name="SHADEDSTORES 2 2 79 7" xfId="39862"/>
    <cellStyle name="SHADEDSTORES 2 2 79 8" xfId="39863"/>
    <cellStyle name="SHADEDSTORES 2 2 79 9" xfId="39864"/>
    <cellStyle name="SHADEDSTORES 2 2 8" xfId="7366"/>
    <cellStyle name="SHADEDSTORES 2 2 8 2" xfId="39865"/>
    <cellStyle name="SHADEDSTORES 2 2 8 3" xfId="39866"/>
    <cellStyle name="SHADEDSTORES 2 2 8 4" xfId="39867"/>
    <cellStyle name="SHADEDSTORES 2 2 8 5" xfId="39868"/>
    <cellStyle name="SHADEDSTORES 2 2 8 6" xfId="39869"/>
    <cellStyle name="SHADEDSTORES 2 2 8 7" xfId="39870"/>
    <cellStyle name="SHADEDSTORES 2 2 8 8" xfId="39871"/>
    <cellStyle name="SHADEDSTORES 2 2 8 9" xfId="39872"/>
    <cellStyle name="SHADEDSTORES 2 2 80" xfId="7367"/>
    <cellStyle name="SHADEDSTORES 2 2 80 10" xfId="39873"/>
    <cellStyle name="SHADEDSTORES 2 2 80 2" xfId="39874"/>
    <cellStyle name="SHADEDSTORES 2 2 80 3" xfId="39875"/>
    <cellStyle name="SHADEDSTORES 2 2 80 4" xfId="39876"/>
    <cellStyle name="SHADEDSTORES 2 2 80 5" xfId="39877"/>
    <cellStyle name="SHADEDSTORES 2 2 80 6" xfId="39878"/>
    <cellStyle name="SHADEDSTORES 2 2 80 7" xfId="39879"/>
    <cellStyle name="SHADEDSTORES 2 2 80 8" xfId="39880"/>
    <cellStyle name="SHADEDSTORES 2 2 80 9" xfId="39881"/>
    <cellStyle name="SHADEDSTORES 2 2 81" xfId="7368"/>
    <cellStyle name="SHADEDSTORES 2 2 81 10" xfId="39882"/>
    <cellStyle name="SHADEDSTORES 2 2 81 2" xfId="39883"/>
    <cellStyle name="SHADEDSTORES 2 2 81 3" xfId="39884"/>
    <cellStyle name="SHADEDSTORES 2 2 81 4" xfId="39885"/>
    <cellStyle name="SHADEDSTORES 2 2 81 5" xfId="39886"/>
    <cellStyle name="SHADEDSTORES 2 2 81 6" xfId="39887"/>
    <cellStyle name="SHADEDSTORES 2 2 81 7" xfId="39888"/>
    <cellStyle name="SHADEDSTORES 2 2 81 8" xfId="39889"/>
    <cellStyle name="SHADEDSTORES 2 2 81 9" xfId="39890"/>
    <cellStyle name="SHADEDSTORES 2 2 82" xfId="7369"/>
    <cellStyle name="SHADEDSTORES 2 2 82 10" xfId="39891"/>
    <cellStyle name="SHADEDSTORES 2 2 82 2" xfId="39892"/>
    <cellStyle name="SHADEDSTORES 2 2 82 3" xfId="39893"/>
    <cellStyle name="SHADEDSTORES 2 2 82 4" xfId="39894"/>
    <cellStyle name="SHADEDSTORES 2 2 82 5" xfId="39895"/>
    <cellStyle name="SHADEDSTORES 2 2 82 6" xfId="39896"/>
    <cellStyle name="SHADEDSTORES 2 2 82 7" xfId="39897"/>
    <cellStyle name="SHADEDSTORES 2 2 82 8" xfId="39898"/>
    <cellStyle name="SHADEDSTORES 2 2 82 9" xfId="39899"/>
    <cellStyle name="SHADEDSTORES 2 2 83" xfId="7370"/>
    <cellStyle name="SHADEDSTORES 2 2 83 10" xfId="39900"/>
    <cellStyle name="SHADEDSTORES 2 2 83 2" xfId="39901"/>
    <cellStyle name="SHADEDSTORES 2 2 83 3" xfId="39902"/>
    <cellStyle name="SHADEDSTORES 2 2 83 4" xfId="39903"/>
    <cellStyle name="SHADEDSTORES 2 2 83 5" xfId="39904"/>
    <cellStyle name="SHADEDSTORES 2 2 83 6" xfId="39905"/>
    <cellStyle name="SHADEDSTORES 2 2 83 7" xfId="39906"/>
    <cellStyle name="SHADEDSTORES 2 2 83 8" xfId="39907"/>
    <cellStyle name="SHADEDSTORES 2 2 83 9" xfId="39908"/>
    <cellStyle name="SHADEDSTORES 2 2 84" xfId="7371"/>
    <cellStyle name="SHADEDSTORES 2 2 84 10" xfId="39909"/>
    <cellStyle name="SHADEDSTORES 2 2 84 2" xfId="39910"/>
    <cellStyle name="SHADEDSTORES 2 2 84 3" xfId="39911"/>
    <cellStyle name="SHADEDSTORES 2 2 84 4" xfId="39912"/>
    <cellStyle name="SHADEDSTORES 2 2 84 5" xfId="39913"/>
    <cellStyle name="SHADEDSTORES 2 2 84 6" xfId="39914"/>
    <cellStyle name="SHADEDSTORES 2 2 84 7" xfId="39915"/>
    <cellStyle name="SHADEDSTORES 2 2 84 8" xfId="39916"/>
    <cellStyle name="SHADEDSTORES 2 2 84 9" xfId="39917"/>
    <cellStyle name="SHADEDSTORES 2 2 85" xfId="7372"/>
    <cellStyle name="SHADEDSTORES 2 2 85 10" xfId="39918"/>
    <cellStyle name="SHADEDSTORES 2 2 85 2" xfId="39919"/>
    <cellStyle name="SHADEDSTORES 2 2 85 3" xfId="39920"/>
    <cellStyle name="SHADEDSTORES 2 2 85 4" xfId="39921"/>
    <cellStyle name="SHADEDSTORES 2 2 85 5" xfId="39922"/>
    <cellStyle name="SHADEDSTORES 2 2 85 6" xfId="39923"/>
    <cellStyle name="SHADEDSTORES 2 2 85 7" xfId="39924"/>
    <cellStyle name="SHADEDSTORES 2 2 85 8" xfId="39925"/>
    <cellStyle name="SHADEDSTORES 2 2 85 9" xfId="39926"/>
    <cellStyle name="SHADEDSTORES 2 2 86" xfId="7373"/>
    <cellStyle name="SHADEDSTORES 2 2 86 10" xfId="39927"/>
    <cellStyle name="SHADEDSTORES 2 2 86 2" xfId="39928"/>
    <cellStyle name="SHADEDSTORES 2 2 86 3" xfId="39929"/>
    <cellStyle name="SHADEDSTORES 2 2 86 4" xfId="39930"/>
    <cellStyle name="SHADEDSTORES 2 2 86 5" xfId="39931"/>
    <cellStyle name="SHADEDSTORES 2 2 86 6" xfId="39932"/>
    <cellStyle name="SHADEDSTORES 2 2 86 7" xfId="39933"/>
    <cellStyle name="SHADEDSTORES 2 2 86 8" xfId="39934"/>
    <cellStyle name="SHADEDSTORES 2 2 86 9" xfId="39935"/>
    <cellStyle name="SHADEDSTORES 2 2 87" xfId="7374"/>
    <cellStyle name="SHADEDSTORES 2 2 87 10" xfId="39936"/>
    <cellStyle name="SHADEDSTORES 2 2 87 2" xfId="39937"/>
    <cellStyle name="SHADEDSTORES 2 2 87 3" xfId="39938"/>
    <cellStyle name="SHADEDSTORES 2 2 87 4" xfId="39939"/>
    <cellStyle name="SHADEDSTORES 2 2 87 5" xfId="39940"/>
    <cellStyle name="SHADEDSTORES 2 2 87 6" xfId="39941"/>
    <cellStyle name="SHADEDSTORES 2 2 87 7" xfId="39942"/>
    <cellStyle name="SHADEDSTORES 2 2 87 8" xfId="39943"/>
    <cellStyle name="SHADEDSTORES 2 2 87 9" xfId="39944"/>
    <cellStyle name="SHADEDSTORES 2 2 88" xfId="7375"/>
    <cellStyle name="SHADEDSTORES 2 2 88 10" xfId="39945"/>
    <cellStyle name="SHADEDSTORES 2 2 88 2" xfId="39946"/>
    <cellStyle name="SHADEDSTORES 2 2 88 3" xfId="39947"/>
    <cellStyle name="SHADEDSTORES 2 2 88 4" xfId="39948"/>
    <cellStyle name="SHADEDSTORES 2 2 88 5" xfId="39949"/>
    <cellStyle name="SHADEDSTORES 2 2 88 6" xfId="39950"/>
    <cellStyle name="SHADEDSTORES 2 2 88 7" xfId="39951"/>
    <cellStyle name="SHADEDSTORES 2 2 88 8" xfId="39952"/>
    <cellStyle name="SHADEDSTORES 2 2 88 9" xfId="39953"/>
    <cellStyle name="SHADEDSTORES 2 2 89" xfId="7376"/>
    <cellStyle name="SHADEDSTORES 2 2 89 10" xfId="39954"/>
    <cellStyle name="SHADEDSTORES 2 2 89 2" xfId="39955"/>
    <cellStyle name="SHADEDSTORES 2 2 89 3" xfId="39956"/>
    <cellStyle name="SHADEDSTORES 2 2 89 4" xfId="39957"/>
    <cellStyle name="SHADEDSTORES 2 2 89 5" xfId="39958"/>
    <cellStyle name="SHADEDSTORES 2 2 89 6" xfId="39959"/>
    <cellStyle name="SHADEDSTORES 2 2 89 7" xfId="39960"/>
    <cellStyle name="SHADEDSTORES 2 2 89 8" xfId="39961"/>
    <cellStyle name="SHADEDSTORES 2 2 89 9" xfId="39962"/>
    <cellStyle name="SHADEDSTORES 2 2 9" xfId="7377"/>
    <cellStyle name="SHADEDSTORES 2 2 9 2" xfId="39963"/>
    <cellStyle name="SHADEDSTORES 2 2 9 3" xfId="39964"/>
    <cellStyle name="SHADEDSTORES 2 2 9 4" xfId="39965"/>
    <cellStyle name="SHADEDSTORES 2 2 9 5" xfId="39966"/>
    <cellStyle name="SHADEDSTORES 2 2 9 6" xfId="39967"/>
    <cellStyle name="SHADEDSTORES 2 2 9 7" xfId="39968"/>
    <cellStyle name="SHADEDSTORES 2 2 9 8" xfId="39969"/>
    <cellStyle name="SHADEDSTORES 2 2 9 9" xfId="39970"/>
    <cellStyle name="SHADEDSTORES 2 2 90" xfId="7378"/>
    <cellStyle name="SHADEDSTORES 2 2 90 10" xfId="39971"/>
    <cellStyle name="SHADEDSTORES 2 2 90 2" xfId="39972"/>
    <cellStyle name="SHADEDSTORES 2 2 90 3" xfId="39973"/>
    <cellStyle name="SHADEDSTORES 2 2 90 4" xfId="39974"/>
    <cellStyle name="SHADEDSTORES 2 2 90 5" xfId="39975"/>
    <cellStyle name="SHADEDSTORES 2 2 90 6" xfId="39976"/>
    <cellStyle name="SHADEDSTORES 2 2 90 7" xfId="39977"/>
    <cellStyle name="SHADEDSTORES 2 2 90 8" xfId="39978"/>
    <cellStyle name="SHADEDSTORES 2 2 90 9" xfId="39979"/>
    <cellStyle name="SHADEDSTORES 2 2 91" xfId="7379"/>
    <cellStyle name="SHADEDSTORES 2 2 91 10" xfId="39980"/>
    <cellStyle name="SHADEDSTORES 2 2 91 2" xfId="39981"/>
    <cellStyle name="SHADEDSTORES 2 2 91 3" xfId="39982"/>
    <cellStyle name="SHADEDSTORES 2 2 91 4" xfId="39983"/>
    <cellStyle name="SHADEDSTORES 2 2 91 5" xfId="39984"/>
    <cellStyle name="SHADEDSTORES 2 2 91 6" xfId="39985"/>
    <cellStyle name="SHADEDSTORES 2 2 91 7" xfId="39986"/>
    <cellStyle name="SHADEDSTORES 2 2 91 8" xfId="39987"/>
    <cellStyle name="SHADEDSTORES 2 2 91 9" xfId="39988"/>
    <cellStyle name="SHADEDSTORES 2 2 92" xfId="7380"/>
    <cellStyle name="SHADEDSTORES 2 2 92 10" xfId="39989"/>
    <cellStyle name="SHADEDSTORES 2 2 92 2" xfId="39990"/>
    <cellStyle name="SHADEDSTORES 2 2 92 3" xfId="39991"/>
    <cellStyle name="SHADEDSTORES 2 2 92 4" xfId="39992"/>
    <cellStyle name="SHADEDSTORES 2 2 92 5" xfId="39993"/>
    <cellStyle name="SHADEDSTORES 2 2 92 6" xfId="39994"/>
    <cellStyle name="SHADEDSTORES 2 2 92 7" xfId="39995"/>
    <cellStyle name="SHADEDSTORES 2 2 92 8" xfId="39996"/>
    <cellStyle name="SHADEDSTORES 2 2 92 9" xfId="39997"/>
    <cellStyle name="SHADEDSTORES 2 2 93" xfId="7381"/>
    <cellStyle name="SHADEDSTORES 2 2 93 2" xfId="39998"/>
    <cellStyle name="SHADEDSTORES 2 2 93 3" xfId="39999"/>
    <cellStyle name="SHADEDSTORES 2 2 93 4" xfId="40000"/>
    <cellStyle name="SHADEDSTORES 2 2 93 5" xfId="40001"/>
    <cellStyle name="SHADEDSTORES 2 2 93 6" xfId="40002"/>
    <cellStyle name="SHADEDSTORES 2 2 93 7" xfId="40003"/>
    <cellStyle name="SHADEDSTORES 2 2 93 8" xfId="40004"/>
    <cellStyle name="SHADEDSTORES 2 2 93 9" xfId="40005"/>
    <cellStyle name="SHADEDSTORES 2 2 94" xfId="40006"/>
    <cellStyle name="SHADEDSTORES 2 2 95" xfId="40007"/>
    <cellStyle name="SHADEDSTORES 2 2 96" xfId="40008"/>
    <cellStyle name="SHADEDSTORES 2 2 97" xfId="40009"/>
    <cellStyle name="SHADEDSTORES 2 2 98" xfId="40010"/>
    <cellStyle name="SHADEDSTORES 2 2 99" xfId="40011"/>
    <cellStyle name="SHADEDSTORES 2 2_YL Capex Cashflow &amp; Dep" xfId="13518"/>
    <cellStyle name="SHADEDSTORES 2 20" xfId="7382"/>
    <cellStyle name="SHADEDSTORES 2 20 2" xfId="40012"/>
    <cellStyle name="SHADEDSTORES 2 20 3" xfId="40013"/>
    <cellStyle name="SHADEDSTORES 2 20 4" xfId="40014"/>
    <cellStyle name="SHADEDSTORES 2 20 5" xfId="40015"/>
    <cellStyle name="SHADEDSTORES 2 20 6" xfId="40016"/>
    <cellStyle name="SHADEDSTORES 2 20 7" xfId="40017"/>
    <cellStyle name="SHADEDSTORES 2 20 8" xfId="40018"/>
    <cellStyle name="SHADEDSTORES 2 20 9" xfId="40019"/>
    <cellStyle name="SHADEDSTORES 2 21" xfId="7383"/>
    <cellStyle name="SHADEDSTORES 2 21 2" xfId="40020"/>
    <cellStyle name="SHADEDSTORES 2 21 3" xfId="40021"/>
    <cellStyle name="SHADEDSTORES 2 21 4" xfId="40022"/>
    <cellStyle name="SHADEDSTORES 2 21 5" xfId="40023"/>
    <cellStyle name="SHADEDSTORES 2 21 6" xfId="40024"/>
    <cellStyle name="SHADEDSTORES 2 21 7" xfId="40025"/>
    <cellStyle name="SHADEDSTORES 2 21 8" xfId="40026"/>
    <cellStyle name="SHADEDSTORES 2 21 9" xfId="40027"/>
    <cellStyle name="SHADEDSTORES 2 22" xfId="7384"/>
    <cellStyle name="SHADEDSTORES 2 22 2" xfId="40028"/>
    <cellStyle name="SHADEDSTORES 2 22 3" xfId="40029"/>
    <cellStyle name="SHADEDSTORES 2 22 4" xfId="40030"/>
    <cellStyle name="SHADEDSTORES 2 22 5" xfId="40031"/>
    <cellStyle name="SHADEDSTORES 2 22 6" xfId="40032"/>
    <cellStyle name="SHADEDSTORES 2 22 7" xfId="40033"/>
    <cellStyle name="SHADEDSTORES 2 22 8" xfId="40034"/>
    <cellStyle name="SHADEDSTORES 2 22 9" xfId="40035"/>
    <cellStyle name="SHADEDSTORES 2 23" xfId="7385"/>
    <cellStyle name="SHADEDSTORES 2 23 10" xfId="40036"/>
    <cellStyle name="SHADEDSTORES 2 23 2" xfId="40037"/>
    <cellStyle name="SHADEDSTORES 2 23 3" xfId="40038"/>
    <cellStyle name="SHADEDSTORES 2 23 4" xfId="40039"/>
    <cellStyle name="SHADEDSTORES 2 23 5" xfId="40040"/>
    <cellStyle name="SHADEDSTORES 2 23 6" xfId="40041"/>
    <cellStyle name="SHADEDSTORES 2 23 7" xfId="40042"/>
    <cellStyle name="SHADEDSTORES 2 23 8" xfId="40043"/>
    <cellStyle name="SHADEDSTORES 2 23 9" xfId="40044"/>
    <cellStyle name="SHADEDSTORES 2 24" xfId="7386"/>
    <cellStyle name="SHADEDSTORES 2 24 10" xfId="40045"/>
    <cellStyle name="SHADEDSTORES 2 24 2" xfId="40046"/>
    <cellStyle name="SHADEDSTORES 2 24 3" xfId="40047"/>
    <cellStyle name="SHADEDSTORES 2 24 4" xfId="40048"/>
    <cellStyle name="SHADEDSTORES 2 24 5" xfId="40049"/>
    <cellStyle name="SHADEDSTORES 2 24 6" xfId="40050"/>
    <cellStyle name="SHADEDSTORES 2 24 7" xfId="40051"/>
    <cellStyle name="SHADEDSTORES 2 24 8" xfId="40052"/>
    <cellStyle name="SHADEDSTORES 2 24 9" xfId="40053"/>
    <cellStyle name="SHADEDSTORES 2 25" xfId="7387"/>
    <cellStyle name="SHADEDSTORES 2 25 10" xfId="40054"/>
    <cellStyle name="SHADEDSTORES 2 25 2" xfId="40055"/>
    <cellStyle name="SHADEDSTORES 2 25 3" xfId="40056"/>
    <cellStyle name="SHADEDSTORES 2 25 4" xfId="40057"/>
    <cellStyle name="SHADEDSTORES 2 25 5" xfId="40058"/>
    <cellStyle name="SHADEDSTORES 2 25 6" xfId="40059"/>
    <cellStyle name="SHADEDSTORES 2 25 7" xfId="40060"/>
    <cellStyle name="SHADEDSTORES 2 25 8" xfId="40061"/>
    <cellStyle name="SHADEDSTORES 2 25 9" xfId="40062"/>
    <cellStyle name="SHADEDSTORES 2 26" xfId="7388"/>
    <cellStyle name="SHADEDSTORES 2 26 10" xfId="40063"/>
    <cellStyle name="SHADEDSTORES 2 26 2" xfId="40064"/>
    <cellStyle name="SHADEDSTORES 2 26 3" xfId="40065"/>
    <cellStyle name="SHADEDSTORES 2 26 4" xfId="40066"/>
    <cellStyle name="SHADEDSTORES 2 26 5" xfId="40067"/>
    <cellStyle name="SHADEDSTORES 2 26 6" xfId="40068"/>
    <cellStyle name="SHADEDSTORES 2 26 7" xfId="40069"/>
    <cellStyle name="SHADEDSTORES 2 26 8" xfId="40070"/>
    <cellStyle name="SHADEDSTORES 2 26 9" xfId="40071"/>
    <cellStyle name="SHADEDSTORES 2 27" xfId="7389"/>
    <cellStyle name="SHADEDSTORES 2 27 10" xfId="40072"/>
    <cellStyle name="SHADEDSTORES 2 27 2" xfId="40073"/>
    <cellStyle name="SHADEDSTORES 2 27 3" xfId="40074"/>
    <cellStyle name="SHADEDSTORES 2 27 4" xfId="40075"/>
    <cellStyle name="SHADEDSTORES 2 27 5" xfId="40076"/>
    <cellStyle name="SHADEDSTORES 2 27 6" xfId="40077"/>
    <cellStyle name="SHADEDSTORES 2 27 7" xfId="40078"/>
    <cellStyle name="SHADEDSTORES 2 27 8" xfId="40079"/>
    <cellStyle name="SHADEDSTORES 2 27 9" xfId="40080"/>
    <cellStyle name="SHADEDSTORES 2 28" xfId="7390"/>
    <cellStyle name="SHADEDSTORES 2 28 10" xfId="40081"/>
    <cellStyle name="SHADEDSTORES 2 28 2" xfId="40082"/>
    <cellStyle name="SHADEDSTORES 2 28 3" xfId="40083"/>
    <cellStyle name="SHADEDSTORES 2 28 4" xfId="40084"/>
    <cellStyle name="SHADEDSTORES 2 28 5" xfId="40085"/>
    <cellStyle name="SHADEDSTORES 2 28 6" xfId="40086"/>
    <cellStyle name="SHADEDSTORES 2 28 7" xfId="40087"/>
    <cellStyle name="SHADEDSTORES 2 28 8" xfId="40088"/>
    <cellStyle name="SHADEDSTORES 2 28 9" xfId="40089"/>
    <cellStyle name="SHADEDSTORES 2 29" xfId="7391"/>
    <cellStyle name="SHADEDSTORES 2 29 10" xfId="40090"/>
    <cellStyle name="SHADEDSTORES 2 29 2" xfId="40091"/>
    <cellStyle name="SHADEDSTORES 2 29 3" xfId="40092"/>
    <cellStyle name="SHADEDSTORES 2 29 4" xfId="40093"/>
    <cellStyle name="SHADEDSTORES 2 29 5" xfId="40094"/>
    <cellStyle name="SHADEDSTORES 2 29 6" xfId="40095"/>
    <cellStyle name="SHADEDSTORES 2 29 7" xfId="40096"/>
    <cellStyle name="SHADEDSTORES 2 29 8" xfId="40097"/>
    <cellStyle name="SHADEDSTORES 2 29 9" xfId="40098"/>
    <cellStyle name="SHADEDSTORES 2 3" xfId="2535"/>
    <cellStyle name="SHADEDSTORES 2 3 10" xfId="7392"/>
    <cellStyle name="SHADEDSTORES 2 3 10 2" xfId="40099"/>
    <cellStyle name="SHADEDSTORES 2 3 10 3" xfId="40100"/>
    <cellStyle name="SHADEDSTORES 2 3 10 4" xfId="40101"/>
    <cellStyle name="SHADEDSTORES 2 3 10 5" xfId="40102"/>
    <cellStyle name="SHADEDSTORES 2 3 10 6" xfId="40103"/>
    <cellStyle name="SHADEDSTORES 2 3 10 7" xfId="40104"/>
    <cellStyle name="SHADEDSTORES 2 3 10 8" xfId="40105"/>
    <cellStyle name="SHADEDSTORES 2 3 10 9" xfId="40106"/>
    <cellStyle name="SHADEDSTORES 2 3 100" xfId="40107"/>
    <cellStyle name="SHADEDSTORES 2 3 101" xfId="40108"/>
    <cellStyle name="SHADEDSTORES 2 3 102" xfId="40109"/>
    <cellStyle name="SHADEDSTORES 2 3 11" xfId="7393"/>
    <cellStyle name="SHADEDSTORES 2 3 11 2" xfId="40110"/>
    <cellStyle name="SHADEDSTORES 2 3 11 3" xfId="40111"/>
    <cellStyle name="SHADEDSTORES 2 3 11 4" xfId="40112"/>
    <cellStyle name="SHADEDSTORES 2 3 11 5" xfId="40113"/>
    <cellStyle name="SHADEDSTORES 2 3 11 6" xfId="40114"/>
    <cellStyle name="SHADEDSTORES 2 3 11 7" xfId="40115"/>
    <cellStyle name="SHADEDSTORES 2 3 11 8" xfId="40116"/>
    <cellStyle name="SHADEDSTORES 2 3 11 9" xfId="40117"/>
    <cellStyle name="SHADEDSTORES 2 3 12" xfId="7394"/>
    <cellStyle name="SHADEDSTORES 2 3 12 2" xfId="40118"/>
    <cellStyle name="SHADEDSTORES 2 3 12 3" xfId="40119"/>
    <cellStyle name="SHADEDSTORES 2 3 12 4" xfId="40120"/>
    <cellStyle name="SHADEDSTORES 2 3 12 5" xfId="40121"/>
    <cellStyle name="SHADEDSTORES 2 3 12 6" xfId="40122"/>
    <cellStyle name="SHADEDSTORES 2 3 12 7" xfId="40123"/>
    <cellStyle name="SHADEDSTORES 2 3 12 8" xfId="40124"/>
    <cellStyle name="SHADEDSTORES 2 3 12 9" xfId="40125"/>
    <cellStyle name="SHADEDSTORES 2 3 13" xfId="7395"/>
    <cellStyle name="SHADEDSTORES 2 3 13 2" xfId="40126"/>
    <cellStyle name="SHADEDSTORES 2 3 13 3" xfId="40127"/>
    <cellStyle name="SHADEDSTORES 2 3 13 4" xfId="40128"/>
    <cellStyle name="SHADEDSTORES 2 3 13 5" xfId="40129"/>
    <cellStyle name="SHADEDSTORES 2 3 13 6" xfId="40130"/>
    <cellStyle name="SHADEDSTORES 2 3 13 7" xfId="40131"/>
    <cellStyle name="SHADEDSTORES 2 3 13 8" xfId="40132"/>
    <cellStyle name="SHADEDSTORES 2 3 13 9" xfId="40133"/>
    <cellStyle name="SHADEDSTORES 2 3 14" xfId="7396"/>
    <cellStyle name="SHADEDSTORES 2 3 14 2" xfId="40134"/>
    <cellStyle name="SHADEDSTORES 2 3 14 3" xfId="40135"/>
    <cellStyle name="SHADEDSTORES 2 3 14 4" xfId="40136"/>
    <cellStyle name="SHADEDSTORES 2 3 14 5" xfId="40137"/>
    <cellStyle name="SHADEDSTORES 2 3 14 6" xfId="40138"/>
    <cellStyle name="SHADEDSTORES 2 3 14 7" xfId="40139"/>
    <cellStyle name="SHADEDSTORES 2 3 14 8" xfId="40140"/>
    <cellStyle name="SHADEDSTORES 2 3 14 9" xfId="40141"/>
    <cellStyle name="SHADEDSTORES 2 3 15" xfId="7397"/>
    <cellStyle name="SHADEDSTORES 2 3 15 2" xfId="40142"/>
    <cellStyle name="SHADEDSTORES 2 3 15 3" xfId="40143"/>
    <cellStyle name="SHADEDSTORES 2 3 15 4" xfId="40144"/>
    <cellStyle name="SHADEDSTORES 2 3 15 5" xfId="40145"/>
    <cellStyle name="SHADEDSTORES 2 3 15 6" xfId="40146"/>
    <cellStyle name="SHADEDSTORES 2 3 15 7" xfId="40147"/>
    <cellStyle name="SHADEDSTORES 2 3 15 8" xfId="40148"/>
    <cellStyle name="SHADEDSTORES 2 3 15 9" xfId="40149"/>
    <cellStyle name="SHADEDSTORES 2 3 16" xfId="7398"/>
    <cellStyle name="SHADEDSTORES 2 3 16 2" xfId="40150"/>
    <cellStyle name="SHADEDSTORES 2 3 16 3" xfId="40151"/>
    <cellStyle name="SHADEDSTORES 2 3 16 4" xfId="40152"/>
    <cellStyle name="SHADEDSTORES 2 3 16 5" xfId="40153"/>
    <cellStyle name="SHADEDSTORES 2 3 16 6" xfId="40154"/>
    <cellStyle name="SHADEDSTORES 2 3 16 7" xfId="40155"/>
    <cellStyle name="SHADEDSTORES 2 3 16 8" xfId="40156"/>
    <cellStyle name="SHADEDSTORES 2 3 16 9" xfId="40157"/>
    <cellStyle name="SHADEDSTORES 2 3 17" xfId="7399"/>
    <cellStyle name="SHADEDSTORES 2 3 17 2" xfId="40158"/>
    <cellStyle name="SHADEDSTORES 2 3 17 3" xfId="40159"/>
    <cellStyle name="SHADEDSTORES 2 3 17 4" xfId="40160"/>
    <cellStyle name="SHADEDSTORES 2 3 17 5" xfId="40161"/>
    <cellStyle name="SHADEDSTORES 2 3 17 6" xfId="40162"/>
    <cellStyle name="SHADEDSTORES 2 3 17 7" xfId="40163"/>
    <cellStyle name="SHADEDSTORES 2 3 17 8" xfId="40164"/>
    <cellStyle name="SHADEDSTORES 2 3 17 9" xfId="40165"/>
    <cellStyle name="SHADEDSTORES 2 3 18" xfId="7400"/>
    <cellStyle name="SHADEDSTORES 2 3 18 2" xfId="40166"/>
    <cellStyle name="SHADEDSTORES 2 3 18 3" xfId="40167"/>
    <cellStyle name="SHADEDSTORES 2 3 18 4" xfId="40168"/>
    <cellStyle name="SHADEDSTORES 2 3 18 5" xfId="40169"/>
    <cellStyle name="SHADEDSTORES 2 3 18 6" xfId="40170"/>
    <cellStyle name="SHADEDSTORES 2 3 18 7" xfId="40171"/>
    <cellStyle name="SHADEDSTORES 2 3 18 8" xfId="40172"/>
    <cellStyle name="SHADEDSTORES 2 3 18 9" xfId="40173"/>
    <cellStyle name="SHADEDSTORES 2 3 19" xfId="7401"/>
    <cellStyle name="SHADEDSTORES 2 3 19 2" xfId="40174"/>
    <cellStyle name="SHADEDSTORES 2 3 19 3" xfId="40175"/>
    <cellStyle name="SHADEDSTORES 2 3 19 4" xfId="40176"/>
    <cellStyle name="SHADEDSTORES 2 3 19 5" xfId="40177"/>
    <cellStyle name="SHADEDSTORES 2 3 19 6" xfId="40178"/>
    <cellStyle name="SHADEDSTORES 2 3 19 7" xfId="40179"/>
    <cellStyle name="SHADEDSTORES 2 3 19 8" xfId="40180"/>
    <cellStyle name="SHADEDSTORES 2 3 19 9" xfId="40181"/>
    <cellStyle name="SHADEDSTORES 2 3 2" xfId="2536"/>
    <cellStyle name="SHADEDSTORES 2 3 2 10" xfId="40182"/>
    <cellStyle name="SHADEDSTORES 2 3 2 11" xfId="40183"/>
    <cellStyle name="SHADEDSTORES 2 3 2 2" xfId="2537"/>
    <cellStyle name="SHADEDSTORES 2 3 2 2 2" xfId="12679"/>
    <cellStyle name="SHADEDSTORES 2 3 2 2_YL Capex Cashflow &amp; Dep" xfId="13532"/>
    <cellStyle name="SHADEDSTORES 2 3 2 3" xfId="11981"/>
    <cellStyle name="SHADEDSTORES 2 3 2 4" xfId="40184"/>
    <cellStyle name="SHADEDSTORES 2 3 2 5" xfId="40185"/>
    <cellStyle name="SHADEDSTORES 2 3 2 6" xfId="40186"/>
    <cellStyle name="SHADEDSTORES 2 3 2 7" xfId="40187"/>
    <cellStyle name="SHADEDSTORES 2 3 2 8" xfId="40188"/>
    <cellStyle name="SHADEDSTORES 2 3 2 9" xfId="40189"/>
    <cellStyle name="SHADEDSTORES 2 3 2_Cashflow trend" xfId="2538"/>
    <cellStyle name="SHADEDSTORES 2 3 20" xfId="7402"/>
    <cellStyle name="SHADEDSTORES 2 3 20 10" xfId="40190"/>
    <cellStyle name="SHADEDSTORES 2 3 20 2" xfId="40191"/>
    <cellStyle name="SHADEDSTORES 2 3 20 3" xfId="40192"/>
    <cellStyle name="SHADEDSTORES 2 3 20 4" xfId="40193"/>
    <cellStyle name="SHADEDSTORES 2 3 20 5" xfId="40194"/>
    <cellStyle name="SHADEDSTORES 2 3 20 6" xfId="40195"/>
    <cellStyle name="SHADEDSTORES 2 3 20 7" xfId="40196"/>
    <cellStyle name="SHADEDSTORES 2 3 20 8" xfId="40197"/>
    <cellStyle name="SHADEDSTORES 2 3 20 9" xfId="40198"/>
    <cellStyle name="SHADEDSTORES 2 3 21" xfId="7403"/>
    <cellStyle name="SHADEDSTORES 2 3 21 10" xfId="40199"/>
    <cellStyle name="SHADEDSTORES 2 3 21 2" xfId="40200"/>
    <cellStyle name="SHADEDSTORES 2 3 21 3" xfId="40201"/>
    <cellStyle name="SHADEDSTORES 2 3 21 4" xfId="40202"/>
    <cellStyle name="SHADEDSTORES 2 3 21 5" xfId="40203"/>
    <cellStyle name="SHADEDSTORES 2 3 21 6" xfId="40204"/>
    <cellStyle name="SHADEDSTORES 2 3 21 7" xfId="40205"/>
    <cellStyle name="SHADEDSTORES 2 3 21 8" xfId="40206"/>
    <cellStyle name="SHADEDSTORES 2 3 21 9" xfId="40207"/>
    <cellStyle name="SHADEDSTORES 2 3 22" xfId="7404"/>
    <cellStyle name="SHADEDSTORES 2 3 22 10" xfId="40208"/>
    <cellStyle name="SHADEDSTORES 2 3 22 2" xfId="40209"/>
    <cellStyle name="SHADEDSTORES 2 3 22 3" xfId="40210"/>
    <cellStyle name="SHADEDSTORES 2 3 22 4" xfId="40211"/>
    <cellStyle name="SHADEDSTORES 2 3 22 5" xfId="40212"/>
    <cellStyle name="SHADEDSTORES 2 3 22 6" xfId="40213"/>
    <cellStyle name="SHADEDSTORES 2 3 22 7" xfId="40214"/>
    <cellStyle name="SHADEDSTORES 2 3 22 8" xfId="40215"/>
    <cellStyle name="SHADEDSTORES 2 3 22 9" xfId="40216"/>
    <cellStyle name="SHADEDSTORES 2 3 23" xfId="7405"/>
    <cellStyle name="SHADEDSTORES 2 3 23 10" xfId="40217"/>
    <cellStyle name="SHADEDSTORES 2 3 23 2" xfId="40218"/>
    <cellStyle name="SHADEDSTORES 2 3 23 3" xfId="40219"/>
    <cellStyle name="SHADEDSTORES 2 3 23 4" xfId="40220"/>
    <cellStyle name="SHADEDSTORES 2 3 23 5" xfId="40221"/>
    <cellStyle name="SHADEDSTORES 2 3 23 6" xfId="40222"/>
    <cellStyle name="SHADEDSTORES 2 3 23 7" xfId="40223"/>
    <cellStyle name="SHADEDSTORES 2 3 23 8" xfId="40224"/>
    <cellStyle name="SHADEDSTORES 2 3 23 9" xfId="40225"/>
    <cellStyle name="SHADEDSTORES 2 3 24" xfId="7406"/>
    <cellStyle name="SHADEDSTORES 2 3 24 10" xfId="40226"/>
    <cellStyle name="SHADEDSTORES 2 3 24 2" xfId="40227"/>
    <cellStyle name="SHADEDSTORES 2 3 24 3" xfId="40228"/>
    <cellStyle name="SHADEDSTORES 2 3 24 4" xfId="40229"/>
    <cellStyle name="SHADEDSTORES 2 3 24 5" xfId="40230"/>
    <cellStyle name="SHADEDSTORES 2 3 24 6" xfId="40231"/>
    <cellStyle name="SHADEDSTORES 2 3 24 7" xfId="40232"/>
    <cellStyle name="SHADEDSTORES 2 3 24 8" xfId="40233"/>
    <cellStyle name="SHADEDSTORES 2 3 24 9" xfId="40234"/>
    <cellStyle name="SHADEDSTORES 2 3 25" xfId="7407"/>
    <cellStyle name="SHADEDSTORES 2 3 25 10" xfId="40235"/>
    <cellStyle name="SHADEDSTORES 2 3 25 2" xfId="40236"/>
    <cellStyle name="SHADEDSTORES 2 3 25 3" xfId="40237"/>
    <cellStyle name="SHADEDSTORES 2 3 25 4" xfId="40238"/>
    <cellStyle name="SHADEDSTORES 2 3 25 5" xfId="40239"/>
    <cellStyle name="SHADEDSTORES 2 3 25 6" xfId="40240"/>
    <cellStyle name="SHADEDSTORES 2 3 25 7" xfId="40241"/>
    <cellStyle name="SHADEDSTORES 2 3 25 8" xfId="40242"/>
    <cellStyle name="SHADEDSTORES 2 3 25 9" xfId="40243"/>
    <cellStyle name="SHADEDSTORES 2 3 26" xfId="7408"/>
    <cellStyle name="SHADEDSTORES 2 3 26 10" xfId="40244"/>
    <cellStyle name="SHADEDSTORES 2 3 26 2" xfId="40245"/>
    <cellStyle name="SHADEDSTORES 2 3 26 3" xfId="40246"/>
    <cellStyle name="SHADEDSTORES 2 3 26 4" xfId="40247"/>
    <cellStyle name="SHADEDSTORES 2 3 26 5" xfId="40248"/>
    <cellStyle name="SHADEDSTORES 2 3 26 6" xfId="40249"/>
    <cellStyle name="SHADEDSTORES 2 3 26 7" xfId="40250"/>
    <cellStyle name="SHADEDSTORES 2 3 26 8" xfId="40251"/>
    <cellStyle name="SHADEDSTORES 2 3 26 9" xfId="40252"/>
    <cellStyle name="SHADEDSTORES 2 3 27" xfId="7409"/>
    <cellStyle name="SHADEDSTORES 2 3 27 10" xfId="40253"/>
    <cellStyle name="SHADEDSTORES 2 3 27 2" xfId="40254"/>
    <cellStyle name="SHADEDSTORES 2 3 27 3" xfId="40255"/>
    <cellStyle name="SHADEDSTORES 2 3 27 4" xfId="40256"/>
    <cellStyle name="SHADEDSTORES 2 3 27 5" xfId="40257"/>
    <cellStyle name="SHADEDSTORES 2 3 27 6" xfId="40258"/>
    <cellStyle name="SHADEDSTORES 2 3 27 7" xfId="40259"/>
    <cellStyle name="SHADEDSTORES 2 3 27 8" xfId="40260"/>
    <cellStyle name="SHADEDSTORES 2 3 27 9" xfId="40261"/>
    <cellStyle name="SHADEDSTORES 2 3 28" xfId="7410"/>
    <cellStyle name="SHADEDSTORES 2 3 28 10" xfId="40262"/>
    <cellStyle name="SHADEDSTORES 2 3 28 2" xfId="40263"/>
    <cellStyle name="SHADEDSTORES 2 3 28 3" xfId="40264"/>
    <cellStyle name="SHADEDSTORES 2 3 28 4" xfId="40265"/>
    <cellStyle name="SHADEDSTORES 2 3 28 5" xfId="40266"/>
    <cellStyle name="SHADEDSTORES 2 3 28 6" xfId="40267"/>
    <cellStyle name="SHADEDSTORES 2 3 28 7" xfId="40268"/>
    <cellStyle name="SHADEDSTORES 2 3 28 8" xfId="40269"/>
    <cellStyle name="SHADEDSTORES 2 3 28 9" xfId="40270"/>
    <cellStyle name="SHADEDSTORES 2 3 29" xfId="7411"/>
    <cellStyle name="SHADEDSTORES 2 3 29 10" xfId="40271"/>
    <cellStyle name="SHADEDSTORES 2 3 29 2" xfId="40272"/>
    <cellStyle name="SHADEDSTORES 2 3 29 3" xfId="40273"/>
    <cellStyle name="SHADEDSTORES 2 3 29 4" xfId="40274"/>
    <cellStyle name="SHADEDSTORES 2 3 29 5" xfId="40275"/>
    <cellStyle name="SHADEDSTORES 2 3 29 6" xfId="40276"/>
    <cellStyle name="SHADEDSTORES 2 3 29 7" xfId="40277"/>
    <cellStyle name="SHADEDSTORES 2 3 29 8" xfId="40278"/>
    <cellStyle name="SHADEDSTORES 2 3 29 9" xfId="40279"/>
    <cellStyle name="SHADEDSTORES 2 3 3" xfId="2539"/>
    <cellStyle name="SHADEDSTORES 2 3 3 10" xfId="40280"/>
    <cellStyle name="SHADEDSTORES 2 3 3 2" xfId="2540"/>
    <cellStyle name="SHADEDSTORES 2 3 3 2 2" xfId="12504"/>
    <cellStyle name="SHADEDSTORES 2 3 3 2_YL Capex Cashflow &amp; Dep" xfId="13533"/>
    <cellStyle name="SHADEDSTORES 2 3 3 3" xfId="11794"/>
    <cellStyle name="SHADEDSTORES 2 3 3 4" xfId="40281"/>
    <cellStyle name="SHADEDSTORES 2 3 3 5" xfId="40282"/>
    <cellStyle name="SHADEDSTORES 2 3 3 6" xfId="40283"/>
    <cellStyle name="SHADEDSTORES 2 3 3 7" xfId="40284"/>
    <cellStyle name="SHADEDSTORES 2 3 3 8" xfId="40285"/>
    <cellStyle name="SHADEDSTORES 2 3 3 9" xfId="40286"/>
    <cellStyle name="SHADEDSTORES 2 3 3_Cashflow trend" xfId="2541"/>
    <cellStyle name="SHADEDSTORES 2 3 30" xfId="7412"/>
    <cellStyle name="SHADEDSTORES 2 3 30 10" xfId="40287"/>
    <cellStyle name="SHADEDSTORES 2 3 30 2" xfId="40288"/>
    <cellStyle name="SHADEDSTORES 2 3 30 3" xfId="40289"/>
    <cellStyle name="SHADEDSTORES 2 3 30 4" xfId="40290"/>
    <cellStyle name="SHADEDSTORES 2 3 30 5" xfId="40291"/>
    <cellStyle name="SHADEDSTORES 2 3 30 6" xfId="40292"/>
    <cellStyle name="SHADEDSTORES 2 3 30 7" xfId="40293"/>
    <cellStyle name="SHADEDSTORES 2 3 30 8" xfId="40294"/>
    <cellStyle name="SHADEDSTORES 2 3 30 9" xfId="40295"/>
    <cellStyle name="SHADEDSTORES 2 3 31" xfId="7413"/>
    <cellStyle name="SHADEDSTORES 2 3 31 10" xfId="40296"/>
    <cellStyle name="SHADEDSTORES 2 3 31 2" xfId="40297"/>
    <cellStyle name="SHADEDSTORES 2 3 31 3" xfId="40298"/>
    <cellStyle name="SHADEDSTORES 2 3 31 4" xfId="40299"/>
    <cellStyle name="SHADEDSTORES 2 3 31 5" xfId="40300"/>
    <cellStyle name="SHADEDSTORES 2 3 31 6" xfId="40301"/>
    <cellStyle name="SHADEDSTORES 2 3 31 7" xfId="40302"/>
    <cellStyle name="SHADEDSTORES 2 3 31 8" xfId="40303"/>
    <cellStyle name="SHADEDSTORES 2 3 31 9" xfId="40304"/>
    <cellStyle name="SHADEDSTORES 2 3 32" xfId="7414"/>
    <cellStyle name="SHADEDSTORES 2 3 32 10" xfId="40305"/>
    <cellStyle name="SHADEDSTORES 2 3 32 2" xfId="40306"/>
    <cellStyle name="SHADEDSTORES 2 3 32 3" xfId="40307"/>
    <cellStyle name="SHADEDSTORES 2 3 32 4" xfId="40308"/>
    <cellStyle name="SHADEDSTORES 2 3 32 5" xfId="40309"/>
    <cellStyle name="SHADEDSTORES 2 3 32 6" xfId="40310"/>
    <cellStyle name="SHADEDSTORES 2 3 32 7" xfId="40311"/>
    <cellStyle name="SHADEDSTORES 2 3 32 8" xfId="40312"/>
    <cellStyle name="SHADEDSTORES 2 3 32 9" xfId="40313"/>
    <cellStyle name="SHADEDSTORES 2 3 33" xfId="7415"/>
    <cellStyle name="SHADEDSTORES 2 3 33 10" xfId="40314"/>
    <cellStyle name="SHADEDSTORES 2 3 33 2" xfId="40315"/>
    <cellStyle name="SHADEDSTORES 2 3 33 3" xfId="40316"/>
    <cellStyle name="SHADEDSTORES 2 3 33 4" xfId="40317"/>
    <cellStyle name="SHADEDSTORES 2 3 33 5" xfId="40318"/>
    <cellStyle name="SHADEDSTORES 2 3 33 6" xfId="40319"/>
    <cellStyle name="SHADEDSTORES 2 3 33 7" xfId="40320"/>
    <cellStyle name="SHADEDSTORES 2 3 33 8" xfId="40321"/>
    <cellStyle name="SHADEDSTORES 2 3 33 9" xfId="40322"/>
    <cellStyle name="SHADEDSTORES 2 3 34" xfId="7416"/>
    <cellStyle name="SHADEDSTORES 2 3 34 10" xfId="40323"/>
    <cellStyle name="SHADEDSTORES 2 3 34 2" xfId="40324"/>
    <cellStyle name="SHADEDSTORES 2 3 34 3" xfId="40325"/>
    <cellStyle name="SHADEDSTORES 2 3 34 4" xfId="40326"/>
    <cellStyle name="SHADEDSTORES 2 3 34 5" xfId="40327"/>
    <cellStyle name="SHADEDSTORES 2 3 34 6" xfId="40328"/>
    <cellStyle name="SHADEDSTORES 2 3 34 7" xfId="40329"/>
    <cellStyle name="SHADEDSTORES 2 3 34 8" xfId="40330"/>
    <cellStyle name="SHADEDSTORES 2 3 34 9" xfId="40331"/>
    <cellStyle name="SHADEDSTORES 2 3 35" xfId="7417"/>
    <cellStyle name="SHADEDSTORES 2 3 35 10" xfId="40332"/>
    <cellStyle name="SHADEDSTORES 2 3 35 2" xfId="40333"/>
    <cellStyle name="SHADEDSTORES 2 3 35 3" xfId="40334"/>
    <cellStyle name="SHADEDSTORES 2 3 35 4" xfId="40335"/>
    <cellStyle name="SHADEDSTORES 2 3 35 5" xfId="40336"/>
    <cellStyle name="SHADEDSTORES 2 3 35 6" xfId="40337"/>
    <cellStyle name="SHADEDSTORES 2 3 35 7" xfId="40338"/>
    <cellStyle name="SHADEDSTORES 2 3 35 8" xfId="40339"/>
    <cellStyle name="SHADEDSTORES 2 3 35 9" xfId="40340"/>
    <cellStyle name="SHADEDSTORES 2 3 36" xfId="7418"/>
    <cellStyle name="SHADEDSTORES 2 3 36 10" xfId="40341"/>
    <cellStyle name="SHADEDSTORES 2 3 36 2" xfId="40342"/>
    <cellStyle name="SHADEDSTORES 2 3 36 3" xfId="40343"/>
    <cellStyle name="SHADEDSTORES 2 3 36 4" xfId="40344"/>
    <cellStyle name="SHADEDSTORES 2 3 36 5" xfId="40345"/>
    <cellStyle name="SHADEDSTORES 2 3 36 6" xfId="40346"/>
    <cellStyle name="SHADEDSTORES 2 3 36 7" xfId="40347"/>
    <cellStyle name="SHADEDSTORES 2 3 36 8" xfId="40348"/>
    <cellStyle name="SHADEDSTORES 2 3 36 9" xfId="40349"/>
    <cellStyle name="SHADEDSTORES 2 3 37" xfId="7419"/>
    <cellStyle name="SHADEDSTORES 2 3 37 10" xfId="40350"/>
    <cellStyle name="SHADEDSTORES 2 3 37 2" xfId="40351"/>
    <cellStyle name="SHADEDSTORES 2 3 37 3" xfId="40352"/>
    <cellStyle name="SHADEDSTORES 2 3 37 4" xfId="40353"/>
    <cellStyle name="SHADEDSTORES 2 3 37 5" xfId="40354"/>
    <cellStyle name="SHADEDSTORES 2 3 37 6" xfId="40355"/>
    <cellStyle name="SHADEDSTORES 2 3 37 7" xfId="40356"/>
    <cellStyle name="SHADEDSTORES 2 3 37 8" xfId="40357"/>
    <cellStyle name="SHADEDSTORES 2 3 37 9" xfId="40358"/>
    <cellStyle name="SHADEDSTORES 2 3 38" xfId="7420"/>
    <cellStyle name="SHADEDSTORES 2 3 38 10" xfId="40359"/>
    <cellStyle name="SHADEDSTORES 2 3 38 2" xfId="40360"/>
    <cellStyle name="SHADEDSTORES 2 3 38 3" xfId="40361"/>
    <cellStyle name="SHADEDSTORES 2 3 38 4" xfId="40362"/>
    <cellStyle name="SHADEDSTORES 2 3 38 5" xfId="40363"/>
    <cellStyle name="SHADEDSTORES 2 3 38 6" xfId="40364"/>
    <cellStyle name="SHADEDSTORES 2 3 38 7" xfId="40365"/>
    <cellStyle name="SHADEDSTORES 2 3 38 8" xfId="40366"/>
    <cellStyle name="SHADEDSTORES 2 3 38 9" xfId="40367"/>
    <cellStyle name="SHADEDSTORES 2 3 39" xfId="7421"/>
    <cellStyle name="SHADEDSTORES 2 3 39 10" xfId="40368"/>
    <cellStyle name="SHADEDSTORES 2 3 39 2" xfId="40369"/>
    <cellStyle name="SHADEDSTORES 2 3 39 3" xfId="40370"/>
    <cellStyle name="SHADEDSTORES 2 3 39 4" xfId="40371"/>
    <cellStyle name="SHADEDSTORES 2 3 39 5" xfId="40372"/>
    <cellStyle name="SHADEDSTORES 2 3 39 6" xfId="40373"/>
    <cellStyle name="SHADEDSTORES 2 3 39 7" xfId="40374"/>
    <cellStyle name="SHADEDSTORES 2 3 39 8" xfId="40375"/>
    <cellStyle name="SHADEDSTORES 2 3 39 9" xfId="40376"/>
    <cellStyle name="SHADEDSTORES 2 3 4" xfId="2542"/>
    <cellStyle name="SHADEDSTORES 2 3 4 10" xfId="40377"/>
    <cellStyle name="SHADEDSTORES 2 3 4 2" xfId="11679"/>
    <cellStyle name="SHADEDSTORES 2 3 4 3" xfId="40378"/>
    <cellStyle name="SHADEDSTORES 2 3 4 4" xfId="40379"/>
    <cellStyle name="SHADEDSTORES 2 3 4 5" xfId="40380"/>
    <cellStyle name="SHADEDSTORES 2 3 4 6" xfId="40381"/>
    <cellStyle name="SHADEDSTORES 2 3 4 7" xfId="40382"/>
    <cellStyle name="SHADEDSTORES 2 3 4 8" xfId="40383"/>
    <cellStyle name="SHADEDSTORES 2 3 4 9" xfId="40384"/>
    <cellStyle name="SHADEDSTORES 2 3 4_YL Capex Cashflow &amp; Dep" xfId="13534"/>
    <cellStyle name="SHADEDSTORES 2 3 40" xfId="7422"/>
    <cellStyle name="SHADEDSTORES 2 3 40 10" xfId="40385"/>
    <cellStyle name="SHADEDSTORES 2 3 40 2" xfId="40386"/>
    <cellStyle name="SHADEDSTORES 2 3 40 3" xfId="40387"/>
    <cellStyle name="SHADEDSTORES 2 3 40 4" xfId="40388"/>
    <cellStyle name="SHADEDSTORES 2 3 40 5" xfId="40389"/>
    <cellStyle name="SHADEDSTORES 2 3 40 6" xfId="40390"/>
    <cellStyle name="SHADEDSTORES 2 3 40 7" xfId="40391"/>
    <cellStyle name="SHADEDSTORES 2 3 40 8" xfId="40392"/>
    <cellStyle name="SHADEDSTORES 2 3 40 9" xfId="40393"/>
    <cellStyle name="SHADEDSTORES 2 3 41" xfId="7423"/>
    <cellStyle name="SHADEDSTORES 2 3 41 10" xfId="40394"/>
    <cellStyle name="SHADEDSTORES 2 3 41 2" xfId="40395"/>
    <cellStyle name="SHADEDSTORES 2 3 41 3" xfId="40396"/>
    <cellStyle name="SHADEDSTORES 2 3 41 4" xfId="40397"/>
    <cellStyle name="SHADEDSTORES 2 3 41 5" xfId="40398"/>
    <cellStyle name="SHADEDSTORES 2 3 41 6" xfId="40399"/>
    <cellStyle name="SHADEDSTORES 2 3 41 7" xfId="40400"/>
    <cellStyle name="SHADEDSTORES 2 3 41 8" xfId="40401"/>
    <cellStyle name="SHADEDSTORES 2 3 41 9" xfId="40402"/>
    <cellStyle name="SHADEDSTORES 2 3 42" xfId="7424"/>
    <cellStyle name="SHADEDSTORES 2 3 42 10" xfId="40403"/>
    <cellStyle name="SHADEDSTORES 2 3 42 2" xfId="40404"/>
    <cellStyle name="SHADEDSTORES 2 3 42 3" xfId="40405"/>
    <cellStyle name="SHADEDSTORES 2 3 42 4" xfId="40406"/>
    <cellStyle name="SHADEDSTORES 2 3 42 5" xfId="40407"/>
    <cellStyle name="SHADEDSTORES 2 3 42 6" xfId="40408"/>
    <cellStyle name="SHADEDSTORES 2 3 42 7" xfId="40409"/>
    <cellStyle name="SHADEDSTORES 2 3 42 8" xfId="40410"/>
    <cellStyle name="SHADEDSTORES 2 3 42 9" xfId="40411"/>
    <cellStyle name="SHADEDSTORES 2 3 43" xfId="7425"/>
    <cellStyle name="SHADEDSTORES 2 3 43 10" xfId="40412"/>
    <cellStyle name="SHADEDSTORES 2 3 43 2" xfId="40413"/>
    <cellStyle name="SHADEDSTORES 2 3 43 3" xfId="40414"/>
    <cellStyle name="SHADEDSTORES 2 3 43 4" xfId="40415"/>
    <cellStyle name="SHADEDSTORES 2 3 43 5" xfId="40416"/>
    <cellStyle name="SHADEDSTORES 2 3 43 6" xfId="40417"/>
    <cellStyle name="SHADEDSTORES 2 3 43 7" xfId="40418"/>
    <cellStyle name="SHADEDSTORES 2 3 43 8" xfId="40419"/>
    <cellStyle name="SHADEDSTORES 2 3 43 9" xfId="40420"/>
    <cellStyle name="SHADEDSTORES 2 3 44" xfId="7426"/>
    <cellStyle name="SHADEDSTORES 2 3 44 10" xfId="40421"/>
    <cellStyle name="SHADEDSTORES 2 3 44 2" xfId="40422"/>
    <cellStyle name="SHADEDSTORES 2 3 44 3" xfId="40423"/>
    <cellStyle name="SHADEDSTORES 2 3 44 4" xfId="40424"/>
    <cellStyle name="SHADEDSTORES 2 3 44 5" xfId="40425"/>
    <cellStyle name="SHADEDSTORES 2 3 44 6" xfId="40426"/>
    <cellStyle name="SHADEDSTORES 2 3 44 7" xfId="40427"/>
    <cellStyle name="SHADEDSTORES 2 3 44 8" xfId="40428"/>
    <cellStyle name="SHADEDSTORES 2 3 44 9" xfId="40429"/>
    <cellStyle name="SHADEDSTORES 2 3 45" xfId="7427"/>
    <cellStyle name="SHADEDSTORES 2 3 45 10" xfId="40430"/>
    <cellStyle name="SHADEDSTORES 2 3 45 2" xfId="40431"/>
    <cellStyle name="SHADEDSTORES 2 3 45 3" xfId="40432"/>
    <cellStyle name="SHADEDSTORES 2 3 45 4" xfId="40433"/>
    <cellStyle name="SHADEDSTORES 2 3 45 5" xfId="40434"/>
    <cellStyle name="SHADEDSTORES 2 3 45 6" xfId="40435"/>
    <cellStyle name="SHADEDSTORES 2 3 45 7" xfId="40436"/>
    <cellStyle name="SHADEDSTORES 2 3 45 8" xfId="40437"/>
    <cellStyle name="SHADEDSTORES 2 3 45 9" xfId="40438"/>
    <cellStyle name="SHADEDSTORES 2 3 46" xfId="7428"/>
    <cellStyle name="SHADEDSTORES 2 3 46 10" xfId="40439"/>
    <cellStyle name="SHADEDSTORES 2 3 46 2" xfId="40440"/>
    <cellStyle name="SHADEDSTORES 2 3 46 3" xfId="40441"/>
    <cellStyle name="SHADEDSTORES 2 3 46 4" xfId="40442"/>
    <cellStyle name="SHADEDSTORES 2 3 46 5" xfId="40443"/>
    <cellStyle name="SHADEDSTORES 2 3 46 6" xfId="40444"/>
    <cellStyle name="SHADEDSTORES 2 3 46 7" xfId="40445"/>
    <cellStyle name="SHADEDSTORES 2 3 46 8" xfId="40446"/>
    <cellStyle name="SHADEDSTORES 2 3 46 9" xfId="40447"/>
    <cellStyle name="SHADEDSTORES 2 3 47" xfId="7429"/>
    <cellStyle name="SHADEDSTORES 2 3 47 10" xfId="40448"/>
    <cellStyle name="SHADEDSTORES 2 3 47 2" xfId="40449"/>
    <cellStyle name="SHADEDSTORES 2 3 47 3" xfId="40450"/>
    <cellStyle name="SHADEDSTORES 2 3 47 4" xfId="40451"/>
    <cellStyle name="SHADEDSTORES 2 3 47 5" xfId="40452"/>
    <cellStyle name="SHADEDSTORES 2 3 47 6" xfId="40453"/>
    <cellStyle name="SHADEDSTORES 2 3 47 7" xfId="40454"/>
    <cellStyle name="SHADEDSTORES 2 3 47 8" xfId="40455"/>
    <cellStyle name="SHADEDSTORES 2 3 47 9" xfId="40456"/>
    <cellStyle name="SHADEDSTORES 2 3 48" xfId="7430"/>
    <cellStyle name="SHADEDSTORES 2 3 48 10" xfId="40457"/>
    <cellStyle name="SHADEDSTORES 2 3 48 2" xfId="40458"/>
    <cellStyle name="SHADEDSTORES 2 3 48 3" xfId="40459"/>
    <cellStyle name="SHADEDSTORES 2 3 48 4" xfId="40460"/>
    <cellStyle name="SHADEDSTORES 2 3 48 5" xfId="40461"/>
    <cellStyle name="SHADEDSTORES 2 3 48 6" xfId="40462"/>
    <cellStyle name="SHADEDSTORES 2 3 48 7" xfId="40463"/>
    <cellStyle name="SHADEDSTORES 2 3 48 8" xfId="40464"/>
    <cellStyle name="SHADEDSTORES 2 3 48 9" xfId="40465"/>
    <cellStyle name="SHADEDSTORES 2 3 49" xfId="7431"/>
    <cellStyle name="SHADEDSTORES 2 3 49 10" xfId="40466"/>
    <cellStyle name="SHADEDSTORES 2 3 49 2" xfId="40467"/>
    <cellStyle name="SHADEDSTORES 2 3 49 3" xfId="40468"/>
    <cellStyle name="SHADEDSTORES 2 3 49 4" xfId="40469"/>
    <cellStyle name="SHADEDSTORES 2 3 49 5" xfId="40470"/>
    <cellStyle name="SHADEDSTORES 2 3 49 6" xfId="40471"/>
    <cellStyle name="SHADEDSTORES 2 3 49 7" xfId="40472"/>
    <cellStyle name="SHADEDSTORES 2 3 49 8" xfId="40473"/>
    <cellStyle name="SHADEDSTORES 2 3 49 9" xfId="40474"/>
    <cellStyle name="SHADEDSTORES 2 3 5" xfId="2543"/>
    <cellStyle name="SHADEDSTORES 2 3 5 2" xfId="12411"/>
    <cellStyle name="SHADEDSTORES 2 3 5 3" xfId="40475"/>
    <cellStyle name="SHADEDSTORES 2 3 5 4" xfId="40476"/>
    <cellStyle name="SHADEDSTORES 2 3 5 5" xfId="40477"/>
    <cellStyle name="SHADEDSTORES 2 3 5 6" xfId="40478"/>
    <cellStyle name="SHADEDSTORES 2 3 5 7" xfId="40479"/>
    <cellStyle name="SHADEDSTORES 2 3 5 8" xfId="40480"/>
    <cellStyle name="SHADEDSTORES 2 3 5 9" xfId="40481"/>
    <cellStyle name="SHADEDSTORES 2 3 5_YL Capex Cashflow &amp; Dep" xfId="13535"/>
    <cellStyle name="SHADEDSTORES 2 3 50" xfId="7432"/>
    <cellStyle name="SHADEDSTORES 2 3 50 10" xfId="40482"/>
    <cellStyle name="SHADEDSTORES 2 3 50 2" xfId="40483"/>
    <cellStyle name="SHADEDSTORES 2 3 50 3" xfId="40484"/>
    <cellStyle name="SHADEDSTORES 2 3 50 4" xfId="40485"/>
    <cellStyle name="SHADEDSTORES 2 3 50 5" xfId="40486"/>
    <cellStyle name="SHADEDSTORES 2 3 50 6" xfId="40487"/>
    <cellStyle name="SHADEDSTORES 2 3 50 7" xfId="40488"/>
    <cellStyle name="SHADEDSTORES 2 3 50 8" xfId="40489"/>
    <cellStyle name="SHADEDSTORES 2 3 50 9" xfId="40490"/>
    <cellStyle name="SHADEDSTORES 2 3 51" xfId="7433"/>
    <cellStyle name="SHADEDSTORES 2 3 51 10" xfId="40491"/>
    <cellStyle name="SHADEDSTORES 2 3 51 2" xfId="40492"/>
    <cellStyle name="SHADEDSTORES 2 3 51 3" xfId="40493"/>
    <cellStyle name="SHADEDSTORES 2 3 51 4" xfId="40494"/>
    <cellStyle name="SHADEDSTORES 2 3 51 5" xfId="40495"/>
    <cellStyle name="SHADEDSTORES 2 3 51 6" xfId="40496"/>
    <cellStyle name="SHADEDSTORES 2 3 51 7" xfId="40497"/>
    <cellStyle name="SHADEDSTORES 2 3 51 8" xfId="40498"/>
    <cellStyle name="SHADEDSTORES 2 3 51 9" xfId="40499"/>
    <cellStyle name="SHADEDSTORES 2 3 52" xfId="7434"/>
    <cellStyle name="SHADEDSTORES 2 3 52 10" xfId="40500"/>
    <cellStyle name="SHADEDSTORES 2 3 52 2" xfId="40501"/>
    <cellStyle name="SHADEDSTORES 2 3 52 3" xfId="40502"/>
    <cellStyle name="SHADEDSTORES 2 3 52 4" xfId="40503"/>
    <cellStyle name="SHADEDSTORES 2 3 52 5" xfId="40504"/>
    <cellStyle name="SHADEDSTORES 2 3 52 6" xfId="40505"/>
    <cellStyle name="SHADEDSTORES 2 3 52 7" xfId="40506"/>
    <cellStyle name="SHADEDSTORES 2 3 52 8" xfId="40507"/>
    <cellStyle name="SHADEDSTORES 2 3 52 9" xfId="40508"/>
    <cellStyle name="SHADEDSTORES 2 3 53" xfId="7435"/>
    <cellStyle name="SHADEDSTORES 2 3 53 10" xfId="40509"/>
    <cellStyle name="SHADEDSTORES 2 3 53 2" xfId="40510"/>
    <cellStyle name="SHADEDSTORES 2 3 53 3" xfId="40511"/>
    <cellStyle name="SHADEDSTORES 2 3 53 4" xfId="40512"/>
    <cellStyle name="SHADEDSTORES 2 3 53 5" xfId="40513"/>
    <cellStyle name="SHADEDSTORES 2 3 53 6" xfId="40514"/>
    <cellStyle name="SHADEDSTORES 2 3 53 7" xfId="40515"/>
    <cellStyle name="SHADEDSTORES 2 3 53 8" xfId="40516"/>
    <cellStyle name="SHADEDSTORES 2 3 53 9" xfId="40517"/>
    <cellStyle name="SHADEDSTORES 2 3 54" xfId="7436"/>
    <cellStyle name="SHADEDSTORES 2 3 54 10" xfId="40518"/>
    <cellStyle name="SHADEDSTORES 2 3 54 2" xfId="40519"/>
    <cellStyle name="SHADEDSTORES 2 3 54 3" xfId="40520"/>
    <cellStyle name="SHADEDSTORES 2 3 54 4" xfId="40521"/>
    <cellStyle name="SHADEDSTORES 2 3 54 5" xfId="40522"/>
    <cellStyle name="SHADEDSTORES 2 3 54 6" xfId="40523"/>
    <cellStyle name="SHADEDSTORES 2 3 54 7" xfId="40524"/>
    <cellStyle name="SHADEDSTORES 2 3 54 8" xfId="40525"/>
    <cellStyle name="SHADEDSTORES 2 3 54 9" xfId="40526"/>
    <cellStyle name="SHADEDSTORES 2 3 55" xfId="7437"/>
    <cellStyle name="SHADEDSTORES 2 3 55 10" xfId="40527"/>
    <cellStyle name="SHADEDSTORES 2 3 55 2" xfId="40528"/>
    <cellStyle name="SHADEDSTORES 2 3 55 3" xfId="40529"/>
    <cellStyle name="SHADEDSTORES 2 3 55 4" xfId="40530"/>
    <cellStyle name="SHADEDSTORES 2 3 55 5" xfId="40531"/>
    <cellStyle name="SHADEDSTORES 2 3 55 6" xfId="40532"/>
    <cellStyle name="SHADEDSTORES 2 3 55 7" xfId="40533"/>
    <cellStyle name="SHADEDSTORES 2 3 55 8" xfId="40534"/>
    <cellStyle name="SHADEDSTORES 2 3 55 9" xfId="40535"/>
    <cellStyle name="SHADEDSTORES 2 3 56" xfId="7438"/>
    <cellStyle name="SHADEDSTORES 2 3 56 10" xfId="40536"/>
    <cellStyle name="SHADEDSTORES 2 3 56 2" xfId="40537"/>
    <cellStyle name="SHADEDSTORES 2 3 56 3" xfId="40538"/>
    <cellStyle name="SHADEDSTORES 2 3 56 4" xfId="40539"/>
    <cellStyle name="SHADEDSTORES 2 3 56 5" xfId="40540"/>
    <cellStyle name="SHADEDSTORES 2 3 56 6" xfId="40541"/>
    <cellStyle name="SHADEDSTORES 2 3 56 7" xfId="40542"/>
    <cellStyle name="SHADEDSTORES 2 3 56 8" xfId="40543"/>
    <cellStyle name="SHADEDSTORES 2 3 56 9" xfId="40544"/>
    <cellStyle name="SHADEDSTORES 2 3 57" xfId="7439"/>
    <cellStyle name="SHADEDSTORES 2 3 57 10" xfId="40545"/>
    <cellStyle name="SHADEDSTORES 2 3 57 2" xfId="40546"/>
    <cellStyle name="SHADEDSTORES 2 3 57 3" xfId="40547"/>
    <cellStyle name="SHADEDSTORES 2 3 57 4" xfId="40548"/>
    <cellStyle name="SHADEDSTORES 2 3 57 5" xfId="40549"/>
    <cellStyle name="SHADEDSTORES 2 3 57 6" xfId="40550"/>
    <cellStyle name="SHADEDSTORES 2 3 57 7" xfId="40551"/>
    <cellStyle name="SHADEDSTORES 2 3 57 8" xfId="40552"/>
    <cellStyle name="SHADEDSTORES 2 3 57 9" xfId="40553"/>
    <cellStyle name="SHADEDSTORES 2 3 58" xfId="7440"/>
    <cellStyle name="SHADEDSTORES 2 3 58 10" xfId="40554"/>
    <cellStyle name="SHADEDSTORES 2 3 58 2" xfId="40555"/>
    <cellStyle name="SHADEDSTORES 2 3 58 3" xfId="40556"/>
    <cellStyle name="SHADEDSTORES 2 3 58 4" xfId="40557"/>
    <cellStyle name="SHADEDSTORES 2 3 58 5" xfId="40558"/>
    <cellStyle name="SHADEDSTORES 2 3 58 6" xfId="40559"/>
    <cellStyle name="SHADEDSTORES 2 3 58 7" xfId="40560"/>
    <cellStyle name="SHADEDSTORES 2 3 58 8" xfId="40561"/>
    <cellStyle name="SHADEDSTORES 2 3 58 9" xfId="40562"/>
    <cellStyle name="SHADEDSTORES 2 3 59" xfId="7441"/>
    <cellStyle name="SHADEDSTORES 2 3 59 10" xfId="40563"/>
    <cellStyle name="SHADEDSTORES 2 3 59 2" xfId="40564"/>
    <cellStyle name="SHADEDSTORES 2 3 59 3" xfId="40565"/>
    <cellStyle name="SHADEDSTORES 2 3 59 4" xfId="40566"/>
    <cellStyle name="SHADEDSTORES 2 3 59 5" xfId="40567"/>
    <cellStyle name="SHADEDSTORES 2 3 59 6" xfId="40568"/>
    <cellStyle name="SHADEDSTORES 2 3 59 7" xfId="40569"/>
    <cellStyle name="SHADEDSTORES 2 3 59 8" xfId="40570"/>
    <cellStyle name="SHADEDSTORES 2 3 59 9" xfId="40571"/>
    <cellStyle name="SHADEDSTORES 2 3 6" xfId="7442"/>
    <cellStyle name="SHADEDSTORES 2 3 6 2" xfId="40572"/>
    <cellStyle name="SHADEDSTORES 2 3 6 3" xfId="40573"/>
    <cellStyle name="SHADEDSTORES 2 3 6 4" xfId="40574"/>
    <cellStyle name="SHADEDSTORES 2 3 6 5" xfId="40575"/>
    <cellStyle name="SHADEDSTORES 2 3 6 6" xfId="40576"/>
    <cellStyle name="SHADEDSTORES 2 3 6 7" xfId="40577"/>
    <cellStyle name="SHADEDSTORES 2 3 6 8" xfId="40578"/>
    <cellStyle name="SHADEDSTORES 2 3 6 9" xfId="40579"/>
    <cellStyle name="SHADEDSTORES 2 3 60" xfId="7443"/>
    <cellStyle name="SHADEDSTORES 2 3 60 10" xfId="40580"/>
    <cellStyle name="SHADEDSTORES 2 3 60 2" xfId="40581"/>
    <cellStyle name="SHADEDSTORES 2 3 60 3" xfId="40582"/>
    <cellStyle name="SHADEDSTORES 2 3 60 4" xfId="40583"/>
    <cellStyle name="SHADEDSTORES 2 3 60 5" xfId="40584"/>
    <cellStyle name="SHADEDSTORES 2 3 60 6" xfId="40585"/>
    <cellStyle name="SHADEDSTORES 2 3 60 7" xfId="40586"/>
    <cellStyle name="SHADEDSTORES 2 3 60 8" xfId="40587"/>
    <cellStyle name="SHADEDSTORES 2 3 60 9" xfId="40588"/>
    <cellStyle name="SHADEDSTORES 2 3 61" xfId="7444"/>
    <cellStyle name="SHADEDSTORES 2 3 61 10" xfId="40589"/>
    <cellStyle name="SHADEDSTORES 2 3 61 2" xfId="40590"/>
    <cellStyle name="SHADEDSTORES 2 3 61 3" xfId="40591"/>
    <cellStyle name="SHADEDSTORES 2 3 61 4" xfId="40592"/>
    <cellStyle name="SHADEDSTORES 2 3 61 5" xfId="40593"/>
    <cellStyle name="SHADEDSTORES 2 3 61 6" xfId="40594"/>
    <cellStyle name="SHADEDSTORES 2 3 61 7" xfId="40595"/>
    <cellStyle name="SHADEDSTORES 2 3 61 8" xfId="40596"/>
    <cellStyle name="SHADEDSTORES 2 3 61 9" xfId="40597"/>
    <cellStyle name="SHADEDSTORES 2 3 62" xfId="7445"/>
    <cellStyle name="SHADEDSTORES 2 3 62 10" xfId="40598"/>
    <cellStyle name="SHADEDSTORES 2 3 62 2" xfId="40599"/>
    <cellStyle name="SHADEDSTORES 2 3 62 3" xfId="40600"/>
    <cellStyle name="SHADEDSTORES 2 3 62 4" xfId="40601"/>
    <cellStyle name="SHADEDSTORES 2 3 62 5" xfId="40602"/>
    <cellStyle name="SHADEDSTORES 2 3 62 6" xfId="40603"/>
    <cellStyle name="SHADEDSTORES 2 3 62 7" xfId="40604"/>
    <cellStyle name="SHADEDSTORES 2 3 62 8" xfId="40605"/>
    <cellStyle name="SHADEDSTORES 2 3 62 9" xfId="40606"/>
    <cellStyle name="SHADEDSTORES 2 3 63" xfId="7446"/>
    <cellStyle name="SHADEDSTORES 2 3 63 10" xfId="40607"/>
    <cellStyle name="SHADEDSTORES 2 3 63 2" xfId="40608"/>
    <cellStyle name="SHADEDSTORES 2 3 63 3" xfId="40609"/>
    <cellStyle name="SHADEDSTORES 2 3 63 4" xfId="40610"/>
    <cellStyle name="SHADEDSTORES 2 3 63 5" xfId="40611"/>
    <cellStyle name="SHADEDSTORES 2 3 63 6" xfId="40612"/>
    <cellStyle name="SHADEDSTORES 2 3 63 7" xfId="40613"/>
    <cellStyle name="SHADEDSTORES 2 3 63 8" xfId="40614"/>
    <cellStyle name="SHADEDSTORES 2 3 63 9" xfId="40615"/>
    <cellStyle name="SHADEDSTORES 2 3 64" xfId="7447"/>
    <cellStyle name="SHADEDSTORES 2 3 64 10" xfId="40616"/>
    <cellStyle name="SHADEDSTORES 2 3 64 2" xfId="40617"/>
    <cellStyle name="SHADEDSTORES 2 3 64 3" xfId="40618"/>
    <cellStyle name="SHADEDSTORES 2 3 64 4" xfId="40619"/>
    <cellStyle name="SHADEDSTORES 2 3 64 5" xfId="40620"/>
    <cellStyle name="SHADEDSTORES 2 3 64 6" xfId="40621"/>
    <cellStyle name="SHADEDSTORES 2 3 64 7" xfId="40622"/>
    <cellStyle name="SHADEDSTORES 2 3 64 8" xfId="40623"/>
    <cellStyle name="SHADEDSTORES 2 3 64 9" xfId="40624"/>
    <cellStyle name="SHADEDSTORES 2 3 65" xfId="7448"/>
    <cellStyle name="SHADEDSTORES 2 3 65 10" xfId="40625"/>
    <cellStyle name="SHADEDSTORES 2 3 65 2" xfId="40626"/>
    <cellStyle name="SHADEDSTORES 2 3 65 3" xfId="40627"/>
    <cellStyle name="SHADEDSTORES 2 3 65 4" xfId="40628"/>
    <cellStyle name="SHADEDSTORES 2 3 65 5" xfId="40629"/>
    <cellStyle name="SHADEDSTORES 2 3 65 6" xfId="40630"/>
    <cellStyle name="SHADEDSTORES 2 3 65 7" xfId="40631"/>
    <cellStyle name="SHADEDSTORES 2 3 65 8" xfId="40632"/>
    <cellStyle name="SHADEDSTORES 2 3 65 9" xfId="40633"/>
    <cellStyle name="SHADEDSTORES 2 3 66" xfId="7449"/>
    <cellStyle name="SHADEDSTORES 2 3 66 10" xfId="40634"/>
    <cellStyle name="SHADEDSTORES 2 3 66 2" xfId="40635"/>
    <cellStyle name="SHADEDSTORES 2 3 66 3" xfId="40636"/>
    <cellStyle name="SHADEDSTORES 2 3 66 4" xfId="40637"/>
    <cellStyle name="SHADEDSTORES 2 3 66 5" xfId="40638"/>
    <cellStyle name="SHADEDSTORES 2 3 66 6" xfId="40639"/>
    <cellStyle name="SHADEDSTORES 2 3 66 7" xfId="40640"/>
    <cellStyle name="SHADEDSTORES 2 3 66 8" xfId="40641"/>
    <cellStyle name="SHADEDSTORES 2 3 66 9" xfId="40642"/>
    <cellStyle name="SHADEDSTORES 2 3 67" xfId="7450"/>
    <cellStyle name="SHADEDSTORES 2 3 67 10" xfId="40643"/>
    <cellStyle name="SHADEDSTORES 2 3 67 2" xfId="40644"/>
    <cellStyle name="SHADEDSTORES 2 3 67 3" xfId="40645"/>
    <cellStyle name="SHADEDSTORES 2 3 67 4" xfId="40646"/>
    <cellStyle name="SHADEDSTORES 2 3 67 5" xfId="40647"/>
    <cellStyle name="SHADEDSTORES 2 3 67 6" xfId="40648"/>
    <cellStyle name="SHADEDSTORES 2 3 67 7" xfId="40649"/>
    <cellStyle name="SHADEDSTORES 2 3 67 8" xfId="40650"/>
    <cellStyle name="SHADEDSTORES 2 3 67 9" xfId="40651"/>
    <cellStyle name="SHADEDSTORES 2 3 68" xfId="7451"/>
    <cellStyle name="SHADEDSTORES 2 3 68 10" xfId="40652"/>
    <cellStyle name="SHADEDSTORES 2 3 68 2" xfId="40653"/>
    <cellStyle name="SHADEDSTORES 2 3 68 3" xfId="40654"/>
    <cellStyle name="SHADEDSTORES 2 3 68 4" xfId="40655"/>
    <cellStyle name="SHADEDSTORES 2 3 68 5" xfId="40656"/>
    <cellStyle name="SHADEDSTORES 2 3 68 6" xfId="40657"/>
    <cellStyle name="SHADEDSTORES 2 3 68 7" xfId="40658"/>
    <cellStyle name="SHADEDSTORES 2 3 68 8" xfId="40659"/>
    <cellStyle name="SHADEDSTORES 2 3 68 9" xfId="40660"/>
    <cellStyle name="SHADEDSTORES 2 3 69" xfId="7452"/>
    <cellStyle name="SHADEDSTORES 2 3 69 10" xfId="40661"/>
    <cellStyle name="SHADEDSTORES 2 3 69 2" xfId="40662"/>
    <cellStyle name="SHADEDSTORES 2 3 69 3" xfId="40663"/>
    <cellStyle name="SHADEDSTORES 2 3 69 4" xfId="40664"/>
    <cellStyle name="SHADEDSTORES 2 3 69 5" xfId="40665"/>
    <cellStyle name="SHADEDSTORES 2 3 69 6" xfId="40666"/>
    <cellStyle name="SHADEDSTORES 2 3 69 7" xfId="40667"/>
    <cellStyle name="SHADEDSTORES 2 3 69 8" xfId="40668"/>
    <cellStyle name="SHADEDSTORES 2 3 69 9" xfId="40669"/>
    <cellStyle name="SHADEDSTORES 2 3 7" xfId="7453"/>
    <cellStyle name="SHADEDSTORES 2 3 7 2" xfId="40670"/>
    <cellStyle name="SHADEDSTORES 2 3 7 3" xfId="40671"/>
    <cellStyle name="SHADEDSTORES 2 3 7 4" xfId="40672"/>
    <cellStyle name="SHADEDSTORES 2 3 7 5" xfId="40673"/>
    <cellStyle name="SHADEDSTORES 2 3 7 6" xfId="40674"/>
    <cellStyle name="SHADEDSTORES 2 3 7 7" xfId="40675"/>
    <cellStyle name="SHADEDSTORES 2 3 7 8" xfId="40676"/>
    <cellStyle name="SHADEDSTORES 2 3 7 9" xfId="40677"/>
    <cellStyle name="SHADEDSTORES 2 3 70" xfId="7454"/>
    <cellStyle name="SHADEDSTORES 2 3 70 10" xfId="40678"/>
    <cellStyle name="SHADEDSTORES 2 3 70 2" xfId="40679"/>
    <cellStyle name="SHADEDSTORES 2 3 70 3" xfId="40680"/>
    <cellStyle name="SHADEDSTORES 2 3 70 4" xfId="40681"/>
    <cellStyle name="SHADEDSTORES 2 3 70 5" xfId="40682"/>
    <cellStyle name="SHADEDSTORES 2 3 70 6" xfId="40683"/>
    <cellStyle name="SHADEDSTORES 2 3 70 7" xfId="40684"/>
    <cellStyle name="SHADEDSTORES 2 3 70 8" xfId="40685"/>
    <cellStyle name="SHADEDSTORES 2 3 70 9" xfId="40686"/>
    <cellStyle name="SHADEDSTORES 2 3 71" xfId="7455"/>
    <cellStyle name="SHADEDSTORES 2 3 71 10" xfId="40687"/>
    <cellStyle name="SHADEDSTORES 2 3 71 2" xfId="40688"/>
    <cellStyle name="SHADEDSTORES 2 3 71 3" xfId="40689"/>
    <cellStyle name="SHADEDSTORES 2 3 71 4" xfId="40690"/>
    <cellStyle name="SHADEDSTORES 2 3 71 5" xfId="40691"/>
    <cellStyle name="SHADEDSTORES 2 3 71 6" xfId="40692"/>
    <cellStyle name="SHADEDSTORES 2 3 71 7" xfId="40693"/>
    <cellStyle name="SHADEDSTORES 2 3 71 8" xfId="40694"/>
    <cellStyle name="SHADEDSTORES 2 3 71 9" xfId="40695"/>
    <cellStyle name="SHADEDSTORES 2 3 72" xfId="7456"/>
    <cellStyle name="SHADEDSTORES 2 3 72 10" xfId="40696"/>
    <cellStyle name="SHADEDSTORES 2 3 72 2" xfId="40697"/>
    <cellStyle name="SHADEDSTORES 2 3 72 3" xfId="40698"/>
    <cellStyle name="SHADEDSTORES 2 3 72 4" xfId="40699"/>
    <cellStyle name="SHADEDSTORES 2 3 72 5" xfId="40700"/>
    <cellStyle name="SHADEDSTORES 2 3 72 6" xfId="40701"/>
    <cellStyle name="SHADEDSTORES 2 3 72 7" xfId="40702"/>
    <cellStyle name="SHADEDSTORES 2 3 72 8" xfId="40703"/>
    <cellStyle name="SHADEDSTORES 2 3 72 9" xfId="40704"/>
    <cellStyle name="SHADEDSTORES 2 3 73" xfId="7457"/>
    <cellStyle name="SHADEDSTORES 2 3 73 10" xfId="40705"/>
    <cellStyle name="SHADEDSTORES 2 3 73 2" xfId="40706"/>
    <cellStyle name="SHADEDSTORES 2 3 73 3" xfId="40707"/>
    <cellStyle name="SHADEDSTORES 2 3 73 4" xfId="40708"/>
    <cellStyle name="SHADEDSTORES 2 3 73 5" xfId="40709"/>
    <cellStyle name="SHADEDSTORES 2 3 73 6" xfId="40710"/>
    <cellStyle name="SHADEDSTORES 2 3 73 7" xfId="40711"/>
    <cellStyle name="SHADEDSTORES 2 3 73 8" xfId="40712"/>
    <cellStyle name="SHADEDSTORES 2 3 73 9" xfId="40713"/>
    <cellStyle name="SHADEDSTORES 2 3 74" xfId="7458"/>
    <cellStyle name="SHADEDSTORES 2 3 74 10" xfId="40714"/>
    <cellStyle name="SHADEDSTORES 2 3 74 2" xfId="40715"/>
    <cellStyle name="SHADEDSTORES 2 3 74 3" xfId="40716"/>
    <cellStyle name="SHADEDSTORES 2 3 74 4" xfId="40717"/>
    <cellStyle name="SHADEDSTORES 2 3 74 5" xfId="40718"/>
    <cellStyle name="SHADEDSTORES 2 3 74 6" xfId="40719"/>
    <cellStyle name="SHADEDSTORES 2 3 74 7" xfId="40720"/>
    <cellStyle name="SHADEDSTORES 2 3 74 8" xfId="40721"/>
    <cellStyle name="SHADEDSTORES 2 3 74 9" xfId="40722"/>
    <cellStyle name="SHADEDSTORES 2 3 75" xfId="7459"/>
    <cellStyle name="SHADEDSTORES 2 3 75 10" xfId="40723"/>
    <cellStyle name="SHADEDSTORES 2 3 75 2" xfId="40724"/>
    <cellStyle name="SHADEDSTORES 2 3 75 3" xfId="40725"/>
    <cellStyle name="SHADEDSTORES 2 3 75 4" xfId="40726"/>
    <cellStyle name="SHADEDSTORES 2 3 75 5" xfId="40727"/>
    <cellStyle name="SHADEDSTORES 2 3 75 6" xfId="40728"/>
    <cellStyle name="SHADEDSTORES 2 3 75 7" xfId="40729"/>
    <cellStyle name="SHADEDSTORES 2 3 75 8" xfId="40730"/>
    <cellStyle name="SHADEDSTORES 2 3 75 9" xfId="40731"/>
    <cellStyle name="SHADEDSTORES 2 3 76" xfId="7460"/>
    <cellStyle name="SHADEDSTORES 2 3 76 10" xfId="40732"/>
    <cellStyle name="SHADEDSTORES 2 3 76 2" xfId="40733"/>
    <cellStyle name="SHADEDSTORES 2 3 76 3" xfId="40734"/>
    <cellStyle name="SHADEDSTORES 2 3 76 4" xfId="40735"/>
    <cellStyle name="SHADEDSTORES 2 3 76 5" xfId="40736"/>
    <cellStyle name="SHADEDSTORES 2 3 76 6" xfId="40737"/>
    <cellStyle name="SHADEDSTORES 2 3 76 7" xfId="40738"/>
    <cellStyle name="SHADEDSTORES 2 3 76 8" xfId="40739"/>
    <cellStyle name="SHADEDSTORES 2 3 76 9" xfId="40740"/>
    <cellStyle name="SHADEDSTORES 2 3 77" xfId="7461"/>
    <cellStyle name="SHADEDSTORES 2 3 77 10" xfId="40741"/>
    <cellStyle name="SHADEDSTORES 2 3 77 2" xfId="40742"/>
    <cellStyle name="SHADEDSTORES 2 3 77 3" xfId="40743"/>
    <cellStyle name="SHADEDSTORES 2 3 77 4" xfId="40744"/>
    <cellStyle name="SHADEDSTORES 2 3 77 5" xfId="40745"/>
    <cellStyle name="SHADEDSTORES 2 3 77 6" xfId="40746"/>
    <cellStyle name="SHADEDSTORES 2 3 77 7" xfId="40747"/>
    <cellStyle name="SHADEDSTORES 2 3 77 8" xfId="40748"/>
    <cellStyle name="SHADEDSTORES 2 3 77 9" xfId="40749"/>
    <cellStyle name="SHADEDSTORES 2 3 78" xfId="7462"/>
    <cellStyle name="SHADEDSTORES 2 3 78 10" xfId="40750"/>
    <cellStyle name="SHADEDSTORES 2 3 78 2" xfId="40751"/>
    <cellStyle name="SHADEDSTORES 2 3 78 3" xfId="40752"/>
    <cellStyle name="SHADEDSTORES 2 3 78 4" xfId="40753"/>
    <cellStyle name="SHADEDSTORES 2 3 78 5" xfId="40754"/>
    <cellStyle name="SHADEDSTORES 2 3 78 6" xfId="40755"/>
    <cellStyle name="SHADEDSTORES 2 3 78 7" xfId="40756"/>
    <cellStyle name="SHADEDSTORES 2 3 78 8" xfId="40757"/>
    <cellStyle name="SHADEDSTORES 2 3 78 9" xfId="40758"/>
    <cellStyle name="SHADEDSTORES 2 3 79" xfId="7463"/>
    <cellStyle name="SHADEDSTORES 2 3 79 10" xfId="40759"/>
    <cellStyle name="SHADEDSTORES 2 3 79 2" xfId="40760"/>
    <cellStyle name="SHADEDSTORES 2 3 79 3" xfId="40761"/>
    <cellStyle name="SHADEDSTORES 2 3 79 4" xfId="40762"/>
    <cellStyle name="SHADEDSTORES 2 3 79 5" xfId="40763"/>
    <cellStyle name="SHADEDSTORES 2 3 79 6" xfId="40764"/>
    <cellStyle name="SHADEDSTORES 2 3 79 7" xfId="40765"/>
    <cellStyle name="SHADEDSTORES 2 3 79 8" xfId="40766"/>
    <cellStyle name="SHADEDSTORES 2 3 79 9" xfId="40767"/>
    <cellStyle name="SHADEDSTORES 2 3 8" xfId="7464"/>
    <cellStyle name="SHADEDSTORES 2 3 8 2" xfId="40768"/>
    <cellStyle name="SHADEDSTORES 2 3 8 3" xfId="40769"/>
    <cellStyle name="SHADEDSTORES 2 3 8 4" xfId="40770"/>
    <cellStyle name="SHADEDSTORES 2 3 8 5" xfId="40771"/>
    <cellStyle name="SHADEDSTORES 2 3 8 6" xfId="40772"/>
    <cellStyle name="SHADEDSTORES 2 3 8 7" xfId="40773"/>
    <cellStyle name="SHADEDSTORES 2 3 8 8" xfId="40774"/>
    <cellStyle name="SHADEDSTORES 2 3 8 9" xfId="40775"/>
    <cellStyle name="SHADEDSTORES 2 3 80" xfId="7465"/>
    <cellStyle name="SHADEDSTORES 2 3 80 10" xfId="40776"/>
    <cellStyle name="SHADEDSTORES 2 3 80 2" xfId="40777"/>
    <cellStyle name="SHADEDSTORES 2 3 80 3" xfId="40778"/>
    <cellStyle name="SHADEDSTORES 2 3 80 4" xfId="40779"/>
    <cellStyle name="SHADEDSTORES 2 3 80 5" xfId="40780"/>
    <cellStyle name="SHADEDSTORES 2 3 80 6" xfId="40781"/>
    <cellStyle name="SHADEDSTORES 2 3 80 7" xfId="40782"/>
    <cellStyle name="SHADEDSTORES 2 3 80 8" xfId="40783"/>
    <cellStyle name="SHADEDSTORES 2 3 80 9" xfId="40784"/>
    <cellStyle name="SHADEDSTORES 2 3 81" xfId="7466"/>
    <cellStyle name="SHADEDSTORES 2 3 81 10" xfId="40785"/>
    <cellStyle name="SHADEDSTORES 2 3 81 2" xfId="40786"/>
    <cellStyle name="SHADEDSTORES 2 3 81 3" xfId="40787"/>
    <cellStyle name="SHADEDSTORES 2 3 81 4" xfId="40788"/>
    <cellStyle name="SHADEDSTORES 2 3 81 5" xfId="40789"/>
    <cellStyle name="SHADEDSTORES 2 3 81 6" xfId="40790"/>
    <cellStyle name="SHADEDSTORES 2 3 81 7" xfId="40791"/>
    <cellStyle name="SHADEDSTORES 2 3 81 8" xfId="40792"/>
    <cellStyle name="SHADEDSTORES 2 3 81 9" xfId="40793"/>
    <cellStyle name="SHADEDSTORES 2 3 82" xfId="7467"/>
    <cellStyle name="SHADEDSTORES 2 3 82 10" xfId="40794"/>
    <cellStyle name="SHADEDSTORES 2 3 82 2" xfId="40795"/>
    <cellStyle name="SHADEDSTORES 2 3 82 3" xfId="40796"/>
    <cellStyle name="SHADEDSTORES 2 3 82 4" xfId="40797"/>
    <cellStyle name="SHADEDSTORES 2 3 82 5" xfId="40798"/>
    <cellStyle name="SHADEDSTORES 2 3 82 6" xfId="40799"/>
    <cellStyle name="SHADEDSTORES 2 3 82 7" xfId="40800"/>
    <cellStyle name="SHADEDSTORES 2 3 82 8" xfId="40801"/>
    <cellStyle name="SHADEDSTORES 2 3 82 9" xfId="40802"/>
    <cellStyle name="SHADEDSTORES 2 3 83" xfId="7468"/>
    <cellStyle name="SHADEDSTORES 2 3 83 10" xfId="40803"/>
    <cellStyle name="SHADEDSTORES 2 3 83 2" xfId="40804"/>
    <cellStyle name="SHADEDSTORES 2 3 83 3" xfId="40805"/>
    <cellStyle name="SHADEDSTORES 2 3 83 4" xfId="40806"/>
    <cellStyle name="SHADEDSTORES 2 3 83 5" xfId="40807"/>
    <cellStyle name="SHADEDSTORES 2 3 83 6" xfId="40808"/>
    <cellStyle name="SHADEDSTORES 2 3 83 7" xfId="40809"/>
    <cellStyle name="SHADEDSTORES 2 3 83 8" xfId="40810"/>
    <cellStyle name="SHADEDSTORES 2 3 83 9" xfId="40811"/>
    <cellStyle name="SHADEDSTORES 2 3 84" xfId="7469"/>
    <cellStyle name="SHADEDSTORES 2 3 84 10" xfId="40812"/>
    <cellStyle name="SHADEDSTORES 2 3 84 2" xfId="40813"/>
    <cellStyle name="SHADEDSTORES 2 3 84 3" xfId="40814"/>
    <cellStyle name="SHADEDSTORES 2 3 84 4" xfId="40815"/>
    <cellStyle name="SHADEDSTORES 2 3 84 5" xfId="40816"/>
    <cellStyle name="SHADEDSTORES 2 3 84 6" xfId="40817"/>
    <cellStyle name="SHADEDSTORES 2 3 84 7" xfId="40818"/>
    <cellStyle name="SHADEDSTORES 2 3 84 8" xfId="40819"/>
    <cellStyle name="SHADEDSTORES 2 3 84 9" xfId="40820"/>
    <cellStyle name="SHADEDSTORES 2 3 85" xfId="7470"/>
    <cellStyle name="SHADEDSTORES 2 3 85 10" xfId="40821"/>
    <cellStyle name="SHADEDSTORES 2 3 85 2" xfId="40822"/>
    <cellStyle name="SHADEDSTORES 2 3 85 3" xfId="40823"/>
    <cellStyle name="SHADEDSTORES 2 3 85 4" xfId="40824"/>
    <cellStyle name="SHADEDSTORES 2 3 85 5" xfId="40825"/>
    <cellStyle name="SHADEDSTORES 2 3 85 6" xfId="40826"/>
    <cellStyle name="SHADEDSTORES 2 3 85 7" xfId="40827"/>
    <cellStyle name="SHADEDSTORES 2 3 85 8" xfId="40828"/>
    <cellStyle name="SHADEDSTORES 2 3 85 9" xfId="40829"/>
    <cellStyle name="SHADEDSTORES 2 3 86" xfId="7471"/>
    <cellStyle name="SHADEDSTORES 2 3 86 10" xfId="40830"/>
    <cellStyle name="SHADEDSTORES 2 3 86 2" xfId="40831"/>
    <cellStyle name="SHADEDSTORES 2 3 86 3" xfId="40832"/>
    <cellStyle name="SHADEDSTORES 2 3 86 4" xfId="40833"/>
    <cellStyle name="SHADEDSTORES 2 3 86 5" xfId="40834"/>
    <cellStyle name="SHADEDSTORES 2 3 86 6" xfId="40835"/>
    <cellStyle name="SHADEDSTORES 2 3 86 7" xfId="40836"/>
    <cellStyle name="SHADEDSTORES 2 3 86 8" xfId="40837"/>
    <cellStyle name="SHADEDSTORES 2 3 86 9" xfId="40838"/>
    <cellStyle name="SHADEDSTORES 2 3 87" xfId="7472"/>
    <cellStyle name="SHADEDSTORES 2 3 87 10" xfId="40839"/>
    <cellStyle name="SHADEDSTORES 2 3 87 2" xfId="40840"/>
    <cellStyle name="SHADEDSTORES 2 3 87 3" xfId="40841"/>
    <cellStyle name="SHADEDSTORES 2 3 87 4" xfId="40842"/>
    <cellStyle name="SHADEDSTORES 2 3 87 5" xfId="40843"/>
    <cellStyle name="SHADEDSTORES 2 3 87 6" xfId="40844"/>
    <cellStyle name="SHADEDSTORES 2 3 87 7" xfId="40845"/>
    <cellStyle name="SHADEDSTORES 2 3 87 8" xfId="40846"/>
    <cellStyle name="SHADEDSTORES 2 3 87 9" xfId="40847"/>
    <cellStyle name="SHADEDSTORES 2 3 88" xfId="7473"/>
    <cellStyle name="SHADEDSTORES 2 3 88 10" xfId="40848"/>
    <cellStyle name="SHADEDSTORES 2 3 88 2" xfId="40849"/>
    <cellStyle name="SHADEDSTORES 2 3 88 3" xfId="40850"/>
    <cellStyle name="SHADEDSTORES 2 3 88 4" xfId="40851"/>
    <cellStyle name="SHADEDSTORES 2 3 88 5" xfId="40852"/>
    <cellStyle name="SHADEDSTORES 2 3 88 6" xfId="40853"/>
    <cellStyle name="SHADEDSTORES 2 3 88 7" xfId="40854"/>
    <cellStyle name="SHADEDSTORES 2 3 88 8" xfId="40855"/>
    <cellStyle name="SHADEDSTORES 2 3 88 9" xfId="40856"/>
    <cellStyle name="SHADEDSTORES 2 3 89" xfId="7474"/>
    <cellStyle name="SHADEDSTORES 2 3 89 10" xfId="40857"/>
    <cellStyle name="SHADEDSTORES 2 3 89 2" xfId="40858"/>
    <cellStyle name="SHADEDSTORES 2 3 89 3" xfId="40859"/>
    <cellStyle name="SHADEDSTORES 2 3 89 4" xfId="40860"/>
    <cellStyle name="SHADEDSTORES 2 3 89 5" xfId="40861"/>
    <cellStyle name="SHADEDSTORES 2 3 89 6" xfId="40862"/>
    <cellStyle name="SHADEDSTORES 2 3 89 7" xfId="40863"/>
    <cellStyle name="SHADEDSTORES 2 3 89 8" xfId="40864"/>
    <cellStyle name="SHADEDSTORES 2 3 89 9" xfId="40865"/>
    <cellStyle name="SHADEDSTORES 2 3 9" xfId="7475"/>
    <cellStyle name="SHADEDSTORES 2 3 9 2" xfId="40866"/>
    <cellStyle name="SHADEDSTORES 2 3 9 3" xfId="40867"/>
    <cellStyle name="SHADEDSTORES 2 3 9 4" xfId="40868"/>
    <cellStyle name="SHADEDSTORES 2 3 9 5" xfId="40869"/>
    <cellStyle name="SHADEDSTORES 2 3 9 6" xfId="40870"/>
    <cellStyle name="SHADEDSTORES 2 3 9 7" xfId="40871"/>
    <cellStyle name="SHADEDSTORES 2 3 9 8" xfId="40872"/>
    <cellStyle name="SHADEDSTORES 2 3 9 9" xfId="40873"/>
    <cellStyle name="SHADEDSTORES 2 3 90" xfId="7476"/>
    <cellStyle name="SHADEDSTORES 2 3 90 10" xfId="40874"/>
    <cellStyle name="SHADEDSTORES 2 3 90 2" xfId="40875"/>
    <cellStyle name="SHADEDSTORES 2 3 90 3" xfId="40876"/>
    <cellStyle name="SHADEDSTORES 2 3 90 4" xfId="40877"/>
    <cellStyle name="SHADEDSTORES 2 3 90 5" xfId="40878"/>
    <cellStyle name="SHADEDSTORES 2 3 90 6" xfId="40879"/>
    <cellStyle name="SHADEDSTORES 2 3 90 7" xfId="40880"/>
    <cellStyle name="SHADEDSTORES 2 3 90 8" xfId="40881"/>
    <cellStyle name="SHADEDSTORES 2 3 90 9" xfId="40882"/>
    <cellStyle name="SHADEDSTORES 2 3 91" xfId="7477"/>
    <cellStyle name="SHADEDSTORES 2 3 91 10" xfId="40883"/>
    <cellStyle name="SHADEDSTORES 2 3 91 2" xfId="40884"/>
    <cellStyle name="SHADEDSTORES 2 3 91 3" xfId="40885"/>
    <cellStyle name="SHADEDSTORES 2 3 91 4" xfId="40886"/>
    <cellStyle name="SHADEDSTORES 2 3 91 5" xfId="40887"/>
    <cellStyle name="SHADEDSTORES 2 3 91 6" xfId="40888"/>
    <cellStyle name="SHADEDSTORES 2 3 91 7" xfId="40889"/>
    <cellStyle name="SHADEDSTORES 2 3 91 8" xfId="40890"/>
    <cellStyle name="SHADEDSTORES 2 3 91 9" xfId="40891"/>
    <cellStyle name="SHADEDSTORES 2 3 92" xfId="7478"/>
    <cellStyle name="SHADEDSTORES 2 3 92 10" xfId="40892"/>
    <cellStyle name="SHADEDSTORES 2 3 92 2" xfId="40893"/>
    <cellStyle name="SHADEDSTORES 2 3 92 3" xfId="40894"/>
    <cellStyle name="SHADEDSTORES 2 3 92 4" xfId="40895"/>
    <cellStyle name="SHADEDSTORES 2 3 92 5" xfId="40896"/>
    <cellStyle name="SHADEDSTORES 2 3 92 6" xfId="40897"/>
    <cellStyle name="SHADEDSTORES 2 3 92 7" xfId="40898"/>
    <cellStyle name="SHADEDSTORES 2 3 92 8" xfId="40899"/>
    <cellStyle name="SHADEDSTORES 2 3 92 9" xfId="40900"/>
    <cellStyle name="SHADEDSTORES 2 3 93" xfId="7479"/>
    <cellStyle name="SHADEDSTORES 2 3 93 2" xfId="40901"/>
    <cellStyle name="SHADEDSTORES 2 3 93 3" xfId="40902"/>
    <cellStyle name="SHADEDSTORES 2 3 93 4" xfId="40903"/>
    <cellStyle name="SHADEDSTORES 2 3 93 5" xfId="40904"/>
    <cellStyle name="SHADEDSTORES 2 3 93 6" xfId="40905"/>
    <cellStyle name="SHADEDSTORES 2 3 93 7" xfId="40906"/>
    <cellStyle name="SHADEDSTORES 2 3 93 8" xfId="40907"/>
    <cellStyle name="SHADEDSTORES 2 3 93 9" xfId="40908"/>
    <cellStyle name="SHADEDSTORES 2 3 94" xfId="11442"/>
    <cellStyle name="SHADEDSTORES 2 3 95" xfId="40909"/>
    <cellStyle name="SHADEDSTORES 2 3 96" xfId="40910"/>
    <cellStyle name="SHADEDSTORES 2 3 97" xfId="40911"/>
    <cellStyle name="SHADEDSTORES 2 3 98" xfId="40912"/>
    <cellStyle name="SHADEDSTORES 2 3 99" xfId="40913"/>
    <cellStyle name="SHADEDSTORES 2 3_Cashflow trend" xfId="2544"/>
    <cellStyle name="SHADEDSTORES 2 30" xfId="7480"/>
    <cellStyle name="SHADEDSTORES 2 30 10" xfId="40914"/>
    <cellStyle name="SHADEDSTORES 2 30 2" xfId="40915"/>
    <cellStyle name="SHADEDSTORES 2 30 3" xfId="40916"/>
    <cellStyle name="SHADEDSTORES 2 30 4" xfId="40917"/>
    <cellStyle name="SHADEDSTORES 2 30 5" xfId="40918"/>
    <cellStyle name="SHADEDSTORES 2 30 6" xfId="40919"/>
    <cellStyle name="SHADEDSTORES 2 30 7" xfId="40920"/>
    <cellStyle name="SHADEDSTORES 2 30 8" xfId="40921"/>
    <cellStyle name="SHADEDSTORES 2 30 9" xfId="40922"/>
    <cellStyle name="SHADEDSTORES 2 31" xfId="7481"/>
    <cellStyle name="SHADEDSTORES 2 31 10" xfId="40923"/>
    <cellStyle name="SHADEDSTORES 2 31 2" xfId="40924"/>
    <cellStyle name="SHADEDSTORES 2 31 3" xfId="40925"/>
    <cellStyle name="SHADEDSTORES 2 31 4" xfId="40926"/>
    <cellStyle name="SHADEDSTORES 2 31 5" xfId="40927"/>
    <cellStyle name="SHADEDSTORES 2 31 6" xfId="40928"/>
    <cellStyle name="SHADEDSTORES 2 31 7" xfId="40929"/>
    <cellStyle name="SHADEDSTORES 2 31 8" xfId="40930"/>
    <cellStyle name="SHADEDSTORES 2 31 9" xfId="40931"/>
    <cellStyle name="SHADEDSTORES 2 32" xfId="7482"/>
    <cellStyle name="SHADEDSTORES 2 32 10" xfId="40932"/>
    <cellStyle name="SHADEDSTORES 2 32 2" xfId="40933"/>
    <cellStyle name="SHADEDSTORES 2 32 3" xfId="40934"/>
    <cellStyle name="SHADEDSTORES 2 32 4" xfId="40935"/>
    <cellStyle name="SHADEDSTORES 2 32 5" xfId="40936"/>
    <cellStyle name="SHADEDSTORES 2 32 6" xfId="40937"/>
    <cellStyle name="SHADEDSTORES 2 32 7" xfId="40938"/>
    <cellStyle name="SHADEDSTORES 2 32 8" xfId="40939"/>
    <cellStyle name="SHADEDSTORES 2 32 9" xfId="40940"/>
    <cellStyle name="SHADEDSTORES 2 33" xfId="7483"/>
    <cellStyle name="SHADEDSTORES 2 33 10" xfId="40941"/>
    <cellStyle name="SHADEDSTORES 2 33 2" xfId="40942"/>
    <cellStyle name="SHADEDSTORES 2 33 3" xfId="40943"/>
    <cellStyle name="SHADEDSTORES 2 33 4" xfId="40944"/>
    <cellStyle name="SHADEDSTORES 2 33 5" xfId="40945"/>
    <cellStyle name="SHADEDSTORES 2 33 6" xfId="40946"/>
    <cellStyle name="SHADEDSTORES 2 33 7" xfId="40947"/>
    <cellStyle name="SHADEDSTORES 2 33 8" xfId="40948"/>
    <cellStyle name="SHADEDSTORES 2 33 9" xfId="40949"/>
    <cellStyle name="SHADEDSTORES 2 34" xfId="7484"/>
    <cellStyle name="SHADEDSTORES 2 34 10" xfId="40950"/>
    <cellStyle name="SHADEDSTORES 2 34 2" xfId="40951"/>
    <cellStyle name="SHADEDSTORES 2 34 3" xfId="40952"/>
    <cellStyle name="SHADEDSTORES 2 34 4" xfId="40953"/>
    <cellStyle name="SHADEDSTORES 2 34 5" xfId="40954"/>
    <cellStyle name="SHADEDSTORES 2 34 6" xfId="40955"/>
    <cellStyle name="SHADEDSTORES 2 34 7" xfId="40956"/>
    <cellStyle name="SHADEDSTORES 2 34 8" xfId="40957"/>
    <cellStyle name="SHADEDSTORES 2 34 9" xfId="40958"/>
    <cellStyle name="SHADEDSTORES 2 35" xfId="7485"/>
    <cellStyle name="SHADEDSTORES 2 35 10" xfId="40959"/>
    <cellStyle name="SHADEDSTORES 2 35 2" xfId="40960"/>
    <cellStyle name="SHADEDSTORES 2 35 3" xfId="40961"/>
    <cellStyle name="SHADEDSTORES 2 35 4" xfId="40962"/>
    <cellStyle name="SHADEDSTORES 2 35 5" xfId="40963"/>
    <cellStyle name="SHADEDSTORES 2 35 6" xfId="40964"/>
    <cellStyle name="SHADEDSTORES 2 35 7" xfId="40965"/>
    <cellStyle name="SHADEDSTORES 2 35 8" xfId="40966"/>
    <cellStyle name="SHADEDSTORES 2 35 9" xfId="40967"/>
    <cellStyle name="SHADEDSTORES 2 36" xfId="7486"/>
    <cellStyle name="SHADEDSTORES 2 36 10" xfId="40968"/>
    <cellStyle name="SHADEDSTORES 2 36 2" xfId="40969"/>
    <cellStyle name="SHADEDSTORES 2 36 3" xfId="40970"/>
    <cellStyle name="SHADEDSTORES 2 36 4" xfId="40971"/>
    <cellStyle name="SHADEDSTORES 2 36 5" xfId="40972"/>
    <cellStyle name="SHADEDSTORES 2 36 6" xfId="40973"/>
    <cellStyle name="SHADEDSTORES 2 36 7" xfId="40974"/>
    <cellStyle name="SHADEDSTORES 2 36 8" xfId="40975"/>
    <cellStyle name="SHADEDSTORES 2 36 9" xfId="40976"/>
    <cellStyle name="SHADEDSTORES 2 37" xfId="7487"/>
    <cellStyle name="SHADEDSTORES 2 37 10" xfId="40977"/>
    <cellStyle name="SHADEDSTORES 2 37 2" xfId="40978"/>
    <cellStyle name="SHADEDSTORES 2 37 3" xfId="40979"/>
    <cellStyle name="SHADEDSTORES 2 37 4" xfId="40980"/>
    <cellStyle name="SHADEDSTORES 2 37 5" xfId="40981"/>
    <cellStyle name="SHADEDSTORES 2 37 6" xfId="40982"/>
    <cellStyle name="SHADEDSTORES 2 37 7" xfId="40983"/>
    <cellStyle name="SHADEDSTORES 2 37 8" xfId="40984"/>
    <cellStyle name="SHADEDSTORES 2 37 9" xfId="40985"/>
    <cellStyle name="SHADEDSTORES 2 38" xfId="7488"/>
    <cellStyle name="SHADEDSTORES 2 38 10" xfId="40986"/>
    <cellStyle name="SHADEDSTORES 2 38 2" xfId="40987"/>
    <cellStyle name="SHADEDSTORES 2 38 3" xfId="40988"/>
    <cellStyle name="SHADEDSTORES 2 38 4" xfId="40989"/>
    <cellStyle name="SHADEDSTORES 2 38 5" xfId="40990"/>
    <cellStyle name="SHADEDSTORES 2 38 6" xfId="40991"/>
    <cellStyle name="SHADEDSTORES 2 38 7" xfId="40992"/>
    <cellStyle name="SHADEDSTORES 2 38 8" xfId="40993"/>
    <cellStyle name="SHADEDSTORES 2 38 9" xfId="40994"/>
    <cellStyle name="SHADEDSTORES 2 39" xfId="7489"/>
    <cellStyle name="SHADEDSTORES 2 39 10" xfId="40995"/>
    <cellStyle name="SHADEDSTORES 2 39 2" xfId="40996"/>
    <cellStyle name="SHADEDSTORES 2 39 3" xfId="40997"/>
    <cellStyle name="SHADEDSTORES 2 39 4" xfId="40998"/>
    <cellStyle name="SHADEDSTORES 2 39 5" xfId="40999"/>
    <cellStyle name="SHADEDSTORES 2 39 6" xfId="41000"/>
    <cellStyle name="SHADEDSTORES 2 39 7" xfId="41001"/>
    <cellStyle name="SHADEDSTORES 2 39 8" xfId="41002"/>
    <cellStyle name="SHADEDSTORES 2 39 9" xfId="41003"/>
    <cellStyle name="SHADEDSTORES 2 4" xfId="2545"/>
    <cellStyle name="SHADEDSTORES 2 4 10" xfId="7490"/>
    <cellStyle name="SHADEDSTORES 2 4 10 2" xfId="41004"/>
    <cellStyle name="SHADEDSTORES 2 4 10 3" xfId="41005"/>
    <cellStyle name="SHADEDSTORES 2 4 10 4" xfId="41006"/>
    <cellStyle name="SHADEDSTORES 2 4 10 5" xfId="41007"/>
    <cellStyle name="SHADEDSTORES 2 4 10 6" xfId="41008"/>
    <cellStyle name="SHADEDSTORES 2 4 10 7" xfId="41009"/>
    <cellStyle name="SHADEDSTORES 2 4 10 8" xfId="41010"/>
    <cellStyle name="SHADEDSTORES 2 4 10 9" xfId="41011"/>
    <cellStyle name="SHADEDSTORES 2 4 100" xfId="41012"/>
    <cellStyle name="SHADEDSTORES 2 4 101" xfId="41013"/>
    <cellStyle name="SHADEDSTORES 2 4 102" xfId="41014"/>
    <cellStyle name="SHADEDSTORES 2 4 11" xfId="7491"/>
    <cellStyle name="SHADEDSTORES 2 4 11 2" xfId="41015"/>
    <cellStyle name="SHADEDSTORES 2 4 11 3" xfId="41016"/>
    <cellStyle name="SHADEDSTORES 2 4 11 4" xfId="41017"/>
    <cellStyle name="SHADEDSTORES 2 4 11 5" xfId="41018"/>
    <cellStyle name="SHADEDSTORES 2 4 11 6" xfId="41019"/>
    <cellStyle name="SHADEDSTORES 2 4 11 7" xfId="41020"/>
    <cellStyle name="SHADEDSTORES 2 4 11 8" xfId="41021"/>
    <cellStyle name="SHADEDSTORES 2 4 11 9" xfId="41022"/>
    <cellStyle name="SHADEDSTORES 2 4 12" xfId="7492"/>
    <cellStyle name="SHADEDSTORES 2 4 12 2" xfId="41023"/>
    <cellStyle name="SHADEDSTORES 2 4 12 3" xfId="41024"/>
    <cellStyle name="SHADEDSTORES 2 4 12 4" xfId="41025"/>
    <cellStyle name="SHADEDSTORES 2 4 12 5" xfId="41026"/>
    <cellStyle name="SHADEDSTORES 2 4 12 6" xfId="41027"/>
    <cellStyle name="SHADEDSTORES 2 4 12 7" xfId="41028"/>
    <cellStyle name="SHADEDSTORES 2 4 12 8" xfId="41029"/>
    <cellStyle name="SHADEDSTORES 2 4 12 9" xfId="41030"/>
    <cellStyle name="SHADEDSTORES 2 4 13" xfId="7493"/>
    <cellStyle name="SHADEDSTORES 2 4 13 2" xfId="41031"/>
    <cellStyle name="SHADEDSTORES 2 4 13 3" xfId="41032"/>
    <cellStyle name="SHADEDSTORES 2 4 13 4" xfId="41033"/>
    <cellStyle name="SHADEDSTORES 2 4 13 5" xfId="41034"/>
    <cellStyle name="SHADEDSTORES 2 4 13 6" xfId="41035"/>
    <cellStyle name="SHADEDSTORES 2 4 13 7" xfId="41036"/>
    <cellStyle name="SHADEDSTORES 2 4 13 8" xfId="41037"/>
    <cellStyle name="SHADEDSTORES 2 4 13 9" xfId="41038"/>
    <cellStyle name="SHADEDSTORES 2 4 14" xfId="7494"/>
    <cellStyle name="SHADEDSTORES 2 4 14 2" xfId="41039"/>
    <cellStyle name="SHADEDSTORES 2 4 14 3" xfId="41040"/>
    <cellStyle name="SHADEDSTORES 2 4 14 4" xfId="41041"/>
    <cellStyle name="SHADEDSTORES 2 4 14 5" xfId="41042"/>
    <cellStyle name="SHADEDSTORES 2 4 14 6" xfId="41043"/>
    <cellStyle name="SHADEDSTORES 2 4 14 7" xfId="41044"/>
    <cellStyle name="SHADEDSTORES 2 4 14 8" xfId="41045"/>
    <cellStyle name="SHADEDSTORES 2 4 14 9" xfId="41046"/>
    <cellStyle name="SHADEDSTORES 2 4 15" xfId="7495"/>
    <cellStyle name="SHADEDSTORES 2 4 15 2" xfId="41047"/>
    <cellStyle name="SHADEDSTORES 2 4 15 3" xfId="41048"/>
    <cellStyle name="SHADEDSTORES 2 4 15 4" xfId="41049"/>
    <cellStyle name="SHADEDSTORES 2 4 15 5" xfId="41050"/>
    <cellStyle name="SHADEDSTORES 2 4 15 6" xfId="41051"/>
    <cellStyle name="SHADEDSTORES 2 4 15 7" xfId="41052"/>
    <cellStyle name="SHADEDSTORES 2 4 15 8" xfId="41053"/>
    <cellStyle name="SHADEDSTORES 2 4 15 9" xfId="41054"/>
    <cellStyle name="SHADEDSTORES 2 4 16" xfId="7496"/>
    <cellStyle name="SHADEDSTORES 2 4 16 2" xfId="41055"/>
    <cellStyle name="SHADEDSTORES 2 4 16 3" xfId="41056"/>
    <cellStyle name="SHADEDSTORES 2 4 16 4" xfId="41057"/>
    <cellStyle name="SHADEDSTORES 2 4 16 5" xfId="41058"/>
    <cellStyle name="SHADEDSTORES 2 4 16 6" xfId="41059"/>
    <cellStyle name="SHADEDSTORES 2 4 16 7" xfId="41060"/>
    <cellStyle name="SHADEDSTORES 2 4 16 8" xfId="41061"/>
    <cellStyle name="SHADEDSTORES 2 4 16 9" xfId="41062"/>
    <cellStyle name="SHADEDSTORES 2 4 17" xfId="7497"/>
    <cellStyle name="SHADEDSTORES 2 4 17 2" xfId="41063"/>
    <cellStyle name="SHADEDSTORES 2 4 17 3" xfId="41064"/>
    <cellStyle name="SHADEDSTORES 2 4 17 4" xfId="41065"/>
    <cellStyle name="SHADEDSTORES 2 4 17 5" xfId="41066"/>
    <cellStyle name="SHADEDSTORES 2 4 17 6" xfId="41067"/>
    <cellStyle name="SHADEDSTORES 2 4 17 7" xfId="41068"/>
    <cellStyle name="SHADEDSTORES 2 4 17 8" xfId="41069"/>
    <cellStyle name="SHADEDSTORES 2 4 17 9" xfId="41070"/>
    <cellStyle name="SHADEDSTORES 2 4 18" xfId="7498"/>
    <cellStyle name="SHADEDSTORES 2 4 18 2" xfId="41071"/>
    <cellStyle name="SHADEDSTORES 2 4 18 3" xfId="41072"/>
    <cellStyle name="SHADEDSTORES 2 4 18 4" xfId="41073"/>
    <cellStyle name="SHADEDSTORES 2 4 18 5" xfId="41074"/>
    <cellStyle name="SHADEDSTORES 2 4 18 6" xfId="41075"/>
    <cellStyle name="SHADEDSTORES 2 4 18 7" xfId="41076"/>
    <cellStyle name="SHADEDSTORES 2 4 18 8" xfId="41077"/>
    <cellStyle name="SHADEDSTORES 2 4 18 9" xfId="41078"/>
    <cellStyle name="SHADEDSTORES 2 4 19" xfId="7499"/>
    <cellStyle name="SHADEDSTORES 2 4 19 2" xfId="41079"/>
    <cellStyle name="SHADEDSTORES 2 4 19 3" xfId="41080"/>
    <cellStyle name="SHADEDSTORES 2 4 19 4" xfId="41081"/>
    <cellStyle name="SHADEDSTORES 2 4 19 5" xfId="41082"/>
    <cellStyle name="SHADEDSTORES 2 4 19 6" xfId="41083"/>
    <cellStyle name="SHADEDSTORES 2 4 19 7" xfId="41084"/>
    <cellStyle name="SHADEDSTORES 2 4 19 8" xfId="41085"/>
    <cellStyle name="SHADEDSTORES 2 4 19 9" xfId="41086"/>
    <cellStyle name="SHADEDSTORES 2 4 2" xfId="2546"/>
    <cellStyle name="SHADEDSTORES 2 4 2 10" xfId="41087"/>
    <cellStyle name="SHADEDSTORES 2 4 2 11" xfId="41088"/>
    <cellStyle name="SHADEDSTORES 2 4 2 2" xfId="2547"/>
    <cellStyle name="SHADEDSTORES 2 4 2 2 2" xfId="12753"/>
    <cellStyle name="SHADEDSTORES 2 4 2 2_YL Capex Cashflow &amp; Dep" xfId="13536"/>
    <cellStyle name="SHADEDSTORES 2 4 2 3" xfId="12051"/>
    <cellStyle name="SHADEDSTORES 2 4 2 4" xfId="41089"/>
    <cellStyle name="SHADEDSTORES 2 4 2 5" xfId="41090"/>
    <cellStyle name="SHADEDSTORES 2 4 2 6" xfId="41091"/>
    <cellStyle name="SHADEDSTORES 2 4 2 7" xfId="41092"/>
    <cellStyle name="SHADEDSTORES 2 4 2 8" xfId="41093"/>
    <cellStyle name="SHADEDSTORES 2 4 2 9" xfId="41094"/>
    <cellStyle name="SHADEDSTORES 2 4 2_Cashflow trend" xfId="2548"/>
    <cellStyle name="SHADEDSTORES 2 4 20" xfId="7500"/>
    <cellStyle name="SHADEDSTORES 2 4 20 10" xfId="41095"/>
    <cellStyle name="SHADEDSTORES 2 4 20 2" xfId="41096"/>
    <cellStyle name="SHADEDSTORES 2 4 20 3" xfId="41097"/>
    <cellStyle name="SHADEDSTORES 2 4 20 4" xfId="41098"/>
    <cellStyle name="SHADEDSTORES 2 4 20 5" xfId="41099"/>
    <cellStyle name="SHADEDSTORES 2 4 20 6" xfId="41100"/>
    <cellStyle name="SHADEDSTORES 2 4 20 7" xfId="41101"/>
    <cellStyle name="SHADEDSTORES 2 4 20 8" xfId="41102"/>
    <cellStyle name="SHADEDSTORES 2 4 20 9" xfId="41103"/>
    <cellStyle name="SHADEDSTORES 2 4 21" xfId="7501"/>
    <cellStyle name="SHADEDSTORES 2 4 21 10" xfId="41104"/>
    <cellStyle name="SHADEDSTORES 2 4 21 2" xfId="41105"/>
    <cellStyle name="SHADEDSTORES 2 4 21 3" xfId="41106"/>
    <cellStyle name="SHADEDSTORES 2 4 21 4" xfId="41107"/>
    <cellStyle name="SHADEDSTORES 2 4 21 5" xfId="41108"/>
    <cellStyle name="SHADEDSTORES 2 4 21 6" xfId="41109"/>
    <cellStyle name="SHADEDSTORES 2 4 21 7" xfId="41110"/>
    <cellStyle name="SHADEDSTORES 2 4 21 8" xfId="41111"/>
    <cellStyle name="SHADEDSTORES 2 4 21 9" xfId="41112"/>
    <cellStyle name="SHADEDSTORES 2 4 22" xfId="7502"/>
    <cellStyle name="SHADEDSTORES 2 4 22 10" xfId="41113"/>
    <cellStyle name="SHADEDSTORES 2 4 22 2" xfId="41114"/>
    <cellStyle name="SHADEDSTORES 2 4 22 3" xfId="41115"/>
    <cellStyle name="SHADEDSTORES 2 4 22 4" xfId="41116"/>
    <cellStyle name="SHADEDSTORES 2 4 22 5" xfId="41117"/>
    <cellStyle name="SHADEDSTORES 2 4 22 6" xfId="41118"/>
    <cellStyle name="SHADEDSTORES 2 4 22 7" xfId="41119"/>
    <cellStyle name="SHADEDSTORES 2 4 22 8" xfId="41120"/>
    <cellStyle name="SHADEDSTORES 2 4 22 9" xfId="41121"/>
    <cellStyle name="SHADEDSTORES 2 4 23" xfId="7503"/>
    <cellStyle name="SHADEDSTORES 2 4 23 10" xfId="41122"/>
    <cellStyle name="SHADEDSTORES 2 4 23 2" xfId="41123"/>
    <cellStyle name="SHADEDSTORES 2 4 23 3" xfId="41124"/>
    <cellStyle name="SHADEDSTORES 2 4 23 4" xfId="41125"/>
    <cellStyle name="SHADEDSTORES 2 4 23 5" xfId="41126"/>
    <cellStyle name="SHADEDSTORES 2 4 23 6" xfId="41127"/>
    <cellStyle name="SHADEDSTORES 2 4 23 7" xfId="41128"/>
    <cellStyle name="SHADEDSTORES 2 4 23 8" xfId="41129"/>
    <cellStyle name="SHADEDSTORES 2 4 23 9" xfId="41130"/>
    <cellStyle name="SHADEDSTORES 2 4 24" xfId="7504"/>
    <cellStyle name="SHADEDSTORES 2 4 24 10" xfId="41131"/>
    <cellStyle name="SHADEDSTORES 2 4 24 2" xfId="41132"/>
    <cellStyle name="SHADEDSTORES 2 4 24 3" xfId="41133"/>
    <cellStyle name="SHADEDSTORES 2 4 24 4" xfId="41134"/>
    <cellStyle name="SHADEDSTORES 2 4 24 5" xfId="41135"/>
    <cellStyle name="SHADEDSTORES 2 4 24 6" xfId="41136"/>
    <cellStyle name="SHADEDSTORES 2 4 24 7" xfId="41137"/>
    <cellStyle name="SHADEDSTORES 2 4 24 8" xfId="41138"/>
    <cellStyle name="SHADEDSTORES 2 4 24 9" xfId="41139"/>
    <cellStyle name="SHADEDSTORES 2 4 25" xfId="7505"/>
    <cellStyle name="SHADEDSTORES 2 4 25 10" xfId="41140"/>
    <cellStyle name="SHADEDSTORES 2 4 25 2" xfId="41141"/>
    <cellStyle name="SHADEDSTORES 2 4 25 3" xfId="41142"/>
    <cellStyle name="SHADEDSTORES 2 4 25 4" xfId="41143"/>
    <cellStyle name="SHADEDSTORES 2 4 25 5" xfId="41144"/>
    <cellStyle name="SHADEDSTORES 2 4 25 6" xfId="41145"/>
    <cellStyle name="SHADEDSTORES 2 4 25 7" xfId="41146"/>
    <cellStyle name="SHADEDSTORES 2 4 25 8" xfId="41147"/>
    <cellStyle name="SHADEDSTORES 2 4 25 9" xfId="41148"/>
    <cellStyle name="SHADEDSTORES 2 4 26" xfId="7506"/>
    <cellStyle name="SHADEDSTORES 2 4 26 10" xfId="41149"/>
    <cellStyle name="SHADEDSTORES 2 4 26 2" xfId="41150"/>
    <cellStyle name="SHADEDSTORES 2 4 26 3" xfId="41151"/>
    <cellStyle name="SHADEDSTORES 2 4 26 4" xfId="41152"/>
    <cellStyle name="SHADEDSTORES 2 4 26 5" xfId="41153"/>
    <cellStyle name="SHADEDSTORES 2 4 26 6" xfId="41154"/>
    <cellStyle name="SHADEDSTORES 2 4 26 7" xfId="41155"/>
    <cellStyle name="SHADEDSTORES 2 4 26 8" xfId="41156"/>
    <cellStyle name="SHADEDSTORES 2 4 26 9" xfId="41157"/>
    <cellStyle name="SHADEDSTORES 2 4 27" xfId="7507"/>
    <cellStyle name="SHADEDSTORES 2 4 27 10" xfId="41158"/>
    <cellStyle name="SHADEDSTORES 2 4 27 2" xfId="41159"/>
    <cellStyle name="SHADEDSTORES 2 4 27 3" xfId="41160"/>
    <cellStyle name="SHADEDSTORES 2 4 27 4" xfId="41161"/>
    <cellStyle name="SHADEDSTORES 2 4 27 5" xfId="41162"/>
    <cellStyle name="SHADEDSTORES 2 4 27 6" xfId="41163"/>
    <cellStyle name="SHADEDSTORES 2 4 27 7" xfId="41164"/>
    <cellStyle name="SHADEDSTORES 2 4 27 8" xfId="41165"/>
    <cellStyle name="SHADEDSTORES 2 4 27 9" xfId="41166"/>
    <cellStyle name="SHADEDSTORES 2 4 28" xfId="7508"/>
    <cellStyle name="SHADEDSTORES 2 4 28 10" xfId="41167"/>
    <cellStyle name="SHADEDSTORES 2 4 28 2" xfId="41168"/>
    <cellStyle name="SHADEDSTORES 2 4 28 3" xfId="41169"/>
    <cellStyle name="SHADEDSTORES 2 4 28 4" xfId="41170"/>
    <cellStyle name="SHADEDSTORES 2 4 28 5" xfId="41171"/>
    <cellStyle name="SHADEDSTORES 2 4 28 6" xfId="41172"/>
    <cellStyle name="SHADEDSTORES 2 4 28 7" xfId="41173"/>
    <cellStyle name="SHADEDSTORES 2 4 28 8" xfId="41174"/>
    <cellStyle name="SHADEDSTORES 2 4 28 9" xfId="41175"/>
    <cellStyle name="SHADEDSTORES 2 4 29" xfId="7509"/>
    <cellStyle name="SHADEDSTORES 2 4 29 10" xfId="41176"/>
    <cellStyle name="SHADEDSTORES 2 4 29 2" xfId="41177"/>
    <cellStyle name="SHADEDSTORES 2 4 29 3" xfId="41178"/>
    <cellStyle name="SHADEDSTORES 2 4 29 4" xfId="41179"/>
    <cellStyle name="SHADEDSTORES 2 4 29 5" xfId="41180"/>
    <cellStyle name="SHADEDSTORES 2 4 29 6" xfId="41181"/>
    <cellStyle name="SHADEDSTORES 2 4 29 7" xfId="41182"/>
    <cellStyle name="SHADEDSTORES 2 4 29 8" xfId="41183"/>
    <cellStyle name="SHADEDSTORES 2 4 29 9" xfId="41184"/>
    <cellStyle name="SHADEDSTORES 2 4 3" xfId="2549"/>
    <cellStyle name="SHADEDSTORES 2 4 3 10" xfId="41185"/>
    <cellStyle name="SHADEDSTORES 2 4 3 2" xfId="2550"/>
    <cellStyle name="SHADEDSTORES 2 4 3 2 2" xfId="12685"/>
    <cellStyle name="SHADEDSTORES 2 4 3 2_YL Capex Cashflow &amp; Dep" xfId="13537"/>
    <cellStyle name="SHADEDSTORES 2 4 3 3" xfId="11986"/>
    <cellStyle name="SHADEDSTORES 2 4 3 4" xfId="41186"/>
    <cellStyle name="SHADEDSTORES 2 4 3 5" xfId="41187"/>
    <cellStyle name="SHADEDSTORES 2 4 3 6" xfId="41188"/>
    <cellStyle name="SHADEDSTORES 2 4 3 7" xfId="41189"/>
    <cellStyle name="SHADEDSTORES 2 4 3 8" xfId="41190"/>
    <cellStyle name="SHADEDSTORES 2 4 3 9" xfId="41191"/>
    <cellStyle name="SHADEDSTORES 2 4 3_Cashflow trend" xfId="2551"/>
    <cellStyle name="SHADEDSTORES 2 4 30" xfId="7510"/>
    <cellStyle name="SHADEDSTORES 2 4 30 10" xfId="41192"/>
    <cellStyle name="SHADEDSTORES 2 4 30 2" xfId="41193"/>
    <cellStyle name="SHADEDSTORES 2 4 30 3" xfId="41194"/>
    <cellStyle name="SHADEDSTORES 2 4 30 4" xfId="41195"/>
    <cellStyle name="SHADEDSTORES 2 4 30 5" xfId="41196"/>
    <cellStyle name="SHADEDSTORES 2 4 30 6" xfId="41197"/>
    <cellStyle name="SHADEDSTORES 2 4 30 7" xfId="41198"/>
    <cellStyle name="SHADEDSTORES 2 4 30 8" xfId="41199"/>
    <cellStyle name="SHADEDSTORES 2 4 30 9" xfId="41200"/>
    <cellStyle name="SHADEDSTORES 2 4 31" xfId="7511"/>
    <cellStyle name="SHADEDSTORES 2 4 31 10" xfId="41201"/>
    <cellStyle name="SHADEDSTORES 2 4 31 2" xfId="41202"/>
    <cellStyle name="SHADEDSTORES 2 4 31 3" xfId="41203"/>
    <cellStyle name="SHADEDSTORES 2 4 31 4" xfId="41204"/>
    <cellStyle name="SHADEDSTORES 2 4 31 5" xfId="41205"/>
    <cellStyle name="SHADEDSTORES 2 4 31 6" xfId="41206"/>
    <cellStyle name="SHADEDSTORES 2 4 31 7" xfId="41207"/>
    <cellStyle name="SHADEDSTORES 2 4 31 8" xfId="41208"/>
    <cellStyle name="SHADEDSTORES 2 4 31 9" xfId="41209"/>
    <cellStyle name="SHADEDSTORES 2 4 32" xfId="7512"/>
    <cellStyle name="SHADEDSTORES 2 4 32 10" xfId="41210"/>
    <cellStyle name="SHADEDSTORES 2 4 32 2" xfId="41211"/>
    <cellStyle name="SHADEDSTORES 2 4 32 3" xfId="41212"/>
    <cellStyle name="SHADEDSTORES 2 4 32 4" xfId="41213"/>
    <cellStyle name="SHADEDSTORES 2 4 32 5" xfId="41214"/>
    <cellStyle name="SHADEDSTORES 2 4 32 6" xfId="41215"/>
    <cellStyle name="SHADEDSTORES 2 4 32 7" xfId="41216"/>
    <cellStyle name="SHADEDSTORES 2 4 32 8" xfId="41217"/>
    <cellStyle name="SHADEDSTORES 2 4 32 9" xfId="41218"/>
    <cellStyle name="SHADEDSTORES 2 4 33" xfId="7513"/>
    <cellStyle name="SHADEDSTORES 2 4 33 10" xfId="41219"/>
    <cellStyle name="SHADEDSTORES 2 4 33 2" xfId="41220"/>
    <cellStyle name="SHADEDSTORES 2 4 33 3" xfId="41221"/>
    <cellStyle name="SHADEDSTORES 2 4 33 4" xfId="41222"/>
    <cellStyle name="SHADEDSTORES 2 4 33 5" xfId="41223"/>
    <cellStyle name="SHADEDSTORES 2 4 33 6" xfId="41224"/>
    <cellStyle name="SHADEDSTORES 2 4 33 7" xfId="41225"/>
    <cellStyle name="SHADEDSTORES 2 4 33 8" xfId="41226"/>
    <cellStyle name="SHADEDSTORES 2 4 33 9" xfId="41227"/>
    <cellStyle name="SHADEDSTORES 2 4 34" xfId="7514"/>
    <cellStyle name="SHADEDSTORES 2 4 34 10" xfId="41228"/>
    <cellStyle name="SHADEDSTORES 2 4 34 2" xfId="41229"/>
    <cellStyle name="SHADEDSTORES 2 4 34 3" xfId="41230"/>
    <cellStyle name="SHADEDSTORES 2 4 34 4" xfId="41231"/>
    <cellStyle name="SHADEDSTORES 2 4 34 5" xfId="41232"/>
    <cellStyle name="SHADEDSTORES 2 4 34 6" xfId="41233"/>
    <cellStyle name="SHADEDSTORES 2 4 34 7" xfId="41234"/>
    <cellStyle name="SHADEDSTORES 2 4 34 8" xfId="41235"/>
    <cellStyle name="SHADEDSTORES 2 4 34 9" xfId="41236"/>
    <cellStyle name="SHADEDSTORES 2 4 35" xfId="7515"/>
    <cellStyle name="SHADEDSTORES 2 4 35 10" xfId="41237"/>
    <cellStyle name="SHADEDSTORES 2 4 35 2" xfId="41238"/>
    <cellStyle name="SHADEDSTORES 2 4 35 3" xfId="41239"/>
    <cellStyle name="SHADEDSTORES 2 4 35 4" xfId="41240"/>
    <cellStyle name="SHADEDSTORES 2 4 35 5" xfId="41241"/>
    <cellStyle name="SHADEDSTORES 2 4 35 6" xfId="41242"/>
    <cellStyle name="SHADEDSTORES 2 4 35 7" xfId="41243"/>
    <cellStyle name="SHADEDSTORES 2 4 35 8" xfId="41244"/>
    <cellStyle name="SHADEDSTORES 2 4 35 9" xfId="41245"/>
    <cellStyle name="SHADEDSTORES 2 4 36" xfId="7516"/>
    <cellStyle name="SHADEDSTORES 2 4 36 10" xfId="41246"/>
    <cellStyle name="SHADEDSTORES 2 4 36 2" xfId="41247"/>
    <cellStyle name="SHADEDSTORES 2 4 36 3" xfId="41248"/>
    <cellStyle name="SHADEDSTORES 2 4 36 4" xfId="41249"/>
    <cellStyle name="SHADEDSTORES 2 4 36 5" xfId="41250"/>
    <cellStyle name="SHADEDSTORES 2 4 36 6" xfId="41251"/>
    <cellStyle name="SHADEDSTORES 2 4 36 7" xfId="41252"/>
    <cellStyle name="SHADEDSTORES 2 4 36 8" xfId="41253"/>
    <cellStyle name="SHADEDSTORES 2 4 36 9" xfId="41254"/>
    <cellStyle name="SHADEDSTORES 2 4 37" xfId="7517"/>
    <cellStyle name="SHADEDSTORES 2 4 37 10" xfId="41255"/>
    <cellStyle name="SHADEDSTORES 2 4 37 2" xfId="41256"/>
    <cellStyle name="SHADEDSTORES 2 4 37 3" xfId="41257"/>
    <cellStyle name="SHADEDSTORES 2 4 37 4" xfId="41258"/>
    <cellStyle name="SHADEDSTORES 2 4 37 5" xfId="41259"/>
    <cellStyle name="SHADEDSTORES 2 4 37 6" xfId="41260"/>
    <cellStyle name="SHADEDSTORES 2 4 37 7" xfId="41261"/>
    <cellStyle name="SHADEDSTORES 2 4 37 8" xfId="41262"/>
    <cellStyle name="SHADEDSTORES 2 4 37 9" xfId="41263"/>
    <cellStyle name="SHADEDSTORES 2 4 38" xfId="7518"/>
    <cellStyle name="SHADEDSTORES 2 4 38 10" xfId="41264"/>
    <cellStyle name="SHADEDSTORES 2 4 38 2" xfId="41265"/>
    <cellStyle name="SHADEDSTORES 2 4 38 3" xfId="41266"/>
    <cellStyle name="SHADEDSTORES 2 4 38 4" xfId="41267"/>
    <cellStyle name="SHADEDSTORES 2 4 38 5" xfId="41268"/>
    <cellStyle name="SHADEDSTORES 2 4 38 6" xfId="41269"/>
    <cellStyle name="SHADEDSTORES 2 4 38 7" xfId="41270"/>
    <cellStyle name="SHADEDSTORES 2 4 38 8" xfId="41271"/>
    <cellStyle name="SHADEDSTORES 2 4 38 9" xfId="41272"/>
    <cellStyle name="SHADEDSTORES 2 4 39" xfId="7519"/>
    <cellStyle name="SHADEDSTORES 2 4 39 10" xfId="41273"/>
    <cellStyle name="SHADEDSTORES 2 4 39 2" xfId="41274"/>
    <cellStyle name="SHADEDSTORES 2 4 39 3" xfId="41275"/>
    <cellStyle name="SHADEDSTORES 2 4 39 4" xfId="41276"/>
    <cellStyle name="SHADEDSTORES 2 4 39 5" xfId="41277"/>
    <cellStyle name="SHADEDSTORES 2 4 39 6" xfId="41278"/>
    <cellStyle name="SHADEDSTORES 2 4 39 7" xfId="41279"/>
    <cellStyle name="SHADEDSTORES 2 4 39 8" xfId="41280"/>
    <cellStyle name="SHADEDSTORES 2 4 39 9" xfId="41281"/>
    <cellStyle name="SHADEDSTORES 2 4 4" xfId="2552"/>
    <cellStyle name="SHADEDSTORES 2 4 4 10" xfId="41282"/>
    <cellStyle name="SHADEDSTORES 2 4 4 2" xfId="11681"/>
    <cellStyle name="SHADEDSTORES 2 4 4 3" xfId="41283"/>
    <cellStyle name="SHADEDSTORES 2 4 4 4" xfId="41284"/>
    <cellStyle name="SHADEDSTORES 2 4 4 5" xfId="41285"/>
    <cellStyle name="SHADEDSTORES 2 4 4 6" xfId="41286"/>
    <cellStyle name="SHADEDSTORES 2 4 4 7" xfId="41287"/>
    <cellStyle name="SHADEDSTORES 2 4 4 8" xfId="41288"/>
    <cellStyle name="SHADEDSTORES 2 4 4 9" xfId="41289"/>
    <cellStyle name="SHADEDSTORES 2 4 4_YL Capex Cashflow &amp; Dep" xfId="13538"/>
    <cellStyle name="SHADEDSTORES 2 4 40" xfId="7520"/>
    <cellStyle name="SHADEDSTORES 2 4 40 10" xfId="41290"/>
    <cellStyle name="SHADEDSTORES 2 4 40 2" xfId="41291"/>
    <cellStyle name="SHADEDSTORES 2 4 40 3" xfId="41292"/>
    <cellStyle name="SHADEDSTORES 2 4 40 4" xfId="41293"/>
    <cellStyle name="SHADEDSTORES 2 4 40 5" xfId="41294"/>
    <cellStyle name="SHADEDSTORES 2 4 40 6" xfId="41295"/>
    <cellStyle name="SHADEDSTORES 2 4 40 7" xfId="41296"/>
    <cellStyle name="SHADEDSTORES 2 4 40 8" xfId="41297"/>
    <cellStyle name="SHADEDSTORES 2 4 40 9" xfId="41298"/>
    <cellStyle name="SHADEDSTORES 2 4 41" xfId="7521"/>
    <cellStyle name="SHADEDSTORES 2 4 41 10" xfId="41299"/>
    <cellStyle name="SHADEDSTORES 2 4 41 2" xfId="41300"/>
    <cellStyle name="SHADEDSTORES 2 4 41 3" xfId="41301"/>
    <cellStyle name="SHADEDSTORES 2 4 41 4" xfId="41302"/>
    <cellStyle name="SHADEDSTORES 2 4 41 5" xfId="41303"/>
    <cellStyle name="SHADEDSTORES 2 4 41 6" xfId="41304"/>
    <cellStyle name="SHADEDSTORES 2 4 41 7" xfId="41305"/>
    <cellStyle name="SHADEDSTORES 2 4 41 8" xfId="41306"/>
    <cellStyle name="SHADEDSTORES 2 4 41 9" xfId="41307"/>
    <cellStyle name="SHADEDSTORES 2 4 42" xfId="7522"/>
    <cellStyle name="SHADEDSTORES 2 4 42 10" xfId="41308"/>
    <cellStyle name="SHADEDSTORES 2 4 42 2" xfId="41309"/>
    <cellStyle name="SHADEDSTORES 2 4 42 3" xfId="41310"/>
    <cellStyle name="SHADEDSTORES 2 4 42 4" xfId="41311"/>
    <cellStyle name="SHADEDSTORES 2 4 42 5" xfId="41312"/>
    <cellStyle name="SHADEDSTORES 2 4 42 6" xfId="41313"/>
    <cellStyle name="SHADEDSTORES 2 4 42 7" xfId="41314"/>
    <cellStyle name="SHADEDSTORES 2 4 42 8" xfId="41315"/>
    <cellStyle name="SHADEDSTORES 2 4 42 9" xfId="41316"/>
    <cellStyle name="SHADEDSTORES 2 4 43" xfId="7523"/>
    <cellStyle name="SHADEDSTORES 2 4 43 10" xfId="41317"/>
    <cellStyle name="SHADEDSTORES 2 4 43 2" xfId="41318"/>
    <cellStyle name="SHADEDSTORES 2 4 43 3" xfId="41319"/>
    <cellStyle name="SHADEDSTORES 2 4 43 4" xfId="41320"/>
    <cellStyle name="SHADEDSTORES 2 4 43 5" xfId="41321"/>
    <cellStyle name="SHADEDSTORES 2 4 43 6" xfId="41322"/>
    <cellStyle name="SHADEDSTORES 2 4 43 7" xfId="41323"/>
    <cellStyle name="SHADEDSTORES 2 4 43 8" xfId="41324"/>
    <cellStyle name="SHADEDSTORES 2 4 43 9" xfId="41325"/>
    <cellStyle name="SHADEDSTORES 2 4 44" xfId="7524"/>
    <cellStyle name="SHADEDSTORES 2 4 44 10" xfId="41326"/>
    <cellStyle name="SHADEDSTORES 2 4 44 2" xfId="41327"/>
    <cellStyle name="SHADEDSTORES 2 4 44 3" xfId="41328"/>
    <cellStyle name="SHADEDSTORES 2 4 44 4" xfId="41329"/>
    <cellStyle name="SHADEDSTORES 2 4 44 5" xfId="41330"/>
    <cellStyle name="SHADEDSTORES 2 4 44 6" xfId="41331"/>
    <cellStyle name="SHADEDSTORES 2 4 44 7" xfId="41332"/>
    <cellStyle name="SHADEDSTORES 2 4 44 8" xfId="41333"/>
    <cellStyle name="SHADEDSTORES 2 4 44 9" xfId="41334"/>
    <cellStyle name="SHADEDSTORES 2 4 45" xfId="7525"/>
    <cellStyle name="SHADEDSTORES 2 4 45 10" xfId="41335"/>
    <cellStyle name="SHADEDSTORES 2 4 45 2" xfId="41336"/>
    <cellStyle name="SHADEDSTORES 2 4 45 3" xfId="41337"/>
    <cellStyle name="SHADEDSTORES 2 4 45 4" xfId="41338"/>
    <cellStyle name="SHADEDSTORES 2 4 45 5" xfId="41339"/>
    <cellStyle name="SHADEDSTORES 2 4 45 6" xfId="41340"/>
    <cellStyle name="SHADEDSTORES 2 4 45 7" xfId="41341"/>
    <cellStyle name="SHADEDSTORES 2 4 45 8" xfId="41342"/>
    <cellStyle name="SHADEDSTORES 2 4 45 9" xfId="41343"/>
    <cellStyle name="SHADEDSTORES 2 4 46" xfId="7526"/>
    <cellStyle name="SHADEDSTORES 2 4 46 10" xfId="41344"/>
    <cellStyle name="SHADEDSTORES 2 4 46 2" xfId="41345"/>
    <cellStyle name="SHADEDSTORES 2 4 46 3" xfId="41346"/>
    <cellStyle name="SHADEDSTORES 2 4 46 4" xfId="41347"/>
    <cellStyle name="SHADEDSTORES 2 4 46 5" xfId="41348"/>
    <cellStyle name="SHADEDSTORES 2 4 46 6" xfId="41349"/>
    <cellStyle name="SHADEDSTORES 2 4 46 7" xfId="41350"/>
    <cellStyle name="SHADEDSTORES 2 4 46 8" xfId="41351"/>
    <cellStyle name="SHADEDSTORES 2 4 46 9" xfId="41352"/>
    <cellStyle name="SHADEDSTORES 2 4 47" xfId="7527"/>
    <cellStyle name="SHADEDSTORES 2 4 47 10" xfId="41353"/>
    <cellStyle name="SHADEDSTORES 2 4 47 2" xfId="41354"/>
    <cellStyle name="SHADEDSTORES 2 4 47 3" xfId="41355"/>
    <cellStyle name="SHADEDSTORES 2 4 47 4" xfId="41356"/>
    <cellStyle name="SHADEDSTORES 2 4 47 5" xfId="41357"/>
    <cellStyle name="SHADEDSTORES 2 4 47 6" xfId="41358"/>
    <cellStyle name="SHADEDSTORES 2 4 47 7" xfId="41359"/>
    <cellStyle name="SHADEDSTORES 2 4 47 8" xfId="41360"/>
    <cellStyle name="SHADEDSTORES 2 4 47 9" xfId="41361"/>
    <cellStyle name="SHADEDSTORES 2 4 48" xfId="7528"/>
    <cellStyle name="SHADEDSTORES 2 4 48 10" xfId="41362"/>
    <cellStyle name="SHADEDSTORES 2 4 48 2" xfId="41363"/>
    <cellStyle name="SHADEDSTORES 2 4 48 3" xfId="41364"/>
    <cellStyle name="SHADEDSTORES 2 4 48 4" xfId="41365"/>
    <cellStyle name="SHADEDSTORES 2 4 48 5" xfId="41366"/>
    <cellStyle name="SHADEDSTORES 2 4 48 6" xfId="41367"/>
    <cellStyle name="SHADEDSTORES 2 4 48 7" xfId="41368"/>
    <cellStyle name="SHADEDSTORES 2 4 48 8" xfId="41369"/>
    <cellStyle name="SHADEDSTORES 2 4 48 9" xfId="41370"/>
    <cellStyle name="SHADEDSTORES 2 4 49" xfId="7529"/>
    <cellStyle name="SHADEDSTORES 2 4 49 10" xfId="41371"/>
    <cellStyle name="SHADEDSTORES 2 4 49 2" xfId="41372"/>
    <cellStyle name="SHADEDSTORES 2 4 49 3" xfId="41373"/>
    <cellStyle name="SHADEDSTORES 2 4 49 4" xfId="41374"/>
    <cellStyle name="SHADEDSTORES 2 4 49 5" xfId="41375"/>
    <cellStyle name="SHADEDSTORES 2 4 49 6" xfId="41376"/>
    <cellStyle name="SHADEDSTORES 2 4 49 7" xfId="41377"/>
    <cellStyle name="SHADEDSTORES 2 4 49 8" xfId="41378"/>
    <cellStyle name="SHADEDSTORES 2 4 49 9" xfId="41379"/>
    <cellStyle name="SHADEDSTORES 2 4 5" xfId="2553"/>
    <cellStyle name="SHADEDSTORES 2 4 5 2" xfId="2554"/>
    <cellStyle name="SHADEDSTORES 2 4 5 2 2" xfId="12967"/>
    <cellStyle name="SHADEDSTORES 2 4 5 2_YL Capex Cashflow &amp; Dep" xfId="13540"/>
    <cellStyle name="SHADEDSTORES 2 4 5 3" xfId="12091"/>
    <cellStyle name="SHADEDSTORES 2 4 5 4" xfId="41380"/>
    <cellStyle name="SHADEDSTORES 2 4 5 5" xfId="41381"/>
    <cellStyle name="SHADEDSTORES 2 4 5 6" xfId="41382"/>
    <cellStyle name="SHADEDSTORES 2 4 5 7" xfId="41383"/>
    <cellStyle name="SHADEDSTORES 2 4 5 8" xfId="41384"/>
    <cellStyle name="SHADEDSTORES 2 4 5 9" xfId="41385"/>
    <cellStyle name="SHADEDSTORES 2 4 5_YL Capex Cashflow &amp; Dep" xfId="13539"/>
    <cellStyle name="SHADEDSTORES 2 4 50" xfId="7530"/>
    <cellStyle name="SHADEDSTORES 2 4 50 10" xfId="41386"/>
    <cellStyle name="SHADEDSTORES 2 4 50 2" xfId="41387"/>
    <cellStyle name="SHADEDSTORES 2 4 50 3" xfId="41388"/>
    <cellStyle name="SHADEDSTORES 2 4 50 4" xfId="41389"/>
    <cellStyle name="SHADEDSTORES 2 4 50 5" xfId="41390"/>
    <cellStyle name="SHADEDSTORES 2 4 50 6" xfId="41391"/>
    <cellStyle name="SHADEDSTORES 2 4 50 7" xfId="41392"/>
    <cellStyle name="SHADEDSTORES 2 4 50 8" xfId="41393"/>
    <cellStyle name="SHADEDSTORES 2 4 50 9" xfId="41394"/>
    <cellStyle name="SHADEDSTORES 2 4 51" xfId="7531"/>
    <cellStyle name="SHADEDSTORES 2 4 51 10" xfId="41395"/>
    <cellStyle name="SHADEDSTORES 2 4 51 2" xfId="41396"/>
    <cellStyle name="SHADEDSTORES 2 4 51 3" xfId="41397"/>
    <cellStyle name="SHADEDSTORES 2 4 51 4" xfId="41398"/>
    <cellStyle name="SHADEDSTORES 2 4 51 5" xfId="41399"/>
    <cellStyle name="SHADEDSTORES 2 4 51 6" xfId="41400"/>
    <cellStyle name="SHADEDSTORES 2 4 51 7" xfId="41401"/>
    <cellStyle name="SHADEDSTORES 2 4 51 8" xfId="41402"/>
    <cellStyle name="SHADEDSTORES 2 4 51 9" xfId="41403"/>
    <cellStyle name="SHADEDSTORES 2 4 52" xfId="7532"/>
    <cellStyle name="SHADEDSTORES 2 4 52 10" xfId="41404"/>
    <cellStyle name="SHADEDSTORES 2 4 52 2" xfId="41405"/>
    <cellStyle name="SHADEDSTORES 2 4 52 3" xfId="41406"/>
    <cellStyle name="SHADEDSTORES 2 4 52 4" xfId="41407"/>
    <cellStyle name="SHADEDSTORES 2 4 52 5" xfId="41408"/>
    <cellStyle name="SHADEDSTORES 2 4 52 6" xfId="41409"/>
    <cellStyle name="SHADEDSTORES 2 4 52 7" xfId="41410"/>
    <cellStyle name="SHADEDSTORES 2 4 52 8" xfId="41411"/>
    <cellStyle name="SHADEDSTORES 2 4 52 9" xfId="41412"/>
    <cellStyle name="SHADEDSTORES 2 4 53" xfId="7533"/>
    <cellStyle name="SHADEDSTORES 2 4 53 10" xfId="41413"/>
    <cellStyle name="SHADEDSTORES 2 4 53 2" xfId="41414"/>
    <cellStyle name="SHADEDSTORES 2 4 53 3" xfId="41415"/>
    <cellStyle name="SHADEDSTORES 2 4 53 4" xfId="41416"/>
    <cellStyle name="SHADEDSTORES 2 4 53 5" xfId="41417"/>
    <cellStyle name="SHADEDSTORES 2 4 53 6" xfId="41418"/>
    <cellStyle name="SHADEDSTORES 2 4 53 7" xfId="41419"/>
    <cellStyle name="SHADEDSTORES 2 4 53 8" xfId="41420"/>
    <cellStyle name="SHADEDSTORES 2 4 53 9" xfId="41421"/>
    <cellStyle name="SHADEDSTORES 2 4 54" xfId="7534"/>
    <cellStyle name="SHADEDSTORES 2 4 54 10" xfId="41422"/>
    <cellStyle name="SHADEDSTORES 2 4 54 2" xfId="41423"/>
    <cellStyle name="SHADEDSTORES 2 4 54 3" xfId="41424"/>
    <cellStyle name="SHADEDSTORES 2 4 54 4" xfId="41425"/>
    <cellStyle name="SHADEDSTORES 2 4 54 5" xfId="41426"/>
    <cellStyle name="SHADEDSTORES 2 4 54 6" xfId="41427"/>
    <cellStyle name="SHADEDSTORES 2 4 54 7" xfId="41428"/>
    <cellStyle name="SHADEDSTORES 2 4 54 8" xfId="41429"/>
    <cellStyle name="SHADEDSTORES 2 4 54 9" xfId="41430"/>
    <cellStyle name="SHADEDSTORES 2 4 55" xfId="7535"/>
    <cellStyle name="SHADEDSTORES 2 4 55 10" xfId="41431"/>
    <cellStyle name="SHADEDSTORES 2 4 55 2" xfId="41432"/>
    <cellStyle name="SHADEDSTORES 2 4 55 3" xfId="41433"/>
    <cellStyle name="SHADEDSTORES 2 4 55 4" xfId="41434"/>
    <cellStyle name="SHADEDSTORES 2 4 55 5" xfId="41435"/>
    <cellStyle name="SHADEDSTORES 2 4 55 6" xfId="41436"/>
    <cellStyle name="SHADEDSTORES 2 4 55 7" xfId="41437"/>
    <cellStyle name="SHADEDSTORES 2 4 55 8" xfId="41438"/>
    <cellStyle name="SHADEDSTORES 2 4 55 9" xfId="41439"/>
    <cellStyle name="SHADEDSTORES 2 4 56" xfId="7536"/>
    <cellStyle name="SHADEDSTORES 2 4 56 10" xfId="41440"/>
    <cellStyle name="SHADEDSTORES 2 4 56 2" xfId="41441"/>
    <cellStyle name="SHADEDSTORES 2 4 56 3" xfId="41442"/>
    <cellStyle name="SHADEDSTORES 2 4 56 4" xfId="41443"/>
    <cellStyle name="SHADEDSTORES 2 4 56 5" xfId="41444"/>
    <cellStyle name="SHADEDSTORES 2 4 56 6" xfId="41445"/>
    <cellStyle name="SHADEDSTORES 2 4 56 7" xfId="41446"/>
    <cellStyle name="SHADEDSTORES 2 4 56 8" xfId="41447"/>
    <cellStyle name="SHADEDSTORES 2 4 56 9" xfId="41448"/>
    <cellStyle name="SHADEDSTORES 2 4 57" xfId="7537"/>
    <cellStyle name="SHADEDSTORES 2 4 57 10" xfId="41449"/>
    <cellStyle name="SHADEDSTORES 2 4 57 2" xfId="41450"/>
    <cellStyle name="SHADEDSTORES 2 4 57 3" xfId="41451"/>
    <cellStyle name="SHADEDSTORES 2 4 57 4" xfId="41452"/>
    <cellStyle name="SHADEDSTORES 2 4 57 5" xfId="41453"/>
    <cellStyle name="SHADEDSTORES 2 4 57 6" xfId="41454"/>
    <cellStyle name="SHADEDSTORES 2 4 57 7" xfId="41455"/>
    <cellStyle name="SHADEDSTORES 2 4 57 8" xfId="41456"/>
    <cellStyle name="SHADEDSTORES 2 4 57 9" xfId="41457"/>
    <cellStyle name="SHADEDSTORES 2 4 58" xfId="7538"/>
    <cellStyle name="SHADEDSTORES 2 4 58 10" xfId="41458"/>
    <cellStyle name="SHADEDSTORES 2 4 58 2" xfId="41459"/>
    <cellStyle name="SHADEDSTORES 2 4 58 3" xfId="41460"/>
    <cellStyle name="SHADEDSTORES 2 4 58 4" xfId="41461"/>
    <cellStyle name="SHADEDSTORES 2 4 58 5" xfId="41462"/>
    <cellStyle name="SHADEDSTORES 2 4 58 6" xfId="41463"/>
    <cellStyle name="SHADEDSTORES 2 4 58 7" xfId="41464"/>
    <cellStyle name="SHADEDSTORES 2 4 58 8" xfId="41465"/>
    <cellStyle name="SHADEDSTORES 2 4 58 9" xfId="41466"/>
    <cellStyle name="SHADEDSTORES 2 4 59" xfId="7539"/>
    <cellStyle name="SHADEDSTORES 2 4 59 10" xfId="41467"/>
    <cellStyle name="SHADEDSTORES 2 4 59 2" xfId="41468"/>
    <cellStyle name="SHADEDSTORES 2 4 59 3" xfId="41469"/>
    <cellStyle name="SHADEDSTORES 2 4 59 4" xfId="41470"/>
    <cellStyle name="SHADEDSTORES 2 4 59 5" xfId="41471"/>
    <cellStyle name="SHADEDSTORES 2 4 59 6" xfId="41472"/>
    <cellStyle name="SHADEDSTORES 2 4 59 7" xfId="41473"/>
    <cellStyle name="SHADEDSTORES 2 4 59 8" xfId="41474"/>
    <cellStyle name="SHADEDSTORES 2 4 59 9" xfId="41475"/>
    <cellStyle name="SHADEDSTORES 2 4 6" xfId="2555"/>
    <cellStyle name="SHADEDSTORES 2 4 6 2" xfId="2556"/>
    <cellStyle name="SHADEDSTORES 2 4 6 2 2" xfId="13030"/>
    <cellStyle name="SHADEDSTORES 2 4 6 2_YL Capex Cashflow &amp; Dep" xfId="13542"/>
    <cellStyle name="SHADEDSTORES 2 4 6 3" xfId="2557"/>
    <cellStyle name="SHADEDSTORES 2 4 6 3 2" xfId="12776"/>
    <cellStyle name="SHADEDSTORES 2 4 6 3_YL Capex Cashflow &amp; Dep" xfId="13543"/>
    <cellStyle name="SHADEDSTORES 2 4 6 4" xfId="12417"/>
    <cellStyle name="SHADEDSTORES 2 4 6 5" xfId="41476"/>
    <cellStyle name="SHADEDSTORES 2 4 6 6" xfId="41477"/>
    <cellStyle name="SHADEDSTORES 2 4 6 7" xfId="41478"/>
    <cellStyle name="SHADEDSTORES 2 4 6 8" xfId="41479"/>
    <cellStyle name="SHADEDSTORES 2 4 6 9" xfId="41480"/>
    <cellStyle name="SHADEDSTORES 2 4 6_YL Capex Cashflow &amp; Dep" xfId="13541"/>
    <cellStyle name="SHADEDSTORES 2 4 60" xfId="7540"/>
    <cellStyle name="SHADEDSTORES 2 4 60 10" xfId="41481"/>
    <cellStyle name="SHADEDSTORES 2 4 60 2" xfId="41482"/>
    <cellStyle name="SHADEDSTORES 2 4 60 3" xfId="41483"/>
    <cellStyle name="SHADEDSTORES 2 4 60 4" xfId="41484"/>
    <cellStyle name="SHADEDSTORES 2 4 60 5" xfId="41485"/>
    <cellStyle name="SHADEDSTORES 2 4 60 6" xfId="41486"/>
    <cellStyle name="SHADEDSTORES 2 4 60 7" xfId="41487"/>
    <cellStyle name="SHADEDSTORES 2 4 60 8" xfId="41488"/>
    <cellStyle name="SHADEDSTORES 2 4 60 9" xfId="41489"/>
    <cellStyle name="SHADEDSTORES 2 4 61" xfId="7541"/>
    <cellStyle name="SHADEDSTORES 2 4 61 10" xfId="41490"/>
    <cellStyle name="SHADEDSTORES 2 4 61 2" xfId="41491"/>
    <cellStyle name="SHADEDSTORES 2 4 61 3" xfId="41492"/>
    <cellStyle name="SHADEDSTORES 2 4 61 4" xfId="41493"/>
    <cellStyle name="SHADEDSTORES 2 4 61 5" xfId="41494"/>
    <cellStyle name="SHADEDSTORES 2 4 61 6" xfId="41495"/>
    <cellStyle name="SHADEDSTORES 2 4 61 7" xfId="41496"/>
    <cellStyle name="SHADEDSTORES 2 4 61 8" xfId="41497"/>
    <cellStyle name="SHADEDSTORES 2 4 61 9" xfId="41498"/>
    <cellStyle name="SHADEDSTORES 2 4 62" xfId="7542"/>
    <cellStyle name="SHADEDSTORES 2 4 62 10" xfId="41499"/>
    <cellStyle name="SHADEDSTORES 2 4 62 2" xfId="41500"/>
    <cellStyle name="SHADEDSTORES 2 4 62 3" xfId="41501"/>
    <cellStyle name="SHADEDSTORES 2 4 62 4" xfId="41502"/>
    <cellStyle name="SHADEDSTORES 2 4 62 5" xfId="41503"/>
    <cellStyle name="SHADEDSTORES 2 4 62 6" xfId="41504"/>
    <cellStyle name="SHADEDSTORES 2 4 62 7" xfId="41505"/>
    <cellStyle name="SHADEDSTORES 2 4 62 8" xfId="41506"/>
    <cellStyle name="SHADEDSTORES 2 4 62 9" xfId="41507"/>
    <cellStyle name="SHADEDSTORES 2 4 63" xfId="7543"/>
    <cellStyle name="SHADEDSTORES 2 4 63 10" xfId="41508"/>
    <cellStyle name="SHADEDSTORES 2 4 63 2" xfId="41509"/>
    <cellStyle name="SHADEDSTORES 2 4 63 3" xfId="41510"/>
    <cellStyle name="SHADEDSTORES 2 4 63 4" xfId="41511"/>
    <cellStyle name="SHADEDSTORES 2 4 63 5" xfId="41512"/>
    <cellStyle name="SHADEDSTORES 2 4 63 6" xfId="41513"/>
    <cellStyle name="SHADEDSTORES 2 4 63 7" xfId="41514"/>
    <cellStyle name="SHADEDSTORES 2 4 63 8" xfId="41515"/>
    <cellStyle name="SHADEDSTORES 2 4 63 9" xfId="41516"/>
    <cellStyle name="SHADEDSTORES 2 4 64" xfId="7544"/>
    <cellStyle name="SHADEDSTORES 2 4 64 10" xfId="41517"/>
    <cellStyle name="SHADEDSTORES 2 4 64 2" xfId="41518"/>
    <cellStyle name="SHADEDSTORES 2 4 64 3" xfId="41519"/>
    <cellStyle name="SHADEDSTORES 2 4 64 4" xfId="41520"/>
    <cellStyle name="SHADEDSTORES 2 4 64 5" xfId="41521"/>
    <cellStyle name="SHADEDSTORES 2 4 64 6" xfId="41522"/>
    <cellStyle name="SHADEDSTORES 2 4 64 7" xfId="41523"/>
    <cellStyle name="SHADEDSTORES 2 4 64 8" xfId="41524"/>
    <cellStyle name="SHADEDSTORES 2 4 64 9" xfId="41525"/>
    <cellStyle name="SHADEDSTORES 2 4 65" xfId="7545"/>
    <cellStyle name="SHADEDSTORES 2 4 65 10" xfId="41526"/>
    <cellStyle name="SHADEDSTORES 2 4 65 2" xfId="41527"/>
    <cellStyle name="SHADEDSTORES 2 4 65 3" xfId="41528"/>
    <cellStyle name="SHADEDSTORES 2 4 65 4" xfId="41529"/>
    <cellStyle name="SHADEDSTORES 2 4 65 5" xfId="41530"/>
    <cellStyle name="SHADEDSTORES 2 4 65 6" xfId="41531"/>
    <cellStyle name="SHADEDSTORES 2 4 65 7" xfId="41532"/>
    <cellStyle name="SHADEDSTORES 2 4 65 8" xfId="41533"/>
    <cellStyle name="SHADEDSTORES 2 4 65 9" xfId="41534"/>
    <cellStyle name="SHADEDSTORES 2 4 66" xfId="7546"/>
    <cellStyle name="SHADEDSTORES 2 4 66 10" xfId="41535"/>
    <cellStyle name="SHADEDSTORES 2 4 66 2" xfId="41536"/>
    <cellStyle name="SHADEDSTORES 2 4 66 3" xfId="41537"/>
    <cellStyle name="SHADEDSTORES 2 4 66 4" xfId="41538"/>
    <cellStyle name="SHADEDSTORES 2 4 66 5" xfId="41539"/>
    <cellStyle name="SHADEDSTORES 2 4 66 6" xfId="41540"/>
    <cellStyle name="SHADEDSTORES 2 4 66 7" xfId="41541"/>
    <cellStyle name="SHADEDSTORES 2 4 66 8" xfId="41542"/>
    <cellStyle name="SHADEDSTORES 2 4 66 9" xfId="41543"/>
    <cellStyle name="SHADEDSTORES 2 4 67" xfId="7547"/>
    <cellStyle name="SHADEDSTORES 2 4 67 10" xfId="41544"/>
    <cellStyle name="SHADEDSTORES 2 4 67 2" xfId="41545"/>
    <cellStyle name="SHADEDSTORES 2 4 67 3" xfId="41546"/>
    <cellStyle name="SHADEDSTORES 2 4 67 4" xfId="41547"/>
    <cellStyle name="SHADEDSTORES 2 4 67 5" xfId="41548"/>
    <cellStyle name="SHADEDSTORES 2 4 67 6" xfId="41549"/>
    <cellStyle name="SHADEDSTORES 2 4 67 7" xfId="41550"/>
    <cellStyle name="SHADEDSTORES 2 4 67 8" xfId="41551"/>
    <cellStyle name="SHADEDSTORES 2 4 67 9" xfId="41552"/>
    <cellStyle name="SHADEDSTORES 2 4 68" xfId="7548"/>
    <cellStyle name="SHADEDSTORES 2 4 68 10" xfId="41553"/>
    <cellStyle name="SHADEDSTORES 2 4 68 2" xfId="41554"/>
    <cellStyle name="SHADEDSTORES 2 4 68 3" xfId="41555"/>
    <cellStyle name="SHADEDSTORES 2 4 68 4" xfId="41556"/>
    <cellStyle name="SHADEDSTORES 2 4 68 5" xfId="41557"/>
    <cellStyle name="SHADEDSTORES 2 4 68 6" xfId="41558"/>
    <cellStyle name="SHADEDSTORES 2 4 68 7" xfId="41559"/>
    <cellStyle name="SHADEDSTORES 2 4 68 8" xfId="41560"/>
    <cellStyle name="SHADEDSTORES 2 4 68 9" xfId="41561"/>
    <cellStyle name="SHADEDSTORES 2 4 69" xfId="7549"/>
    <cellStyle name="SHADEDSTORES 2 4 69 10" xfId="41562"/>
    <cellStyle name="SHADEDSTORES 2 4 69 2" xfId="41563"/>
    <cellStyle name="SHADEDSTORES 2 4 69 3" xfId="41564"/>
    <cellStyle name="SHADEDSTORES 2 4 69 4" xfId="41565"/>
    <cellStyle name="SHADEDSTORES 2 4 69 5" xfId="41566"/>
    <cellStyle name="SHADEDSTORES 2 4 69 6" xfId="41567"/>
    <cellStyle name="SHADEDSTORES 2 4 69 7" xfId="41568"/>
    <cellStyle name="SHADEDSTORES 2 4 69 8" xfId="41569"/>
    <cellStyle name="SHADEDSTORES 2 4 69 9" xfId="41570"/>
    <cellStyle name="SHADEDSTORES 2 4 7" xfId="7550"/>
    <cellStyle name="SHADEDSTORES 2 4 7 2" xfId="41571"/>
    <cellStyle name="SHADEDSTORES 2 4 7 3" xfId="41572"/>
    <cellStyle name="SHADEDSTORES 2 4 7 4" xfId="41573"/>
    <cellStyle name="SHADEDSTORES 2 4 7 5" xfId="41574"/>
    <cellStyle name="SHADEDSTORES 2 4 7 6" xfId="41575"/>
    <cellStyle name="SHADEDSTORES 2 4 7 7" xfId="41576"/>
    <cellStyle name="SHADEDSTORES 2 4 7 8" xfId="41577"/>
    <cellStyle name="SHADEDSTORES 2 4 7 9" xfId="41578"/>
    <cellStyle name="SHADEDSTORES 2 4 70" xfId="7551"/>
    <cellStyle name="SHADEDSTORES 2 4 70 10" xfId="41579"/>
    <cellStyle name="SHADEDSTORES 2 4 70 2" xfId="41580"/>
    <cellStyle name="SHADEDSTORES 2 4 70 3" xfId="41581"/>
    <cellStyle name="SHADEDSTORES 2 4 70 4" xfId="41582"/>
    <cellStyle name="SHADEDSTORES 2 4 70 5" xfId="41583"/>
    <cellStyle name="SHADEDSTORES 2 4 70 6" xfId="41584"/>
    <cellStyle name="SHADEDSTORES 2 4 70 7" xfId="41585"/>
    <cellStyle name="SHADEDSTORES 2 4 70 8" xfId="41586"/>
    <cellStyle name="SHADEDSTORES 2 4 70 9" xfId="41587"/>
    <cellStyle name="SHADEDSTORES 2 4 71" xfId="7552"/>
    <cellStyle name="SHADEDSTORES 2 4 71 10" xfId="41588"/>
    <cellStyle name="SHADEDSTORES 2 4 71 2" xfId="41589"/>
    <cellStyle name="SHADEDSTORES 2 4 71 3" xfId="41590"/>
    <cellStyle name="SHADEDSTORES 2 4 71 4" xfId="41591"/>
    <cellStyle name="SHADEDSTORES 2 4 71 5" xfId="41592"/>
    <cellStyle name="SHADEDSTORES 2 4 71 6" xfId="41593"/>
    <cellStyle name="SHADEDSTORES 2 4 71 7" xfId="41594"/>
    <cellStyle name="SHADEDSTORES 2 4 71 8" xfId="41595"/>
    <cellStyle name="SHADEDSTORES 2 4 71 9" xfId="41596"/>
    <cellStyle name="SHADEDSTORES 2 4 72" xfId="7553"/>
    <cellStyle name="SHADEDSTORES 2 4 72 10" xfId="41597"/>
    <cellStyle name="SHADEDSTORES 2 4 72 2" xfId="41598"/>
    <cellStyle name="SHADEDSTORES 2 4 72 3" xfId="41599"/>
    <cellStyle name="SHADEDSTORES 2 4 72 4" xfId="41600"/>
    <cellStyle name="SHADEDSTORES 2 4 72 5" xfId="41601"/>
    <cellStyle name="SHADEDSTORES 2 4 72 6" xfId="41602"/>
    <cellStyle name="SHADEDSTORES 2 4 72 7" xfId="41603"/>
    <cellStyle name="SHADEDSTORES 2 4 72 8" xfId="41604"/>
    <cellStyle name="SHADEDSTORES 2 4 72 9" xfId="41605"/>
    <cellStyle name="SHADEDSTORES 2 4 73" xfId="7554"/>
    <cellStyle name="SHADEDSTORES 2 4 73 10" xfId="41606"/>
    <cellStyle name="SHADEDSTORES 2 4 73 2" xfId="41607"/>
    <cellStyle name="SHADEDSTORES 2 4 73 3" xfId="41608"/>
    <cellStyle name="SHADEDSTORES 2 4 73 4" xfId="41609"/>
    <cellStyle name="SHADEDSTORES 2 4 73 5" xfId="41610"/>
    <cellStyle name="SHADEDSTORES 2 4 73 6" xfId="41611"/>
    <cellStyle name="SHADEDSTORES 2 4 73 7" xfId="41612"/>
    <cellStyle name="SHADEDSTORES 2 4 73 8" xfId="41613"/>
    <cellStyle name="SHADEDSTORES 2 4 73 9" xfId="41614"/>
    <cellStyle name="SHADEDSTORES 2 4 74" xfId="7555"/>
    <cellStyle name="SHADEDSTORES 2 4 74 10" xfId="41615"/>
    <cellStyle name="SHADEDSTORES 2 4 74 2" xfId="41616"/>
    <cellStyle name="SHADEDSTORES 2 4 74 3" xfId="41617"/>
    <cellStyle name="SHADEDSTORES 2 4 74 4" xfId="41618"/>
    <cellStyle name="SHADEDSTORES 2 4 74 5" xfId="41619"/>
    <cellStyle name="SHADEDSTORES 2 4 74 6" xfId="41620"/>
    <cellStyle name="SHADEDSTORES 2 4 74 7" xfId="41621"/>
    <cellStyle name="SHADEDSTORES 2 4 74 8" xfId="41622"/>
    <cellStyle name="SHADEDSTORES 2 4 74 9" xfId="41623"/>
    <cellStyle name="SHADEDSTORES 2 4 75" xfId="7556"/>
    <cellStyle name="SHADEDSTORES 2 4 75 10" xfId="41624"/>
    <cellStyle name="SHADEDSTORES 2 4 75 2" xfId="41625"/>
    <cellStyle name="SHADEDSTORES 2 4 75 3" xfId="41626"/>
    <cellStyle name="SHADEDSTORES 2 4 75 4" xfId="41627"/>
    <cellStyle name="SHADEDSTORES 2 4 75 5" xfId="41628"/>
    <cellStyle name="SHADEDSTORES 2 4 75 6" xfId="41629"/>
    <cellStyle name="SHADEDSTORES 2 4 75 7" xfId="41630"/>
    <cellStyle name="SHADEDSTORES 2 4 75 8" xfId="41631"/>
    <cellStyle name="SHADEDSTORES 2 4 75 9" xfId="41632"/>
    <cellStyle name="SHADEDSTORES 2 4 76" xfId="7557"/>
    <cellStyle name="SHADEDSTORES 2 4 76 10" xfId="41633"/>
    <cellStyle name="SHADEDSTORES 2 4 76 2" xfId="41634"/>
    <cellStyle name="SHADEDSTORES 2 4 76 3" xfId="41635"/>
    <cellStyle name="SHADEDSTORES 2 4 76 4" xfId="41636"/>
    <cellStyle name="SHADEDSTORES 2 4 76 5" xfId="41637"/>
    <cellStyle name="SHADEDSTORES 2 4 76 6" xfId="41638"/>
    <cellStyle name="SHADEDSTORES 2 4 76 7" xfId="41639"/>
    <cellStyle name="SHADEDSTORES 2 4 76 8" xfId="41640"/>
    <cellStyle name="SHADEDSTORES 2 4 76 9" xfId="41641"/>
    <cellStyle name="SHADEDSTORES 2 4 77" xfId="7558"/>
    <cellStyle name="SHADEDSTORES 2 4 77 10" xfId="41642"/>
    <cellStyle name="SHADEDSTORES 2 4 77 2" xfId="41643"/>
    <cellStyle name="SHADEDSTORES 2 4 77 3" xfId="41644"/>
    <cellStyle name="SHADEDSTORES 2 4 77 4" xfId="41645"/>
    <cellStyle name="SHADEDSTORES 2 4 77 5" xfId="41646"/>
    <cellStyle name="SHADEDSTORES 2 4 77 6" xfId="41647"/>
    <cellStyle name="SHADEDSTORES 2 4 77 7" xfId="41648"/>
    <cellStyle name="SHADEDSTORES 2 4 77 8" xfId="41649"/>
    <cellStyle name="SHADEDSTORES 2 4 77 9" xfId="41650"/>
    <cellStyle name="SHADEDSTORES 2 4 78" xfId="7559"/>
    <cellStyle name="SHADEDSTORES 2 4 78 10" xfId="41651"/>
    <cellStyle name="SHADEDSTORES 2 4 78 2" xfId="41652"/>
    <cellStyle name="SHADEDSTORES 2 4 78 3" xfId="41653"/>
    <cellStyle name="SHADEDSTORES 2 4 78 4" xfId="41654"/>
    <cellStyle name="SHADEDSTORES 2 4 78 5" xfId="41655"/>
    <cellStyle name="SHADEDSTORES 2 4 78 6" xfId="41656"/>
    <cellStyle name="SHADEDSTORES 2 4 78 7" xfId="41657"/>
    <cellStyle name="SHADEDSTORES 2 4 78 8" xfId="41658"/>
    <cellStyle name="SHADEDSTORES 2 4 78 9" xfId="41659"/>
    <cellStyle name="SHADEDSTORES 2 4 79" xfId="7560"/>
    <cellStyle name="SHADEDSTORES 2 4 79 10" xfId="41660"/>
    <cellStyle name="SHADEDSTORES 2 4 79 2" xfId="41661"/>
    <cellStyle name="SHADEDSTORES 2 4 79 3" xfId="41662"/>
    <cellStyle name="SHADEDSTORES 2 4 79 4" xfId="41663"/>
    <cellStyle name="SHADEDSTORES 2 4 79 5" xfId="41664"/>
    <cellStyle name="SHADEDSTORES 2 4 79 6" xfId="41665"/>
    <cellStyle name="SHADEDSTORES 2 4 79 7" xfId="41666"/>
    <cellStyle name="SHADEDSTORES 2 4 79 8" xfId="41667"/>
    <cellStyle name="SHADEDSTORES 2 4 79 9" xfId="41668"/>
    <cellStyle name="SHADEDSTORES 2 4 8" xfId="7561"/>
    <cellStyle name="SHADEDSTORES 2 4 8 2" xfId="41669"/>
    <cellStyle name="SHADEDSTORES 2 4 8 3" xfId="41670"/>
    <cellStyle name="SHADEDSTORES 2 4 8 4" xfId="41671"/>
    <cellStyle name="SHADEDSTORES 2 4 8 5" xfId="41672"/>
    <cellStyle name="SHADEDSTORES 2 4 8 6" xfId="41673"/>
    <cellStyle name="SHADEDSTORES 2 4 8 7" xfId="41674"/>
    <cellStyle name="SHADEDSTORES 2 4 8 8" xfId="41675"/>
    <cellStyle name="SHADEDSTORES 2 4 8 9" xfId="41676"/>
    <cellStyle name="SHADEDSTORES 2 4 80" xfId="7562"/>
    <cellStyle name="SHADEDSTORES 2 4 80 10" xfId="41677"/>
    <cellStyle name="SHADEDSTORES 2 4 80 2" xfId="41678"/>
    <cellStyle name="SHADEDSTORES 2 4 80 3" xfId="41679"/>
    <cellStyle name="SHADEDSTORES 2 4 80 4" xfId="41680"/>
    <cellStyle name="SHADEDSTORES 2 4 80 5" xfId="41681"/>
    <cellStyle name="SHADEDSTORES 2 4 80 6" xfId="41682"/>
    <cellStyle name="SHADEDSTORES 2 4 80 7" xfId="41683"/>
    <cellStyle name="SHADEDSTORES 2 4 80 8" xfId="41684"/>
    <cellStyle name="SHADEDSTORES 2 4 80 9" xfId="41685"/>
    <cellStyle name="SHADEDSTORES 2 4 81" xfId="7563"/>
    <cellStyle name="SHADEDSTORES 2 4 81 10" xfId="41686"/>
    <cellStyle name="SHADEDSTORES 2 4 81 2" xfId="41687"/>
    <cellStyle name="SHADEDSTORES 2 4 81 3" xfId="41688"/>
    <cellStyle name="SHADEDSTORES 2 4 81 4" xfId="41689"/>
    <cellStyle name="SHADEDSTORES 2 4 81 5" xfId="41690"/>
    <cellStyle name="SHADEDSTORES 2 4 81 6" xfId="41691"/>
    <cellStyle name="SHADEDSTORES 2 4 81 7" xfId="41692"/>
    <cellStyle name="SHADEDSTORES 2 4 81 8" xfId="41693"/>
    <cellStyle name="SHADEDSTORES 2 4 81 9" xfId="41694"/>
    <cellStyle name="SHADEDSTORES 2 4 82" xfId="7564"/>
    <cellStyle name="SHADEDSTORES 2 4 82 10" xfId="41695"/>
    <cellStyle name="SHADEDSTORES 2 4 82 2" xfId="41696"/>
    <cellStyle name="SHADEDSTORES 2 4 82 3" xfId="41697"/>
    <cellStyle name="SHADEDSTORES 2 4 82 4" xfId="41698"/>
    <cellStyle name="SHADEDSTORES 2 4 82 5" xfId="41699"/>
    <cellStyle name="SHADEDSTORES 2 4 82 6" xfId="41700"/>
    <cellStyle name="SHADEDSTORES 2 4 82 7" xfId="41701"/>
    <cellStyle name="SHADEDSTORES 2 4 82 8" xfId="41702"/>
    <cellStyle name="SHADEDSTORES 2 4 82 9" xfId="41703"/>
    <cellStyle name="SHADEDSTORES 2 4 83" xfId="7565"/>
    <cellStyle name="SHADEDSTORES 2 4 83 10" xfId="41704"/>
    <cellStyle name="SHADEDSTORES 2 4 83 2" xfId="41705"/>
    <cellStyle name="SHADEDSTORES 2 4 83 3" xfId="41706"/>
    <cellStyle name="SHADEDSTORES 2 4 83 4" xfId="41707"/>
    <cellStyle name="SHADEDSTORES 2 4 83 5" xfId="41708"/>
    <cellStyle name="SHADEDSTORES 2 4 83 6" xfId="41709"/>
    <cellStyle name="SHADEDSTORES 2 4 83 7" xfId="41710"/>
    <cellStyle name="SHADEDSTORES 2 4 83 8" xfId="41711"/>
    <cellStyle name="SHADEDSTORES 2 4 83 9" xfId="41712"/>
    <cellStyle name="SHADEDSTORES 2 4 84" xfId="7566"/>
    <cellStyle name="SHADEDSTORES 2 4 84 10" xfId="41713"/>
    <cellStyle name="SHADEDSTORES 2 4 84 2" xfId="41714"/>
    <cellStyle name="SHADEDSTORES 2 4 84 3" xfId="41715"/>
    <cellStyle name="SHADEDSTORES 2 4 84 4" xfId="41716"/>
    <cellStyle name="SHADEDSTORES 2 4 84 5" xfId="41717"/>
    <cellStyle name="SHADEDSTORES 2 4 84 6" xfId="41718"/>
    <cellStyle name="SHADEDSTORES 2 4 84 7" xfId="41719"/>
    <cellStyle name="SHADEDSTORES 2 4 84 8" xfId="41720"/>
    <cellStyle name="SHADEDSTORES 2 4 84 9" xfId="41721"/>
    <cellStyle name="SHADEDSTORES 2 4 85" xfId="7567"/>
    <cellStyle name="SHADEDSTORES 2 4 85 10" xfId="41722"/>
    <cellStyle name="SHADEDSTORES 2 4 85 2" xfId="41723"/>
    <cellStyle name="SHADEDSTORES 2 4 85 3" xfId="41724"/>
    <cellStyle name="SHADEDSTORES 2 4 85 4" xfId="41725"/>
    <cellStyle name="SHADEDSTORES 2 4 85 5" xfId="41726"/>
    <cellStyle name="SHADEDSTORES 2 4 85 6" xfId="41727"/>
    <cellStyle name="SHADEDSTORES 2 4 85 7" xfId="41728"/>
    <cellStyle name="SHADEDSTORES 2 4 85 8" xfId="41729"/>
    <cellStyle name="SHADEDSTORES 2 4 85 9" xfId="41730"/>
    <cellStyle name="SHADEDSTORES 2 4 86" xfId="7568"/>
    <cellStyle name="SHADEDSTORES 2 4 86 10" xfId="41731"/>
    <cellStyle name="SHADEDSTORES 2 4 86 2" xfId="41732"/>
    <cellStyle name="SHADEDSTORES 2 4 86 3" xfId="41733"/>
    <cellStyle name="SHADEDSTORES 2 4 86 4" xfId="41734"/>
    <cellStyle name="SHADEDSTORES 2 4 86 5" xfId="41735"/>
    <cellStyle name="SHADEDSTORES 2 4 86 6" xfId="41736"/>
    <cellStyle name="SHADEDSTORES 2 4 86 7" xfId="41737"/>
    <cellStyle name="SHADEDSTORES 2 4 86 8" xfId="41738"/>
    <cellStyle name="SHADEDSTORES 2 4 86 9" xfId="41739"/>
    <cellStyle name="SHADEDSTORES 2 4 87" xfId="7569"/>
    <cellStyle name="SHADEDSTORES 2 4 87 10" xfId="41740"/>
    <cellStyle name="SHADEDSTORES 2 4 87 2" xfId="41741"/>
    <cellStyle name="SHADEDSTORES 2 4 87 3" xfId="41742"/>
    <cellStyle name="SHADEDSTORES 2 4 87 4" xfId="41743"/>
    <cellStyle name="SHADEDSTORES 2 4 87 5" xfId="41744"/>
    <cellStyle name="SHADEDSTORES 2 4 87 6" xfId="41745"/>
    <cellStyle name="SHADEDSTORES 2 4 87 7" xfId="41746"/>
    <cellStyle name="SHADEDSTORES 2 4 87 8" xfId="41747"/>
    <cellStyle name="SHADEDSTORES 2 4 87 9" xfId="41748"/>
    <cellStyle name="SHADEDSTORES 2 4 88" xfId="7570"/>
    <cellStyle name="SHADEDSTORES 2 4 88 10" xfId="41749"/>
    <cellStyle name="SHADEDSTORES 2 4 88 2" xfId="41750"/>
    <cellStyle name="SHADEDSTORES 2 4 88 3" xfId="41751"/>
    <cellStyle name="SHADEDSTORES 2 4 88 4" xfId="41752"/>
    <cellStyle name="SHADEDSTORES 2 4 88 5" xfId="41753"/>
    <cellStyle name="SHADEDSTORES 2 4 88 6" xfId="41754"/>
    <cellStyle name="SHADEDSTORES 2 4 88 7" xfId="41755"/>
    <cellStyle name="SHADEDSTORES 2 4 88 8" xfId="41756"/>
    <cellStyle name="SHADEDSTORES 2 4 88 9" xfId="41757"/>
    <cellStyle name="SHADEDSTORES 2 4 89" xfId="7571"/>
    <cellStyle name="SHADEDSTORES 2 4 89 10" xfId="41758"/>
    <cellStyle name="SHADEDSTORES 2 4 89 2" xfId="41759"/>
    <cellStyle name="SHADEDSTORES 2 4 89 3" xfId="41760"/>
    <cellStyle name="SHADEDSTORES 2 4 89 4" xfId="41761"/>
    <cellStyle name="SHADEDSTORES 2 4 89 5" xfId="41762"/>
    <cellStyle name="SHADEDSTORES 2 4 89 6" xfId="41763"/>
    <cellStyle name="SHADEDSTORES 2 4 89 7" xfId="41764"/>
    <cellStyle name="SHADEDSTORES 2 4 89 8" xfId="41765"/>
    <cellStyle name="SHADEDSTORES 2 4 89 9" xfId="41766"/>
    <cellStyle name="SHADEDSTORES 2 4 9" xfId="7572"/>
    <cellStyle name="SHADEDSTORES 2 4 9 2" xfId="41767"/>
    <cellStyle name="SHADEDSTORES 2 4 9 3" xfId="41768"/>
    <cellStyle name="SHADEDSTORES 2 4 9 4" xfId="41769"/>
    <cellStyle name="SHADEDSTORES 2 4 9 5" xfId="41770"/>
    <cellStyle name="SHADEDSTORES 2 4 9 6" xfId="41771"/>
    <cellStyle name="SHADEDSTORES 2 4 9 7" xfId="41772"/>
    <cellStyle name="SHADEDSTORES 2 4 9 8" xfId="41773"/>
    <cellStyle name="SHADEDSTORES 2 4 9 9" xfId="41774"/>
    <cellStyle name="SHADEDSTORES 2 4 90" xfId="7573"/>
    <cellStyle name="SHADEDSTORES 2 4 90 10" xfId="41775"/>
    <cellStyle name="SHADEDSTORES 2 4 90 2" xfId="41776"/>
    <cellStyle name="SHADEDSTORES 2 4 90 3" xfId="41777"/>
    <cellStyle name="SHADEDSTORES 2 4 90 4" xfId="41778"/>
    <cellStyle name="SHADEDSTORES 2 4 90 5" xfId="41779"/>
    <cellStyle name="SHADEDSTORES 2 4 90 6" xfId="41780"/>
    <cellStyle name="SHADEDSTORES 2 4 90 7" xfId="41781"/>
    <cellStyle name="SHADEDSTORES 2 4 90 8" xfId="41782"/>
    <cellStyle name="SHADEDSTORES 2 4 90 9" xfId="41783"/>
    <cellStyle name="SHADEDSTORES 2 4 91" xfId="7574"/>
    <cellStyle name="SHADEDSTORES 2 4 91 10" xfId="41784"/>
    <cellStyle name="SHADEDSTORES 2 4 91 2" xfId="41785"/>
    <cellStyle name="SHADEDSTORES 2 4 91 3" xfId="41786"/>
    <cellStyle name="SHADEDSTORES 2 4 91 4" xfId="41787"/>
    <cellStyle name="SHADEDSTORES 2 4 91 5" xfId="41788"/>
    <cellStyle name="SHADEDSTORES 2 4 91 6" xfId="41789"/>
    <cellStyle name="SHADEDSTORES 2 4 91 7" xfId="41790"/>
    <cellStyle name="SHADEDSTORES 2 4 91 8" xfId="41791"/>
    <cellStyle name="SHADEDSTORES 2 4 91 9" xfId="41792"/>
    <cellStyle name="SHADEDSTORES 2 4 92" xfId="7575"/>
    <cellStyle name="SHADEDSTORES 2 4 92 10" xfId="41793"/>
    <cellStyle name="SHADEDSTORES 2 4 92 2" xfId="41794"/>
    <cellStyle name="SHADEDSTORES 2 4 92 3" xfId="41795"/>
    <cellStyle name="SHADEDSTORES 2 4 92 4" xfId="41796"/>
    <cellStyle name="SHADEDSTORES 2 4 92 5" xfId="41797"/>
    <cellStyle name="SHADEDSTORES 2 4 92 6" xfId="41798"/>
    <cellStyle name="SHADEDSTORES 2 4 92 7" xfId="41799"/>
    <cellStyle name="SHADEDSTORES 2 4 92 8" xfId="41800"/>
    <cellStyle name="SHADEDSTORES 2 4 92 9" xfId="41801"/>
    <cellStyle name="SHADEDSTORES 2 4 93" xfId="7576"/>
    <cellStyle name="SHADEDSTORES 2 4 93 2" xfId="41802"/>
    <cellStyle name="SHADEDSTORES 2 4 93 3" xfId="41803"/>
    <cellStyle name="SHADEDSTORES 2 4 93 4" xfId="41804"/>
    <cellStyle name="SHADEDSTORES 2 4 93 5" xfId="41805"/>
    <cellStyle name="SHADEDSTORES 2 4 93 6" xfId="41806"/>
    <cellStyle name="SHADEDSTORES 2 4 93 7" xfId="41807"/>
    <cellStyle name="SHADEDSTORES 2 4 93 8" xfId="41808"/>
    <cellStyle name="SHADEDSTORES 2 4 93 9" xfId="41809"/>
    <cellStyle name="SHADEDSTORES 2 4 94" xfId="11480"/>
    <cellStyle name="SHADEDSTORES 2 4 95" xfId="41810"/>
    <cellStyle name="SHADEDSTORES 2 4 96" xfId="41811"/>
    <cellStyle name="SHADEDSTORES 2 4 97" xfId="41812"/>
    <cellStyle name="SHADEDSTORES 2 4 98" xfId="41813"/>
    <cellStyle name="SHADEDSTORES 2 4 99" xfId="41814"/>
    <cellStyle name="SHADEDSTORES 2 4_Cashflow trend" xfId="2558"/>
    <cellStyle name="SHADEDSTORES 2 40" xfId="7577"/>
    <cellStyle name="SHADEDSTORES 2 40 10" xfId="41815"/>
    <cellStyle name="SHADEDSTORES 2 40 2" xfId="41816"/>
    <cellStyle name="SHADEDSTORES 2 40 3" xfId="41817"/>
    <cellStyle name="SHADEDSTORES 2 40 4" xfId="41818"/>
    <cellStyle name="SHADEDSTORES 2 40 5" xfId="41819"/>
    <cellStyle name="SHADEDSTORES 2 40 6" xfId="41820"/>
    <cellStyle name="SHADEDSTORES 2 40 7" xfId="41821"/>
    <cellStyle name="SHADEDSTORES 2 40 8" xfId="41822"/>
    <cellStyle name="SHADEDSTORES 2 40 9" xfId="41823"/>
    <cellStyle name="SHADEDSTORES 2 41" xfId="7578"/>
    <cellStyle name="SHADEDSTORES 2 41 10" xfId="41824"/>
    <cellStyle name="SHADEDSTORES 2 41 2" xfId="41825"/>
    <cellStyle name="SHADEDSTORES 2 41 3" xfId="41826"/>
    <cellStyle name="SHADEDSTORES 2 41 4" xfId="41827"/>
    <cellStyle name="SHADEDSTORES 2 41 5" xfId="41828"/>
    <cellStyle name="SHADEDSTORES 2 41 6" xfId="41829"/>
    <cellStyle name="SHADEDSTORES 2 41 7" xfId="41830"/>
    <cellStyle name="SHADEDSTORES 2 41 8" xfId="41831"/>
    <cellStyle name="SHADEDSTORES 2 41 9" xfId="41832"/>
    <cellStyle name="SHADEDSTORES 2 42" xfId="7579"/>
    <cellStyle name="SHADEDSTORES 2 42 10" xfId="41833"/>
    <cellStyle name="SHADEDSTORES 2 42 2" xfId="41834"/>
    <cellStyle name="SHADEDSTORES 2 42 3" xfId="41835"/>
    <cellStyle name="SHADEDSTORES 2 42 4" xfId="41836"/>
    <cellStyle name="SHADEDSTORES 2 42 5" xfId="41837"/>
    <cellStyle name="SHADEDSTORES 2 42 6" xfId="41838"/>
    <cellStyle name="SHADEDSTORES 2 42 7" xfId="41839"/>
    <cellStyle name="SHADEDSTORES 2 42 8" xfId="41840"/>
    <cellStyle name="SHADEDSTORES 2 42 9" xfId="41841"/>
    <cellStyle name="SHADEDSTORES 2 43" xfId="7580"/>
    <cellStyle name="SHADEDSTORES 2 43 10" xfId="41842"/>
    <cellStyle name="SHADEDSTORES 2 43 2" xfId="41843"/>
    <cellStyle name="SHADEDSTORES 2 43 3" xfId="41844"/>
    <cellStyle name="SHADEDSTORES 2 43 4" xfId="41845"/>
    <cellStyle name="SHADEDSTORES 2 43 5" xfId="41846"/>
    <cellStyle name="SHADEDSTORES 2 43 6" xfId="41847"/>
    <cellStyle name="SHADEDSTORES 2 43 7" xfId="41848"/>
    <cellStyle name="SHADEDSTORES 2 43 8" xfId="41849"/>
    <cellStyle name="SHADEDSTORES 2 43 9" xfId="41850"/>
    <cellStyle name="SHADEDSTORES 2 44" xfId="7581"/>
    <cellStyle name="SHADEDSTORES 2 44 10" xfId="41851"/>
    <cellStyle name="SHADEDSTORES 2 44 2" xfId="41852"/>
    <cellStyle name="SHADEDSTORES 2 44 3" xfId="41853"/>
    <cellStyle name="SHADEDSTORES 2 44 4" xfId="41854"/>
    <cellStyle name="SHADEDSTORES 2 44 5" xfId="41855"/>
    <cellStyle name="SHADEDSTORES 2 44 6" xfId="41856"/>
    <cellStyle name="SHADEDSTORES 2 44 7" xfId="41857"/>
    <cellStyle name="SHADEDSTORES 2 44 8" xfId="41858"/>
    <cellStyle name="SHADEDSTORES 2 44 9" xfId="41859"/>
    <cellStyle name="SHADEDSTORES 2 45" xfId="7582"/>
    <cellStyle name="SHADEDSTORES 2 45 10" xfId="41860"/>
    <cellStyle name="SHADEDSTORES 2 45 2" xfId="41861"/>
    <cellStyle name="SHADEDSTORES 2 45 3" xfId="41862"/>
    <cellStyle name="SHADEDSTORES 2 45 4" xfId="41863"/>
    <cellStyle name="SHADEDSTORES 2 45 5" xfId="41864"/>
    <cellStyle name="SHADEDSTORES 2 45 6" xfId="41865"/>
    <cellStyle name="SHADEDSTORES 2 45 7" xfId="41866"/>
    <cellStyle name="SHADEDSTORES 2 45 8" xfId="41867"/>
    <cellStyle name="SHADEDSTORES 2 45 9" xfId="41868"/>
    <cellStyle name="SHADEDSTORES 2 46" xfId="7583"/>
    <cellStyle name="SHADEDSTORES 2 46 10" xfId="41869"/>
    <cellStyle name="SHADEDSTORES 2 46 2" xfId="41870"/>
    <cellStyle name="SHADEDSTORES 2 46 3" xfId="41871"/>
    <cellStyle name="SHADEDSTORES 2 46 4" xfId="41872"/>
    <cellStyle name="SHADEDSTORES 2 46 5" xfId="41873"/>
    <cellStyle name="SHADEDSTORES 2 46 6" xfId="41874"/>
    <cellStyle name="SHADEDSTORES 2 46 7" xfId="41875"/>
    <cellStyle name="SHADEDSTORES 2 46 8" xfId="41876"/>
    <cellStyle name="SHADEDSTORES 2 46 9" xfId="41877"/>
    <cellStyle name="SHADEDSTORES 2 47" xfId="7584"/>
    <cellStyle name="SHADEDSTORES 2 47 10" xfId="41878"/>
    <cellStyle name="SHADEDSTORES 2 47 2" xfId="41879"/>
    <cellStyle name="SHADEDSTORES 2 47 3" xfId="41880"/>
    <cellStyle name="SHADEDSTORES 2 47 4" xfId="41881"/>
    <cellStyle name="SHADEDSTORES 2 47 5" xfId="41882"/>
    <cellStyle name="SHADEDSTORES 2 47 6" xfId="41883"/>
    <cellStyle name="SHADEDSTORES 2 47 7" xfId="41884"/>
    <cellStyle name="SHADEDSTORES 2 47 8" xfId="41885"/>
    <cellStyle name="SHADEDSTORES 2 47 9" xfId="41886"/>
    <cellStyle name="SHADEDSTORES 2 48" xfId="7585"/>
    <cellStyle name="SHADEDSTORES 2 48 10" xfId="41887"/>
    <cellStyle name="SHADEDSTORES 2 48 2" xfId="41888"/>
    <cellStyle name="SHADEDSTORES 2 48 3" xfId="41889"/>
    <cellStyle name="SHADEDSTORES 2 48 4" xfId="41890"/>
    <cellStyle name="SHADEDSTORES 2 48 5" xfId="41891"/>
    <cellStyle name="SHADEDSTORES 2 48 6" xfId="41892"/>
    <cellStyle name="SHADEDSTORES 2 48 7" xfId="41893"/>
    <cellStyle name="SHADEDSTORES 2 48 8" xfId="41894"/>
    <cellStyle name="SHADEDSTORES 2 48 9" xfId="41895"/>
    <cellStyle name="SHADEDSTORES 2 49" xfId="7586"/>
    <cellStyle name="SHADEDSTORES 2 49 10" xfId="41896"/>
    <cellStyle name="SHADEDSTORES 2 49 2" xfId="41897"/>
    <cellStyle name="SHADEDSTORES 2 49 3" xfId="41898"/>
    <cellStyle name="SHADEDSTORES 2 49 4" xfId="41899"/>
    <cellStyle name="SHADEDSTORES 2 49 5" xfId="41900"/>
    <cellStyle name="SHADEDSTORES 2 49 6" xfId="41901"/>
    <cellStyle name="SHADEDSTORES 2 49 7" xfId="41902"/>
    <cellStyle name="SHADEDSTORES 2 49 8" xfId="41903"/>
    <cellStyle name="SHADEDSTORES 2 49 9" xfId="41904"/>
    <cellStyle name="SHADEDSTORES 2 5" xfId="2559"/>
    <cellStyle name="SHADEDSTORES 2 5 10" xfId="7587"/>
    <cellStyle name="SHADEDSTORES 2 5 10 2" xfId="41905"/>
    <cellStyle name="SHADEDSTORES 2 5 10 3" xfId="41906"/>
    <cellStyle name="SHADEDSTORES 2 5 10 4" xfId="41907"/>
    <cellStyle name="SHADEDSTORES 2 5 10 5" xfId="41908"/>
    <cellStyle name="SHADEDSTORES 2 5 10 6" xfId="41909"/>
    <cellStyle name="SHADEDSTORES 2 5 10 7" xfId="41910"/>
    <cellStyle name="SHADEDSTORES 2 5 10 8" xfId="41911"/>
    <cellStyle name="SHADEDSTORES 2 5 10 9" xfId="41912"/>
    <cellStyle name="SHADEDSTORES 2 5 100" xfId="41913"/>
    <cellStyle name="SHADEDSTORES 2 5 101" xfId="41914"/>
    <cellStyle name="SHADEDSTORES 2 5 102" xfId="41915"/>
    <cellStyle name="SHADEDSTORES 2 5 11" xfId="7588"/>
    <cellStyle name="SHADEDSTORES 2 5 11 2" xfId="41916"/>
    <cellStyle name="SHADEDSTORES 2 5 11 3" xfId="41917"/>
    <cellStyle name="SHADEDSTORES 2 5 11 4" xfId="41918"/>
    <cellStyle name="SHADEDSTORES 2 5 11 5" xfId="41919"/>
    <cellStyle name="SHADEDSTORES 2 5 11 6" xfId="41920"/>
    <cellStyle name="SHADEDSTORES 2 5 11 7" xfId="41921"/>
    <cellStyle name="SHADEDSTORES 2 5 11 8" xfId="41922"/>
    <cellStyle name="SHADEDSTORES 2 5 11 9" xfId="41923"/>
    <cellStyle name="SHADEDSTORES 2 5 12" xfId="7589"/>
    <cellStyle name="SHADEDSTORES 2 5 12 2" xfId="41924"/>
    <cellStyle name="SHADEDSTORES 2 5 12 3" xfId="41925"/>
    <cellStyle name="SHADEDSTORES 2 5 12 4" xfId="41926"/>
    <cellStyle name="SHADEDSTORES 2 5 12 5" xfId="41927"/>
    <cellStyle name="SHADEDSTORES 2 5 12 6" xfId="41928"/>
    <cellStyle name="SHADEDSTORES 2 5 12 7" xfId="41929"/>
    <cellStyle name="SHADEDSTORES 2 5 12 8" xfId="41930"/>
    <cellStyle name="SHADEDSTORES 2 5 12 9" xfId="41931"/>
    <cellStyle name="SHADEDSTORES 2 5 13" xfId="7590"/>
    <cellStyle name="SHADEDSTORES 2 5 13 2" xfId="41932"/>
    <cellStyle name="SHADEDSTORES 2 5 13 3" xfId="41933"/>
    <cellStyle name="SHADEDSTORES 2 5 13 4" xfId="41934"/>
    <cellStyle name="SHADEDSTORES 2 5 13 5" xfId="41935"/>
    <cellStyle name="SHADEDSTORES 2 5 13 6" xfId="41936"/>
    <cellStyle name="SHADEDSTORES 2 5 13 7" xfId="41937"/>
    <cellStyle name="SHADEDSTORES 2 5 13 8" xfId="41938"/>
    <cellStyle name="SHADEDSTORES 2 5 13 9" xfId="41939"/>
    <cellStyle name="SHADEDSTORES 2 5 14" xfId="7591"/>
    <cellStyle name="SHADEDSTORES 2 5 14 2" xfId="41940"/>
    <cellStyle name="SHADEDSTORES 2 5 14 3" xfId="41941"/>
    <cellStyle name="SHADEDSTORES 2 5 14 4" xfId="41942"/>
    <cellStyle name="SHADEDSTORES 2 5 14 5" xfId="41943"/>
    <cellStyle name="SHADEDSTORES 2 5 14 6" xfId="41944"/>
    <cellStyle name="SHADEDSTORES 2 5 14 7" xfId="41945"/>
    <cellStyle name="SHADEDSTORES 2 5 14 8" xfId="41946"/>
    <cellStyle name="SHADEDSTORES 2 5 14 9" xfId="41947"/>
    <cellStyle name="SHADEDSTORES 2 5 15" xfId="7592"/>
    <cellStyle name="SHADEDSTORES 2 5 15 2" xfId="41948"/>
    <cellStyle name="SHADEDSTORES 2 5 15 3" xfId="41949"/>
    <cellStyle name="SHADEDSTORES 2 5 15 4" xfId="41950"/>
    <cellStyle name="SHADEDSTORES 2 5 15 5" xfId="41951"/>
    <cellStyle name="SHADEDSTORES 2 5 15 6" xfId="41952"/>
    <cellStyle name="SHADEDSTORES 2 5 15 7" xfId="41953"/>
    <cellStyle name="SHADEDSTORES 2 5 15 8" xfId="41954"/>
    <cellStyle name="SHADEDSTORES 2 5 15 9" xfId="41955"/>
    <cellStyle name="SHADEDSTORES 2 5 16" xfId="7593"/>
    <cellStyle name="SHADEDSTORES 2 5 16 2" xfId="41956"/>
    <cellStyle name="SHADEDSTORES 2 5 16 3" xfId="41957"/>
    <cellStyle name="SHADEDSTORES 2 5 16 4" xfId="41958"/>
    <cellStyle name="SHADEDSTORES 2 5 16 5" xfId="41959"/>
    <cellStyle name="SHADEDSTORES 2 5 16 6" xfId="41960"/>
    <cellStyle name="SHADEDSTORES 2 5 16 7" xfId="41961"/>
    <cellStyle name="SHADEDSTORES 2 5 16 8" xfId="41962"/>
    <cellStyle name="SHADEDSTORES 2 5 16 9" xfId="41963"/>
    <cellStyle name="SHADEDSTORES 2 5 17" xfId="7594"/>
    <cellStyle name="SHADEDSTORES 2 5 17 2" xfId="41964"/>
    <cellStyle name="SHADEDSTORES 2 5 17 3" xfId="41965"/>
    <cellStyle name="SHADEDSTORES 2 5 17 4" xfId="41966"/>
    <cellStyle name="SHADEDSTORES 2 5 17 5" xfId="41967"/>
    <cellStyle name="SHADEDSTORES 2 5 17 6" xfId="41968"/>
    <cellStyle name="SHADEDSTORES 2 5 17 7" xfId="41969"/>
    <cellStyle name="SHADEDSTORES 2 5 17 8" xfId="41970"/>
    <cellStyle name="SHADEDSTORES 2 5 17 9" xfId="41971"/>
    <cellStyle name="SHADEDSTORES 2 5 18" xfId="7595"/>
    <cellStyle name="SHADEDSTORES 2 5 18 2" xfId="41972"/>
    <cellStyle name="SHADEDSTORES 2 5 18 3" xfId="41973"/>
    <cellStyle name="SHADEDSTORES 2 5 18 4" xfId="41974"/>
    <cellStyle name="SHADEDSTORES 2 5 18 5" xfId="41975"/>
    <cellStyle name="SHADEDSTORES 2 5 18 6" xfId="41976"/>
    <cellStyle name="SHADEDSTORES 2 5 18 7" xfId="41977"/>
    <cellStyle name="SHADEDSTORES 2 5 18 8" xfId="41978"/>
    <cellStyle name="SHADEDSTORES 2 5 18 9" xfId="41979"/>
    <cellStyle name="SHADEDSTORES 2 5 19" xfId="7596"/>
    <cellStyle name="SHADEDSTORES 2 5 19 2" xfId="41980"/>
    <cellStyle name="SHADEDSTORES 2 5 19 3" xfId="41981"/>
    <cellStyle name="SHADEDSTORES 2 5 19 4" xfId="41982"/>
    <cellStyle name="SHADEDSTORES 2 5 19 5" xfId="41983"/>
    <cellStyle name="SHADEDSTORES 2 5 19 6" xfId="41984"/>
    <cellStyle name="SHADEDSTORES 2 5 19 7" xfId="41985"/>
    <cellStyle name="SHADEDSTORES 2 5 19 8" xfId="41986"/>
    <cellStyle name="SHADEDSTORES 2 5 19 9" xfId="41987"/>
    <cellStyle name="SHADEDSTORES 2 5 2" xfId="2560"/>
    <cellStyle name="SHADEDSTORES 2 5 2 10" xfId="41988"/>
    <cellStyle name="SHADEDSTORES 2 5 2 11" xfId="41989"/>
    <cellStyle name="SHADEDSTORES 2 5 2 2" xfId="12527"/>
    <cellStyle name="SHADEDSTORES 2 5 2 3" xfId="41990"/>
    <cellStyle name="SHADEDSTORES 2 5 2 4" xfId="41991"/>
    <cellStyle name="SHADEDSTORES 2 5 2 5" xfId="41992"/>
    <cellStyle name="SHADEDSTORES 2 5 2 6" xfId="41993"/>
    <cellStyle name="SHADEDSTORES 2 5 2 7" xfId="41994"/>
    <cellStyle name="SHADEDSTORES 2 5 2 8" xfId="41995"/>
    <cellStyle name="SHADEDSTORES 2 5 2 9" xfId="41996"/>
    <cellStyle name="SHADEDSTORES 2 5 2_YL Capex Cashflow &amp; Dep" xfId="13544"/>
    <cellStyle name="SHADEDSTORES 2 5 20" xfId="7597"/>
    <cellStyle name="SHADEDSTORES 2 5 20 10" xfId="41997"/>
    <cellStyle name="SHADEDSTORES 2 5 20 2" xfId="41998"/>
    <cellStyle name="SHADEDSTORES 2 5 20 3" xfId="41999"/>
    <cellStyle name="SHADEDSTORES 2 5 20 4" xfId="42000"/>
    <cellStyle name="SHADEDSTORES 2 5 20 5" xfId="42001"/>
    <cellStyle name="SHADEDSTORES 2 5 20 6" xfId="42002"/>
    <cellStyle name="SHADEDSTORES 2 5 20 7" xfId="42003"/>
    <cellStyle name="SHADEDSTORES 2 5 20 8" xfId="42004"/>
    <cellStyle name="SHADEDSTORES 2 5 20 9" xfId="42005"/>
    <cellStyle name="SHADEDSTORES 2 5 21" xfId="7598"/>
    <cellStyle name="SHADEDSTORES 2 5 21 10" xfId="42006"/>
    <cellStyle name="SHADEDSTORES 2 5 21 2" xfId="42007"/>
    <cellStyle name="SHADEDSTORES 2 5 21 3" xfId="42008"/>
    <cellStyle name="SHADEDSTORES 2 5 21 4" xfId="42009"/>
    <cellStyle name="SHADEDSTORES 2 5 21 5" xfId="42010"/>
    <cellStyle name="SHADEDSTORES 2 5 21 6" xfId="42011"/>
    <cellStyle name="SHADEDSTORES 2 5 21 7" xfId="42012"/>
    <cellStyle name="SHADEDSTORES 2 5 21 8" xfId="42013"/>
    <cellStyle name="SHADEDSTORES 2 5 21 9" xfId="42014"/>
    <cellStyle name="SHADEDSTORES 2 5 22" xfId="7599"/>
    <cellStyle name="SHADEDSTORES 2 5 22 10" xfId="42015"/>
    <cellStyle name="SHADEDSTORES 2 5 22 2" xfId="42016"/>
    <cellStyle name="SHADEDSTORES 2 5 22 3" xfId="42017"/>
    <cellStyle name="SHADEDSTORES 2 5 22 4" xfId="42018"/>
    <cellStyle name="SHADEDSTORES 2 5 22 5" xfId="42019"/>
    <cellStyle name="SHADEDSTORES 2 5 22 6" xfId="42020"/>
    <cellStyle name="SHADEDSTORES 2 5 22 7" xfId="42021"/>
    <cellStyle name="SHADEDSTORES 2 5 22 8" xfId="42022"/>
    <cellStyle name="SHADEDSTORES 2 5 22 9" xfId="42023"/>
    <cellStyle name="SHADEDSTORES 2 5 23" xfId="7600"/>
    <cellStyle name="SHADEDSTORES 2 5 23 10" xfId="42024"/>
    <cellStyle name="SHADEDSTORES 2 5 23 2" xfId="42025"/>
    <cellStyle name="SHADEDSTORES 2 5 23 3" xfId="42026"/>
    <cellStyle name="SHADEDSTORES 2 5 23 4" xfId="42027"/>
    <cellStyle name="SHADEDSTORES 2 5 23 5" xfId="42028"/>
    <cellStyle name="SHADEDSTORES 2 5 23 6" xfId="42029"/>
    <cellStyle name="SHADEDSTORES 2 5 23 7" xfId="42030"/>
    <cellStyle name="SHADEDSTORES 2 5 23 8" xfId="42031"/>
    <cellStyle name="SHADEDSTORES 2 5 23 9" xfId="42032"/>
    <cellStyle name="SHADEDSTORES 2 5 24" xfId="7601"/>
    <cellStyle name="SHADEDSTORES 2 5 24 10" xfId="42033"/>
    <cellStyle name="SHADEDSTORES 2 5 24 2" xfId="42034"/>
    <cellStyle name="SHADEDSTORES 2 5 24 3" xfId="42035"/>
    <cellStyle name="SHADEDSTORES 2 5 24 4" xfId="42036"/>
    <cellStyle name="SHADEDSTORES 2 5 24 5" xfId="42037"/>
    <cellStyle name="SHADEDSTORES 2 5 24 6" xfId="42038"/>
    <cellStyle name="SHADEDSTORES 2 5 24 7" xfId="42039"/>
    <cellStyle name="SHADEDSTORES 2 5 24 8" xfId="42040"/>
    <cellStyle name="SHADEDSTORES 2 5 24 9" xfId="42041"/>
    <cellStyle name="SHADEDSTORES 2 5 25" xfId="7602"/>
    <cellStyle name="SHADEDSTORES 2 5 25 10" xfId="42042"/>
    <cellStyle name="SHADEDSTORES 2 5 25 2" xfId="42043"/>
    <cellStyle name="SHADEDSTORES 2 5 25 3" xfId="42044"/>
    <cellStyle name="SHADEDSTORES 2 5 25 4" xfId="42045"/>
    <cellStyle name="SHADEDSTORES 2 5 25 5" xfId="42046"/>
    <cellStyle name="SHADEDSTORES 2 5 25 6" xfId="42047"/>
    <cellStyle name="SHADEDSTORES 2 5 25 7" xfId="42048"/>
    <cellStyle name="SHADEDSTORES 2 5 25 8" xfId="42049"/>
    <cellStyle name="SHADEDSTORES 2 5 25 9" xfId="42050"/>
    <cellStyle name="SHADEDSTORES 2 5 26" xfId="7603"/>
    <cellStyle name="SHADEDSTORES 2 5 26 10" xfId="42051"/>
    <cellStyle name="SHADEDSTORES 2 5 26 2" xfId="42052"/>
    <cellStyle name="SHADEDSTORES 2 5 26 3" xfId="42053"/>
    <cellStyle name="SHADEDSTORES 2 5 26 4" xfId="42054"/>
    <cellStyle name="SHADEDSTORES 2 5 26 5" xfId="42055"/>
    <cellStyle name="SHADEDSTORES 2 5 26 6" xfId="42056"/>
    <cellStyle name="SHADEDSTORES 2 5 26 7" xfId="42057"/>
    <cellStyle name="SHADEDSTORES 2 5 26 8" xfId="42058"/>
    <cellStyle name="SHADEDSTORES 2 5 26 9" xfId="42059"/>
    <cellStyle name="SHADEDSTORES 2 5 27" xfId="7604"/>
    <cellStyle name="SHADEDSTORES 2 5 27 10" xfId="42060"/>
    <cellStyle name="SHADEDSTORES 2 5 27 2" xfId="42061"/>
    <cellStyle name="SHADEDSTORES 2 5 27 3" xfId="42062"/>
    <cellStyle name="SHADEDSTORES 2 5 27 4" xfId="42063"/>
    <cellStyle name="SHADEDSTORES 2 5 27 5" xfId="42064"/>
    <cellStyle name="SHADEDSTORES 2 5 27 6" xfId="42065"/>
    <cellStyle name="SHADEDSTORES 2 5 27 7" xfId="42066"/>
    <cellStyle name="SHADEDSTORES 2 5 27 8" xfId="42067"/>
    <cellStyle name="SHADEDSTORES 2 5 27 9" xfId="42068"/>
    <cellStyle name="SHADEDSTORES 2 5 28" xfId="7605"/>
    <cellStyle name="SHADEDSTORES 2 5 28 10" xfId="42069"/>
    <cellStyle name="SHADEDSTORES 2 5 28 2" xfId="42070"/>
    <cellStyle name="SHADEDSTORES 2 5 28 3" xfId="42071"/>
    <cellStyle name="SHADEDSTORES 2 5 28 4" xfId="42072"/>
    <cellStyle name="SHADEDSTORES 2 5 28 5" xfId="42073"/>
    <cellStyle name="SHADEDSTORES 2 5 28 6" xfId="42074"/>
    <cellStyle name="SHADEDSTORES 2 5 28 7" xfId="42075"/>
    <cellStyle name="SHADEDSTORES 2 5 28 8" xfId="42076"/>
    <cellStyle name="SHADEDSTORES 2 5 28 9" xfId="42077"/>
    <cellStyle name="SHADEDSTORES 2 5 29" xfId="7606"/>
    <cellStyle name="SHADEDSTORES 2 5 29 10" xfId="42078"/>
    <cellStyle name="SHADEDSTORES 2 5 29 2" xfId="42079"/>
    <cellStyle name="SHADEDSTORES 2 5 29 3" xfId="42080"/>
    <cellStyle name="SHADEDSTORES 2 5 29 4" xfId="42081"/>
    <cellStyle name="SHADEDSTORES 2 5 29 5" xfId="42082"/>
    <cellStyle name="SHADEDSTORES 2 5 29 6" xfId="42083"/>
    <cellStyle name="SHADEDSTORES 2 5 29 7" xfId="42084"/>
    <cellStyle name="SHADEDSTORES 2 5 29 8" xfId="42085"/>
    <cellStyle name="SHADEDSTORES 2 5 29 9" xfId="42086"/>
    <cellStyle name="SHADEDSTORES 2 5 3" xfId="7607"/>
    <cellStyle name="SHADEDSTORES 2 5 3 10" xfId="42087"/>
    <cellStyle name="SHADEDSTORES 2 5 3 2" xfId="42088"/>
    <cellStyle name="SHADEDSTORES 2 5 3 3" xfId="42089"/>
    <cellStyle name="SHADEDSTORES 2 5 3 4" xfId="42090"/>
    <cellStyle name="SHADEDSTORES 2 5 3 5" xfId="42091"/>
    <cellStyle name="SHADEDSTORES 2 5 3 6" xfId="42092"/>
    <cellStyle name="SHADEDSTORES 2 5 3 7" xfId="42093"/>
    <cellStyle name="SHADEDSTORES 2 5 3 8" xfId="42094"/>
    <cellStyle name="SHADEDSTORES 2 5 3 9" xfId="42095"/>
    <cellStyle name="SHADEDSTORES 2 5 30" xfId="7608"/>
    <cellStyle name="SHADEDSTORES 2 5 30 10" xfId="42096"/>
    <cellStyle name="SHADEDSTORES 2 5 30 2" xfId="42097"/>
    <cellStyle name="SHADEDSTORES 2 5 30 3" xfId="42098"/>
    <cellStyle name="SHADEDSTORES 2 5 30 4" xfId="42099"/>
    <cellStyle name="SHADEDSTORES 2 5 30 5" xfId="42100"/>
    <cellStyle name="SHADEDSTORES 2 5 30 6" xfId="42101"/>
    <cellStyle name="SHADEDSTORES 2 5 30 7" xfId="42102"/>
    <cellStyle name="SHADEDSTORES 2 5 30 8" xfId="42103"/>
    <cellStyle name="SHADEDSTORES 2 5 30 9" xfId="42104"/>
    <cellStyle name="SHADEDSTORES 2 5 31" xfId="7609"/>
    <cellStyle name="SHADEDSTORES 2 5 31 10" xfId="42105"/>
    <cellStyle name="SHADEDSTORES 2 5 31 2" xfId="42106"/>
    <cellStyle name="SHADEDSTORES 2 5 31 3" xfId="42107"/>
    <cellStyle name="SHADEDSTORES 2 5 31 4" xfId="42108"/>
    <cellStyle name="SHADEDSTORES 2 5 31 5" xfId="42109"/>
    <cellStyle name="SHADEDSTORES 2 5 31 6" xfId="42110"/>
    <cellStyle name="SHADEDSTORES 2 5 31 7" xfId="42111"/>
    <cellStyle name="SHADEDSTORES 2 5 31 8" xfId="42112"/>
    <cellStyle name="SHADEDSTORES 2 5 31 9" xfId="42113"/>
    <cellStyle name="SHADEDSTORES 2 5 32" xfId="7610"/>
    <cellStyle name="SHADEDSTORES 2 5 32 10" xfId="42114"/>
    <cellStyle name="SHADEDSTORES 2 5 32 2" xfId="42115"/>
    <cellStyle name="SHADEDSTORES 2 5 32 3" xfId="42116"/>
    <cellStyle name="SHADEDSTORES 2 5 32 4" xfId="42117"/>
    <cellStyle name="SHADEDSTORES 2 5 32 5" xfId="42118"/>
    <cellStyle name="SHADEDSTORES 2 5 32 6" xfId="42119"/>
    <cellStyle name="SHADEDSTORES 2 5 32 7" xfId="42120"/>
    <cellStyle name="SHADEDSTORES 2 5 32 8" xfId="42121"/>
    <cellStyle name="SHADEDSTORES 2 5 32 9" xfId="42122"/>
    <cellStyle name="SHADEDSTORES 2 5 33" xfId="7611"/>
    <cellStyle name="SHADEDSTORES 2 5 33 10" xfId="42123"/>
    <cellStyle name="SHADEDSTORES 2 5 33 2" xfId="42124"/>
    <cellStyle name="SHADEDSTORES 2 5 33 3" xfId="42125"/>
    <cellStyle name="SHADEDSTORES 2 5 33 4" xfId="42126"/>
    <cellStyle name="SHADEDSTORES 2 5 33 5" xfId="42127"/>
    <cellStyle name="SHADEDSTORES 2 5 33 6" xfId="42128"/>
    <cellStyle name="SHADEDSTORES 2 5 33 7" xfId="42129"/>
    <cellStyle name="SHADEDSTORES 2 5 33 8" xfId="42130"/>
    <cellStyle name="SHADEDSTORES 2 5 33 9" xfId="42131"/>
    <cellStyle name="SHADEDSTORES 2 5 34" xfId="7612"/>
    <cellStyle name="SHADEDSTORES 2 5 34 10" xfId="42132"/>
    <cellStyle name="SHADEDSTORES 2 5 34 2" xfId="42133"/>
    <cellStyle name="SHADEDSTORES 2 5 34 3" xfId="42134"/>
    <cellStyle name="SHADEDSTORES 2 5 34 4" xfId="42135"/>
    <cellStyle name="SHADEDSTORES 2 5 34 5" xfId="42136"/>
    <cellStyle name="SHADEDSTORES 2 5 34 6" xfId="42137"/>
    <cellStyle name="SHADEDSTORES 2 5 34 7" xfId="42138"/>
    <cellStyle name="SHADEDSTORES 2 5 34 8" xfId="42139"/>
    <cellStyle name="SHADEDSTORES 2 5 34 9" xfId="42140"/>
    <cellStyle name="SHADEDSTORES 2 5 35" xfId="7613"/>
    <cellStyle name="SHADEDSTORES 2 5 35 10" xfId="42141"/>
    <cellStyle name="SHADEDSTORES 2 5 35 2" xfId="42142"/>
    <cellStyle name="SHADEDSTORES 2 5 35 3" xfId="42143"/>
    <cellStyle name="SHADEDSTORES 2 5 35 4" xfId="42144"/>
    <cellStyle name="SHADEDSTORES 2 5 35 5" xfId="42145"/>
    <cellStyle name="SHADEDSTORES 2 5 35 6" xfId="42146"/>
    <cellStyle name="SHADEDSTORES 2 5 35 7" xfId="42147"/>
    <cellStyle name="SHADEDSTORES 2 5 35 8" xfId="42148"/>
    <cellStyle name="SHADEDSTORES 2 5 35 9" xfId="42149"/>
    <cellStyle name="SHADEDSTORES 2 5 36" xfId="7614"/>
    <cellStyle name="SHADEDSTORES 2 5 36 10" xfId="42150"/>
    <cellStyle name="SHADEDSTORES 2 5 36 2" xfId="42151"/>
    <cellStyle name="SHADEDSTORES 2 5 36 3" xfId="42152"/>
    <cellStyle name="SHADEDSTORES 2 5 36 4" xfId="42153"/>
    <cellStyle name="SHADEDSTORES 2 5 36 5" xfId="42154"/>
    <cellStyle name="SHADEDSTORES 2 5 36 6" xfId="42155"/>
    <cellStyle name="SHADEDSTORES 2 5 36 7" xfId="42156"/>
    <cellStyle name="SHADEDSTORES 2 5 36 8" xfId="42157"/>
    <cellStyle name="SHADEDSTORES 2 5 36 9" xfId="42158"/>
    <cellStyle name="SHADEDSTORES 2 5 37" xfId="7615"/>
    <cellStyle name="SHADEDSTORES 2 5 37 10" xfId="42159"/>
    <cellStyle name="SHADEDSTORES 2 5 37 2" xfId="42160"/>
    <cellStyle name="SHADEDSTORES 2 5 37 3" xfId="42161"/>
    <cellStyle name="SHADEDSTORES 2 5 37 4" xfId="42162"/>
    <cellStyle name="SHADEDSTORES 2 5 37 5" xfId="42163"/>
    <cellStyle name="SHADEDSTORES 2 5 37 6" xfId="42164"/>
    <cellStyle name="SHADEDSTORES 2 5 37 7" xfId="42165"/>
    <cellStyle name="SHADEDSTORES 2 5 37 8" xfId="42166"/>
    <cellStyle name="SHADEDSTORES 2 5 37 9" xfId="42167"/>
    <cellStyle name="SHADEDSTORES 2 5 38" xfId="7616"/>
    <cellStyle name="SHADEDSTORES 2 5 38 10" xfId="42168"/>
    <cellStyle name="SHADEDSTORES 2 5 38 2" xfId="42169"/>
    <cellStyle name="SHADEDSTORES 2 5 38 3" xfId="42170"/>
    <cellStyle name="SHADEDSTORES 2 5 38 4" xfId="42171"/>
    <cellStyle name="SHADEDSTORES 2 5 38 5" xfId="42172"/>
    <cellStyle name="SHADEDSTORES 2 5 38 6" xfId="42173"/>
    <cellStyle name="SHADEDSTORES 2 5 38 7" xfId="42174"/>
    <cellStyle name="SHADEDSTORES 2 5 38 8" xfId="42175"/>
    <cellStyle name="SHADEDSTORES 2 5 38 9" xfId="42176"/>
    <cellStyle name="SHADEDSTORES 2 5 39" xfId="7617"/>
    <cellStyle name="SHADEDSTORES 2 5 39 10" xfId="42177"/>
    <cellStyle name="SHADEDSTORES 2 5 39 2" xfId="42178"/>
    <cellStyle name="SHADEDSTORES 2 5 39 3" xfId="42179"/>
    <cellStyle name="SHADEDSTORES 2 5 39 4" xfId="42180"/>
    <cellStyle name="SHADEDSTORES 2 5 39 5" xfId="42181"/>
    <cellStyle name="SHADEDSTORES 2 5 39 6" xfId="42182"/>
    <cellStyle name="SHADEDSTORES 2 5 39 7" xfId="42183"/>
    <cellStyle name="SHADEDSTORES 2 5 39 8" xfId="42184"/>
    <cellStyle name="SHADEDSTORES 2 5 39 9" xfId="42185"/>
    <cellStyle name="SHADEDSTORES 2 5 4" xfId="7618"/>
    <cellStyle name="SHADEDSTORES 2 5 4 10" xfId="42186"/>
    <cellStyle name="SHADEDSTORES 2 5 4 2" xfId="42187"/>
    <cellStyle name="SHADEDSTORES 2 5 4 3" xfId="42188"/>
    <cellStyle name="SHADEDSTORES 2 5 4 4" xfId="42189"/>
    <cellStyle name="SHADEDSTORES 2 5 4 5" xfId="42190"/>
    <cellStyle name="SHADEDSTORES 2 5 4 6" xfId="42191"/>
    <cellStyle name="SHADEDSTORES 2 5 4 7" xfId="42192"/>
    <cellStyle name="SHADEDSTORES 2 5 4 8" xfId="42193"/>
    <cellStyle name="SHADEDSTORES 2 5 4 9" xfId="42194"/>
    <cellStyle name="SHADEDSTORES 2 5 40" xfId="7619"/>
    <cellStyle name="SHADEDSTORES 2 5 40 10" xfId="42195"/>
    <cellStyle name="SHADEDSTORES 2 5 40 2" xfId="42196"/>
    <cellStyle name="SHADEDSTORES 2 5 40 3" xfId="42197"/>
    <cellStyle name="SHADEDSTORES 2 5 40 4" xfId="42198"/>
    <cellStyle name="SHADEDSTORES 2 5 40 5" xfId="42199"/>
    <cellStyle name="SHADEDSTORES 2 5 40 6" xfId="42200"/>
    <cellStyle name="SHADEDSTORES 2 5 40 7" xfId="42201"/>
    <cellStyle name="SHADEDSTORES 2 5 40 8" xfId="42202"/>
    <cellStyle name="SHADEDSTORES 2 5 40 9" xfId="42203"/>
    <cellStyle name="SHADEDSTORES 2 5 41" xfId="7620"/>
    <cellStyle name="SHADEDSTORES 2 5 41 10" xfId="42204"/>
    <cellStyle name="SHADEDSTORES 2 5 41 2" xfId="42205"/>
    <cellStyle name="SHADEDSTORES 2 5 41 3" xfId="42206"/>
    <cellStyle name="SHADEDSTORES 2 5 41 4" xfId="42207"/>
    <cellStyle name="SHADEDSTORES 2 5 41 5" xfId="42208"/>
    <cellStyle name="SHADEDSTORES 2 5 41 6" xfId="42209"/>
    <cellStyle name="SHADEDSTORES 2 5 41 7" xfId="42210"/>
    <cellStyle name="SHADEDSTORES 2 5 41 8" xfId="42211"/>
    <cellStyle name="SHADEDSTORES 2 5 41 9" xfId="42212"/>
    <cellStyle name="SHADEDSTORES 2 5 42" xfId="7621"/>
    <cellStyle name="SHADEDSTORES 2 5 42 10" xfId="42213"/>
    <cellStyle name="SHADEDSTORES 2 5 42 2" xfId="42214"/>
    <cellStyle name="SHADEDSTORES 2 5 42 3" xfId="42215"/>
    <cellStyle name="SHADEDSTORES 2 5 42 4" xfId="42216"/>
    <cellStyle name="SHADEDSTORES 2 5 42 5" xfId="42217"/>
    <cellStyle name="SHADEDSTORES 2 5 42 6" xfId="42218"/>
    <cellStyle name="SHADEDSTORES 2 5 42 7" xfId="42219"/>
    <cellStyle name="SHADEDSTORES 2 5 42 8" xfId="42220"/>
    <cellStyle name="SHADEDSTORES 2 5 42 9" xfId="42221"/>
    <cellStyle name="SHADEDSTORES 2 5 43" xfId="7622"/>
    <cellStyle name="SHADEDSTORES 2 5 43 10" xfId="42222"/>
    <cellStyle name="SHADEDSTORES 2 5 43 2" xfId="42223"/>
    <cellStyle name="SHADEDSTORES 2 5 43 3" xfId="42224"/>
    <cellStyle name="SHADEDSTORES 2 5 43 4" xfId="42225"/>
    <cellStyle name="SHADEDSTORES 2 5 43 5" xfId="42226"/>
    <cellStyle name="SHADEDSTORES 2 5 43 6" xfId="42227"/>
    <cellStyle name="SHADEDSTORES 2 5 43 7" xfId="42228"/>
    <cellStyle name="SHADEDSTORES 2 5 43 8" xfId="42229"/>
    <cellStyle name="SHADEDSTORES 2 5 43 9" xfId="42230"/>
    <cellStyle name="SHADEDSTORES 2 5 44" xfId="7623"/>
    <cellStyle name="SHADEDSTORES 2 5 44 10" xfId="42231"/>
    <cellStyle name="SHADEDSTORES 2 5 44 2" xfId="42232"/>
    <cellStyle name="SHADEDSTORES 2 5 44 3" xfId="42233"/>
    <cellStyle name="SHADEDSTORES 2 5 44 4" xfId="42234"/>
    <cellStyle name="SHADEDSTORES 2 5 44 5" xfId="42235"/>
    <cellStyle name="SHADEDSTORES 2 5 44 6" xfId="42236"/>
    <cellStyle name="SHADEDSTORES 2 5 44 7" xfId="42237"/>
    <cellStyle name="SHADEDSTORES 2 5 44 8" xfId="42238"/>
    <cellStyle name="SHADEDSTORES 2 5 44 9" xfId="42239"/>
    <cellStyle name="SHADEDSTORES 2 5 45" xfId="7624"/>
    <cellStyle name="SHADEDSTORES 2 5 45 10" xfId="42240"/>
    <cellStyle name="SHADEDSTORES 2 5 45 2" xfId="42241"/>
    <cellStyle name="SHADEDSTORES 2 5 45 3" xfId="42242"/>
    <cellStyle name="SHADEDSTORES 2 5 45 4" xfId="42243"/>
    <cellStyle name="SHADEDSTORES 2 5 45 5" xfId="42244"/>
    <cellStyle name="SHADEDSTORES 2 5 45 6" xfId="42245"/>
    <cellStyle name="SHADEDSTORES 2 5 45 7" xfId="42246"/>
    <cellStyle name="SHADEDSTORES 2 5 45 8" xfId="42247"/>
    <cellStyle name="SHADEDSTORES 2 5 45 9" xfId="42248"/>
    <cellStyle name="SHADEDSTORES 2 5 46" xfId="7625"/>
    <cellStyle name="SHADEDSTORES 2 5 46 10" xfId="42249"/>
    <cellStyle name="SHADEDSTORES 2 5 46 2" xfId="42250"/>
    <cellStyle name="SHADEDSTORES 2 5 46 3" xfId="42251"/>
    <cellStyle name="SHADEDSTORES 2 5 46 4" xfId="42252"/>
    <cellStyle name="SHADEDSTORES 2 5 46 5" xfId="42253"/>
    <cellStyle name="SHADEDSTORES 2 5 46 6" xfId="42254"/>
    <cellStyle name="SHADEDSTORES 2 5 46 7" xfId="42255"/>
    <cellStyle name="SHADEDSTORES 2 5 46 8" xfId="42256"/>
    <cellStyle name="SHADEDSTORES 2 5 46 9" xfId="42257"/>
    <cellStyle name="SHADEDSTORES 2 5 47" xfId="7626"/>
    <cellStyle name="SHADEDSTORES 2 5 47 10" xfId="42258"/>
    <cellStyle name="SHADEDSTORES 2 5 47 2" xfId="42259"/>
    <cellStyle name="SHADEDSTORES 2 5 47 3" xfId="42260"/>
    <cellStyle name="SHADEDSTORES 2 5 47 4" xfId="42261"/>
    <cellStyle name="SHADEDSTORES 2 5 47 5" xfId="42262"/>
    <cellStyle name="SHADEDSTORES 2 5 47 6" xfId="42263"/>
    <cellStyle name="SHADEDSTORES 2 5 47 7" xfId="42264"/>
    <cellStyle name="SHADEDSTORES 2 5 47 8" xfId="42265"/>
    <cellStyle name="SHADEDSTORES 2 5 47 9" xfId="42266"/>
    <cellStyle name="SHADEDSTORES 2 5 48" xfId="7627"/>
    <cellStyle name="SHADEDSTORES 2 5 48 10" xfId="42267"/>
    <cellStyle name="SHADEDSTORES 2 5 48 2" xfId="42268"/>
    <cellStyle name="SHADEDSTORES 2 5 48 3" xfId="42269"/>
    <cellStyle name="SHADEDSTORES 2 5 48 4" xfId="42270"/>
    <cellStyle name="SHADEDSTORES 2 5 48 5" xfId="42271"/>
    <cellStyle name="SHADEDSTORES 2 5 48 6" xfId="42272"/>
    <cellStyle name="SHADEDSTORES 2 5 48 7" xfId="42273"/>
    <cellStyle name="SHADEDSTORES 2 5 48 8" xfId="42274"/>
    <cellStyle name="SHADEDSTORES 2 5 48 9" xfId="42275"/>
    <cellStyle name="SHADEDSTORES 2 5 49" xfId="7628"/>
    <cellStyle name="SHADEDSTORES 2 5 49 10" xfId="42276"/>
    <cellStyle name="SHADEDSTORES 2 5 49 2" xfId="42277"/>
    <cellStyle name="SHADEDSTORES 2 5 49 3" xfId="42278"/>
    <cellStyle name="SHADEDSTORES 2 5 49 4" xfId="42279"/>
    <cellStyle name="SHADEDSTORES 2 5 49 5" xfId="42280"/>
    <cellStyle name="SHADEDSTORES 2 5 49 6" xfId="42281"/>
    <cellStyle name="SHADEDSTORES 2 5 49 7" xfId="42282"/>
    <cellStyle name="SHADEDSTORES 2 5 49 8" xfId="42283"/>
    <cellStyle name="SHADEDSTORES 2 5 49 9" xfId="42284"/>
    <cellStyle name="SHADEDSTORES 2 5 5" xfId="7629"/>
    <cellStyle name="SHADEDSTORES 2 5 5 2" xfId="42285"/>
    <cellStyle name="SHADEDSTORES 2 5 5 3" xfId="42286"/>
    <cellStyle name="SHADEDSTORES 2 5 5 4" xfId="42287"/>
    <cellStyle name="SHADEDSTORES 2 5 5 5" xfId="42288"/>
    <cellStyle name="SHADEDSTORES 2 5 5 6" xfId="42289"/>
    <cellStyle name="SHADEDSTORES 2 5 5 7" xfId="42290"/>
    <cellStyle name="SHADEDSTORES 2 5 5 8" xfId="42291"/>
    <cellStyle name="SHADEDSTORES 2 5 5 9" xfId="42292"/>
    <cellStyle name="SHADEDSTORES 2 5 50" xfId="7630"/>
    <cellStyle name="SHADEDSTORES 2 5 50 10" xfId="42293"/>
    <cellStyle name="SHADEDSTORES 2 5 50 2" xfId="42294"/>
    <cellStyle name="SHADEDSTORES 2 5 50 3" xfId="42295"/>
    <cellStyle name="SHADEDSTORES 2 5 50 4" xfId="42296"/>
    <cellStyle name="SHADEDSTORES 2 5 50 5" xfId="42297"/>
    <cellStyle name="SHADEDSTORES 2 5 50 6" xfId="42298"/>
    <cellStyle name="SHADEDSTORES 2 5 50 7" xfId="42299"/>
    <cellStyle name="SHADEDSTORES 2 5 50 8" xfId="42300"/>
    <cellStyle name="SHADEDSTORES 2 5 50 9" xfId="42301"/>
    <cellStyle name="SHADEDSTORES 2 5 51" xfId="7631"/>
    <cellStyle name="SHADEDSTORES 2 5 51 10" xfId="42302"/>
    <cellStyle name="SHADEDSTORES 2 5 51 2" xfId="42303"/>
    <cellStyle name="SHADEDSTORES 2 5 51 3" xfId="42304"/>
    <cellStyle name="SHADEDSTORES 2 5 51 4" xfId="42305"/>
    <cellStyle name="SHADEDSTORES 2 5 51 5" xfId="42306"/>
    <cellStyle name="SHADEDSTORES 2 5 51 6" xfId="42307"/>
    <cellStyle name="SHADEDSTORES 2 5 51 7" xfId="42308"/>
    <cellStyle name="SHADEDSTORES 2 5 51 8" xfId="42309"/>
    <cellStyle name="SHADEDSTORES 2 5 51 9" xfId="42310"/>
    <cellStyle name="SHADEDSTORES 2 5 52" xfId="7632"/>
    <cellStyle name="SHADEDSTORES 2 5 52 10" xfId="42311"/>
    <cellStyle name="SHADEDSTORES 2 5 52 2" xfId="42312"/>
    <cellStyle name="SHADEDSTORES 2 5 52 3" xfId="42313"/>
    <cellStyle name="SHADEDSTORES 2 5 52 4" xfId="42314"/>
    <cellStyle name="SHADEDSTORES 2 5 52 5" xfId="42315"/>
    <cellStyle name="SHADEDSTORES 2 5 52 6" xfId="42316"/>
    <cellStyle name="SHADEDSTORES 2 5 52 7" xfId="42317"/>
    <cellStyle name="SHADEDSTORES 2 5 52 8" xfId="42318"/>
    <cellStyle name="SHADEDSTORES 2 5 52 9" xfId="42319"/>
    <cellStyle name="SHADEDSTORES 2 5 53" xfId="7633"/>
    <cellStyle name="SHADEDSTORES 2 5 53 10" xfId="42320"/>
    <cellStyle name="SHADEDSTORES 2 5 53 2" xfId="42321"/>
    <cellStyle name="SHADEDSTORES 2 5 53 3" xfId="42322"/>
    <cellStyle name="SHADEDSTORES 2 5 53 4" xfId="42323"/>
    <cellStyle name="SHADEDSTORES 2 5 53 5" xfId="42324"/>
    <cellStyle name="SHADEDSTORES 2 5 53 6" xfId="42325"/>
    <cellStyle name="SHADEDSTORES 2 5 53 7" xfId="42326"/>
    <cellStyle name="SHADEDSTORES 2 5 53 8" xfId="42327"/>
    <cellStyle name="SHADEDSTORES 2 5 53 9" xfId="42328"/>
    <cellStyle name="SHADEDSTORES 2 5 54" xfId="7634"/>
    <cellStyle name="SHADEDSTORES 2 5 54 10" xfId="42329"/>
    <cellStyle name="SHADEDSTORES 2 5 54 2" xfId="42330"/>
    <cellStyle name="SHADEDSTORES 2 5 54 3" xfId="42331"/>
    <cellStyle name="SHADEDSTORES 2 5 54 4" xfId="42332"/>
    <cellStyle name="SHADEDSTORES 2 5 54 5" xfId="42333"/>
    <cellStyle name="SHADEDSTORES 2 5 54 6" xfId="42334"/>
    <cellStyle name="SHADEDSTORES 2 5 54 7" xfId="42335"/>
    <cellStyle name="SHADEDSTORES 2 5 54 8" xfId="42336"/>
    <cellStyle name="SHADEDSTORES 2 5 54 9" xfId="42337"/>
    <cellStyle name="SHADEDSTORES 2 5 55" xfId="7635"/>
    <cellStyle name="SHADEDSTORES 2 5 55 10" xfId="42338"/>
    <cellStyle name="SHADEDSTORES 2 5 55 2" xfId="42339"/>
    <cellStyle name="SHADEDSTORES 2 5 55 3" xfId="42340"/>
    <cellStyle name="SHADEDSTORES 2 5 55 4" xfId="42341"/>
    <cellStyle name="SHADEDSTORES 2 5 55 5" xfId="42342"/>
    <cellStyle name="SHADEDSTORES 2 5 55 6" xfId="42343"/>
    <cellStyle name="SHADEDSTORES 2 5 55 7" xfId="42344"/>
    <cellStyle name="SHADEDSTORES 2 5 55 8" xfId="42345"/>
    <cellStyle name="SHADEDSTORES 2 5 55 9" xfId="42346"/>
    <cellStyle name="SHADEDSTORES 2 5 56" xfId="7636"/>
    <cellStyle name="SHADEDSTORES 2 5 56 10" xfId="42347"/>
    <cellStyle name="SHADEDSTORES 2 5 56 2" xfId="42348"/>
    <cellStyle name="SHADEDSTORES 2 5 56 3" xfId="42349"/>
    <cellStyle name="SHADEDSTORES 2 5 56 4" xfId="42350"/>
    <cellStyle name="SHADEDSTORES 2 5 56 5" xfId="42351"/>
    <cellStyle name="SHADEDSTORES 2 5 56 6" xfId="42352"/>
    <cellStyle name="SHADEDSTORES 2 5 56 7" xfId="42353"/>
    <cellStyle name="SHADEDSTORES 2 5 56 8" xfId="42354"/>
    <cellStyle name="SHADEDSTORES 2 5 56 9" xfId="42355"/>
    <cellStyle name="SHADEDSTORES 2 5 57" xfId="7637"/>
    <cellStyle name="SHADEDSTORES 2 5 57 10" xfId="42356"/>
    <cellStyle name="SHADEDSTORES 2 5 57 2" xfId="42357"/>
    <cellStyle name="SHADEDSTORES 2 5 57 3" xfId="42358"/>
    <cellStyle name="SHADEDSTORES 2 5 57 4" xfId="42359"/>
    <cellStyle name="SHADEDSTORES 2 5 57 5" xfId="42360"/>
    <cellStyle name="SHADEDSTORES 2 5 57 6" xfId="42361"/>
    <cellStyle name="SHADEDSTORES 2 5 57 7" xfId="42362"/>
    <cellStyle name="SHADEDSTORES 2 5 57 8" xfId="42363"/>
    <cellStyle name="SHADEDSTORES 2 5 57 9" xfId="42364"/>
    <cellStyle name="SHADEDSTORES 2 5 58" xfId="7638"/>
    <cellStyle name="SHADEDSTORES 2 5 58 10" xfId="42365"/>
    <cellStyle name="SHADEDSTORES 2 5 58 2" xfId="42366"/>
    <cellStyle name="SHADEDSTORES 2 5 58 3" xfId="42367"/>
    <cellStyle name="SHADEDSTORES 2 5 58 4" xfId="42368"/>
    <cellStyle name="SHADEDSTORES 2 5 58 5" xfId="42369"/>
    <cellStyle name="SHADEDSTORES 2 5 58 6" xfId="42370"/>
    <cellStyle name="SHADEDSTORES 2 5 58 7" xfId="42371"/>
    <cellStyle name="SHADEDSTORES 2 5 58 8" xfId="42372"/>
    <cellStyle name="SHADEDSTORES 2 5 58 9" xfId="42373"/>
    <cellStyle name="SHADEDSTORES 2 5 59" xfId="7639"/>
    <cellStyle name="SHADEDSTORES 2 5 59 10" xfId="42374"/>
    <cellStyle name="SHADEDSTORES 2 5 59 2" xfId="42375"/>
    <cellStyle name="SHADEDSTORES 2 5 59 3" xfId="42376"/>
    <cellStyle name="SHADEDSTORES 2 5 59 4" xfId="42377"/>
    <cellStyle name="SHADEDSTORES 2 5 59 5" xfId="42378"/>
    <cellStyle name="SHADEDSTORES 2 5 59 6" xfId="42379"/>
    <cellStyle name="SHADEDSTORES 2 5 59 7" xfId="42380"/>
    <cellStyle name="SHADEDSTORES 2 5 59 8" xfId="42381"/>
    <cellStyle name="SHADEDSTORES 2 5 59 9" xfId="42382"/>
    <cellStyle name="SHADEDSTORES 2 5 6" xfId="7640"/>
    <cellStyle name="SHADEDSTORES 2 5 6 2" xfId="42383"/>
    <cellStyle name="SHADEDSTORES 2 5 6 3" xfId="42384"/>
    <cellStyle name="SHADEDSTORES 2 5 6 4" xfId="42385"/>
    <cellStyle name="SHADEDSTORES 2 5 6 5" xfId="42386"/>
    <cellStyle name="SHADEDSTORES 2 5 6 6" xfId="42387"/>
    <cellStyle name="SHADEDSTORES 2 5 6 7" xfId="42388"/>
    <cellStyle name="SHADEDSTORES 2 5 6 8" xfId="42389"/>
    <cellStyle name="SHADEDSTORES 2 5 6 9" xfId="42390"/>
    <cellStyle name="SHADEDSTORES 2 5 60" xfId="7641"/>
    <cellStyle name="SHADEDSTORES 2 5 60 10" xfId="42391"/>
    <cellStyle name="SHADEDSTORES 2 5 60 2" xfId="42392"/>
    <cellStyle name="SHADEDSTORES 2 5 60 3" xfId="42393"/>
    <cellStyle name="SHADEDSTORES 2 5 60 4" xfId="42394"/>
    <cellStyle name="SHADEDSTORES 2 5 60 5" xfId="42395"/>
    <cellStyle name="SHADEDSTORES 2 5 60 6" xfId="42396"/>
    <cellStyle name="SHADEDSTORES 2 5 60 7" xfId="42397"/>
    <cellStyle name="SHADEDSTORES 2 5 60 8" xfId="42398"/>
    <cellStyle name="SHADEDSTORES 2 5 60 9" xfId="42399"/>
    <cellStyle name="SHADEDSTORES 2 5 61" xfId="7642"/>
    <cellStyle name="SHADEDSTORES 2 5 61 10" xfId="42400"/>
    <cellStyle name="SHADEDSTORES 2 5 61 2" xfId="42401"/>
    <cellStyle name="SHADEDSTORES 2 5 61 3" xfId="42402"/>
    <cellStyle name="SHADEDSTORES 2 5 61 4" xfId="42403"/>
    <cellStyle name="SHADEDSTORES 2 5 61 5" xfId="42404"/>
    <cellStyle name="SHADEDSTORES 2 5 61 6" xfId="42405"/>
    <cellStyle name="SHADEDSTORES 2 5 61 7" xfId="42406"/>
    <cellStyle name="SHADEDSTORES 2 5 61 8" xfId="42407"/>
    <cellStyle name="SHADEDSTORES 2 5 61 9" xfId="42408"/>
    <cellStyle name="SHADEDSTORES 2 5 62" xfId="7643"/>
    <cellStyle name="SHADEDSTORES 2 5 62 10" xfId="42409"/>
    <cellStyle name="SHADEDSTORES 2 5 62 2" xfId="42410"/>
    <cellStyle name="SHADEDSTORES 2 5 62 3" xfId="42411"/>
    <cellStyle name="SHADEDSTORES 2 5 62 4" xfId="42412"/>
    <cellStyle name="SHADEDSTORES 2 5 62 5" xfId="42413"/>
    <cellStyle name="SHADEDSTORES 2 5 62 6" xfId="42414"/>
    <cellStyle name="SHADEDSTORES 2 5 62 7" xfId="42415"/>
    <cellStyle name="SHADEDSTORES 2 5 62 8" xfId="42416"/>
    <cellStyle name="SHADEDSTORES 2 5 62 9" xfId="42417"/>
    <cellStyle name="SHADEDSTORES 2 5 63" xfId="7644"/>
    <cellStyle name="SHADEDSTORES 2 5 63 10" xfId="42418"/>
    <cellStyle name="SHADEDSTORES 2 5 63 2" xfId="42419"/>
    <cellStyle name="SHADEDSTORES 2 5 63 3" xfId="42420"/>
    <cellStyle name="SHADEDSTORES 2 5 63 4" xfId="42421"/>
    <cellStyle name="SHADEDSTORES 2 5 63 5" xfId="42422"/>
    <cellStyle name="SHADEDSTORES 2 5 63 6" xfId="42423"/>
    <cellStyle name="SHADEDSTORES 2 5 63 7" xfId="42424"/>
    <cellStyle name="SHADEDSTORES 2 5 63 8" xfId="42425"/>
    <cellStyle name="SHADEDSTORES 2 5 63 9" xfId="42426"/>
    <cellStyle name="SHADEDSTORES 2 5 64" xfId="7645"/>
    <cellStyle name="SHADEDSTORES 2 5 64 10" xfId="42427"/>
    <cellStyle name="SHADEDSTORES 2 5 64 2" xfId="42428"/>
    <cellStyle name="SHADEDSTORES 2 5 64 3" xfId="42429"/>
    <cellStyle name="SHADEDSTORES 2 5 64 4" xfId="42430"/>
    <cellStyle name="SHADEDSTORES 2 5 64 5" xfId="42431"/>
    <cellStyle name="SHADEDSTORES 2 5 64 6" xfId="42432"/>
    <cellStyle name="SHADEDSTORES 2 5 64 7" xfId="42433"/>
    <cellStyle name="SHADEDSTORES 2 5 64 8" xfId="42434"/>
    <cellStyle name="SHADEDSTORES 2 5 64 9" xfId="42435"/>
    <cellStyle name="SHADEDSTORES 2 5 65" xfId="7646"/>
    <cellStyle name="SHADEDSTORES 2 5 65 10" xfId="42436"/>
    <cellStyle name="SHADEDSTORES 2 5 65 2" xfId="42437"/>
    <cellStyle name="SHADEDSTORES 2 5 65 3" xfId="42438"/>
    <cellStyle name="SHADEDSTORES 2 5 65 4" xfId="42439"/>
    <cellStyle name="SHADEDSTORES 2 5 65 5" xfId="42440"/>
    <cellStyle name="SHADEDSTORES 2 5 65 6" xfId="42441"/>
    <cellStyle name="SHADEDSTORES 2 5 65 7" xfId="42442"/>
    <cellStyle name="SHADEDSTORES 2 5 65 8" xfId="42443"/>
    <cellStyle name="SHADEDSTORES 2 5 65 9" xfId="42444"/>
    <cellStyle name="SHADEDSTORES 2 5 66" xfId="7647"/>
    <cellStyle name="SHADEDSTORES 2 5 66 10" xfId="42445"/>
    <cellStyle name="SHADEDSTORES 2 5 66 2" xfId="42446"/>
    <cellStyle name="SHADEDSTORES 2 5 66 3" xfId="42447"/>
    <cellStyle name="SHADEDSTORES 2 5 66 4" xfId="42448"/>
    <cellStyle name="SHADEDSTORES 2 5 66 5" xfId="42449"/>
    <cellStyle name="SHADEDSTORES 2 5 66 6" xfId="42450"/>
    <cellStyle name="SHADEDSTORES 2 5 66 7" xfId="42451"/>
    <cellStyle name="SHADEDSTORES 2 5 66 8" xfId="42452"/>
    <cellStyle name="SHADEDSTORES 2 5 66 9" xfId="42453"/>
    <cellStyle name="SHADEDSTORES 2 5 67" xfId="7648"/>
    <cellStyle name="SHADEDSTORES 2 5 67 10" xfId="42454"/>
    <cellStyle name="SHADEDSTORES 2 5 67 2" xfId="42455"/>
    <cellStyle name="SHADEDSTORES 2 5 67 3" xfId="42456"/>
    <cellStyle name="SHADEDSTORES 2 5 67 4" xfId="42457"/>
    <cellStyle name="SHADEDSTORES 2 5 67 5" xfId="42458"/>
    <cellStyle name="SHADEDSTORES 2 5 67 6" xfId="42459"/>
    <cellStyle name="SHADEDSTORES 2 5 67 7" xfId="42460"/>
    <cellStyle name="SHADEDSTORES 2 5 67 8" xfId="42461"/>
    <cellStyle name="SHADEDSTORES 2 5 67 9" xfId="42462"/>
    <cellStyle name="SHADEDSTORES 2 5 68" xfId="7649"/>
    <cellStyle name="SHADEDSTORES 2 5 68 10" xfId="42463"/>
    <cellStyle name="SHADEDSTORES 2 5 68 2" xfId="42464"/>
    <cellStyle name="SHADEDSTORES 2 5 68 3" xfId="42465"/>
    <cellStyle name="SHADEDSTORES 2 5 68 4" xfId="42466"/>
    <cellStyle name="SHADEDSTORES 2 5 68 5" xfId="42467"/>
    <cellStyle name="SHADEDSTORES 2 5 68 6" xfId="42468"/>
    <cellStyle name="SHADEDSTORES 2 5 68 7" xfId="42469"/>
    <cellStyle name="SHADEDSTORES 2 5 68 8" xfId="42470"/>
    <cellStyle name="SHADEDSTORES 2 5 68 9" xfId="42471"/>
    <cellStyle name="SHADEDSTORES 2 5 69" xfId="7650"/>
    <cellStyle name="SHADEDSTORES 2 5 69 10" xfId="42472"/>
    <cellStyle name="SHADEDSTORES 2 5 69 2" xfId="42473"/>
    <cellStyle name="SHADEDSTORES 2 5 69 3" xfId="42474"/>
    <cellStyle name="SHADEDSTORES 2 5 69 4" xfId="42475"/>
    <cellStyle name="SHADEDSTORES 2 5 69 5" xfId="42476"/>
    <cellStyle name="SHADEDSTORES 2 5 69 6" xfId="42477"/>
    <cellStyle name="SHADEDSTORES 2 5 69 7" xfId="42478"/>
    <cellStyle name="SHADEDSTORES 2 5 69 8" xfId="42479"/>
    <cellStyle name="SHADEDSTORES 2 5 69 9" xfId="42480"/>
    <cellStyle name="SHADEDSTORES 2 5 7" xfId="7651"/>
    <cellStyle name="SHADEDSTORES 2 5 7 2" xfId="42481"/>
    <cellStyle name="SHADEDSTORES 2 5 7 3" xfId="42482"/>
    <cellStyle name="SHADEDSTORES 2 5 7 4" xfId="42483"/>
    <cellStyle name="SHADEDSTORES 2 5 7 5" xfId="42484"/>
    <cellStyle name="SHADEDSTORES 2 5 7 6" xfId="42485"/>
    <cellStyle name="SHADEDSTORES 2 5 7 7" xfId="42486"/>
    <cellStyle name="SHADEDSTORES 2 5 7 8" xfId="42487"/>
    <cellStyle name="SHADEDSTORES 2 5 7 9" xfId="42488"/>
    <cellStyle name="SHADEDSTORES 2 5 70" xfId="7652"/>
    <cellStyle name="SHADEDSTORES 2 5 70 10" xfId="42489"/>
    <cellStyle name="SHADEDSTORES 2 5 70 2" xfId="42490"/>
    <cellStyle name="SHADEDSTORES 2 5 70 3" xfId="42491"/>
    <cellStyle name="SHADEDSTORES 2 5 70 4" xfId="42492"/>
    <cellStyle name="SHADEDSTORES 2 5 70 5" xfId="42493"/>
    <cellStyle name="SHADEDSTORES 2 5 70 6" xfId="42494"/>
    <cellStyle name="SHADEDSTORES 2 5 70 7" xfId="42495"/>
    <cellStyle name="SHADEDSTORES 2 5 70 8" xfId="42496"/>
    <cellStyle name="SHADEDSTORES 2 5 70 9" xfId="42497"/>
    <cellStyle name="SHADEDSTORES 2 5 71" xfId="7653"/>
    <cellStyle name="SHADEDSTORES 2 5 71 10" xfId="42498"/>
    <cellStyle name="SHADEDSTORES 2 5 71 2" xfId="42499"/>
    <cellStyle name="SHADEDSTORES 2 5 71 3" xfId="42500"/>
    <cellStyle name="SHADEDSTORES 2 5 71 4" xfId="42501"/>
    <cellStyle name="SHADEDSTORES 2 5 71 5" xfId="42502"/>
    <cellStyle name="SHADEDSTORES 2 5 71 6" xfId="42503"/>
    <cellStyle name="SHADEDSTORES 2 5 71 7" xfId="42504"/>
    <cellStyle name="SHADEDSTORES 2 5 71 8" xfId="42505"/>
    <cellStyle name="SHADEDSTORES 2 5 71 9" xfId="42506"/>
    <cellStyle name="SHADEDSTORES 2 5 72" xfId="7654"/>
    <cellStyle name="SHADEDSTORES 2 5 72 10" xfId="42507"/>
    <cellStyle name="SHADEDSTORES 2 5 72 2" xfId="42508"/>
    <cellStyle name="SHADEDSTORES 2 5 72 3" xfId="42509"/>
    <cellStyle name="SHADEDSTORES 2 5 72 4" xfId="42510"/>
    <cellStyle name="SHADEDSTORES 2 5 72 5" xfId="42511"/>
    <cellStyle name="SHADEDSTORES 2 5 72 6" xfId="42512"/>
    <cellStyle name="SHADEDSTORES 2 5 72 7" xfId="42513"/>
    <cellStyle name="SHADEDSTORES 2 5 72 8" xfId="42514"/>
    <cellStyle name="SHADEDSTORES 2 5 72 9" xfId="42515"/>
    <cellStyle name="SHADEDSTORES 2 5 73" xfId="7655"/>
    <cellStyle name="SHADEDSTORES 2 5 73 10" xfId="42516"/>
    <cellStyle name="SHADEDSTORES 2 5 73 2" xfId="42517"/>
    <cellStyle name="SHADEDSTORES 2 5 73 3" xfId="42518"/>
    <cellStyle name="SHADEDSTORES 2 5 73 4" xfId="42519"/>
    <cellStyle name="SHADEDSTORES 2 5 73 5" xfId="42520"/>
    <cellStyle name="SHADEDSTORES 2 5 73 6" xfId="42521"/>
    <cellStyle name="SHADEDSTORES 2 5 73 7" xfId="42522"/>
    <cellStyle name="SHADEDSTORES 2 5 73 8" xfId="42523"/>
    <cellStyle name="SHADEDSTORES 2 5 73 9" xfId="42524"/>
    <cellStyle name="SHADEDSTORES 2 5 74" xfId="7656"/>
    <cellStyle name="SHADEDSTORES 2 5 74 10" xfId="42525"/>
    <cellStyle name="SHADEDSTORES 2 5 74 2" xfId="42526"/>
    <cellStyle name="SHADEDSTORES 2 5 74 3" xfId="42527"/>
    <cellStyle name="SHADEDSTORES 2 5 74 4" xfId="42528"/>
    <cellStyle name="SHADEDSTORES 2 5 74 5" xfId="42529"/>
    <cellStyle name="SHADEDSTORES 2 5 74 6" xfId="42530"/>
    <cellStyle name="SHADEDSTORES 2 5 74 7" xfId="42531"/>
    <cellStyle name="SHADEDSTORES 2 5 74 8" xfId="42532"/>
    <cellStyle name="SHADEDSTORES 2 5 74 9" xfId="42533"/>
    <cellStyle name="SHADEDSTORES 2 5 75" xfId="7657"/>
    <cellStyle name="SHADEDSTORES 2 5 75 10" xfId="42534"/>
    <cellStyle name="SHADEDSTORES 2 5 75 2" xfId="42535"/>
    <cellStyle name="SHADEDSTORES 2 5 75 3" xfId="42536"/>
    <cellStyle name="SHADEDSTORES 2 5 75 4" xfId="42537"/>
    <cellStyle name="SHADEDSTORES 2 5 75 5" xfId="42538"/>
    <cellStyle name="SHADEDSTORES 2 5 75 6" xfId="42539"/>
    <cellStyle name="SHADEDSTORES 2 5 75 7" xfId="42540"/>
    <cellStyle name="SHADEDSTORES 2 5 75 8" xfId="42541"/>
    <cellStyle name="SHADEDSTORES 2 5 75 9" xfId="42542"/>
    <cellStyle name="SHADEDSTORES 2 5 76" xfId="7658"/>
    <cellStyle name="SHADEDSTORES 2 5 76 10" xfId="42543"/>
    <cellStyle name="SHADEDSTORES 2 5 76 2" xfId="42544"/>
    <cellStyle name="SHADEDSTORES 2 5 76 3" xfId="42545"/>
    <cellStyle name="SHADEDSTORES 2 5 76 4" xfId="42546"/>
    <cellStyle name="SHADEDSTORES 2 5 76 5" xfId="42547"/>
    <cellStyle name="SHADEDSTORES 2 5 76 6" xfId="42548"/>
    <cellStyle name="SHADEDSTORES 2 5 76 7" xfId="42549"/>
    <cellStyle name="SHADEDSTORES 2 5 76 8" xfId="42550"/>
    <cellStyle name="SHADEDSTORES 2 5 76 9" xfId="42551"/>
    <cellStyle name="SHADEDSTORES 2 5 77" xfId="7659"/>
    <cellStyle name="SHADEDSTORES 2 5 77 10" xfId="42552"/>
    <cellStyle name="SHADEDSTORES 2 5 77 2" xfId="42553"/>
    <cellStyle name="SHADEDSTORES 2 5 77 3" xfId="42554"/>
    <cellStyle name="SHADEDSTORES 2 5 77 4" xfId="42555"/>
    <cellStyle name="SHADEDSTORES 2 5 77 5" xfId="42556"/>
    <cellStyle name="SHADEDSTORES 2 5 77 6" xfId="42557"/>
    <cellStyle name="SHADEDSTORES 2 5 77 7" xfId="42558"/>
    <cellStyle name="SHADEDSTORES 2 5 77 8" xfId="42559"/>
    <cellStyle name="SHADEDSTORES 2 5 77 9" xfId="42560"/>
    <cellStyle name="SHADEDSTORES 2 5 78" xfId="7660"/>
    <cellStyle name="SHADEDSTORES 2 5 78 10" xfId="42561"/>
    <cellStyle name="SHADEDSTORES 2 5 78 2" xfId="42562"/>
    <cellStyle name="SHADEDSTORES 2 5 78 3" xfId="42563"/>
    <cellStyle name="SHADEDSTORES 2 5 78 4" xfId="42564"/>
    <cellStyle name="SHADEDSTORES 2 5 78 5" xfId="42565"/>
    <cellStyle name="SHADEDSTORES 2 5 78 6" xfId="42566"/>
    <cellStyle name="SHADEDSTORES 2 5 78 7" xfId="42567"/>
    <cellStyle name="SHADEDSTORES 2 5 78 8" xfId="42568"/>
    <cellStyle name="SHADEDSTORES 2 5 78 9" xfId="42569"/>
    <cellStyle name="SHADEDSTORES 2 5 79" xfId="7661"/>
    <cellStyle name="SHADEDSTORES 2 5 79 10" xfId="42570"/>
    <cellStyle name="SHADEDSTORES 2 5 79 2" xfId="42571"/>
    <cellStyle name="SHADEDSTORES 2 5 79 3" xfId="42572"/>
    <cellStyle name="SHADEDSTORES 2 5 79 4" xfId="42573"/>
    <cellStyle name="SHADEDSTORES 2 5 79 5" xfId="42574"/>
    <cellStyle name="SHADEDSTORES 2 5 79 6" xfId="42575"/>
    <cellStyle name="SHADEDSTORES 2 5 79 7" xfId="42576"/>
    <cellStyle name="SHADEDSTORES 2 5 79 8" xfId="42577"/>
    <cellStyle name="SHADEDSTORES 2 5 79 9" xfId="42578"/>
    <cellStyle name="SHADEDSTORES 2 5 8" xfId="7662"/>
    <cellStyle name="SHADEDSTORES 2 5 8 2" xfId="42579"/>
    <cellStyle name="SHADEDSTORES 2 5 8 3" xfId="42580"/>
    <cellStyle name="SHADEDSTORES 2 5 8 4" xfId="42581"/>
    <cellStyle name="SHADEDSTORES 2 5 8 5" xfId="42582"/>
    <cellStyle name="SHADEDSTORES 2 5 8 6" xfId="42583"/>
    <cellStyle name="SHADEDSTORES 2 5 8 7" xfId="42584"/>
    <cellStyle name="SHADEDSTORES 2 5 8 8" xfId="42585"/>
    <cellStyle name="SHADEDSTORES 2 5 8 9" xfId="42586"/>
    <cellStyle name="SHADEDSTORES 2 5 80" xfId="7663"/>
    <cellStyle name="SHADEDSTORES 2 5 80 10" xfId="42587"/>
    <cellStyle name="SHADEDSTORES 2 5 80 2" xfId="42588"/>
    <cellStyle name="SHADEDSTORES 2 5 80 3" xfId="42589"/>
    <cellStyle name="SHADEDSTORES 2 5 80 4" xfId="42590"/>
    <cellStyle name="SHADEDSTORES 2 5 80 5" xfId="42591"/>
    <cellStyle name="SHADEDSTORES 2 5 80 6" xfId="42592"/>
    <cellStyle name="SHADEDSTORES 2 5 80 7" xfId="42593"/>
    <cellStyle name="SHADEDSTORES 2 5 80 8" xfId="42594"/>
    <cellStyle name="SHADEDSTORES 2 5 80 9" xfId="42595"/>
    <cellStyle name="SHADEDSTORES 2 5 81" xfId="7664"/>
    <cellStyle name="SHADEDSTORES 2 5 81 10" xfId="42596"/>
    <cellStyle name="SHADEDSTORES 2 5 81 2" xfId="42597"/>
    <cellStyle name="SHADEDSTORES 2 5 81 3" xfId="42598"/>
    <cellStyle name="SHADEDSTORES 2 5 81 4" xfId="42599"/>
    <cellStyle name="SHADEDSTORES 2 5 81 5" xfId="42600"/>
    <cellStyle name="SHADEDSTORES 2 5 81 6" xfId="42601"/>
    <cellStyle name="SHADEDSTORES 2 5 81 7" xfId="42602"/>
    <cellStyle name="SHADEDSTORES 2 5 81 8" xfId="42603"/>
    <cellStyle name="SHADEDSTORES 2 5 81 9" xfId="42604"/>
    <cellStyle name="SHADEDSTORES 2 5 82" xfId="7665"/>
    <cellStyle name="SHADEDSTORES 2 5 82 10" xfId="42605"/>
    <cellStyle name="SHADEDSTORES 2 5 82 2" xfId="42606"/>
    <cellStyle name="SHADEDSTORES 2 5 82 3" xfId="42607"/>
    <cellStyle name="SHADEDSTORES 2 5 82 4" xfId="42608"/>
    <cellStyle name="SHADEDSTORES 2 5 82 5" xfId="42609"/>
    <cellStyle name="SHADEDSTORES 2 5 82 6" xfId="42610"/>
    <cellStyle name="SHADEDSTORES 2 5 82 7" xfId="42611"/>
    <cellStyle name="SHADEDSTORES 2 5 82 8" xfId="42612"/>
    <cellStyle name="SHADEDSTORES 2 5 82 9" xfId="42613"/>
    <cellStyle name="SHADEDSTORES 2 5 83" xfId="7666"/>
    <cellStyle name="SHADEDSTORES 2 5 83 10" xfId="42614"/>
    <cellStyle name="SHADEDSTORES 2 5 83 2" xfId="42615"/>
    <cellStyle name="SHADEDSTORES 2 5 83 3" xfId="42616"/>
    <cellStyle name="SHADEDSTORES 2 5 83 4" xfId="42617"/>
    <cellStyle name="SHADEDSTORES 2 5 83 5" xfId="42618"/>
    <cellStyle name="SHADEDSTORES 2 5 83 6" xfId="42619"/>
    <cellStyle name="SHADEDSTORES 2 5 83 7" xfId="42620"/>
    <cellStyle name="SHADEDSTORES 2 5 83 8" xfId="42621"/>
    <cellStyle name="SHADEDSTORES 2 5 83 9" xfId="42622"/>
    <cellStyle name="SHADEDSTORES 2 5 84" xfId="7667"/>
    <cellStyle name="SHADEDSTORES 2 5 84 10" xfId="42623"/>
    <cellStyle name="SHADEDSTORES 2 5 84 2" xfId="42624"/>
    <cellStyle name="SHADEDSTORES 2 5 84 3" xfId="42625"/>
    <cellStyle name="SHADEDSTORES 2 5 84 4" xfId="42626"/>
    <cellStyle name="SHADEDSTORES 2 5 84 5" xfId="42627"/>
    <cellStyle name="SHADEDSTORES 2 5 84 6" xfId="42628"/>
    <cellStyle name="SHADEDSTORES 2 5 84 7" xfId="42629"/>
    <cellStyle name="SHADEDSTORES 2 5 84 8" xfId="42630"/>
    <cellStyle name="SHADEDSTORES 2 5 84 9" xfId="42631"/>
    <cellStyle name="SHADEDSTORES 2 5 85" xfId="7668"/>
    <cellStyle name="SHADEDSTORES 2 5 85 10" xfId="42632"/>
    <cellStyle name="SHADEDSTORES 2 5 85 2" xfId="42633"/>
    <cellStyle name="SHADEDSTORES 2 5 85 3" xfId="42634"/>
    <cellStyle name="SHADEDSTORES 2 5 85 4" xfId="42635"/>
    <cellStyle name="SHADEDSTORES 2 5 85 5" xfId="42636"/>
    <cellStyle name="SHADEDSTORES 2 5 85 6" xfId="42637"/>
    <cellStyle name="SHADEDSTORES 2 5 85 7" xfId="42638"/>
    <cellStyle name="SHADEDSTORES 2 5 85 8" xfId="42639"/>
    <cellStyle name="SHADEDSTORES 2 5 85 9" xfId="42640"/>
    <cellStyle name="SHADEDSTORES 2 5 86" xfId="7669"/>
    <cellStyle name="SHADEDSTORES 2 5 86 10" xfId="42641"/>
    <cellStyle name="SHADEDSTORES 2 5 86 2" xfId="42642"/>
    <cellStyle name="SHADEDSTORES 2 5 86 3" xfId="42643"/>
    <cellStyle name="SHADEDSTORES 2 5 86 4" xfId="42644"/>
    <cellStyle name="SHADEDSTORES 2 5 86 5" xfId="42645"/>
    <cellStyle name="SHADEDSTORES 2 5 86 6" xfId="42646"/>
    <cellStyle name="SHADEDSTORES 2 5 86 7" xfId="42647"/>
    <cellStyle name="SHADEDSTORES 2 5 86 8" xfId="42648"/>
    <cellStyle name="SHADEDSTORES 2 5 86 9" xfId="42649"/>
    <cellStyle name="SHADEDSTORES 2 5 87" xfId="7670"/>
    <cellStyle name="SHADEDSTORES 2 5 87 10" xfId="42650"/>
    <cellStyle name="SHADEDSTORES 2 5 87 2" xfId="42651"/>
    <cellStyle name="SHADEDSTORES 2 5 87 3" xfId="42652"/>
    <cellStyle name="SHADEDSTORES 2 5 87 4" xfId="42653"/>
    <cellStyle name="SHADEDSTORES 2 5 87 5" xfId="42654"/>
    <cellStyle name="SHADEDSTORES 2 5 87 6" xfId="42655"/>
    <cellStyle name="SHADEDSTORES 2 5 87 7" xfId="42656"/>
    <cellStyle name="SHADEDSTORES 2 5 87 8" xfId="42657"/>
    <cellStyle name="SHADEDSTORES 2 5 87 9" xfId="42658"/>
    <cellStyle name="SHADEDSTORES 2 5 88" xfId="7671"/>
    <cellStyle name="SHADEDSTORES 2 5 88 10" xfId="42659"/>
    <cellStyle name="SHADEDSTORES 2 5 88 2" xfId="42660"/>
    <cellStyle name="SHADEDSTORES 2 5 88 3" xfId="42661"/>
    <cellStyle name="SHADEDSTORES 2 5 88 4" xfId="42662"/>
    <cellStyle name="SHADEDSTORES 2 5 88 5" xfId="42663"/>
    <cellStyle name="SHADEDSTORES 2 5 88 6" xfId="42664"/>
    <cellStyle name="SHADEDSTORES 2 5 88 7" xfId="42665"/>
    <cellStyle name="SHADEDSTORES 2 5 88 8" xfId="42666"/>
    <cellStyle name="SHADEDSTORES 2 5 88 9" xfId="42667"/>
    <cellStyle name="SHADEDSTORES 2 5 89" xfId="7672"/>
    <cellStyle name="SHADEDSTORES 2 5 89 10" xfId="42668"/>
    <cellStyle name="SHADEDSTORES 2 5 89 2" xfId="42669"/>
    <cellStyle name="SHADEDSTORES 2 5 89 3" xfId="42670"/>
    <cellStyle name="SHADEDSTORES 2 5 89 4" xfId="42671"/>
    <cellStyle name="SHADEDSTORES 2 5 89 5" xfId="42672"/>
    <cellStyle name="SHADEDSTORES 2 5 89 6" xfId="42673"/>
    <cellStyle name="SHADEDSTORES 2 5 89 7" xfId="42674"/>
    <cellStyle name="SHADEDSTORES 2 5 89 8" xfId="42675"/>
    <cellStyle name="SHADEDSTORES 2 5 89 9" xfId="42676"/>
    <cellStyle name="SHADEDSTORES 2 5 9" xfId="7673"/>
    <cellStyle name="SHADEDSTORES 2 5 9 2" xfId="42677"/>
    <cellStyle name="SHADEDSTORES 2 5 9 3" xfId="42678"/>
    <cellStyle name="SHADEDSTORES 2 5 9 4" xfId="42679"/>
    <cellStyle name="SHADEDSTORES 2 5 9 5" xfId="42680"/>
    <cellStyle name="SHADEDSTORES 2 5 9 6" xfId="42681"/>
    <cellStyle name="SHADEDSTORES 2 5 9 7" xfId="42682"/>
    <cellStyle name="SHADEDSTORES 2 5 9 8" xfId="42683"/>
    <cellStyle name="SHADEDSTORES 2 5 9 9" xfId="42684"/>
    <cellStyle name="SHADEDSTORES 2 5 90" xfId="7674"/>
    <cellStyle name="SHADEDSTORES 2 5 90 10" xfId="42685"/>
    <cellStyle name="SHADEDSTORES 2 5 90 2" xfId="42686"/>
    <cellStyle name="SHADEDSTORES 2 5 90 3" xfId="42687"/>
    <cellStyle name="SHADEDSTORES 2 5 90 4" xfId="42688"/>
    <cellStyle name="SHADEDSTORES 2 5 90 5" xfId="42689"/>
    <cellStyle name="SHADEDSTORES 2 5 90 6" xfId="42690"/>
    <cellStyle name="SHADEDSTORES 2 5 90 7" xfId="42691"/>
    <cellStyle name="SHADEDSTORES 2 5 90 8" xfId="42692"/>
    <cellStyle name="SHADEDSTORES 2 5 90 9" xfId="42693"/>
    <cellStyle name="SHADEDSTORES 2 5 91" xfId="7675"/>
    <cellStyle name="SHADEDSTORES 2 5 91 10" xfId="42694"/>
    <cellStyle name="SHADEDSTORES 2 5 91 2" xfId="42695"/>
    <cellStyle name="SHADEDSTORES 2 5 91 3" xfId="42696"/>
    <cellStyle name="SHADEDSTORES 2 5 91 4" xfId="42697"/>
    <cellStyle name="SHADEDSTORES 2 5 91 5" xfId="42698"/>
    <cellStyle name="SHADEDSTORES 2 5 91 6" xfId="42699"/>
    <cellStyle name="SHADEDSTORES 2 5 91 7" xfId="42700"/>
    <cellStyle name="SHADEDSTORES 2 5 91 8" xfId="42701"/>
    <cellStyle name="SHADEDSTORES 2 5 91 9" xfId="42702"/>
    <cellStyle name="SHADEDSTORES 2 5 92" xfId="7676"/>
    <cellStyle name="SHADEDSTORES 2 5 92 10" xfId="42703"/>
    <cellStyle name="SHADEDSTORES 2 5 92 2" xfId="42704"/>
    <cellStyle name="SHADEDSTORES 2 5 92 3" xfId="42705"/>
    <cellStyle name="SHADEDSTORES 2 5 92 4" xfId="42706"/>
    <cellStyle name="SHADEDSTORES 2 5 92 5" xfId="42707"/>
    <cellStyle name="SHADEDSTORES 2 5 92 6" xfId="42708"/>
    <cellStyle name="SHADEDSTORES 2 5 92 7" xfId="42709"/>
    <cellStyle name="SHADEDSTORES 2 5 92 8" xfId="42710"/>
    <cellStyle name="SHADEDSTORES 2 5 92 9" xfId="42711"/>
    <cellStyle name="SHADEDSTORES 2 5 93" xfId="7677"/>
    <cellStyle name="SHADEDSTORES 2 5 93 2" xfId="42712"/>
    <cellStyle name="SHADEDSTORES 2 5 93 3" xfId="42713"/>
    <cellStyle name="SHADEDSTORES 2 5 93 4" xfId="42714"/>
    <cellStyle name="SHADEDSTORES 2 5 93 5" xfId="42715"/>
    <cellStyle name="SHADEDSTORES 2 5 93 6" xfId="42716"/>
    <cellStyle name="SHADEDSTORES 2 5 93 7" xfId="42717"/>
    <cellStyle name="SHADEDSTORES 2 5 93 8" xfId="42718"/>
    <cellStyle name="SHADEDSTORES 2 5 93 9" xfId="42719"/>
    <cellStyle name="SHADEDSTORES 2 5 94" xfId="11828"/>
    <cellStyle name="SHADEDSTORES 2 5 95" xfId="42720"/>
    <cellStyle name="SHADEDSTORES 2 5 96" xfId="42721"/>
    <cellStyle name="SHADEDSTORES 2 5 97" xfId="42722"/>
    <cellStyle name="SHADEDSTORES 2 5 98" xfId="42723"/>
    <cellStyle name="SHADEDSTORES 2 5 99" xfId="42724"/>
    <cellStyle name="SHADEDSTORES 2 5_Cashflow trend" xfId="2561"/>
    <cellStyle name="SHADEDSTORES 2 50" xfId="7678"/>
    <cellStyle name="SHADEDSTORES 2 50 10" xfId="42725"/>
    <cellStyle name="SHADEDSTORES 2 50 2" xfId="42726"/>
    <cellStyle name="SHADEDSTORES 2 50 3" xfId="42727"/>
    <cellStyle name="SHADEDSTORES 2 50 4" xfId="42728"/>
    <cellStyle name="SHADEDSTORES 2 50 5" xfId="42729"/>
    <cellStyle name="SHADEDSTORES 2 50 6" xfId="42730"/>
    <cellStyle name="SHADEDSTORES 2 50 7" xfId="42731"/>
    <cellStyle name="SHADEDSTORES 2 50 8" xfId="42732"/>
    <cellStyle name="SHADEDSTORES 2 50 9" xfId="42733"/>
    <cellStyle name="SHADEDSTORES 2 51" xfId="7679"/>
    <cellStyle name="SHADEDSTORES 2 51 10" xfId="42734"/>
    <cellStyle name="SHADEDSTORES 2 51 2" xfId="42735"/>
    <cellStyle name="SHADEDSTORES 2 51 3" xfId="42736"/>
    <cellStyle name="SHADEDSTORES 2 51 4" xfId="42737"/>
    <cellStyle name="SHADEDSTORES 2 51 5" xfId="42738"/>
    <cellStyle name="SHADEDSTORES 2 51 6" xfId="42739"/>
    <cellStyle name="SHADEDSTORES 2 51 7" xfId="42740"/>
    <cellStyle name="SHADEDSTORES 2 51 8" xfId="42741"/>
    <cellStyle name="SHADEDSTORES 2 51 9" xfId="42742"/>
    <cellStyle name="SHADEDSTORES 2 52" xfId="7680"/>
    <cellStyle name="SHADEDSTORES 2 52 10" xfId="42743"/>
    <cellStyle name="SHADEDSTORES 2 52 2" xfId="42744"/>
    <cellStyle name="SHADEDSTORES 2 52 3" xfId="42745"/>
    <cellStyle name="SHADEDSTORES 2 52 4" xfId="42746"/>
    <cellStyle name="SHADEDSTORES 2 52 5" xfId="42747"/>
    <cellStyle name="SHADEDSTORES 2 52 6" xfId="42748"/>
    <cellStyle name="SHADEDSTORES 2 52 7" xfId="42749"/>
    <cellStyle name="SHADEDSTORES 2 52 8" xfId="42750"/>
    <cellStyle name="SHADEDSTORES 2 52 9" xfId="42751"/>
    <cellStyle name="SHADEDSTORES 2 53" xfId="7681"/>
    <cellStyle name="SHADEDSTORES 2 53 10" xfId="42752"/>
    <cellStyle name="SHADEDSTORES 2 53 2" xfId="42753"/>
    <cellStyle name="SHADEDSTORES 2 53 3" xfId="42754"/>
    <cellStyle name="SHADEDSTORES 2 53 4" xfId="42755"/>
    <cellStyle name="SHADEDSTORES 2 53 5" xfId="42756"/>
    <cellStyle name="SHADEDSTORES 2 53 6" xfId="42757"/>
    <cellStyle name="SHADEDSTORES 2 53 7" xfId="42758"/>
    <cellStyle name="SHADEDSTORES 2 53 8" xfId="42759"/>
    <cellStyle name="SHADEDSTORES 2 53 9" xfId="42760"/>
    <cellStyle name="SHADEDSTORES 2 54" xfId="7682"/>
    <cellStyle name="SHADEDSTORES 2 54 10" xfId="42761"/>
    <cellStyle name="SHADEDSTORES 2 54 2" xfId="42762"/>
    <cellStyle name="SHADEDSTORES 2 54 3" xfId="42763"/>
    <cellStyle name="SHADEDSTORES 2 54 4" xfId="42764"/>
    <cellStyle name="SHADEDSTORES 2 54 5" xfId="42765"/>
    <cellStyle name="SHADEDSTORES 2 54 6" xfId="42766"/>
    <cellStyle name="SHADEDSTORES 2 54 7" xfId="42767"/>
    <cellStyle name="SHADEDSTORES 2 54 8" xfId="42768"/>
    <cellStyle name="SHADEDSTORES 2 54 9" xfId="42769"/>
    <cellStyle name="SHADEDSTORES 2 55" xfId="7683"/>
    <cellStyle name="SHADEDSTORES 2 55 10" xfId="42770"/>
    <cellStyle name="SHADEDSTORES 2 55 2" xfId="42771"/>
    <cellStyle name="SHADEDSTORES 2 55 3" xfId="42772"/>
    <cellStyle name="SHADEDSTORES 2 55 4" xfId="42773"/>
    <cellStyle name="SHADEDSTORES 2 55 5" xfId="42774"/>
    <cellStyle name="SHADEDSTORES 2 55 6" xfId="42775"/>
    <cellStyle name="SHADEDSTORES 2 55 7" xfId="42776"/>
    <cellStyle name="SHADEDSTORES 2 55 8" xfId="42777"/>
    <cellStyle name="SHADEDSTORES 2 55 9" xfId="42778"/>
    <cellStyle name="SHADEDSTORES 2 56" xfId="7684"/>
    <cellStyle name="SHADEDSTORES 2 56 10" xfId="42779"/>
    <cellStyle name="SHADEDSTORES 2 56 2" xfId="42780"/>
    <cellStyle name="SHADEDSTORES 2 56 3" xfId="42781"/>
    <cellStyle name="SHADEDSTORES 2 56 4" xfId="42782"/>
    <cellStyle name="SHADEDSTORES 2 56 5" xfId="42783"/>
    <cellStyle name="SHADEDSTORES 2 56 6" xfId="42784"/>
    <cellStyle name="SHADEDSTORES 2 56 7" xfId="42785"/>
    <cellStyle name="SHADEDSTORES 2 56 8" xfId="42786"/>
    <cellStyle name="SHADEDSTORES 2 56 9" xfId="42787"/>
    <cellStyle name="SHADEDSTORES 2 57" xfId="7685"/>
    <cellStyle name="SHADEDSTORES 2 57 10" xfId="42788"/>
    <cellStyle name="SHADEDSTORES 2 57 2" xfId="42789"/>
    <cellStyle name="SHADEDSTORES 2 57 3" xfId="42790"/>
    <cellStyle name="SHADEDSTORES 2 57 4" xfId="42791"/>
    <cellStyle name="SHADEDSTORES 2 57 5" xfId="42792"/>
    <cellStyle name="SHADEDSTORES 2 57 6" xfId="42793"/>
    <cellStyle name="SHADEDSTORES 2 57 7" xfId="42794"/>
    <cellStyle name="SHADEDSTORES 2 57 8" xfId="42795"/>
    <cellStyle name="SHADEDSTORES 2 57 9" xfId="42796"/>
    <cellStyle name="SHADEDSTORES 2 58" xfId="7686"/>
    <cellStyle name="SHADEDSTORES 2 58 2" xfId="42797"/>
    <cellStyle name="SHADEDSTORES 2 58 3" xfId="42798"/>
    <cellStyle name="SHADEDSTORES 2 58 4" xfId="42799"/>
    <cellStyle name="SHADEDSTORES 2 58 5" xfId="42800"/>
    <cellStyle name="SHADEDSTORES 2 58 6" xfId="42801"/>
    <cellStyle name="SHADEDSTORES 2 58 7" xfId="42802"/>
    <cellStyle name="SHADEDSTORES 2 58 8" xfId="42803"/>
    <cellStyle name="SHADEDSTORES 2 58 9" xfId="42804"/>
    <cellStyle name="SHADEDSTORES 2 59" xfId="7687"/>
    <cellStyle name="SHADEDSTORES 2 59 10" xfId="42805"/>
    <cellStyle name="SHADEDSTORES 2 59 2" xfId="42806"/>
    <cellStyle name="SHADEDSTORES 2 59 3" xfId="42807"/>
    <cellStyle name="SHADEDSTORES 2 59 4" xfId="42808"/>
    <cellStyle name="SHADEDSTORES 2 59 5" xfId="42809"/>
    <cellStyle name="SHADEDSTORES 2 59 6" xfId="42810"/>
    <cellStyle name="SHADEDSTORES 2 59 7" xfId="42811"/>
    <cellStyle name="SHADEDSTORES 2 59 8" xfId="42812"/>
    <cellStyle name="SHADEDSTORES 2 59 9" xfId="42813"/>
    <cellStyle name="SHADEDSTORES 2 6" xfId="2562"/>
    <cellStyle name="SHADEDSTORES 2 6 10" xfId="42814"/>
    <cellStyle name="SHADEDSTORES 2 6 11" xfId="42815"/>
    <cellStyle name="SHADEDSTORES 2 6 2" xfId="11549"/>
    <cellStyle name="SHADEDSTORES 2 6 3" xfId="42816"/>
    <cellStyle name="SHADEDSTORES 2 6 4" xfId="42817"/>
    <cellStyle name="SHADEDSTORES 2 6 5" xfId="42818"/>
    <cellStyle name="SHADEDSTORES 2 6 6" xfId="42819"/>
    <cellStyle name="SHADEDSTORES 2 6 7" xfId="42820"/>
    <cellStyle name="SHADEDSTORES 2 6 8" xfId="42821"/>
    <cellStyle name="SHADEDSTORES 2 6 9" xfId="42822"/>
    <cellStyle name="SHADEDSTORES 2 6_YL Capex Cashflow &amp; Dep" xfId="13545"/>
    <cellStyle name="SHADEDSTORES 2 60" xfId="7688"/>
    <cellStyle name="SHADEDSTORES 2 60 10" xfId="42823"/>
    <cellStyle name="SHADEDSTORES 2 60 2" xfId="42824"/>
    <cellStyle name="SHADEDSTORES 2 60 3" xfId="42825"/>
    <cellStyle name="SHADEDSTORES 2 60 4" xfId="42826"/>
    <cellStyle name="SHADEDSTORES 2 60 5" xfId="42827"/>
    <cellStyle name="SHADEDSTORES 2 60 6" xfId="42828"/>
    <cellStyle name="SHADEDSTORES 2 60 7" xfId="42829"/>
    <cellStyle name="SHADEDSTORES 2 60 8" xfId="42830"/>
    <cellStyle name="SHADEDSTORES 2 60 9" xfId="42831"/>
    <cellStyle name="SHADEDSTORES 2 61" xfId="7689"/>
    <cellStyle name="SHADEDSTORES 2 61 10" xfId="42832"/>
    <cellStyle name="SHADEDSTORES 2 61 2" xfId="42833"/>
    <cellStyle name="SHADEDSTORES 2 61 3" xfId="42834"/>
    <cellStyle name="SHADEDSTORES 2 61 4" xfId="42835"/>
    <cellStyle name="SHADEDSTORES 2 61 5" xfId="42836"/>
    <cellStyle name="SHADEDSTORES 2 61 6" xfId="42837"/>
    <cellStyle name="SHADEDSTORES 2 61 7" xfId="42838"/>
    <cellStyle name="SHADEDSTORES 2 61 8" xfId="42839"/>
    <cellStyle name="SHADEDSTORES 2 61 9" xfId="42840"/>
    <cellStyle name="SHADEDSTORES 2 62" xfId="7690"/>
    <cellStyle name="SHADEDSTORES 2 62 10" xfId="42841"/>
    <cellStyle name="SHADEDSTORES 2 62 2" xfId="42842"/>
    <cellStyle name="SHADEDSTORES 2 62 3" xfId="42843"/>
    <cellStyle name="SHADEDSTORES 2 62 4" xfId="42844"/>
    <cellStyle name="SHADEDSTORES 2 62 5" xfId="42845"/>
    <cellStyle name="SHADEDSTORES 2 62 6" xfId="42846"/>
    <cellStyle name="SHADEDSTORES 2 62 7" xfId="42847"/>
    <cellStyle name="SHADEDSTORES 2 62 8" xfId="42848"/>
    <cellStyle name="SHADEDSTORES 2 62 9" xfId="42849"/>
    <cellStyle name="SHADEDSTORES 2 63" xfId="7691"/>
    <cellStyle name="SHADEDSTORES 2 63 10" xfId="42850"/>
    <cellStyle name="SHADEDSTORES 2 63 2" xfId="42851"/>
    <cellStyle name="SHADEDSTORES 2 63 3" xfId="42852"/>
    <cellStyle name="SHADEDSTORES 2 63 4" xfId="42853"/>
    <cellStyle name="SHADEDSTORES 2 63 5" xfId="42854"/>
    <cellStyle name="SHADEDSTORES 2 63 6" xfId="42855"/>
    <cellStyle name="SHADEDSTORES 2 63 7" xfId="42856"/>
    <cellStyle name="SHADEDSTORES 2 63 8" xfId="42857"/>
    <cellStyle name="SHADEDSTORES 2 63 9" xfId="42858"/>
    <cellStyle name="SHADEDSTORES 2 64" xfId="7692"/>
    <cellStyle name="SHADEDSTORES 2 64 10" xfId="42859"/>
    <cellStyle name="SHADEDSTORES 2 64 2" xfId="42860"/>
    <cellStyle name="SHADEDSTORES 2 64 3" xfId="42861"/>
    <cellStyle name="SHADEDSTORES 2 64 4" xfId="42862"/>
    <cellStyle name="SHADEDSTORES 2 64 5" xfId="42863"/>
    <cellStyle name="SHADEDSTORES 2 64 6" xfId="42864"/>
    <cellStyle name="SHADEDSTORES 2 64 7" xfId="42865"/>
    <cellStyle name="SHADEDSTORES 2 64 8" xfId="42866"/>
    <cellStyle name="SHADEDSTORES 2 64 9" xfId="42867"/>
    <cellStyle name="SHADEDSTORES 2 65" xfId="7693"/>
    <cellStyle name="SHADEDSTORES 2 65 10" xfId="42868"/>
    <cellStyle name="SHADEDSTORES 2 65 2" xfId="42869"/>
    <cellStyle name="SHADEDSTORES 2 65 3" xfId="42870"/>
    <cellStyle name="SHADEDSTORES 2 65 4" xfId="42871"/>
    <cellStyle name="SHADEDSTORES 2 65 5" xfId="42872"/>
    <cellStyle name="SHADEDSTORES 2 65 6" xfId="42873"/>
    <cellStyle name="SHADEDSTORES 2 65 7" xfId="42874"/>
    <cellStyle name="SHADEDSTORES 2 65 8" xfId="42875"/>
    <cellStyle name="SHADEDSTORES 2 65 9" xfId="42876"/>
    <cellStyle name="SHADEDSTORES 2 66" xfId="7694"/>
    <cellStyle name="SHADEDSTORES 2 66 10" xfId="42877"/>
    <cellStyle name="SHADEDSTORES 2 66 2" xfId="42878"/>
    <cellStyle name="SHADEDSTORES 2 66 3" xfId="42879"/>
    <cellStyle name="SHADEDSTORES 2 66 4" xfId="42880"/>
    <cellStyle name="SHADEDSTORES 2 66 5" xfId="42881"/>
    <cellStyle name="SHADEDSTORES 2 66 6" xfId="42882"/>
    <cellStyle name="SHADEDSTORES 2 66 7" xfId="42883"/>
    <cellStyle name="SHADEDSTORES 2 66 8" xfId="42884"/>
    <cellStyle name="SHADEDSTORES 2 66 9" xfId="42885"/>
    <cellStyle name="SHADEDSTORES 2 67" xfId="7695"/>
    <cellStyle name="SHADEDSTORES 2 67 10" xfId="42886"/>
    <cellStyle name="SHADEDSTORES 2 67 2" xfId="42887"/>
    <cellStyle name="SHADEDSTORES 2 67 3" xfId="42888"/>
    <cellStyle name="SHADEDSTORES 2 67 4" xfId="42889"/>
    <cellStyle name="SHADEDSTORES 2 67 5" xfId="42890"/>
    <cellStyle name="SHADEDSTORES 2 67 6" xfId="42891"/>
    <cellStyle name="SHADEDSTORES 2 67 7" xfId="42892"/>
    <cellStyle name="SHADEDSTORES 2 67 8" xfId="42893"/>
    <cellStyle name="SHADEDSTORES 2 67 9" xfId="42894"/>
    <cellStyle name="SHADEDSTORES 2 68" xfId="7696"/>
    <cellStyle name="SHADEDSTORES 2 68 10" xfId="42895"/>
    <cellStyle name="SHADEDSTORES 2 68 2" xfId="42896"/>
    <cellStyle name="SHADEDSTORES 2 68 3" xfId="42897"/>
    <cellStyle name="SHADEDSTORES 2 68 4" xfId="42898"/>
    <cellStyle name="SHADEDSTORES 2 68 5" xfId="42899"/>
    <cellStyle name="SHADEDSTORES 2 68 6" xfId="42900"/>
    <cellStyle name="SHADEDSTORES 2 68 7" xfId="42901"/>
    <cellStyle name="SHADEDSTORES 2 68 8" xfId="42902"/>
    <cellStyle name="SHADEDSTORES 2 68 9" xfId="42903"/>
    <cellStyle name="SHADEDSTORES 2 69" xfId="7697"/>
    <cellStyle name="SHADEDSTORES 2 69 10" xfId="42904"/>
    <cellStyle name="SHADEDSTORES 2 69 2" xfId="42905"/>
    <cellStyle name="SHADEDSTORES 2 69 3" xfId="42906"/>
    <cellStyle name="SHADEDSTORES 2 69 4" xfId="42907"/>
    <cellStyle name="SHADEDSTORES 2 69 5" xfId="42908"/>
    <cellStyle name="SHADEDSTORES 2 69 6" xfId="42909"/>
    <cellStyle name="SHADEDSTORES 2 69 7" xfId="42910"/>
    <cellStyle name="SHADEDSTORES 2 69 8" xfId="42911"/>
    <cellStyle name="SHADEDSTORES 2 69 9" xfId="42912"/>
    <cellStyle name="SHADEDSTORES 2 7" xfId="2563"/>
    <cellStyle name="SHADEDSTORES 2 7 10" xfId="42913"/>
    <cellStyle name="SHADEDSTORES 2 7 2" xfId="12259"/>
    <cellStyle name="SHADEDSTORES 2 7 3" xfId="42914"/>
    <cellStyle name="SHADEDSTORES 2 7 4" xfId="42915"/>
    <cellStyle name="SHADEDSTORES 2 7 5" xfId="42916"/>
    <cellStyle name="SHADEDSTORES 2 7 6" xfId="42917"/>
    <cellStyle name="SHADEDSTORES 2 7 7" xfId="42918"/>
    <cellStyle name="SHADEDSTORES 2 7 8" xfId="42919"/>
    <cellStyle name="SHADEDSTORES 2 7 9" xfId="42920"/>
    <cellStyle name="SHADEDSTORES 2 7_YL Capex Cashflow &amp; Dep" xfId="13546"/>
    <cellStyle name="SHADEDSTORES 2 70" xfId="7698"/>
    <cellStyle name="SHADEDSTORES 2 70 2" xfId="42921"/>
    <cellStyle name="SHADEDSTORES 2 70 3" xfId="42922"/>
    <cellStyle name="SHADEDSTORES 2 70 4" xfId="42923"/>
    <cellStyle name="SHADEDSTORES 2 70 5" xfId="42924"/>
    <cellStyle name="SHADEDSTORES 2 70 6" xfId="42925"/>
    <cellStyle name="SHADEDSTORES 2 70 7" xfId="42926"/>
    <cellStyle name="SHADEDSTORES 2 70 8" xfId="42927"/>
    <cellStyle name="SHADEDSTORES 2 70 9" xfId="42928"/>
    <cellStyle name="SHADEDSTORES 2 71" xfId="7699"/>
    <cellStyle name="SHADEDSTORES 2 71 10" xfId="42929"/>
    <cellStyle name="SHADEDSTORES 2 71 2" xfId="42930"/>
    <cellStyle name="SHADEDSTORES 2 71 3" xfId="42931"/>
    <cellStyle name="SHADEDSTORES 2 71 4" xfId="42932"/>
    <cellStyle name="SHADEDSTORES 2 71 5" xfId="42933"/>
    <cellStyle name="SHADEDSTORES 2 71 6" xfId="42934"/>
    <cellStyle name="SHADEDSTORES 2 71 7" xfId="42935"/>
    <cellStyle name="SHADEDSTORES 2 71 8" xfId="42936"/>
    <cellStyle name="SHADEDSTORES 2 71 9" xfId="42937"/>
    <cellStyle name="SHADEDSTORES 2 72" xfId="7700"/>
    <cellStyle name="SHADEDSTORES 2 72 10" xfId="42938"/>
    <cellStyle name="SHADEDSTORES 2 72 2" xfId="42939"/>
    <cellStyle name="SHADEDSTORES 2 72 3" xfId="42940"/>
    <cellStyle name="SHADEDSTORES 2 72 4" xfId="42941"/>
    <cellStyle name="SHADEDSTORES 2 72 5" xfId="42942"/>
    <cellStyle name="SHADEDSTORES 2 72 6" xfId="42943"/>
    <cellStyle name="SHADEDSTORES 2 72 7" xfId="42944"/>
    <cellStyle name="SHADEDSTORES 2 72 8" xfId="42945"/>
    <cellStyle name="SHADEDSTORES 2 72 9" xfId="42946"/>
    <cellStyle name="SHADEDSTORES 2 73" xfId="7701"/>
    <cellStyle name="SHADEDSTORES 2 73 10" xfId="42947"/>
    <cellStyle name="SHADEDSTORES 2 73 2" xfId="42948"/>
    <cellStyle name="SHADEDSTORES 2 73 3" xfId="42949"/>
    <cellStyle name="SHADEDSTORES 2 73 4" xfId="42950"/>
    <cellStyle name="SHADEDSTORES 2 73 5" xfId="42951"/>
    <cellStyle name="SHADEDSTORES 2 73 6" xfId="42952"/>
    <cellStyle name="SHADEDSTORES 2 73 7" xfId="42953"/>
    <cellStyle name="SHADEDSTORES 2 73 8" xfId="42954"/>
    <cellStyle name="SHADEDSTORES 2 73 9" xfId="42955"/>
    <cellStyle name="SHADEDSTORES 2 74" xfId="7702"/>
    <cellStyle name="SHADEDSTORES 2 74 10" xfId="42956"/>
    <cellStyle name="SHADEDSTORES 2 74 2" xfId="42957"/>
    <cellStyle name="SHADEDSTORES 2 74 3" xfId="42958"/>
    <cellStyle name="SHADEDSTORES 2 74 4" xfId="42959"/>
    <cellStyle name="SHADEDSTORES 2 74 5" xfId="42960"/>
    <cellStyle name="SHADEDSTORES 2 74 6" xfId="42961"/>
    <cellStyle name="SHADEDSTORES 2 74 7" xfId="42962"/>
    <cellStyle name="SHADEDSTORES 2 74 8" xfId="42963"/>
    <cellStyle name="SHADEDSTORES 2 74 9" xfId="42964"/>
    <cellStyle name="SHADEDSTORES 2 75" xfId="7703"/>
    <cellStyle name="SHADEDSTORES 2 75 10" xfId="42965"/>
    <cellStyle name="SHADEDSTORES 2 75 2" xfId="42966"/>
    <cellStyle name="SHADEDSTORES 2 75 3" xfId="42967"/>
    <cellStyle name="SHADEDSTORES 2 75 4" xfId="42968"/>
    <cellStyle name="SHADEDSTORES 2 75 5" xfId="42969"/>
    <cellStyle name="SHADEDSTORES 2 75 6" xfId="42970"/>
    <cellStyle name="SHADEDSTORES 2 75 7" xfId="42971"/>
    <cellStyle name="SHADEDSTORES 2 75 8" xfId="42972"/>
    <cellStyle name="SHADEDSTORES 2 75 9" xfId="42973"/>
    <cellStyle name="SHADEDSTORES 2 76" xfId="7704"/>
    <cellStyle name="SHADEDSTORES 2 76 10" xfId="42974"/>
    <cellStyle name="SHADEDSTORES 2 76 2" xfId="42975"/>
    <cellStyle name="SHADEDSTORES 2 76 3" xfId="42976"/>
    <cellStyle name="SHADEDSTORES 2 76 4" xfId="42977"/>
    <cellStyle name="SHADEDSTORES 2 76 5" xfId="42978"/>
    <cellStyle name="SHADEDSTORES 2 76 6" xfId="42979"/>
    <cellStyle name="SHADEDSTORES 2 76 7" xfId="42980"/>
    <cellStyle name="SHADEDSTORES 2 76 8" xfId="42981"/>
    <cellStyle name="SHADEDSTORES 2 76 9" xfId="42982"/>
    <cellStyle name="SHADEDSTORES 2 77" xfId="7705"/>
    <cellStyle name="SHADEDSTORES 2 77 10" xfId="42983"/>
    <cellStyle name="SHADEDSTORES 2 77 2" xfId="42984"/>
    <cellStyle name="SHADEDSTORES 2 77 3" xfId="42985"/>
    <cellStyle name="SHADEDSTORES 2 77 4" xfId="42986"/>
    <cellStyle name="SHADEDSTORES 2 77 5" xfId="42987"/>
    <cellStyle name="SHADEDSTORES 2 77 6" xfId="42988"/>
    <cellStyle name="SHADEDSTORES 2 77 7" xfId="42989"/>
    <cellStyle name="SHADEDSTORES 2 77 8" xfId="42990"/>
    <cellStyle name="SHADEDSTORES 2 77 9" xfId="42991"/>
    <cellStyle name="SHADEDSTORES 2 78" xfId="7706"/>
    <cellStyle name="SHADEDSTORES 2 78 10" xfId="42992"/>
    <cellStyle name="SHADEDSTORES 2 78 2" xfId="42993"/>
    <cellStyle name="SHADEDSTORES 2 78 3" xfId="42994"/>
    <cellStyle name="SHADEDSTORES 2 78 4" xfId="42995"/>
    <cellStyle name="SHADEDSTORES 2 78 5" xfId="42996"/>
    <cellStyle name="SHADEDSTORES 2 78 6" xfId="42997"/>
    <cellStyle name="SHADEDSTORES 2 78 7" xfId="42998"/>
    <cellStyle name="SHADEDSTORES 2 78 8" xfId="42999"/>
    <cellStyle name="SHADEDSTORES 2 78 9" xfId="43000"/>
    <cellStyle name="SHADEDSTORES 2 79" xfId="7707"/>
    <cellStyle name="SHADEDSTORES 2 79 10" xfId="43001"/>
    <cellStyle name="SHADEDSTORES 2 79 2" xfId="43002"/>
    <cellStyle name="SHADEDSTORES 2 79 3" xfId="43003"/>
    <cellStyle name="SHADEDSTORES 2 79 4" xfId="43004"/>
    <cellStyle name="SHADEDSTORES 2 79 5" xfId="43005"/>
    <cellStyle name="SHADEDSTORES 2 79 6" xfId="43006"/>
    <cellStyle name="SHADEDSTORES 2 79 7" xfId="43007"/>
    <cellStyle name="SHADEDSTORES 2 79 8" xfId="43008"/>
    <cellStyle name="SHADEDSTORES 2 79 9" xfId="43009"/>
    <cellStyle name="SHADEDSTORES 2 8" xfId="2564"/>
    <cellStyle name="SHADEDSTORES 2 8 10" xfId="43010"/>
    <cellStyle name="SHADEDSTORES 2 8 11" xfId="43011"/>
    <cellStyle name="SHADEDSTORES 2 8 2" xfId="12791"/>
    <cellStyle name="SHADEDSTORES 2 8 3" xfId="43012"/>
    <cellStyle name="SHADEDSTORES 2 8 4" xfId="43013"/>
    <cellStyle name="SHADEDSTORES 2 8 5" xfId="43014"/>
    <cellStyle name="SHADEDSTORES 2 8 6" xfId="43015"/>
    <cellStyle name="SHADEDSTORES 2 8 7" xfId="43016"/>
    <cellStyle name="SHADEDSTORES 2 8 8" xfId="43017"/>
    <cellStyle name="SHADEDSTORES 2 8 9" xfId="43018"/>
    <cellStyle name="SHADEDSTORES 2 8_YL Capex Cashflow &amp; Dep" xfId="13547"/>
    <cellStyle name="SHADEDSTORES 2 80" xfId="7708"/>
    <cellStyle name="SHADEDSTORES 2 80 10" xfId="43019"/>
    <cellStyle name="SHADEDSTORES 2 80 2" xfId="43020"/>
    <cellStyle name="SHADEDSTORES 2 80 3" xfId="43021"/>
    <cellStyle name="SHADEDSTORES 2 80 4" xfId="43022"/>
    <cellStyle name="SHADEDSTORES 2 80 5" xfId="43023"/>
    <cellStyle name="SHADEDSTORES 2 80 6" xfId="43024"/>
    <cellStyle name="SHADEDSTORES 2 80 7" xfId="43025"/>
    <cellStyle name="SHADEDSTORES 2 80 8" xfId="43026"/>
    <cellStyle name="SHADEDSTORES 2 80 9" xfId="43027"/>
    <cellStyle name="SHADEDSTORES 2 81" xfId="7709"/>
    <cellStyle name="SHADEDSTORES 2 81 10" xfId="43028"/>
    <cellStyle name="SHADEDSTORES 2 81 2" xfId="43029"/>
    <cellStyle name="SHADEDSTORES 2 81 3" xfId="43030"/>
    <cellStyle name="SHADEDSTORES 2 81 4" xfId="43031"/>
    <cellStyle name="SHADEDSTORES 2 81 5" xfId="43032"/>
    <cellStyle name="SHADEDSTORES 2 81 6" xfId="43033"/>
    <cellStyle name="SHADEDSTORES 2 81 7" xfId="43034"/>
    <cellStyle name="SHADEDSTORES 2 81 8" xfId="43035"/>
    <cellStyle name="SHADEDSTORES 2 81 9" xfId="43036"/>
    <cellStyle name="SHADEDSTORES 2 82" xfId="7710"/>
    <cellStyle name="SHADEDSTORES 2 82 10" xfId="43037"/>
    <cellStyle name="SHADEDSTORES 2 82 2" xfId="43038"/>
    <cellStyle name="SHADEDSTORES 2 82 3" xfId="43039"/>
    <cellStyle name="SHADEDSTORES 2 82 4" xfId="43040"/>
    <cellStyle name="SHADEDSTORES 2 82 5" xfId="43041"/>
    <cellStyle name="SHADEDSTORES 2 82 6" xfId="43042"/>
    <cellStyle name="SHADEDSTORES 2 82 7" xfId="43043"/>
    <cellStyle name="SHADEDSTORES 2 82 8" xfId="43044"/>
    <cellStyle name="SHADEDSTORES 2 82 9" xfId="43045"/>
    <cellStyle name="SHADEDSTORES 2 83" xfId="7711"/>
    <cellStyle name="SHADEDSTORES 2 83 10" xfId="43046"/>
    <cellStyle name="SHADEDSTORES 2 83 2" xfId="43047"/>
    <cellStyle name="SHADEDSTORES 2 83 3" xfId="43048"/>
    <cellStyle name="SHADEDSTORES 2 83 4" xfId="43049"/>
    <cellStyle name="SHADEDSTORES 2 83 5" xfId="43050"/>
    <cellStyle name="SHADEDSTORES 2 83 6" xfId="43051"/>
    <cellStyle name="SHADEDSTORES 2 83 7" xfId="43052"/>
    <cellStyle name="SHADEDSTORES 2 83 8" xfId="43053"/>
    <cellStyle name="SHADEDSTORES 2 83 9" xfId="43054"/>
    <cellStyle name="SHADEDSTORES 2 84" xfId="7712"/>
    <cellStyle name="SHADEDSTORES 2 84 10" xfId="43055"/>
    <cellStyle name="SHADEDSTORES 2 84 2" xfId="43056"/>
    <cellStyle name="SHADEDSTORES 2 84 3" xfId="43057"/>
    <cellStyle name="SHADEDSTORES 2 84 4" xfId="43058"/>
    <cellStyle name="SHADEDSTORES 2 84 5" xfId="43059"/>
    <cellStyle name="SHADEDSTORES 2 84 6" xfId="43060"/>
    <cellStyle name="SHADEDSTORES 2 84 7" xfId="43061"/>
    <cellStyle name="SHADEDSTORES 2 84 8" xfId="43062"/>
    <cellStyle name="SHADEDSTORES 2 84 9" xfId="43063"/>
    <cellStyle name="SHADEDSTORES 2 85" xfId="7713"/>
    <cellStyle name="SHADEDSTORES 2 85 10" xfId="43064"/>
    <cellStyle name="SHADEDSTORES 2 85 2" xfId="43065"/>
    <cellStyle name="SHADEDSTORES 2 85 3" xfId="43066"/>
    <cellStyle name="SHADEDSTORES 2 85 4" xfId="43067"/>
    <cellStyle name="SHADEDSTORES 2 85 5" xfId="43068"/>
    <cellStyle name="SHADEDSTORES 2 85 6" xfId="43069"/>
    <cellStyle name="SHADEDSTORES 2 85 7" xfId="43070"/>
    <cellStyle name="SHADEDSTORES 2 85 8" xfId="43071"/>
    <cellStyle name="SHADEDSTORES 2 85 9" xfId="43072"/>
    <cellStyle name="SHADEDSTORES 2 86" xfId="7714"/>
    <cellStyle name="SHADEDSTORES 2 86 10" xfId="43073"/>
    <cellStyle name="SHADEDSTORES 2 86 2" xfId="43074"/>
    <cellStyle name="SHADEDSTORES 2 86 3" xfId="43075"/>
    <cellStyle name="SHADEDSTORES 2 86 4" xfId="43076"/>
    <cellStyle name="SHADEDSTORES 2 86 5" xfId="43077"/>
    <cellStyle name="SHADEDSTORES 2 86 6" xfId="43078"/>
    <cellStyle name="SHADEDSTORES 2 86 7" xfId="43079"/>
    <cellStyle name="SHADEDSTORES 2 86 8" xfId="43080"/>
    <cellStyle name="SHADEDSTORES 2 86 9" xfId="43081"/>
    <cellStyle name="SHADEDSTORES 2 87" xfId="7715"/>
    <cellStyle name="SHADEDSTORES 2 87 10" xfId="43082"/>
    <cellStyle name="SHADEDSTORES 2 87 2" xfId="43083"/>
    <cellStyle name="SHADEDSTORES 2 87 3" xfId="43084"/>
    <cellStyle name="SHADEDSTORES 2 87 4" xfId="43085"/>
    <cellStyle name="SHADEDSTORES 2 87 5" xfId="43086"/>
    <cellStyle name="SHADEDSTORES 2 87 6" xfId="43087"/>
    <cellStyle name="SHADEDSTORES 2 87 7" xfId="43088"/>
    <cellStyle name="SHADEDSTORES 2 87 8" xfId="43089"/>
    <cellStyle name="SHADEDSTORES 2 87 9" xfId="43090"/>
    <cellStyle name="SHADEDSTORES 2 88" xfId="7716"/>
    <cellStyle name="SHADEDSTORES 2 88 10" xfId="43091"/>
    <cellStyle name="SHADEDSTORES 2 88 2" xfId="43092"/>
    <cellStyle name="SHADEDSTORES 2 88 3" xfId="43093"/>
    <cellStyle name="SHADEDSTORES 2 88 4" xfId="43094"/>
    <cellStyle name="SHADEDSTORES 2 88 5" xfId="43095"/>
    <cellStyle name="SHADEDSTORES 2 88 6" xfId="43096"/>
    <cellStyle name="SHADEDSTORES 2 88 7" xfId="43097"/>
    <cellStyle name="SHADEDSTORES 2 88 8" xfId="43098"/>
    <cellStyle name="SHADEDSTORES 2 88 9" xfId="43099"/>
    <cellStyle name="SHADEDSTORES 2 89" xfId="7717"/>
    <cellStyle name="SHADEDSTORES 2 89 10" xfId="43100"/>
    <cellStyle name="SHADEDSTORES 2 89 2" xfId="43101"/>
    <cellStyle name="SHADEDSTORES 2 89 3" xfId="43102"/>
    <cellStyle name="SHADEDSTORES 2 89 4" xfId="43103"/>
    <cellStyle name="SHADEDSTORES 2 89 5" xfId="43104"/>
    <cellStyle name="SHADEDSTORES 2 89 6" xfId="43105"/>
    <cellStyle name="SHADEDSTORES 2 89 7" xfId="43106"/>
    <cellStyle name="SHADEDSTORES 2 89 8" xfId="43107"/>
    <cellStyle name="SHADEDSTORES 2 89 9" xfId="43108"/>
    <cellStyle name="SHADEDSTORES 2 9" xfId="7718"/>
    <cellStyle name="SHADEDSTORES 2 9 10" xfId="43109"/>
    <cellStyle name="SHADEDSTORES 2 9 2" xfId="43110"/>
    <cellStyle name="SHADEDSTORES 2 9 3" xfId="43111"/>
    <cellStyle name="SHADEDSTORES 2 9 4" xfId="43112"/>
    <cellStyle name="SHADEDSTORES 2 9 5" xfId="43113"/>
    <cellStyle name="SHADEDSTORES 2 9 6" xfId="43114"/>
    <cellStyle name="SHADEDSTORES 2 9 7" xfId="43115"/>
    <cellStyle name="SHADEDSTORES 2 9 8" xfId="43116"/>
    <cellStyle name="SHADEDSTORES 2 9 9" xfId="43117"/>
    <cellStyle name="SHADEDSTORES 2 90" xfId="7719"/>
    <cellStyle name="SHADEDSTORES 2 90 10" xfId="43118"/>
    <cellStyle name="SHADEDSTORES 2 90 2" xfId="43119"/>
    <cellStyle name="SHADEDSTORES 2 90 3" xfId="43120"/>
    <cellStyle name="SHADEDSTORES 2 90 4" xfId="43121"/>
    <cellStyle name="SHADEDSTORES 2 90 5" xfId="43122"/>
    <cellStyle name="SHADEDSTORES 2 90 6" xfId="43123"/>
    <cellStyle name="SHADEDSTORES 2 90 7" xfId="43124"/>
    <cellStyle name="SHADEDSTORES 2 90 8" xfId="43125"/>
    <cellStyle name="SHADEDSTORES 2 90 9" xfId="43126"/>
    <cellStyle name="SHADEDSTORES 2 91" xfId="7720"/>
    <cellStyle name="SHADEDSTORES 2 91 10" xfId="43127"/>
    <cellStyle name="SHADEDSTORES 2 91 2" xfId="43128"/>
    <cellStyle name="SHADEDSTORES 2 91 3" xfId="43129"/>
    <cellStyle name="SHADEDSTORES 2 91 4" xfId="43130"/>
    <cellStyle name="SHADEDSTORES 2 91 5" xfId="43131"/>
    <cellStyle name="SHADEDSTORES 2 91 6" xfId="43132"/>
    <cellStyle name="SHADEDSTORES 2 91 7" xfId="43133"/>
    <cellStyle name="SHADEDSTORES 2 91 8" xfId="43134"/>
    <cellStyle name="SHADEDSTORES 2 91 9" xfId="43135"/>
    <cellStyle name="SHADEDSTORES 2 92" xfId="7721"/>
    <cellStyle name="SHADEDSTORES 2 92 10" xfId="43136"/>
    <cellStyle name="SHADEDSTORES 2 92 2" xfId="43137"/>
    <cellStyle name="SHADEDSTORES 2 92 3" xfId="43138"/>
    <cellStyle name="SHADEDSTORES 2 92 4" xfId="43139"/>
    <cellStyle name="SHADEDSTORES 2 92 5" xfId="43140"/>
    <cellStyle name="SHADEDSTORES 2 92 6" xfId="43141"/>
    <cellStyle name="SHADEDSTORES 2 92 7" xfId="43142"/>
    <cellStyle name="SHADEDSTORES 2 92 8" xfId="43143"/>
    <cellStyle name="SHADEDSTORES 2 92 9" xfId="43144"/>
    <cellStyle name="SHADEDSTORES 2 93" xfId="7722"/>
    <cellStyle name="SHADEDSTORES 2 93 10" xfId="43145"/>
    <cellStyle name="SHADEDSTORES 2 93 2" xfId="43146"/>
    <cellStyle name="SHADEDSTORES 2 93 3" xfId="43147"/>
    <cellStyle name="SHADEDSTORES 2 93 4" xfId="43148"/>
    <cellStyle name="SHADEDSTORES 2 93 5" xfId="43149"/>
    <cellStyle name="SHADEDSTORES 2 93 6" xfId="43150"/>
    <cellStyle name="SHADEDSTORES 2 93 7" xfId="43151"/>
    <cellStyle name="SHADEDSTORES 2 93 8" xfId="43152"/>
    <cellStyle name="SHADEDSTORES 2 93 9" xfId="43153"/>
    <cellStyle name="SHADEDSTORES 2 94" xfId="7723"/>
    <cellStyle name="SHADEDSTORES 2 94 10" xfId="43154"/>
    <cellStyle name="SHADEDSTORES 2 94 2" xfId="43155"/>
    <cellStyle name="SHADEDSTORES 2 94 3" xfId="43156"/>
    <cellStyle name="SHADEDSTORES 2 94 4" xfId="43157"/>
    <cellStyle name="SHADEDSTORES 2 94 5" xfId="43158"/>
    <cellStyle name="SHADEDSTORES 2 94 6" xfId="43159"/>
    <cellStyle name="SHADEDSTORES 2 94 7" xfId="43160"/>
    <cellStyle name="SHADEDSTORES 2 94 8" xfId="43161"/>
    <cellStyle name="SHADEDSTORES 2 94 9" xfId="43162"/>
    <cellStyle name="SHADEDSTORES 2 95" xfId="43163"/>
    <cellStyle name="SHADEDSTORES 2 96" xfId="43164"/>
    <cellStyle name="SHADEDSTORES 2 97" xfId="43165"/>
    <cellStyle name="SHADEDSTORES 2 98" xfId="43166"/>
    <cellStyle name="SHADEDSTORES 2 99" xfId="43167"/>
    <cellStyle name="SHADEDSTORES 2_YL Capex Cashflow &amp; Dep" xfId="13517"/>
    <cellStyle name="SHADEDSTORES 20" xfId="7724"/>
    <cellStyle name="SHADEDSTORES 20 2" xfId="43168"/>
    <cellStyle name="SHADEDSTORES 20 3" xfId="43169"/>
    <cellStyle name="SHADEDSTORES 20 4" xfId="43170"/>
    <cellStyle name="SHADEDSTORES 20 5" xfId="43171"/>
    <cellStyle name="SHADEDSTORES 20 6" xfId="43172"/>
    <cellStyle name="SHADEDSTORES 20 7" xfId="43173"/>
    <cellStyle name="SHADEDSTORES 20 8" xfId="43174"/>
    <cellStyle name="SHADEDSTORES 20 9" xfId="43175"/>
    <cellStyle name="SHADEDSTORES 21" xfId="7725"/>
    <cellStyle name="SHADEDSTORES 21 2" xfId="43176"/>
    <cellStyle name="SHADEDSTORES 21 3" xfId="43177"/>
    <cellStyle name="SHADEDSTORES 21 4" xfId="43178"/>
    <cellStyle name="SHADEDSTORES 21 5" xfId="43179"/>
    <cellStyle name="SHADEDSTORES 21 6" xfId="43180"/>
    <cellStyle name="SHADEDSTORES 21 7" xfId="43181"/>
    <cellStyle name="SHADEDSTORES 21 8" xfId="43182"/>
    <cellStyle name="SHADEDSTORES 21 9" xfId="43183"/>
    <cellStyle name="SHADEDSTORES 22" xfId="7726"/>
    <cellStyle name="SHADEDSTORES 22 2" xfId="43184"/>
    <cellStyle name="SHADEDSTORES 22 3" xfId="43185"/>
    <cellStyle name="SHADEDSTORES 22 4" xfId="43186"/>
    <cellStyle name="SHADEDSTORES 22 5" xfId="43187"/>
    <cellStyle name="SHADEDSTORES 22 6" xfId="43188"/>
    <cellStyle name="SHADEDSTORES 22 7" xfId="43189"/>
    <cellStyle name="SHADEDSTORES 22 8" xfId="43190"/>
    <cellStyle name="SHADEDSTORES 22 9" xfId="43191"/>
    <cellStyle name="SHADEDSTORES 23" xfId="7727"/>
    <cellStyle name="SHADEDSTORES 23 2" xfId="43192"/>
    <cellStyle name="SHADEDSTORES 23 3" xfId="43193"/>
    <cellStyle name="SHADEDSTORES 23 4" xfId="43194"/>
    <cellStyle name="SHADEDSTORES 23 5" xfId="43195"/>
    <cellStyle name="SHADEDSTORES 23 6" xfId="43196"/>
    <cellStyle name="SHADEDSTORES 23 7" xfId="43197"/>
    <cellStyle name="SHADEDSTORES 23 8" xfId="43198"/>
    <cellStyle name="SHADEDSTORES 23 9" xfId="43199"/>
    <cellStyle name="SHADEDSTORES 24" xfId="7728"/>
    <cellStyle name="SHADEDSTORES 24 10" xfId="43200"/>
    <cellStyle name="SHADEDSTORES 24 2" xfId="43201"/>
    <cellStyle name="SHADEDSTORES 24 3" xfId="43202"/>
    <cellStyle name="SHADEDSTORES 24 4" xfId="43203"/>
    <cellStyle name="SHADEDSTORES 24 5" xfId="43204"/>
    <cellStyle name="SHADEDSTORES 24 6" xfId="43205"/>
    <cellStyle name="SHADEDSTORES 24 7" xfId="43206"/>
    <cellStyle name="SHADEDSTORES 24 8" xfId="43207"/>
    <cellStyle name="SHADEDSTORES 24 9" xfId="43208"/>
    <cellStyle name="SHADEDSTORES 25" xfId="7729"/>
    <cellStyle name="SHADEDSTORES 25 10" xfId="43209"/>
    <cellStyle name="SHADEDSTORES 25 2" xfId="43210"/>
    <cellStyle name="SHADEDSTORES 25 3" xfId="43211"/>
    <cellStyle name="SHADEDSTORES 25 4" xfId="43212"/>
    <cellStyle name="SHADEDSTORES 25 5" xfId="43213"/>
    <cellStyle name="SHADEDSTORES 25 6" xfId="43214"/>
    <cellStyle name="SHADEDSTORES 25 7" xfId="43215"/>
    <cellStyle name="SHADEDSTORES 25 8" xfId="43216"/>
    <cellStyle name="SHADEDSTORES 25 9" xfId="43217"/>
    <cellStyle name="SHADEDSTORES 26" xfId="7730"/>
    <cellStyle name="SHADEDSTORES 26 10" xfId="43218"/>
    <cellStyle name="SHADEDSTORES 26 2" xfId="43219"/>
    <cellStyle name="SHADEDSTORES 26 3" xfId="43220"/>
    <cellStyle name="SHADEDSTORES 26 4" xfId="43221"/>
    <cellStyle name="SHADEDSTORES 26 5" xfId="43222"/>
    <cellStyle name="SHADEDSTORES 26 6" xfId="43223"/>
    <cellStyle name="SHADEDSTORES 26 7" xfId="43224"/>
    <cellStyle name="SHADEDSTORES 26 8" xfId="43225"/>
    <cellStyle name="SHADEDSTORES 26 9" xfId="43226"/>
    <cellStyle name="SHADEDSTORES 27" xfId="7731"/>
    <cellStyle name="SHADEDSTORES 27 10" xfId="43227"/>
    <cellStyle name="SHADEDSTORES 27 2" xfId="43228"/>
    <cellStyle name="SHADEDSTORES 27 3" xfId="43229"/>
    <cellStyle name="SHADEDSTORES 27 4" xfId="43230"/>
    <cellStyle name="SHADEDSTORES 27 5" xfId="43231"/>
    <cellStyle name="SHADEDSTORES 27 6" xfId="43232"/>
    <cellStyle name="SHADEDSTORES 27 7" xfId="43233"/>
    <cellStyle name="SHADEDSTORES 27 8" xfId="43234"/>
    <cellStyle name="SHADEDSTORES 27 9" xfId="43235"/>
    <cellStyle name="SHADEDSTORES 28" xfId="7732"/>
    <cellStyle name="SHADEDSTORES 28 10" xfId="43236"/>
    <cellStyle name="SHADEDSTORES 28 2" xfId="43237"/>
    <cellStyle name="SHADEDSTORES 28 3" xfId="43238"/>
    <cellStyle name="SHADEDSTORES 28 4" xfId="43239"/>
    <cellStyle name="SHADEDSTORES 28 5" xfId="43240"/>
    <cellStyle name="SHADEDSTORES 28 6" xfId="43241"/>
    <cellStyle name="SHADEDSTORES 28 7" xfId="43242"/>
    <cellStyle name="SHADEDSTORES 28 8" xfId="43243"/>
    <cellStyle name="SHADEDSTORES 28 9" xfId="43244"/>
    <cellStyle name="SHADEDSTORES 29" xfId="7733"/>
    <cellStyle name="SHADEDSTORES 29 10" xfId="43245"/>
    <cellStyle name="SHADEDSTORES 29 2" xfId="43246"/>
    <cellStyle name="SHADEDSTORES 29 3" xfId="43247"/>
    <cellStyle name="SHADEDSTORES 29 4" xfId="43248"/>
    <cellStyle name="SHADEDSTORES 29 5" xfId="43249"/>
    <cellStyle name="SHADEDSTORES 29 6" xfId="43250"/>
    <cellStyle name="SHADEDSTORES 29 7" xfId="43251"/>
    <cellStyle name="SHADEDSTORES 29 8" xfId="43252"/>
    <cellStyle name="SHADEDSTORES 29 9" xfId="43253"/>
    <cellStyle name="SHADEDSTORES 3" xfId="2565"/>
    <cellStyle name="SHADEDSTORES 3 10" xfId="7734"/>
    <cellStyle name="SHADEDSTORES 3 10 2" xfId="43254"/>
    <cellStyle name="SHADEDSTORES 3 10 3" xfId="43255"/>
    <cellStyle name="SHADEDSTORES 3 10 4" xfId="43256"/>
    <cellStyle name="SHADEDSTORES 3 10 5" xfId="43257"/>
    <cellStyle name="SHADEDSTORES 3 10 6" xfId="43258"/>
    <cellStyle name="SHADEDSTORES 3 10 7" xfId="43259"/>
    <cellStyle name="SHADEDSTORES 3 10 8" xfId="43260"/>
    <cellStyle name="SHADEDSTORES 3 10 9" xfId="43261"/>
    <cellStyle name="SHADEDSTORES 3 100" xfId="43262"/>
    <cellStyle name="SHADEDSTORES 3 101" xfId="43263"/>
    <cellStyle name="SHADEDSTORES 3 102" xfId="43264"/>
    <cellStyle name="SHADEDSTORES 3 11" xfId="7735"/>
    <cellStyle name="SHADEDSTORES 3 11 2" xfId="43265"/>
    <cellStyle name="SHADEDSTORES 3 11 3" xfId="43266"/>
    <cellStyle name="SHADEDSTORES 3 11 4" xfId="43267"/>
    <cellStyle name="SHADEDSTORES 3 11 5" xfId="43268"/>
    <cellStyle name="SHADEDSTORES 3 11 6" xfId="43269"/>
    <cellStyle name="SHADEDSTORES 3 11 7" xfId="43270"/>
    <cellStyle name="SHADEDSTORES 3 11 8" xfId="43271"/>
    <cellStyle name="SHADEDSTORES 3 11 9" xfId="43272"/>
    <cellStyle name="SHADEDSTORES 3 12" xfId="7736"/>
    <cellStyle name="SHADEDSTORES 3 12 2" xfId="43273"/>
    <cellStyle name="SHADEDSTORES 3 12 3" xfId="43274"/>
    <cellStyle name="SHADEDSTORES 3 12 4" xfId="43275"/>
    <cellStyle name="SHADEDSTORES 3 12 5" xfId="43276"/>
    <cellStyle name="SHADEDSTORES 3 12 6" xfId="43277"/>
    <cellStyle name="SHADEDSTORES 3 12 7" xfId="43278"/>
    <cellStyle name="SHADEDSTORES 3 12 8" xfId="43279"/>
    <cellStyle name="SHADEDSTORES 3 12 9" xfId="43280"/>
    <cellStyle name="SHADEDSTORES 3 13" xfId="7737"/>
    <cellStyle name="SHADEDSTORES 3 13 2" xfId="43281"/>
    <cellStyle name="SHADEDSTORES 3 13 3" xfId="43282"/>
    <cellStyle name="SHADEDSTORES 3 13 4" xfId="43283"/>
    <cellStyle name="SHADEDSTORES 3 13 5" xfId="43284"/>
    <cellStyle name="SHADEDSTORES 3 13 6" xfId="43285"/>
    <cellStyle name="SHADEDSTORES 3 13 7" xfId="43286"/>
    <cellStyle name="SHADEDSTORES 3 13 8" xfId="43287"/>
    <cellStyle name="SHADEDSTORES 3 13 9" xfId="43288"/>
    <cellStyle name="SHADEDSTORES 3 14" xfId="7738"/>
    <cellStyle name="SHADEDSTORES 3 14 2" xfId="43289"/>
    <cellStyle name="SHADEDSTORES 3 14 3" xfId="43290"/>
    <cellStyle name="SHADEDSTORES 3 14 4" xfId="43291"/>
    <cellStyle name="SHADEDSTORES 3 14 5" xfId="43292"/>
    <cellStyle name="SHADEDSTORES 3 14 6" xfId="43293"/>
    <cellStyle name="SHADEDSTORES 3 14 7" xfId="43294"/>
    <cellStyle name="SHADEDSTORES 3 14 8" xfId="43295"/>
    <cellStyle name="SHADEDSTORES 3 14 9" xfId="43296"/>
    <cellStyle name="SHADEDSTORES 3 15" xfId="7739"/>
    <cellStyle name="SHADEDSTORES 3 15 2" xfId="43297"/>
    <cellStyle name="SHADEDSTORES 3 15 3" xfId="43298"/>
    <cellStyle name="SHADEDSTORES 3 15 4" xfId="43299"/>
    <cellStyle name="SHADEDSTORES 3 15 5" xfId="43300"/>
    <cellStyle name="SHADEDSTORES 3 15 6" xfId="43301"/>
    <cellStyle name="SHADEDSTORES 3 15 7" xfId="43302"/>
    <cellStyle name="SHADEDSTORES 3 15 8" xfId="43303"/>
    <cellStyle name="SHADEDSTORES 3 15 9" xfId="43304"/>
    <cellStyle name="SHADEDSTORES 3 16" xfId="7740"/>
    <cellStyle name="SHADEDSTORES 3 16 2" xfId="43305"/>
    <cellStyle name="SHADEDSTORES 3 16 3" xfId="43306"/>
    <cellStyle name="SHADEDSTORES 3 16 4" xfId="43307"/>
    <cellStyle name="SHADEDSTORES 3 16 5" xfId="43308"/>
    <cellStyle name="SHADEDSTORES 3 16 6" xfId="43309"/>
    <cellStyle name="SHADEDSTORES 3 16 7" xfId="43310"/>
    <cellStyle name="SHADEDSTORES 3 16 8" xfId="43311"/>
    <cellStyle name="SHADEDSTORES 3 16 9" xfId="43312"/>
    <cellStyle name="SHADEDSTORES 3 17" xfId="7741"/>
    <cellStyle name="SHADEDSTORES 3 17 2" xfId="43313"/>
    <cellStyle name="SHADEDSTORES 3 17 3" xfId="43314"/>
    <cellStyle name="SHADEDSTORES 3 17 4" xfId="43315"/>
    <cellStyle name="SHADEDSTORES 3 17 5" xfId="43316"/>
    <cellStyle name="SHADEDSTORES 3 17 6" xfId="43317"/>
    <cellStyle name="SHADEDSTORES 3 17 7" xfId="43318"/>
    <cellStyle name="SHADEDSTORES 3 17 8" xfId="43319"/>
    <cellStyle name="SHADEDSTORES 3 17 9" xfId="43320"/>
    <cellStyle name="SHADEDSTORES 3 18" xfId="7742"/>
    <cellStyle name="SHADEDSTORES 3 18 2" xfId="43321"/>
    <cellStyle name="SHADEDSTORES 3 18 3" xfId="43322"/>
    <cellStyle name="SHADEDSTORES 3 18 4" xfId="43323"/>
    <cellStyle name="SHADEDSTORES 3 18 5" xfId="43324"/>
    <cellStyle name="SHADEDSTORES 3 18 6" xfId="43325"/>
    <cellStyle name="SHADEDSTORES 3 18 7" xfId="43326"/>
    <cellStyle name="SHADEDSTORES 3 18 8" xfId="43327"/>
    <cellStyle name="SHADEDSTORES 3 18 9" xfId="43328"/>
    <cellStyle name="SHADEDSTORES 3 19" xfId="7743"/>
    <cellStyle name="SHADEDSTORES 3 19 2" xfId="43329"/>
    <cellStyle name="SHADEDSTORES 3 19 3" xfId="43330"/>
    <cellStyle name="SHADEDSTORES 3 19 4" xfId="43331"/>
    <cellStyle name="SHADEDSTORES 3 19 5" xfId="43332"/>
    <cellStyle name="SHADEDSTORES 3 19 6" xfId="43333"/>
    <cellStyle name="SHADEDSTORES 3 19 7" xfId="43334"/>
    <cellStyle name="SHADEDSTORES 3 19 8" xfId="43335"/>
    <cellStyle name="SHADEDSTORES 3 19 9" xfId="43336"/>
    <cellStyle name="SHADEDSTORES 3 2" xfId="2566"/>
    <cellStyle name="SHADEDSTORES 3 2 10" xfId="43337"/>
    <cellStyle name="SHADEDSTORES 3 2 11" xfId="43338"/>
    <cellStyle name="SHADEDSTORES 3 2 2" xfId="2567"/>
    <cellStyle name="SHADEDSTORES 3 2 2 2" xfId="12750"/>
    <cellStyle name="SHADEDSTORES 3 2 2_YL Capex Cashflow &amp; Dep" xfId="13548"/>
    <cellStyle name="SHADEDSTORES 3 2 3" xfId="12048"/>
    <cellStyle name="SHADEDSTORES 3 2 4" xfId="43339"/>
    <cellStyle name="SHADEDSTORES 3 2 5" xfId="43340"/>
    <cellStyle name="SHADEDSTORES 3 2 6" xfId="43341"/>
    <cellStyle name="SHADEDSTORES 3 2 7" xfId="43342"/>
    <cellStyle name="SHADEDSTORES 3 2 8" xfId="43343"/>
    <cellStyle name="SHADEDSTORES 3 2 9" xfId="43344"/>
    <cellStyle name="SHADEDSTORES 3 2_Cashflow trend" xfId="2568"/>
    <cellStyle name="SHADEDSTORES 3 20" xfId="7744"/>
    <cellStyle name="SHADEDSTORES 3 20 10" xfId="43345"/>
    <cellStyle name="SHADEDSTORES 3 20 2" xfId="43346"/>
    <cellStyle name="SHADEDSTORES 3 20 3" xfId="43347"/>
    <cellStyle name="SHADEDSTORES 3 20 4" xfId="43348"/>
    <cellStyle name="SHADEDSTORES 3 20 5" xfId="43349"/>
    <cellStyle name="SHADEDSTORES 3 20 6" xfId="43350"/>
    <cellStyle name="SHADEDSTORES 3 20 7" xfId="43351"/>
    <cellStyle name="SHADEDSTORES 3 20 8" xfId="43352"/>
    <cellStyle name="SHADEDSTORES 3 20 9" xfId="43353"/>
    <cellStyle name="SHADEDSTORES 3 21" xfId="7745"/>
    <cellStyle name="SHADEDSTORES 3 21 10" xfId="43354"/>
    <cellStyle name="SHADEDSTORES 3 21 2" xfId="43355"/>
    <cellStyle name="SHADEDSTORES 3 21 3" xfId="43356"/>
    <cellStyle name="SHADEDSTORES 3 21 4" xfId="43357"/>
    <cellStyle name="SHADEDSTORES 3 21 5" xfId="43358"/>
    <cellStyle name="SHADEDSTORES 3 21 6" xfId="43359"/>
    <cellStyle name="SHADEDSTORES 3 21 7" xfId="43360"/>
    <cellStyle name="SHADEDSTORES 3 21 8" xfId="43361"/>
    <cellStyle name="SHADEDSTORES 3 21 9" xfId="43362"/>
    <cellStyle name="SHADEDSTORES 3 22" xfId="7746"/>
    <cellStyle name="SHADEDSTORES 3 22 10" xfId="43363"/>
    <cellStyle name="SHADEDSTORES 3 22 2" xfId="43364"/>
    <cellStyle name="SHADEDSTORES 3 22 3" xfId="43365"/>
    <cellStyle name="SHADEDSTORES 3 22 4" xfId="43366"/>
    <cellStyle name="SHADEDSTORES 3 22 5" xfId="43367"/>
    <cellStyle name="SHADEDSTORES 3 22 6" xfId="43368"/>
    <cellStyle name="SHADEDSTORES 3 22 7" xfId="43369"/>
    <cellStyle name="SHADEDSTORES 3 22 8" xfId="43370"/>
    <cellStyle name="SHADEDSTORES 3 22 9" xfId="43371"/>
    <cellStyle name="SHADEDSTORES 3 23" xfId="7747"/>
    <cellStyle name="SHADEDSTORES 3 23 10" xfId="43372"/>
    <cellStyle name="SHADEDSTORES 3 23 2" xfId="43373"/>
    <cellStyle name="SHADEDSTORES 3 23 3" xfId="43374"/>
    <cellStyle name="SHADEDSTORES 3 23 4" xfId="43375"/>
    <cellStyle name="SHADEDSTORES 3 23 5" xfId="43376"/>
    <cellStyle name="SHADEDSTORES 3 23 6" xfId="43377"/>
    <cellStyle name="SHADEDSTORES 3 23 7" xfId="43378"/>
    <cellStyle name="SHADEDSTORES 3 23 8" xfId="43379"/>
    <cellStyle name="SHADEDSTORES 3 23 9" xfId="43380"/>
    <cellStyle name="SHADEDSTORES 3 24" xfId="7748"/>
    <cellStyle name="SHADEDSTORES 3 24 10" xfId="43381"/>
    <cellStyle name="SHADEDSTORES 3 24 2" xfId="43382"/>
    <cellStyle name="SHADEDSTORES 3 24 3" xfId="43383"/>
    <cellStyle name="SHADEDSTORES 3 24 4" xfId="43384"/>
    <cellStyle name="SHADEDSTORES 3 24 5" xfId="43385"/>
    <cellStyle name="SHADEDSTORES 3 24 6" xfId="43386"/>
    <cellStyle name="SHADEDSTORES 3 24 7" xfId="43387"/>
    <cellStyle name="SHADEDSTORES 3 24 8" xfId="43388"/>
    <cellStyle name="SHADEDSTORES 3 24 9" xfId="43389"/>
    <cellStyle name="SHADEDSTORES 3 25" xfId="7749"/>
    <cellStyle name="SHADEDSTORES 3 25 10" xfId="43390"/>
    <cellStyle name="SHADEDSTORES 3 25 2" xfId="43391"/>
    <cellStyle name="SHADEDSTORES 3 25 3" xfId="43392"/>
    <cellStyle name="SHADEDSTORES 3 25 4" xfId="43393"/>
    <cellStyle name="SHADEDSTORES 3 25 5" xfId="43394"/>
    <cellStyle name="SHADEDSTORES 3 25 6" xfId="43395"/>
    <cellStyle name="SHADEDSTORES 3 25 7" xfId="43396"/>
    <cellStyle name="SHADEDSTORES 3 25 8" xfId="43397"/>
    <cellStyle name="SHADEDSTORES 3 25 9" xfId="43398"/>
    <cellStyle name="SHADEDSTORES 3 26" xfId="7750"/>
    <cellStyle name="SHADEDSTORES 3 26 10" xfId="43399"/>
    <cellStyle name="SHADEDSTORES 3 26 2" xfId="43400"/>
    <cellStyle name="SHADEDSTORES 3 26 3" xfId="43401"/>
    <cellStyle name="SHADEDSTORES 3 26 4" xfId="43402"/>
    <cellStyle name="SHADEDSTORES 3 26 5" xfId="43403"/>
    <cellStyle name="SHADEDSTORES 3 26 6" xfId="43404"/>
    <cellStyle name="SHADEDSTORES 3 26 7" xfId="43405"/>
    <cellStyle name="SHADEDSTORES 3 26 8" xfId="43406"/>
    <cellStyle name="SHADEDSTORES 3 26 9" xfId="43407"/>
    <cellStyle name="SHADEDSTORES 3 27" xfId="7751"/>
    <cellStyle name="SHADEDSTORES 3 27 10" xfId="43408"/>
    <cellStyle name="SHADEDSTORES 3 27 2" xfId="43409"/>
    <cellStyle name="SHADEDSTORES 3 27 3" xfId="43410"/>
    <cellStyle name="SHADEDSTORES 3 27 4" xfId="43411"/>
    <cellStyle name="SHADEDSTORES 3 27 5" xfId="43412"/>
    <cellStyle name="SHADEDSTORES 3 27 6" xfId="43413"/>
    <cellStyle name="SHADEDSTORES 3 27 7" xfId="43414"/>
    <cellStyle name="SHADEDSTORES 3 27 8" xfId="43415"/>
    <cellStyle name="SHADEDSTORES 3 27 9" xfId="43416"/>
    <cellStyle name="SHADEDSTORES 3 28" xfId="7752"/>
    <cellStyle name="SHADEDSTORES 3 28 10" xfId="43417"/>
    <cellStyle name="SHADEDSTORES 3 28 2" xfId="43418"/>
    <cellStyle name="SHADEDSTORES 3 28 3" xfId="43419"/>
    <cellStyle name="SHADEDSTORES 3 28 4" xfId="43420"/>
    <cellStyle name="SHADEDSTORES 3 28 5" xfId="43421"/>
    <cellStyle name="SHADEDSTORES 3 28 6" xfId="43422"/>
    <cellStyle name="SHADEDSTORES 3 28 7" xfId="43423"/>
    <cellStyle name="SHADEDSTORES 3 28 8" xfId="43424"/>
    <cellStyle name="SHADEDSTORES 3 28 9" xfId="43425"/>
    <cellStyle name="SHADEDSTORES 3 29" xfId="7753"/>
    <cellStyle name="SHADEDSTORES 3 29 10" xfId="43426"/>
    <cellStyle name="SHADEDSTORES 3 29 2" xfId="43427"/>
    <cellStyle name="SHADEDSTORES 3 29 3" xfId="43428"/>
    <cellStyle name="SHADEDSTORES 3 29 4" xfId="43429"/>
    <cellStyle name="SHADEDSTORES 3 29 5" xfId="43430"/>
    <cellStyle name="SHADEDSTORES 3 29 6" xfId="43431"/>
    <cellStyle name="SHADEDSTORES 3 29 7" xfId="43432"/>
    <cellStyle name="SHADEDSTORES 3 29 8" xfId="43433"/>
    <cellStyle name="SHADEDSTORES 3 29 9" xfId="43434"/>
    <cellStyle name="SHADEDSTORES 3 3" xfId="2569"/>
    <cellStyle name="SHADEDSTORES 3 3 10" xfId="43435"/>
    <cellStyle name="SHADEDSTORES 3 3 2" xfId="2570"/>
    <cellStyle name="SHADEDSTORES 3 3 2 2" xfId="12650"/>
    <cellStyle name="SHADEDSTORES 3 3 2_YL Capex Cashflow &amp; Dep" xfId="13549"/>
    <cellStyle name="SHADEDSTORES 3 3 3" xfId="11953"/>
    <cellStyle name="SHADEDSTORES 3 3 4" xfId="43436"/>
    <cellStyle name="SHADEDSTORES 3 3 5" xfId="43437"/>
    <cellStyle name="SHADEDSTORES 3 3 6" xfId="43438"/>
    <cellStyle name="SHADEDSTORES 3 3 7" xfId="43439"/>
    <cellStyle name="SHADEDSTORES 3 3 8" xfId="43440"/>
    <cellStyle name="SHADEDSTORES 3 3 9" xfId="43441"/>
    <cellStyle name="SHADEDSTORES 3 3_Cashflow trend" xfId="2571"/>
    <cellStyle name="SHADEDSTORES 3 30" xfId="7754"/>
    <cellStyle name="SHADEDSTORES 3 30 10" xfId="43442"/>
    <cellStyle name="SHADEDSTORES 3 30 2" xfId="43443"/>
    <cellStyle name="SHADEDSTORES 3 30 3" xfId="43444"/>
    <cellStyle name="SHADEDSTORES 3 30 4" xfId="43445"/>
    <cellStyle name="SHADEDSTORES 3 30 5" xfId="43446"/>
    <cellStyle name="SHADEDSTORES 3 30 6" xfId="43447"/>
    <cellStyle name="SHADEDSTORES 3 30 7" xfId="43448"/>
    <cellStyle name="SHADEDSTORES 3 30 8" xfId="43449"/>
    <cellStyle name="SHADEDSTORES 3 30 9" xfId="43450"/>
    <cellStyle name="SHADEDSTORES 3 31" xfId="7755"/>
    <cellStyle name="SHADEDSTORES 3 31 10" xfId="43451"/>
    <cellStyle name="SHADEDSTORES 3 31 2" xfId="43452"/>
    <cellStyle name="SHADEDSTORES 3 31 3" xfId="43453"/>
    <cellStyle name="SHADEDSTORES 3 31 4" xfId="43454"/>
    <cellStyle name="SHADEDSTORES 3 31 5" xfId="43455"/>
    <cellStyle name="SHADEDSTORES 3 31 6" xfId="43456"/>
    <cellStyle name="SHADEDSTORES 3 31 7" xfId="43457"/>
    <cellStyle name="SHADEDSTORES 3 31 8" xfId="43458"/>
    <cellStyle name="SHADEDSTORES 3 31 9" xfId="43459"/>
    <cellStyle name="SHADEDSTORES 3 32" xfId="7756"/>
    <cellStyle name="SHADEDSTORES 3 32 10" xfId="43460"/>
    <cellStyle name="SHADEDSTORES 3 32 2" xfId="43461"/>
    <cellStyle name="SHADEDSTORES 3 32 3" xfId="43462"/>
    <cellStyle name="SHADEDSTORES 3 32 4" xfId="43463"/>
    <cellStyle name="SHADEDSTORES 3 32 5" xfId="43464"/>
    <cellStyle name="SHADEDSTORES 3 32 6" xfId="43465"/>
    <cellStyle name="SHADEDSTORES 3 32 7" xfId="43466"/>
    <cellStyle name="SHADEDSTORES 3 32 8" xfId="43467"/>
    <cellStyle name="SHADEDSTORES 3 32 9" xfId="43468"/>
    <cellStyle name="SHADEDSTORES 3 33" xfId="7757"/>
    <cellStyle name="SHADEDSTORES 3 33 10" xfId="43469"/>
    <cellStyle name="SHADEDSTORES 3 33 2" xfId="43470"/>
    <cellStyle name="SHADEDSTORES 3 33 3" xfId="43471"/>
    <cellStyle name="SHADEDSTORES 3 33 4" xfId="43472"/>
    <cellStyle name="SHADEDSTORES 3 33 5" xfId="43473"/>
    <cellStyle name="SHADEDSTORES 3 33 6" xfId="43474"/>
    <cellStyle name="SHADEDSTORES 3 33 7" xfId="43475"/>
    <cellStyle name="SHADEDSTORES 3 33 8" xfId="43476"/>
    <cellStyle name="SHADEDSTORES 3 33 9" xfId="43477"/>
    <cellStyle name="SHADEDSTORES 3 34" xfId="7758"/>
    <cellStyle name="SHADEDSTORES 3 34 10" xfId="43478"/>
    <cellStyle name="SHADEDSTORES 3 34 2" xfId="43479"/>
    <cellStyle name="SHADEDSTORES 3 34 3" xfId="43480"/>
    <cellStyle name="SHADEDSTORES 3 34 4" xfId="43481"/>
    <cellStyle name="SHADEDSTORES 3 34 5" xfId="43482"/>
    <cellStyle name="SHADEDSTORES 3 34 6" xfId="43483"/>
    <cellStyle name="SHADEDSTORES 3 34 7" xfId="43484"/>
    <cellStyle name="SHADEDSTORES 3 34 8" xfId="43485"/>
    <cellStyle name="SHADEDSTORES 3 34 9" xfId="43486"/>
    <cellStyle name="SHADEDSTORES 3 35" xfId="7759"/>
    <cellStyle name="SHADEDSTORES 3 35 10" xfId="43487"/>
    <cellStyle name="SHADEDSTORES 3 35 2" xfId="43488"/>
    <cellStyle name="SHADEDSTORES 3 35 3" xfId="43489"/>
    <cellStyle name="SHADEDSTORES 3 35 4" xfId="43490"/>
    <cellStyle name="SHADEDSTORES 3 35 5" xfId="43491"/>
    <cellStyle name="SHADEDSTORES 3 35 6" xfId="43492"/>
    <cellStyle name="SHADEDSTORES 3 35 7" xfId="43493"/>
    <cellStyle name="SHADEDSTORES 3 35 8" xfId="43494"/>
    <cellStyle name="SHADEDSTORES 3 35 9" xfId="43495"/>
    <cellStyle name="SHADEDSTORES 3 36" xfId="7760"/>
    <cellStyle name="SHADEDSTORES 3 36 10" xfId="43496"/>
    <cellStyle name="SHADEDSTORES 3 36 2" xfId="43497"/>
    <cellStyle name="SHADEDSTORES 3 36 3" xfId="43498"/>
    <cellStyle name="SHADEDSTORES 3 36 4" xfId="43499"/>
    <cellStyle name="SHADEDSTORES 3 36 5" xfId="43500"/>
    <cellStyle name="SHADEDSTORES 3 36 6" xfId="43501"/>
    <cellStyle name="SHADEDSTORES 3 36 7" xfId="43502"/>
    <cellStyle name="SHADEDSTORES 3 36 8" xfId="43503"/>
    <cellStyle name="SHADEDSTORES 3 36 9" xfId="43504"/>
    <cellStyle name="SHADEDSTORES 3 37" xfId="7761"/>
    <cellStyle name="SHADEDSTORES 3 37 10" xfId="43505"/>
    <cellStyle name="SHADEDSTORES 3 37 2" xfId="43506"/>
    <cellStyle name="SHADEDSTORES 3 37 3" xfId="43507"/>
    <cellStyle name="SHADEDSTORES 3 37 4" xfId="43508"/>
    <cellStyle name="SHADEDSTORES 3 37 5" xfId="43509"/>
    <cellStyle name="SHADEDSTORES 3 37 6" xfId="43510"/>
    <cellStyle name="SHADEDSTORES 3 37 7" xfId="43511"/>
    <cellStyle name="SHADEDSTORES 3 37 8" xfId="43512"/>
    <cellStyle name="SHADEDSTORES 3 37 9" xfId="43513"/>
    <cellStyle name="SHADEDSTORES 3 38" xfId="7762"/>
    <cellStyle name="SHADEDSTORES 3 38 10" xfId="43514"/>
    <cellStyle name="SHADEDSTORES 3 38 2" xfId="43515"/>
    <cellStyle name="SHADEDSTORES 3 38 3" xfId="43516"/>
    <cellStyle name="SHADEDSTORES 3 38 4" xfId="43517"/>
    <cellStyle name="SHADEDSTORES 3 38 5" xfId="43518"/>
    <cellStyle name="SHADEDSTORES 3 38 6" xfId="43519"/>
    <cellStyle name="SHADEDSTORES 3 38 7" xfId="43520"/>
    <cellStyle name="SHADEDSTORES 3 38 8" xfId="43521"/>
    <cellStyle name="SHADEDSTORES 3 38 9" xfId="43522"/>
    <cellStyle name="SHADEDSTORES 3 39" xfId="7763"/>
    <cellStyle name="SHADEDSTORES 3 39 10" xfId="43523"/>
    <cellStyle name="SHADEDSTORES 3 39 2" xfId="43524"/>
    <cellStyle name="SHADEDSTORES 3 39 3" xfId="43525"/>
    <cellStyle name="SHADEDSTORES 3 39 4" xfId="43526"/>
    <cellStyle name="SHADEDSTORES 3 39 5" xfId="43527"/>
    <cellStyle name="SHADEDSTORES 3 39 6" xfId="43528"/>
    <cellStyle name="SHADEDSTORES 3 39 7" xfId="43529"/>
    <cellStyle name="SHADEDSTORES 3 39 8" xfId="43530"/>
    <cellStyle name="SHADEDSTORES 3 39 9" xfId="43531"/>
    <cellStyle name="SHADEDSTORES 3 4" xfId="2572"/>
    <cellStyle name="SHADEDSTORES 3 4 10" xfId="43532"/>
    <cellStyle name="SHADEDSTORES 3 4 2" xfId="11654"/>
    <cellStyle name="SHADEDSTORES 3 4 3" xfId="43533"/>
    <cellStyle name="SHADEDSTORES 3 4 4" xfId="43534"/>
    <cellStyle name="SHADEDSTORES 3 4 5" xfId="43535"/>
    <cellStyle name="SHADEDSTORES 3 4 6" xfId="43536"/>
    <cellStyle name="SHADEDSTORES 3 4 7" xfId="43537"/>
    <cellStyle name="SHADEDSTORES 3 4 8" xfId="43538"/>
    <cellStyle name="SHADEDSTORES 3 4 9" xfId="43539"/>
    <cellStyle name="SHADEDSTORES 3 4_YL Capex Cashflow &amp; Dep" xfId="13550"/>
    <cellStyle name="SHADEDSTORES 3 40" xfId="7764"/>
    <cellStyle name="SHADEDSTORES 3 40 10" xfId="43540"/>
    <cellStyle name="SHADEDSTORES 3 40 2" xfId="43541"/>
    <cellStyle name="SHADEDSTORES 3 40 3" xfId="43542"/>
    <cellStyle name="SHADEDSTORES 3 40 4" xfId="43543"/>
    <cellStyle name="SHADEDSTORES 3 40 5" xfId="43544"/>
    <cellStyle name="SHADEDSTORES 3 40 6" xfId="43545"/>
    <cellStyle name="SHADEDSTORES 3 40 7" xfId="43546"/>
    <cellStyle name="SHADEDSTORES 3 40 8" xfId="43547"/>
    <cellStyle name="SHADEDSTORES 3 40 9" xfId="43548"/>
    <cellStyle name="SHADEDSTORES 3 41" xfId="7765"/>
    <cellStyle name="SHADEDSTORES 3 41 10" xfId="43549"/>
    <cellStyle name="SHADEDSTORES 3 41 2" xfId="43550"/>
    <cellStyle name="SHADEDSTORES 3 41 3" xfId="43551"/>
    <cellStyle name="SHADEDSTORES 3 41 4" xfId="43552"/>
    <cellStyle name="SHADEDSTORES 3 41 5" xfId="43553"/>
    <cellStyle name="SHADEDSTORES 3 41 6" xfId="43554"/>
    <cellStyle name="SHADEDSTORES 3 41 7" xfId="43555"/>
    <cellStyle name="SHADEDSTORES 3 41 8" xfId="43556"/>
    <cellStyle name="SHADEDSTORES 3 41 9" xfId="43557"/>
    <cellStyle name="SHADEDSTORES 3 42" xfId="7766"/>
    <cellStyle name="SHADEDSTORES 3 42 10" xfId="43558"/>
    <cellStyle name="SHADEDSTORES 3 42 2" xfId="43559"/>
    <cellStyle name="SHADEDSTORES 3 42 3" xfId="43560"/>
    <cellStyle name="SHADEDSTORES 3 42 4" xfId="43561"/>
    <cellStyle name="SHADEDSTORES 3 42 5" xfId="43562"/>
    <cellStyle name="SHADEDSTORES 3 42 6" xfId="43563"/>
    <cellStyle name="SHADEDSTORES 3 42 7" xfId="43564"/>
    <cellStyle name="SHADEDSTORES 3 42 8" xfId="43565"/>
    <cellStyle name="SHADEDSTORES 3 42 9" xfId="43566"/>
    <cellStyle name="SHADEDSTORES 3 43" xfId="7767"/>
    <cellStyle name="SHADEDSTORES 3 43 10" xfId="43567"/>
    <cellStyle name="SHADEDSTORES 3 43 2" xfId="43568"/>
    <cellStyle name="SHADEDSTORES 3 43 3" xfId="43569"/>
    <cellStyle name="SHADEDSTORES 3 43 4" xfId="43570"/>
    <cellStyle name="SHADEDSTORES 3 43 5" xfId="43571"/>
    <cellStyle name="SHADEDSTORES 3 43 6" xfId="43572"/>
    <cellStyle name="SHADEDSTORES 3 43 7" xfId="43573"/>
    <cellStyle name="SHADEDSTORES 3 43 8" xfId="43574"/>
    <cellStyle name="SHADEDSTORES 3 43 9" xfId="43575"/>
    <cellStyle name="SHADEDSTORES 3 44" xfId="7768"/>
    <cellStyle name="SHADEDSTORES 3 44 10" xfId="43576"/>
    <cellStyle name="SHADEDSTORES 3 44 2" xfId="43577"/>
    <cellStyle name="SHADEDSTORES 3 44 3" xfId="43578"/>
    <cellStyle name="SHADEDSTORES 3 44 4" xfId="43579"/>
    <cellStyle name="SHADEDSTORES 3 44 5" xfId="43580"/>
    <cellStyle name="SHADEDSTORES 3 44 6" xfId="43581"/>
    <cellStyle name="SHADEDSTORES 3 44 7" xfId="43582"/>
    <cellStyle name="SHADEDSTORES 3 44 8" xfId="43583"/>
    <cellStyle name="SHADEDSTORES 3 44 9" xfId="43584"/>
    <cellStyle name="SHADEDSTORES 3 45" xfId="7769"/>
    <cellStyle name="SHADEDSTORES 3 45 10" xfId="43585"/>
    <cellStyle name="SHADEDSTORES 3 45 2" xfId="43586"/>
    <cellStyle name="SHADEDSTORES 3 45 3" xfId="43587"/>
    <cellStyle name="SHADEDSTORES 3 45 4" xfId="43588"/>
    <cellStyle name="SHADEDSTORES 3 45 5" xfId="43589"/>
    <cellStyle name="SHADEDSTORES 3 45 6" xfId="43590"/>
    <cellStyle name="SHADEDSTORES 3 45 7" xfId="43591"/>
    <cellStyle name="SHADEDSTORES 3 45 8" xfId="43592"/>
    <cellStyle name="SHADEDSTORES 3 45 9" xfId="43593"/>
    <cellStyle name="SHADEDSTORES 3 46" xfId="7770"/>
    <cellStyle name="SHADEDSTORES 3 46 10" xfId="43594"/>
    <cellStyle name="SHADEDSTORES 3 46 2" xfId="43595"/>
    <cellStyle name="SHADEDSTORES 3 46 3" xfId="43596"/>
    <cellStyle name="SHADEDSTORES 3 46 4" xfId="43597"/>
    <cellStyle name="SHADEDSTORES 3 46 5" xfId="43598"/>
    <cellStyle name="SHADEDSTORES 3 46 6" xfId="43599"/>
    <cellStyle name="SHADEDSTORES 3 46 7" xfId="43600"/>
    <cellStyle name="SHADEDSTORES 3 46 8" xfId="43601"/>
    <cellStyle name="SHADEDSTORES 3 46 9" xfId="43602"/>
    <cellStyle name="SHADEDSTORES 3 47" xfId="7771"/>
    <cellStyle name="SHADEDSTORES 3 47 10" xfId="43603"/>
    <cellStyle name="SHADEDSTORES 3 47 2" xfId="43604"/>
    <cellStyle name="SHADEDSTORES 3 47 3" xfId="43605"/>
    <cellStyle name="SHADEDSTORES 3 47 4" xfId="43606"/>
    <cellStyle name="SHADEDSTORES 3 47 5" xfId="43607"/>
    <cellStyle name="SHADEDSTORES 3 47 6" xfId="43608"/>
    <cellStyle name="SHADEDSTORES 3 47 7" xfId="43609"/>
    <cellStyle name="SHADEDSTORES 3 47 8" xfId="43610"/>
    <cellStyle name="SHADEDSTORES 3 47 9" xfId="43611"/>
    <cellStyle name="SHADEDSTORES 3 48" xfId="7772"/>
    <cellStyle name="SHADEDSTORES 3 48 10" xfId="43612"/>
    <cellStyle name="SHADEDSTORES 3 48 2" xfId="43613"/>
    <cellStyle name="SHADEDSTORES 3 48 3" xfId="43614"/>
    <cellStyle name="SHADEDSTORES 3 48 4" xfId="43615"/>
    <cellStyle name="SHADEDSTORES 3 48 5" xfId="43616"/>
    <cellStyle name="SHADEDSTORES 3 48 6" xfId="43617"/>
    <cellStyle name="SHADEDSTORES 3 48 7" xfId="43618"/>
    <cellStyle name="SHADEDSTORES 3 48 8" xfId="43619"/>
    <cellStyle name="SHADEDSTORES 3 48 9" xfId="43620"/>
    <cellStyle name="SHADEDSTORES 3 49" xfId="7773"/>
    <cellStyle name="SHADEDSTORES 3 49 10" xfId="43621"/>
    <cellStyle name="SHADEDSTORES 3 49 2" xfId="43622"/>
    <cellStyle name="SHADEDSTORES 3 49 3" xfId="43623"/>
    <cellStyle name="SHADEDSTORES 3 49 4" xfId="43624"/>
    <cellStyle name="SHADEDSTORES 3 49 5" xfId="43625"/>
    <cellStyle name="SHADEDSTORES 3 49 6" xfId="43626"/>
    <cellStyle name="SHADEDSTORES 3 49 7" xfId="43627"/>
    <cellStyle name="SHADEDSTORES 3 49 8" xfId="43628"/>
    <cellStyle name="SHADEDSTORES 3 49 9" xfId="43629"/>
    <cellStyle name="SHADEDSTORES 3 5" xfId="2573"/>
    <cellStyle name="SHADEDSTORES 3 5 2" xfId="2574"/>
    <cellStyle name="SHADEDSTORES 3 5 2 2" xfId="12862"/>
    <cellStyle name="SHADEDSTORES 3 5 2_YL Capex Cashflow &amp; Dep" xfId="13552"/>
    <cellStyle name="SHADEDSTORES 3 5 3" xfId="12080"/>
    <cellStyle name="SHADEDSTORES 3 5 4" xfId="43630"/>
    <cellStyle name="SHADEDSTORES 3 5 5" xfId="43631"/>
    <cellStyle name="SHADEDSTORES 3 5 6" xfId="43632"/>
    <cellStyle name="SHADEDSTORES 3 5 7" xfId="43633"/>
    <cellStyle name="SHADEDSTORES 3 5 8" xfId="43634"/>
    <cellStyle name="SHADEDSTORES 3 5 9" xfId="43635"/>
    <cellStyle name="SHADEDSTORES 3 5_YL Capex Cashflow &amp; Dep" xfId="13551"/>
    <cellStyle name="SHADEDSTORES 3 50" xfId="7774"/>
    <cellStyle name="SHADEDSTORES 3 50 10" xfId="43636"/>
    <cellStyle name="SHADEDSTORES 3 50 2" xfId="43637"/>
    <cellStyle name="SHADEDSTORES 3 50 3" xfId="43638"/>
    <cellStyle name="SHADEDSTORES 3 50 4" xfId="43639"/>
    <cellStyle name="SHADEDSTORES 3 50 5" xfId="43640"/>
    <cellStyle name="SHADEDSTORES 3 50 6" xfId="43641"/>
    <cellStyle name="SHADEDSTORES 3 50 7" xfId="43642"/>
    <cellStyle name="SHADEDSTORES 3 50 8" xfId="43643"/>
    <cellStyle name="SHADEDSTORES 3 50 9" xfId="43644"/>
    <cellStyle name="SHADEDSTORES 3 51" xfId="7775"/>
    <cellStyle name="SHADEDSTORES 3 51 10" xfId="43645"/>
    <cellStyle name="SHADEDSTORES 3 51 2" xfId="43646"/>
    <cellStyle name="SHADEDSTORES 3 51 3" xfId="43647"/>
    <cellStyle name="SHADEDSTORES 3 51 4" xfId="43648"/>
    <cellStyle name="SHADEDSTORES 3 51 5" xfId="43649"/>
    <cellStyle name="SHADEDSTORES 3 51 6" xfId="43650"/>
    <cellStyle name="SHADEDSTORES 3 51 7" xfId="43651"/>
    <cellStyle name="SHADEDSTORES 3 51 8" xfId="43652"/>
    <cellStyle name="SHADEDSTORES 3 51 9" xfId="43653"/>
    <cellStyle name="SHADEDSTORES 3 52" xfId="7776"/>
    <cellStyle name="SHADEDSTORES 3 52 10" xfId="43654"/>
    <cellStyle name="SHADEDSTORES 3 52 2" xfId="43655"/>
    <cellStyle name="SHADEDSTORES 3 52 3" xfId="43656"/>
    <cellStyle name="SHADEDSTORES 3 52 4" xfId="43657"/>
    <cellStyle name="SHADEDSTORES 3 52 5" xfId="43658"/>
    <cellStyle name="SHADEDSTORES 3 52 6" xfId="43659"/>
    <cellStyle name="SHADEDSTORES 3 52 7" xfId="43660"/>
    <cellStyle name="SHADEDSTORES 3 52 8" xfId="43661"/>
    <cellStyle name="SHADEDSTORES 3 52 9" xfId="43662"/>
    <cellStyle name="SHADEDSTORES 3 53" xfId="7777"/>
    <cellStyle name="SHADEDSTORES 3 53 10" xfId="43663"/>
    <cellStyle name="SHADEDSTORES 3 53 2" xfId="43664"/>
    <cellStyle name="SHADEDSTORES 3 53 3" xfId="43665"/>
    <cellStyle name="SHADEDSTORES 3 53 4" xfId="43666"/>
    <cellStyle name="SHADEDSTORES 3 53 5" xfId="43667"/>
    <cellStyle name="SHADEDSTORES 3 53 6" xfId="43668"/>
    <cellStyle name="SHADEDSTORES 3 53 7" xfId="43669"/>
    <cellStyle name="SHADEDSTORES 3 53 8" xfId="43670"/>
    <cellStyle name="SHADEDSTORES 3 53 9" xfId="43671"/>
    <cellStyle name="SHADEDSTORES 3 54" xfId="7778"/>
    <cellStyle name="SHADEDSTORES 3 54 10" xfId="43672"/>
    <cellStyle name="SHADEDSTORES 3 54 2" xfId="43673"/>
    <cellStyle name="SHADEDSTORES 3 54 3" xfId="43674"/>
    <cellStyle name="SHADEDSTORES 3 54 4" xfId="43675"/>
    <cellStyle name="SHADEDSTORES 3 54 5" xfId="43676"/>
    <cellStyle name="SHADEDSTORES 3 54 6" xfId="43677"/>
    <cellStyle name="SHADEDSTORES 3 54 7" xfId="43678"/>
    <cellStyle name="SHADEDSTORES 3 54 8" xfId="43679"/>
    <cellStyle name="SHADEDSTORES 3 54 9" xfId="43680"/>
    <cellStyle name="SHADEDSTORES 3 55" xfId="7779"/>
    <cellStyle name="SHADEDSTORES 3 55 10" xfId="43681"/>
    <cellStyle name="SHADEDSTORES 3 55 2" xfId="43682"/>
    <cellStyle name="SHADEDSTORES 3 55 3" xfId="43683"/>
    <cellStyle name="SHADEDSTORES 3 55 4" xfId="43684"/>
    <cellStyle name="SHADEDSTORES 3 55 5" xfId="43685"/>
    <cellStyle name="SHADEDSTORES 3 55 6" xfId="43686"/>
    <cellStyle name="SHADEDSTORES 3 55 7" xfId="43687"/>
    <cellStyle name="SHADEDSTORES 3 55 8" xfId="43688"/>
    <cellStyle name="SHADEDSTORES 3 55 9" xfId="43689"/>
    <cellStyle name="SHADEDSTORES 3 56" xfId="7780"/>
    <cellStyle name="SHADEDSTORES 3 56 10" xfId="43690"/>
    <cellStyle name="SHADEDSTORES 3 56 2" xfId="43691"/>
    <cellStyle name="SHADEDSTORES 3 56 3" xfId="43692"/>
    <cellStyle name="SHADEDSTORES 3 56 4" xfId="43693"/>
    <cellStyle name="SHADEDSTORES 3 56 5" xfId="43694"/>
    <cellStyle name="SHADEDSTORES 3 56 6" xfId="43695"/>
    <cellStyle name="SHADEDSTORES 3 56 7" xfId="43696"/>
    <cellStyle name="SHADEDSTORES 3 56 8" xfId="43697"/>
    <cellStyle name="SHADEDSTORES 3 56 9" xfId="43698"/>
    <cellStyle name="SHADEDSTORES 3 57" xfId="7781"/>
    <cellStyle name="SHADEDSTORES 3 57 10" xfId="43699"/>
    <cellStyle name="SHADEDSTORES 3 57 2" xfId="43700"/>
    <cellStyle name="SHADEDSTORES 3 57 3" xfId="43701"/>
    <cellStyle name="SHADEDSTORES 3 57 4" xfId="43702"/>
    <cellStyle name="SHADEDSTORES 3 57 5" xfId="43703"/>
    <cellStyle name="SHADEDSTORES 3 57 6" xfId="43704"/>
    <cellStyle name="SHADEDSTORES 3 57 7" xfId="43705"/>
    <cellStyle name="SHADEDSTORES 3 57 8" xfId="43706"/>
    <cellStyle name="SHADEDSTORES 3 57 9" xfId="43707"/>
    <cellStyle name="SHADEDSTORES 3 58" xfId="7782"/>
    <cellStyle name="SHADEDSTORES 3 58 10" xfId="43708"/>
    <cellStyle name="SHADEDSTORES 3 58 2" xfId="43709"/>
    <cellStyle name="SHADEDSTORES 3 58 3" xfId="43710"/>
    <cellStyle name="SHADEDSTORES 3 58 4" xfId="43711"/>
    <cellStyle name="SHADEDSTORES 3 58 5" xfId="43712"/>
    <cellStyle name="SHADEDSTORES 3 58 6" xfId="43713"/>
    <cellStyle name="SHADEDSTORES 3 58 7" xfId="43714"/>
    <cellStyle name="SHADEDSTORES 3 58 8" xfId="43715"/>
    <cellStyle name="SHADEDSTORES 3 58 9" xfId="43716"/>
    <cellStyle name="SHADEDSTORES 3 59" xfId="7783"/>
    <cellStyle name="SHADEDSTORES 3 59 10" xfId="43717"/>
    <cellStyle name="SHADEDSTORES 3 59 2" xfId="43718"/>
    <cellStyle name="SHADEDSTORES 3 59 3" xfId="43719"/>
    <cellStyle name="SHADEDSTORES 3 59 4" xfId="43720"/>
    <cellStyle name="SHADEDSTORES 3 59 5" xfId="43721"/>
    <cellStyle name="SHADEDSTORES 3 59 6" xfId="43722"/>
    <cellStyle name="SHADEDSTORES 3 59 7" xfId="43723"/>
    <cellStyle name="SHADEDSTORES 3 59 8" xfId="43724"/>
    <cellStyle name="SHADEDSTORES 3 59 9" xfId="43725"/>
    <cellStyle name="SHADEDSTORES 3 6" xfId="2575"/>
    <cellStyle name="SHADEDSTORES 3 6 2" xfId="2576"/>
    <cellStyle name="SHADEDSTORES 3 6 2 2" xfId="13012"/>
    <cellStyle name="SHADEDSTORES 3 6 2_YL Capex Cashflow &amp; Dep" xfId="13554"/>
    <cellStyle name="SHADEDSTORES 3 6 3" xfId="2577"/>
    <cellStyle name="SHADEDSTORES 3 6 3 2" xfId="12872"/>
    <cellStyle name="SHADEDSTORES 3 6 3_YL Capex Cashflow &amp; Dep" xfId="13555"/>
    <cellStyle name="SHADEDSTORES 3 6 4" xfId="12382"/>
    <cellStyle name="SHADEDSTORES 3 6 5" xfId="43726"/>
    <cellStyle name="SHADEDSTORES 3 6 6" xfId="43727"/>
    <cellStyle name="SHADEDSTORES 3 6 7" xfId="43728"/>
    <cellStyle name="SHADEDSTORES 3 6 8" xfId="43729"/>
    <cellStyle name="SHADEDSTORES 3 6 9" xfId="43730"/>
    <cellStyle name="SHADEDSTORES 3 6_YL Capex Cashflow &amp; Dep" xfId="13553"/>
    <cellStyle name="SHADEDSTORES 3 60" xfId="7784"/>
    <cellStyle name="SHADEDSTORES 3 60 10" xfId="43731"/>
    <cellStyle name="SHADEDSTORES 3 60 2" xfId="43732"/>
    <cellStyle name="SHADEDSTORES 3 60 3" xfId="43733"/>
    <cellStyle name="SHADEDSTORES 3 60 4" xfId="43734"/>
    <cellStyle name="SHADEDSTORES 3 60 5" xfId="43735"/>
    <cellStyle name="SHADEDSTORES 3 60 6" xfId="43736"/>
    <cellStyle name="SHADEDSTORES 3 60 7" xfId="43737"/>
    <cellStyle name="SHADEDSTORES 3 60 8" xfId="43738"/>
    <cellStyle name="SHADEDSTORES 3 60 9" xfId="43739"/>
    <cellStyle name="SHADEDSTORES 3 61" xfId="7785"/>
    <cellStyle name="SHADEDSTORES 3 61 10" xfId="43740"/>
    <cellStyle name="SHADEDSTORES 3 61 2" xfId="43741"/>
    <cellStyle name="SHADEDSTORES 3 61 3" xfId="43742"/>
    <cellStyle name="SHADEDSTORES 3 61 4" xfId="43743"/>
    <cellStyle name="SHADEDSTORES 3 61 5" xfId="43744"/>
    <cellStyle name="SHADEDSTORES 3 61 6" xfId="43745"/>
    <cellStyle name="SHADEDSTORES 3 61 7" xfId="43746"/>
    <cellStyle name="SHADEDSTORES 3 61 8" xfId="43747"/>
    <cellStyle name="SHADEDSTORES 3 61 9" xfId="43748"/>
    <cellStyle name="SHADEDSTORES 3 62" xfId="7786"/>
    <cellStyle name="SHADEDSTORES 3 62 10" xfId="43749"/>
    <cellStyle name="SHADEDSTORES 3 62 2" xfId="43750"/>
    <cellStyle name="SHADEDSTORES 3 62 3" xfId="43751"/>
    <cellStyle name="SHADEDSTORES 3 62 4" xfId="43752"/>
    <cellStyle name="SHADEDSTORES 3 62 5" xfId="43753"/>
    <cellStyle name="SHADEDSTORES 3 62 6" xfId="43754"/>
    <cellStyle name="SHADEDSTORES 3 62 7" xfId="43755"/>
    <cellStyle name="SHADEDSTORES 3 62 8" xfId="43756"/>
    <cellStyle name="SHADEDSTORES 3 62 9" xfId="43757"/>
    <cellStyle name="SHADEDSTORES 3 63" xfId="7787"/>
    <cellStyle name="SHADEDSTORES 3 63 10" xfId="43758"/>
    <cellStyle name="SHADEDSTORES 3 63 2" xfId="43759"/>
    <cellStyle name="SHADEDSTORES 3 63 3" xfId="43760"/>
    <cellStyle name="SHADEDSTORES 3 63 4" xfId="43761"/>
    <cellStyle name="SHADEDSTORES 3 63 5" xfId="43762"/>
    <cellStyle name="SHADEDSTORES 3 63 6" xfId="43763"/>
    <cellStyle name="SHADEDSTORES 3 63 7" xfId="43764"/>
    <cellStyle name="SHADEDSTORES 3 63 8" xfId="43765"/>
    <cellStyle name="SHADEDSTORES 3 63 9" xfId="43766"/>
    <cellStyle name="SHADEDSTORES 3 64" xfId="7788"/>
    <cellStyle name="SHADEDSTORES 3 64 10" xfId="43767"/>
    <cellStyle name="SHADEDSTORES 3 64 2" xfId="43768"/>
    <cellStyle name="SHADEDSTORES 3 64 3" xfId="43769"/>
    <cellStyle name="SHADEDSTORES 3 64 4" xfId="43770"/>
    <cellStyle name="SHADEDSTORES 3 64 5" xfId="43771"/>
    <cellStyle name="SHADEDSTORES 3 64 6" xfId="43772"/>
    <cellStyle name="SHADEDSTORES 3 64 7" xfId="43773"/>
    <cellStyle name="SHADEDSTORES 3 64 8" xfId="43774"/>
    <cellStyle name="SHADEDSTORES 3 64 9" xfId="43775"/>
    <cellStyle name="SHADEDSTORES 3 65" xfId="7789"/>
    <cellStyle name="SHADEDSTORES 3 65 10" xfId="43776"/>
    <cellStyle name="SHADEDSTORES 3 65 2" xfId="43777"/>
    <cellStyle name="SHADEDSTORES 3 65 3" xfId="43778"/>
    <cellStyle name="SHADEDSTORES 3 65 4" xfId="43779"/>
    <cellStyle name="SHADEDSTORES 3 65 5" xfId="43780"/>
    <cellStyle name="SHADEDSTORES 3 65 6" xfId="43781"/>
    <cellStyle name="SHADEDSTORES 3 65 7" xfId="43782"/>
    <cellStyle name="SHADEDSTORES 3 65 8" xfId="43783"/>
    <cellStyle name="SHADEDSTORES 3 65 9" xfId="43784"/>
    <cellStyle name="SHADEDSTORES 3 66" xfId="7790"/>
    <cellStyle name="SHADEDSTORES 3 66 10" xfId="43785"/>
    <cellStyle name="SHADEDSTORES 3 66 2" xfId="43786"/>
    <cellStyle name="SHADEDSTORES 3 66 3" xfId="43787"/>
    <cellStyle name="SHADEDSTORES 3 66 4" xfId="43788"/>
    <cellStyle name="SHADEDSTORES 3 66 5" xfId="43789"/>
    <cellStyle name="SHADEDSTORES 3 66 6" xfId="43790"/>
    <cellStyle name="SHADEDSTORES 3 66 7" xfId="43791"/>
    <cellStyle name="SHADEDSTORES 3 66 8" xfId="43792"/>
    <cellStyle name="SHADEDSTORES 3 66 9" xfId="43793"/>
    <cellStyle name="SHADEDSTORES 3 67" xfId="7791"/>
    <cellStyle name="SHADEDSTORES 3 67 10" xfId="43794"/>
    <cellStyle name="SHADEDSTORES 3 67 2" xfId="43795"/>
    <cellStyle name="SHADEDSTORES 3 67 3" xfId="43796"/>
    <cellStyle name="SHADEDSTORES 3 67 4" xfId="43797"/>
    <cellStyle name="SHADEDSTORES 3 67 5" xfId="43798"/>
    <cellStyle name="SHADEDSTORES 3 67 6" xfId="43799"/>
    <cellStyle name="SHADEDSTORES 3 67 7" xfId="43800"/>
    <cellStyle name="SHADEDSTORES 3 67 8" xfId="43801"/>
    <cellStyle name="SHADEDSTORES 3 67 9" xfId="43802"/>
    <cellStyle name="SHADEDSTORES 3 68" xfId="7792"/>
    <cellStyle name="SHADEDSTORES 3 68 10" xfId="43803"/>
    <cellStyle name="SHADEDSTORES 3 68 2" xfId="43804"/>
    <cellStyle name="SHADEDSTORES 3 68 3" xfId="43805"/>
    <cellStyle name="SHADEDSTORES 3 68 4" xfId="43806"/>
    <cellStyle name="SHADEDSTORES 3 68 5" xfId="43807"/>
    <cellStyle name="SHADEDSTORES 3 68 6" xfId="43808"/>
    <cellStyle name="SHADEDSTORES 3 68 7" xfId="43809"/>
    <cellStyle name="SHADEDSTORES 3 68 8" xfId="43810"/>
    <cellStyle name="SHADEDSTORES 3 68 9" xfId="43811"/>
    <cellStyle name="SHADEDSTORES 3 69" xfId="7793"/>
    <cellStyle name="SHADEDSTORES 3 69 10" xfId="43812"/>
    <cellStyle name="SHADEDSTORES 3 69 2" xfId="43813"/>
    <cellStyle name="SHADEDSTORES 3 69 3" xfId="43814"/>
    <cellStyle name="SHADEDSTORES 3 69 4" xfId="43815"/>
    <cellStyle name="SHADEDSTORES 3 69 5" xfId="43816"/>
    <cellStyle name="SHADEDSTORES 3 69 6" xfId="43817"/>
    <cellStyle name="SHADEDSTORES 3 69 7" xfId="43818"/>
    <cellStyle name="SHADEDSTORES 3 69 8" xfId="43819"/>
    <cellStyle name="SHADEDSTORES 3 69 9" xfId="43820"/>
    <cellStyle name="SHADEDSTORES 3 7" xfId="7794"/>
    <cellStyle name="SHADEDSTORES 3 7 2" xfId="43821"/>
    <cellStyle name="SHADEDSTORES 3 7 3" xfId="43822"/>
    <cellStyle name="SHADEDSTORES 3 7 4" xfId="43823"/>
    <cellStyle name="SHADEDSTORES 3 7 5" xfId="43824"/>
    <cellStyle name="SHADEDSTORES 3 7 6" xfId="43825"/>
    <cellStyle name="SHADEDSTORES 3 7 7" xfId="43826"/>
    <cellStyle name="SHADEDSTORES 3 7 8" xfId="43827"/>
    <cellStyle name="SHADEDSTORES 3 7 9" xfId="43828"/>
    <cellStyle name="SHADEDSTORES 3 70" xfId="7795"/>
    <cellStyle name="SHADEDSTORES 3 70 10" xfId="43829"/>
    <cellStyle name="SHADEDSTORES 3 70 2" xfId="43830"/>
    <cellStyle name="SHADEDSTORES 3 70 3" xfId="43831"/>
    <cellStyle name="SHADEDSTORES 3 70 4" xfId="43832"/>
    <cellStyle name="SHADEDSTORES 3 70 5" xfId="43833"/>
    <cellStyle name="SHADEDSTORES 3 70 6" xfId="43834"/>
    <cellStyle name="SHADEDSTORES 3 70 7" xfId="43835"/>
    <cellStyle name="SHADEDSTORES 3 70 8" xfId="43836"/>
    <cellStyle name="SHADEDSTORES 3 70 9" xfId="43837"/>
    <cellStyle name="SHADEDSTORES 3 71" xfId="7796"/>
    <cellStyle name="SHADEDSTORES 3 71 10" xfId="43838"/>
    <cellStyle name="SHADEDSTORES 3 71 2" xfId="43839"/>
    <cellStyle name="SHADEDSTORES 3 71 3" xfId="43840"/>
    <cellStyle name="SHADEDSTORES 3 71 4" xfId="43841"/>
    <cellStyle name="SHADEDSTORES 3 71 5" xfId="43842"/>
    <cellStyle name="SHADEDSTORES 3 71 6" xfId="43843"/>
    <cellStyle name="SHADEDSTORES 3 71 7" xfId="43844"/>
    <cellStyle name="SHADEDSTORES 3 71 8" xfId="43845"/>
    <cellStyle name="SHADEDSTORES 3 71 9" xfId="43846"/>
    <cellStyle name="SHADEDSTORES 3 72" xfId="7797"/>
    <cellStyle name="SHADEDSTORES 3 72 10" xfId="43847"/>
    <cellStyle name="SHADEDSTORES 3 72 2" xfId="43848"/>
    <cellStyle name="SHADEDSTORES 3 72 3" xfId="43849"/>
    <cellStyle name="SHADEDSTORES 3 72 4" xfId="43850"/>
    <cellStyle name="SHADEDSTORES 3 72 5" xfId="43851"/>
    <cellStyle name="SHADEDSTORES 3 72 6" xfId="43852"/>
    <cellStyle name="SHADEDSTORES 3 72 7" xfId="43853"/>
    <cellStyle name="SHADEDSTORES 3 72 8" xfId="43854"/>
    <cellStyle name="SHADEDSTORES 3 72 9" xfId="43855"/>
    <cellStyle name="SHADEDSTORES 3 73" xfId="7798"/>
    <cellStyle name="SHADEDSTORES 3 73 10" xfId="43856"/>
    <cellStyle name="SHADEDSTORES 3 73 2" xfId="43857"/>
    <cellStyle name="SHADEDSTORES 3 73 3" xfId="43858"/>
    <cellStyle name="SHADEDSTORES 3 73 4" xfId="43859"/>
    <cellStyle name="SHADEDSTORES 3 73 5" xfId="43860"/>
    <cellStyle name="SHADEDSTORES 3 73 6" xfId="43861"/>
    <cellStyle name="SHADEDSTORES 3 73 7" xfId="43862"/>
    <cellStyle name="SHADEDSTORES 3 73 8" xfId="43863"/>
    <cellStyle name="SHADEDSTORES 3 73 9" xfId="43864"/>
    <cellStyle name="SHADEDSTORES 3 74" xfId="7799"/>
    <cellStyle name="SHADEDSTORES 3 74 10" xfId="43865"/>
    <cellStyle name="SHADEDSTORES 3 74 2" xfId="43866"/>
    <cellStyle name="SHADEDSTORES 3 74 3" xfId="43867"/>
    <cellStyle name="SHADEDSTORES 3 74 4" xfId="43868"/>
    <cellStyle name="SHADEDSTORES 3 74 5" xfId="43869"/>
    <cellStyle name="SHADEDSTORES 3 74 6" xfId="43870"/>
    <cellStyle name="SHADEDSTORES 3 74 7" xfId="43871"/>
    <cellStyle name="SHADEDSTORES 3 74 8" xfId="43872"/>
    <cellStyle name="SHADEDSTORES 3 74 9" xfId="43873"/>
    <cellStyle name="SHADEDSTORES 3 75" xfId="7800"/>
    <cellStyle name="SHADEDSTORES 3 75 10" xfId="43874"/>
    <cellStyle name="SHADEDSTORES 3 75 2" xfId="43875"/>
    <cellStyle name="SHADEDSTORES 3 75 3" xfId="43876"/>
    <cellStyle name="SHADEDSTORES 3 75 4" xfId="43877"/>
    <cellStyle name="SHADEDSTORES 3 75 5" xfId="43878"/>
    <cellStyle name="SHADEDSTORES 3 75 6" xfId="43879"/>
    <cellStyle name="SHADEDSTORES 3 75 7" xfId="43880"/>
    <cellStyle name="SHADEDSTORES 3 75 8" xfId="43881"/>
    <cellStyle name="SHADEDSTORES 3 75 9" xfId="43882"/>
    <cellStyle name="SHADEDSTORES 3 76" xfId="7801"/>
    <cellStyle name="SHADEDSTORES 3 76 10" xfId="43883"/>
    <cellStyle name="SHADEDSTORES 3 76 2" xfId="43884"/>
    <cellStyle name="SHADEDSTORES 3 76 3" xfId="43885"/>
    <cellStyle name="SHADEDSTORES 3 76 4" xfId="43886"/>
    <cellStyle name="SHADEDSTORES 3 76 5" xfId="43887"/>
    <cellStyle name="SHADEDSTORES 3 76 6" xfId="43888"/>
    <cellStyle name="SHADEDSTORES 3 76 7" xfId="43889"/>
    <cellStyle name="SHADEDSTORES 3 76 8" xfId="43890"/>
    <cellStyle name="SHADEDSTORES 3 76 9" xfId="43891"/>
    <cellStyle name="SHADEDSTORES 3 77" xfId="7802"/>
    <cellStyle name="SHADEDSTORES 3 77 10" xfId="43892"/>
    <cellStyle name="SHADEDSTORES 3 77 2" xfId="43893"/>
    <cellStyle name="SHADEDSTORES 3 77 3" xfId="43894"/>
    <cellStyle name="SHADEDSTORES 3 77 4" xfId="43895"/>
    <cellStyle name="SHADEDSTORES 3 77 5" xfId="43896"/>
    <cellStyle name="SHADEDSTORES 3 77 6" xfId="43897"/>
    <cellStyle name="SHADEDSTORES 3 77 7" xfId="43898"/>
    <cellStyle name="SHADEDSTORES 3 77 8" xfId="43899"/>
    <cellStyle name="SHADEDSTORES 3 77 9" xfId="43900"/>
    <cellStyle name="SHADEDSTORES 3 78" xfId="7803"/>
    <cellStyle name="SHADEDSTORES 3 78 10" xfId="43901"/>
    <cellStyle name="SHADEDSTORES 3 78 2" xfId="43902"/>
    <cellStyle name="SHADEDSTORES 3 78 3" xfId="43903"/>
    <cellStyle name="SHADEDSTORES 3 78 4" xfId="43904"/>
    <cellStyle name="SHADEDSTORES 3 78 5" xfId="43905"/>
    <cellStyle name="SHADEDSTORES 3 78 6" xfId="43906"/>
    <cellStyle name="SHADEDSTORES 3 78 7" xfId="43907"/>
    <cellStyle name="SHADEDSTORES 3 78 8" xfId="43908"/>
    <cellStyle name="SHADEDSTORES 3 78 9" xfId="43909"/>
    <cellStyle name="SHADEDSTORES 3 79" xfId="7804"/>
    <cellStyle name="SHADEDSTORES 3 79 10" xfId="43910"/>
    <cellStyle name="SHADEDSTORES 3 79 2" xfId="43911"/>
    <cellStyle name="SHADEDSTORES 3 79 3" xfId="43912"/>
    <cellStyle name="SHADEDSTORES 3 79 4" xfId="43913"/>
    <cellStyle name="SHADEDSTORES 3 79 5" xfId="43914"/>
    <cellStyle name="SHADEDSTORES 3 79 6" xfId="43915"/>
    <cellStyle name="SHADEDSTORES 3 79 7" xfId="43916"/>
    <cellStyle name="SHADEDSTORES 3 79 8" xfId="43917"/>
    <cellStyle name="SHADEDSTORES 3 79 9" xfId="43918"/>
    <cellStyle name="SHADEDSTORES 3 8" xfId="7805"/>
    <cellStyle name="SHADEDSTORES 3 8 2" xfId="43919"/>
    <cellStyle name="SHADEDSTORES 3 8 3" xfId="43920"/>
    <cellStyle name="SHADEDSTORES 3 8 4" xfId="43921"/>
    <cellStyle name="SHADEDSTORES 3 8 5" xfId="43922"/>
    <cellStyle name="SHADEDSTORES 3 8 6" xfId="43923"/>
    <cellStyle name="SHADEDSTORES 3 8 7" xfId="43924"/>
    <cellStyle name="SHADEDSTORES 3 8 8" xfId="43925"/>
    <cellStyle name="SHADEDSTORES 3 8 9" xfId="43926"/>
    <cellStyle name="SHADEDSTORES 3 80" xfId="7806"/>
    <cellStyle name="SHADEDSTORES 3 80 10" xfId="43927"/>
    <cellStyle name="SHADEDSTORES 3 80 2" xfId="43928"/>
    <cellStyle name="SHADEDSTORES 3 80 3" xfId="43929"/>
    <cellStyle name="SHADEDSTORES 3 80 4" xfId="43930"/>
    <cellStyle name="SHADEDSTORES 3 80 5" xfId="43931"/>
    <cellStyle name="SHADEDSTORES 3 80 6" xfId="43932"/>
    <cellStyle name="SHADEDSTORES 3 80 7" xfId="43933"/>
    <cellStyle name="SHADEDSTORES 3 80 8" xfId="43934"/>
    <cellStyle name="SHADEDSTORES 3 80 9" xfId="43935"/>
    <cellStyle name="SHADEDSTORES 3 81" xfId="7807"/>
    <cellStyle name="SHADEDSTORES 3 81 10" xfId="43936"/>
    <cellStyle name="SHADEDSTORES 3 81 2" xfId="43937"/>
    <cellStyle name="SHADEDSTORES 3 81 3" xfId="43938"/>
    <cellStyle name="SHADEDSTORES 3 81 4" xfId="43939"/>
    <cellStyle name="SHADEDSTORES 3 81 5" xfId="43940"/>
    <cellStyle name="SHADEDSTORES 3 81 6" xfId="43941"/>
    <cellStyle name="SHADEDSTORES 3 81 7" xfId="43942"/>
    <cellStyle name="SHADEDSTORES 3 81 8" xfId="43943"/>
    <cellStyle name="SHADEDSTORES 3 81 9" xfId="43944"/>
    <cellStyle name="SHADEDSTORES 3 82" xfId="7808"/>
    <cellStyle name="SHADEDSTORES 3 82 10" xfId="43945"/>
    <cellStyle name="SHADEDSTORES 3 82 2" xfId="43946"/>
    <cellStyle name="SHADEDSTORES 3 82 3" xfId="43947"/>
    <cellStyle name="SHADEDSTORES 3 82 4" xfId="43948"/>
    <cellStyle name="SHADEDSTORES 3 82 5" xfId="43949"/>
    <cellStyle name="SHADEDSTORES 3 82 6" xfId="43950"/>
    <cellStyle name="SHADEDSTORES 3 82 7" xfId="43951"/>
    <cellStyle name="SHADEDSTORES 3 82 8" xfId="43952"/>
    <cellStyle name="SHADEDSTORES 3 82 9" xfId="43953"/>
    <cellStyle name="SHADEDSTORES 3 83" xfId="7809"/>
    <cellStyle name="SHADEDSTORES 3 83 10" xfId="43954"/>
    <cellStyle name="SHADEDSTORES 3 83 2" xfId="43955"/>
    <cellStyle name="SHADEDSTORES 3 83 3" xfId="43956"/>
    <cellStyle name="SHADEDSTORES 3 83 4" xfId="43957"/>
    <cellStyle name="SHADEDSTORES 3 83 5" xfId="43958"/>
    <cellStyle name="SHADEDSTORES 3 83 6" xfId="43959"/>
    <cellStyle name="SHADEDSTORES 3 83 7" xfId="43960"/>
    <cellStyle name="SHADEDSTORES 3 83 8" xfId="43961"/>
    <cellStyle name="SHADEDSTORES 3 83 9" xfId="43962"/>
    <cellStyle name="SHADEDSTORES 3 84" xfId="7810"/>
    <cellStyle name="SHADEDSTORES 3 84 10" xfId="43963"/>
    <cellStyle name="SHADEDSTORES 3 84 2" xfId="43964"/>
    <cellStyle name="SHADEDSTORES 3 84 3" xfId="43965"/>
    <cellStyle name="SHADEDSTORES 3 84 4" xfId="43966"/>
    <cellStyle name="SHADEDSTORES 3 84 5" xfId="43967"/>
    <cellStyle name="SHADEDSTORES 3 84 6" xfId="43968"/>
    <cellStyle name="SHADEDSTORES 3 84 7" xfId="43969"/>
    <cellStyle name="SHADEDSTORES 3 84 8" xfId="43970"/>
    <cellStyle name="SHADEDSTORES 3 84 9" xfId="43971"/>
    <cellStyle name="SHADEDSTORES 3 85" xfId="7811"/>
    <cellStyle name="SHADEDSTORES 3 85 10" xfId="43972"/>
    <cellStyle name="SHADEDSTORES 3 85 2" xfId="43973"/>
    <cellStyle name="SHADEDSTORES 3 85 3" xfId="43974"/>
    <cellStyle name="SHADEDSTORES 3 85 4" xfId="43975"/>
    <cellStyle name="SHADEDSTORES 3 85 5" xfId="43976"/>
    <cellStyle name="SHADEDSTORES 3 85 6" xfId="43977"/>
    <cellStyle name="SHADEDSTORES 3 85 7" xfId="43978"/>
    <cellStyle name="SHADEDSTORES 3 85 8" xfId="43979"/>
    <cellStyle name="SHADEDSTORES 3 85 9" xfId="43980"/>
    <cellStyle name="SHADEDSTORES 3 86" xfId="7812"/>
    <cellStyle name="SHADEDSTORES 3 86 10" xfId="43981"/>
    <cellStyle name="SHADEDSTORES 3 86 2" xfId="43982"/>
    <cellStyle name="SHADEDSTORES 3 86 3" xfId="43983"/>
    <cellStyle name="SHADEDSTORES 3 86 4" xfId="43984"/>
    <cellStyle name="SHADEDSTORES 3 86 5" xfId="43985"/>
    <cellStyle name="SHADEDSTORES 3 86 6" xfId="43986"/>
    <cellStyle name="SHADEDSTORES 3 86 7" xfId="43987"/>
    <cellStyle name="SHADEDSTORES 3 86 8" xfId="43988"/>
    <cellStyle name="SHADEDSTORES 3 86 9" xfId="43989"/>
    <cellStyle name="SHADEDSTORES 3 87" xfId="7813"/>
    <cellStyle name="SHADEDSTORES 3 87 10" xfId="43990"/>
    <cellStyle name="SHADEDSTORES 3 87 2" xfId="43991"/>
    <cellStyle name="SHADEDSTORES 3 87 3" xfId="43992"/>
    <cellStyle name="SHADEDSTORES 3 87 4" xfId="43993"/>
    <cellStyle name="SHADEDSTORES 3 87 5" xfId="43994"/>
    <cellStyle name="SHADEDSTORES 3 87 6" xfId="43995"/>
    <cellStyle name="SHADEDSTORES 3 87 7" xfId="43996"/>
    <cellStyle name="SHADEDSTORES 3 87 8" xfId="43997"/>
    <cellStyle name="SHADEDSTORES 3 87 9" xfId="43998"/>
    <cellStyle name="SHADEDSTORES 3 88" xfId="7814"/>
    <cellStyle name="SHADEDSTORES 3 88 10" xfId="43999"/>
    <cellStyle name="SHADEDSTORES 3 88 2" xfId="44000"/>
    <cellStyle name="SHADEDSTORES 3 88 3" xfId="44001"/>
    <cellStyle name="SHADEDSTORES 3 88 4" xfId="44002"/>
    <cellStyle name="SHADEDSTORES 3 88 5" xfId="44003"/>
    <cellStyle name="SHADEDSTORES 3 88 6" xfId="44004"/>
    <cellStyle name="SHADEDSTORES 3 88 7" xfId="44005"/>
    <cellStyle name="SHADEDSTORES 3 88 8" xfId="44006"/>
    <cellStyle name="SHADEDSTORES 3 88 9" xfId="44007"/>
    <cellStyle name="SHADEDSTORES 3 89" xfId="7815"/>
    <cellStyle name="SHADEDSTORES 3 89 10" xfId="44008"/>
    <cellStyle name="SHADEDSTORES 3 89 2" xfId="44009"/>
    <cellStyle name="SHADEDSTORES 3 89 3" xfId="44010"/>
    <cellStyle name="SHADEDSTORES 3 89 4" xfId="44011"/>
    <cellStyle name="SHADEDSTORES 3 89 5" xfId="44012"/>
    <cellStyle name="SHADEDSTORES 3 89 6" xfId="44013"/>
    <cellStyle name="SHADEDSTORES 3 89 7" xfId="44014"/>
    <cellStyle name="SHADEDSTORES 3 89 8" xfId="44015"/>
    <cellStyle name="SHADEDSTORES 3 89 9" xfId="44016"/>
    <cellStyle name="SHADEDSTORES 3 9" xfId="7816"/>
    <cellStyle name="SHADEDSTORES 3 9 2" xfId="44017"/>
    <cellStyle name="SHADEDSTORES 3 9 3" xfId="44018"/>
    <cellStyle name="SHADEDSTORES 3 9 4" xfId="44019"/>
    <cellStyle name="SHADEDSTORES 3 9 5" xfId="44020"/>
    <cellStyle name="SHADEDSTORES 3 9 6" xfId="44021"/>
    <cellStyle name="SHADEDSTORES 3 9 7" xfId="44022"/>
    <cellStyle name="SHADEDSTORES 3 9 8" xfId="44023"/>
    <cellStyle name="SHADEDSTORES 3 9 9" xfId="44024"/>
    <cellStyle name="SHADEDSTORES 3 90" xfId="7817"/>
    <cellStyle name="SHADEDSTORES 3 90 10" xfId="44025"/>
    <cellStyle name="SHADEDSTORES 3 90 2" xfId="44026"/>
    <cellStyle name="SHADEDSTORES 3 90 3" xfId="44027"/>
    <cellStyle name="SHADEDSTORES 3 90 4" xfId="44028"/>
    <cellStyle name="SHADEDSTORES 3 90 5" xfId="44029"/>
    <cellStyle name="SHADEDSTORES 3 90 6" xfId="44030"/>
    <cellStyle name="SHADEDSTORES 3 90 7" xfId="44031"/>
    <cellStyle name="SHADEDSTORES 3 90 8" xfId="44032"/>
    <cellStyle name="SHADEDSTORES 3 90 9" xfId="44033"/>
    <cellStyle name="SHADEDSTORES 3 91" xfId="7818"/>
    <cellStyle name="SHADEDSTORES 3 91 10" xfId="44034"/>
    <cellStyle name="SHADEDSTORES 3 91 2" xfId="44035"/>
    <cellStyle name="SHADEDSTORES 3 91 3" xfId="44036"/>
    <cellStyle name="SHADEDSTORES 3 91 4" xfId="44037"/>
    <cellStyle name="SHADEDSTORES 3 91 5" xfId="44038"/>
    <cellStyle name="SHADEDSTORES 3 91 6" xfId="44039"/>
    <cellStyle name="SHADEDSTORES 3 91 7" xfId="44040"/>
    <cellStyle name="SHADEDSTORES 3 91 8" xfId="44041"/>
    <cellStyle name="SHADEDSTORES 3 91 9" xfId="44042"/>
    <cellStyle name="SHADEDSTORES 3 92" xfId="7819"/>
    <cellStyle name="SHADEDSTORES 3 92 10" xfId="44043"/>
    <cellStyle name="SHADEDSTORES 3 92 2" xfId="44044"/>
    <cellStyle name="SHADEDSTORES 3 92 3" xfId="44045"/>
    <cellStyle name="SHADEDSTORES 3 92 4" xfId="44046"/>
    <cellStyle name="SHADEDSTORES 3 92 5" xfId="44047"/>
    <cellStyle name="SHADEDSTORES 3 92 6" xfId="44048"/>
    <cellStyle name="SHADEDSTORES 3 92 7" xfId="44049"/>
    <cellStyle name="SHADEDSTORES 3 92 8" xfId="44050"/>
    <cellStyle name="SHADEDSTORES 3 92 9" xfId="44051"/>
    <cellStyle name="SHADEDSTORES 3 93" xfId="7820"/>
    <cellStyle name="SHADEDSTORES 3 93 2" xfId="44052"/>
    <cellStyle name="SHADEDSTORES 3 93 3" xfId="44053"/>
    <cellStyle name="SHADEDSTORES 3 93 4" xfId="44054"/>
    <cellStyle name="SHADEDSTORES 3 93 5" xfId="44055"/>
    <cellStyle name="SHADEDSTORES 3 93 6" xfId="44056"/>
    <cellStyle name="SHADEDSTORES 3 93 7" xfId="44057"/>
    <cellStyle name="SHADEDSTORES 3 93 8" xfId="44058"/>
    <cellStyle name="SHADEDSTORES 3 93 9" xfId="44059"/>
    <cellStyle name="SHADEDSTORES 3 94" xfId="11478"/>
    <cellStyle name="SHADEDSTORES 3 95" xfId="44060"/>
    <cellStyle name="SHADEDSTORES 3 96" xfId="44061"/>
    <cellStyle name="SHADEDSTORES 3 97" xfId="44062"/>
    <cellStyle name="SHADEDSTORES 3 98" xfId="44063"/>
    <cellStyle name="SHADEDSTORES 3 99" xfId="44064"/>
    <cellStyle name="SHADEDSTORES 3_Cashflow trend" xfId="2578"/>
    <cellStyle name="SHADEDSTORES 30" xfId="7821"/>
    <cellStyle name="SHADEDSTORES 30 10" xfId="44065"/>
    <cellStyle name="SHADEDSTORES 30 2" xfId="44066"/>
    <cellStyle name="SHADEDSTORES 30 3" xfId="44067"/>
    <cellStyle name="SHADEDSTORES 30 4" xfId="44068"/>
    <cellStyle name="SHADEDSTORES 30 5" xfId="44069"/>
    <cellStyle name="SHADEDSTORES 30 6" xfId="44070"/>
    <cellStyle name="SHADEDSTORES 30 7" xfId="44071"/>
    <cellStyle name="SHADEDSTORES 30 8" xfId="44072"/>
    <cellStyle name="SHADEDSTORES 30 9" xfId="44073"/>
    <cellStyle name="SHADEDSTORES 31" xfId="7822"/>
    <cellStyle name="SHADEDSTORES 31 10" xfId="44074"/>
    <cellStyle name="SHADEDSTORES 31 2" xfId="44075"/>
    <cellStyle name="SHADEDSTORES 31 3" xfId="44076"/>
    <cellStyle name="SHADEDSTORES 31 4" xfId="44077"/>
    <cellStyle name="SHADEDSTORES 31 5" xfId="44078"/>
    <cellStyle name="SHADEDSTORES 31 6" xfId="44079"/>
    <cellStyle name="SHADEDSTORES 31 7" xfId="44080"/>
    <cellStyle name="SHADEDSTORES 31 8" xfId="44081"/>
    <cellStyle name="SHADEDSTORES 31 9" xfId="44082"/>
    <cellStyle name="SHADEDSTORES 32" xfId="7823"/>
    <cellStyle name="SHADEDSTORES 32 10" xfId="44083"/>
    <cellStyle name="SHADEDSTORES 32 2" xfId="44084"/>
    <cellStyle name="SHADEDSTORES 32 3" xfId="44085"/>
    <cellStyle name="SHADEDSTORES 32 4" xfId="44086"/>
    <cellStyle name="SHADEDSTORES 32 5" xfId="44087"/>
    <cellStyle name="SHADEDSTORES 32 6" xfId="44088"/>
    <cellStyle name="SHADEDSTORES 32 7" xfId="44089"/>
    <cellStyle name="SHADEDSTORES 32 8" xfId="44090"/>
    <cellStyle name="SHADEDSTORES 32 9" xfId="44091"/>
    <cellStyle name="SHADEDSTORES 33" xfId="7824"/>
    <cellStyle name="SHADEDSTORES 33 2" xfId="44092"/>
    <cellStyle name="SHADEDSTORES 33 3" xfId="44093"/>
    <cellStyle name="SHADEDSTORES 33 4" xfId="44094"/>
    <cellStyle name="SHADEDSTORES 33 5" xfId="44095"/>
    <cellStyle name="SHADEDSTORES 33 6" xfId="44096"/>
    <cellStyle name="SHADEDSTORES 33 7" xfId="44097"/>
    <cellStyle name="SHADEDSTORES 33 8" xfId="44098"/>
    <cellStyle name="SHADEDSTORES 33 9" xfId="44099"/>
    <cellStyle name="SHADEDSTORES 34" xfId="7825"/>
    <cellStyle name="SHADEDSTORES 34 10" xfId="44100"/>
    <cellStyle name="SHADEDSTORES 34 2" xfId="44101"/>
    <cellStyle name="SHADEDSTORES 34 3" xfId="44102"/>
    <cellStyle name="SHADEDSTORES 34 4" xfId="44103"/>
    <cellStyle name="SHADEDSTORES 34 5" xfId="44104"/>
    <cellStyle name="SHADEDSTORES 34 6" xfId="44105"/>
    <cellStyle name="SHADEDSTORES 34 7" xfId="44106"/>
    <cellStyle name="SHADEDSTORES 34 8" xfId="44107"/>
    <cellStyle name="SHADEDSTORES 34 9" xfId="44108"/>
    <cellStyle name="SHADEDSTORES 35" xfId="7826"/>
    <cellStyle name="SHADEDSTORES 35 10" xfId="44109"/>
    <cellStyle name="SHADEDSTORES 35 2" xfId="44110"/>
    <cellStyle name="SHADEDSTORES 35 3" xfId="44111"/>
    <cellStyle name="SHADEDSTORES 35 4" xfId="44112"/>
    <cellStyle name="SHADEDSTORES 35 5" xfId="44113"/>
    <cellStyle name="SHADEDSTORES 35 6" xfId="44114"/>
    <cellStyle name="SHADEDSTORES 35 7" xfId="44115"/>
    <cellStyle name="SHADEDSTORES 35 8" xfId="44116"/>
    <cellStyle name="SHADEDSTORES 35 9" xfId="44117"/>
    <cellStyle name="SHADEDSTORES 36" xfId="7827"/>
    <cellStyle name="SHADEDSTORES 36 10" xfId="44118"/>
    <cellStyle name="SHADEDSTORES 36 2" xfId="44119"/>
    <cellStyle name="SHADEDSTORES 36 3" xfId="44120"/>
    <cellStyle name="SHADEDSTORES 36 4" xfId="44121"/>
    <cellStyle name="SHADEDSTORES 36 5" xfId="44122"/>
    <cellStyle name="SHADEDSTORES 36 6" xfId="44123"/>
    <cellStyle name="SHADEDSTORES 36 7" xfId="44124"/>
    <cellStyle name="SHADEDSTORES 36 8" xfId="44125"/>
    <cellStyle name="SHADEDSTORES 36 9" xfId="44126"/>
    <cellStyle name="SHADEDSTORES 37" xfId="7828"/>
    <cellStyle name="SHADEDSTORES 37 10" xfId="44127"/>
    <cellStyle name="SHADEDSTORES 37 2" xfId="44128"/>
    <cellStyle name="SHADEDSTORES 37 3" xfId="44129"/>
    <cellStyle name="SHADEDSTORES 37 4" xfId="44130"/>
    <cellStyle name="SHADEDSTORES 37 5" xfId="44131"/>
    <cellStyle name="SHADEDSTORES 37 6" xfId="44132"/>
    <cellStyle name="SHADEDSTORES 37 7" xfId="44133"/>
    <cellStyle name="SHADEDSTORES 37 8" xfId="44134"/>
    <cellStyle name="SHADEDSTORES 37 9" xfId="44135"/>
    <cellStyle name="SHADEDSTORES 38" xfId="7829"/>
    <cellStyle name="SHADEDSTORES 38 10" xfId="44136"/>
    <cellStyle name="SHADEDSTORES 38 2" xfId="44137"/>
    <cellStyle name="SHADEDSTORES 38 3" xfId="44138"/>
    <cellStyle name="SHADEDSTORES 38 4" xfId="44139"/>
    <cellStyle name="SHADEDSTORES 38 5" xfId="44140"/>
    <cellStyle name="SHADEDSTORES 38 6" xfId="44141"/>
    <cellStyle name="SHADEDSTORES 38 7" xfId="44142"/>
    <cellStyle name="SHADEDSTORES 38 8" xfId="44143"/>
    <cellStyle name="SHADEDSTORES 38 9" xfId="44144"/>
    <cellStyle name="SHADEDSTORES 39" xfId="7830"/>
    <cellStyle name="SHADEDSTORES 39 10" xfId="44145"/>
    <cellStyle name="SHADEDSTORES 39 2" xfId="44146"/>
    <cellStyle name="SHADEDSTORES 39 3" xfId="44147"/>
    <cellStyle name="SHADEDSTORES 39 4" xfId="44148"/>
    <cellStyle name="SHADEDSTORES 39 5" xfId="44149"/>
    <cellStyle name="SHADEDSTORES 39 6" xfId="44150"/>
    <cellStyle name="SHADEDSTORES 39 7" xfId="44151"/>
    <cellStyle name="SHADEDSTORES 39 8" xfId="44152"/>
    <cellStyle name="SHADEDSTORES 39 9" xfId="44153"/>
    <cellStyle name="SHADEDSTORES 4" xfId="2579"/>
    <cellStyle name="SHADEDSTORES 4 10" xfId="7831"/>
    <cellStyle name="SHADEDSTORES 4 10 2" xfId="44154"/>
    <cellStyle name="SHADEDSTORES 4 10 3" xfId="44155"/>
    <cellStyle name="SHADEDSTORES 4 10 4" xfId="44156"/>
    <cellStyle name="SHADEDSTORES 4 10 5" xfId="44157"/>
    <cellStyle name="SHADEDSTORES 4 10 6" xfId="44158"/>
    <cellStyle name="SHADEDSTORES 4 10 7" xfId="44159"/>
    <cellStyle name="SHADEDSTORES 4 10 8" xfId="44160"/>
    <cellStyle name="SHADEDSTORES 4 10 9" xfId="44161"/>
    <cellStyle name="SHADEDSTORES 4 100" xfId="44162"/>
    <cellStyle name="SHADEDSTORES 4 101" xfId="44163"/>
    <cellStyle name="SHADEDSTORES 4 102" xfId="44164"/>
    <cellStyle name="SHADEDSTORES 4 11" xfId="7832"/>
    <cellStyle name="SHADEDSTORES 4 11 2" xfId="44165"/>
    <cellStyle name="SHADEDSTORES 4 11 3" xfId="44166"/>
    <cellStyle name="SHADEDSTORES 4 11 4" xfId="44167"/>
    <cellStyle name="SHADEDSTORES 4 11 5" xfId="44168"/>
    <cellStyle name="SHADEDSTORES 4 11 6" xfId="44169"/>
    <cellStyle name="SHADEDSTORES 4 11 7" xfId="44170"/>
    <cellStyle name="SHADEDSTORES 4 11 8" xfId="44171"/>
    <cellStyle name="SHADEDSTORES 4 11 9" xfId="44172"/>
    <cellStyle name="SHADEDSTORES 4 12" xfId="7833"/>
    <cellStyle name="SHADEDSTORES 4 12 2" xfId="44173"/>
    <cellStyle name="SHADEDSTORES 4 12 3" xfId="44174"/>
    <cellStyle name="SHADEDSTORES 4 12 4" xfId="44175"/>
    <cellStyle name="SHADEDSTORES 4 12 5" xfId="44176"/>
    <cellStyle name="SHADEDSTORES 4 12 6" xfId="44177"/>
    <cellStyle name="SHADEDSTORES 4 12 7" xfId="44178"/>
    <cellStyle name="SHADEDSTORES 4 12 8" xfId="44179"/>
    <cellStyle name="SHADEDSTORES 4 12 9" xfId="44180"/>
    <cellStyle name="SHADEDSTORES 4 13" xfId="7834"/>
    <cellStyle name="SHADEDSTORES 4 13 2" xfId="44181"/>
    <cellStyle name="SHADEDSTORES 4 13 3" xfId="44182"/>
    <cellStyle name="SHADEDSTORES 4 13 4" xfId="44183"/>
    <cellStyle name="SHADEDSTORES 4 13 5" xfId="44184"/>
    <cellStyle name="SHADEDSTORES 4 13 6" xfId="44185"/>
    <cellStyle name="SHADEDSTORES 4 13 7" xfId="44186"/>
    <cellStyle name="SHADEDSTORES 4 13 8" xfId="44187"/>
    <cellStyle name="SHADEDSTORES 4 13 9" xfId="44188"/>
    <cellStyle name="SHADEDSTORES 4 14" xfId="7835"/>
    <cellStyle name="SHADEDSTORES 4 14 2" xfId="44189"/>
    <cellStyle name="SHADEDSTORES 4 14 3" xfId="44190"/>
    <cellStyle name="SHADEDSTORES 4 14 4" xfId="44191"/>
    <cellStyle name="SHADEDSTORES 4 14 5" xfId="44192"/>
    <cellStyle name="SHADEDSTORES 4 14 6" xfId="44193"/>
    <cellStyle name="SHADEDSTORES 4 14 7" xfId="44194"/>
    <cellStyle name="SHADEDSTORES 4 14 8" xfId="44195"/>
    <cellStyle name="SHADEDSTORES 4 14 9" xfId="44196"/>
    <cellStyle name="SHADEDSTORES 4 15" xfId="7836"/>
    <cellStyle name="SHADEDSTORES 4 15 2" xfId="44197"/>
    <cellStyle name="SHADEDSTORES 4 15 3" xfId="44198"/>
    <cellStyle name="SHADEDSTORES 4 15 4" xfId="44199"/>
    <cellStyle name="SHADEDSTORES 4 15 5" xfId="44200"/>
    <cellStyle name="SHADEDSTORES 4 15 6" xfId="44201"/>
    <cellStyle name="SHADEDSTORES 4 15 7" xfId="44202"/>
    <cellStyle name="SHADEDSTORES 4 15 8" xfId="44203"/>
    <cellStyle name="SHADEDSTORES 4 15 9" xfId="44204"/>
    <cellStyle name="SHADEDSTORES 4 16" xfId="7837"/>
    <cellStyle name="SHADEDSTORES 4 16 2" xfId="44205"/>
    <cellStyle name="SHADEDSTORES 4 16 3" xfId="44206"/>
    <cellStyle name="SHADEDSTORES 4 16 4" xfId="44207"/>
    <cellStyle name="SHADEDSTORES 4 16 5" xfId="44208"/>
    <cellStyle name="SHADEDSTORES 4 16 6" xfId="44209"/>
    <cellStyle name="SHADEDSTORES 4 16 7" xfId="44210"/>
    <cellStyle name="SHADEDSTORES 4 16 8" xfId="44211"/>
    <cellStyle name="SHADEDSTORES 4 16 9" xfId="44212"/>
    <cellStyle name="SHADEDSTORES 4 17" xfId="7838"/>
    <cellStyle name="SHADEDSTORES 4 17 2" xfId="44213"/>
    <cellStyle name="SHADEDSTORES 4 17 3" xfId="44214"/>
    <cellStyle name="SHADEDSTORES 4 17 4" xfId="44215"/>
    <cellStyle name="SHADEDSTORES 4 17 5" xfId="44216"/>
    <cellStyle name="SHADEDSTORES 4 17 6" xfId="44217"/>
    <cellStyle name="SHADEDSTORES 4 17 7" xfId="44218"/>
    <cellStyle name="SHADEDSTORES 4 17 8" xfId="44219"/>
    <cellStyle name="SHADEDSTORES 4 17 9" xfId="44220"/>
    <cellStyle name="SHADEDSTORES 4 18" xfId="7839"/>
    <cellStyle name="SHADEDSTORES 4 18 2" xfId="44221"/>
    <cellStyle name="SHADEDSTORES 4 18 3" xfId="44222"/>
    <cellStyle name="SHADEDSTORES 4 18 4" xfId="44223"/>
    <cellStyle name="SHADEDSTORES 4 18 5" xfId="44224"/>
    <cellStyle name="SHADEDSTORES 4 18 6" xfId="44225"/>
    <cellStyle name="SHADEDSTORES 4 18 7" xfId="44226"/>
    <cellStyle name="SHADEDSTORES 4 18 8" xfId="44227"/>
    <cellStyle name="SHADEDSTORES 4 18 9" xfId="44228"/>
    <cellStyle name="SHADEDSTORES 4 19" xfId="7840"/>
    <cellStyle name="SHADEDSTORES 4 19 2" xfId="44229"/>
    <cellStyle name="SHADEDSTORES 4 19 3" xfId="44230"/>
    <cellStyle name="SHADEDSTORES 4 19 4" xfId="44231"/>
    <cellStyle name="SHADEDSTORES 4 19 5" xfId="44232"/>
    <cellStyle name="SHADEDSTORES 4 19 6" xfId="44233"/>
    <cellStyle name="SHADEDSTORES 4 19 7" xfId="44234"/>
    <cellStyle name="SHADEDSTORES 4 19 8" xfId="44235"/>
    <cellStyle name="SHADEDSTORES 4 19 9" xfId="44236"/>
    <cellStyle name="SHADEDSTORES 4 2" xfId="2580"/>
    <cellStyle name="SHADEDSTORES 4 2 10" xfId="44237"/>
    <cellStyle name="SHADEDSTORES 4 2 11" xfId="44238"/>
    <cellStyle name="SHADEDSTORES 4 2 2" xfId="2581"/>
    <cellStyle name="SHADEDSTORES 4 2 2 2" xfId="12749"/>
    <cellStyle name="SHADEDSTORES 4 2 2_YL Capex Cashflow &amp; Dep" xfId="13556"/>
    <cellStyle name="SHADEDSTORES 4 2 3" xfId="12047"/>
    <cellStyle name="SHADEDSTORES 4 2 4" xfId="44239"/>
    <cellStyle name="SHADEDSTORES 4 2 5" xfId="44240"/>
    <cellStyle name="SHADEDSTORES 4 2 6" xfId="44241"/>
    <cellStyle name="SHADEDSTORES 4 2 7" xfId="44242"/>
    <cellStyle name="SHADEDSTORES 4 2 8" xfId="44243"/>
    <cellStyle name="SHADEDSTORES 4 2 9" xfId="44244"/>
    <cellStyle name="SHADEDSTORES 4 2_Cashflow trend" xfId="2582"/>
    <cellStyle name="SHADEDSTORES 4 20" xfId="7841"/>
    <cellStyle name="SHADEDSTORES 4 20 10" xfId="44245"/>
    <cellStyle name="SHADEDSTORES 4 20 2" xfId="44246"/>
    <cellStyle name="SHADEDSTORES 4 20 3" xfId="44247"/>
    <cellStyle name="SHADEDSTORES 4 20 4" xfId="44248"/>
    <cellStyle name="SHADEDSTORES 4 20 5" xfId="44249"/>
    <cellStyle name="SHADEDSTORES 4 20 6" xfId="44250"/>
    <cellStyle name="SHADEDSTORES 4 20 7" xfId="44251"/>
    <cellStyle name="SHADEDSTORES 4 20 8" xfId="44252"/>
    <cellStyle name="SHADEDSTORES 4 20 9" xfId="44253"/>
    <cellStyle name="SHADEDSTORES 4 21" xfId="7842"/>
    <cellStyle name="SHADEDSTORES 4 21 10" xfId="44254"/>
    <cellStyle name="SHADEDSTORES 4 21 2" xfId="44255"/>
    <cellStyle name="SHADEDSTORES 4 21 3" xfId="44256"/>
    <cellStyle name="SHADEDSTORES 4 21 4" xfId="44257"/>
    <cellStyle name="SHADEDSTORES 4 21 5" xfId="44258"/>
    <cellStyle name="SHADEDSTORES 4 21 6" xfId="44259"/>
    <cellStyle name="SHADEDSTORES 4 21 7" xfId="44260"/>
    <cellStyle name="SHADEDSTORES 4 21 8" xfId="44261"/>
    <cellStyle name="SHADEDSTORES 4 21 9" xfId="44262"/>
    <cellStyle name="SHADEDSTORES 4 22" xfId="7843"/>
    <cellStyle name="SHADEDSTORES 4 22 10" xfId="44263"/>
    <cellStyle name="SHADEDSTORES 4 22 2" xfId="44264"/>
    <cellStyle name="SHADEDSTORES 4 22 3" xfId="44265"/>
    <cellStyle name="SHADEDSTORES 4 22 4" xfId="44266"/>
    <cellStyle name="SHADEDSTORES 4 22 5" xfId="44267"/>
    <cellStyle name="SHADEDSTORES 4 22 6" xfId="44268"/>
    <cellStyle name="SHADEDSTORES 4 22 7" xfId="44269"/>
    <cellStyle name="SHADEDSTORES 4 22 8" xfId="44270"/>
    <cellStyle name="SHADEDSTORES 4 22 9" xfId="44271"/>
    <cellStyle name="SHADEDSTORES 4 23" xfId="7844"/>
    <cellStyle name="SHADEDSTORES 4 23 10" xfId="44272"/>
    <cellStyle name="SHADEDSTORES 4 23 2" xfId="44273"/>
    <cellStyle name="SHADEDSTORES 4 23 3" xfId="44274"/>
    <cellStyle name="SHADEDSTORES 4 23 4" xfId="44275"/>
    <cellStyle name="SHADEDSTORES 4 23 5" xfId="44276"/>
    <cellStyle name="SHADEDSTORES 4 23 6" xfId="44277"/>
    <cellStyle name="SHADEDSTORES 4 23 7" xfId="44278"/>
    <cellStyle name="SHADEDSTORES 4 23 8" xfId="44279"/>
    <cellStyle name="SHADEDSTORES 4 23 9" xfId="44280"/>
    <cellStyle name="SHADEDSTORES 4 24" xfId="7845"/>
    <cellStyle name="SHADEDSTORES 4 24 10" xfId="44281"/>
    <cellStyle name="SHADEDSTORES 4 24 2" xfId="44282"/>
    <cellStyle name="SHADEDSTORES 4 24 3" xfId="44283"/>
    <cellStyle name="SHADEDSTORES 4 24 4" xfId="44284"/>
    <cellStyle name="SHADEDSTORES 4 24 5" xfId="44285"/>
    <cellStyle name="SHADEDSTORES 4 24 6" xfId="44286"/>
    <cellStyle name="SHADEDSTORES 4 24 7" xfId="44287"/>
    <cellStyle name="SHADEDSTORES 4 24 8" xfId="44288"/>
    <cellStyle name="SHADEDSTORES 4 24 9" xfId="44289"/>
    <cellStyle name="SHADEDSTORES 4 25" xfId="7846"/>
    <cellStyle name="SHADEDSTORES 4 25 10" xfId="44290"/>
    <cellStyle name="SHADEDSTORES 4 25 2" xfId="44291"/>
    <cellStyle name="SHADEDSTORES 4 25 3" xfId="44292"/>
    <cellStyle name="SHADEDSTORES 4 25 4" xfId="44293"/>
    <cellStyle name="SHADEDSTORES 4 25 5" xfId="44294"/>
    <cellStyle name="SHADEDSTORES 4 25 6" xfId="44295"/>
    <cellStyle name="SHADEDSTORES 4 25 7" xfId="44296"/>
    <cellStyle name="SHADEDSTORES 4 25 8" xfId="44297"/>
    <cellStyle name="SHADEDSTORES 4 25 9" xfId="44298"/>
    <cellStyle name="SHADEDSTORES 4 26" xfId="7847"/>
    <cellStyle name="SHADEDSTORES 4 26 10" xfId="44299"/>
    <cellStyle name="SHADEDSTORES 4 26 2" xfId="44300"/>
    <cellStyle name="SHADEDSTORES 4 26 3" xfId="44301"/>
    <cellStyle name="SHADEDSTORES 4 26 4" xfId="44302"/>
    <cellStyle name="SHADEDSTORES 4 26 5" xfId="44303"/>
    <cellStyle name="SHADEDSTORES 4 26 6" xfId="44304"/>
    <cellStyle name="SHADEDSTORES 4 26 7" xfId="44305"/>
    <cellStyle name="SHADEDSTORES 4 26 8" xfId="44306"/>
    <cellStyle name="SHADEDSTORES 4 26 9" xfId="44307"/>
    <cellStyle name="SHADEDSTORES 4 27" xfId="7848"/>
    <cellStyle name="SHADEDSTORES 4 27 10" xfId="44308"/>
    <cellStyle name="SHADEDSTORES 4 27 2" xfId="44309"/>
    <cellStyle name="SHADEDSTORES 4 27 3" xfId="44310"/>
    <cellStyle name="SHADEDSTORES 4 27 4" xfId="44311"/>
    <cellStyle name="SHADEDSTORES 4 27 5" xfId="44312"/>
    <cellStyle name="SHADEDSTORES 4 27 6" xfId="44313"/>
    <cellStyle name="SHADEDSTORES 4 27 7" xfId="44314"/>
    <cellStyle name="SHADEDSTORES 4 27 8" xfId="44315"/>
    <cellStyle name="SHADEDSTORES 4 27 9" xfId="44316"/>
    <cellStyle name="SHADEDSTORES 4 28" xfId="7849"/>
    <cellStyle name="SHADEDSTORES 4 28 10" xfId="44317"/>
    <cellStyle name="SHADEDSTORES 4 28 2" xfId="44318"/>
    <cellStyle name="SHADEDSTORES 4 28 3" xfId="44319"/>
    <cellStyle name="SHADEDSTORES 4 28 4" xfId="44320"/>
    <cellStyle name="SHADEDSTORES 4 28 5" xfId="44321"/>
    <cellStyle name="SHADEDSTORES 4 28 6" xfId="44322"/>
    <cellStyle name="SHADEDSTORES 4 28 7" xfId="44323"/>
    <cellStyle name="SHADEDSTORES 4 28 8" xfId="44324"/>
    <cellStyle name="SHADEDSTORES 4 28 9" xfId="44325"/>
    <cellStyle name="SHADEDSTORES 4 29" xfId="7850"/>
    <cellStyle name="SHADEDSTORES 4 29 10" xfId="44326"/>
    <cellStyle name="SHADEDSTORES 4 29 2" xfId="44327"/>
    <cellStyle name="SHADEDSTORES 4 29 3" xfId="44328"/>
    <cellStyle name="SHADEDSTORES 4 29 4" xfId="44329"/>
    <cellStyle name="SHADEDSTORES 4 29 5" xfId="44330"/>
    <cellStyle name="SHADEDSTORES 4 29 6" xfId="44331"/>
    <cellStyle name="SHADEDSTORES 4 29 7" xfId="44332"/>
    <cellStyle name="SHADEDSTORES 4 29 8" xfId="44333"/>
    <cellStyle name="SHADEDSTORES 4 29 9" xfId="44334"/>
    <cellStyle name="SHADEDSTORES 4 3" xfId="2583"/>
    <cellStyle name="SHADEDSTORES 4 3 10" xfId="44335"/>
    <cellStyle name="SHADEDSTORES 4 3 2" xfId="2584"/>
    <cellStyle name="SHADEDSTORES 4 3 2 2" xfId="12601"/>
    <cellStyle name="SHADEDSTORES 4 3 2_YL Capex Cashflow &amp; Dep" xfId="13557"/>
    <cellStyle name="SHADEDSTORES 4 3 3" xfId="11904"/>
    <cellStyle name="SHADEDSTORES 4 3 4" xfId="44336"/>
    <cellStyle name="SHADEDSTORES 4 3 5" xfId="44337"/>
    <cellStyle name="SHADEDSTORES 4 3 6" xfId="44338"/>
    <cellStyle name="SHADEDSTORES 4 3 7" xfId="44339"/>
    <cellStyle name="SHADEDSTORES 4 3 8" xfId="44340"/>
    <cellStyle name="SHADEDSTORES 4 3 9" xfId="44341"/>
    <cellStyle name="SHADEDSTORES 4 3_Cashflow trend" xfId="2585"/>
    <cellStyle name="SHADEDSTORES 4 30" xfId="7851"/>
    <cellStyle name="SHADEDSTORES 4 30 10" xfId="44342"/>
    <cellStyle name="SHADEDSTORES 4 30 2" xfId="44343"/>
    <cellStyle name="SHADEDSTORES 4 30 3" xfId="44344"/>
    <cellStyle name="SHADEDSTORES 4 30 4" xfId="44345"/>
    <cellStyle name="SHADEDSTORES 4 30 5" xfId="44346"/>
    <cellStyle name="SHADEDSTORES 4 30 6" xfId="44347"/>
    <cellStyle name="SHADEDSTORES 4 30 7" xfId="44348"/>
    <cellStyle name="SHADEDSTORES 4 30 8" xfId="44349"/>
    <cellStyle name="SHADEDSTORES 4 30 9" xfId="44350"/>
    <cellStyle name="SHADEDSTORES 4 31" xfId="7852"/>
    <cellStyle name="SHADEDSTORES 4 31 10" xfId="44351"/>
    <cellStyle name="SHADEDSTORES 4 31 2" xfId="44352"/>
    <cellStyle name="SHADEDSTORES 4 31 3" xfId="44353"/>
    <cellStyle name="SHADEDSTORES 4 31 4" xfId="44354"/>
    <cellStyle name="SHADEDSTORES 4 31 5" xfId="44355"/>
    <cellStyle name="SHADEDSTORES 4 31 6" xfId="44356"/>
    <cellStyle name="SHADEDSTORES 4 31 7" xfId="44357"/>
    <cellStyle name="SHADEDSTORES 4 31 8" xfId="44358"/>
    <cellStyle name="SHADEDSTORES 4 31 9" xfId="44359"/>
    <cellStyle name="SHADEDSTORES 4 32" xfId="7853"/>
    <cellStyle name="SHADEDSTORES 4 32 10" xfId="44360"/>
    <cellStyle name="SHADEDSTORES 4 32 2" xfId="44361"/>
    <cellStyle name="SHADEDSTORES 4 32 3" xfId="44362"/>
    <cellStyle name="SHADEDSTORES 4 32 4" xfId="44363"/>
    <cellStyle name="SHADEDSTORES 4 32 5" xfId="44364"/>
    <cellStyle name="SHADEDSTORES 4 32 6" xfId="44365"/>
    <cellStyle name="SHADEDSTORES 4 32 7" xfId="44366"/>
    <cellStyle name="SHADEDSTORES 4 32 8" xfId="44367"/>
    <cellStyle name="SHADEDSTORES 4 32 9" xfId="44368"/>
    <cellStyle name="SHADEDSTORES 4 33" xfId="7854"/>
    <cellStyle name="SHADEDSTORES 4 33 10" xfId="44369"/>
    <cellStyle name="SHADEDSTORES 4 33 2" xfId="44370"/>
    <cellStyle name="SHADEDSTORES 4 33 3" xfId="44371"/>
    <cellStyle name="SHADEDSTORES 4 33 4" xfId="44372"/>
    <cellStyle name="SHADEDSTORES 4 33 5" xfId="44373"/>
    <cellStyle name="SHADEDSTORES 4 33 6" xfId="44374"/>
    <cellStyle name="SHADEDSTORES 4 33 7" xfId="44375"/>
    <cellStyle name="SHADEDSTORES 4 33 8" xfId="44376"/>
    <cellStyle name="SHADEDSTORES 4 33 9" xfId="44377"/>
    <cellStyle name="SHADEDSTORES 4 34" xfId="7855"/>
    <cellStyle name="SHADEDSTORES 4 34 10" xfId="44378"/>
    <cellStyle name="SHADEDSTORES 4 34 2" xfId="44379"/>
    <cellStyle name="SHADEDSTORES 4 34 3" xfId="44380"/>
    <cellStyle name="SHADEDSTORES 4 34 4" xfId="44381"/>
    <cellStyle name="SHADEDSTORES 4 34 5" xfId="44382"/>
    <cellStyle name="SHADEDSTORES 4 34 6" xfId="44383"/>
    <cellStyle name="SHADEDSTORES 4 34 7" xfId="44384"/>
    <cellStyle name="SHADEDSTORES 4 34 8" xfId="44385"/>
    <cellStyle name="SHADEDSTORES 4 34 9" xfId="44386"/>
    <cellStyle name="SHADEDSTORES 4 35" xfId="7856"/>
    <cellStyle name="SHADEDSTORES 4 35 10" xfId="44387"/>
    <cellStyle name="SHADEDSTORES 4 35 2" xfId="44388"/>
    <cellStyle name="SHADEDSTORES 4 35 3" xfId="44389"/>
    <cellStyle name="SHADEDSTORES 4 35 4" xfId="44390"/>
    <cellStyle name="SHADEDSTORES 4 35 5" xfId="44391"/>
    <cellStyle name="SHADEDSTORES 4 35 6" xfId="44392"/>
    <cellStyle name="SHADEDSTORES 4 35 7" xfId="44393"/>
    <cellStyle name="SHADEDSTORES 4 35 8" xfId="44394"/>
    <cellStyle name="SHADEDSTORES 4 35 9" xfId="44395"/>
    <cellStyle name="SHADEDSTORES 4 36" xfId="7857"/>
    <cellStyle name="SHADEDSTORES 4 36 10" xfId="44396"/>
    <cellStyle name="SHADEDSTORES 4 36 2" xfId="44397"/>
    <cellStyle name="SHADEDSTORES 4 36 3" xfId="44398"/>
    <cellStyle name="SHADEDSTORES 4 36 4" xfId="44399"/>
    <cellStyle name="SHADEDSTORES 4 36 5" xfId="44400"/>
    <cellStyle name="SHADEDSTORES 4 36 6" xfId="44401"/>
    <cellStyle name="SHADEDSTORES 4 36 7" xfId="44402"/>
    <cellStyle name="SHADEDSTORES 4 36 8" xfId="44403"/>
    <cellStyle name="SHADEDSTORES 4 36 9" xfId="44404"/>
    <cellStyle name="SHADEDSTORES 4 37" xfId="7858"/>
    <cellStyle name="SHADEDSTORES 4 37 10" xfId="44405"/>
    <cellStyle name="SHADEDSTORES 4 37 2" xfId="44406"/>
    <cellStyle name="SHADEDSTORES 4 37 3" xfId="44407"/>
    <cellStyle name="SHADEDSTORES 4 37 4" xfId="44408"/>
    <cellStyle name="SHADEDSTORES 4 37 5" xfId="44409"/>
    <cellStyle name="SHADEDSTORES 4 37 6" xfId="44410"/>
    <cellStyle name="SHADEDSTORES 4 37 7" xfId="44411"/>
    <cellStyle name="SHADEDSTORES 4 37 8" xfId="44412"/>
    <cellStyle name="SHADEDSTORES 4 37 9" xfId="44413"/>
    <cellStyle name="SHADEDSTORES 4 38" xfId="7859"/>
    <cellStyle name="SHADEDSTORES 4 38 10" xfId="44414"/>
    <cellStyle name="SHADEDSTORES 4 38 2" xfId="44415"/>
    <cellStyle name="SHADEDSTORES 4 38 3" xfId="44416"/>
    <cellStyle name="SHADEDSTORES 4 38 4" xfId="44417"/>
    <cellStyle name="SHADEDSTORES 4 38 5" xfId="44418"/>
    <cellStyle name="SHADEDSTORES 4 38 6" xfId="44419"/>
    <cellStyle name="SHADEDSTORES 4 38 7" xfId="44420"/>
    <cellStyle name="SHADEDSTORES 4 38 8" xfId="44421"/>
    <cellStyle name="SHADEDSTORES 4 38 9" xfId="44422"/>
    <cellStyle name="SHADEDSTORES 4 39" xfId="7860"/>
    <cellStyle name="SHADEDSTORES 4 39 10" xfId="44423"/>
    <cellStyle name="SHADEDSTORES 4 39 2" xfId="44424"/>
    <cellStyle name="SHADEDSTORES 4 39 3" xfId="44425"/>
    <cellStyle name="SHADEDSTORES 4 39 4" xfId="44426"/>
    <cellStyle name="SHADEDSTORES 4 39 5" xfId="44427"/>
    <cellStyle name="SHADEDSTORES 4 39 6" xfId="44428"/>
    <cellStyle name="SHADEDSTORES 4 39 7" xfId="44429"/>
    <cellStyle name="SHADEDSTORES 4 39 8" xfId="44430"/>
    <cellStyle name="SHADEDSTORES 4 39 9" xfId="44431"/>
    <cellStyle name="SHADEDSTORES 4 4" xfId="2586"/>
    <cellStyle name="SHADEDSTORES 4 4 10" xfId="44432"/>
    <cellStyle name="SHADEDSTORES 4 4 2" xfId="2587"/>
    <cellStyle name="SHADEDSTORES 4 4 2 2" xfId="12915"/>
    <cellStyle name="SHADEDSTORES 4 4 2_YL Capex Cashflow &amp; Dep" xfId="13559"/>
    <cellStyle name="SHADEDSTORES 4 4 3" xfId="12079"/>
    <cellStyle name="SHADEDSTORES 4 4 4" xfId="44433"/>
    <cellStyle name="SHADEDSTORES 4 4 5" xfId="44434"/>
    <cellStyle name="SHADEDSTORES 4 4 6" xfId="44435"/>
    <cellStyle name="SHADEDSTORES 4 4 7" xfId="44436"/>
    <cellStyle name="SHADEDSTORES 4 4 8" xfId="44437"/>
    <cellStyle name="SHADEDSTORES 4 4 9" xfId="44438"/>
    <cellStyle name="SHADEDSTORES 4 4_YL Capex Cashflow &amp; Dep" xfId="13558"/>
    <cellStyle name="SHADEDSTORES 4 40" xfId="7861"/>
    <cellStyle name="SHADEDSTORES 4 40 10" xfId="44439"/>
    <cellStyle name="SHADEDSTORES 4 40 2" xfId="44440"/>
    <cellStyle name="SHADEDSTORES 4 40 3" xfId="44441"/>
    <cellStyle name="SHADEDSTORES 4 40 4" xfId="44442"/>
    <cellStyle name="SHADEDSTORES 4 40 5" xfId="44443"/>
    <cellStyle name="SHADEDSTORES 4 40 6" xfId="44444"/>
    <cellStyle name="SHADEDSTORES 4 40 7" xfId="44445"/>
    <cellStyle name="SHADEDSTORES 4 40 8" xfId="44446"/>
    <cellStyle name="SHADEDSTORES 4 40 9" xfId="44447"/>
    <cellStyle name="SHADEDSTORES 4 41" xfId="7862"/>
    <cellStyle name="SHADEDSTORES 4 41 10" xfId="44448"/>
    <cellStyle name="SHADEDSTORES 4 41 2" xfId="44449"/>
    <cellStyle name="SHADEDSTORES 4 41 3" xfId="44450"/>
    <cellStyle name="SHADEDSTORES 4 41 4" xfId="44451"/>
    <cellStyle name="SHADEDSTORES 4 41 5" xfId="44452"/>
    <cellStyle name="SHADEDSTORES 4 41 6" xfId="44453"/>
    <cellStyle name="SHADEDSTORES 4 41 7" xfId="44454"/>
    <cellStyle name="SHADEDSTORES 4 41 8" xfId="44455"/>
    <cellStyle name="SHADEDSTORES 4 41 9" xfId="44456"/>
    <cellStyle name="SHADEDSTORES 4 42" xfId="7863"/>
    <cellStyle name="SHADEDSTORES 4 42 10" xfId="44457"/>
    <cellStyle name="SHADEDSTORES 4 42 2" xfId="44458"/>
    <cellStyle name="SHADEDSTORES 4 42 3" xfId="44459"/>
    <cellStyle name="SHADEDSTORES 4 42 4" xfId="44460"/>
    <cellStyle name="SHADEDSTORES 4 42 5" xfId="44461"/>
    <cellStyle name="SHADEDSTORES 4 42 6" xfId="44462"/>
    <cellStyle name="SHADEDSTORES 4 42 7" xfId="44463"/>
    <cellStyle name="SHADEDSTORES 4 42 8" xfId="44464"/>
    <cellStyle name="SHADEDSTORES 4 42 9" xfId="44465"/>
    <cellStyle name="SHADEDSTORES 4 43" xfId="7864"/>
    <cellStyle name="SHADEDSTORES 4 43 10" xfId="44466"/>
    <cellStyle name="SHADEDSTORES 4 43 2" xfId="44467"/>
    <cellStyle name="SHADEDSTORES 4 43 3" xfId="44468"/>
    <cellStyle name="SHADEDSTORES 4 43 4" xfId="44469"/>
    <cellStyle name="SHADEDSTORES 4 43 5" xfId="44470"/>
    <cellStyle name="SHADEDSTORES 4 43 6" xfId="44471"/>
    <cellStyle name="SHADEDSTORES 4 43 7" xfId="44472"/>
    <cellStyle name="SHADEDSTORES 4 43 8" xfId="44473"/>
    <cellStyle name="SHADEDSTORES 4 43 9" xfId="44474"/>
    <cellStyle name="SHADEDSTORES 4 44" xfId="7865"/>
    <cellStyle name="SHADEDSTORES 4 44 10" xfId="44475"/>
    <cellStyle name="SHADEDSTORES 4 44 2" xfId="44476"/>
    <cellStyle name="SHADEDSTORES 4 44 3" xfId="44477"/>
    <cellStyle name="SHADEDSTORES 4 44 4" xfId="44478"/>
    <cellStyle name="SHADEDSTORES 4 44 5" xfId="44479"/>
    <cellStyle name="SHADEDSTORES 4 44 6" xfId="44480"/>
    <cellStyle name="SHADEDSTORES 4 44 7" xfId="44481"/>
    <cellStyle name="SHADEDSTORES 4 44 8" xfId="44482"/>
    <cellStyle name="SHADEDSTORES 4 44 9" xfId="44483"/>
    <cellStyle name="SHADEDSTORES 4 45" xfId="7866"/>
    <cellStyle name="SHADEDSTORES 4 45 10" xfId="44484"/>
    <cellStyle name="SHADEDSTORES 4 45 2" xfId="44485"/>
    <cellStyle name="SHADEDSTORES 4 45 3" xfId="44486"/>
    <cellStyle name="SHADEDSTORES 4 45 4" xfId="44487"/>
    <cellStyle name="SHADEDSTORES 4 45 5" xfId="44488"/>
    <cellStyle name="SHADEDSTORES 4 45 6" xfId="44489"/>
    <cellStyle name="SHADEDSTORES 4 45 7" xfId="44490"/>
    <cellStyle name="SHADEDSTORES 4 45 8" xfId="44491"/>
    <cellStyle name="SHADEDSTORES 4 45 9" xfId="44492"/>
    <cellStyle name="SHADEDSTORES 4 46" xfId="7867"/>
    <cellStyle name="SHADEDSTORES 4 46 10" xfId="44493"/>
    <cellStyle name="SHADEDSTORES 4 46 2" xfId="44494"/>
    <cellStyle name="SHADEDSTORES 4 46 3" xfId="44495"/>
    <cellStyle name="SHADEDSTORES 4 46 4" xfId="44496"/>
    <cellStyle name="SHADEDSTORES 4 46 5" xfId="44497"/>
    <cellStyle name="SHADEDSTORES 4 46 6" xfId="44498"/>
    <cellStyle name="SHADEDSTORES 4 46 7" xfId="44499"/>
    <cellStyle name="SHADEDSTORES 4 46 8" xfId="44500"/>
    <cellStyle name="SHADEDSTORES 4 46 9" xfId="44501"/>
    <cellStyle name="SHADEDSTORES 4 47" xfId="7868"/>
    <cellStyle name="SHADEDSTORES 4 47 10" xfId="44502"/>
    <cellStyle name="SHADEDSTORES 4 47 2" xfId="44503"/>
    <cellStyle name="SHADEDSTORES 4 47 3" xfId="44504"/>
    <cellStyle name="SHADEDSTORES 4 47 4" xfId="44505"/>
    <cellStyle name="SHADEDSTORES 4 47 5" xfId="44506"/>
    <cellStyle name="SHADEDSTORES 4 47 6" xfId="44507"/>
    <cellStyle name="SHADEDSTORES 4 47 7" xfId="44508"/>
    <cellStyle name="SHADEDSTORES 4 47 8" xfId="44509"/>
    <cellStyle name="SHADEDSTORES 4 47 9" xfId="44510"/>
    <cellStyle name="SHADEDSTORES 4 48" xfId="7869"/>
    <cellStyle name="SHADEDSTORES 4 48 10" xfId="44511"/>
    <cellStyle name="SHADEDSTORES 4 48 2" xfId="44512"/>
    <cellStyle name="SHADEDSTORES 4 48 3" xfId="44513"/>
    <cellStyle name="SHADEDSTORES 4 48 4" xfId="44514"/>
    <cellStyle name="SHADEDSTORES 4 48 5" xfId="44515"/>
    <cellStyle name="SHADEDSTORES 4 48 6" xfId="44516"/>
    <cellStyle name="SHADEDSTORES 4 48 7" xfId="44517"/>
    <cellStyle name="SHADEDSTORES 4 48 8" xfId="44518"/>
    <cellStyle name="SHADEDSTORES 4 48 9" xfId="44519"/>
    <cellStyle name="SHADEDSTORES 4 49" xfId="7870"/>
    <cellStyle name="SHADEDSTORES 4 49 10" xfId="44520"/>
    <cellStyle name="SHADEDSTORES 4 49 2" xfId="44521"/>
    <cellStyle name="SHADEDSTORES 4 49 3" xfId="44522"/>
    <cellStyle name="SHADEDSTORES 4 49 4" xfId="44523"/>
    <cellStyle name="SHADEDSTORES 4 49 5" xfId="44524"/>
    <cellStyle name="SHADEDSTORES 4 49 6" xfId="44525"/>
    <cellStyle name="SHADEDSTORES 4 49 7" xfId="44526"/>
    <cellStyle name="SHADEDSTORES 4 49 8" xfId="44527"/>
    <cellStyle name="SHADEDSTORES 4 49 9" xfId="44528"/>
    <cellStyle name="SHADEDSTORES 4 5" xfId="2588"/>
    <cellStyle name="SHADEDSTORES 4 5 2" xfId="2589"/>
    <cellStyle name="SHADEDSTORES 4 5 2 2" xfId="12997"/>
    <cellStyle name="SHADEDSTORES 4 5 2_YL Capex Cashflow &amp; Dep" xfId="13561"/>
    <cellStyle name="SHADEDSTORES 4 5 3" xfId="2590"/>
    <cellStyle name="SHADEDSTORES 4 5 3 2" xfId="12762"/>
    <cellStyle name="SHADEDSTORES 4 5 3_YL Capex Cashflow &amp; Dep" xfId="13562"/>
    <cellStyle name="SHADEDSTORES 4 5 4" xfId="12333"/>
    <cellStyle name="SHADEDSTORES 4 5 5" xfId="44529"/>
    <cellStyle name="SHADEDSTORES 4 5 6" xfId="44530"/>
    <cellStyle name="SHADEDSTORES 4 5 7" xfId="44531"/>
    <cellStyle name="SHADEDSTORES 4 5 8" xfId="44532"/>
    <cellStyle name="SHADEDSTORES 4 5 9" xfId="44533"/>
    <cellStyle name="SHADEDSTORES 4 5_YL Capex Cashflow &amp; Dep" xfId="13560"/>
    <cellStyle name="SHADEDSTORES 4 50" xfId="7871"/>
    <cellStyle name="SHADEDSTORES 4 50 10" xfId="44534"/>
    <cellStyle name="SHADEDSTORES 4 50 2" xfId="44535"/>
    <cellStyle name="SHADEDSTORES 4 50 3" xfId="44536"/>
    <cellStyle name="SHADEDSTORES 4 50 4" xfId="44537"/>
    <cellStyle name="SHADEDSTORES 4 50 5" xfId="44538"/>
    <cellStyle name="SHADEDSTORES 4 50 6" xfId="44539"/>
    <cellStyle name="SHADEDSTORES 4 50 7" xfId="44540"/>
    <cellStyle name="SHADEDSTORES 4 50 8" xfId="44541"/>
    <cellStyle name="SHADEDSTORES 4 50 9" xfId="44542"/>
    <cellStyle name="SHADEDSTORES 4 51" xfId="7872"/>
    <cellStyle name="SHADEDSTORES 4 51 10" xfId="44543"/>
    <cellStyle name="SHADEDSTORES 4 51 2" xfId="44544"/>
    <cellStyle name="SHADEDSTORES 4 51 3" xfId="44545"/>
    <cellStyle name="SHADEDSTORES 4 51 4" xfId="44546"/>
    <cellStyle name="SHADEDSTORES 4 51 5" xfId="44547"/>
    <cellStyle name="SHADEDSTORES 4 51 6" xfId="44548"/>
    <cellStyle name="SHADEDSTORES 4 51 7" xfId="44549"/>
    <cellStyle name="SHADEDSTORES 4 51 8" xfId="44550"/>
    <cellStyle name="SHADEDSTORES 4 51 9" xfId="44551"/>
    <cellStyle name="SHADEDSTORES 4 52" xfId="7873"/>
    <cellStyle name="SHADEDSTORES 4 52 10" xfId="44552"/>
    <cellStyle name="SHADEDSTORES 4 52 2" xfId="44553"/>
    <cellStyle name="SHADEDSTORES 4 52 3" xfId="44554"/>
    <cellStyle name="SHADEDSTORES 4 52 4" xfId="44555"/>
    <cellStyle name="SHADEDSTORES 4 52 5" xfId="44556"/>
    <cellStyle name="SHADEDSTORES 4 52 6" xfId="44557"/>
    <cellStyle name="SHADEDSTORES 4 52 7" xfId="44558"/>
    <cellStyle name="SHADEDSTORES 4 52 8" xfId="44559"/>
    <cellStyle name="SHADEDSTORES 4 52 9" xfId="44560"/>
    <cellStyle name="SHADEDSTORES 4 53" xfId="7874"/>
    <cellStyle name="SHADEDSTORES 4 53 10" xfId="44561"/>
    <cellStyle name="SHADEDSTORES 4 53 2" xfId="44562"/>
    <cellStyle name="SHADEDSTORES 4 53 3" xfId="44563"/>
    <cellStyle name="SHADEDSTORES 4 53 4" xfId="44564"/>
    <cellStyle name="SHADEDSTORES 4 53 5" xfId="44565"/>
    <cellStyle name="SHADEDSTORES 4 53 6" xfId="44566"/>
    <cellStyle name="SHADEDSTORES 4 53 7" xfId="44567"/>
    <cellStyle name="SHADEDSTORES 4 53 8" xfId="44568"/>
    <cellStyle name="SHADEDSTORES 4 53 9" xfId="44569"/>
    <cellStyle name="SHADEDSTORES 4 54" xfId="7875"/>
    <cellStyle name="SHADEDSTORES 4 54 10" xfId="44570"/>
    <cellStyle name="SHADEDSTORES 4 54 2" xfId="44571"/>
    <cellStyle name="SHADEDSTORES 4 54 3" xfId="44572"/>
    <cellStyle name="SHADEDSTORES 4 54 4" xfId="44573"/>
    <cellStyle name="SHADEDSTORES 4 54 5" xfId="44574"/>
    <cellStyle name="SHADEDSTORES 4 54 6" xfId="44575"/>
    <cellStyle name="SHADEDSTORES 4 54 7" xfId="44576"/>
    <cellStyle name="SHADEDSTORES 4 54 8" xfId="44577"/>
    <cellStyle name="SHADEDSTORES 4 54 9" xfId="44578"/>
    <cellStyle name="SHADEDSTORES 4 55" xfId="7876"/>
    <cellStyle name="SHADEDSTORES 4 55 10" xfId="44579"/>
    <cellStyle name="SHADEDSTORES 4 55 2" xfId="44580"/>
    <cellStyle name="SHADEDSTORES 4 55 3" xfId="44581"/>
    <cellStyle name="SHADEDSTORES 4 55 4" xfId="44582"/>
    <cellStyle name="SHADEDSTORES 4 55 5" xfId="44583"/>
    <cellStyle name="SHADEDSTORES 4 55 6" xfId="44584"/>
    <cellStyle name="SHADEDSTORES 4 55 7" xfId="44585"/>
    <cellStyle name="SHADEDSTORES 4 55 8" xfId="44586"/>
    <cellStyle name="SHADEDSTORES 4 55 9" xfId="44587"/>
    <cellStyle name="SHADEDSTORES 4 56" xfId="7877"/>
    <cellStyle name="SHADEDSTORES 4 56 10" xfId="44588"/>
    <cellStyle name="SHADEDSTORES 4 56 2" xfId="44589"/>
    <cellStyle name="SHADEDSTORES 4 56 3" xfId="44590"/>
    <cellStyle name="SHADEDSTORES 4 56 4" xfId="44591"/>
    <cellStyle name="SHADEDSTORES 4 56 5" xfId="44592"/>
    <cellStyle name="SHADEDSTORES 4 56 6" xfId="44593"/>
    <cellStyle name="SHADEDSTORES 4 56 7" xfId="44594"/>
    <cellStyle name="SHADEDSTORES 4 56 8" xfId="44595"/>
    <cellStyle name="SHADEDSTORES 4 56 9" xfId="44596"/>
    <cellStyle name="SHADEDSTORES 4 57" xfId="7878"/>
    <cellStyle name="SHADEDSTORES 4 57 10" xfId="44597"/>
    <cellStyle name="SHADEDSTORES 4 57 2" xfId="44598"/>
    <cellStyle name="SHADEDSTORES 4 57 3" xfId="44599"/>
    <cellStyle name="SHADEDSTORES 4 57 4" xfId="44600"/>
    <cellStyle name="SHADEDSTORES 4 57 5" xfId="44601"/>
    <cellStyle name="SHADEDSTORES 4 57 6" xfId="44602"/>
    <cellStyle name="SHADEDSTORES 4 57 7" xfId="44603"/>
    <cellStyle name="SHADEDSTORES 4 57 8" xfId="44604"/>
    <cellStyle name="SHADEDSTORES 4 57 9" xfId="44605"/>
    <cellStyle name="SHADEDSTORES 4 58" xfId="7879"/>
    <cellStyle name="SHADEDSTORES 4 58 10" xfId="44606"/>
    <cellStyle name="SHADEDSTORES 4 58 2" xfId="44607"/>
    <cellStyle name="SHADEDSTORES 4 58 3" xfId="44608"/>
    <cellStyle name="SHADEDSTORES 4 58 4" xfId="44609"/>
    <cellStyle name="SHADEDSTORES 4 58 5" xfId="44610"/>
    <cellStyle name="SHADEDSTORES 4 58 6" xfId="44611"/>
    <cellStyle name="SHADEDSTORES 4 58 7" xfId="44612"/>
    <cellStyle name="SHADEDSTORES 4 58 8" xfId="44613"/>
    <cellStyle name="SHADEDSTORES 4 58 9" xfId="44614"/>
    <cellStyle name="SHADEDSTORES 4 59" xfId="7880"/>
    <cellStyle name="SHADEDSTORES 4 59 10" xfId="44615"/>
    <cellStyle name="SHADEDSTORES 4 59 2" xfId="44616"/>
    <cellStyle name="SHADEDSTORES 4 59 3" xfId="44617"/>
    <cellStyle name="SHADEDSTORES 4 59 4" xfId="44618"/>
    <cellStyle name="SHADEDSTORES 4 59 5" xfId="44619"/>
    <cellStyle name="SHADEDSTORES 4 59 6" xfId="44620"/>
    <cellStyle name="SHADEDSTORES 4 59 7" xfId="44621"/>
    <cellStyle name="SHADEDSTORES 4 59 8" xfId="44622"/>
    <cellStyle name="SHADEDSTORES 4 59 9" xfId="44623"/>
    <cellStyle name="SHADEDSTORES 4 6" xfId="7881"/>
    <cellStyle name="SHADEDSTORES 4 6 2" xfId="44624"/>
    <cellStyle name="SHADEDSTORES 4 6 3" xfId="44625"/>
    <cellStyle name="SHADEDSTORES 4 6 4" xfId="44626"/>
    <cellStyle name="SHADEDSTORES 4 6 5" xfId="44627"/>
    <cellStyle name="SHADEDSTORES 4 6 6" xfId="44628"/>
    <cellStyle name="SHADEDSTORES 4 6 7" xfId="44629"/>
    <cellStyle name="SHADEDSTORES 4 6 8" xfId="44630"/>
    <cellStyle name="SHADEDSTORES 4 6 9" xfId="44631"/>
    <cellStyle name="SHADEDSTORES 4 60" xfId="7882"/>
    <cellStyle name="SHADEDSTORES 4 60 10" xfId="44632"/>
    <cellStyle name="SHADEDSTORES 4 60 2" xfId="44633"/>
    <cellStyle name="SHADEDSTORES 4 60 3" xfId="44634"/>
    <cellStyle name="SHADEDSTORES 4 60 4" xfId="44635"/>
    <cellStyle name="SHADEDSTORES 4 60 5" xfId="44636"/>
    <cellStyle name="SHADEDSTORES 4 60 6" xfId="44637"/>
    <cellStyle name="SHADEDSTORES 4 60 7" xfId="44638"/>
    <cellStyle name="SHADEDSTORES 4 60 8" xfId="44639"/>
    <cellStyle name="SHADEDSTORES 4 60 9" xfId="44640"/>
    <cellStyle name="SHADEDSTORES 4 61" xfId="7883"/>
    <cellStyle name="SHADEDSTORES 4 61 10" xfId="44641"/>
    <cellStyle name="SHADEDSTORES 4 61 2" xfId="44642"/>
    <cellStyle name="SHADEDSTORES 4 61 3" xfId="44643"/>
    <cellStyle name="SHADEDSTORES 4 61 4" xfId="44644"/>
    <cellStyle name="SHADEDSTORES 4 61 5" xfId="44645"/>
    <cellStyle name="SHADEDSTORES 4 61 6" xfId="44646"/>
    <cellStyle name="SHADEDSTORES 4 61 7" xfId="44647"/>
    <cellStyle name="SHADEDSTORES 4 61 8" xfId="44648"/>
    <cellStyle name="SHADEDSTORES 4 61 9" xfId="44649"/>
    <cellStyle name="SHADEDSTORES 4 62" xfId="7884"/>
    <cellStyle name="SHADEDSTORES 4 62 10" xfId="44650"/>
    <cellStyle name="SHADEDSTORES 4 62 2" xfId="44651"/>
    <cellStyle name="SHADEDSTORES 4 62 3" xfId="44652"/>
    <cellStyle name="SHADEDSTORES 4 62 4" xfId="44653"/>
    <cellStyle name="SHADEDSTORES 4 62 5" xfId="44654"/>
    <cellStyle name="SHADEDSTORES 4 62 6" xfId="44655"/>
    <cellStyle name="SHADEDSTORES 4 62 7" xfId="44656"/>
    <cellStyle name="SHADEDSTORES 4 62 8" xfId="44657"/>
    <cellStyle name="SHADEDSTORES 4 62 9" xfId="44658"/>
    <cellStyle name="SHADEDSTORES 4 63" xfId="7885"/>
    <cellStyle name="SHADEDSTORES 4 63 10" xfId="44659"/>
    <cellStyle name="SHADEDSTORES 4 63 2" xfId="44660"/>
    <cellStyle name="SHADEDSTORES 4 63 3" xfId="44661"/>
    <cellStyle name="SHADEDSTORES 4 63 4" xfId="44662"/>
    <cellStyle name="SHADEDSTORES 4 63 5" xfId="44663"/>
    <cellStyle name="SHADEDSTORES 4 63 6" xfId="44664"/>
    <cellStyle name="SHADEDSTORES 4 63 7" xfId="44665"/>
    <cellStyle name="SHADEDSTORES 4 63 8" xfId="44666"/>
    <cellStyle name="SHADEDSTORES 4 63 9" xfId="44667"/>
    <cellStyle name="SHADEDSTORES 4 64" xfId="7886"/>
    <cellStyle name="SHADEDSTORES 4 64 10" xfId="44668"/>
    <cellStyle name="SHADEDSTORES 4 64 2" xfId="44669"/>
    <cellStyle name="SHADEDSTORES 4 64 3" xfId="44670"/>
    <cellStyle name="SHADEDSTORES 4 64 4" xfId="44671"/>
    <cellStyle name="SHADEDSTORES 4 64 5" xfId="44672"/>
    <cellStyle name="SHADEDSTORES 4 64 6" xfId="44673"/>
    <cellStyle name="SHADEDSTORES 4 64 7" xfId="44674"/>
    <cellStyle name="SHADEDSTORES 4 64 8" xfId="44675"/>
    <cellStyle name="SHADEDSTORES 4 64 9" xfId="44676"/>
    <cellStyle name="SHADEDSTORES 4 65" xfId="7887"/>
    <cellStyle name="SHADEDSTORES 4 65 10" xfId="44677"/>
    <cellStyle name="SHADEDSTORES 4 65 2" xfId="44678"/>
    <cellStyle name="SHADEDSTORES 4 65 3" xfId="44679"/>
    <cellStyle name="SHADEDSTORES 4 65 4" xfId="44680"/>
    <cellStyle name="SHADEDSTORES 4 65 5" xfId="44681"/>
    <cellStyle name="SHADEDSTORES 4 65 6" xfId="44682"/>
    <cellStyle name="SHADEDSTORES 4 65 7" xfId="44683"/>
    <cellStyle name="SHADEDSTORES 4 65 8" xfId="44684"/>
    <cellStyle name="SHADEDSTORES 4 65 9" xfId="44685"/>
    <cellStyle name="SHADEDSTORES 4 66" xfId="7888"/>
    <cellStyle name="SHADEDSTORES 4 66 10" xfId="44686"/>
    <cellStyle name="SHADEDSTORES 4 66 2" xfId="44687"/>
    <cellStyle name="SHADEDSTORES 4 66 3" xfId="44688"/>
    <cellStyle name="SHADEDSTORES 4 66 4" xfId="44689"/>
    <cellStyle name="SHADEDSTORES 4 66 5" xfId="44690"/>
    <cellStyle name="SHADEDSTORES 4 66 6" xfId="44691"/>
    <cellStyle name="SHADEDSTORES 4 66 7" xfId="44692"/>
    <cellStyle name="SHADEDSTORES 4 66 8" xfId="44693"/>
    <cellStyle name="SHADEDSTORES 4 66 9" xfId="44694"/>
    <cellStyle name="SHADEDSTORES 4 67" xfId="7889"/>
    <cellStyle name="SHADEDSTORES 4 67 10" xfId="44695"/>
    <cellStyle name="SHADEDSTORES 4 67 2" xfId="44696"/>
    <cellStyle name="SHADEDSTORES 4 67 3" xfId="44697"/>
    <cellStyle name="SHADEDSTORES 4 67 4" xfId="44698"/>
    <cellStyle name="SHADEDSTORES 4 67 5" xfId="44699"/>
    <cellStyle name="SHADEDSTORES 4 67 6" xfId="44700"/>
    <cellStyle name="SHADEDSTORES 4 67 7" xfId="44701"/>
    <cellStyle name="SHADEDSTORES 4 67 8" xfId="44702"/>
    <cellStyle name="SHADEDSTORES 4 67 9" xfId="44703"/>
    <cellStyle name="SHADEDSTORES 4 68" xfId="7890"/>
    <cellStyle name="SHADEDSTORES 4 68 10" xfId="44704"/>
    <cellStyle name="SHADEDSTORES 4 68 2" xfId="44705"/>
    <cellStyle name="SHADEDSTORES 4 68 3" xfId="44706"/>
    <cellStyle name="SHADEDSTORES 4 68 4" xfId="44707"/>
    <cellStyle name="SHADEDSTORES 4 68 5" xfId="44708"/>
    <cellStyle name="SHADEDSTORES 4 68 6" xfId="44709"/>
    <cellStyle name="SHADEDSTORES 4 68 7" xfId="44710"/>
    <cellStyle name="SHADEDSTORES 4 68 8" xfId="44711"/>
    <cellStyle name="SHADEDSTORES 4 68 9" xfId="44712"/>
    <cellStyle name="SHADEDSTORES 4 69" xfId="7891"/>
    <cellStyle name="SHADEDSTORES 4 69 10" xfId="44713"/>
    <cellStyle name="SHADEDSTORES 4 69 2" xfId="44714"/>
    <cellStyle name="SHADEDSTORES 4 69 3" xfId="44715"/>
    <cellStyle name="SHADEDSTORES 4 69 4" xfId="44716"/>
    <cellStyle name="SHADEDSTORES 4 69 5" xfId="44717"/>
    <cellStyle name="SHADEDSTORES 4 69 6" xfId="44718"/>
    <cellStyle name="SHADEDSTORES 4 69 7" xfId="44719"/>
    <cellStyle name="SHADEDSTORES 4 69 8" xfId="44720"/>
    <cellStyle name="SHADEDSTORES 4 69 9" xfId="44721"/>
    <cellStyle name="SHADEDSTORES 4 7" xfId="7892"/>
    <cellStyle name="SHADEDSTORES 4 7 2" xfId="44722"/>
    <cellStyle name="SHADEDSTORES 4 7 3" xfId="44723"/>
    <cellStyle name="SHADEDSTORES 4 7 4" xfId="44724"/>
    <cellStyle name="SHADEDSTORES 4 7 5" xfId="44725"/>
    <cellStyle name="SHADEDSTORES 4 7 6" xfId="44726"/>
    <cellStyle name="SHADEDSTORES 4 7 7" xfId="44727"/>
    <cellStyle name="SHADEDSTORES 4 7 8" xfId="44728"/>
    <cellStyle name="SHADEDSTORES 4 7 9" xfId="44729"/>
    <cellStyle name="SHADEDSTORES 4 70" xfId="7893"/>
    <cellStyle name="SHADEDSTORES 4 70 10" xfId="44730"/>
    <cellStyle name="SHADEDSTORES 4 70 2" xfId="44731"/>
    <cellStyle name="SHADEDSTORES 4 70 3" xfId="44732"/>
    <cellStyle name="SHADEDSTORES 4 70 4" xfId="44733"/>
    <cellStyle name="SHADEDSTORES 4 70 5" xfId="44734"/>
    <cellStyle name="SHADEDSTORES 4 70 6" xfId="44735"/>
    <cellStyle name="SHADEDSTORES 4 70 7" xfId="44736"/>
    <cellStyle name="SHADEDSTORES 4 70 8" xfId="44737"/>
    <cellStyle name="SHADEDSTORES 4 70 9" xfId="44738"/>
    <cellStyle name="SHADEDSTORES 4 71" xfId="7894"/>
    <cellStyle name="SHADEDSTORES 4 71 10" xfId="44739"/>
    <cellStyle name="SHADEDSTORES 4 71 2" xfId="44740"/>
    <cellStyle name="SHADEDSTORES 4 71 3" xfId="44741"/>
    <cellStyle name="SHADEDSTORES 4 71 4" xfId="44742"/>
    <cellStyle name="SHADEDSTORES 4 71 5" xfId="44743"/>
    <cellStyle name="SHADEDSTORES 4 71 6" xfId="44744"/>
    <cellStyle name="SHADEDSTORES 4 71 7" xfId="44745"/>
    <cellStyle name="SHADEDSTORES 4 71 8" xfId="44746"/>
    <cellStyle name="SHADEDSTORES 4 71 9" xfId="44747"/>
    <cellStyle name="SHADEDSTORES 4 72" xfId="7895"/>
    <cellStyle name="SHADEDSTORES 4 72 10" xfId="44748"/>
    <cellStyle name="SHADEDSTORES 4 72 2" xfId="44749"/>
    <cellStyle name="SHADEDSTORES 4 72 3" xfId="44750"/>
    <cellStyle name="SHADEDSTORES 4 72 4" xfId="44751"/>
    <cellStyle name="SHADEDSTORES 4 72 5" xfId="44752"/>
    <cellStyle name="SHADEDSTORES 4 72 6" xfId="44753"/>
    <cellStyle name="SHADEDSTORES 4 72 7" xfId="44754"/>
    <cellStyle name="SHADEDSTORES 4 72 8" xfId="44755"/>
    <cellStyle name="SHADEDSTORES 4 72 9" xfId="44756"/>
    <cellStyle name="SHADEDSTORES 4 73" xfId="7896"/>
    <cellStyle name="SHADEDSTORES 4 73 10" xfId="44757"/>
    <cellStyle name="SHADEDSTORES 4 73 2" xfId="44758"/>
    <cellStyle name="SHADEDSTORES 4 73 3" xfId="44759"/>
    <cellStyle name="SHADEDSTORES 4 73 4" xfId="44760"/>
    <cellStyle name="SHADEDSTORES 4 73 5" xfId="44761"/>
    <cellStyle name="SHADEDSTORES 4 73 6" xfId="44762"/>
    <cellStyle name="SHADEDSTORES 4 73 7" xfId="44763"/>
    <cellStyle name="SHADEDSTORES 4 73 8" xfId="44764"/>
    <cellStyle name="SHADEDSTORES 4 73 9" xfId="44765"/>
    <cellStyle name="SHADEDSTORES 4 74" xfId="7897"/>
    <cellStyle name="SHADEDSTORES 4 74 10" xfId="44766"/>
    <cellStyle name="SHADEDSTORES 4 74 2" xfId="44767"/>
    <cellStyle name="SHADEDSTORES 4 74 3" xfId="44768"/>
    <cellStyle name="SHADEDSTORES 4 74 4" xfId="44769"/>
    <cellStyle name="SHADEDSTORES 4 74 5" xfId="44770"/>
    <cellStyle name="SHADEDSTORES 4 74 6" xfId="44771"/>
    <cellStyle name="SHADEDSTORES 4 74 7" xfId="44772"/>
    <cellStyle name="SHADEDSTORES 4 74 8" xfId="44773"/>
    <cellStyle name="SHADEDSTORES 4 74 9" xfId="44774"/>
    <cellStyle name="SHADEDSTORES 4 75" xfId="7898"/>
    <cellStyle name="SHADEDSTORES 4 75 10" xfId="44775"/>
    <cellStyle name="SHADEDSTORES 4 75 2" xfId="44776"/>
    <cellStyle name="SHADEDSTORES 4 75 3" xfId="44777"/>
    <cellStyle name="SHADEDSTORES 4 75 4" xfId="44778"/>
    <cellStyle name="SHADEDSTORES 4 75 5" xfId="44779"/>
    <cellStyle name="SHADEDSTORES 4 75 6" xfId="44780"/>
    <cellStyle name="SHADEDSTORES 4 75 7" xfId="44781"/>
    <cellStyle name="SHADEDSTORES 4 75 8" xfId="44782"/>
    <cellStyle name="SHADEDSTORES 4 75 9" xfId="44783"/>
    <cellStyle name="SHADEDSTORES 4 76" xfId="7899"/>
    <cellStyle name="SHADEDSTORES 4 76 10" xfId="44784"/>
    <cellStyle name="SHADEDSTORES 4 76 2" xfId="44785"/>
    <cellStyle name="SHADEDSTORES 4 76 3" xfId="44786"/>
    <cellStyle name="SHADEDSTORES 4 76 4" xfId="44787"/>
    <cellStyle name="SHADEDSTORES 4 76 5" xfId="44788"/>
    <cellStyle name="SHADEDSTORES 4 76 6" xfId="44789"/>
    <cellStyle name="SHADEDSTORES 4 76 7" xfId="44790"/>
    <cellStyle name="SHADEDSTORES 4 76 8" xfId="44791"/>
    <cellStyle name="SHADEDSTORES 4 76 9" xfId="44792"/>
    <cellStyle name="SHADEDSTORES 4 77" xfId="7900"/>
    <cellStyle name="SHADEDSTORES 4 77 10" xfId="44793"/>
    <cellStyle name="SHADEDSTORES 4 77 2" xfId="44794"/>
    <cellStyle name="SHADEDSTORES 4 77 3" xfId="44795"/>
    <cellStyle name="SHADEDSTORES 4 77 4" xfId="44796"/>
    <cellStyle name="SHADEDSTORES 4 77 5" xfId="44797"/>
    <cellStyle name="SHADEDSTORES 4 77 6" xfId="44798"/>
    <cellStyle name="SHADEDSTORES 4 77 7" xfId="44799"/>
    <cellStyle name="SHADEDSTORES 4 77 8" xfId="44800"/>
    <cellStyle name="SHADEDSTORES 4 77 9" xfId="44801"/>
    <cellStyle name="SHADEDSTORES 4 78" xfId="7901"/>
    <cellStyle name="SHADEDSTORES 4 78 10" xfId="44802"/>
    <cellStyle name="SHADEDSTORES 4 78 2" xfId="44803"/>
    <cellStyle name="SHADEDSTORES 4 78 3" xfId="44804"/>
    <cellStyle name="SHADEDSTORES 4 78 4" xfId="44805"/>
    <cellStyle name="SHADEDSTORES 4 78 5" xfId="44806"/>
    <cellStyle name="SHADEDSTORES 4 78 6" xfId="44807"/>
    <cellStyle name="SHADEDSTORES 4 78 7" xfId="44808"/>
    <cellStyle name="SHADEDSTORES 4 78 8" xfId="44809"/>
    <cellStyle name="SHADEDSTORES 4 78 9" xfId="44810"/>
    <cellStyle name="SHADEDSTORES 4 79" xfId="7902"/>
    <cellStyle name="SHADEDSTORES 4 79 10" xfId="44811"/>
    <cellStyle name="SHADEDSTORES 4 79 2" xfId="44812"/>
    <cellStyle name="SHADEDSTORES 4 79 3" xfId="44813"/>
    <cellStyle name="SHADEDSTORES 4 79 4" xfId="44814"/>
    <cellStyle name="SHADEDSTORES 4 79 5" xfId="44815"/>
    <cellStyle name="SHADEDSTORES 4 79 6" xfId="44816"/>
    <cellStyle name="SHADEDSTORES 4 79 7" xfId="44817"/>
    <cellStyle name="SHADEDSTORES 4 79 8" xfId="44818"/>
    <cellStyle name="SHADEDSTORES 4 79 9" xfId="44819"/>
    <cellStyle name="SHADEDSTORES 4 8" xfId="7903"/>
    <cellStyle name="SHADEDSTORES 4 8 2" xfId="44820"/>
    <cellStyle name="SHADEDSTORES 4 8 3" xfId="44821"/>
    <cellStyle name="SHADEDSTORES 4 8 4" xfId="44822"/>
    <cellStyle name="SHADEDSTORES 4 8 5" xfId="44823"/>
    <cellStyle name="SHADEDSTORES 4 8 6" xfId="44824"/>
    <cellStyle name="SHADEDSTORES 4 8 7" xfId="44825"/>
    <cellStyle name="SHADEDSTORES 4 8 8" xfId="44826"/>
    <cellStyle name="SHADEDSTORES 4 8 9" xfId="44827"/>
    <cellStyle name="SHADEDSTORES 4 80" xfId="7904"/>
    <cellStyle name="SHADEDSTORES 4 80 10" xfId="44828"/>
    <cellStyle name="SHADEDSTORES 4 80 2" xfId="44829"/>
    <cellStyle name="SHADEDSTORES 4 80 3" xfId="44830"/>
    <cellStyle name="SHADEDSTORES 4 80 4" xfId="44831"/>
    <cellStyle name="SHADEDSTORES 4 80 5" xfId="44832"/>
    <cellStyle name="SHADEDSTORES 4 80 6" xfId="44833"/>
    <cellStyle name="SHADEDSTORES 4 80 7" xfId="44834"/>
    <cellStyle name="SHADEDSTORES 4 80 8" xfId="44835"/>
    <cellStyle name="SHADEDSTORES 4 80 9" xfId="44836"/>
    <cellStyle name="SHADEDSTORES 4 81" xfId="7905"/>
    <cellStyle name="SHADEDSTORES 4 81 10" xfId="44837"/>
    <cellStyle name="SHADEDSTORES 4 81 2" xfId="44838"/>
    <cellStyle name="SHADEDSTORES 4 81 3" xfId="44839"/>
    <cellStyle name="SHADEDSTORES 4 81 4" xfId="44840"/>
    <cellStyle name="SHADEDSTORES 4 81 5" xfId="44841"/>
    <cellStyle name="SHADEDSTORES 4 81 6" xfId="44842"/>
    <cellStyle name="SHADEDSTORES 4 81 7" xfId="44843"/>
    <cellStyle name="SHADEDSTORES 4 81 8" xfId="44844"/>
    <cellStyle name="SHADEDSTORES 4 81 9" xfId="44845"/>
    <cellStyle name="SHADEDSTORES 4 82" xfId="7906"/>
    <cellStyle name="SHADEDSTORES 4 82 10" xfId="44846"/>
    <cellStyle name="SHADEDSTORES 4 82 2" xfId="44847"/>
    <cellStyle name="SHADEDSTORES 4 82 3" xfId="44848"/>
    <cellStyle name="SHADEDSTORES 4 82 4" xfId="44849"/>
    <cellStyle name="SHADEDSTORES 4 82 5" xfId="44850"/>
    <cellStyle name="SHADEDSTORES 4 82 6" xfId="44851"/>
    <cellStyle name="SHADEDSTORES 4 82 7" xfId="44852"/>
    <cellStyle name="SHADEDSTORES 4 82 8" xfId="44853"/>
    <cellStyle name="SHADEDSTORES 4 82 9" xfId="44854"/>
    <cellStyle name="SHADEDSTORES 4 83" xfId="7907"/>
    <cellStyle name="SHADEDSTORES 4 83 10" xfId="44855"/>
    <cellStyle name="SHADEDSTORES 4 83 2" xfId="44856"/>
    <cellStyle name="SHADEDSTORES 4 83 3" xfId="44857"/>
    <cellStyle name="SHADEDSTORES 4 83 4" xfId="44858"/>
    <cellStyle name="SHADEDSTORES 4 83 5" xfId="44859"/>
    <cellStyle name="SHADEDSTORES 4 83 6" xfId="44860"/>
    <cellStyle name="SHADEDSTORES 4 83 7" xfId="44861"/>
    <cellStyle name="SHADEDSTORES 4 83 8" xfId="44862"/>
    <cellStyle name="SHADEDSTORES 4 83 9" xfId="44863"/>
    <cellStyle name="SHADEDSTORES 4 84" xfId="7908"/>
    <cellStyle name="SHADEDSTORES 4 84 10" xfId="44864"/>
    <cellStyle name="SHADEDSTORES 4 84 2" xfId="44865"/>
    <cellStyle name="SHADEDSTORES 4 84 3" xfId="44866"/>
    <cellStyle name="SHADEDSTORES 4 84 4" xfId="44867"/>
    <cellStyle name="SHADEDSTORES 4 84 5" xfId="44868"/>
    <cellStyle name="SHADEDSTORES 4 84 6" xfId="44869"/>
    <cellStyle name="SHADEDSTORES 4 84 7" xfId="44870"/>
    <cellStyle name="SHADEDSTORES 4 84 8" xfId="44871"/>
    <cellStyle name="SHADEDSTORES 4 84 9" xfId="44872"/>
    <cellStyle name="SHADEDSTORES 4 85" xfId="7909"/>
    <cellStyle name="SHADEDSTORES 4 85 10" xfId="44873"/>
    <cellStyle name="SHADEDSTORES 4 85 2" xfId="44874"/>
    <cellStyle name="SHADEDSTORES 4 85 3" xfId="44875"/>
    <cellStyle name="SHADEDSTORES 4 85 4" xfId="44876"/>
    <cellStyle name="SHADEDSTORES 4 85 5" xfId="44877"/>
    <cellStyle name="SHADEDSTORES 4 85 6" xfId="44878"/>
    <cellStyle name="SHADEDSTORES 4 85 7" xfId="44879"/>
    <cellStyle name="SHADEDSTORES 4 85 8" xfId="44880"/>
    <cellStyle name="SHADEDSTORES 4 85 9" xfId="44881"/>
    <cellStyle name="SHADEDSTORES 4 86" xfId="7910"/>
    <cellStyle name="SHADEDSTORES 4 86 10" xfId="44882"/>
    <cellStyle name="SHADEDSTORES 4 86 2" xfId="44883"/>
    <cellStyle name="SHADEDSTORES 4 86 3" xfId="44884"/>
    <cellStyle name="SHADEDSTORES 4 86 4" xfId="44885"/>
    <cellStyle name="SHADEDSTORES 4 86 5" xfId="44886"/>
    <cellStyle name="SHADEDSTORES 4 86 6" xfId="44887"/>
    <cellStyle name="SHADEDSTORES 4 86 7" xfId="44888"/>
    <cellStyle name="SHADEDSTORES 4 86 8" xfId="44889"/>
    <cellStyle name="SHADEDSTORES 4 86 9" xfId="44890"/>
    <cellStyle name="SHADEDSTORES 4 87" xfId="7911"/>
    <cellStyle name="SHADEDSTORES 4 87 10" xfId="44891"/>
    <cellStyle name="SHADEDSTORES 4 87 2" xfId="44892"/>
    <cellStyle name="SHADEDSTORES 4 87 3" xfId="44893"/>
    <cellStyle name="SHADEDSTORES 4 87 4" xfId="44894"/>
    <cellStyle name="SHADEDSTORES 4 87 5" xfId="44895"/>
    <cellStyle name="SHADEDSTORES 4 87 6" xfId="44896"/>
    <cellStyle name="SHADEDSTORES 4 87 7" xfId="44897"/>
    <cellStyle name="SHADEDSTORES 4 87 8" xfId="44898"/>
    <cellStyle name="SHADEDSTORES 4 87 9" xfId="44899"/>
    <cellStyle name="SHADEDSTORES 4 88" xfId="7912"/>
    <cellStyle name="SHADEDSTORES 4 88 10" xfId="44900"/>
    <cellStyle name="SHADEDSTORES 4 88 2" xfId="44901"/>
    <cellStyle name="SHADEDSTORES 4 88 3" xfId="44902"/>
    <cellStyle name="SHADEDSTORES 4 88 4" xfId="44903"/>
    <cellStyle name="SHADEDSTORES 4 88 5" xfId="44904"/>
    <cellStyle name="SHADEDSTORES 4 88 6" xfId="44905"/>
    <cellStyle name="SHADEDSTORES 4 88 7" xfId="44906"/>
    <cellStyle name="SHADEDSTORES 4 88 8" xfId="44907"/>
    <cellStyle name="SHADEDSTORES 4 88 9" xfId="44908"/>
    <cellStyle name="SHADEDSTORES 4 89" xfId="7913"/>
    <cellStyle name="SHADEDSTORES 4 89 10" xfId="44909"/>
    <cellStyle name="SHADEDSTORES 4 89 2" xfId="44910"/>
    <cellStyle name="SHADEDSTORES 4 89 3" xfId="44911"/>
    <cellStyle name="SHADEDSTORES 4 89 4" xfId="44912"/>
    <cellStyle name="SHADEDSTORES 4 89 5" xfId="44913"/>
    <cellStyle name="SHADEDSTORES 4 89 6" xfId="44914"/>
    <cellStyle name="SHADEDSTORES 4 89 7" xfId="44915"/>
    <cellStyle name="SHADEDSTORES 4 89 8" xfId="44916"/>
    <cellStyle name="SHADEDSTORES 4 89 9" xfId="44917"/>
    <cellStyle name="SHADEDSTORES 4 9" xfId="7914"/>
    <cellStyle name="SHADEDSTORES 4 9 2" xfId="44918"/>
    <cellStyle name="SHADEDSTORES 4 9 3" xfId="44919"/>
    <cellStyle name="SHADEDSTORES 4 9 4" xfId="44920"/>
    <cellStyle name="SHADEDSTORES 4 9 5" xfId="44921"/>
    <cellStyle name="SHADEDSTORES 4 9 6" xfId="44922"/>
    <cellStyle name="SHADEDSTORES 4 9 7" xfId="44923"/>
    <cellStyle name="SHADEDSTORES 4 9 8" xfId="44924"/>
    <cellStyle name="SHADEDSTORES 4 9 9" xfId="44925"/>
    <cellStyle name="SHADEDSTORES 4 90" xfId="7915"/>
    <cellStyle name="SHADEDSTORES 4 90 10" xfId="44926"/>
    <cellStyle name="SHADEDSTORES 4 90 2" xfId="44927"/>
    <cellStyle name="SHADEDSTORES 4 90 3" xfId="44928"/>
    <cellStyle name="SHADEDSTORES 4 90 4" xfId="44929"/>
    <cellStyle name="SHADEDSTORES 4 90 5" xfId="44930"/>
    <cellStyle name="SHADEDSTORES 4 90 6" xfId="44931"/>
    <cellStyle name="SHADEDSTORES 4 90 7" xfId="44932"/>
    <cellStyle name="SHADEDSTORES 4 90 8" xfId="44933"/>
    <cellStyle name="SHADEDSTORES 4 90 9" xfId="44934"/>
    <cellStyle name="SHADEDSTORES 4 91" xfId="7916"/>
    <cellStyle name="SHADEDSTORES 4 91 10" xfId="44935"/>
    <cellStyle name="SHADEDSTORES 4 91 2" xfId="44936"/>
    <cellStyle name="SHADEDSTORES 4 91 3" xfId="44937"/>
    <cellStyle name="SHADEDSTORES 4 91 4" xfId="44938"/>
    <cellStyle name="SHADEDSTORES 4 91 5" xfId="44939"/>
    <cellStyle name="SHADEDSTORES 4 91 6" xfId="44940"/>
    <cellStyle name="SHADEDSTORES 4 91 7" xfId="44941"/>
    <cellStyle name="SHADEDSTORES 4 91 8" xfId="44942"/>
    <cellStyle name="SHADEDSTORES 4 91 9" xfId="44943"/>
    <cellStyle name="SHADEDSTORES 4 92" xfId="7917"/>
    <cellStyle name="SHADEDSTORES 4 92 10" xfId="44944"/>
    <cellStyle name="SHADEDSTORES 4 92 2" xfId="44945"/>
    <cellStyle name="SHADEDSTORES 4 92 3" xfId="44946"/>
    <cellStyle name="SHADEDSTORES 4 92 4" xfId="44947"/>
    <cellStyle name="SHADEDSTORES 4 92 5" xfId="44948"/>
    <cellStyle name="SHADEDSTORES 4 92 6" xfId="44949"/>
    <cellStyle name="SHADEDSTORES 4 92 7" xfId="44950"/>
    <cellStyle name="SHADEDSTORES 4 92 8" xfId="44951"/>
    <cellStyle name="SHADEDSTORES 4 92 9" xfId="44952"/>
    <cellStyle name="SHADEDSTORES 4 93" xfId="7918"/>
    <cellStyle name="SHADEDSTORES 4 93 2" xfId="44953"/>
    <cellStyle name="SHADEDSTORES 4 93 3" xfId="44954"/>
    <cellStyle name="SHADEDSTORES 4 93 4" xfId="44955"/>
    <cellStyle name="SHADEDSTORES 4 93 5" xfId="44956"/>
    <cellStyle name="SHADEDSTORES 4 93 6" xfId="44957"/>
    <cellStyle name="SHADEDSTORES 4 93 7" xfId="44958"/>
    <cellStyle name="SHADEDSTORES 4 93 8" xfId="44959"/>
    <cellStyle name="SHADEDSTORES 4 93 9" xfId="44960"/>
    <cellStyle name="SHADEDSTORES 4 94" xfId="11605"/>
    <cellStyle name="SHADEDSTORES 4 95" xfId="44961"/>
    <cellStyle name="SHADEDSTORES 4 96" xfId="44962"/>
    <cellStyle name="SHADEDSTORES 4 97" xfId="44963"/>
    <cellStyle name="SHADEDSTORES 4 98" xfId="44964"/>
    <cellStyle name="SHADEDSTORES 4 99" xfId="44965"/>
    <cellStyle name="SHADEDSTORES 4_Cashflow trend" xfId="2591"/>
    <cellStyle name="SHADEDSTORES 40" xfId="7919"/>
    <cellStyle name="SHADEDSTORES 40 10" xfId="44966"/>
    <cellStyle name="SHADEDSTORES 40 2" xfId="44967"/>
    <cellStyle name="SHADEDSTORES 40 3" xfId="44968"/>
    <cellStyle name="SHADEDSTORES 40 4" xfId="44969"/>
    <cellStyle name="SHADEDSTORES 40 5" xfId="44970"/>
    <cellStyle name="SHADEDSTORES 40 6" xfId="44971"/>
    <cellStyle name="SHADEDSTORES 40 7" xfId="44972"/>
    <cellStyle name="SHADEDSTORES 40 8" xfId="44973"/>
    <cellStyle name="SHADEDSTORES 40 9" xfId="44974"/>
    <cellStyle name="SHADEDSTORES 41" xfId="7920"/>
    <cellStyle name="SHADEDSTORES 41 10" xfId="44975"/>
    <cellStyle name="SHADEDSTORES 41 2" xfId="44976"/>
    <cellStyle name="SHADEDSTORES 41 3" xfId="44977"/>
    <cellStyle name="SHADEDSTORES 41 4" xfId="44978"/>
    <cellStyle name="SHADEDSTORES 41 5" xfId="44979"/>
    <cellStyle name="SHADEDSTORES 41 6" xfId="44980"/>
    <cellStyle name="SHADEDSTORES 41 7" xfId="44981"/>
    <cellStyle name="SHADEDSTORES 41 8" xfId="44982"/>
    <cellStyle name="SHADEDSTORES 41 9" xfId="44983"/>
    <cellStyle name="SHADEDSTORES 42" xfId="7921"/>
    <cellStyle name="SHADEDSTORES 42 10" xfId="44984"/>
    <cellStyle name="SHADEDSTORES 42 2" xfId="44985"/>
    <cellStyle name="SHADEDSTORES 42 3" xfId="44986"/>
    <cellStyle name="SHADEDSTORES 42 4" xfId="44987"/>
    <cellStyle name="SHADEDSTORES 42 5" xfId="44988"/>
    <cellStyle name="SHADEDSTORES 42 6" xfId="44989"/>
    <cellStyle name="SHADEDSTORES 42 7" xfId="44990"/>
    <cellStyle name="SHADEDSTORES 42 8" xfId="44991"/>
    <cellStyle name="SHADEDSTORES 42 9" xfId="44992"/>
    <cellStyle name="SHADEDSTORES 43" xfId="7922"/>
    <cellStyle name="SHADEDSTORES 43 10" xfId="44993"/>
    <cellStyle name="SHADEDSTORES 43 2" xfId="44994"/>
    <cellStyle name="SHADEDSTORES 43 3" xfId="44995"/>
    <cellStyle name="SHADEDSTORES 43 4" xfId="44996"/>
    <cellStyle name="SHADEDSTORES 43 5" xfId="44997"/>
    <cellStyle name="SHADEDSTORES 43 6" xfId="44998"/>
    <cellStyle name="SHADEDSTORES 43 7" xfId="44999"/>
    <cellStyle name="SHADEDSTORES 43 8" xfId="45000"/>
    <cellStyle name="SHADEDSTORES 43 9" xfId="45001"/>
    <cellStyle name="SHADEDSTORES 44" xfId="7923"/>
    <cellStyle name="SHADEDSTORES 44 10" xfId="45002"/>
    <cellStyle name="SHADEDSTORES 44 2" xfId="45003"/>
    <cellStyle name="SHADEDSTORES 44 3" xfId="45004"/>
    <cellStyle name="SHADEDSTORES 44 4" xfId="45005"/>
    <cellStyle name="SHADEDSTORES 44 5" xfId="45006"/>
    <cellStyle name="SHADEDSTORES 44 6" xfId="45007"/>
    <cellStyle name="SHADEDSTORES 44 7" xfId="45008"/>
    <cellStyle name="SHADEDSTORES 44 8" xfId="45009"/>
    <cellStyle name="SHADEDSTORES 44 9" xfId="45010"/>
    <cellStyle name="SHADEDSTORES 45" xfId="7924"/>
    <cellStyle name="SHADEDSTORES 45 10" xfId="45011"/>
    <cellStyle name="SHADEDSTORES 45 2" xfId="45012"/>
    <cellStyle name="SHADEDSTORES 45 3" xfId="45013"/>
    <cellStyle name="SHADEDSTORES 45 4" xfId="45014"/>
    <cellStyle name="SHADEDSTORES 45 5" xfId="45015"/>
    <cellStyle name="SHADEDSTORES 45 6" xfId="45016"/>
    <cellStyle name="SHADEDSTORES 45 7" xfId="45017"/>
    <cellStyle name="SHADEDSTORES 45 8" xfId="45018"/>
    <cellStyle name="SHADEDSTORES 45 9" xfId="45019"/>
    <cellStyle name="SHADEDSTORES 46" xfId="7925"/>
    <cellStyle name="SHADEDSTORES 46 10" xfId="45020"/>
    <cellStyle name="SHADEDSTORES 46 2" xfId="45021"/>
    <cellStyle name="SHADEDSTORES 46 3" xfId="45022"/>
    <cellStyle name="SHADEDSTORES 46 4" xfId="45023"/>
    <cellStyle name="SHADEDSTORES 46 5" xfId="45024"/>
    <cellStyle name="SHADEDSTORES 46 6" xfId="45025"/>
    <cellStyle name="SHADEDSTORES 46 7" xfId="45026"/>
    <cellStyle name="SHADEDSTORES 46 8" xfId="45027"/>
    <cellStyle name="SHADEDSTORES 46 9" xfId="45028"/>
    <cellStyle name="SHADEDSTORES 47" xfId="7926"/>
    <cellStyle name="SHADEDSTORES 47 10" xfId="45029"/>
    <cellStyle name="SHADEDSTORES 47 2" xfId="45030"/>
    <cellStyle name="SHADEDSTORES 47 3" xfId="45031"/>
    <cellStyle name="SHADEDSTORES 47 4" xfId="45032"/>
    <cellStyle name="SHADEDSTORES 47 5" xfId="45033"/>
    <cellStyle name="SHADEDSTORES 47 6" xfId="45034"/>
    <cellStyle name="SHADEDSTORES 47 7" xfId="45035"/>
    <cellStyle name="SHADEDSTORES 47 8" xfId="45036"/>
    <cellStyle name="SHADEDSTORES 47 9" xfId="45037"/>
    <cellStyle name="SHADEDSTORES 48" xfId="7927"/>
    <cellStyle name="SHADEDSTORES 48 10" xfId="45038"/>
    <cellStyle name="SHADEDSTORES 48 2" xfId="45039"/>
    <cellStyle name="SHADEDSTORES 48 3" xfId="45040"/>
    <cellStyle name="SHADEDSTORES 48 4" xfId="45041"/>
    <cellStyle name="SHADEDSTORES 48 5" xfId="45042"/>
    <cellStyle name="SHADEDSTORES 48 6" xfId="45043"/>
    <cellStyle name="SHADEDSTORES 48 7" xfId="45044"/>
    <cellStyle name="SHADEDSTORES 48 8" xfId="45045"/>
    <cellStyle name="SHADEDSTORES 48 9" xfId="45046"/>
    <cellStyle name="SHADEDSTORES 49" xfId="7928"/>
    <cellStyle name="SHADEDSTORES 49 10" xfId="45047"/>
    <cellStyle name="SHADEDSTORES 49 2" xfId="45048"/>
    <cellStyle name="SHADEDSTORES 49 3" xfId="45049"/>
    <cellStyle name="SHADEDSTORES 49 4" xfId="45050"/>
    <cellStyle name="SHADEDSTORES 49 5" xfId="45051"/>
    <cellStyle name="SHADEDSTORES 49 6" xfId="45052"/>
    <cellStyle name="SHADEDSTORES 49 7" xfId="45053"/>
    <cellStyle name="SHADEDSTORES 49 8" xfId="45054"/>
    <cellStyle name="SHADEDSTORES 49 9" xfId="45055"/>
    <cellStyle name="SHADEDSTORES 5" xfId="2592"/>
    <cellStyle name="SHADEDSTORES 5 10" xfId="7929"/>
    <cellStyle name="SHADEDSTORES 5 10 2" xfId="45056"/>
    <cellStyle name="SHADEDSTORES 5 10 3" xfId="45057"/>
    <cellStyle name="SHADEDSTORES 5 10 4" xfId="45058"/>
    <cellStyle name="SHADEDSTORES 5 10 5" xfId="45059"/>
    <cellStyle name="SHADEDSTORES 5 10 6" xfId="45060"/>
    <cellStyle name="SHADEDSTORES 5 10 7" xfId="45061"/>
    <cellStyle name="SHADEDSTORES 5 10 8" xfId="45062"/>
    <cellStyle name="SHADEDSTORES 5 10 9" xfId="45063"/>
    <cellStyle name="SHADEDSTORES 5 100" xfId="45064"/>
    <cellStyle name="SHADEDSTORES 5 101" xfId="45065"/>
    <cellStyle name="SHADEDSTORES 5 102" xfId="45066"/>
    <cellStyle name="SHADEDSTORES 5 11" xfId="7930"/>
    <cellStyle name="SHADEDSTORES 5 11 2" xfId="45067"/>
    <cellStyle name="SHADEDSTORES 5 11 3" xfId="45068"/>
    <cellStyle name="SHADEDSTORES 5 11 4" xfId="45069"/>
    <cellStyle name="SHADEDSTORES 5 11 5" xfId="45070"/>
    <cellStyle name="SHADEDSTORES 5 11 6" xfId="45071"/>
    <cellStyle name="SHADEDSTORES 5 11 7" xfId="45072"/>
    <cellStyle name="SHADEDSTORES 5 11 8" xfId="45073"/>
    <cellStyle name="SHADEDSTORES 5 11 9" xfId="45074"/>
    <cellStyle name="SHADEDSTORES 5 12" xfId="7931"/>
    <cellStyle name="SHADEDSTORES 5 12 2" xfId="45075"/>
    <cellStyle name="SHADEDSTORES 5 12 3" xfId="45076"/>
    <cellStyle name="SHADEDSTORES 5 12 4" xfId="45077"/>
    <cellStyle name="SHADEDSTORES 5 12 5" xfId="45078"/>
    <cellStyle name="SHADEDSTORES 5 12 6" xfId="45079"/>
    <cellStyle name="SHADEDSTORES 5 12 7" xfId="45080"/>
    <cellStyle name="SHADEDSTORES 5 12 8" xfId="45081"/>
    <cellStyle name="SHADEDSTORES 5 12 9" xfId="45082"/>
    <cellStyle name="SHADEDSTORES 5 13" xfId="7932"/>
    <cellStyle name="SHADEDSTORES 5 13 2" xfId="45083"/>
    <cellStyle name="SHADEDSTORES 5 13 3" xfId="45084"/>
    <cellStyle name="SHADEDSTORES 5 13 4" xfId="45085"/>
    <cellStyle name="SHADEDSTORES 5 13 5" xfId="45086"/>
    <cellStyle name="SHADEDSTORES 5 13 6" xfId="45087"/>
    <cellStyle name="SHADEDSTORES 5 13 7" xfId="45088"/>
    <cellStyle name="SHADEDSTORES 5 13 8" xfId="45089"/>
    <cellStyle name="SHADEDSTORES 5 13 9" xfId="45090"/>
    <cellStyle name="SHADEDSTORES 5 14" xfId="7933"/>
    <cellStyle name="SHADEDSTORES 5 14 2" xfId="45091"/>
    <cellStyle name="SHADEDSTORES 5 14 3" xfId="45092"/>
    <cellStyle name="SHADEDSTORES 5 14 4" xfId="45093"/>
    <cellStyle name="SHADEDSTORES 5 14 5" xfId="45094"/>
    <cellStyle name="SHADEDSTORES 5 14 6" xfId="45095"/>
    <cellStyle name="SHADEDSTORES 5 14 7" xfId="45096"/>
    <cellStyle name="SHADEDSTORES 5 14 8" xfId="45097"/>
    <cellStyle name="SHADEDSTORES 5 14 9" xfId="45098"/>
    <cellStyle name="SHADEDSTORES 5 15" xfId="7934"/>
    <cellStyle name="SHADEDSTORES 5 15 2" xfId="45099"/>
    <cellStyle name="SHADEDSTORES 5 15 3" xfId="45100"/>
    <cellStyle name="SHADEDSTORES 5 15 4" xfId="45101"/>
    <cellStyle name="SHADEDSTORES 5 15 5" xfId="45102"/>
    <cellStyle name="SHADEDSTORES 5 15 6" xfId="45103"/>
    <cellStyle name="SHADEDSTORES 5 15 7" xfId="45104"/>
    <cellStyle name="SHADEDSTORES 5 15 8" xfId="45105"/>
    <cellStyle name="SHADEDSTORES 5 15 9" xfId="45106"/>
    <cellStyle name="SHADEDSTORES 5 16" xfId="7935"/>
    <cellStyle name="SHADEDSTORES 5 16 2" xfId="45107"/>
    <cellStyle name="SHADEDSTORES 5 16 3" xfId="45108"/>
    <cellStyle name="SHADEDSTORES 5 16 4" xfId="45109"/>
    <cellStyle name="SHADEDSTORES 5 16 5" xfId="45110"/>
    <cellStyle name="SHADEDSTORES 5 16 6" xfId="45111"/>
    <cellStyle name="SHADEDSTORES 5 16 7" xfId="45112"/>
    <cellStyle name="SHADEDSTORES 5 16 8" xfId="45113"/>
    <cellStyle name="SHADEDSTORES 5 16 9" xfId="45114"/>
    <cellStyle name="SHADEDSTORES 5 17" xfId="7936"/>
    <cellStyle name="SHADEDSTORES 5 17 2" xfId="45115"/>
    <cellStyle name="SHADEDSTORES 5 17 3" xfId="45116"/>
    <cellStyle name="SHADEDSTORES 5 17 4" xfId="45117"/>
    <cellStyle name="SHADEDSTORES 5 17 5" xfId="45118"/>
    <cellStyle name="SHADEDSTORES 5 17 6" xfId="45119"/>
    <cellStyle name="SHADEDSTORES 5 17 7" xfId="45120"/>
    <cellStyle name="SHADEDSTORES 5 17 8" xfId="45121"/>
    <cellStyle name="SHADEDSTORES 5 17 9" xfId="45122"/>
    <cellStyle name="SHADEDSTORES 5 18" xfId="7937"/>
    <cellStyle name="SHADEDSTORES 5 18 2" xfId="45123"/>
    <cellStyle name="SHADEDSTORES 5 18 3" xfId="45124"/>
    <cellStyle name="SHADEDSTORES 5 18 4" xfId="45125"/>
    <cellStyle name="SHADEDSTORES 5 18 5" xfId="45126"/>
    <cellStyle name="SHADEDSTORES 5 18 6" xfId="45127"/>
    <cellStyle name="SHADEDSTORES 5 18 7" xfId="45128"/>
    <cellStyle name="SHADEDSTORES 5 18 8" xfId="45129"/>
    <cellStyle name="SHADEDSTORES 5 18 9" xfId="45130"/>
    <cellStyle name="SHADEDSTORES 5 19" xfId="7938"/>
    <cellStyle name="SHADEDSTORES 5 19 2" xfId="45131"/>
    <cellStyle name="SHADEDSTORES 5 19 3" xfId="45132"/>
    <cellStyle name="SHADEDSTORES 5 19 4" xfId="45133"/>
    <cellStyle name="SHADEDSTORES 5 19 5" xfId="45134"/>
    <cellStyle name="SHADEDSTORES 5 19 6" xfId="45135"/>
    <cellStyle name="SHADEDSTORES 5 19 7" xfId="45136"/>
    <cellStyle name="SHADEDSTORES 5 19 8" xfId="45137"/>
    <cellStyle name="SHADEDSTORES 5 19 9" xfId="45138"/>
    <cellStyle name="SHADEDSTORES 5 2" xfId="2593"/>
    <cellStyle name="SHADEDSTORES 5 2 10" xfId="45139"/>
    <cellStyle name="SHADEDSTORES 5 2 11" xfId="45140"/>
    <cellStyle name="SHADEDSTORES 5 2 2" xfId="12481"/>
    <cellStyle name="SHADEDSTORES 5 2 3" xfId="45141"/>
    <cellStyle name="SHADEDSTORES 5 2 4" xfId="45142"/>
    <cellStyle name="SHADEDSTORES 5 2 5" xfId="45143"/>
    <cellStyle name="SHADEDSTORES 5 2 6" xfId="45144"/>
    <cellStyle name="SHADEDSTORES 5 2 7" xfId="45145"/>
    <cellStyle name="SHADEDSTORES 5 2 8" xfId="45146"/>
    <cellStyle name="SHADEDSTORES 5 2 9" xfId="45147"/>
    <cellStyle name="SHADEDSTORES 5 2_YL Capex Cashflow &amp; Dep" xfId="13563"/>
    <cellStyle name="SHADEDSTORES 5 20" xfId="7939"/>
    <cellStyle name="SHADEDSTORES 5 20 10" xfId="45148"/>
    <cellStyle name="SHADEDSTORES 5 20 2" xfId="45149"/>
    <cellStyle name="SHADEDSTORES 5 20 3" xfId="45150"/>
    <cellStyle name="SHADEDSTORES 5 20 4" xfId="45151"/>
    <cellStyle name="SHADEDSTORES 5 20 5" xfId="45152"/>
    <cellStyle name="SHADEDSTORES 5 20 6" xfId="45153"/>
    <cellStyle name="SHADEDSTORES 5 20 7" xfId="45154"/>
    <cellStyle name="SHADEDSTORES 5 20 8" xfId="45155"/>
    <cellStyle name="SHADEDSTORES 5 20 9" xfId="45156"/>
    <cellStyle name="SHADEDSTORES 5 21" xfId="7940"/>
    <cellStyle name="SHADEDSTORES 5 21 10" xfId="45157"/>
    <cellStyle name="SHADEDSTORES 5 21 2" xfId="45158"/>
    <cellStyle name="SHADEDSTORES 5 21 3" xfId="45159"/>
    <cellStyle name="SHADEDSTORES 5 21 4" xfId="45160"/>
    <cellStyle name="SHADEDSTORES 5 21 5" xfId="45161"/>
    <cellStyle name="SHADEDSTORES 5 21 6" xfId="45162"/>
    <cellStyle name="SHADEDSTORES 5 21 7" xfId="45163"/>
    <cellStyle name="SHADEDSTORES 5 21 8" xfId="45164"/>
    <cellStyle name="SHADEDSTORES 5 21 9" xfId="45165"/>
    <cellStyle name="SHADEDSTORES 5 22" xfId="7941"/>
    <cellStyle name="SHADEDSTORES 5 22 10" xfId="45166"/>
    <cellStyle name="SHADEDSTORES 5 22 2" xfId="45167"/>
    <cellStyle name="SHADEDSTORES 5 22 3" xfId="45168"/>
    <cellStyle name="SHADEDSTORES 5 22 4" xfId="45169"/>
    <cellStyle name="SHADEDSTORES 5 22 5" xfId="45170"/>
    <cellStyle name="SHADEDSTORES 5 22 6" xfId="45171"/>
    <cellStyle name="SHADEDSTORES 5 22 7" xfId="45172"/>
    <cellStyle name="SHADEDSTORES 5 22 8" xfId="45173"/>
    <cellStyle name="SHADEDSTORES 5 22 9" xfId="45174"/>
    <cellStyle name="SHADEDSTORES 5 23" xfId="7942"/>
    <cellStyle name="SHADEDSTORES 5 23 10" xfId="45175"/>
    <cellStyle name="SHADEDSTORES 5 23 2" xfId="45176"/>
    <cellStyle name="SHADEDSTORES 5 23 3" xfId="45177"/>
    <cellStyle name="SHADEDSTORES 5 23 4" xfId="45178"/>
    <cellStyle name="SHADEDSTORES 5 23 5" xfId="45179"/>
    <cellStyle name="SHADEDSTORES 5 23 6" xfId="45180"/>
    <cellStyle name="SHADEDSTORES 5 23 7" xfId="45181"/>
    <cellStyle name="SHADEDSTORES 5 23 8" xfId="45182"/>
    <cellStyle name="SHADEDSTORES 5 23 9" xfId="45183"/>
    <cellStyle name="SHADEDSTORES 5 24" xfId="7943"/>
    <cellStyle name="SHADEDSTORES 5 24 10" xfId="45184"/>
    <cellStyle name="SHADEDSTORES 5 24 2" xfId="45185"/>
    <cellStyle name="SHADEDSTORES 5 24 3" xfId="45186"/>
    <cellStyle name="SHADEDSTORES 5 24 4" xfId="45187"/>
    <cellStyle name="SHADEDSTORES 5 24 5" xfId="45188"/>
    <cellStyle name="SHADEDSTORES 5 24 6" xfId="45189"/>
    <cellStyle name="SHADEDSTORES 5 24 7" xfId="45190"/>
    <cellStyle name="SHADEDSTORES 5 24 8" xfId="45191"/>
    <cellStyle name="SHADEDSTORES 5 24 9" xfId="45192"/>
    <cellStyle name="SHADEDSTORES 5 25" xfId="7944"/>
    <cellStyle name="SHADEDSTORES 5 25 10" xfId="45193"/>
    <cellStyle name="SHADEDSTORES 5 25 2" xfId="45194"/>
    <cellStyle name="SHADEDSTORES 5 25 3" xfId="45195"/>
    <cellStyle name="SHADEDSTORES 5 25 4" xfId="45196"/>
    <cellStyle name="SHADEDSTORES 5 25 5" xfId="45197"/>
    <cellStyle name="SHADEDSTORES 5 25 6" xfId="45198"/>
    <cellStyle name="SHADEDSTORES 5 25 7" xfId="45199"/>
    <cellStyle name="SHADEDSTORES 5 25 8" xfId="45200"/>
    <cellStyle name="SHADEDSTORES 5 25 9" xfId="45201"/>
    <cellStyle name="SHADEDSTORES 5 26" xfId="7945"/>
    <cellStyle name="SHADEDSTORES 5 26 10" xfId="45202"/>
    <cellStyle name="SHADEDSTORES 5 26 2" xfId="45203"/>
    <cellStyle name="SHADEDSTORES 5 26 3" xfId="45204"/>
    <cellStyle name="SHADEDSTORES 5 26 4" xfId="45205"/>
    <cellStyle name="SHADEDSTORES 5 26 5" xfId="45206"/>
    <cellStyle name="SHADEDSTORES 5 26 6" xfId="45207"/>
    <cellStyle name="SHADEDSTORES 5 26 7" xfId="45208"/>
    <cellStyle name="SHADEDSTORES 5 26 8" xfId="45209"/>
    <cellStyle name="SHADEDSTORES 5 26 9" xfId="45210"/>
    <cellStyle name="SHADEDSTORES 5 27" xfId="7946"/>
    <cellStyle name="SHADEDSTORES 5 27 10" xfId="45211"/>
    <cellStyle name="SHADEDSTORES 5 27 2" xfId="45212"/>
    <cellStyle name="SHADEDSTORES 5 27 3" xfId="45213"/>
    <cellStyle name="SHADEDSTORES 5 27 4" xfId="45214"/>
    <cellStyle name="SHADEDSTORES 5 27 5" xfId="45215"/>
    <cellStyle name="SHADEDSTORES 5 27 6" xfId="45216"/>
    <cellStyle name="SHADEDSTORES 5 27 7" xfId="45217"/>
    <cellStyle name="SHADEDSTORES 5 27 8" xfId="45218"/>
    <cellStyle name="SHADEDSTORES 5 27 9" xfId="45219"/>
    <cellStyle name="SHADEDSTORES 5 28" xfId="7947"/>
    <cellStyle name="SHADEDSTORES 5 28 10" xfId="45220"/>
    <cellStyle name="SHADEDSTORES 5 28 2" xfId="45221"/>
    <cellStyle name="SHADEDSTORES 5 28 3" xfId="45222"/>
    <cellStyle name="SHADEDSTORES 5 28 4" xfId="45223"/>
    <cellStyle name="SHADEDSTORES 5 28 5" xfId="45224"/>
    <cellStyle name="SHADEDSTORES 5 28 6" xfId="45225"/>
    <cellStyle name="SHADEDSTORES 5 28 7" xfId="45226"/>
    <cellStyle name="SHADEDSTORES 5 28 8" xfId="45227"/>
    <cellStyle name="SHADEDSTORES 5 28 9" xfId="45228"/>
    <cellStyle name="SHADEDSTORES 5 29" xfId="7948"/>
    <cellStyle name="SHADEDSTORES 5 29 10" xfId="45229"/>
    <cellStyle name="SHADEDSTORES 5 29 2" xfId="45230"/>
    <cellStyle name="SHADEDSTORES 5 29 3" xfId="45231"/>
    <cellStyle name="SHADEDSTORES 5 29 4" xfId="45232"/>
    <cellStyle name="SHADEDSTORES 5 29 5" xfId="45233"/>
    <cellStyle name="SHADEDSTORES 5 29 6" xfId="45234"/>
    <cellStyle name="SHADEDSTORES 5 29 7" xfId="45235"/>
    <cellStyle name="SHADEDSTORES 5 29 8" xfId="45236"/>
    <cellStyle name="SHADEDSTORES 5 29 9" xfId="45237"/>
    <cellStyle name="SHADEDSTORES 5 3" xfId="7949"/>
    <cellStyle name="SHADEDSTORES 5 3 10" xfId="45238"/>
    <cellStyle name="SHADEDSTORES 5 3 2" xfId="45239"/>
    <cellStyle name="SHADEDSTORES 5 3 3" xfId="45240"/>
    <cellStyle name="SHADEDSTORES 5 3 4" xfId="45241"/>
    <cellStyle name="SHADEDSTORES 5 3 5" xfId="45242"/>
    <cellStyle name="SHADEDSTORES 5 3 6" xfId="45243"/>
    <cellStyle name="SHADEDSTORES 5 3 7" xfId="45244"/>
    <cellStyle name="SHADEDSTORES 5 3 8" xfId="45245"/>
    <cellStyle name="SHADEDSTORES 5 3 9" xfId="45246"/>
    <cellStyle name="SHADEDSTORES 5 30" xfId="7950"/>
    <cellStyle name="SHADEDSTORES 5 30 10" xfId="45247"/>
    <cellStyle name="SHADEDSTORES 5 30 2" xfId="45248"/>
    <cellStyle name="SHADEDSTORES 5 30 3" xfId="45249"/>
    <cellStyle name="SHADEDSTORES 5 30 4" xfId="45250"/>
    <cellStyle name="SHADEDSTORES 5 30 5" xfId="45251"/>
    <cellStyle name="SHADEDSTORES 5 30 6" xfId="45252"/>
    <cellStyle name="SHADEDSTORES 5 30 7" xfId="45253"/>
    <cellStyle name="SHADEDSTORES 5 30 8" xfId="45254"/>
    <cellStyle name="SHADEDSTORES 5 30 9" xfId="45255"/>
    <cellStyle name="SHADEDSTORES 5 31" xfId="7951"/>
    <cellStyle name="SHADEDSTORES 5 31 10" xfId="45256"/>
    <cellStyle name="SHADEDSTORES 5 31 2" xfId="45257"/>
    <cellStyle name="SHADEDSTORES 5 31 3" xfId="45258"/>
    <cellStyle name="SHADEDSTORES 5 31 4" xfId="45259"/>
    <cellStyle name="SHADEDSTORES 5 31 5" xfId="45260"/>
    <cellStyle name="SHADEDSTORES 5 31 6" xfId="45261"/>
    <cellStyle name="SHADEDSTORES 5 31 7" xfId="45262"/>
    <cellStyle name="SHADEDSTORES 5 31 8" xfId="45263"/>
    <cellStyle name="SHADEDSTORES 5 31 9" xfId="45264"/>
    <cellStyle name="SHADEDSTORES 5 32" xfId="7952"/>
    <cellStyle name="SHADEDSTORES 5 32 10" xfId="45265"/>
    <cellStyle name="SHADEDSTORES 5 32 2" xfId="45266"/>
    <cellStyle name="SHADEDSTORES 5 32 3" xfId="45267"/>
    <cellStyle name="SHADEDSTORES 5 32 4" xfId="45268"/>
    <cellStyle name="SHADEDSTORES 5 32 5" xfId="45269"/>
    <cellStyle name="SHADEDSTORES 5 32 6" xfId="45270"/>
    <cellStyle name="SHADEDSTORES 5 32 7" xfId="45271"/>
    <cellStyle name="SHADEDSTORES 5 32 8" xfId="45272"/>
    <cellStyle name="SHADEDSTORES 5 32 9" xfId="45273"/>
    <cellStyle name="SHADEDSTORES 5 33" xfId="7953"/>
    <cellStyle name="SHADEDSTORES 5 33 10" xfId="45274"/>
    <cellStyle name="SHADEDSTORES 5 33 2" xfId="45275"/>
    <cellStyle name="SHADEDSTORES 5 33 3" xfId="45276"/>
    <cellStyle name="SHADEDSTORES 5 33 4" xfId="45277"/>
    <cellStyle name="SHADEDSTORES 5 33 5" xfId="45278"/>
    <cellStyle name="SHADEDSTORES 5 33 6" xfId="45279"/>
    <cellStyle name="SHADEDSTORES 5 33 7" xfId="45280"/>
    <cellStyle name="SHADEDSTORES 5 33 8" xfId="45281"/>
    <cellStyle name="SHADEDSTORES 5 33 9" xfId="45282"/>
    <cellStyle name="SHADEDSTORES 5 34" xfId="7954"/>
    <cellStyle name="SHADEDSTORES 5 34 10" xfId="45283"/>
    <cellStyle name="SHADEDSTORES 5 34 2" xfId="45284"/>
    <cellStyle name="SHADEDSTORES 5 34 3" xfId="45285"/>
    <cellStyle name="SHADEDSTORES 5 34 4" xfId="45286"/>
    <cellStyle name="SHADEDSTORES 5 34 5" xfId="45287"/>
    <cellStyle name="SHADEDSTORES 5 34 6" xfId="45288"/>
    <cellStyle name="SHADEDSTORES 5 34 7" xfId="45289"/>
    <cellStyle name="SHADEDSTORES 5 34 8" xfId="45290"/>
    <cellStyle name="SHADEDSTORES 5 34 9" xfId="45291"/>
    <cellStyle name="SHADEDSTORES 5 35" xfId="7955"/>
    <cellStyle name="SHADEDSTORES 5 35 10" xfId="45292"/>
    <cellStyle name="SHADEDSTORES 5 35 2" xfId="45293"/>
    <cellStyle name="SHADEDSTORES 5 35 3" xfId="45294"/>
    <cellStyle name="SHADEDSTORES 5 35 4" xfId="45295"/>
    <cellStyle name="SHADEDSTORES 5 35 5" xfId="45296"/>
    <cellStyle name="SHADEDSTORES 5 35 6" xfId="45297"/>
    <cellStyle name="SHADEDSTORES 5 35 7" xfId="45298"/>
    <cellStyle name="SHADEDSTORES 5 35 8" xfId="45299"/>
    <cellStyle name="SHADEDSTORES 5 35 9" xfId="45300"/>
    <cellStyle name="SHADEDSTORES 5 36" xfId="7956"/>
    <cellStyle name="SHADEDSTORES 5 36 10" xfId="45301"/>
    <cellStyle name="SHADEDSTORES 5 36 2" xfId="45302"/>
    <cellStyle name="SHADEDSTORES 5 36 3" xfId="45303"/>
    <cellStyle name="SHADEDSTORES 5 36 4" xfId="45304"/>
    <cellStyle name="SHADEDSTORES 5 36 5" xfId="45305"/>
    <cellStyle name="SHADEDSTORES 5 36 6" xfId="45306"/>
    <cellStyle name="SHADEDSTORES 5 36 7" xfId="45307"/>
    <cellStyle name="SHADEDSTORES 5 36 8" xfId="45308"/>
    <cellStyle name="SHADEDSTORES 5 36 9" xfId="45309"/>
    <cellStyle name="SHADEDSTORES 5 37" xfId="7957"/>
    <cellStyle name="SHADEDSTORES 5 37 10" xfId="45310"/>
    <cellStyle name="SHADEDSTORES 5 37 2" xfId="45311"/>
    <cellStyle name="SHADEDSTORES 5 37 3" xfId="45312"/>
    <cellStyle name="SHADEDSTORES 5 37 4" xfId="45313"/>
    <cellStyle name="SHADEDSTORES 5 37 5" xfId="45314"/>
    <cellStyle name="SHADEDSTORES 5 37 6" xfId="45315"/>
    <cellStyle name="SHADEDSTORES 5 37 7" xfId="45316"/>
    <cellStyle name="SHADEDSTORES 5 37 8" xfId="45317"/>
    <cellStyle name="SHADEDSTORES 5 37 9" xfId="45318"/>
    <cellStyle name="SHADEDSTORES 5 38" xfId="7958"/>
    <cellStyle name="SHADEDSTORES 5 38 10" xfId="45319"/>
    <cellStyle name="SHADEDSTORES 5 38 2" xfId="45320"/>
    <cellStyle name="SHADEDSTORES 5 38 3" xfId="45321"/>
    <cellStyle name="SHADEDSTORES 5 38 4" xfId="45322"/>
    <cellStyle name="SHADEDSTORES 5 38 5" xfId="45323"/>
    <cellStyle name="SHADEDSTORES 5 38 6" xfId="45324"/>
    <cellStyle name="SHADEDSTORES 5 38 7" xfId="45325"/>
    <cellStyle name="SHADEDSTORES 5 38 8" xfId="45326"/>
    <cellStyle name="SHADEDSTORES 5 38 9" xfId="45327"/>
    <cellStyle name="SHADEDSTORES 5 39" xfId="7959"/>
    <cellStyle name="SHADEDSTORES 5 39 10" xfId="45328"/>
    <cellStyle name="SHADEDSTORES 5 39 2" xfId="45329"/>
    <cellStyle name="SHADEDSTORES 5 39 3" xfId="45330"/>
    <cellStyle name="SHADEDSTORES 5 39 4" xfId="45331"/>
    <cellStyle name="SHADEDSTORES 5 39 5" xfId="45332"/>
    <cellStyle name="SHADEDSTORES 5 39 6" xfId="45333"/>
    <cellStyle name="SHADEDSTORES 5 39 7" xfId="45334"/>
    <cellStyle name="SHADEDSTORES 5 39 8" xfId="45335"/>
    <cellStyle name="SHADEDSTORES 5 39 9" xfId="45336"/>
    <cellStyle name="SHADEDSTORES 5 4" xfId="7960"/>
    <cellStyle name="SHADEDSTORES 5 4 10" xfId="45337"/>
    <cellStyle name="SHADEDSTORES 5 4 2" xfId="45338"/>
    <cellStyle name="SHADEDSTORES 5 4 3" xfId="45339"/>
    <cellStyle name="SHADEDSTORES 5 4 4" xfId="45340"/>
    <cellStyle name="SHADEDSTORES 5 4 5" xfId="45341"/>
    <cellStyle name="SHADEDSTORES 5 4 6" xfId="45342"/>
    <cellStyle name="SHADEDSTORES 5 4 7" xfId="45343"/>
    <cellStyle name="SHADEDSTORES 5 4 8" xfId="45344"/>
    <cellStyle name="SHADEDSTORES 5 4 9" xfId="45345"/>
    <cellStyle name="SHADEDSTORES 5 40" xfId="7961"/>
    <cellStyle name="SHADEDSTORES 5 40 10" xfId="45346"/>
    <cellStyle name="SHADEDSTORES 5 40 2" xfId="45347"/>
    <cellStyle name="SHADEDSTORES 5 40 3" xfId="45348"/>
    <cellStyle name="SHADEDSTORES 5 40 4" xfId="45349"/>
    <cellStyle name="SHADEDSTORES 5 40 5" xfId="45350"/>
    <cellStyle name="SHADEDSTORES 5 40 6" xfId="45351"/>
    <cellStyle name="SHADEDSTORES 5 40 7" xfId="45352"/>
    <cellStyle name="SHADEDSTORES 5 40 8" xfId="45353"/>
    <cellStyle name="SHADEDSTORES 5 40 9" xfId="45354"/>
    <cellStyle name="SHADEDSTORES 5 41" xfId="7962"/>
    <cellStyle name="SHADEDSTORES 5 41 10" xfId="45355"/>
    <cellStyle name="SHADEDSTORES 5 41 2" xfId="45356"/>
    <cellStyle name="SHADEDSTORES 5 41 3" xfId="45357"/>
    <cellStyle name="SHADEDSTORES 5 41 4" xfId="45358"/>
    <cellStyle name="SHADEDSTORES 5 41 5" xfId="45359"/>
    <cellStyle name="SHADEDSTORES 5 41 6" xfId="45360"/>
    <cellStyle name="SHADEDSTORES 5 41 7" xfId="45361"/>
    <cellStyle name="SHADEDSTORES 5 41 8" xfId="45362"/>
    <cellStyle name="SHADEDSTORES 5 41 9" xfId="45363"/>
    <cellStyle name="SHADEDSTORES 5 42" xfId="7963"/>
    <cellStyle name="SHADEDSTORES 5 42 10" xfId="45364"/>
    <cellStyle name="SHADEDSTORES 5 42 2" xfId="45365"/>
    <cellStyle name="SHADEDSTORES 5 42 3" xfId="45366"/>
    <cellStyle name="SHADEDSTORES 5 42 4" xfId="45367"/>
    <cellStyle name="SHADEDSTORES 5 42 5" xfId="45368"/>
    <cellStyle name="SHADEDSTORES 5 42 6" xfId="45369"/>
    <cellStyle name="SHADEDSTORES 5 42 7" xfId="45370"/>
    <cellStyle name="SHADEDSTORES 5 42 8" xfId="45371"/>
    <cellStyle name="SHADEDSTORES 5 42 9" xfId="45372"/>
    <cellStyle name="SHADEDSTORES 5 43" xfId="7964"/>
    <cellStyle name="SHADEDSTORES 5 43 10" xfId="45373"/>
    <cellStyle name="SHADEDSTORES 5 43 2" xfId="45374"/>
    <cellStyle name="SHADEDSTORES 5 43 3" xfId="45375"/>
    <cellStyle name="SHADEDSTORES 5 43 4" xfId="45376"/>
    <cellStyle name="SHADEDSTORES 5 43 5" xfId="45377"/>
    <cellStyle name="SHADEDSTORES 5 43 6" xfId="45378"/>
    <cellStyle name="SHADEDSTORES 5 43 7" xfId="45379"/>
    <cellStyle name="SHADEDSTORES 5 43 8" xfId="45380"/>
    <cellStyle name="SHADEDSTORES 5 43 9" xfId="45381"/>
    <cellStyle name="SHADEDSTORES 5 44" xfId="7965"/>
    <cellStyle name="SHADEDSTORES 5 44 10" xfId="45382"/>
    <cellStyle name="SHADEDSTORES 5 44 2" xfId="45383"/>
    <cellStyle name="SHADEDSTORES 5 44 3" xfId="45384"/>
    <cellStyle name="SHADEDSTORES 5 44 4" xfId="45385"/>
    <cellStyle name="SHADEDSTORES 5 44 5" xfId="45386"/>
    <cellStyle name="SHADEDSTORES 5 44 6" xfId="45387"/>
    <cellStyle name="SHADEDSTORES 5 44 7" xfId="45388"/>
    <cellStyle name="SHADEDSTORES 5 44 8" xfId="45389"/>
    <cellStyle name="SHADEDSTORES 5 44 9" xfId="45390"/>
    <cellStyle name="SHADEDSTORES 5 45" xfId="7966"/>
    <cellStyle name="SHADEDSTORES 5 45 10" xfId="45391"/>
    <cellStyle name="SHADEDSTORES 5 45 2" xfId="45392"/>
    <cellStyle name="SHADEDSTORES 5 45 3" xfId="45393"/>
    <cellStyle name="SHADEDSTORES 5 45 4" xfId="45394"/>
    <cellStyle name="SHADEDSTORES 5 45 5" xfId="45395"/>
    <cellStyle name="SHADEDSTORES 5 45 6" xfId="45396"/>
    <cellStyle name="SHADEDSTORES 5 45 7" xfId="45397"/>
    <cellStyle name="SHADEDSTORES 5 45 8" xfId="45398"/>
    <cellStyle name="SHADEDSTORES 5 45 9" xfId="45399"/>
    <cellStyle name="SHADEDSTORES 5 46" xfId="7967"/>
    <cellStyle name="SHADEDSTORES 5 46 10" xfId="45400"/>
    <cellStyle name="SHADEDSTORES 5 46 2" xfId="45401"/>
    <cellStyle name="SHADEDSTORES 5 46 3" xfId="45402"/>
    <cellStyle name="SHADEDSTORES 5 46 4" xfId="45403"/>
    <cellStyle name="SHADEDSTORES 5 46 5" xfId="45404"/>
    <cellStyle name="SHADEDSTORES 5 46 6" xfId="45405"/>
    <cellStyle name="SHADEDSTORES 5 46 7" xfId="45406"/>
    <cellStyle name="SHADEDSTORES 5 46 8" xfId="45407"/>
    <cellStyle name="SHADEDSTORES 5 46 9" xfId="45408"/>
    <cellStyle name="SHADEDSTORES 5 47" xfId="7968"/>
    <cellStyle name="SHADEDSTORES 5 47 10" xfId="45409"/>
    <cellStyle name="SHADEDSTORES 5 47 2" xfId="45410"/>
    <cellStyle name="SHADEDSTORES 5 47 3" xfId="45411"/>
    <cellStyle name="SHADEDSTORES 5 47 4" xfId="45412"/>
    <cellStyle name="SHADEDSTORES 5 47 5" xfId="45413"/>
    <cellStyle name="SHADEDSTORES 5 47 6" xfId="45414"/>
    <cellStyle name="SHADEDSTORES 5 47 7" xfId="45415"/>
    <cellStyle name="SHADEDSTORES 5 47 8" xfId="45416"/>
    <cellStyle name="SHADEDSTORES 5 47 9" xfId="45417"/>
    <cellStyle name="SHADEDSTORES 5 48" xfId="7969"/>
    <cellStyle name="SHADEDSTORES 5 48 10" xfId="45418"/>
    <cellStyle name="SHADEDSTORES 5 48 2" xfId="45419"/>
    <cellStyle name="SHADEDSTORES 5 48 3" xfId="45420"/>
    <cellStyle name="SHADEDSTORES 5 48 4" xfId="45421"/>
    <cellStyle name="SHADEDSTORES 5 48 5" xfId="45422"/>
    <cellStyle name="SHADEDSTORES 5 48 6" xfId="45423"/>
    <cellStyle name="SHADEDSTORES 5 48 7" xfId="45424"/>
    <cellStyle name="SHADEDSTORES 5 48 8" xfId="45425"/>
    <cellStyle name="SHADEDSTORES 5 48 9" xfId="45426"/>
    <cellStyle name="SHADEDSTORES 5 49" xfId="7970"/>
    <cellStyle name="SHADEDSTORES 5 49 10" xfId="45427"/>
    <cellStyle name="SHADEDSTORES 5 49 2" xfId="45428"/>
    <cellStyle name="SHADEDSTORES 5 49 3" xfId="45429"/>
    <cellStyle name="SHADEDSTORES 5 49 4" xfId="45430"/>
    <cellStyle name="SHADEDSTORES 5 49 5" xfId="45431"/>
    <cellStyle name="SHADEDSTORES 5 49 6" xfId="45432"/>
    <cellStyle name="SHADEDSTORES 5 49 7" xfId="45433"/>
    <cellStyle name="SHADEDSTORES 5 49 8" xfId="45434"/>
    <cellStyle name="SHADEDSTORES 5 49 9" xfId="45435"/>
    <cellStyle name="SHADEDSTORES 5 5" xfId="7971"/>
    <cellStyle name="SHADEDSTORES 5 5 2" xfId="45436"/>
    <cellStyle name="SHADEDSTORES 5 5 3" xfId="45437"/>
    <cellStyle name="SHADEDSTORES 5 5 4" xfId="45438"/>
    <cellStyle name="SHADEDSTORES 5 5 5" xfId="45439"/>
    <cellStyle name="SHADEDSTORES 5 5 6" xfId="45440"/>
    <cellStyle name="SHADEDSTORES 5 5 7" xfId="45441"/>
    <cellStyle name="SHADEDSTORES 5 5 8" xfId="45442"/>
    <cellStyle name="SHADEDSTORES 5 5 9" xfId="45443"/>
    <cellStyle name="SHADEDSTORES 5 50" xfId="7972"/>
    <cellStyle name="SHADEDSTORES 5 50 10" xfId="45444"/>
    <cellStyle name="SHADEDSTORES 5 50 2" xfId="45445"/>
    <cellStyle name="SHADEDSTORES 5 50 3" xfId="45446"/>
    <cellStyle name="SHADEDSTORES 5 50 4" xfId="45447"/>
    <cellStyle name="SHADEDSTORES 5 50 5" xfId="45448"/>
    <cellStyle name="SHADEDSTORES 5 50 6" xfId="45449"/>
    <cellStyle name="SHADEDSTORES 5 50 7" xfId="45450"/>
    <cellStyle name="SHADEDSTORES 5 50 8" xfId="45451"/>
    <cellStyle name="SHADEDSTORES 5 50 9" xfId="45452"/>
    <cellStyle name="SHADEDSTORES 5 51" xfId="7973"/>
    <cellStyle name="SHADEDSTORES 5 51 10" xfId="45453"/>
    <cellStyle name="SHADEDSTORES 5 51 2" xfId="45454"/>
    <cellStyle name="SHADEDSTORES 5 51 3" xfId="45455"/>
    <cellStyle name="SHADEDSTORES 5 51 4" xfId="45456"/>
    <cellStyle name="SHADEDSTORES 5 51 5" xfId="45457"/>
    <cellStyle name="SHADEDSTORES 5 51 6" xfId="45458"/>
    <cellStyle name="SHADEDSTORES 5 51 7" xfId="45459"/>
    <cellStyle name="SHADEDSTORES 5 51 8" xfId="45460"/>
    <cellStyle name="SHADEDSTORES 5 51 9" xfId="45461"/>
    <cellStyle name="SHADEDSTORES 5 52" xfId="7974"/>
    <cellStyle name="SHADEDSTORES 5 52 10" xfId="45462"/>
    <cellStyle name="SHADEDSTORES 5 52 2" xfId="45463"/>
    <cellStyle name="SHADEDSTORES 5 52 3" xfId="45464"/>
    <cellStyle name="SHADEDSTORES 5 52 4" xfId="45465"/>
    <cellStyle name="SHADEDSTORES 5 52 5" xfId="45466"/>
    <cellStyle name="SHADEDSTORES 5 52 6" xfId="45467"/>
    <cellStyle name="SHADEDSTORES 5 52 7" xfId="45468"/>
    <cellStyle name="SHADEDSTORES 5 52 8" xfId="45469"/>
    <cellStyle name="SHADEDSTORES 5 52 9" xfId="45470"/>
    <cellStyle name="SHADEDSTORES 5 53" xfId="7975"/>
    <cellStyle name="SHADEDSTORES 5 53 10" xfId="45471"/>
    <cellStyle name="SHADEDSTORES 5 53 2" xfId="45472"/>
    <cellStyle name="SHADEDSTORES 5 53 3" xfId="45473"/>
    <cellStyle name="SHADEDSTORES 5 53 4" xfId="45474"/>
    <cellStyle name="SHADEDSTORES 5 53 5" xfId="45475"/>
    <cellStyle name="SHADEDSTORES 5 53 6" xfId="45476"/>
    <cellStyle name="SHADEDSTORES 5 53 7" xfId="45477"/>
    <cellStyle name="SHADEDSTORES 5 53 8" xfId="45478"/>
    <cellStyle name="SHADEDSTORES 5 53 9" xfId="45479"/>
    <cellStyle name="SHADEDSTORES 5 54" xfId="7976"/>
    <cellStyle name="SHADEDSTORES 5 54 10" xfId="45480"/>
    <cellStyle name="SHADEDSTORES 5 54 2" xfId="45481"/>
    <cellStyle name="SHADEDSTORES 5 54 3" xfId="45482"/>
    <cellStyle name="SHADEDSTORES 5 54 4" xfId="45483"/>
    <cellStyle name="SHADEDSTORES 5 54 5" xfId="45484"/>
    <cellStyle name="SHADEDSTORES 5 54 6" xfId="45485"/>
    <cellStyle name="SHADEDSTORES 5 54 7" xfId="45486"/>
    <cellStyle name="SHADEDSTORES 5 54 8" xfId="45487"/>
    <cellStyle name="SHADEDSTORES 5 54 9" xfId="45488"/>
    <cellStyle name="SHADEDSTORES 5 55" xfId="7977"/>
    <cellStyle name="SHADEDSTORES 5 55 10" xfId="45489"/>
    <cellStyle name="SHADEDSTORES 5 55 2" xfId="45490"/>
    <cellStyle name="SHADEDSTORES 5 55 3" xfId="45491"/>
    <cellStyle name="SHADEDSTORES 5 55 4" xfId="45492"/>
    <cellStyle name="SHADEDSTORES 5 55 5" xfId="45493"/>
    <cellStyle name="SHADEDSTORES 5 55 6" xfId="45494"/>
    <cellStyle name="SHADEDSTORES 5 55 7" xfId="45495"/>
    <cellStyle name="SHADEDSTORES 5 55 8" xfId="45496"/>
    <cellStyle name="SHADEDSTORES 5 55 9" xfId="45497"/>
    <cellStyle name="SHADEDSTORES 5 56" xfId="7978"/>
    <cellStyle name="SHADEDSTORES 5 56 10" xfId="45498"/>
    <cellStyle name="SHADEDSTORES 5 56 2" xfId="45499"/>
    <cellStyle name="SHADEDSTORES 5 56 3" xfId="45500"/>
    <cellStyle name="SHADEDSTORES 5 56 4" xfId="45501"/>
    <cellStyle name="SHADEDSTORES 5 56 5" xfId="45502"/>
    <cellStyle name="SHADEDSTORES 5 56 6" xfId="45503"/>
    <cellStyle name="SHADEDSTORES 5 56 7" xfId="45504"/>
    <cellStyle name="SHADEDSTORES 5 56 8" xfId="45505"/>
    <cellStyle name="SHADEDSTORES 5 56 9" xfId="45506"/>
    <cellStyle name="SHADEDSTORES 5 57" xfId="7979"/>
    <cellStyle name="SHADEDSTORES 5 57 10" xfId="45507"/>
    <cellStyle name="SHADEDSTORES 5 57 2" xfId="45508"/>
    <cellStyle name="SHADEDSTORES 5 57 3" xfId="45509"/>
    <cellStyle name="SHADEDSTORES 5 57 4" xfId="45510"/>
    <cellStyle name="SHADEDSTORES 5 57 5" xfId="45511"/>
    <cellStyle name="SHADEDSTORES 5 57 6" xfId="45512"/>
    <cellStyle name="SHADEDSTORES 5 57 7" xfId="45513"/>
    <cellStyle name="SHADEDSTORES 5 57 8" xfId="45514"/>
    <cellStyle name="SHADEDSTORES 5 57 9" xfId="45515"/>
    <cellStyle name="SHADEDSTORES 5 58" xfId="7980"/>
    <cellStyle name="SHADEDSTORES 5 58 10" xfId="45516"/>
    <cellStyle name="SHADEDSTORES 5 58 2" xfId="45517"/>
    <cellStyle name="SHADEDSTORES 5 58 3" xfId="45518"/>
    <cellStyle name="SHADEDSTORES 5 58 4" xfId="45519"/>
    <cellStyle name="SHADEDSTORES 5 58 5" xfId="45520"/>
    <cellStyle name="SHADEDSTORES 5 58 6" xfId="45521"/>
    <cellStyle name="SHADEDSTORES 5 58 7" xfId="45522"/>
    <cellStyle name="SHADEDSTORES 5 58 8" xfId="45523"/>
    <cellStyle name="SHADEDSTORES 5 58 9" xfId="45524"/>
    <cellStyle name="SHADEDSTORES 5 59" xfId="7981"/>
    <cellStyle name="SHADEDSTORES 5 59 10" xfId="45525"/>
    <cellStyle name="SHADEDSTORES 5 59 2" xfId="45526"/>
    <cellStyle name="SHADEDSTORES 5 59 3" xfId="45527"/>
    <cellStyle name="SHADEDSTORES 5 59 4" xfId="45528"/>
    <cellStyle name="SHADEDSTORES 5 59 5" xfId="45529"/>
    <cellStyle name="SHADEDSTORES 5 59 6" xfId="45530"/>
    <cellStyle name="SHADEDSTORES 5 59 7" xfId="45531"/>
    <cellStyle name="SHADEDSTORES 5 59 8" xfId="45532"/>
    <cellStyle name="SHADEDSTORES 5 59 9" xfId="45533"/>
    <cellStyle name="SHADEDSTORES 5 6" xfId="7982"/>
    <cellStyle name="SHADEDSTORES 5 6 2" xfId="45534"/>
    <cellStyle name="SHADEDSTORES 5 6 3" xfId="45535"/>
    <cellStyle name="SHADEDSTORES 5 6 4" xfId="45536"/>
    <cellStyle name="SHADEDSTORES 5 6 5" xfId="45537"/>
    <cellStyle name="SHADEDSTORES 5 6 6" xfId="45538"/>
    <cellStyle name="SHADEDSTORES 5 6 7" xfId="45539"/>
    <cellStyle name="SHADEDSTORES 5 6 8" xfId="45540"/>
    <cellStyle name="SHADEDSTORES 5 6 9" xfId="45541"/>
    <cellStyle name="SHADEDSTORES 5 60" xfId="7983"/>
    <cellStyle name="SHADEDSTORES 5 60 10" xfId="45542"/>
    <cellStyle name="SHADEDSTORES 5 60 2" xfId="45543"/>
    <cellStyle name="SHADEDSTORES 5 60 3" xfId="45544"/>
    <cellStyle name="SHADEDSTORES 5 60 4" xfId="45545"/>
    <cellStyle name="SHADEDSTORES 5 60 5" xfId="45546"/>
    <cellStyle name="SHADEDSTORES 5 60 6" xfId="45547"/>
    <cellStyle name="SHADEDSTORES 5 60 7" xfId="45548"/>
    <cellStyle name="SHADEDSTORES 5 60 8" xfId="45549"/>
    <cellStyle name="SHADEDSTORES 5 60 9" xfId="45550"/>
    <cellStyle name="SHADEDSTORES 5 61" xfId="7984"/>
    <cellStyle name="SHADEDSTORES 5 61 10" xfId="45551"/>
    <cellStyle name="SHADEDSTORES 5 61 2" xfId="45552"/>
    <cellStyle name="SHADEDSTORES 5 61 3" xfId="45553"/>
    <cellStyle name="SHADEDSTORES 5 61 4" xfId="45554"/>
    <cellStyle name="SHADEDSTORES 5 61 5" xfId="45555"/>
    <cellStyle name="SHADEDSTORES 5 61 6" xfId="45556"/>
    <cellStyle name="SHADEDSTORES 5 61 7" xfId="45557"/>
    <cellStyle name="SHADEDSTORES 5 61 8" xfId="45558"/>
    <cellStyle name="SHADEDSTORES 5 61 9" xfId="45559"/>
    <cellStyle name="SHADEDSTORES 5 62" xfId="7985"/>
    <cellStyle name="SHADEDSTORES 5 62 10" xfId="45560"/>
    <cellStyle name="SHADEDSTORES 5 62 2" xfId="45561"/>
    <cellStyle name="SHADEDSTORES 5 62 3" xfId="45562"/>
    <cellStyle name="SHADEDSTORES 5 62 4" xfId="45563"/>
    <cellStyle name="SHADEDSTORES 5 62 5" xfId="45564"/>
    <cellStyle name="SHADEDSTORES 5 62 6" xfId="45565"/>
    <cellStyle name="SHADEDSTORES 5 62 7" xfId="45566"/>
    <cellStyle name="SHADEDSTORES 5 62 8" xfId="45567"/>
    <cellStyle name="SHADEDSTORES 5 62 9" xfId="45568"/>
    <cellStyle name="SHADEDSTORES 5 63" xfId="7986"/>
    <cellStyle name="SHADEDSTORES 5 63 10" xfId="45569"/>
    <cellStyle name="SHADEDSTORES 5 63 2" xfId="45570"/>
    <cellStyle name="SHADEDSTORES 5 63 3" xfId="45571"/>
    <cellStyle name="SHADEDSTORES 5 63 4" xfId="45572"/>
    <cellStyle name="SHADEDSTORES 5 63 5" xfId="45573"/>
    <cellStyle name="SHADEDSTORES 5 63 6" xfId="45574"/>
    <cellStyle name="SHADEDSTORES 5 63 7" xfId="45575"/>
    <cellStyle name="SHADEDSTORES 5 63 8" xfId="45576"/>
    <cellStyle name="SHADEDSTORES 5 63 9" xfId="45577"/>
    <cellStyle name="SHADEDSTORES 5 64" xfId="7987"/>
    <cellStyle name="SHADEDSTORES 5 64 10" xfId="45578"/>
    <cellStyle name="SHADEDSTORES 5 64 2" xfId="45579"/>
    <cellStyle name="SHADEDSTORES 5 64 3" xfId="45580"/>
    <cellStyle name="SHADEDSTORES 5 64 4" xfId="45581"/>
    <cellStyle name="SHADEDSTORES 5 64 5" xfId="45582"/>
    <cellStyle name="SHADEDSTORES 5 64 6" xfId="45583"/>
    <cellStyle name="SHADEDSTORES 5 64 7" xfId="45584"/>
    <cellStyle name="SHADEDSTORES 5 64 8" xfId="45585"/>
    <cellStyle name="SHADEDSTORES 5 64 9" xfId="45586"/>
    <cellStyle name="SHADEDSTORES 5 65" xfId="7988"/>
    <cellStyle name="SHADEDSTORES 5 65 10" xfId="45587"/>
    <cellStyle name="SHADEDSTORES 5 65 2" xfId="45588"/>
    <cellStyle name="SHADEDSTORES 5 65 3" xfId="45589"/>
    <cellStyle name="SHADEDSTORES 5 65 4" xfId="45590"/>
    <cellStyle name="SHADEDSTORES 5 65 5" xfId="45591"/>
    <cellStyle name="SHADEDSTORES 5 65 6" xfId="45592"/>
    <cellStyle name="SHADEDSTORES 5 65 7" xfId="45593"/>
    <cellStyle name="SHADEDSTORES 5 65 8" xfId="45594"/>
    <cellStyle name="SHADEDSTORES 5 65 9" xfId="45595"/>
    <cellStyle name="SHADEDSTORES 5 66" xfId="7989"/>
    <cellStyle name="SHADEDSTORES 5 66 10" xfId="45596"/>
    <cellStyle name="SHADEDSTORES 5 66 2" xfId="45597"/>
    <cellStyle name="SHADEDSTORES 5 66 3" xfId="45598"/>
    <cellStyle name="SHADEDSTORES 5 66 4" xfId="45599"/>
    <cellStyle name="SHADEDSTORES 5 66 5" xfId="45600"/>
    <cellStyle name="SHADEDSTORES 5 66 6" xfId="45601"/>
    <cellStyle name="SHADEDSTORES 5 66 7" xfId="45602"/>
    <cellStyle name="SHADEDSTORES 5 66 8" xfId="45603"/>
    <cellStyle name="SHADEDSTORES 5 66 9" xfId="45604"/>
    <cellStyle name="SHADEDSTORES 5 67" xfId="7990"/>
    <cellStyle name="SHADEDSTORES 5 67 10" xfId="45605"/>
    <cellStyle name="SHADEDSTORES 5 67 2" xfId="45606"/>
    <cellStyle name="SHADEDSTORES 5 67 3" xfId="45607"/>
    <cellStyle name="SHADEDSTORES 5 67 4" xfId="45608"/>
    <cellStyle name="SHADEDSTORES 5 67 5" xfId="45609"/>
    <cellStyle name="SHADEDSTORES 5 67 6" xfId="45610"/>
    <cellStyle name="SHADEDSTORES 5 67 7" xfId="45611"/>
    <cellStyle name="SHADEDSTORES 5 67 8" xfId="45612"/>
    <cellStyle name="SHADEDSTORES 5 67 9" xfId="45613"/>
    <cellStyle name="SHADEDSTORES 5 68" xfId="7991"/>
    <cellStyle name="SHADEDSTORES 5 68 10" xfId="45614"/>
    <cellStyle name="SHADEDSTORES 5 68 2" xfId="45615"/>
    <cellStyle name="SHADEDSTORES 5 68 3" xfId="45616"/>
    <cellStyle name="SHADEDSTORES 5 68 4" xfId="45617"/>
    <cellStyle name="SHADEDSTORES 5 68 5" xfId="45618"/>
    <cellStyle name="SHADEDSTORES 5 68 6" xfId="45619"/>
    <cellStyle name="SHADEDSTORES 5 68 7" xfId="45620"/>
    <cellStyle name="SHADEDSTORES 5 68 8" xfId="45621"/>
    <cellStyle name="SHADEDSTORES 5 68 9" xfId="45622"/>
    <cellStyle name="SHADEDSTORES 5 69" xfId="7992"/>
    <cellStyle name="SHADEDSTORES 5 69 10" xfId="45623"/>
    <cellStyle name="SHADEDSTORES 5 69 2" xfId="45624"/>
    <cellStyle name="SHADEDSTORES 5 69 3" xfId="45625"/>
    <cellStyle name="SHADEDSTORES 5 69 4" xfId="45626"/>
    <cellStyle name="SHADEDSTORES 5 69 5" xfId="45627"/>
    <cellStyle name="SHADEDSTORES 5 69 6" xfId="45628"/>
    <cellStyle name="SHADEDSTORES 5 69 7" xfId="45629"/>
    <cellStyle name="SHADEDSTORES 5 69 8" xfId="45630"/>
    <cellStyle name="SHADEDSTORES 5 69 9" xfId="45631"/>
    <cellStyle name="SHADEDSTORES 5 7" xfId="7993"/>
    <cellStyle name="SHADEDSTORES 5 7 2" xfId="45632"/>
    <cellStyle name="SHADEDSTORES 5 7 3" xfId="45633"/>
    <cellStyle name="SHADEDSTORES 5 7 4" xfId="45634"/>
    <cellStyle name="SHADEDSTORES 5 7 5" xfId="45635"/>
    <cellStyle name="SHADEDSTORES 5 7 6" xfId="45636"/>
    <cellStyle name="SHADEDSTORES 5 7 7" xfId="45637"/>
    <cellStyle name="SHADEDSTORES 5 7 8" xfId="45638"/>
    <cellStyle name="SHADEDSTORES 5 7 9" xfId="45639"/>
    <cellStyle name="SHADEDSTORES 5 70" xfId="7994"/>
    <cellStyle name="SHADEDSTORES 5 70 10" xfId="45640"/>
    <cellStyle name="SHADEDSTORES 5 70 2" xfId="45641"/>
    <cellStyle name="SHADEDSTORES 5 70 3" xfId="45642"/>
    <cellStyle name="SHADEDSTORES 5 70 4" xfId="45643"/>
    <cellStyle name="SHADEDSTORES 5 70 5" xfId="45644"/>
    <cellStyle name="SHADEDSTORES 5 70 6" xfId="45645"/>
    <cellStyle name="SHADEDSTORES 5 70 7" xfId="45646"/>
    <cellStyle name="SHADEDSTORES 5 70 8" xfId="45647"/>
    <cellStyle name="SHADEDSTORES 5 70 9" xfId="45648"/>
    <cellStyle name="SHADEDSTORES 5 71" xfId="7995"/>
    <cellStyle name="SHADEDSTORES 5 71 10" xfId="45649"/>
    <cellStyle name="SHADEDSTORES 5 71 2" xfId="45650"/>
    <cellStyle name="SHADEDSTORES 5 71 3" xfId="45651"/>
    <cellStyle name="SHADEDSTORES 5 71 4" xfId="45652"/>
    <cellStyle name="SHADEDSTORES 5 71 5" xfId="45653"/>
    <cellStyle name="SHADEDSTORES 5 71 6" xfId="45654"/>
    <cellStyle name="SHADEDSTORES 5 71 7" xfId="45655"/>
    <cellStyle name="SHADEDSTORES 5 71 8" xfId="45656"/>
    <cellStyle name="SHADEDSTORES 5 71 9" xfId="45657"/>
    <cellStyle name="SHADEDSTORES 5 72" xfId="7996"/>
    <cellStyle name="SHADEDSTORES 5 72 10" xfId="45658"/>
    <cellStyle name="SHADEDSTORES 5 72 2" xfId="45659"/>
    <cellStyle name="SHADEDSTORES 5 72 3" xfId="45660"/>
    <cellStyle name="SHADEDSTORES 5 72 4" xfId="45661"/>
    <cellStyle name="SHADEDSTORES 5 72 5" xfId="45662"/>
    <cellStyle name="SHADEDSTORES 5 72 6" xfId="45663"/>
    <cellStyle name="SHADEDSTORES 5 72 7" xfId="45664"/>
    <cellStyle name="SHADEDSTORES 5 72 8" xfId="45665"/>
    <cellStyle name="SHADEDSTORES 5 72 9" xfId="45666"/>
    <cellStyle name="SHADEDSTORES 5 73" xfId="7997"/>
    <cellStyle name="SHADEDSTORES 5 73 10" xfId="45667"/>
    <cellStyle name="SHADEDSTORES 5 73 2" xfId="45668"/>
    <cellStyle name="SHADEDSTORES 5 73 3" xfId="45669"/>
    <cellStyle name="SHADEDSTORES 5 73 4" xfId="45670"/>
    <cellStyle name="SHADEDSTORES 5 73 5" xfId="45671"/>
    <cellStyle name="SHADEDSTORES 5 73 6" xfId="45672"/>
    <cellStyle name="SHADEDSTORES 5 73 7" xfId="45673"/>
    <cellStyle name="SHADEDSTORES 5 73 8" xfId="45674"/>
    <cellStyle name="SHADEDSTORES 5 73 9" xfId="45675"/>
    <cellStyle name="SHADEDSTORES 5 74" xfId="7998"/>
    <cellStyle name="SHADEDSTORES 5 74 10" xfId="45676"/>
    <cellStyle name="SHADEDSTORES 5 74 2" xfId="45677"/>
    <cellStyle name="SHADEDSTORES 5 74 3" xfId="45678"/>
    <cellStyle name="SHADEDSTORES 5 74 4" xfId="45679"/>
    <cellStyle name="SHADEDSTORES 5 74 5" xfId="45680"/>
    <cellStyle name="SHADEDSTORES 5 74 6" xfId="45681"/>
    <cellStyle name="SHADEDSTORES 5 74 7" xfId="45682"/>
    <cellStyle name="SHADEDSTORES 5 74 8" xfId="45683"/>
    <cellStyle name="SHADEDSTORES 5 74 9" xfId="45684"/>
    <cellStyle name="SHADEDSTORES 5 75" xfId="7999"/>
    <cellStyle name="SHADEDSTORES 5 75 10" xfId="45685"/>
    <cellStyle name="SHADEDSTORES 5 75 2" xfId="45686"/>
    <cellStyle name="SHADEDSTORES 5 75 3" xfId="45687"/>
    <cellStyle name="SHADEDSTORES 5 75 4" xfId="45688"/>
    <cellStyle name="SHADEDSTORES 5 75 5" xfId="45689"/>
    <cellStyle name="SHADEDSTORES 5 75 6" xfId="45690"/>
    <cellStyle name="SHADEDSTORES 5 75 7" xfId="45691"/>
    <cellStyle name="SHADEDSTORES 5 75 8" xfId="45692"/>
    <cellStyle name="SHADEDSTORES 5 75 9" xfId="45693"/>
    <cellStyle name="SHADEDSTORES 5 76" xfId="8000"/>
    <cellStyle name="SHADEDSTORES 5 76 10" xfId="45694"/>
    <cellStyle name="SHADEDSTORES 5 76 2" xfId="45695"/>
    <cellStyle name="SHADEDSTORES 5 76 3" xfId="45696"/>
    <cellStyle name="SHADEDSTORES 5 76 4" xfId="45697"/>
    <cellStyle name="SHADEDSTORES 5 76 5" xfId="45698"/>
    <cellStyle name="SHADEDSTORES 5 76 6" xfId="45699"/>
    <cellStyle name="SHADEDSTORES 5 76 7" xfId="45700"/>
    <cellStyle name="SHADEDSTORES 5 76 8" xfId="45701"/>
    <cellStyle name="SHADEDSTORES 5 76 9" xfId="45702"/>
    <cellStyle name="SHADEDSTORES 5 77" xfId="8001"/>
    <cellStyle name="SHADEDSTORES 5 77 10" xfId="45703"/>
    <cellStyle name="SHADEDSTORES 5 77 2" xfId="45704"/>
    <cellStyle name="SHADEDSTORES 5 77 3" xfId="45705"/>
    <cellStyle name="SHADEDSTORES 5 77 4" xfId="45706"/>
    <cellStyle name="SHADEDSTORES 5 77 5" xfId="45707"/>
    <cellStyle name="SHADEDSTORES 5 77 6" xfId="45708"/>
    <cellStyle name="SHADEDSTORES 5 77 7" xfId="45709"/>
    <cellStyle name="SHADEDSTORES 5 77 8" xfId="45710"/>
    <cellStyle name="SHADEDSTORES 5 77 9" xfId="45711"/>
    <cellStyle name="SHADEDSTORES 5 78" xfId="8002"/>
    <cellStyle name="SHADEDSTORES 5 78 10" xfId="45712"/>
    <cellStyle name="SHADEDSTORES 5 78 2" xfId="45713"/>
    <cellStyle name="SHADEDSTORES 5 78 3" xfId="45714"/>
    <cellStyle name="SHADEDSTORES 5 78 4" xfId="45715"/>
    <cellStyle name="SHADEDSTORES 5 78 5" xfId="45716"/>
    <cellStyle name="SHADEDSTORES 5 78 6" xfId="45717"/>
    <cellStyle name="SHADEDSTORES 5 78 7" xfId="45718"/>
    <cellStyle name="SHADEDSTORES 5 78 8" xfId="45719"/>
    <cellStyle name="SHADEDSTORES 5 78 9" xfId="45720"/>
    <cellStyle name="SHADEDSTORES 5 79" xfId="8003"/>
    <cellStyle name="SHADEDSTORES 5 79 10" xfId="45721"/>
    <cellStyle name="SHADEDSTORES 5 79 2" xfId="45722"/>
    <cellStyle name="SHADEDSTORES 5 79 3" xfId="45723"/>
    <cellStyle name="SHADEDSTORES 5 79 4" xfId="45724"/>
    <cellStyle name="SHADEDSTORES 5 79 5" xfId="45725"/>
    <cellStyle name="SHADEDSTORES 5 79 6" xfId="45726"/>
    <cellStyle name="SHADEDSTORES 5 79 7" xfId="45727"/>
    <cellStyle name="SHADEDSTORES 5 79 8" xfId="45728"/>
    <cellStyle name="SHADEDSTORES 5 79 9" xfId="45729"/>
    <cellStyle name="SHADEDSTORES 5 8" xfId="8004"/>
    <cellStyle name="SHADEDSTORES 5 8 2" xfId="45730"/>
    <cellStyle name="SHADEDSTORES 5 8 3" xfId="45731"/>
    <cellStyle name="SHADEDSTORES 5 8 4" xfId="45732"/>
    <cellStyle name="SHADEDSTORES 5 8 5" xfId="45733"/>
    <cellStyle name="SHADEDSTORES 5 8 6" xfId="45734"/>
    <cellStyle name="SHADEDSTORES 5 8 7" xfId="45735"/>
    <cellStyle name="SHADEDSTORES 5 8 8" xfId="45736"/>
    <cellStyle name="SHADEDSTORES 5 8 9" xfId="45737"/>
    <cellStyle name="SHADEDSTORES 5 80" xfId="8005"/>
    <cellStyle name="SHADEDSTORES 5 80 10" xfId="45738"/>
    <cellStyle name="SHADEDSTORES 5 80 2" xfId="45739"/>
    <cellStyle name="SHADEDSTORES 5 80 3" xfId="45740"/>
    <cellStyle name="SHADEDSTORES 5 80 4" xfId="45741"/>
    <cellStyle name="SHADEDSTORES 5 80 5" xfId="45742"/>
    <cellStyle name="SHADEDSTORES 5 80 6" xfId="45743"/>
    <cellStyle name="SHADEDSTORES 5 80 7" xfId="45744"/>
    <cellStyle name="SHADEDSTORES 5 80 8" xfId="45745"/>
    <cellStyle name="SHADEDSTORES 5 80 9" xfId="45746"/>
    <cellStyle name="SHADEDSTORES 5 81" xfId="8006"/>
    <cellStyle name="SHADEDSTORES 5 81 10" xfId="45747"/>
    <cellStyle name="SHADEDSTORES 5 81 2" xfId="45748"/>
    <cellStyle name="SHADEDSTORES 5 81 3" xfId="45749"/>
    <cellStyle name="SHADEDSTORES 5 81 4" xfId="45750"/>
    <cellStyle name="SHADEDSTORES 5 81 5" xfId="45751"/>
    <cellStyle name="SHADEDSTORES 5 81 6" xfId="45752"/>
    <cellStyle name="SHADEDSTORES 5 81 7" xfId="45753"/>
    <cellStyle name="SHADEDSTORES 5 81 8" xfId="45754"/>
    <cellStyle name="SHADEDSTORES 5 81 9" xfId="45755"/>
    <cellStyle name="SHADEDSTORES 5 82" xfId="8007"/>
    <cellStyle name="SHADEDSTORES 5 82 10" xfId="45756"/>
    <cellStyle name="SHADEDSTORES 5 82 2" xfId="45757"/>
    <cellStyle name="SHADEDSTORES 5 82 3" xfId="45758"/>
    <cellStyle name="SHADEDSTORES 5 82 4" xfId="45759"/>
    <cellStyle name="SHADEDSTORES 5 82 5" xfId="45760"/>
    <cellStyle name="SHADEDSTORES 5 82 6" xfId="45761"/>
    <cellStyle name="SHADEDSTORES 5 82 7" xfId="45762"/>
    <cellStyle name="SHADEDSTORES 5 82 8" xfId="45763"/>
    <cellStyle name="SHADEDSTORES 5 82 9" xfId="45764"/>
    <cellStyle name="SHADEDSTORES 5 83" xfId="8008"/>
    <cellStyle name="SHADEDSTORES 5 83 10" xfId="45765"/>
    <cellStyle name="SHADEDSTORES 5 83 2" xfId="45766"/>
    <cellStyle name="SHADEDSTORES 5 83 3" xfId="45767"/>
    <cellStyle name="SHADEDSTORES 5 83 4" xfId="45768"/>
    <cellStyle name="SHADEDSTORES 5 83 5" xfId="45769"/>
    <cellStyle name="SHADEDSTORES 5 83 6" xfId="45770"/>
    <cellStyle name="SHADEDSTORES 5 83 7" xfId="45771"/>
    <cellStyle name="SHADEDSTORES 5 83 8" xfId="45772"/>
    <cellStyle name="SHADEDSTORES 5 83 9" xfId="45773"/>
    <cellStyle name="SHADEDSTORES 5 84" xfId="8009"/>
    <cellStyle name="SHADEDSTORES 5 84 10" xfId="45774"/>
    <cellStyle name="SHADEDSTORES 5 84 2" xfId="45775"/>
    <cellStyle name="SHADEDSTORES 5 84 3" xfId="45776"/>
    <cellStyle name="SHADEDSTORES 5 84 4" xfId="45777"/>
    <cellStyle name="SHADEDSTORES 5 84 5" xfId="45778"/>
    <cellStyle name="SHADEDSTORES 5 84 6" xfId="45779"/>
    <cellStyle name="SHADEDSTORES 5 84 7" xfId="45780"/>
    <cellStyle name="SHADEDSTORES 5 84 8" xfId="45781"/>
    <cellStyle name="SHADEDSTORES 5 84 9" xfId="45782"/>
    <cellStyle name="SHADEDSTORES 5 85" xfId="8010"/>
    <cellStyle name="SHADEDSTORES 5 85 10" xfId="45783"/>
    <cellStyle name="SHADEDSTORES 5 85 2" xfId="45784"/>
    <cellStyle name="SHADEDSTORES 5 85 3" xfId="45785"/>
    <cellStyle name="SHADEDSTORES 5 85 4" xfId="45786"/>
    <cellStyle name="SHADEDSTORES 5 85 5" xfId="45787"/>
    <cellStyle name="SHADEDSTORES 5 85 6" xfId="45788"/>
    <cellStyle name="SHADEDSTORES 5 85 7" xfId="45789"/>
    <cellStyle name="SHADEDSTORES 5 85 8" xfId="45790"/>
    <cellStyle name="SHADEDSTORES 5 85 9" xfId="45791"/>
    <cellStyle name="SHADEDSTORES 5 86" xfId="8011"/>
    <cellStyle name="SHADEDSTORES 5 86 10" xfId="45792"/>
    <cellStyle name="SHADEDSTORES 5 86 2" xfId="45793"/>
    <cellStyle name="SHADEDSTORES 5 86 3" xfId="45794"/>
    <cellStyle name="SHADEDSTORES 5 86 4" xfId="45795"/>
    <cellStyle name="SHADEDSTORES 5 86 5" xfId="45796"/>
    <cellStyle name="SHADEDSTORES 5 86 6" xfId="45797"/>
    <cellStyle name="SHADEDSTORES 5 86 7" xfId="45798"/>
    <cellStyle name="SHADEDSTORES 5 86 8" xfId="45799"/>
    <cellStyle name="SHADEDSTORES 5 86 9" xfId="45800"/>
    <cellStyle name="SHADEDSTORES 5 87" xfId="8012"/>
    <cellStyle name="SHADEDSTORES 5 87 10" xfId="45801"/>
    <cellStyle name="SHADEDSTORES 5 87 2" xfId="45802"/>
    <cellStyle name="SHADEDSTORES 5 87 3" xfId="45803"/>
    <cellStyle name="SHADEDSTORES 5 87 4" xfId="45804"/>
    <cellStyle name="SHADEDSTORES 5 87 5" xfId="45805"/>
    <cellStyle name="SHADEDSTORES 5 87 6" xfId="45806"/>
    <cellStyle name="SHADEDSTORES 5 87 7" xfId="45807"/>
    <cellStyle name="SHADEDSTORES 5 87 8" xfId="45808"/>
    <cellStyle name="SHADEDSTORES 5 87 9" xfId="45809"/>
    <cellStyle name="SHADEDSTORES 5 88" xfId="8013"/>
    <cellStyle name="SHADEDSTORES 5 88 10" xfId="45810"/>
    <cellStyle name="SHADEDSTORES 5 88 2" xfId="45811"/>
    <cellStyle name="SHADEDSTORES 5 88 3" xfId="45812"/>
    <cellStyle name="SHADEDSTORES 5 88 4" xfId="45813"/>
    <cellStyle name="SHADEDSTORES 5 88 5" xfId="45814"/>
    <cellStyle name="SHADEDSTORES 5 88 6" xfId="45815"/>
    <cellStyle name="SHADEDSTORES 5 88 7" xfId="45816"/>
    <cellStyle name="SHADEDSTORES 5 88 8" xfId="45817"/>
    <cellStyle name="SHADEDSTORES 5 88 9" xfId="45818"/>
    <cellStyle name="SHADEDSTORES 5 89" xfId="8014"/>
    <cellStyle name="SHADEDSTORES 5 89 10" xfId="45819"/>
    <cellStyle name="SHADEDSTORES 5 89 2" xfId="45820"/>
    <cellStyle name="SHADEDSTORES 5 89 3" xfId="45821"/>
    <cellStyle name="SHADEDSTORES 5 89 4" xfId="45822"/>
    <cellStyle name="SHADEDSTORES 5 89 5" xfId="45823"/>
    <cellStyle name="SHADEDSTORES 5 89 6" xfId="45824"/>
    <cellStyle name="SHADEDSTORES 5 89 7" xfId="45825"/>
    <cellStyle name="SHADEDSTORES 5 89 8" xfId="45826"/>
    <cellStyle name="SHADEDSTORES 5 89 9" xfId="45827"/>
    <cellStyle name="SHADEDSTORES 5 9" xfId="8015"/>
    <cellStyle name="SHADEDSTORES 5 9 2" xfId="45828"/>
    <cellStyle name="SHADEDSTORES 5 9 3" xfId="45829"/>
    <cellStyle name="SHADEDSTORES 5 9 4" xfId="45830"/>
    <cellStyle name="SHADEDSTORES 5 9 5" xfId="45831"/>
    <cellStyle name="SHADEDSTORES 5 9 6" xfId="45832"/>
    <cellStyle name="SHADEDSTORES 5 9 7" xfId="45833"/>
    <cellStyle name="SHADEDSTORES 5 9 8" xfId="45834"/>
    <cellStyle name="SHADEDSTORES 5 9 9" xfId="45835"/>
    <cellStyle name="SHADEDSTORES 5 90" xfId="8016"/>
    <cellStyle name="SHADEDSTORES 5 90 10" xfId="45836"/>
    <cellStyle name="SHADEDSTORES 5 90 2" xfId="45837"/>
    <cellStyle name="SHADEDSTORES 5 90 3" xfId="45838"/>
    <cellStyle name="SHADEDSTORES 5 90 4" xfId="45839"/>
    <cellStyle name="SHADEDSTORES 5 90 5" xfId="45840"/>
    <cellStyle name="SHADEDSTORES 5 90 6" xfId="45841"/>
    <cellStyle name="SHADEDSTORES 5 90 7" xfId="45842"/>
    <cellStyle name="SHADEDSTORES 5 90 8" xfId="45843"/>
    <cellStyle name="SHADEDSTORES 5 90 9" xfId="45844"/>
    <cellStyle name="SHADEDSTORES 5 91" xfId="8017"/>
    <cellStyle name="SHADEDSTORES 5 91 10" xfId="45845"/>
    <cellStyle name="SHADEDSTORES 5 91 2" xfId="45846"/>
    <cellStyle name="SHADEDSTORES 5 91 3" xfId="45847"/>
    <cellStyle name="SHADEDSTORES 5 91 4" xfId="45848"/>
    <cellStyle name="SHADEDSTORES 5 91 5" xfId="45849"/>
    <cellStyle name="SHADEDSTORES 5 91 6" xfId="45850"/>
    <cellStyle name="SHADEDSTORES 5 91 7" xfId="45851"/>
    <cellStyle name="SHADEDSTORES 5 91 8" xfId="45852"/>
    <cellStyle name="SHADEDSTORES 5 91 9" xfId="45853"/>
    <cellStyle name="SHADEDSTORES 5 92" xfId="8018"/>
    <cellStyle name="SHADEDSTORES 5 92 10" xfId="45854"/>
    <cellStyle name="SHADEDSTORES 5 92 2" xfId="45855"/>
    <cellStyle name="SHADEDSTORES 5 92 3" xfId="45856"/>
    <cellStyle name="SHADEDSTORES 5 92 4" xfId="45857"/>
    <cellStyle name="SHADEDSTORES 5 92 5" xfId="45858"/>
    <cellStyle name="SHADEDSTORES 5 92 6" xfId="45859"/>
    <cellStyle name="SHADEDSTORES 5 92 7" xfId="45860"/>
    <cellStyle name="SHADEDSTORES 5 92 8" xfId="45861"/>
    <cellStyle name="SHADEDSTORES 5 92 9" xfId="45862"/>
    <cellStyle name="SHADEDSTORES 5 93" xfId="8019"/>
    <cellStyle name="SHADEDSTORES 5 93 2" xfId="45863"/>
    <cellStyle name="SHADEDSTORES 5 93 3" xfId="45864"/>
    <cellStyle name="SHADEDSTORES 5 93 4" xfId="45865"/>
    <cellStyle name="SHADEDSTORES 5 93 5" xfId="45866"/>
    <cellStyle name="SHADEDSTORES 5 93 6" xfId="45867"/>
    <cellStyle name="SHADEDSTORES 5 93 7" xfId="45868"/>
    <cellStyle name="SHADEDSTORES 5 93 8" xfId="45869"/>
    <cellStyle name="SHADEDSTORES 5 93 9" xfId="45870"/>
    <cellStyle name="SHADEDSTORES 5 94" xfId="11765"/>
    <cellStyle name="SHADEDSTORES 5 95" xfId="45871"/>
    <cellStyle name="SHADEDSTORES 5 96" xfId="45872"/>
    <cellStyle name="SHADEDSTORES 5 97" xfId="45873"/>
    <cellStyle name="SHADEDSTORES 5 98" xfId="45874"/>
    <cellStyle name="SHADEDSTORES 5 99" xfId="45875"/>
    <cellStyle name="SHADEDSTORES 5_Cashflow trend" xfId="2594"/>
    <cellStyle name="SHADEDSTORES 50" xfId="8020"/>
    <cellStyle name="SHADEDSTORES 50 10" xfId="45876"/>
    <cellStyle name="SHADEDSTORES 50 2" xfId="45877"/>
    <cellStyle name="SHADEDSTORES 50 3" xfId="45878"/>
    <cellStyle name="SHADEDSTORES 50 4" xfId="45879"/>
    <cellStyle name="SHADEDSTORES 50 5" xfId="45880"/>
    <cellStyle name="SHADEDSTORES 50 6" xfId="45881"/>
    <cellStyle name="SHADEDSTORES 50 7" xfId="45882"/>
    <cellStyle name="SHADEDSTORES 50 8" xfId="45883"/>
    <cellStyle name="SHADEDSTORES 50 9" xfId="45884"/>
    <cellStyle name="SHADEDSTORES 51" xfId="8021"/>
    <cellStyle name="SHADEDSTORES 51 10" xfId="45885"/>
    <cellStyle name="SHADEDSTORES 51 2" xfId="45886"/>
    <cellStyle name="SHADEDSTORES 51 3" xfId="45887"/>
    <cellStyle name="SHADEDSTORES 51 4" xfId="45888"/>
    <cellStyle name="SHADEDSTORES 51 5" xfId="45889"/>
    <cellStyle name="SHADEDSTORES 51 6" xfId="45890"/>
    <cellStyle name="SHADEDSTORES 51 7" xfId="45891"/>
    <cellStyle name="SHADEDSTORES 51 8" xfId="45892"/>
    <cellStyle name="SHADEDSTORES 51 9" xfId="45893"/>
    <cellStyle name="SHADEDSTORES 52" xfId="8022"/>
    <cellStyle name="SHADEDSTORES 52 2" xfId="45894"/>
    <cellStyle name="SHADEDSTORES 52 3" xfId="45895"/>
    <cellStyle name="SHADEDSTORES 52 4" xfId="45896"/>
    <cellStyle name="SHADEDSTORES 52 5" xfId="45897"/>
    <cellStyle name="SHADEDSTORES 52 6" xfId="45898"/>
    <cellStyle name="SHADEDSTORES 52 7" xfId="45899"/>
    <cellStyle name="SHADEDSTORES 52 8" xfId="45900"/>
    <cellStyle name="SHADEDSTORES 52 9" xfId="45901"/>
    <cellStyle name="SHADEDSTORES 53" xfId="8023"/>
    <cellStyle name="SHADEDSTORES 53 10" xfId="45902"/>
    <cellStyle name="SHADEDSTORES 53 2" xfId="45903"/>
    <cellStyle name="SHADEDSTORES 53 3" xfId="45904"/>
    <cellStyle name="SHADEDSTORES 53 4" xfId="45905"/>
    <cellStyle name="SHADEDSTORES 53 5" xfId="45906"/>
    <cellStyle name="SHADEDSTORES 53 6" xfId="45907"/>
    <cellStyle name="SHADEDSTORES 53 7" xfId="45908"/>
    <cellStyle name="SHADEDSTORES 53 8" xfId="45909"/>
    <cellStyle name="SHADEDSTORES 53 9" xfId="45910"/>
    <cellStyle name="SHADEDSTORES 54" xfId="8024"/>
    <cellStyle name="SHADEDSTORES 54 10" xfId="45911"/>
    <cellStyle name="SHADEDSTORES 54 2" xfId="45912"/>
    <cellStyle name="SHADEDSTORES 54 3" xfId="45913"/>
    <cellStyle name="SHADEDSTORES 54 4" xfId="45914"/>
    <cellStyle name="SHADEDSTORES 54 5" xfId="45915"/>
    <cellStyle name="SHADEDSTORES 54 6" xfId="45916"/>
    <cellStyle name="SHADEDSTORES 54 7" xfId="45917"/>
    <cellStyle name="SHADEDSTORES 54 8" xfId="45918"/>
    <cellStyle name="SHADEDSTORES 54 9" xfId="45919"/>
    <cellStyle name="SHADEDSTORES 55" xfId="8025"/>
    <cellStyle name="SHADEDSTORES 55 10" xfId="45920"/>
    <cellStyle name="SHADEDSTORES 55 2" xfId="45921"/>
    <cellStyle name="SHADEDSTORES 55 3" xfId="45922"/>
    <cellStyle name="SHADEDSTORES 55 4" xfId="45923"/>
    <cellStyle name="SHADEDSTORES 55 5" xfId="45924"/>
    <cellStyle name="SHADEDSTORES 55 6" xfId="45925"/>
    <cellStyle name="SHADEDSTORES 55 7" xfId="45926"/>
    <cellStyle name="SHADEDSTORES 55 8" xfId="45927"/>
    <cellStyle name="SHADEDSTORES 55 9" xfId="45928"/>
    <cellStyle name="SHADEDSTORES 56" xfId="8026"/>
    <cellStyle name="SHADEDSTORES 56 10" xfId="45929"/>
    <cellStyle name="SHADEDSTORES 56 2" xfId="45930"/>
    <cellStyle name="SHADEDSTORES 56 3" xfId="45931"/>
    <cellStyle name="SHADEDSTORES 56 4" xfId="45932"/>
    <cellStyle name="SHADEDSTORES 56 5" xfId="45933"/>
    <cellStyle name="SHADEDSTORES 56 6" xfId="45934"/>
    <cellStyle name="SHADEDSTORES 56 7" xfId="45935"/>
    <cellStyle name="SHADEDSTORES 56 8" xfId="45936"/>
    <cellStyle name="SHADEDSTORES 56 9" xfId="45937"/>
    <cellStyle name="SHADEDSTORES 57" xfId="8027"/>
    <cellStyle name="SHADEDSTORES 57 10" xfId="45938"/>
    <cellStyle name="SHADEDSTORES 57 2" xfId="45939"/>
    <cellStyle name="SHADEDSTORES 57 3" xfId="45940"/>
    <cellStyle name="SHADEDSTORES 57 4" xfId="45941"/>
    <cellStyle name="SHADEDSTORES 57 5" xfId="45942"/>
    <cellStyle name="SHADEDSTORES 57 6" xfId="45943"/>
    <cellStyle name="SHADEDSTORES 57 7" xfId="45944"/>
    <cellStyle name="SHADEDSTORES 57 8" xfId="45945"/>
    <cellStyle name="SHADEDSTORES 57 9" xfId="45946"/>
    <cellStyle name="SHADEDSTORES 58" xfId="8028"/>
    <cellStyle name="SHADEDSTORES 58 10" xfId="45947"/>
    <cellStyle name="SHADEDSTORES 58 2" xfId="45948"/>
    <cellStyle name="SHADEDSTORES 58 3" xfId="45949"/>
    <cellStyle name="SHADEDSTORES 58 4" xfId="45950"/>
    <cellStyle name="SHADEDSTORES 58 5" xfId="45951"/>
    <cellStyle name="SHADEDSTORES 58 6" xfId="45952"/>
    <cellStyle name="SHADEDSTORES 58 7" xfId="45953"/>
    <cellStyle name="SHADEDSTORES 58 8" xfId="45954"/>
    <cellStyle name="SHADEDSTORES 58 9" xfId="45955"/>
    <cellStyle name="SHADEDSTORES 59" xfId="8029"/>
    <cellStyle name="SHADEDSTORES 59 10" xfId="45956"/>
    <cellStyle name="SHADEDSTORES 59 2" xfId="45957"/>
    <cellStyle name="SHADEDSTORES 59 3" xfId="45958"/>
    <cellStyle name="SHADEDSTORES 59 4" xfId="45959"/>
    <cellStyle name="SHADEDSTORES 59 5" xfId="45960"/>
    <cellStyle name="SHADEDSTORES 59 6" xfId="45961"/>
    <cellStyle name="SHADEDSTORES 59 7" xfId="45962"/>
    <cellStyle name="SHADEDSTORES 59 8" xfId="45963"/>
    <cellStyle name="SHADEDSTORES 59 9" xfId="45964"/>
    <cellStyle name="SHADEDSTORES 6" xfId="2595"/>
    <cellStyle name="SHADEDSTORES 6 10" xfId="8030"/>
    <cellStyle name="SHADEDSTORES 6 10 2" xfId="45965"/>
    <cellStyle name="SHADEDSTORES 6 10 3" xfId="45966"/>
    <cellStyle name="SHADEDSTORES 6 10 4" xfId="45967"/>
    <cellStyle name="SHADEDSTORES 6 10 5" xfId="45968"/>
    <cellStyle name="SHADEDSTORES 6 10 6" xfId="45969"/>
    <cellStyle name="SHADEDSTORES 6 10 7" xfId="45970"/>
    <cellStyle name="SHADEDSTORES 6 10 8" xfId="45971"/>
    <cellStyle name="SHADEDSTORES 6 10 9" xfId="45972"/>
    <cellStyle name="SHADEDSTORES 6 100" xfId="45973"/>
    <cellStyle name="SHADEDSTORES 6 101" xfId="45974"/>
    <cellStyle name="SHADEDSTORES 6 102" xfId="45975"/>
    <cellStyle name="SHADEDSTORES 6 11" xfId="8031"/>
    <cellStyle name="SHADEDSTORES 6 11 2" xfId="45976"/>
    <cellStyle name="SHADEDSTORES 6 11 3" xfId="45977"/>
    <cellStyle name="SHADEDSTORES 6 11 4" xfId="45978"/>
    <cellStyle name="SHADEDSTORES 6 11 5" xfId="45979"/>
    <cellStyle name="SHADEDSTORES 6 11 6" xfId="45980"/>
    <cellStyle name="SHADEDSTORES 6 11 7" xfId="45981"/>
    <cellStyle name="SHADEDSTORES 6 11 8" xfId="45982"/>
    <cellStyle name="SHADEDSTORES 6 11 9" xfId="45983"/>
    <cellStyle name="SHADEDSTORES 6 12" xfId="8032"/>
    <cellStyle name="SHADEDSTORES 6 12 2" xfId="45984"/>
    <cellStyle name="SHADEDSTORES 6 12 3" xfId="45985"/>
    <cellStyle name="SHADEDSTORES 6 12 4" xfId="45986"/>
    <cellStyle name="SHADEDSTORES 6 12 5" xfId="45987"/>
    <cellStyle name="SHADEDSTORES 6 12 6" xfId="45988"/>
    <cellStyle name="SHADEDSTORES 6 12 7" xfId="45989"/>
    <cellStyle name="SHADEDSTORES 6 12 8" xfId="45990"/>
    <cellStyle name="SHADEDSTORES 6 12 9" xfId="45991"/>
    <cellStyle name="SHADEDSTORES 6 13" xfId="8033"/>
    <cellStyle name="SHADEDSTORES 6 13 2" xfId="45992"/>
    <cellStyle name="SHADEDSTORES 6 13 3" xfId="45993"/>
    <cellStyle name="SHADEDSTORES 6 13 4" xfId="45994"/>
    <cellStyle name="SHADEDSTORES 6 13 5" xfId="45995"/>
    <cellStyle name="SHADEDSTORES 6 13 6" xfId="45996"/>
    <cellStyle name="SHADEDSTORES 6 13 7" xfId="45997"/>
    <cellStyle name="SHADEDSTORES 6 13 8" xfId="45998"/>
    <cellStyle name="SHADEDSTORES 6 13 9" xfId="45999"/>
    <cellStyle name="SHADEDSTORES 6 14" xfId="8034"/>
    <cellStyle name="SHADEDSTORES 6 14 2" xfId="46000"/>
    <cellStyle name="SHADEDSTORES 6 14 3" xfId="46001"/>
    <cellStyle name="SHADEDSTORES 6 14 4" xfId="46002"/>
    <cellStyle name="SHADEDSTORES 6 14 5" xfId="46003"/>
    <cellStyle name="SHADEDSTORES 6 14 6" xfId="46004"/>
    <cellStyle name="SHADEDSTORES 6 14 7" xfId="46005"/>
    <cellStyle name="SHADEDSTORES 6 14 8" xfId="46006"/>
    <cellStyle name="SHADEDSTORES 6 14 9" xfId="46007"/>
    <cellStyle name="SHADEDSTORES 6 15" xfId="8035"/>
    <cellStyle name="SHADEDSTORES 6 15 2" xfId="46008"/>
    <cellStyle name="SHADEDSTORES 6 15 3" xfId="46009"/>
    <cellStyle name="SHADEDSTORES 6 15 4" xfId="46010"/>
    <cellStyle name="SHADEDSTORES 6 15 5" xfId="46011"/>
    <cellStyle name="SHADEDSTORES 6 15 6" xfId="46012"/>
    <cellStyle name="SHADEDSTORES 6 15 7" xfId="46013"/>
    <cellStyle name="SHADEDSTORES 6 15 8" xfId="46014"/>
    <cellStyle name="SHADEDSTORES 6 15 9" xfId="46015"/>
    <cellStyle name="SHADEDSTORES 6 16" xfId="8036"/>
    <cellStyle name="SHADEDSTORES 6 16 2" xfId="46016"/>
    <cellStyle name="SHADEDSTORES 6 16 3" xfId="46017"/>
    <cellStyle name="SHADEDSTORES 6 16 4" xfId="46018"/>
    <cellStyle name="SHADEDSTORES 6 16 5" xfId="46019"/>
    <cellStyle name="SHADEDSTORES 6 16 6" xfId="46020"/>
    <cellStyle name="SHADEDSTORES 6 16 7" xfId="46021"/>
    <cellStyle name="SHADEDSTORES 6 16 8" xfId="46022"/>
    <cellStyle name="SHADEDSTORES 6 16 9" xfId="46023"/>
    <cellStyle name="SHADEDSTORES 6 17" xfId="8037"/>
    <cellStyle name="SHADEDSTORES 6 17 2" xfId="46024"/>
    <cellStyle name="SHADEDSTORES 6 17 3" xfId="46025"/>
    <cellStyle name="SHADEDSTORES 6 17 4" xfId="46026"/>
    <cellStyle name="SHADEDSTORES 6 17 5" xfId="46027"/>
    <cellStyle name="SHADEDSTORES 6 17 6" xfId="46028"/>
    <cellStyle name="SHADEDSTORES 6 17 7" xfId="46029"/>
    <cellStyle name="SHADEDSTORES 6 17 8" xfId="46030"/>
    <cellStyle name="SHADEDSTORES 6 17 9" xfId="46031"/>
    <cellStyle name="SHADEDSTORES 6 18" xfId="8038"/>
    <cellStyle name="SHADEDSTORES 6 18 2" xfId="46032"/>
    <cellStyle name="SHADEDSTORES 6 18 3" xfId="46033"/>
    <cellStyle name="SHADEDSTORES 6 18 4" xfId="46034"/>
    <cellStyle name="SHADEDSTORES 6 18 5" xfId="46035"/>
    <cellStyle name="SHADEDSTORES 6 18 6" xfId="46036"/>
    <cellStyle name="SHADEDSTORES 6 18 7" xfId="46037"/>
    <cellStyle name="SHADEDSTORES 6 18 8" xfId="46038"/>
    <cellStyle name="SHADEDSTORES 6 18 9" xfId="46039"/>
    <cellStyle name="SHADEDSTORES 6 19" xfId="8039"/>
    <cellStyle name="SHADEDSTORES 6 19 2" xfId="46040"/>
    <cellStyle name="SHADEDSTORES 6 19 3" xfId="46041"/>
    <cellStyle name="SHADEDSTORES 6 19 4" xfId="46042"/>
    <cellStyle name="SHADEDSTORES 6 19 5" xfId="46043"/>
    <cellStyle name="SHADEDSTORES 6 19 6" xfId="46044"/>
    <cellStyle name="SHADEDSTORES 6 19 7" xfId="46045"/>
    <cellStyle name="SHADEDSTORES 6 19 8" xfId="46046"/>
    <cellStyle name="SHADEDSTORES 6 19 9" xfId="46047"/>
    <cellStyle name="SHADEDSTORES 6 2" xfId="8040"/>
    <cellStyle name="SHADEDSTORES 6 2 10" xfId="46048"/>
    <cellStyle name="SHADEDSTORES 6 2 11" xfId="46049"/>
    <cellStyle name="SHADEDSTORES 6 2 2" xfId="46050"/>
    <cellStyle name="SHADEDSTORES 6 2 3" xfId="46051"/>
    <cellStyle name="SHADEDSTORES 6 2 4" xfId="46052"/>
    <cellStyle name="SHADEDSTORES 6 2 5" xfId="46053"/>
    <cellStyle name="SHADEDSTORES 6 2 6" xfId="46054"/>
    <cellStyle name="SHADEDSTORES 6 2 7" xfId="46055"/>
    <cellStyle name="SHADEDSTORES 6 2 8" xfId="46056"/>
    <cellStyle name="SHADEDSTORES 6 2 9" xfId="46057"/>
    <cellStyle name="SHADEDSTORES 6 20" xfId="8041"/>
    <cellStyle name="SHADEDSTORES 6 20 10" xfId="46058"/>
    <cellStyle name="SHADEDSTORES 6 20 2" xfId="46059"/>
    <cellStyle name="SHADEDSTORES 6 20 3" xfId="46060"/>
    <cellStyle name="SHADEDSTORES 6 20 4" xfId="46061"/>
    <cellStyle name="SHADEDSTORES 6 20 5" xfId="46062"/>
    <cellStyle name="SHADEDSTORES 6 20 6" xfId="46063"/>
    <cellStyle name="SHADEDSTORES 6 20 7" xfId="46064"/>
    <cellStyle name="SHADEDSTORES 6 20 8" xfId="46065"/>
    <cellStyle name="SHADEDSTORES 6 20 9" xfId="46066"/>
    <cellStyle name="SHADEDSTORES 6 21" xfId="8042"/>
    <cellStyle name="SHADEDSTORES 6 21 10" xfId="46067"/>
    <cellStyle name="SHADEDSTORES 6 21 2" xfId="46068"/>
    <cellStyle name="SHADEDSTORES 6 21 3" xfId="46069"/>
    <cellStyle name="SHADEDSTORES 6 21 4" xfId="46070"/>
    <cellStyle name="SHADEDSTORES 6 21 5" xfId="46071"/>
    <cellStyle name="SHADEDSTORES 6 21 6" xfId="46072"/>
    <cellStyle name="SHADEDSTORES 6 21 7" xfId="46073"/>
    <cellStyle name="SHADEDSTORES 6 21 8" xfId="46074"/>
    <cellStyle name="SHADEDSTORES 6 21 9" xfId="46075"/>
    <cellStyle name="SHADEDSTORES 6 22" xfId="8043"/>
    <cellStyle name="SHADEDSTORES 6 22 10" xfId="46076"/>
    <cellStyle name="SHADEDSTORES 6 22 2" xfId="46077"/>
    <cellStyle name="SHADEDSTORES 6 22 3" xfId="46078"/>
    <cellStyle name="SHADEDSTORES 6 22 4" xfId="46079"/>
    <cellStyle name="SHADEDSTORES 6 22 5" xfId="46080"/>
    <cellStyle name="SHADEDSTORES 6 22 6" xfId="46081"/>
    <cellStyle name="SHADEDSTORES 6 22 7" xfId="46082"/>
    <cellStyle name="SHADEDSTORES 6 22 8" xfId="46083"/>
    <cellStyle name="SHADEDSTORES 6 22 9" xfId="46084"/>
    <cellStyle name="SHADEDSTORES 6 23" xfId="8044"/>
    <cellStyle name="SHADEDSTORES 6 23 10" xfId="46085"/>
    <cellStyle name="SHADEDSTORES 6 23 2" xfId="46086"/>
    <cellStyle name="SHADEDSTORES 6 23 3" xfId="46087"/>
    <cellStyle name="SHADEDSTORES 6 23 4" xfId="46088"/>
    <cellStyle name="SHADEDSTORES 6 23 5" xfId="46089"/>
    <cellStyle name="SHADEDSTORES 6 23 6" xfId="46090"/>
    <cellStyle name="SHADEDSTORES 6 23 7" xfId="46091"/>
    <cellStyle name="SHADEDSTORES 6 23 8" xfId="46092"/>
    <cellStyle name="SHADEDSTORES 6 23 9" xfId="46093"/>
    <cellStyle name="SHADEDSTORES 6 24" xfId="8045"/>
    <cellStyle name="SHADEDSTORES 6 24 10" xfId="46094"/>
    <cellStyle name="SHADEDSTORES 6 24 2" xfId="46095"/>
    <cellStyle name="SHADEDSTORES 6 24 3" xfId="46096"/>
    <cellStyle name="SHADEDSTORES 6 24 4" xfId="46097"/>
    <cellStyle name="SHADEDSTORES 6 24 5" xfId="46098"/>
    <cellStyle name="SHADEDSTORES 6 24 6" xfId="46099"/>
    <cellStyle name="SHADEDSTORES 6 24 7" xfId="46100"/>
    <cellStyle name="SHADEDSTORES 6 24 8" xfId="46101"/>
    <cellStyle name="SHADEDSTORES 6 24 9" xfId="46102"/>
    <cellStyle name="SHADEDSTORES 6 25" xfId="8046"/>
    <cellStyle name="SHADEDSTORES 6 25 10" xfId="46103"/>
    <cellStyle name="SHADEDSTORES 6 25 2" xfId="46104"/>
    <cellStyle name="SHADEDSTORES 6 25 3" xfId="46105"/>
    <cellStyle name="SHADEDSTORES 6 25 4" xfId="46106"/>
    <cellStyle name="SHADEDSTORES 6 25 5" xfId="46107"/>
    <cellStyle name="SHADEDSTORES 6 25 6" xfId="46108"/>
    <cellStyle name="SHADEDSTORES 6 25 7" xfId="46109"/>
    <cellStyle name="SHADEDSTORES 6 25 8" xfId="46110"/>
    <cellStyle name="SHADEDSTORES 6 25 9" xfId="46111"/>
    <cellStyle name="SHADEDSTORES 6 26" xfId="8047"/>
    <cellStyle name="SHADEDSTORES 6 26 10" xfId="46112"/>
    <cellStyle name="SHADEDSTORES 6 26 2" xfId="46113"/>
    <cellStyle name="SHADEDSTORES 6 26 3" xfId="46114"/>
    <cellStyle name="SHADEDSTORES 6 26 4" xfId="46115"/>
    <cellStyle name="SHADEDSTORES 6 26 5" xfId="46116"/>
    <cellStyle name="SHADEDSTORES 6 26 6" xfId="46117"/>
    <cellStyle name="SHADEDSTORES 6 26 7" xfId="46118"/>
    <cellStyle name="SHADEDSTORES 6 26 8" xfId="46119"/>
    <cellStyle name="SHADEDSTORES 6 26 9" xfId="46120"/>
    <cellStyle name="SHADEDSTORES 6 27" xfId="8048"/>
    <cellStyle name="SHADEDSTORES 6 27 10" xfId="46121"/>
    <cellStyle name="SHADEDSTORES 6 27 2" xfId="46122"/>
    <cellStyle name="SHADEDSTORES 6 27 3" xfId="46123"/>
    <cellStyle name="SHADEDSTORES 6 27 4" xfId="46124"/>
    <cellStyle name="SHADEDSTORES 6 27 5" xfId="46125"/>
    <cellStyle name="SHADEDSTORES 6 27 6" xfId="46126"/>
    <cellStyle name="SHADEDSTORES 6 27 7" xfId="46127"/>
    <cellStyle name="SHADEDSTORES 6 27 8" xfId="46128"/>
    <cellStyle name="SHADEDSTORES 6 27 9" xfId="46129"/>
    <cellStyle name="SHADEDSTORES 6 28" xfId="8049"/>
    <cellStyle name="SHADEDSTORES 6 28 10" xfId="46130"/>
    <cellStyle name="SHADEDSTORES 6 28 2" xfId="46131"/>
    <cellStyle name="SHADEDSTORES 6 28 3" xfId="46132"/>
    <cellStyle name="SHADEDSTORES 6 28 4" xfId="46133"/>
    <cellStyle name="SHADEDSTORES 6 28 5" xfId="46134"/>
    <cellStyle name="SHADEDSTORES 6 28 6" xfId="46135"/>
    <cellStyle name="SHADEDSTORES 6 28 7" xfId="46136"/>
    <cellStyle name="SHADEDSTORES 6 28 8" xfId="46137"/>
    <cellStyle name="SHADEDSTORES 6 28 9" xfId="46138"/>
    <cellStyle name="SHADEDSTORES 6 29" xfId="8050"/>
    <cellStyle name="SHADEDSTORES 6 29 10" xfId="46139"/>
    <cellStyle name="SHADEDSTORES 6 29 2" xfId="46140"/>
    <cellStyle name="SHADEDSTORES 6 29 3" xfId="46141"/>
    <cellStyle name="SHADEDSTORES 6 29 4" xfId="46142"/>
    <cellStyle name="SHADEDSTORES 6 29 5" xfId="46143"/>
    <cellStyle name="SHADEDSTORES 6 29 6" xfId="46144"/>
    <cellStyle name="SHADEDSTORES 6 29 7" xfId="46145"/>
    <cellStyle name="SHADEDSTORES 6 29 8" xfId="46146"/>
    <cellStyle name="SHADEDSTORES 6 29 9" xfId="46147"/>
    <cellStyle name="SHADEDSTORES 6 3" xfId="8051"/>
    <cellStyle name="SHADEDSTORES 6 3 10" xfId="46148"/>
    <cellStyle name="SHADEDSTORES 6 3 2" xfId="46149"/>
    <cellStyle name="SHADEDSTORES 6 3 3" xfId="46150"/>
    <cellStyle name="SHADEDSTORES 6 3 4" xfId="46151"/>
    <cellStyle name="SHADEDSTORES 6 3 5" xfId="46152"/>
    <cellStyle name="SHADEDSTORES 6 3 6" xfId="46153"/>
    <cellStyle name="SHADEDSTORES 6 3 7" xfId="46154"/>
    <cellStyle name="SHADEDSTORES 6 3 8" xfId="46155"/>
    <cellStyle name="SHADEDSTORES 6 3 9" xfId="46156"/>
    <cellStyle name="SHADEDSTORES 6 30" xfId="8052"/>
    <cellStyle name="SHADEDSTORES 6 30 10" xfId="46157"/>
    <cellStyle name="SHADEDSTORES 6 30 2" xfId="46158"/>
    <cellStyle name="SHADEDSTORES 6 30 3" xfId="46159"/>
    <cellStyle name="SHADEDSTORES 6 30 4" xfId="46160"/>
    <cellStyle name="SHADEDSTORES 6 30 5" xfId="46161"/>
    <cellStyle name="SHADEDSTORES 6 30 6" xfId="46162"/>
    <cellStyle name="SHADEDSTORES 6 30 7" xfId="46163"/>
    <cellStyle name="SHADEDSTORES 6 30 8" xfId="46164"/>
    <cellStyle name="SHADEDSTORES 6 30 9" xfId="46165"/>
    <cellStyle name="SHADEDSTORES 6 31" xfId="8053"/>
    <cellStyle name="SHADEDSTORES 6 31 10" xfId="46166"/>
    <cellStyle name="SHADEDSTORES 6 31 2" xfId="46167"/>
    <cellStyle name="SHADEDSTORES 6 31 3" xfId="46168"/>
    <cellStyle name="SHADEDSTORES 6 31 4" xfId="46169"/>
    <cellStyle name="SHADEDSTORES 6 31 5" xfId="46170"/>
    <cellStyle name="SHADEDSTORES 6 31 6" xfId="46171"/>
    <cellStyle name="SHADEDSTORES 6 31 7" xfId="46172"/>
    <cellStyle name="SHADEDSTORES 6 31 8" xfId="46173"/>
    <cellStyle name="SHADEDSTORES 6 31 9" xfId="46174"/>
    <cellStyle name="SHADEDSTORES 6 32" xfId="8054"/>
    <cellStyle name="SHADEDSTORES 6 32 10" xfId="46175"/>
    <cellStyle name="SHADEDSTORES 6 32 2" xfId="46176"/>
    <cellStyle name="SHADEDSTORES 6 32 3" xfId="46177"/>
    <cellStyle name="SHADEDSTORES 6 32 4" xfId="46178"/>
    <cellStyle name="SHADEDSTORES 6 32 5" xfId="46179"/>
    <cellStyle name="SHADEDSTORES 6 32 6" xfId="46180"/>
    <cellStyle name="SHADEDSTORES 6 32 7" xfId="46181"/>
    <cellStyle name="SHADEDSTORES 6 32 8" xfId="46182"/>
    <cellStyle name="SHADEDSTORES 6 32 9" xfId="46183"/>
    <cellStyle name="SHADEDSTORES 6 33" xfId="8055"/>
    <cellStyle name="SHADEDSTORES 6 33 10" xfId="46184"/>
    <cellStyle name="SHADEDSTORES 6 33 2" xfId="46185"/>
    <cellStyle name="SHADEDSTORES 6 33 3" xfId="46186"/>
    <cellStyle name="SHADEDSTORES 6 33 4" xfId="46187"/>
    <cellStyle name="SHADEDSTORES 6 33 5" xfId="46188"/>
    <cellStyle name="SHADEDSTORES 6 33 6" xfId="46189"/>
    <cellStyle name="SHADEDSTORES 6 33 7" xfId="46190"/>
    <cellStyle name="SHADEDSTORES 6 33 8" xfId="46191"/>
    <cellStyle name="SHADEDSTORES 6 33 9" xfId="46192"/>
    <cellStyle name="SHADEDSTORES 6 34" xfId="8056"/>
    <cellStyle name="SHADEDSTORES 6 34 10" xfId="46193"/>
    <cellStyle name="SHADEDSTORES 6 34 2" xfId="46194"/>
    <cellStyle name="SHADEDSTORES 6 34 3" xfId="46195"/>
    <cellStyle name="SHADEDSTORES 6 34 4" xfId="46196"/>
    <cellStyle name="SHADEDSTORES 6 34 5" xfId="46197"/>
    <cellStyle name="SHADEDSTORES 6 34 6" xfId="46198"/>
    <cellStyle name="SHADEDSTORES 6 34 7" xfId="46199"/>
    <cellStyle name="SHADEDSTORES 6 34 8" xfId="46200"/>
    <cellStyle name="SHADEDSTORES 6 34 9" xfId="46201"/>
    <cellStyle name="SHADEDSTORES 6 35" xfId="8057"/>
    <cellStyle name="SHADEDSTORES 6 35 10" xfId="46202"/>
    <cellStyle name="SHADEDSTORES 6 35 2" xfId="46203"/>
    <cellStyle name="SHADEDSTORES 6 35 3" xfId="46204"/>
    <cellStyle name="SHADEDSTORES 6 35 4" xfId="46205"/>
    <cellStyle name="SHADEDSTORES 6 35 5" xfId="46206"/>
    <cellStyle name="SHADEDSTORES 6 35 6" xfId="46207"/>
    <cellStyle name="SHADEDSTORES 6 35 7" xfId="46208"/>
    <cellStyle name="SHADEDSTORES 6 35 8" xfId="46209"/>
    <cellStyle name="SHADEDSTORES 6 35 9" xfId="46210"/>
    <cellStyle name="SHADEDSTORES 6 36" xfId="8058"/>
    <cellStyle name="SHADEDSTORES 6 36 10" xfId="46211"/>
    <cellStyle name="SHADEDSTORES 6 36 2" xfId="46212"/>
    <cellStyle name="SHADEDSTORES 6 36 3" xfId="46213"/>
    <cellStyle name="SHADEDSTORES 6 36 4" xfId="46214"/>
    <cellStyle name="SHADEDSTORES 6 36 5" xfId="46215"/>
    <cellStyle name="SHADEDSTORES 6 36 6" xfId="46216"/>
    <cellStyle name="SHADEDSTORES 6 36 7" xfId="46217"/>
    <cellStyle name="SHADEDSTORES 6 36 8" xfId="46218"/>
    <cellStyle name="SHADEDSTORES 6 36 9" xfId="46219"/>
    <cellStyle name="SHADEDSTORES 6 37" xfId="8059"/>
    <cellStyle name="SHADEDSTORES 6 37 10" xfId="46220"/>
    <cellStyle name="SHADEDSTORES 6 37 2" xfId="46221"/>
    <cellStyle name="SHADEDSTORES 6 37 3" xfId="46222"/>
    <cellStyle name="SHADEDSTORES 6 37 4" xfId="46223"/>
    <cellStyle name="SHADEDSTORES 6 37 5" xfId="46224"/>
    <cellStyle name="SHADEDSTORES 6 37 6" xfId="46225"/>
    <cellStyle name="SHADEDSTORES 6 37 7" xfId="46226"/>
    <cellStyle name="SHADEDSTORES 6 37 8" xfId="46227"/>
    <cellStyle name="SHADEDSTORES 6 37 9" xfId="46228"/>
    <cellStyle name="SHADEDSTORES 6 38" xfId="8060"/>
    <cellStyle name="SHADEDSTORES 6 38 10" xfId="46229"/>
    <cellStyle name="SHADEDSTORES 6 38 2" xfId="46230"/>
    <cellStyle name="SHADEDSTORES 6 38 3" xfId="46231"/>
    <cellStyle name="SHADEDSTORES 6 38 4" xfId="46232"/>
    <cellStyle name="SHADEDSTORES 6 38 5" xfId="46233"/>
    <cellStyle name="SHADEDSTORES 6 38 6" xfId="46234"/>
    <cellStyle name="SHADEDSTORES 6 38 7" xfId="46235"/>
    <cellStyle name="SHADEDSTORES 6 38 8" xfId="46236"/>
    <cellStyle name="SHADEDSTORES 6 38 9" xfId="46237"/>
    <cellStyle name="SHADEDSTORES 6 39" xfId="8061"/>
    <cellStyle name="SHADEDSTORES 6 39 10" xfId="46238"/>
    <cellStyle name="SHADEDSTORES 6 39 2" xfId="46239"/>
    <cellStyle name="SHADEDSTORES 6 39 3" xfId="46240"/>
    <cellStyle name="SHADEDSTORES 6 39 4" xfId="46241"/>
    <cellStyle name="SHADEDSTORES 6 39 5" xfId="46242"/>
    <cellStyle name="SHADEDSTORES 6 39 6" xfId="46243"/>
    <cellStyle name="SHADEDSTORES 6 39 7" xfId="46244"/>
    <cellStyle name="SHADEDSTORES 6 39 8" xfId="46245"/>
    <cellStyle name="SHADEDSTORES 6 39 9" xfId="46246"/>
    <cellStyle name="SHADEDSTORES 6 4" xfId="8062"/>
    <cellStyle name="SHADEDSTORES 6 4 10" xfId="46247"/>
    <cellStyle name="SHADEDSTORES 6 4 2" xfId="46248"/>
    <cellStyle name="SHADEDSTORES 6 4 3" xfId="46249"/>
    <cellStyle name="SHADEDSTORES 6 4 4" xfId="46250"/>
    <cellStyle name="SHADEDSTORES 6 4 5" xfId="46251"/>
    <cellStyle name="SHADEDSTORES 6 4 6" xfId="46252"/>
    <cellStyle name="SHADEDSTORES 6 4 7" xfId="46253"/>
    <cellStyle name="SHADEDSTORES 6 4 8" xfId="46254"/>
    <cellStyle name="SHADEDSTORES 6 4 9" xfId="46255"/>
    <cellStyle name="SHADEDSTORES 6 40" xfId="8063"/>
    <cellStyle name="SHADEDSTORES 6 40 10" xfId="46256"/>
    <cellStyle name="SHADEDSTORES 6 40 2" xfId="46257"/>
    <cellStyle name="SHADEDSTORES 6 40 3" xfId="46258"/>
    <cellStyle name="SHADEDSTORES 6 40 4" xfId="46259"/>
    <cellStyle name="SHADEDSTORES 6 40 5" xfId="46260"/>
    <cellStyle name="SHADEDSTORES 6 40 6" xfId="46261"/>
    <cellStyle name="SHADEDSTORES 6 40 7" xfId="46262"/>
    <cellStyle name="SHADEDSTORES 6 40 8" xfId="46263"/>
    <cellStyle name="SHADEDSTORES 6 40 9" xfId="46264"/>
    <cellStyle name="SHADEDSTORES 6 41" xfId="8064"/>
    <cellStyle name="SHADEDSTORES 6 41 10" xfId="46265"/>
    <cellStyle name="SHADEDSTORES 6 41 2" xfId="46266"/>
    <cellStyle name="SHADEDSTORES 6 41 3" xfId="46267"/>
    <cellStyle name="SHADEDSTORES 6 41 4" xfId="46268"/>
    <cellStyle name="SHADEDSTORES 6 41 5" xfId="46269"/>
    <cellStyle name="SHADEDSTORES 6 41 6" xfId="46270"/>
    <cellStyle name="SHADEDSTORES 6 41 7" xfId="46271"/>
    <cellStyle name="SHADEDSTORES 6 41 8" xfId="46272"/>
    <cellStyle name="SHADEDSTORES 6 41 9" xfId="46273"/>
    <cellStyle name="SHADEDSTORES 6 42" xfId="8065"/>
    <cellStyle name="SHADEDSTORES 6 42 10" xfId="46274"/>
    <cellStyle name="SHADEDSTORES 6 42 2" xfId="46275"/>
    <cellStyle name="SHADEDSTORES 6 42 3" xfId="46276"/>
    <cellStyle name="SHADEDSTORES 6 42 4" xfId="46277"/>
    <cellStyle name="SHADEDSTORES 6 42 5" xfId="46278"/>
    <cellStyle name="SHADEDSTORES 6 42 6" xfId="46279"/>
    <cellStyle name="SHADEDSTORES 6 42 7" xfId="46280"/>
    <cellStyle name="SHADEDSTORES 6 42 8" xfId="46281"/>
    <cellStyle name="SHADEDSTORES 6 42 9" xfId="46282"/>
    <cellStyle name="SHADEDSTORES 6 43" xfId="8066"/>
    <cellStyle name="SHADEDSTORES 6 43 10" xfId="46283"/>
    <cellStyle name="SHADEDSTORES 6 43 2" xfId="46284"/>
    <cellStyle name="SHADEDSTORES 6 43 3" xfId="46285"/>
    <cellStyle name="SHADEDSTORES 6 43 4" xfId="46286"/>
    <cellStyle name="SHADEDSTORES 6 43 5" xfId="46287"/>
    <cellStyle name="SHADEDSTORES 6 43 6" xfId="46288"/>
    <cellStyle name="SHADEDSTORES 6 43 7" xfId="46289"/>
    <cellStyle name="SHADEDSTORES 6 43 8" xfId="46290"/>
    <cellStyle name="SHADEDSTORES 6 43 9" xfId="46291"/>
    <cellStyle name="SHADEDSTORES 6 44" xfId="8067"/>
    <cellStyle name="SHADEDSTORES 6 44 10" xfId="46292"/>
    <cellStyle name="SHADEDSTORES 6 44 2" xfId="46293"/>
    <cellStyle name="SHADEDSTORES 6 44 3" xfId="46294"/>
    <cellStyle name="SHADEDSTORES 6 44 4" xfId="46295"/>
    <cellStyle name="SHADEDSTORES 6 44 5" xfId="46296"/>
    <cellStyle name="SHADEDSTORES 6 44 6" xfId="46297"/>
    <cellStyle name="SHADEDSTORES 6 44 7" xfId="46298"/>
    <cellStyle name="SHADEDSTORES 6 44 8" xfId="46299"/>
    <cellStyle name="SHADEDSTORES 6 44 9" xfId="46300"/>
    <cellStyle name="SHADEDSTORES 6 45" xfId="8068"/>
    <cellStyle name="SHADEDSTORES 6 45 10" xfId="46301"/>
    <cellStyle name="SHADEDSTORES 6 45 2" xfId="46302"/>
    <cellStyle name="SHADEDSTORES 6 45 3" xfId="46303"/>
    <cellStyle name="SHADEDSTORES 6 45 4" xfId="46304"/>
    <cellStyle name="SHADEDSTORES 6 45 5" xfId="46305"/>
    <cellStyle name="SHADEDSTORES 6 45 6" xfId="46306"/>
    <cellStyle name="SHADEDSTORES 6 45 7" xfId="46307"/>
    <cellStyle name="SHADEDSTORES 6 45 8" xfId="46308"/>
    <cellStyle name="SHADEDSTORES 6 45 9" xfId="46309"/>
    <cellStyle name="SHADEDSTORES 6 46" xfId="8069"/>
    <cellStyle name="SHADEDSTORES 6 46 10" xfId="46310"/>
    <cellStyle name="SHADEDSTORES 6 46 2" xfId="46311"/>
    <cellStyle name="SHADEDSTORES 6 46 3" xfId="46312"/>
    <cellStyle name="SHADEDSTORES 6 46 4" xfId="46313"/>
    <cellStyle name="SHADEDSTORES 6 46 5" xfId="46314"/>
    <cellStyle name="SHADEDSTORES 6 46 6" xfId="46315"/>
    <cellStyle name="SHADEDSTORES 6 46 7" xfId="46316"/>
    <cellStyle name="SHADEDSTORES 6 46 8" xfId="46317"/>
    <cellStyle name="SHADEDSTORES 6 46 9" xfId="46318"/>
    <cellStyle name="SHADEDSTORES 6 47" xfId="8070"/>
    <cellStyle name="SHADEDSTORES 6 47 10" xfId="46319"/>
    <cellStyle name="SHADEDSTORES 6 47 2" xfId="46320"/>
    <cellStyle name="SHADEDSTORES 6 47 3" xfId="46321"/>
    <cellStyle name="SHADEDSTORES 6 47 4" xfId="46322"/>
    <cellStyle name="SHADEDSTORES 6 47 5" xfId="46323"/>
    <cellStyle name="SHADEDSTORES 6 47 6" xfId="46324"/>
    <cellStyle name="SHADEDSTORES 6 47 7" xfId="46325"/>
    <cellStyle name="SHADEDSTORES 6 47 8" xfId="46326"/>
    <cellStyle name="SHADEDSTORES 6 47 9" xfId="46327"/>
    <cellStyle name="SHADEDSTORES 6 48" xfId="8071"/>
    <cellStyle name="SHADEDSTORES 6 48 10" xfId="46328"/>
    <cellStyle name="SHADEDSTORES 6 48 2" xfId="46329"/>
    <cellStyle name="SHADEDSTORES 6 48 3" xfId="46330"/>
    <cellStyle name="SHADEDSTORES 6 48 4" xfId="46331"/>
    <cellStyle name="SHADEDSTORES 6 48 5" xfId="46332"/>
    <cellStyle name="SHADEDSTORES 6 48 6" xfId="46333"/>
    <cellStyle name="SHADEDSTORES 6 48 7" xfId="46334"/>
    <cellStyle name="SHADEDSTORES 6 48 8" xfId="46335"/>
    <cellStyle name="SHADEDSTORES 6 48 9" xfId="46336"/>
    <cellStyle name="SHADEDSTORES 6 49" xfId="8072"/>
    <cellStyle name="SHADEDSTORES 6 49 10" xfId="46337"/>
    <cellStyle name="SHADEDSTORES 6 49 2" xfId="46338"/>
    <cellStyle name="SHADEDSTORES 6 49 3" xfId="46339"/>
    <cellStyle name="SHADEDSTORES 6 49 4" xfId="46340"/>
    <cellStyle name="SHADEDSTORES 6 49 5" xfId="46341"/>
    <cellStyle name="SHADEDSTORES 6 49 6" xfId="46342"/>
    <cellStyle name="SHADEDSTORES 6 49 7" xfId="46343"/>
    <cellStyle name="SHADEDSTORES 6 49 8" xfId="46344"/>
    <cellStyle name="SHADEDSTORES 6 49 9" xfId="46345"/>
    <cellStyle name="SHADEDSTORES 6 5" xfId="8073"/>
    <cellStyle name="SHADEDSTORES 6 5 2" xfId="46346"/>
    <cellStyle name="SHADEDSTORES 6 5 3" xfId="46347"/>
    <cellStyle name="SHADEDSTORES 6 5 4" xfId="46348"/>
    <cellStyle name="SHADEDSTORES 6 5 5" xfId="46349"/>
    <cellStyle name="SHADEDSTORES 6 5 6" xfId="46350"/>
    <cellStyle name="SHADEDSTORES 6 5 7" xfId="46351"/>
    <cellStyle name="SHADEDSTORES 6 5 8" xfId="46352"/>
    <cellStyle name="SHADEDSTORES 6 5 9" xfId="46353"/>
    <cellStyle name="SHADEDSTORES 6 50" xfId="8074"/>
    <cellStyle name="SHADEDSTORES 6 50 10" xfId="46354"/>
    <cellStyle name="SHADEDSTORES 6 50 2" xfId="46355"/>
    <cellStyle name="SHADEDSTORES 6 50 3" xfId="46356"/>
    <cellStyle name="SHADEDSTORES 6 50 4" xfId="46357"/>
    <cellStyle name="SHADEDSTORES 6 50 5" xfId="46358"/>
    <cellStyle name="SHADEDSTORES 6 50 6" xfId="46359"/>
    <cellStyle name="SHADEDSTORES 6 50 7" xfId="46360"/>
    <cellStyle name="SHADEDSTORES 6 50 8" xfId="46361"/>
    <cellStyle name="SHADEDSTORES 6 50 9" xfId="46362"/>
    <cellStyle name="SHADEDSTORES 6 51" xfId="8075"/>
    <cellStyle name="SHADEDSTORES 6 51 10" xfId="46363"/>
    <cellStyle name="SHADEDSTORES 6 51 2" xfId="46364"/>
    <cellStyle name="SHADEDSTORES 6 51 3" xfId="46365"/>
    <cellStyle name="SHADEDSTORES 6 51 4" xfId="46366"/>
    <cellStyle name="SHADEDSTORES 6 51 5" xfId="46367"/>
    <cellStyle name="SHADEDSTORES 6 51 6" xfId="46368"/>
    <cellStyle name="SHADEDSTORES 6 51 7" xfId="46369"/>
    <cellStyle name="SHADEDSTORES 6 51 8" xfId="46370"/>
    <cellStyle name="SHADEDSTORES 6 51 9" xfId="46371"/>
    <cellStyle name="SHADEDSTORES 6 52" xfId="8076"/>
    <cellStyle name="SHADEDSTORES 6 52 10" xfId="46372"/>
    <cellStyle name="SHADEDSTORES 6 52 2" xfId="46373"/>
    <cellStyle name="SHADEDSTORES 6 52 3" xfId="46374"/>
    <cellStyle name="SHADEDSTORES 6 52 4" xfId="46375"/>
    <cellStyle name="SHADEDSTORES 6 52 5" xfId="46376"/>
    <cellStyle name="SHADEDSTORES 6 52 6" xfId="46377"/>
    <cellStyle name="SHADEDSTORES 6 52 7" xfId="46378"/>
    <cellStyle name="SHADEDSTORES 6 52 8" xfId="46379"/>
    <cellStyle name="SHADEDSTORES 6 52 9" xfId="46380"/>
    <cellStyle name="SHADEDSTORES 6 53" xfId="8077"/>
    <cellStyle name="SHADEDSTORES 6 53 10" xfId="46381"/>
    <cellStyle name="SHADEDSTORES 6 53 2" xfId="46382"/>
    <cellStyle name="SHADEDSTORES 6 53 3" xfId="46383"/>
    <cellStyle name="SHADEDSTORES 6 53 4" xfId="46384"/>
    <cellStyle name="SHADEDSTORES 6 53 5" xfId="46385"/>
    <cellStyle name="SHADEDSTORES 6 53 6" xfId="46386"/>
    <cellStyle name="SHADEDSTORES 6 53 7" xfId="46387"/>
    <cellStyle name="SHADEDSTORES 6 53 8" xfId="46388"/>
    <cellStyle name="SHADEDSTORES 6 53 9" xfId="46389"/>
    <cellStyle name="SHADEDSTORES 6 54" xfId="8078"/>
    <cellStyle name="SHADEDSTORES 6 54 10" xfId="46390"/>
    <cellStyle name="SHADEDSTORES 6 54 2" xfId="46391"/>
    <cellStyle name="SHADEDSTORES 6 54 3" xfId="46392"/>
    <cellStyle name="SHADEDSTORES 6 54 4" xfId="46393"/>
    <cellStyle name="SHADEDSTORES 6 54 5" xfId="46394"/>
    <cellStyle name="SHADEDSTORES 6 54 6" xfId="46395"/>
    <cellStyle name="SHADEDSTORES 6 54 7" xfId="46396"/>
    <cellStyle name="SHADEDSTORES 6 54 8" xfId="46397"/>
    <cellStyle name="SHADEDSTORES 6 54 9" xfId="46398"/>
    <cellStyle name="SHADEDSTORES 6 55" xfId="8079"/>
    <cellStyle name="SHADEDSTORES 6 55 10" xfId="46399"/>
    <cellStyle name="SHADEDSTORES 6 55 2" xfId="46400"/>
    <cellStyle name="SHADEDSTORES 6 55 3" xfId="46401"/>
    <cellStyle name="SHADEDSTORES 6 55 4" xfId="46402"/>
    <cellStyle name="SHADEDSTORES 6 55 5" xfId="46403"/>
    <cellStyle name="SHADEDSTORES 6 55 6" xfId="46404"/>
    <cellStyle name="SHADEDSTORES 6 55 7" xfId="46405"/>
    <cellStyle name="SHADEDSTORES 6 55 8" xfId="46406"/>
    <cellStyle name="SHADEDSTORES 6 55 9" xfId="46407"/>
    <cellStyle name="SHADEDSTORES 6 56" xfId="8080"/>
    <cellStyle name="SHADEDSTORES 6 56 10" xfId="46408"/>
    <cellStyle name="SHADEDSTORES 6 56 2" xfId="46409"/>
    <cellStyle name="SHADEDSTORES 6 56 3" xfId="46410"/>
    <cellStyle name="SHADEDSTORES 6 56 4" xfId="46411"/>
    <cellStyle name="SHADEDSTORES 6 56 5" xfId="46412"/>
    <cellStyle name="SHADEDSTORES 6 56 6" xfId="46413"/>
    <cellStyle name="SHADEDSTORES 6 56 7" xfId="46414"/>
    <cellStyle name="SHADEDSTORES 6 56 8" xfId="46415"/>
    <cellStyle name="SHADEDSTORES 6 56 9" xfId="46416"/>
    <cellStyle name="SHADEDSTORES 6 57" xfId="8081"/>
    <cellStyle name="SHADEDSTORES 6 57 10" xfId="46417"/>
    <cellStyle name="SHADEDSTORES 6 57 2" xfId="46418"/>
    <cellStyle name="SHADEDSTORES 6 57 3" xfId="46419"/>
    <cellStyle name="SHADEDSTORES 6 57 4" xfId="46420"/>
    <cellStyle name="SHADEDSTORES 6 57 5" xfId="46421"/>
    <cellStyle name="SHADEDSTORES 6 57 6" xfId="46422"/>
    <cellStyle name="SHADEDSTORES 6 57 7" xfId="46423"/>
    <cellStyle name="SHADEDSTORES 6 57 8" xfId="46424"/>
    <cellStyle name="SHADEDSTORES 6 57 9" xfId="46425"/>
    <cellStyle name="SHADEDSTORES 6 58" xfId="8082"/>
    <cellStyle name="SHADEDSTORES 6 58 10" xfId="46426"/>
    <cellStyle name="SHADEDSTORES 6 58 2" xfId="46427"/>
    <cellStyle name="SHADEDSTORES 6 58 3" xfId="46428"/>
    <cellStyle name="SHADEDSTORES 6 58 4" xfId="46429"/>
    <cellStyle name="SHADEDSTORES 6 58 5" xfId="46430"/>
    <cellStyle name="SHADEDSTORES 6 58 6" xfId="46431"/>
    <cellStyle name="SHADEDSTORES 6 58 7" xfId="46432"/>
    <cellStyle name="SHADEDSTORES 6 58 8" xfId="46433"/>
    <cellStyle name="SHADEDSTORES 6 58 9" xfId="46434"/>
    <cellStyle name="SHADEDSTORES 6 59" xfId="8083"/>
    <cellStyle name="SHADEDSTORES 6 59 10" xfId="46435"/>
    <cellStyle name="SHADEDSTORES 6 59 2" xfId="46436"/>
    <cellStyle name="SHADEDSTORES 6 59 3" xfId="46437"/>
    <cellStyle name="SHADEDSTORES 6 59 4" xfId="46438"/>
    <cellStyle name="SHADEDSTORES 6 59 5" xfId="46439"/>
    <cellStyle name="SHADEDSTORES 6 59 6" xfId="46440"/>
    <cellStyle name="SHADEDSTORES 6 59 7" xfId="46441"/>
    <cellStyle name="SHADEDSTORES 6 59 8" xfId="46442"/>
    <cellStyle name="SHADEDSTORES 6 59 9" xfId="46443"/>
    <cellStyle name="SHADEDSTORES 6 6" xfId="8084"/>
    <cellStyle name="SHADEDSTORES 6 6 2" xfId="46444"/>
    <cellStyle name="SHADEDSTORES 6 6 3" xfId="46445"/>
    <cellStyle name="SHADEDSTORES 6 6 4" xfId="46446"/>
    <cellStyle name="SHADEDSTORES 6 6 5" xfId="46447"/>
    <cellStyle name="SHADEDSTORES 6 6 6" xfId="46448"/>
    <cellStyle name="SHADEDSTORES 6 6 7" xfId="46449"/>
    <cellStyle name="SHADEDSTORES 6 6 8" xfId="46450"/>
    <cellStyle name="SHADEDSTORES 6 6 9" xfId="46451"/>
    <cellStyle name="SHADEDSTORES 6 60" xfId="8085"/>
    <cellStyle name="SHADEDSTORES 6 60 10" xfId="46452"/>
    <cellStyle name="SHADEDSTORES 6 60 2" xfId="46453"/>
    <cellStyle name="SHADEDSTORES 6 60 3" xfId="46454"/>
    <cellStyle name="SHADEDSTORES 6 60 4" xfId="46455"/>
    <cellStyle name="SHADEDSTORES 6 60 5" xfId="46456"/>
    <cellStyle name="SHADEDSTORES 6 60 6" xfId="46457"/>
    <cellStyle name="SHADEDSTORES 6 60 7" xfId="46458"/>
    <cellStyle name="SHADEDSTORES 6 60 8" xfId="46459"/>
    <cellStyle name="SHADEDSTORES 6 60 9" xfId="46460"/>
    <cellStyle name="SHADEDSTORES 6 61" xfId="8086"/>
    <cellStyle name="SHADEDSTORES 6 61 10" xfId="46461"/>
    <cellStyle name="SHADEDSTORES 6 61 2" xfId="46462"/>
    <cellStyle name="SHADEDSTORES 6 61 3" xfId="46463"/>
    <cellStyle name="SHADEDSTORES 6 61 4" xfId="46464"/>
    <cellStyle name="SHADEDSTORES 6 61 5" xfId="46465"/>
    <cellStyle name="SHADEDSTORES 6 61 6" xfId="46466"/>
    <cellStyle name="SHADEDSTORES 6 61 7" xfId="46467"/>
    <cellStyle name="SHADEDSTORES 6 61 8" xfId="46468"/>
    <cellStyle name="SHADEDSTORES 6 61 9" xfId="46469"/>
    <cellStyle name="SHADEDSTORES 6 62" xfId="8087"/>
    <cellStyle name="SHADEDSTORES 6 62 10" xfId="46470"/>
    <cellStyle name="SHADEDSTORES 6 62 2" xfId="46471"/>
    <cellStyle name="SHADEDSTORES 6 62 3" xfId="46472"/>
    <cellStyle name="SHADEDSTORES 6 62 4" xfId="46473"/>
    <cellStyle name="SHADEDSTORES 6 62 5" xfId="46474"/>
    <cellStyle name="SHADEDSTORES 6 62 6" xfId="46475"/>
    <cellStyle name="SHADEDSTORES 6 62 7" xfId="46476"/>
    <cellStyle name="SHADEDSTORES 6 62 8" xfId="46477"/>
    <cellStyle name="SHADEDSTORES 6 62 9" xfId="46478"/>
    <cellStyle name="SHADEDSTORES 6 63" xfId="8088"/>
    <cellStyle name="SHADEDSTORES 6 63 10" xfId="46479"/>
    <cellStyle name="SHADEDSTORES 6 63 2" xfId="46480"/>
    <cellStyle name="SHADEDSTORES 6 63 3" xfId="46481"/>
    <cellStyle name="SHADEDSTORES 6 63 4" xfId="46482"/>
    <cellStyle name="SHADEDSTORES 6 63 5" xfId="46483"/>
    <cellStyle name="SHADEDSTORES 6 63 6" xfId="46484"/>
    <cellStyle name="SHADEDSTORES 6 63 7" xfId="46485"/>
    <cellStyle name="SHADEDSTORES 6 63 8" xfId="46486"/>
    <cellStyle name="SHADEDSTORES 6 63 9" xfId="46487"/>
    <cellStyle name="SHADEDSTORES 6 64" xfId="8089"/>
    <cellStyle name="SHADEDSTORES 6 64 10" xfId="46488"/>
    <cellStyle name="SHADEDSTORES 6 64 2" xfId="46489"/>
    <cellStyle name="SHADEDSTORES 6 64 3" xfId="46490"/>
    <cellStyle name="SHADEDSTORES 6 64 4" xfId="46491"/>
    <cellStyle name="SHADEDSTORES 6 64 5" xfId="46492"/>
    <cellStyle name="SHADEDSTORES 6 64 6" xfId="46493"/>
    <cellStyle name="SHADEDSTORES 6 64 7" xfId="46494"/>
    <cellStyle name="SHADEDSTORES 6 64 8" xfId="46495"/>
    <cellStyle name="SHADEDSTORES 6 64 9" xfId="46496"/>
    <cellStyle name="SHADEDSTORES 6 65" xfId="8090"/>
    <cellStyle name="SHADEDSTORES 6 65 10" xfId="46497"/>
    <cellStyle name="SHADEDSTORES 6 65 2" xfId="46498"/>
    <cellStyle name="SHADEDSTORES 6 65 3" xfId="46499"/>
    <cellStyle name="SHADEDSTORES 6 65 4" xfId="46500"/>
    <cellStyle name="SHADEDSTORES 6 65 5" xfId="46501"/>
    <cellStyle name="SHADEDSTORES 6 65 6" xfId="46502"/>
    <cellStyle name="SHADEDSTORES 6 65 7" xfId="46503"/>
    <cellStyle name="SHADEDSTORES 6 65 8" xfId="46504"/>
    <cellStyle name="SHADEDSTORES 6 65 9" xfId="46505"/>
    <cellStyle name="SHADEDSTORES 6 66" xfId="8091"/>
    <cellStyle name="SHADEDSTORES 6 66 10" xfId="46506"/>
    <cellStyle name="SHADEDSTORES 6 66 2" xfId="46507"/>
    <cellStyle name="SHADEDSTORES 6 66 3" xfId="46508"/>
    <cellStyle name="SHADEDSTORES 6 66 4" xfId="46509"/>
    <cellStyle name="SHADEDSTORES 6 66 5" xfId="46510"/>
    <cellStyle name="SHADEDSTORES 6 66 6" xfId="46511"/>
    <cellStyle name="SHADEDSTORES 6 66 7" xfId="46512"/>
    <cellStyle name="SHADEDSTORES 6 66 8" xfId="46513"/>
    <cellStyle name="SHADEDSTORES 6 66 9" xfId="46514"/>
    <cellStyle name="SHADEDSTORES 6 67" xfId="8092"/>
    <cellStyle name="SHADEDSTORES 6 67 10" xfId="46515"/>
    <cellStyle name="SHADEDSTORES 6 67 2" xfId="46516"/>
    <cellStyle name="SHADEDSTORES 6 67 3" xfId="46517"/>
    <cellStyle name="SHADEDSTORES 6 67 4" xfId="46518"/>
    <cellStyle name="SHADEDSTORES 6 67 5" xfId="46519"/>
    <cellStyle name="SHADEDSTORES 6 67 6" xfId="46520"/>
    <cellStyle name="SHADEDSTORES 6 67 7" xfId="46521"/>
    <cellStyle name="SHADEDSTORES 6 67 8" xfId="46522"/>
    <cellStyle name="SHADEDSTORES 6 67 9" xfId="46523"/>
    <cellStyle name="SHADEDSTORES 6 68" xfId="8093"/>
    <cellStyle name="SHADEDSTORES 6 68 10" xfId="46524"/>
    <cellStyle name="SHADEDSTORES 6 68 2" xfId="46525"/>
    <cellStyle name="SHADEDSTORES 6 68 3" xfId="46526"/>
    <cellStyle name="SHADEDSTORES 6 68 4" xfId="46527"/>
    <cellStyle name="SHADEDSTORES 6 68 5" xfId="46528"/>
    <cellStyle name="SHADEDSTORES 6 68 6" xfId="46529"/>
    <cellStyle name="SHADEDSTORES 6 68 7" xfId="46530"/>
    <cellStyle name="SHADEDSTORES 6 68 8" xfId="46531"/>
    <cellStyle name="SHADEDSTORES 6 68 9" xfId="46532"/>
    <cellStyle name="SHADEDSTORES 6 69" xfId="8094"/>
    <cellStyle name="SHADEDSTORES 6 69 10" xfId="46533"/>
    <cellStyle name="SHADEDSTORES 6 69 2" xfId="46534"/>
    <cellStyle name="SHADEDSTORES 6 69 3" xfId="46535"/>
    <cellStyle name="SHADEDSTORES 6 69 4" xfId="46536"/>
    <cellStyle name="SHADEDSTORES 6 69 5" xfId="46537"/>
    <cellStyle name="SHADEDSTORES 6 69 6" xfId="46538"/>
    <cellStyle name="SHADEDSTORES 6 69 7" xfId="46539"/>
    <cellStyle name="SHADEDSTORES 6 69 8" xfId="46540"/>
    <cellStyle name="SHADEDSTORES 6 69 9" xfId="46541"/>
    <cellStyle name="SHADEDSTORES 6 7" xfId="8095"/>
    <cellStyle name="SHADEDSTORES 6 7 2" xfId="46542"/>
    <cellStyle name="SHADEDSTORES 6 7 3" xfId="46543"/>
    <cellStyle name="SHADEDSTORES 6 7 4" xfId="46544"/>
    <cellStyle name="SHADEDSTORES 6 7 5" xfId="46545"/>
    <cellStyle name="SHADEDSTORES 6 7 6" xfId="46546"/>
    <cellStyle name="SHADEDSTORES 6 7 7" xfId="46547"/>
    <cellStyle name="SHADEDSTORES 6 7 8" xfId="46548"/>
    <cellStyle name="SHADEDSTORES 6 7 9" xfId="46549"/>
    <cellStyle name="SHADEDSTORES 6 70" xfId="8096"/>
    <cellStyle name="SHADEDSTORES 6 70 10" xfId="46550"/>
    <cellStyle name="SHADEDSTORES 6 70 2" xfId="46551"/>
    <cellStyle name="SHADEDSTORES 6 70 3" xfId="46552"/>
    <cellStyle name="SHADEDSTORES 6 70 4" xfId="46553"/>
    <cellStyle name="SHADEDSTORES 6 70 5" xfId="46554"/>
    <cellStyle name="SHADEDSTORES 6 70 6" xfId="46555"/>
    <cellStyle name="SHADEDSTORES 6 70 7" xfId="46556"/>
    <cellStyle name="SHADEDSTORES 6 70 8" xfId="46557"/>
    <cellStyle name="SHADEDSTORES 6 70 9" xfId="46558"/>
    <cellStyle name="SHADEDSTORES 6 71" xfId="8097"/>
    <cellStyle name="SHADEDSTORES 6 71 10" xfId="46559"/>
    <cellStyle name="SHADEDSTORES 6 71 2" xfId="46560"/>
    <cellStyle name="SHADEDSTORES 6 71 3" xfId="46561"/>
    <cellStyle name="SHADEDSTORES 6 71 4" xfId="46562"/>
    <cellStyle name="SHADEDSTORES 6 71 5" xfId="46563"/>
    <cellStyle name="SHADEDSTORES 6 71 6" xfId="46564"/>
    <cellStyle name="SHADEDSTORES 6 71 7" xfId="46565"/>
    <cellStyle name="SHADEDSTORES 6 71 8" xfId="46566"/>
    <cellStyle name="SHADEDSTORES 6 71 9" xfId="46567"/>
    <cellStyle name="SHADEDSTORES 6 72" xfId="8098"/>
    <cellStyle name="SHADEDSTORES 6 72 10" xfId="46568"/>
    <cellStyle name="SHADEDSTORES 6 72 2" xfId="46569"/>
    <cellStyle name="SHADEDSTORES 6 72 3" xfId="46570"/>
    <cellStyle name="SHADEDSTORES 6 72 4" xfId="46571"/>
    <cellStyle name="SHADEDSTORES 6 72 5" xfId="46572"/>
    <cellStyle name="SHADEDSTORES 6 72 6" xfId="46573"/>
    <cellStyle name="SHADEDSTORES 6 72 7" xfId="46574"/>
    <cellStyle name="SHADEDSTORES 6 72 8" xfId="46575"/>
    <cellStyle name="SHADEDSTORES 6 72 9" xfId="46576"/>
    <cellStyle name="SHADEDSTORES 6 73" xfId="8099"/>
    <cellStyle name="SHADEDSTORES 6 73 10" xfId="46577"/>
    <cellStyle name="SHADEDSTORES 6 73 2" xfId="46578"/>
    <cellStyle name="SHADEDSTORES 6 73 3" xfId="46579"/>
    <cellStyle name="SHADEDSTORES 6 73 4" xfId="46580"/>
    <cellStyle name="SHADEDSTORES 6 73 5" xfId="46581"/>
    <cellStyle name="SHADEDSTORES 6 73 6" xfId="46582"/>
    <cellStyle name="SHADEDSTORES 6 73 7" xfId="46583"/>
    <cellStyle name="SHADEDSTORES 6 73 8" xfId="46584"/>
    <cellStyle name="SHADEDSTORES 6 73 9" xfId="46585"/>
    <cellStyle name="SHADEDSTORES 6 74" xfId="8100"/>
    <cellStyle name="SHADEDSTORES 6 74 10" xfId="46586"/>
    <cellStyle name="SHADEDSTORES 6 74 2" xfId="46587"/>
    <cellStyle name="SHADEDSTORES 6 74 3" xfId="46588"/>
    <cellStyle name="SHADEDSTORES 6 74 4" xfId="46589"/>
    <cellStyle name="SHADEDSTORES 6 74 5" xfId="46590"/>
    <cellStyle name="SHADEDSTORES 6 74 6" xfId="46591"/>
    <cellStyle name="SHADEDSTORES 6 74 7" xfId="46592"/>
    <cellStyle name="SHADEDSTORES 6 74 8" xfId="46593"/>
    <cellStyle name="SHADEDSTORES 6 74 9" xfId="46594"/>
    <cellStyle name="SHADEDSTORES 6 75" xfId="8101"/>
    <cellStyle name="SHADEDSTORES 6 75 10" xfId="46595"/>
    <cellStyle name="SHADEDSTORES 6 75 2" xfId="46596"/>
    <cellStyle name="SHADEDSTORES 6 75 3" xfId="46597"/>
    <cellStyle name="SHADEDSTORES 6 75 4" xfId="46598"/>
    <cellStyle name="SHADEDSTORES 6 75 5" xfId="46599"/>
    <cellStyle name="SHADEDSTORES 6 75 6" xfId="46600"/>
    <cellStyle name="SHADEDSTORES 6 75 7" xfId="46601"/>
    <cellStyle name="SHADEDSTORES 6 75 8" xfId="46602"/>
    <cellStyle name="SHADEDSTORES 6 75 9" xfId="46603"/>
    <cellStyle name="SHADEDSTORES 6 76" xfId="8102"/>
    <cellStyle name="SHADEDSTORES 6 76 10" xfId="46604"/>
    <cellStyle name="SHADEDSTORES 6 76 2" xfId="46605"/>
    <cellStyle name="SHADEDSTORES 6 76 3" xfId="46606"/>
    <cellStyle name="SHADEDSTORES 6 76 4" xfId="46607"/>
    <cellStyle name="SHADEDSTORES 6 76 5" xfId="46608"/>
    <cellStyle name="SHADEDSTORES 6 76 6" xfId="46609"/>
    <cellStyle name="SHADEDSTORES 6 76 7" xfId="46610"/>
    <cellStyle name="SHADEDSTORES 6 76 8" xfId="46611"/>
    <cellStyle name="SHADEDSTORES 6 76 9" xfId="46612"/>
    <cellStyle name="SHADEDSTORES 6 77" xfId="8103"/>
    <cellStyle name="SHADEDSTORES 6 77 10" xfId="46613"/>
    <cellStyle name="SHADEDSTORES 6 77 2" xfId="46614"/>
    <cellStyle name="SHADEDSTORES 6 77 3" xfId="46615"/>
    <cellStyle name="SHADEDSTORES 6 77 4" xfId="46616"/>
    <cellStyle name="SHADEDSTORES 6 77 5" xfId="46617"/>
    <cellStyle name="SHADEDSTORES 6 77 6" xfId="46618"/>
    <cellStyle name="SHADEDSTORES 6 77 7" xfId="46619"/>
    <cellStyle name="SHADEDSTORES 6 77 8" xfId="46620"/>
    <cellStyle name="SHADEDSTORES 6 77 9" xfId="46621"/>
    <cellStyle name="SHADEDSTORES 6 78" xfId="8104"/>
    <cellStyle name="SHADEDSTORES 6 78 10" xfId="46622"/>
    <cellStyle name="SHADEDSTORES 6 78 2" xfId="46623"/>
    <cellStyle name="SHADEDSTORES 6 78 3" xfId="46624"/>
    <cellStyle name="SHADEDSTORES 6 78 4" xfId="46625"/>
    <cellStyle name="SHADEDSTORES 6 78 5" xfId="46626"/>
    <cellStyle name="SHADEDSTORES 6 78 6" xfId="46627"/>
    <cellStyle name="SHADEDSTORES 6 78 7" xfId="46628"/>
    <cellStyle name="SHADEDSTORES 6 78 8" xfId="46629"/>
    <cellStyle name="SHADEDSTORES 6 78 9" xfId="46630"/>
    <cellStyle name="SHADEDSTORES 6 79" xfId="8105"/>
    <cellStyle name="SHADEDSTORES 6 79 10" xfId="46631"/>
    <cellStyle name="SHADEDSTORES 6 79 2" xfId="46632"/>
    <cellStyle name="SHADEDSTORES 6 79 3" xfId="46633"/>
    <cellStyle name="SHADEDSTORES 6 79 4" xfId="46634"/>
    <cellStyle name="SHADEDSTORES 6 79 5" xfId="46635"/>
    <cellStyle name="SHADEDSTORES 6 79 6" xfId="46636"/>
    <cellStyle name="SHADEDSTORES 6 79 7" xfId="46637"/>
    <cellStyle name="SHADEDSTORES 6 79 8" xfId="46638"/>
    <cellStyle name="SHADEDSTORES 6 79 9" xfId="46639"/>
    <cellStyle name="SHADEDSTORES 6 8" xfId="8106"/>
    <cellStyle name="SHADEDSTORES 6 8 2" xfId="46640"/>
    <cellStyle name="SHADEDSTORES 6 8 3" xfId="46641"/>
    <cellStyle name="SHADEDSTORES 6 8 4" xfId="46642"/>
    <cellStyle name="SHADEDSTORES 6 8 5" xfId="46643"/>
    <cellStyle name="SHADEDSTORES 6 8 6" xfId="46644"/>
    <cellStyle name="SHADEDSTORES 6 8 7" xfId="46645"/>
    <cellStyle name="SHADEDSTORES 6 8 8" xfId="46646"/>
    <cellStyle name="SHADEDSTORES 6 8 9" xfId="46647"/>
    <cellStyle name="SHADEDSTORES 6 80" xfId="8107"/>
    <cellStyle name="SHADEDSTORES 6 80 10" xfId="46648"/>
    <cellStyle name="SHADEDSTORES 6 80 2" xfId="46649"/>
    <cellStyle name="SHADEDSTORES 6 80 3" xfId="46650"/>
    <cellStyle name="SHADEDSTORES 6 80 4" xfId="46651"/>
    <cellStyle name="SHADEDSTORES 6 80 5" xfId="46652"/>
    <cellStyle name="SHADEDSTORES 6 80 6" xfId="46653"/>
    <cellStyle name="SHADEDSTORES 6 80 7" xfId="46654"/>
    <cellStyle name="SHADEDSTORES 6 80 8" xfId="46655"/>
    <cellStyle name="SHADEDSTORES 6 80 9" xfId="46656"/>
    <cellStyle name="SHADEDSTORES 6 81" xfId="8108"/>
    <cellStyle name="SHADEDSTORES 6 81 10" xfId="46657"/>
    <cellStyle name="SHADEDSTORES 6 81 2" xfId="46658"/>
    <cellStyle name="SHADEDSTORES 6 81 3" xfId="46659"/>
    <cellStyle name="SHADEDSTORES 6 81 4" xfId="46660"/>
    <cellStyle name="SHADEDSTORES 6 81 5" xfId="46661"/>
    <cellStyle name="SHADEDSTORES 6 81 6" xfId="46662"/>
    <cellStyle name="SHADEDSTORES 6 81 7" xfId="46663"/>
    <cellStyle name="SHADEDSTORES 6 81 8" xfId="46664"/>
    <cellStyle name="SHADEDSTORES 6 81 9" xfId="46665"/>
    <cellStyle name="SHADEDSTORES 6 82" xfId="8109"/>
    <cellStyle name="SHADEDSTORES 6 82 10" xfId="46666"/>
    <cellStyle name="SHADEDSTORES 6 82 2" xfId="46667"/>
    <cellStyle name="SHADEDSTORES 6 82 3" xfId="46668"/>
    <cellStyle name="SHADEDSTORES 6 82 4" xfId="46669"/>
    <cellStyle name="SHADEDSTORES 6 82 5" xfId="46670"/>
    <cellStyle name="SHADEDSTORES 6 82 6" xfId="46671"/>
    <cellStyle name="SHADEDSTORES 6 82 7" xfId="46672"/>
    <cellStyle name="SHADEDSTORES 6 82 8" xfId="46673"/>
    <cellStyle name="SHADEDSTORES 6 82 9" xfId="46674"/>
    <cellStyle name="SHADEDSTORES 6 83" xfId="8110"/>
    <cellStyle name="SHADEDSTORES 6 83 10" xfId="46675"/>
    <cellStyle name="SHADEDSTORES 6 83 2" xfId="46676"/>
    <cellStyle name="SHADEDSTORES 6 83 3" xfId="46677"/>
    <cellStyle name="SHADEDSTORES 6 83 4" xfId="46678"/>
    <cellStyle name="SHADEDSTORES 6 83 5" xfId="46679"/>
    <cellStyle name="SHADEDSTORES 6 83 6" xfId="46680"/>
    <cellStyle name="SHADEDSTORES 6 83 7" xfId="46681"/>
    <cellStyle name="SHADEDSTORES 6 83 8" xfId="46682"/>
    <cellStyle name="SHADEDSTORES 6 83 9" xfId="46683"/>
    <cellStyle name="SHADEDSTORES 6 84" xfId="8111"/>
    <cellStyle name="SHADEDSTORES 6 84 10" xfId="46684"/>
    <cellStyle name="SHADEDSTORES 6 84 2" xfId="46685"/>
    <cellStyle name="SHADEDSTORES 6 84 3" xfId="46686"/>
    <cellStyle name="SHADEDSTORES 6 84 4" xfId="46687"/>
    <cellStyle name="SHADEDSTORES 6 84 5" xfId="46688"/>
    <cellStyle name="SHADEDSTORES 6 84 6" xfId="46689"/>
    <cellStyle name="SHADEDSTORES 6 84 7" xfId="46690"/>
    <cellStyle name="SHADEDSTORES 6 84 8" xfId="46691"/>
    <cellStyle name="SHADEDSTORES 6 84 9" xfId="46692"/>
    <cellStyle name="SHADEDSTORES 6 85" xfId="8112"/>
    <cellStyle name="SHADEDSTORES 6 85 10" xfId="46693"/>
    <cellStyle name="SHADEDSTORES 6 85 2" xfId="46694"/>
    <cellStyle name="SHADEDSTORES 6 85 3" xfId="46695"/>
    <cellStyle name="SHADEDSTORES 6 85 4" xfId="46696"/>
    <cellStyle name="SHADEDSTORES 6 85 5" xfId="46697"/>
    <cellStyle name="SHADEDSTORES 6 85 6" xfId="46698"/>
    <cellStyle name="SHADEDSTORES 6 85 7" xfId="46699"/>
    <cellStyle name="SHADEDSTORES 6 85 8" xfId="46700"/>
    <cellStyle name="SHADEDSTORES 6 85 9" xfId="46701"/>
    <cellStyle name="SHADEDSTORES 6 86" xfId="8113"/>
    <cellStyle name="SHADEDSTORES 6 86 10" xfId="46702"/>
    <cellStyle name="SHADEDSTORES 6 86 2" xfId="46703"/>
    <cellStyle name="SHADEDSTORES 6 86 3" xfId="46704"/>
    <cellStyle name="SHADEDSTORES 6 86 4" xfId="46705"/>
    <cellStyle name="SHADEDSTORES 6 86 5" xfId="46706"/>
    <cellStyle name="SHADEDSTORES 6 86 6" xfId="46707"/>
    <cellStyle name="SHADEDSTORES 6 86 7" xfId="46708"/>
    <cellStyle name="SHADEDSTORES 6 86 8" xfId="46709"/>
    <cellStyle name="SHADEDSTORES 6 86 9" xfId="46710"/>
    <cellStyle name="SHADEDSTORES 6 87" xfId="8114"/>
    <cellStyle name="SHADEDSTORES 6 87 10" xfId="46711"/>
    <cellStyle name="SHADEDSTORES 6 87 2" xfId="46712"/>
    <cellStyle name="SHADEDSTORES 6 87 3" xfId="46713"/>
    <cellStyle name="SHADEDSTORES 6 87 4" xfId="46714"/>
    <cellStyle name="SHADEDSTORES 6 87 5" xfId="46715"/>
    <cellStyle name="SHADEDSTORES 6 87 6" xfId="46716"/>
    <cellStyle name="SHADEDSTORES 6 87 7" xfId="46717"/>
    <cellStyle name="SHADEDSTORES 6 87 8" xfId="46718"/>
    <cellStyle name="SHADEDSTORES 6 87 9" xfId="46719"/>
    <cellStyle name="SHADEDSTORES 6 88" xfId="8115"/>
    <cellStyle name="SHADEDSTORES 6 88 10" xfId="46720"/>
    <cellStyle name="SHADEDSTORES 6 88 2" xfId="46721"/>
    <cellStyle name="SHADEDSTORES 6 88 3" xfId="46722"/>
    <cellStyle name="SHADEDSTORES 6 88 4" xfId="46723"/>
    <cellStyle name="SHADEDSTORES 6 88 5" xfId="46724"/>
    <cellStyle name="SHADEDSTORES 6 88 6" xfId="46725"/>
    <cellStyle name="SHADEDSTORES 6 88 7" xfId="46726"/>
    <cellStyle name="SHADEDSTORES 6 88 8" xfId="46727"/>
    <cellStyle name="SHADEDSTORES 6 88 9" xfId="46728"/>
    <cellStyle name="SHADEDSTORES 6 89" xfId="8116"/>
    <cellStyle name="SHADEDSTORES 6 89 10" xfId="46729"/>
    <cellStyle name="SHADEDSTORES 6 89 2" xfId="46730"/>
    <cellStyle name="SHADEDSTORES 6 89 3" xfId="46731"/>
    <cellStyle name="SHADEDSTORES 6 89 4" xfId="46732"/>
    <cellStyle name="SHADEDSTORES 6 89 5" xfId="46733"/>
    <cellStyle name="SHADEDSTORES 6 89 6" xfId="46734"/>
    <cellStyle name="SHADEDSTORES 6 89 7" xfId="46735"/>
    <cellStyle name="SHADEDSTORES 6 89 8" xfId="46736"/>
    <cellStyle name="SHADEDSTORES 6 89 9" xfId="46737"/>
    <cellStyle name="SHADEDSTORES 6 9" xfId="8117"/>
    <cellStyle name="SHADEDSTORES 6 9 2" xfId="46738"/>
    <cellStyle name="SHADEDSTORES 6 9 3" xfId="46739"/>
    <cellStyle name="SHADEDSTORES 6 9 4" xfId="46740"/>
    <cellStyle name="SHADEDSTORES 6 9 5" xfId="46741"/>
    <cellStyle name="SHADEDSTORES 6 9 6" xfId="46742"/>
    <cellStyle name="SHADEDSTORES 6 9 7" xfId="46743"/>
    <cellStyle name="SHADEDSTORES 6 9 8" xfId="46744"/>
    <cellStyle name="SHADEDSTORES 6 9 9" xfId="46745"/>
    <cellStyle name="SHADEDSTORES 6 90" xfId="8118"/>
    <cellStyle name="SHADEDSTORES 6 90 10" xfId="46746"/>
    <cellStyle name="SHADEDSTORES 6 90 2" xfId="46747"/>
    <cellStyle name="SHADEDSTORES 6 90 3" xfId="46748"/>
    <cellStyle name="SHADEDSTORES 6 90 4" xfId="46749"/>
    <cellStyle name="SHADEDSTORES 6 90 5" xfId="46750"/>
    <cellStyle name="SHADEDSTORES 6 90 6" xfId="46751"/>
    <cellStyle name="SHADEDSTORES 6 90 7" xfId="46752"/>
    <cellStyle name="SHADEDSTORES 6 90 8" xfId="46753"/>
    <cellStyle name="SHADEDSTORES 6 90 9" xfId="46754"/>
    <cellStyle name="SHADEDSTORES 6 91" xfId="8119"/>
    <cellStyle name="SHADEDSTORES 6 91 10" xfId="46755"/>
    <cellStyle name="SHADEDSTORES 6 91 2" xfId="46756"/>
    <cellStyle name="SHADEDSTORES 6 91 3" xfId="46757"/>
    <cellStyle name="SHADEDSTORES 6 91 4" xfId="46758"/>
    <cellStyle name="SHADEDSTORES 6 91 5" xfId="46759"/>
    <cellStyle name="SHADEDSTORES 6 91 6" xfId="46760"/>
    <cellStyle name="SHADEDSTORES 6 91 7" xfId="46761"/>
    <cellStyle name="SHADEDSTORES 6 91 8" xfId="46762"/>
    <cellStyle name="SHADEDSTORES 6 91 9" xfId="46763"/>
    <cellStyle name="SHADEDSTORES 6 92" xfId="8120"/>
    <cellStyle name="SHADEDSTORES 6 92 10" xfId="46764"/>
    <cellStyle name="SHADEDSTORES 6 92 2" xfId="46765"/>
    <cellStyle name="SHADEDSTORES 6 92 3" xfId="46766"/>
    <cellStyle name="SHADEDSTORES 6 92 4" xfId="46767"/>
    <cellStyle name="SHADEDSTORES 6 92 5" xfId="46768"/>
    <cellStyle name="SHADEDSTORES 6 92 6" xfId="46769"/>
    <cellStyle name="SHADEDSTORES 6 92 7" xfId="46770"/>
    <cellStyle name="SHADEDSTORES 6 92 8" xfId="46771"/>
    <cellStyle name="SHADEDSTORES 6 92 9" xfId="46772"/>
    <cellStyle name="SHADEDSTORES 6 93" xfId="8121"/>
    <cellStyle name="SHADEDSTORES 6 93 2" xfId="46773"/>
    <cellStyle name="SHADEDSTORES 6 93 3" xfId="46774"/>
    <cellStyle name="SHADEDSTORES 6 93 4" xfId="46775"/>
    <cellStyle name="SHADEDSTORES 6 93 5" xfId="46776"/>
    <cellStyle name="SHADEDSTORES 6 93 6" xfId="46777"/>
    <cellStyle name="SHADEDSTORES 6 93 7" xfId="46778"/>
    <cellStyle name="SHADEDSTORES 6 93 8" xfId="46779"/>
    <cellStyle name="SHADEDSTORES 6 93 9" xfId="46780"/>
    <cellStyle name="SHADEDSTORES 6 94" xfId="11537"/>
    <cellStyle name="SHADEDSTORES 6 95" xfId="46781"/>
    <cellStyle name="SHADEDSTORES 6 96" xfId="46782"/>
    <cellStyle name="SHADEDSTORES 6 97" xfId="46783"/>
    <cellStyle name="SHADEDSTORES 6 98" xfId="46784"/>
    <cellStyle name="SHADEDSTORES 6 99" xfId="46785"/>
    <cellStyle name="SHADEDSTORES 6_YL Capex Cashflow &amp; Dep" xfId="13564"/>
    <cellStyle name="SHADEDSTORES 60" xfId="8122"/>
    <cellStyle name="SHADEDSTORES 60 10" xfId="46786"/>
    <cellStyle name="SHADEDSTORES 60 2" xfId="46787"/>
    <cellStyle name="SHADEDSTORES 60 3" xfId="46788"/>
    <cellStyle name="SHADEDSTORES 60 4" xfId="46789"/>
    <cellStyle name="SHADEDSTORES 60 5" xfId="46790"/>
    <cellStyle name="SHADEDSTORES 60 6" xfId="46791"/>
    <cellStyle name="SHADEDSTORES 60 7" xfId="46792"/>
    <cellStyle name="SHADEDSTORES 60 8" xfId="46793"/>
    <cellStyle name="SHADEDSTORES 60 9" xfId="46794"/>
    <cellStyle name="SHADEDSTORES 61" xfId="8123"/>
    <cellStyle name="SHADEDSTORES 61 10" xfId="46795"/>
    <cellStyle name="SHADEDSTORES 61 2" xfId="46796"/>
    <cellStyle name="SHADEDSTORES 61 3" xfId="46797"/>
    <cellStyle name="SHADEDSTORES 61 4" xfId="46798"/>
    <cellStyle name="SHADEDSTORES 61 5" xfId="46799"/>
    <cellStyle name="SHADEDSTORES 61 6" xfId="46800"/>
    <cellStyle name="SHADEDSTORES 61 7" xfId="46801"/>
    <cellStyle name="SHADEDSTORES 61 8" xfId="46802"/>
    <cellStyle name="SHADEDSTORES 61 9" xfId="46803"/>
    <cellStyle name="SHADEDSTORES 62" xfId="8124"/>
    <cellStyle name="SHADEDSTORES 62 2" xfId="46804"/>
    <cellStyle name="SHADEDSTORES 62 3" xfId="46805"/>
    <cellStyle name="SHADEDSTORES 62 4" xfId="46806"/>
    <cellStyle name="SHADEDSTORES 62 5" xfId="46807"/>
    <cellStyle name="SHADEDSTORES 62 6" xfId="46808"/>
    <cellStyle name="SHADEDSTORES 62 7" xfId="46809"/>
    <cellStyle name="SHADEDSTORES 62 8" xfId="46810"/>
    <cellStyle name="SHADEDSTORES 62 9" xfId="46811"/>
    <cellStyle name="SHADEDSTORES 63" xfId="8125"/>
    <cellStyle name="SHADEDSTORES 63 10" xfId="46812"/>
    <cellStyle name="SHADEDSTORES 63 2" xfId="46813"/>
    <cellStyle name="SHADEDSTORES 63 3" xfId="46814"/>
    <cellStyle name="SHADEDSTORES 63 4" xfId="46815"/>
    <cellStyle name="SHADEDSTORES 63 5" xfId="46816"/>
    <cellStyle name="SHADEDSTORES 63 6" xfId="46817"/>
    <cellStyle name="SHADEDSTORES 63 7" xfId="46818"/>
    <cellStyle name="SHADEDSTORES 63 8" xfId="46819"/>
    <cellStyle name="SHADEDSTORES 63 9" xfId="46820"/>
    <cellStyle name="SHADEDSTORES 64" xfId="8126"/>
    <cellStyle name="SHADEDSTORES 64 10" xfId="46821"/>
    <cellStyle name="SHADEDSTORES 64 2" xfId="46822"/>
    <cellStyle name="SHADEDSTORES 64 3" xfId="46823"/>
    <cellStyle name="SHADEDSTORES 64 4" xfId="46824"/>
    <cellStyle name="SHADEDSTORES 64 5" xfId="46825"/>
    <cellStyle name="SHADEDSTORES 64 6" xfId="46826"/>
    <cellStyle name="SHADEDSTORES 64 7" xfId="46827"/>
    <cellStyle name="SHADEDSTORES 64 8" xfId="46828"/>
    <cellStyle name="SHADEDSTORES 64 9" xfId="46829"/>
    <cellStyle name="SHADEDSTORES 65" xfId="8127"/>
    <cellStyle name="SHADEDSTORES 65 10" xfId="46830"/>
    <cellStyle name="SHADEDSTORES 65 2" xfId="46831"/>
    <cellStyle name="SHADEDSTORES 65 3" xfId="46832"/>
    <cellStyle name="SHADEDSTORES 65 4" xfId="46833"/>
    <cellStyle name="SHADEDSTORES 65 5" xfId="46834"/>
    <cellStyle name="SHADEDSTORES 65 6" xfId="46835"/>
    <cellStyle name="SHADEDSTORES 65 7" xfId="46836"/>
    <cellStyle name="SHADEDSTORES 65 8" xfId="46837"/>
    <cellStyle name="SHADEDSTORES 65 9" xfId="46838"/>
    <cellStyle name="SHADEDSTORES 66" xfId="8128"/>
    <cellStyle name="SHADEDSTORES 66 10" xfId="46839"/>
    <cellStyle name="SHADEDSTORES 66 2" xfId="46840"/>
    <cellStyle name="SHADEDSTORES 66 3" xfId="46841"/>
    <cellStyle name="SHADEDSTORES 66 4" xfId="46842"/>
    <cellStyle name="SHADEDSTORES 66 5" xfId="46843"/>
    <cellStyle name="SHADEDSTORES 66 6" xfId="46844"/>
    <cellStyle name="SHADEDSTORES 66 7" xfId="46845"/>
    <cellStyle name="SHADEDSTORES 66 8" xfId="46846"/>
    <cellStyle name="SHADEDSTORES 66 9" xfId="46847"/>
    <cellStyle name="SHADEDSTORES 67" xfId="8129"/>
    <cellStyle name="SHADEDSTORES 67 10" xfId="46848"/>
    <cellStyle name="SHADEDSTORES 67 2" xfId="46849"/>
    <cellStyle name="SHADEDSTORES 67 3" xfId="46850"/>
    <cellStyle name="SHADEDSTORES 67 4" xfId="46851"/>
    <cellStyle name="SHADEDSTORES 67 5" xfId="46852"/>
    <cellStyle name="SHADEDSTORES 67 6" xfId="46853"/>
    <cellStyle name="SHADEDSTORES 67 7" xfId="46854"/>
    <cellStyle name="SHADEDSTORES 67 8" xfId="46855"/>
    <cellStyle name="SHADEDSTORES 67 9" xfId="46856"/>
    <cellStyle name="SHADEDSTORES 68" xfId="8130"/>
    <cellStyle name="SHADEDSTORES 68 10" xfId="46857"/>
    <cellStyle name="SHADEDSTORES 68 2" xfId="46858"/>
    <cellStyle name="SHADEDSTORES 68 3" xfId="46859"/>
    <cellStyle name="SHADEDSTORES 68 4" xfId="46860"/>
    <cellStyle name="SHADEDSTORES 68 5" xfId="46861"/>
    <cellStyle name="SHADEDSTORES 68 6" xfId="46862"/>
    <cellStyle name="SHADEDSTORES 68 7" xfId="46863"/>
    <cellStyle name="SHADEDSTORES 68 8" xfId="46864"/>
    <cellStyle name="SHADEDSTORES 68 9" xfId="46865"/>
    <cellStyle name="SHADEDSTORES 69" xfId="8131"/>
    <cellStyle name="SHADEDSTORES 69 10" xfId="46866"/>
    <cellStyle name="SHADEDSTORES 69 2" xfId="46867"/>
    <cellStyle name="SHADEDSTORES 69 3" xfId="46868"/>
    <cellStyle name="SHADEDSTORES 69 4" xfId="46869"/>
    <cellStyle name="SHADEDSTORES 69 5" xfId="46870"/>
    <cellStyle name="SHADEDSTORES 69 6" xfId="46871"/>
    <cellStyle name="SHADEDSTORES 69 7" xfId="46872"/>
    <cellStyle name="SHADEDSTORES 69 8" xfId="46873"/>
    <cellStyle name="SHADEDSTORES 69 9" xfId="46874"/>
    <cellStyle name="SHADEDSTORES 7" xfId="2596"/>
    <cellStyle name="SHADEDSTORES 7 10" xfId="46875"/>
    <cellStyle name="SHADEDSTORES 7 11" xfId="46876"/>
    <cellStyle name="SHADEDSTORES 7 2" xfId="2597"/>
    <cellStyle name="SHADEDSTORES 7 2 2" xfId="12943"/>
    <cellStyle name="SHADEDSTORES 7 2_YL Capex Cashflow &amp; Dep" xfId="13566"/>
    <cellStyle name="SHADEDSTORES 7 3" xfId="2598"/>
    <cellStyle name="SHADEDSTORES 7 3 2" xfId="12779"/>
    <cellStyle name="SHADEDSTORES 7 3_YL Capex Cashflow &amp; Dep" xfId="13567"/>
    <cellStyle name="SHADEDSTORES 7 4" xfId="12253"/>
    <cellStyle name="SHADEDSTORES 7 5" xfId="46877"/>
    <cellStyle name="SHADEDSTORES 7 6" xfId="46878"/>
    <cellStyle name="SHADEDSTORES 7 7" xfId="46879"/>
    <cellStyle name="SHADEDSTORES 7 8" xfId="46880"/>
    <cellStyle name="SHADEDSTORES 7 9" xfId="46881"/>
    <cellStyle name="SHADEDSTORES 7_YL Capex Cashflow &amp; Dep" xfId="13565"/>
    <cellStyle name="SHADEDSTORES 70" xfId="8132"/>
    <cellStyle name="SHADEDSTORES 70 10" xfId="46882"/>
    <cellStyle name="SHADEDSTORES 70 2" xfId="46883"/>
    <cellStyle name="SHADEDSTORES 70 3" xfId="46884"/>
    <cellStyle name="SHADEDSTORES 70 4" xfId="46885"/>
    <cellStyle name="SHADEDSTORES 70 5" xfId="46886"/>
    <cellStyle name="SHADEDSTORES 70 6" xfId="46887"/>
    <cellStyle name="SHADEDSTORES 70 7" xfId="46888"/>
    <cellStyle name="SHADEDSTORES 70 8" xfId="46889"/>
    <cellStyle name="SHADEDSTORES 70 9" xfId="46890"/>
    <cellStyle name="SHADEDSTORES 71" xfId="8133"/>
    <cellStyle name="SHADEDSTORES 71 10" xfId="46891"/>
    <cellStyle name="SHADEDSTORES 71 2" xfId="46892"/>
    <cellStyle name="SHADEDSTORES 71 3" xfId="46893"/>
    <cellStyle name="SHADEDSTORES 71 4" xfId="46894"/>
    <cellStyle name="SHADEDSTORES 71 5" xfId="46895"/>
    <cellStyle name="SHADEDSTORES 71 6" xfId="46896"/>
    <cellStyle name="SHADEDSTORES 71 7" xfId="46897"/>
    <cellStyle name="SHADEDSTORES 71 8" xfId="46898"/>
    <cellStyle name="SHADEDSTORES 71 9" xfId="46899"/>
    <cellStyle name="SHADEDSTORES 72" xfId="8134"/>
    <cellStyle name="SHADEDSTORES 72 10" xfId="46900"/>
    <cellStyle name="SHADEDSTORES 72 2" xfId="46901"/>
    <cellStyle name="SHADEDSTORES 72 3" xfId="46902"/>
    <cellStyle name="SHADEDSTORES 72 4" xfId="46903"/>
    <cellStyle name="SHADEDSTORES 72 5" xfId="46904"/>
    <cellStyle name="SHADEDSTORES 72 6" xfId="46905"/>
    <cellStyle name="SHADEDSTORES 72 7" xfId="46906"/>
    <cellStyle name="SHADEDSTORES 72 8" xfId="46907"/>
    <cellStyle name="SHADEDSTORES 72 9" xfId="46908"/>
    <cellStyle name="SHADEDSTORES 73" xfId="8135"/>
    <cellStyle name="SHADEDSTORES 73 10" xfId="46909"/>
    <cellStyle name="SHADEDSTORES 73 2" xfId="46910"/>
    <cellStyle name="SHADEDSTORES 73 3" xfId="46911"/>
    <cellStyle name="SHADEDSTORES 73 4" xfId="46912"/>
    <cellStyle name="SHADEDSTORES 73 5" xfId="46913"/>
    <cellStyle name="SHADEDSTORES 73 6" xfId="46914"/>
    <cellStyle name="SHADEDSTORES 73 7" xfId="46915"/>
    <cellStyle name="SHADEDSTORES 73 8" xfId="46916"/>
    <cellStyle name="SHADEDSTORES 73 9" xfId="46917"/>
    <cellStyle name="SHADEDSTORES 74" xfId="8136"/>
    <cellStyle name="SHADEDSTORES 74 10" xfId="46918"/>
    <cellStyle name="SHADEDSTORES 74 2" xfId="46919"/>
    <cellStyle name="SHADEDSTORES 74 3" xfId="46920"/>
    <cellStyle name="SHADEDSTORES 74 4" xfId="46921"/>
    <cellStyle name="SHADEDSTORES 74 5" xfId="46922"/>
    <cellStyle name="SHADEDSTORES 74 6" xfId="46923"/>
    <cellStyle name="SHADEDSTORES 74 7" xfId="46924"/>
    <cellStyle name="SHADEDSTORES 74 8" xfId="46925"/>
    <cellStyle name="SHADEDSTORES 74 9" xfId="46926"/>
    <cellStyle name="SHADEDSTORES 75" xfId="8137"/>
    <cellStyle name="SHADEDSTORES 75 10" xfId="46927"/>
    <cellStyle name="SHADEDSTORES 75 2" xfId="46928"/>
    <cellStyle name="SHADEDSTORES 75 3" xfId="46929"/>
    <cellStyle name="SHADEDSTORES 75 4" xfId="46930"/>
    <cellStyle name="SHADEDSTORES 75 5" xfId="46931"/>
    <cellStyle name="SHADEDSTORES 75 6" xfId="46932"/>
    <cellStyle name="SHADEDSTORES 75 7" xfId="46933"/>
    <cellStyle name="SHADEDSTORES 75 8" xfId="46934"/>
    <cellStyle name="SHADEDSTORES 75 9" xfId="46935"/>
    <cellStyle name="SHADEDSTORES 76" xfId="8138"/>
    <cellStyle name="SHADEDSTORES 76 10" xfId="46936"/>
    <cellStyle name="SHADEDSTORES 76 2" xfId="46937"/>
    <cellStyle name="SHADEDSTORES 76 3" xfId="46938"/>
    <cellStyle name="SHADEDSTORES 76 4" xfId="46939"/>
    <cellStyle name="SHADEDSTORES 76 5" xfId="46940"/>
    <cellStyle name="SHADEDSTORES 76 6" xfId="46941"/>
    <cellStyle name="SHADEDSTORES 76 7" xfId="46942"/>
    <cellStyle name="SHADEDSTORES 76 8" xfId="46943"/>
    <cellStyle name="SHADEDSTORES 76 9" xfId="46944"/>
    <cellStyle name="SHADEDSTORES 77" xfId="8139"/>
    <cellStyle name="SHADEDSTORES 77 10" xfId="46945"/>
    <cellStyle name="SHADEDSTORES 77 2" xfId="46946"/>
    <cellStyle name="SHADEDSTORES 77 3" xfId="46947"/>
    <cellStyle name="SHADEDSTORES 77 4" xfId="46948"/>
    <cellStyle name="SHADEDSTORES 77 5" xfId="46949"/>
    <cellStyle name="SHADEDSTORES 77 6" xfId="46950"/>
    <cellStyle name="SHADEDSTORES 77 7" xfId="46951"/>
    <cellStyle name="SHADEDSTORES 77 8" xfId="46952"/>
    <cellStyle name="SHADEDSTORES 77 9" xfId="46953"/>
    <cellStyle name="SHADEDSTORES 78" xfId="8140"/>
    <cellStyle name="SHADEDSTORES 78 10" xfId="46954"/>
    <cellStyle name="SHADEDSTORES 78 2" xfId="46955"/>
    <cellStyle name="SHADEDSTORES 78 3" xfId="46956"/>
    <cellStyle name="SHADEDSTORES 78 4" xfId="46957"/>
    <cellStyle name="SHADEDSTORES 78 5" xfId="46958"/>
    <cellStyle name="SHADEDSTORES 78 6" xfId="46959"/>
    <cellStyle name="SHADEDSTORES 78 7" xfId="46960"/>
    <cellStyle name="SHADEDSTORES 78 8" xfId="46961"/>
    <cellStyle name="SHADEDSTORES 78 9" xfId="46962"/>
    <cellStyle name="SHADEDSTORES 79" xfId="8141"/>
    <cellStyle name="SHADEDSTORES 79 10" xfId="46963"/>
    <cellStyle name="SHADEDSTORES 79 2" xfId="46964"/>
    <cellStyle name="SHADEDSTORES 79 3" xfId="46965"/>
    <cellStyle name="SHADEDSTORES 79 4" xfId="46966"/>
    <cellStyle name="SHADEDSTORES 79 5" xfId="46967"/>
    <cellStyle name="SHADEDSTORES 79 6" xfId="46968"/>
    <cellStyle name="SHADEDSTORES 79 7" xfId="46969"/>
    <cellStyle name="SHADEDSTORES 79 8" xfId="46970"/>
    <cellStyle name="SHADEDSTORES 79 9" xfId="46971"/>
    <cellStyle name="SHADEDSTORES 8" xfId="2599"/>
    <cellStyle name="SHADEDSTORES 8 10" xfId="46972"/>
    <cellStyle name="SHADEDSTORES 8 2" xfId="12864"/>
    <cellStyle name="SHADEDSTORES 8 3" xfId="46973"/>
    <cellStyle name="SHADEDSTORES 8 4" xfId="46974"/>
    <cellStyle name="SHADEDSTORES 8 5" xfId="46975"/>
    <cellStyle name="SHADEDSTORES 8 6" xfId="46976"/>
    <cellStyle name="SHADEDSTORES 8 7" xfId="46977"/>
    <cellStyle name="SHADEDSTORES 8 8" xfId="46978"/>
    <cellStyle name="SHADEDSTORES 8 9" xfId="46979"/>
    <cellStyle name="SHADEDSTORES 8_YL Capex Cashflow &amp; Dep" xfId="13568"/>
    <cellStyle name="SHADEDSTORES 80" xfId="8142"/>
    <cellStyle name="SHADEDSTORES 80 10" xfId="46980"/>
    <cellStyle name="SHADEDSTORES 80 2" xfId="46981"/>
    <cellStyle name="SHADEDSTORES 80 3" xfId="46982"/>
    <cellStyle name="SHADEDSTORES 80 4" xfId="46983"/>
    <cellStyle name="SHADEDSTORES 80 5" xfId="46984"/>
    <cellStyle name="SHADEDSTORES 80 6" xfId="46985"/>
    <cellStyle name="SHADEDSTORES 80 7" xfId="46986"/>
    <cellStyle name="SHADEDSTORES 80 8" xfId="46987"/>
    <cellStyle name="SHADEDSTORES 80 9" xfId="46988"/>
    <cellStyle name="SHADEDSTORES 81" xfId="8143"/>
    <cellStyle name="SHADEDSTORES 81 10" xfId="46989"/>
    <cellStyle name="SHADEDSTORES 81 2" xfId="46990"/>
    <cellStyle name="SHADEDSTORES 81 3" xfId="46991"/>
    <cellStyle name="SHADEDSTORES 81 4" xfId="46992"/>
    <cellStyle name="SHADEDSTORES 81 5" xfId="46993"/>
    <cellStyle name="SHADEDSTORES 81 6" xfId="46994"/>
    <cellStyle name="SHADEDSTORES 81 7" xfId="46995"/>
    <cellStyle name="SHADEDSTORES 81 8" xfId="46996"/>
    <cellStyle name="SHADEDSTORES 81 9" xfId="46997"/>
    <cellStyle name="SHADEDSTORES 82" xfId="8144"/>
    <cellStyle name="SHADEDSTORES 82 10" xfId="46998"/>
    <cellStyle name="SHADEDSTORES 82 2" xfId="46999"/>
    <cellStyle name="SHADEDSTORES 82 3" xfId="47000"/>
    <cellStyle name="SHADEDSTORES 82 4" xfId="47001"/>
    <cellStyle name="SHADEDSTORES 82 5" xfId="47002"/>
    <cellStyle name="SHADEDSTORES 82 6" xfId="47003"/>
    <cellStyle name="SHADEDSTORES 82 7" xfId="47004"/>
    <cellStyle name="SHADEDSTORES 82 8" xfId="47005"/>
    <cellStyle name="SHADEDSTORES 82 9" xfId="47006"/>
    <cellStyle name="SHADEDSTORES 83" xfId="8145"/>
    <cellStyle name="SHADEDSTORES 83 10" xfId="47007"/>
    <cellStyle name="SHADEDSTORES 83 2" xfId="47008"/>
    <cellStyle name="SHADEDSTORES 83 3" xfId="47009"/>
    <cellStyle name="SHADEDSTORES 83 4" xfId="47010"/>
    <cellStyle name="SHADEDSTORES 83 5" xfId="47011"/>
    <cellStyle name="SHADEDSTORES 83 6" xfId="47012"/>
    <cellStyle name="SHADEDSTORES 83 7" xfId="47013"/>
    <cellStyle name="SHADEDSTORES 83 8" xfId="47014"/>
    <cellStyle name="SHADEDSTORES 83 9" xfId="47015"/>
    <cellStyle name="SHADEDSTORES 84" xfId="8146"/>
    <cellStyle name="SHADEDSTORES 84 10" xfId="47016"/>
    <cellStyle name="SHADEDSTORES 84 2" xfId="47017"/>
    <cellStyle name="SHADEDSTORES 84 3" xfId="47018"/>
    <cellStyle name="SHADEDSTORES 84 4" xfId="47019"/>
    <cellStyle name="SHADEDSTORES 84 5" xfId="47020"/>
    <cellStyle name="SHADEDSTORES 84 6" xfId="47021"/>
    <cellStyle name="SHADEDSTORES 84 7" xfId="47022"/>
    <cellStyle name="SHADEDSTORES 84 8" xfId="47023"/>
    <cellStyle name="SHADEDSTORES 84 9" xfId="47024"/>
    <cellStyle name="SHADEDSTORES 9" xfId="8147"/>
    <cellStyle name="SHADEDSTORES 9 10" xfId="47025"/>
    <cellStyle name="SHADEDSTORES 9 11" xfId="47026"/>
    <cellStyle name="SHADEDSTORES 9 2" xfId="47027"/>
    <cellStyle name="SHADEDSTORES 9 3" xfId="47028"/>
    <cellStyle name="SHADEDSTORES 9 4" xfId="47029"/>
    <cellStyle name="SHADEDSTORES 9 5" xfId="47030"/>
    <cellStyle name="SHADEDSTORES 9 6" xfId="47031"/>
    <cellStyle name="SHADEDSTORES 9 7" xfId="47032"/>
    <cellStyle name="SHADEDSTORES 9 8" xfId="47033"/>
    <cellStyle name="SHADEDSTORES 9 9" xfId="47034"/>
    <cellStyle name="SHADEDSTORES_YL Capex Cashflow &amp; Dep" xfId="13516"/>
    <cellStyle name="Sheet Head" xfId="2600"/>
    <cellStyle name="specstores" xfId="2601"/>
    <cellStyle name="sstot" xfId="2602"/>
    <cellStyle name="sstot 2" xfId="2603"/>
    <cellStyle name="sstot 2 10" xfId="8148"/>
    <cellStyle name="sstot 2 10 2" xfId="47035"/>
    <cellStyle name="sstot 2 11" xfId="47036"/>
    <cellStyle name="sstot 2 2" xfId="2604"/>
    <cellStyle name="sstot 2 2 2" xfId="11820"/>
    <cellStyle name="sstot 2 2 3" xfId="47037"/>
    <cellStyle name="sstot 2 3" xfId="8149"/>
    <cellStyle name="sstot 2 3 2" xfId="47038"/>
    <cellStyle name="sstot 2 3 3" xfId="47039"/>
    <cellStyle name="sstot 2 4" xfId="8150"/>
    <cellStyle name="sstot 2 4 2" xfId="47040"/>
    <cellStyle name="sstot 2 4 3" xfId="47041"/>
    <cellStyle name="sstot 2 5" xfId="8151"/>
    <cellStyle name="sstot 2 5 2" xfId="47042"/>
    <cellStyle name="sstot 2 5 3" xfId="47043"/>
    <cellStyle name="sstot 2 6" xfId="8152"/>
    <cellStyle name="sstot 2 6 2" xfId="47044"/>
    <cellStyle name="sstot 2 6 3" xfId="47045"/>
    <cellStyle name="sstot 2 7" xfId="8153"/>
    <cellStyle name="sstot 2 7 2" xfId="47046"/>
    <cellStyle name="sstot 2 7 3" xfId="47047"/>
    <cellStyle name="sstot 2 8" xfId="8154"/>
    <cellStyle name="sstot 2 8 2" xfId="47048"/>
    <cellStyle name="sstot 2 8 3" xfId="47049"/>
    <cellStyle name="sstot 2 9" xfId="8155"/>
    <cellStyle name="sstot 2 9 2" xfId="47050"/>
    <cellStyle name="sstot 2 9 3" xfId="47051"/>
    <cellStyle name="sstot 3" xfId="2605"/>
    <cellStyle name="sstot 3 2" xfId="2606"/>
    <cellStyle name="sstot 3 2 2" xfId="11833"/>
    <cellStyle name="sstot 3 3" xfId="47052"/>
    <cellStyle name="sstot 4" xfId="2607"/>
    <cellStyle name="sstot 4 2" xfId="11814"/>
    <cellStyle name="Standard_9912(4)" xfId="2608"/>
    <cellStyle name="Sterling [0]" xfId="2609"/>
    <cellStyle name="Style 1" xfId="2610"/>
    <cellStyle name="Subtotal" xfId="2611"/>
    <cellStyle name="t" xfId="2612"/>
    <cellStyle name="t 2" xfId="2613"/>
    <cellStyle name="t 2 10" xfId="8156"/>
    <cellStyle name="t 2 10 2" xfId="47053"/>
    <cellStyle name="t 2 11" xfId="47054"/>
    <cellStyle name="t 2 2" xfId="2614"/>
    <cellStyle name="t 2 2 2" xfId="11821"/>
    <cellStyle name="t 2 2 3" xfId="47055"/>
    <cellStyle name="t 2 3" xfId="8157"/>
    <cellStyle name="t 2 3 2" xfId="47056"/>
    <cellStyle name="t 2 3 3" xfId="47057"/>
    <cellStyle name="t 2 4" xfId="8158"/>
    <cellStyle name="t 2 4 2" xfId="47058"/>
    <cellStyle name="t 2 4 3" xfId="47059"/>
    <cellStyle name="t 2 5" xfId="8159"/>
    <cellStyle name="t 2 5 2" xfId="47060"/>
    <cellStyle name="t 2 5 3" xfId="47061"/>
    <cellStyle name="t 2 6" xfId="8160"/>
    <cellStyle name="t 2 6 2" xfId="47062"/>
    <cellStyle name="t 2 6 3" xfId="47063"/>
    <cellStyle name="t 2 7" xfId="8161"/>
    <cellStyle name="t 2 7 2" xfId="47064"/>
    <cellStyle name="t 2 7 3" xfId="47065"/>
    <cellStyle name="t 2 8" xfId="8162"/>
    <cellStyle name="t 2 8 2" xfId="47066"/>
    <cellStyle name="t 2 8 3" xfId="47067"/>
    <cellStyle name="t 2 9" xfId="8163"/>
    <cellStyle name="t 2 9 2" xfId="47068"/>
    <cellStyle name="t 2 9 3" xfId="47069"/>
    <cellStyle name="t 3" xfId="2615"/>
    <cellStyle name="t 3 2" xfId="2616"/>
    <cellStyle name="t 3 2 2" xfId="11834"/>
    <cellStyle name="t 3 3" xfId="47070"/>
    <cellStyle name="t 4" xfId="2617"/>
    <cellStyle name="t 4 2" xfId="11815"/>
    <cellStyle name="t]_x000d__x000a_color schemes=默认 Windows_x000d__x000a__x000d__x000a_[color schemes]_x000d__x000a_Arizona=804000,FFFFFF,FFFFFF,0,FFFFFF,0,808040,C0C0C0,FFFFF" xfId="2618"/>
    <cellStyle name="t_Book1" xfId="2619"/>
    <cellStyle name="t_Book1 10" xfId="8164"/>
    <cellStyle name="t_Book1 10 2" xfId="47071"/>
    <cellStyle name="t_Book1 11" xfId="8165"/>
    <cellStyle name="t_Book1 2" xfId="2620"/>
    <cellStyle name="t_Book1 2 10" xfId="8166"/>
    <cellStyle name="t_Book1 2 2" xfId="2621"/>
    <cellStyle name="t_Book1 2 2 2" xfId="8167"/>
    <cellStyle name="t_Book1 2 3" xfId="2622"/>
    <cellStyle name="t_Book1 2 3 2" xfId="47072"/>
    <cellStyle name="t_Book1 2 4" xfId="8168"/>
    <cellStyle name="t_Book1 2 4 2" xfId="47073"/>
    <cellStyle name="t_Book1 2 5" xfId="8169"/>
    <cellStyle name="t_Book1 2 5 2" xfId="47074"/>
    <cellStyle name="t_Book1 2 6" xfId="8170"/>
    <cellStyle name="t_Book1 2 6 2" xfId="47075"/>
    <cellStyle name="t_Book1 2 7" xfId="8171"/>
    <cellStyle name="t_Book1 2 7 2" xfId="47076"/>
    <cellStyle name="t_Book1 2 8" xfId="8172"/>
    <cellStyle name="t_Book1 2 8 2" xfId="47077"/>
    <cellStyle name="t_Book1 2 9" xfId="8173"/>
    <cellStyle name="t_Book1 2 9 2" xfId="47078"/>
    <cellStyle name="t_Book1 3" xfId="2623"/>
    <cellStyle name="t_Book1 3 2" xfId="8174"/>
    <cellStyle name="t_Book1 4" xfId="2624"/>
    <cellStyle name="t_Book1 4 2" xfId="47079"/>
    <cellStyle name="t_Book1 5" xfId="8175"/>
    <cellStyle name="t_Book1 5 2" xfId="47080"/>
    <cellStyle name="t_Book1 6" xfId="8176"/>
    <cellStyle name="t_Book1 6 2" xfId="47081"/>
    <cellStyle name="t_Book1 7" xfId="8177"/>
    <cellStyle name="t_Book1 7 2" xfId="47082"/>
    <cellStyle name="t_Book1 8" xfId="8178"/>
    <cellStyle name="t_Book1 8 2" xfId="47083"/>
    <cellStyle name="t_Book1 9" xfId="8179"/>
    <cellStyle name="t_Book1 9 2" xfId="47084"/>
    <cellStyle name="t_HVAC Equipment (3)" xfId="2625"/>
    <cellStyle name="t_HVAC Equipment (3) 10" xfId="8180"/>
    <cellStyle name="t_HVAC Equipment (3) 10 2" xfId="8181"/>
    <cellStyle name="t_HVAC Equipment (3) 11" xfId="8182"/>
    <cellStyle name="t_HVAC Equipment (3) 11 2" xfId="8183"/>
    <cellStyle name="t_HVAC Equipment (3) 12" xfId="8184"/>
    <cellStyle name="t_HVAC Equipment (3) 2" xfId="2626"/>
    <cellStyle name="t_HVAC Equipment (3) 2 2" xfId="8185"/>
    <cellStyle name="t_HVAC Equipment (3) 2 2 10" xfId="8186"/>
    <cellStyle name="t_HVAC Equipment (3) 2 2 10 2" xfId="8187"/>
    <cellStyle name="t_HVAC Equipment (3) 2 2 11" xfId="8188"/>
    <cellStyle name="t_HVAC Equipment (3) 2 2 2" xfId="8189"/>
    <cellStyle name="t_HVAC Equipment (3) 2 2 2 2" xfId="8190"/>
    <cellStyle name="t_HVAC Equipment (3) 2 2 3" xfId="8191"/>
    <cellStyle name="t_HVAC Equipment (3) 2 2 3 2" xfId="8192"/>
    <cellStyle name="t_HVAC Equipment (3) 2 2 4" xfId="8193"/>
    <cellStyle name="t_HVAC Equipment (3) 2 2 4 2" xfId="8194"/>
    <cellStyle name="t_HVAC Equipment (3) 2 2 5" xfId="8195"/>
    <cellStyle name="t_HVAC Equipment (3) 2 2 5 2" xfId="8196"/>
    <cellStyle name="t_HVAC Equipment (3) 2 2 6" xfId="8197"/>
    <cellStyle name="t_HVAC Equipment (3) 2 2 6 2" xfId="8198"/>
    <cellStyle name="t_HVAC Equipment (3) 2 2 7" xfId="8199"/>
    <cellStyle name="t_HVAC Equipment (3) 2 2 7 2" xfId="8200"/>
    <cellStyle name="t_HVAC Equipment (3) 2 2 8" xfId="8201"/>
    <cellStyle name="t_HVAC Equipment (3) 2 2 8 2" xfId="8202"/>
    <cellStyle name="t_HVAC Equipment (3) 2 2 9" xfId="8203"/>
    <cellStyle name="t_HVAC Equipment (3) 2 2 9 2" xfId="8204"/>
    <cellStyle name="t_HVAC Equipment (3) 2 3" xfId="8205"/>
    <cellStyle name="t_HVAC Equipment (3) 2 3 2" xfId="8206"/>
    <cellStyle name="t_HVAC Equipment (3) 2 4" xfId="11816"/>
    <cellStyle name="t_HVAC Equipment (3) 2_Cashflow trend" xfId="2627"/>
    <cellStyle name="t_HVAC Equipment (3) 3" xfId="8207"/>
    <cellStyle name="t_HVAC Equipment (3) 3 2" xfId="8208"/>
    <cellStyle name="t_HVAC Equipment (3) 4" xfId="8209"/>
    <cellStyle name="t_HVAC Equipment (3) 4 2" xfId="8210"/>
    <cellStyle name="t_HVAC Equipment (3) 5" xfId="8211"/>
    <cellStyle name="t_HVAC Equipment (3) 5 2" xfId="8212"/>
    <cellStyle name="t_HVAC Equipment (3) 6" xfId="8213"/>
    <cellStyle name="t_HVAC Equipment (3) 6 2" xfId="8214"/>
    <cellStyle name="t_HVAC Equipment (3) 7" xfId="8215"/>
    <cellStyle name="t_HVAC Equipment (3) 7 2" xfId="8216"/>
    <cellStyle name="t_HVAC Equipment (3) 8" xfId="8217"/>
    <cellStyle name="t_HVAC Equipment (3) 8 2" xfId="8218"/>
    <cellStyle name="t_HVAC Equipment (3) 9" xfId="8219"/>
    <cellStyle name="t_HVAC Equipment (3) 9 2" xfId="8220"/>
    <cellStyle name="t_HVAC Equipment (3)_Book1" xfId="2628"/>
    <cellStyle name="t_HVAC Equipment (3)_Book1 10" xfId="8221"/>
    <cellStyle name="t_HVAC Equipment (3)_Book1 10 2" xfId="47085"/>
    <cellStyle name="t_HVAC Equipment (3)_Book1 11" xfId="8222"/>
    <cellStyle name="t_HVAC Equipment (3)_Book1 2" xfId="2629"/>
    <cellStyle name="t_HVAC Equipment (3)_Book1 2 10" xfId="8223"/>
    <cellStyle name="t_HVAC Equipment (3)_Book1 2 2" xfId="2630"/>
    <cellStyle name="t_HVAC Equipment (3)_Book1 2 2 2" xfId="8224"/>
    <cellStyle name="t_HVAC Equipment (3)_Book1 2 3" xfId="2631"/>
    <cellStyle name="t_HVAC Equipment (3)_Book1 2 3 2" xfId="47086"/>
    <cellStyle name="t_HVAC Equipment (3)_Book1 2 4" xfId="8225"/>
    <cellStyle name="t_HVAC Equipment (3)_Book1 2 4 2" xfId="47087"/>
    <cellStyle name="t_HVAC Equipment (3)_Book1 2 5" xfId="8226"/>
    <cellStyle name="t_HVAC Equipment (3)_Book1 2 5 2" xfId="47088"/>
    <cellStyle name="t_HVAC Equipment (3)_Book1 2 6" xfId="8227"/>
    <cellStyle name="t_HVAC Equipment (3)_Book1 2 6 2" xfId="47089"/>
    <cellStyle name="t_HVAC Equipment (3)_Book1 2 7" xfId="8228"/>
    <cellStyle name="t_HVAC Equipment (3)_Book1 2 7 2" xfId="47090"/>
    <cellStyle name="t_HVAC Equipment (3)_Book1 2 8" xfId="8229"/>
    <cellStyle name="t_HVAC Equipment (3)_Book1 2 8 2" xfId="47091"/>
    <cellStyle name="t_HVAC Equipment (3)_Book1 2 9" xfId="8230"/>
    <cellStyle name="t_HVAC Equipment (3)_Book1 2 9 2" xfId="47092"/>
    <cellStyle name="t_HVAC Equipment (3)_Book1 3" xfId="2632"/>
    <cellStyle name="t_HVAC Equipment (3)_Book1 3 2" xfId="8231"/>
    <cellStyle name="t_HVAC Equipment (3)_Book1 4" xfId="2633"/>
    <cellStyle name="t_HVAC Equipment (3)_Book1 4 2" xfId="47093"/>
    <cellStyle name="t_HVAC Equipment (3)_Book1 5" xfId="8232"/>
    <cellStyle name="t_HVAC Equipment (3)_Book1 5 2" xfId="47094"/>
    <cellStyle name="t_HVAC Equipment (3)_Book1 6" xfId="8233"/>
    <cellStyle name="t_HVAC Equipment (3)_Book1 6 2" xfId="47095"/>
    <cellStyle name="t_HVAC Equipment (3)_Book1 7" xfId="8234"/>
    <cellStyle name="t_HVAC Equipment (3)_Book1 7 2" xfId="47096"/>
    <cellStyle name="t_HVAC Equipment (3)_Book1 8" xfId="8235"/>
    <cellStyle name="t_HVAC Equipment (3)_Book1 8 2" xfId="47097"/>
    <cellStyle name="t_HVAC Equipment (3)_Book1 9" xfId="8236"/>
    <cellStyle name="t_HVAC Equipment (3)_Book1 9 2" xfId="47098"/>
    <cellStyle name="Table  - Style6" xfId="2634"/>
    <cellStyle name="Table  - Style6 10" xfId="10902"/>
    <cellStyle name="Table  - Style6 2" xfId="2635"/>
    <cellStyle name="Table  - Style6 2 2" xfId="2636"/>
    <cellStyle name="Table  - Style6 2 2 2" xfId="2637"/>
    <cellStyle name="Table  - Style6 2 2 2 2" xfId="2638"/>
    <cellStyle name="Table  - Style6 2 2 2 2 2" xfId="2639"/>
    <cellStyle name="Table  - Style6 2 2 2 2 2 2" xfId="13173"/>
    <cellStyle name="Table  - Style6 2 2 2 2 2_YL Capex Cashflow &amp; Dep" xfId="13574"/>
    <cellStyle name="Table  - Style6 2 2 2 2 3" xfId="12174"/>
    <cellStyle name="Table  - Style6 2 2 2 2_YL Capex Cashflow &amp; Dep" xfId="13573"/>
    <cellStyle name="Table  - Style6 2 2 2 3" xfId="2640"/>
    <cellStyle name="Table  - Style6 2 2 2 3 2" xfId="2641"/>
    <cellStyle name="Table  - Style6 2 2 2 3 2 2" xfId="13175"/>
    <cellStyle name="Table  - Style6 2 2 2 3 2_YL Capex Cashflow &amp; Dep" xfId="13576"/>
    <cellStyle name="Table  - Style6 2 2 2 3 3" xfId="12662"/>
    <cellStyle name="Table  - Style6 2 2 2 3_YL Capex Cashflow &amp; Dep" xfId="13575"/>
    <cellStyle name="Table  - Style6 2 2 2 4" xfId="11965"/>
    <cellStyle name="Table  - Style6 2 2 2_YL Capex Cashflow &amp; Dep" xfId="13572"/>
    <cellStyle name="Table  - Style6 2 2 3" xfId="2642"/>
    <cellStyle name="Table  - Style6 2 2 3 2" xfId="2643"/>
    <cellStyle name="Table  - Style6 2 2 3 2 2" xfId="2644"/>
    <cellStyle name="Table  - Style6 2 2 3 2 2 2" xfId="13050"/>
    <cellStyle name="Table  - Style6 2 2 3 2 2_YL Capex Cashflow &amp; Dep" xfId="13579"/>
    <cellStyle name="Table  - Style6 2 2 3 2 3" xfId="12103"/>
    <cellStyle name="Table  - Style6 2 2 3 2_YL Capex Cashflow &amp; Dep" xfId="13578"/>
    <cellStyle name="Table  - Style6 2 2 3 3" xfId="2645"/>
    <cellStyle name="Table  - Style6 2 2 3 3 2" xfId="2646"/>
    <cellStyle name="Table  - Style6 2 2 3 3 2 2" xfId="13058"/>
    <cellStyle name="Table  - Style6 2 2 3 3 2_YL Capex Cashflow &amp; Dep" xfId="13581"/>
    <cellStyle name="Table  - Style6 2 2 3 3 3" xfId="12478"/>
    <cellStyle name="Table  - Style6 2 2 3 3_YL Capex Cashflow &amp; Dep" xfId="13580"/>
    <cellStyle name="Table  - Style6 2 2 3 4" xfId="11762"/>
    <cellStyle name="Table  - Style6 2 2 3_YL Capex Cashflow &amp; Dep" xfId="13577"/>
    <cellStyle name="Table  - Style6 2 2 4" xfId="2647"/>
    <cellStyle name="Table  - Style6 2 2 4 2" xfId="2648"/>
    <cellStyle name="Table  - Style6 2 2 4 2 2" xfId="12842"/>
    <cellStyle name="Table  - Style6 2 2 4 2_YL Capex Cashflow &amp; Dep" xfId="13583"/>
    <cellStyle name="Table  - Style6 2 2 4 3" xfId="12082"/>
    <cellStyle name="Table  - Style6 2 2 4_YL Capex Cashflow &amp; Dep" xfId="13582"/>
    <cellStyle name="Table  - Style6 2 2 5" xfId="2649"/>
    <cellStyle name="Table  - Style6 2 2 5 2" xfId="2650"/>
    <cellStyle name="Table  - Style6 2 2 5 2 2" xfId="13017"/>
    <cellStyle name="Table  - Style6 2 2 5 2_YL Capex Cashflow &amp; Dep" xfId="13585"/>
    <cellStyle name="Table  - Style6 2 2 5 3" xfId="12394"/>
    <cellStyle name="Table  - Style6 2 2 5_YL Capex Cashflow &amp; Dep" xfId="13584"/>
    <cellStyle name="Table  - Style6 2 2 6" xfId="11422"/>
    <cellStyle name="Table  - Style6 2 2_YL Capex Cashflow &amp; Dep" xfId="13571"/>
    <cellStyle name="Table  - Style6 2 3" xfId="2651"/>
    <cellStyle name="Table  - Style6 2 3 2" xfId="2652"/>
    <cellStyle name="Table  - Style6 2 3 2 2" xfId="2653"/>
    <cellStyle name="Table  - Style6 2 3 2 2 2" xfId="2654"/>
    <cellStyle name="Table  - Style6 2 3 2 2 2 2" xfId="13015"/>
    <cellStyle name="Table  - Style6 2 3 2 2 2_YL Capex Cashflow &amp; Dep" xfId="13589"/>
    <cellStyle name="Table  - Style6 2 3 2 2 3" xfId="12172"/>
    <cellStyle name="Table  - Style6 2 3 2 2_YL Capex Cashflow &amp; Dep" xfId="13588"/>
    <cellStyle name="Table  - Style6 2 3 2 3" xfId="2655"/>
    <cellStyle name="Table  - Style6 2 3 2 3 2" xfId="2656"/>
    <cellStyle name="Table  - Style6 2 3 2 3 2 2" xfId="13154"/>
    <cellStyle name="Table  - Style6 2 3 2 3 2_YL Capex Cashflow &amp; Dep" xfId="13591"/>
    <cellStyle name="Table  - Style6 2 3 2 3 3" xfId="12598"/>
    <cellStyle name="Table  - Style6 2 3 2 3_YL Capex Cashflow &amp; Dep" xfId="13590"/>
    <cellStyle name="Table  - Style6 2 3 2 4" xfId="11901"/>
    <cellStyle name="Table  - Style6 2 3 2_YL Capex Cashflow &amp; Dep" xfId="13587"/>
    <cellStyle name="Table  - Style6 2 3 3" xfId="2657"/>
    <cellStyle name="Table  - Style6 2 3 3 2" xfId="2658"/>
    <cellStyle name="Table  - Style6 2 3 3 2 2" xfId="2659"/>
    <cellStyle name="Table  - Style6 2 3 3 2 2 2" xfId="13033"/>
    <cellStyle name="Table  - Style6 2 3 3 2 2_YL Capex Cashflow &amp; Dep" xfId="13594"/>
    <cellStyle name="Table  - Style6 2 3 3 2 3" xfId="12109"/>
    <cellStyle name="Table  - Style6 2 3 3 2_YL Capex Cashflow &amp; Dep" xfId="13593"/>
    <cellStyle name="Table  - Style6 2 3 3 3" xfId="2660"/>
    <cellStyle name="Table  - Style6 2 3 3 3 2" xfId="2661"/>
    <cellStyle name="Table  - Style6 2 3 3 3 2 2" xfId="13065"/>
    <cellStyle name="Table  - Style6 2 3 3 3 2_YL Capex Cashflow &amp; Dep" xfId="13596"/>
    <cellStyle name="Table  - Style6 2 3 3 3 3" xfId="12484"/>
    <cellStyle name="Table  - Style6 2 3 3 3_YL Capex Cashflow &amp; Dep" xfId="13595"/>
    <cellStyle name="Table  - Style6 2 3 3 4" xfId="11770"/>
    <cellStyle name="Table  - Style6 2 3 3_YL Capex Cashflow &amp; Dep" xfId="13592"/>
    <cellStyle name="Table  - Style6 2 3 4" xfId="2662"/>
    <cellStyle name="Table  - Style6 2 3 4 2" xfId="2663"/>
    <cellStyle name="Table  - Style6 2 3 4 2 2" xfId="12834"/>
    <cellStyle name="Table  - Style6 2 3 4 2_YL Capex Cashflow &amp; Dep" xfId="13598"/>
    <cellStyle name="Table  - Style6 2 3 4 3" xfId="12076"/>
    <cellStyle name="Table  - Style6 2 3 4_YL Capex Cashflow &amp; Dep" xfId="13597"/>
    <cellStyle name="Table  - Style6 2 3 5" xfId="2664"/>
    <cellStyle name="Table  - Style6 2 3 5 2" xfId="2665"/>
    <cellStyle name="Table  - Style6 2 3 5 2 2" xfId="12994"/>
    <cellStyle name="Table  - Style6 2 3 5 2_YL Capex Cashflow &amp; Dep" xfId="13600"/>
    <cellStyle name="Table  - Style6 2 3 5 3" xfId="12330"/>
    <cellStyle name="Table  - Style6 2 3 5_YL Capex Cashflow &amp; Dep" xfId="13599"/>
    <cellStyle name="Table  - Style6 2 3 6" xfId="11602"/>
    <cellStyle name="Table  - Style6 2 3_YL Capex Cashflow &amp; Dep" xfId="13586"/>
    <cellStyle name="Table  - Style6 2 4" xfId="2666"/>
    <cellStyle name="Table  - Style6 2 4 2" xfId="2667"/>
    <cellStyle name="Table  - Style6 2 4 2 2" xfId="2668"/>
    <cellStyle name="Table  - Style6 2 4 2 2 2" xfId="2669"/>
    <cellStyle name="Table  - Style6 2 4 2 2 2 2" xfId="12884"/>
    <cellStyle name="Table  - Style6 2 4 2 2 2_YL Capex Cashflow &amp; Dep" xfId="13604"/>
    <cellStyle name="Table  - Style6 2 4 2 2 3" xfId="12191"/>
    <cellStyle name="Table  - Style6 2 4 2 2_YL Capex Cashflow &amp; Dep" xfId="13603"/>
    <cellStyle name="Table  - Style6 2 4 2 3" xfId="2670"/>
    <cellStyle name="Table  - Style6 2 4 2 3 2" xfId="2671"/>
    <cellStyle name="Table  - Style6 2 4 2 3 2 2" xfId="13204"/>
    <cellStyle name="Table  - Style6 2 4 2 3 2_YL Capex Cashflow &amp; Dep" xfId="13606"/>
    <cellStyle name="Table  - Style6 2 4 2 3 3" xfId="12719"/>
    <cellStyle name="Table  - Style6 2 4 2 3_YL Capex Cashflow &amp; Dep" xfId="13605"/>
    <cellStyle name="Table  - Style6 2 4 2 4" xfId="12021"/>
    <cellStyle name="Table  - Style6 2 4 2_YL Capex Cashflow &amp; Dep" xfId="13602"/>
    <cellStyle name="Table  - Style6 2 4 3" xfId="2672"/>
    <cellStyle name="Table  - Style6 2 4 3 2" xfId="2673"/>
    <cellStyle name="Table  - Style6 2 4 3 2 2" xfId="12998"/>
    <cellStyle name="Table  - Style6 2 4 3 2_YL Capex Cashflow &amp; Dep" xfId="13608"/>
    <cellStyle name="Table  - Style6 2 4 3 3" xfId="12113"/>
    <cellStyle name="Table  - Style6 2 4 3_YL Capex Cashflow &amp; Dep" xfId="13607"/>
    <cellStyle name="Table  - Style6 2 4 4" xfId="2674"/>
    <cellStyle name="Table  - Style6 2 4 4 2" xfId="2675"/>
    <cellStyle name="Table  - Style6 2 4 4 2 2" xfId="13069"/>
    <cellStyle name="Table  - Style6 2 4 4 2_YL Capex Cashflow &amp; Dep" xfId="13610"/>
    <cellStyle name="Table  - Style6 2 4 4 3" xfId="12488"/>
    <cellStyle name="Table  - Style6 2 4 4_YL Capex Cashflow &amp; Dep" xfId="13609"/>
    <cellStyle name="Table  - Style6 2 4 5" xfId="11776"/>
    <cellStyle name="Table  - Style6 2 4_YL Capex Cashflow &amp; Dep" xfId="13601"/>
    <cellStyle name="Table  - Style6 2 5" xfId="2676"/>
    <cellStyle name="Table  - Style6 2 5 2" xfId="2677"/>
    <cellStyle name="Table  - Style6 2 5 2 2" xfId="2678"/>
    <cellStyle name="Table  - Style6 2 5 2 2 2" xfId="2679"/>
    <cellStyle name="Table  - Style6 2 5 2 2 2 2" xfId="12816"/>
    <cellStyle name="Table  - Style6 2 5 2 2 2_YL Capex Cashflow &amp; Dep" xfId="13614"/>
    <cellStyle name="Table  - Style6 2 5 2 2 3" xfId="12216"/>
    <cellStyle name="Table  - Style6 2 5 2 2_YL Capex Cashflow &amp; Dep" xfId="13613"/>
    <cellStyle name="Table  - Style6 2 5 2 3" xfId="2680"/>
    <cellStyle name="Table  - Style6 2 5 2 3 2" xfId="2681"/>
    <cellStyle name="Table  - Style6 2 5 2 3 2 2" xfId="13234"/>
    <cellStyle name="Table  - Style6 2 5 2 3 2_YL Capex Cashflow &amp; Dep" xfId="13616"/>
    <cellStyle name="Table  - Style6 2 5 2 3 3" xfId="12746"/>
    <cellStyle name="Table  - Style6 2 5 2 3_YL Capex Cashflow &amp; Dep" xfId="13615"/>
    <cellStyle name="Table  - Style6 2 5 2 4" xfId="12044"/>
    <cellStyle name="Table  - Style6 2 5 2_YL Capex Cashflow &amp; Dep" xfId="13612"/>
    <cellStyle name="Table  - Style6 2 5 3" xfId="2682"/>
    <cellStyle name="Table  - Style6 2 5 3 2" xfId="2683"/>
    <cellStyle name="Table  - Style6 2 5 3 2 2" xfId="13188"/>
    <cellStyle name="Table  - Style6 2 5 3 2_YL Capex Cashflow &amp; Dep" xfId="13618"/>
    <cellStyle name="Table  - Style6 2 5 3 3" xfId="12141"/>
    <cellStyle name="Table  - Style6 2 5 3_YL Capex Cashflow &amp; Dep" xfId="13617"/>
    <cellStyle name="Table  - Style6 2 5 4" xfId="2684"/>
    <cellStyle name="Table  - Style6 2 5 4 2" xfId="2685"/>
    <cellStyle name="Table  - Style6 2 5 4 2 2" xfId="13104"/>
    <cellStyle name="Table  - Style6 2 5 4 2_YL Capex Cashflow &amp; Dep" xfId="13620"/>
    <cellStyle name="Table  - Style6 2 5 4 3" xfId="12518"/>
    <cellStyle name="Table  - Style6 2 5 4_YL Capex Cashflow &amp; Dep" xfId="13619"/>
    <cellStyle name="Table  - Style6 2 5 5" xfId="11812"/>
    <cellStyle name="Table  - Style6 2 5_YL Capex Cashflow &amp; Dep" xfId="13611"/>
    <cellStyle name="Table  - Style6 2 6" xfId="2686"/>
    <cellStyle name="Table  - Style6 2 6 2" xfId="2687"/>
    <cellStyle name="Table  - Style6 2 6 2 2" xfId="12832"/>
    <cellStyle name="Table  - Style6 2 6 2_YL Capex Cashflow &amp; Dep" xfId="13622"/>
    <cellStyle name="Table  - Style6 2 6 3" xfId="11539"/>
    <cellStyle name="Table  - Style6 2 6_YL Capex Cashflow &amp; Dep" xfId="13621"/>
    <cellStyle name="Table  - Style6 2 7" xfId="2688"/>
    <cellStyle name="Table  - Style6 2 7 2" xfId="2689"/>
    <cellStyle name="Table  - Style6 2 7 2 2" xfId="12940"/>
    <cellStyle name="Table  - Style6 2 7 2_YL Capex Cashflow &amp; Dep" xfId="13624"/>
    <cellStyle name="Table  - Style6 2 7 3" xfId="12250"/>
    <cellStyle name="Table  - Style6 2 7_YL Capex Cashflow &amp; Dep" xfId="13623"/>
    <cellStyle name="Table  - Style6 2 8" xfId="2690"/>
    <cellStyle name="Table  - Style6 2 8 2" xfId="12774"/>
    <cellStyle name="Table  - Style6 2 8_YL Capex Cashflow &amp; Dep" xfId="13625"/>
    <cellStyle name="Table  - Style6 2 9" xfId="11039"/>
    <cellStyle name="Table  - Style6 2_YL Capex Cashflow &amp; Dep" xfId="13570"/>
    <cellStyle name="Table  - Style6 3" xfId="2691"/>
    <cellStyle name="Table  - Style6 3 2" xfId="2692"/>
    <cellStyle name="Table  - Style6 3 2 2" xfId="2693"/>
    <cellStyle name="Table  - Style6 3 2 2 2" xfId="2694"/>
    <cellStyle name="Table  - Style6 3 2 2 2 2" xfId="13124"/>
    <cellStyle name="Table  - Style6 3 2 2 2_YL Capex Cashflow &amp; Dep" xfId="13629"/>
    <cellStyle name="Table  - Style6 3 2 2 3" xfId="12179"/>
    <cellStyle name="Table  - Style6 3 2 2_YL Capex Cashflow &amp; Dep" xfId="13628"/>
    <cellStyle name="Table  - Style6 3 2 3" xfId="2695"/>
    <cellStyle name="Table  - Style6 3 2 3 2" xfId="2696"/>
    <cellStyle name="Table  - Style6 3 2 3 2 2" xfId="13183"/>
    <cellStyle name="Table  - Style6 3 2 3 2_YL Capex Cashflow &amp; Dep" xfId="13631"/>
    <cellStyle name="Table  - Style6 3 2 3 3" xfId="12681"/>
    <cellStyle name="Table  - Style6 3 2 3_YL Capex Cashflow &amp; Dep" xfId="13630"/>
    <cellStyle name="Table  - Style6 3 2 4" xfId="11982"/>
    <cellStyle name="Table  - Style6 3 2_YL Capex Cashflow &amp; Dep" xfId="13627"/>
    <cellStyle name="Table  - Style6 3 3" xfId="2697"/>
    <cellStyle name="Table  - Style6 3 3 2" xfId="2698"/>
    <cellStyle name="Table  - Style6 3 3 2 2" xfId="2699"/>
    <cellStyle name="Table  - Style6 3 3 2 2 2" xfId="13170"/>
    <cellStyle name="Table  - Style6 3 3 2 2_YL Capex Cashflow &amp; Dep" xfId="13634"/>
    <cellStyle name="Table  - Style6 3 3 2 3" xfId="12096"/>
    <cellStyle name="Table  - Style6 3 3 2_YL Capex Cashflow &amp; Dep" xfId="13633"/>
    <cellStyle name="Table  - Style6 3 3 3" xfId="2700"/>
    <cellStyle name="Table  - Style6 3 3 3 2" xfId="2701"/>
    <cellStyle name="Table  - Style6 3 3 3 2 2" xfId="13043"/>
    <cellStyle name="Table  - Style6 3 3 3 2_YL Capex Cashflow &amp; Dep" xfId="13636"/>
    <cellStyle name="Table  - Style6 3 3 3 3" xfId="12449"/>
    <cellStyle name="Table  - Style6 3 3 3_YL Capex Cashflow &amp; Dep" xfId="13635"/>
    <cellStyle name="Table  - Style6 3 3 4" xfId="11727"/>
    <cellStyle name="Table  - Style6 3 3_YL Capex Cashflow &amp; Dep" xfId="13632"/>
    <cellStyle name="Table  - Style6 3 4" xfId="2702"/>
    <cellStyle name="Table  - Style6 3 4 2" xfId="2703"/>
    <cellStyle name="Table  - Style6 3 4 2 2" xfId="12856"/>
    <cellStyle name="Table  - Style6 3 4 2_YL Capex Cashflow &amp; Dep" xfId="13638"/>
    <cellStyle name="Table  - Style6 3 4 3" xfId="12087"/>
    <cellStyle name="Table  - Style6 3 4_YL Capex Cashflow &amp; Dep" xfId="13637"/>
    <cellStyle name="Table  - Style6 3 5" xfId="2704"/>
    <cellStyle name="Table  - Style6 3 5 2" xfId="2705"/>
    <cellStyle name="Table  - Style6 3 5 2 2" xfId="13026"/>
    <cellStyle name="Table  - Style6 3 5 2_YL Capex Cashflow &amp; Dep" xfId="13640"/>
    <cellStyle name="Table  - Style6 3 5 3" xfId="12413"/>
    <cellStyle name="Table  - Style6 3 5_YL Capex Cashflow &amp; Dep" xfId="13639"/>
    <cellStyle name="Table  - Style6 3 6" xfId="11449"/>
    <cellStyle name="Table  - Style6 3_YL Capex Cashflow &amp; Dep" xfId="13626"/>
    <cellStyle name="Table  - Style6 4" xfId="2706"/>
    <cellStyle name="Table  - Style6 4 2" xfId="2707"/>
    <cellStyle name="Table  - Style6 4 2 2" xfId="2708"/>
    <cellStyle name="Table  - Style6 4 2 2 2" xfId="2709"/>
    <cellStyle name="Table  - Style6 4 2 2 2 2" xfId="12837"/>
    <cellStyle name="Table  - Style6 4 2 2 2_YL Capex Cashflow &amp; Dep" xfId="13644"/>
    <cellStyle name="Table  - Style6 4 2 2 3" xfId="12169"/>
    <cellStyle name="Table  - Style6 4 2 2_YL Capex Cashflow &amp; Dep" xfId="13643"/>
    <cellStyle name="Table  - Style6 4 2 3" xfId="2710"/>
    <cellStyle name="Table  - Style6 4 2 3 2" xfId="2711"/>
    <cellStyle name="Table  - Style6 4 2 3 2 2" xfId="13145"/>
    <cellStyle name="Table  - Style6 4 2 3 2_YL Capex Cashflow &amp; Dep" xfId="13646"/>
    <cellStyle name="Table  - Style6 4 2 3 3" xfId="12572"/>
    <cellStyle name="Table  - Style6 4 2 3_YL Capex Cashflow &amp; Dep" xfId="13645"/>
    <cellStyle name="Table  - Style6 4 2 4" xfId="11876"/>
    <cellStyle name="Table  - Style6 4 2_YL Capex Cashflow &amp; Dep" xfId="13642"/>
    <cellStyle name="Table  - Style6 4 3" xfId="2712"/>
    <cellStyle name="Table  - Style6 4 3 2" xfId="2713"/>
    <cellStyle name="Table  - Style6 4 3 2 2" xfId="2714"/>
    <cellStyle name="Table  - Style6 4 3 2 2 2" xfId="12933"/>
    <cellStyle name="Table  - Style6 4 3 2 2_YL Capex Cashflow &amp; Dep" xfId="13649"/>
    <cellStyle name="Table  - Style6 4 3 2 3" xfId="12101"/>
    <cellStyle name="Table  - Style6 4 3 2_YL Capex Cashflow &amp; Dep" xfId="13648"/>
    <cellStyle name="Table  - Style6 4 3 3" xfId="2715"/>
    <cellStyle name="Table  - Style6 4 3 3 2" xfId="2716"/>
    <cellStyle name="Table  - Style6 4 3 3 2 2" xfId="13048"/>
    <cellStyle name="Table  - Style6 4 3 3 2_YL Capex Cashflow &amp; Dep" xfId="13651"/>
    <cellStyle name="Table  - Style6 4 3 3 3" xfId="12454"/>
    <cellStyle name="Table  - Style6 4 3 3_YL Capex Cashflow &amp; Dep" xfId="13650"/>
    <cellStyle name="Table  - Style6 4 3 4" xfId="11736"/>
    <cellStyle name="Table  - Style6 4 3_YL Capex Cashflow &amp; Dep" xfId="13647"/>
    <cellStyle name="Table  - Style6 4 4" xfId="2717"/>
    <cellStyle name="Table  - Style6 4 4 2" xfId="2718"/>
    <cellStyle name="Table  - Style6 4 4 2 2" xfId="12871"/>
    <cellStyle name="Table  - Style6 4 4 2_YL Capex Cashflow &amp; Dep" xfId="13653"/>
    <cellStyle name="Table  - Style6 4 4 3" xfId="12072"/>
    <cellStyle name="Table  - Style6 4 4_YL Capex Cashflow &amp; Dep" xfId="13652"/>
    <cellStyle name="Table  - Style6 4 5" xfId="2719"/>
    <cellStyle name="Table  - Style6 4 5 2" xfId="2720"/>
    <cellStyle name="Table  - Style6 4 5 2 2" xfId="12984"/>
    <cellStyle name="Table  - Style6 4 5 2_YL Capex Cashflow &amp; Dep" xfId="13655"/>
    <cellStyle name="Table  - Style6 4 5 3" xfId="12304"/>
    <cellStyle name="Table  - Style6 4 5_YL Capex Cashflow &amp; Dep" xfId="13654"/>
    <cellStyle name="Table  - Style6 4 6" xfId="11576"/>
    <cellStyle name="Table  - Style6 4_YL Capex Cashflow &amp; Dep" xfId="13641"/>
    <cellStyle name="Table  - Style6 5" xfId="2721"/>
    <cellStyle name="Table  - Style6 5 2" xfId="2722"/>
    <cellStyle name="Table  - Style6 5 2 2" xfId="2723"/>
    <cellStyle name="Table  - Style6 5 2 2 2" xfId="2724"/>
    <cellStyle name="Table  - Style6 5 2 2 2 2" xfId="13162"/>
    <cellStyle name="Table  - Style6 5 2 2 2_YL Capex Cashflow &amp; Dep" xfId="13659"/>
    <cellStyle name="Table  - Style6 5 2 2 3" xfId="12196"/>
    <cellStyle name="Table  - Style6 5 2 2_YL Capex Cashflow &amp; Dep" xfId="13658"/>
    <cellStyle name="Table  - Style6 5 2 3" xfId="2725"/>
    <cellStyle name="Table  - Style6 5 2 3 2" xfId="2726"/>
    <cellStyle name="Table  - Style6 5 2 3 2 2" xfId="13212"/>
    <cellStyle name="Table  - Style6 5 2 3 2_YL Capex Cashflow &amp; Dep" xfId="13661"/>
    <cellStyle name="Table  - Style6 5 2 3 3" xfId="12726"/>
    <cellStyle name="Table  - Style6 5 2 3_YL Capex Cashflow &amp; Dep" xfId="13660"/>
    <cellStyle name="Table  - Style6 5 2 4" xfId="12026"/>
    <cellStyle name="Table  - Style6 5 2_YL Capex Cashflow &amp; Dep" xfId="13657"/>
    <cellStyle name="Table  - Style6 5 3" xfId="2727"/>
    <cellStyle name="Table  - Style6 5 3 2" xfId="2728"/>
    <cellStyle name="Table  - Style6 5 3 2 2" xfId="12902"/>
    <cellStyle name="Table  - Style6 5 3 2_YL Capex Cashflow &amp; Dep" xfId="13663"/>
    <cellStyle name="Table  - Style6 5 3 3" xfId="12119"/>
    <cellStyle name="Table  - Style6 5 3_YL Capex Cashflow &amp; Dep" xfId="13662"/>
    <cellStyle name="Table  - Style6 5 4" xfId="2729"/>
    <cellStyle name="Table  - Style6 5 4 2" xfId="2730"/>
    <cellStyle name="Table  - Style6 5 4 2 2" xfId="13077"/>
    <cellStyle name="Table  - Style6 5 4 2_YL Capex Cashflow &amp; Dep" xfId="13665"/>
    <cellStyle name="Table  - Style6 5 4 3" xfId="12494"/>
    <cellStyle name="Table  - Style6 5 4_YL Capex Cashflow &amp; Dep" xfId="13664"/>
    <cellStyle name="Table  - Style6 5 5" xfId="11783"/>
    <cellStyle name="Table  - Style6 5_YL Capex Cashflow &amp; Dep" xfId="13656"/>
    <cellStyle name="Table  - Style6 6" xfId="2731"/>
    <cellStyle name="Table  - Style6 6 2" xfId="2732"/>
    <cellStyle name="Table  - Style6 6 2 2" xfId="2733"/>
    <cellStyle name="Table  - Style6 6 2 2 2" xfId="2734"/>
    <cellStyle name="Table  - Style6 6 2 2 2 2" xfId="12783"/>
    <cellStyle name="Table  - Style6 6 2 2 2_YL Capex Cashflow &amp; Dep" xfId="13669"/>
    <cellStyle name="Table  - Style6 6 2 2 3" xfId="12212"/>
    <cellStyle name="Table  - Style6 6 2 2_YL Capex Cashflow &amp; Dep" xfId="13668"/>
    <cellStyle name="Table  - Style6 6 2 3" xfId="2735"/>
    <cellStyle name="Table  - Style6 6 2 3 2" xfId="2736"/>
    <cellStyle name="Table  - Style6 6 2 3 2 2" xfId="13230"/>
    <cellStyle name="Table  - Style6 6 2 3 2_YL Capex Cashflow &amp; Dep" xfId="13671"/>
    <cellStyle name="Table  - Style6 6 2 3 3" xfId="12742"/>
    <cellStyle name="Table  - Style6 6 2 3_YL Capex Cashflow &amp; Dep" xfId="13670"/>
    <cellStyle name="Table  - Style6 6 2 4" xfId="12040"/>
    <cellStyle name="Table  - Style6 6 2_YL Capex Cashflow &amp; Dep" xfId="13667"/>
    <cellStyle name="Table  - Style6 6 3" xfId="2737"/>
    <cellStyle name="Table  - Style6 6 3 2" xfId="2738"/>
    <cellStyle name="Table  - Style6 6 3 2 2" xfId="12934"/>
    <cellStyle name="Table  - Style6 6 3 2_YL Capex Cashflow &amp; Dep" xfId="13673"/>
    <cellStyle name="Table  - Style6 6 3 3" xfId="12133"/>
    <cellStyle name="Table  - Style6 6 3_YL Capex Cashflow &amp; Dep" xfId="13672"/>
    <cellStyle name="Table  - Style6 6 4" xfId="2739"/>
    <cellStyle name="Table  - Style6 6 4 2" xfId="2740"/>
    <cellStyle name="Table  - Style6 6 4 2 2" xfId="13095"/>
    <cellStyle name="Table  - Style6 6 4 2_YL Capex Cashflow &amp; Dep" xfId="13675"/>
    <cellStyle name="Table  - Style6 6 4 3" xfId="12512"/>
    <cellStyle name="Table  - Style6 6 4_YL Capex Cashflow &amp; Dep" xfId="13674"/>
    <cellStyle name="Table  - Style6 6 5" xfId="11806"/>
    <cellStyle name="Table  - Style6 6_YL Capex Cashflow &amp; Dep" xfId="13666"/>
    <cellStyle name="Table  - Style6 7" xfId="2741"/>
    <cellStyle name="Table  - Style6 7 2" xfId="2742"/>
    <cellStyle name="Table  - Style6 7 2 2" xfId="12860"/>
    <cellStyle name="Table  - Style6 7 2_YL Capex Cashflow &amp; Dep" xfId="13677"/>
    <cellStyle name="Table  - Style6 7 3" xfId="11542"/>
    <cellStyle name="Table  - Style6 7_YL Capex Cashflow &amp; Dep" xfId="13676"/>
    <cellStyle name="Table  - Style6 8" xfId="2743"/>
    <cellStyle name="Table  - Style6 8 2" xfId="2744"/>
    <cellStyle name="Table  - Style6 8 2 2" xfId="12924"/>
    <cellStyle name="Table  - Style6 8 2_YL Capex Cashflow &amp; Dep" xfId="13679"/>
    <cellStyle name="Table  - Style6 8 3" xfId="12220"/>
    <cellStyle name="Table  - Style6 8_YL Capex Cashflow &amp; Dep" xfId="13678"/>
    <cellStyle name="Table  - Style6 9" xfId="2745"/>
    <cellStyle name="Table  - Style6 9 2" xfId="12808"/>
    <cellStyle name="Table  - Style6 9_YL Capex Cashflow &amp; Dep" xfId="13680"/>
    <cellStyle name="Table  - Style6_YL Capex Cashflow &amp; Dep" xfId="13569"/>
    <cellStyle name="Table Head" xfId="2746"/>
    <cellStyle name="Table Head Aligned" xfId="2747"/>
    <cellStyle name="Table Head Aligned 2" xfId="2748"/>
    <cellStyle name="Table Head Blue" xfId="2749"/>
    <cellStyle name="Table Head Green" xfId="2750"/>
    <cellStyle name="Table Head Green 2" xfId="2751"/>
    <cellStyle name="Table Head_Val_Sum_Graph" xfId="2752"/>
    <cellStyle name="Table Heading" xfId="2753"/>
    <cellStyle name="Table Text" xfId="2754"/>
    <cellStyle name="Table Title" xfId="2755"/>
    <cellStyle name="Table Units" xfId="2756"/>
    <cellStyle name="Table Units 2" xfId="2757"/>
    <cellStyle name="Table Units 2 2" xfId="2758"/>
    <cellStyle name="Table Units 2 2 10" xfId="8237"/>
    <cellStyle name="Table Units 2 2 10 2" xfId="8238"/>
    <cellStyle name="Table Units 2 2 2" xfId="2759"/>
    <cellStyle name="Table Units 2 2 2 2" xfId="11826"/>
    <cellStyle name="Table Units 2 2 3" xfId="8239"/>
    <cellStyle name="Table Units 2 2 3 2" xfId="8240"/>
    <cellStyle name="Table Units 2 2 4" xfId="8241"/>
    <cellStyle name="Table Units 2 2 4 2" xfId="8242"/>
    <cellStyle name="Table Units 2 2 5" xfId="8243"/>
    <cellStyle name="Table Units 2 2 5 2" xfId="8244"/>
    <cellStyle name="Table Units 2 2 6" xfId="8245"/>
    <cellStyle name="Table Units 2 2 6 2" xfId="8246"/>
    <cellStyle name="Table Units 2 2 7" xfId="8247"/>
    <cellStyle name="Table Units 2 2 7 2" xfId="8248"/>
    <cellStyle name="Table Units 2 2 8" xfId="8249"/>
    <cellStyle name="Table Units 2 2 8 2" xfId="8250"/>
    <cellStyle name="Table Units 2 2 9" xfId="8251"/>
    <cellStyle name="Table Units 2 2 9 2" xfId="8252"/>
    <cellStyle name="Table Units 2 3" xfId="2760"/>
    <cellStyle name="Table Units 2 3 2" xfId="2761"/>
    <cellStyle name="Table Units 2 3 2 2" xfId="11836"/>
    <cellStyle name="Table Units 2 4" xfId="2762"/>
    <cellStyle name="Table Units 2 4 2" xfId="11818"/>
    <cellStyle name="Table Units 2 5" xfId="8253"/>
    <cellStyle name="Table Units 3" xfId="2763"/>
    <cellStyle name="Table Units 3 10" xfId="8254"/>
    <cellStyle name="Table Units 3 10 2" xfId="8255"/>
    <cellStyle name="Table Units 3 2" xfId="2764"/>
    <cellStyle name="Table Units 3 2 2" xfId="11822"/>
    <cellStyle name="Table Units 3 3" xfId="8256"/>
    <cellStyle name="Table Units 3 3 2" xfId="8257"/>
    <cellStyle name="Table Units 3 4" xfId="8258"/>
    <cellStyle name="Table Units 3 4 2" xfId="8259"/>
    <cellStyle name="Table Units 3 5" xfId="8260"/>
    <cellStyle name="Table Units 3 5 2" xfId="8261"/>
    <cellStyle name="Table Units 3 6" xfId="8262"/>
    <cellStyle name="Table Units 3 6 2" xfId="8263"/>
    <cellStyle name="Table Units 3 7" xfId="8264"/>
    <cellStyle name="Table Units 3 7 2" xfId="8265"/>
    <cellStyle name="Table Units 3 8" xfId="8266"/>
    <cellStyle name="Table Units 3 8 2" xfId="8267"/>
    <cellStyle name="Table Units 3 9" xfId="8268"/>
    <cellStyle name="Table Units 3 9 2" xfId="8269"/>
    <cellStyle name="Table Units 4" xfId="2765"/>
    <cellStyle name="Table Units 4 2" xfId="2766"/>
    <cellStyle name="Table Units 4 2 2" xfId="11835"/>
    <cellStyle name="Table Units 5" xfId="2767"/>
    <cellStyle name="Table Units 5 2" xfId="11817"/>
    <cellStyle name="Table Units 6" xfId="8270"/>
    <cellStyle name="Table_Header" xfId="2768"/>
    <cellStyle name="Text" xfId="2769"/>
    <cellStyle name="Text 1" xfId="2770"/>
    <cellStyle name="Text Head 1" xfId="2771"/>
    <cellStyle name="Text Indent A" xfId="2772"/>
    <cellStyle name="Text Indent B" xfId="2773"/>
    <cellStyle name="Text Indent C" xfId="2774"/>
    <cellStyle name="Text_TB_YYB 30.6.2007" xfId="2775"/>
    <cellStyle name="Thousand" xfId="2776"/>
    <cellStyle name="Tick" xfId="2777"/>
    <cellStyle name="Tickmark" xfId="2778"/>
    <cellStyle name="Time" xfId="2779"/>
    <cellStyle name="Times New Roman" xfId="2780"/>
    <cellStyle name="Times New Roman 12" xfId="2781"/>
    <cellStyle name="Times New Roman_2006-WP" xfId="2782"/>
    <cellStyle name="Title  - Style1" xfId="2783"/>
    <cellStyle name="Title 10" xfId="2784"/>
    <cellStyle name="Title 11" xfId="2785"/>
    <cellStyle name="Title 12" xfId="2786"/>
    <cellStyle name="Title 13" xfId="2787"/>
    <cellStyle name="Title 14" xfId="2788"/>
    <cellStyle name="Title 15" xfId="2789"/>
    <cellStyle name="Title 16" xfId="2790"/>
    <cellStyle name="Title 17" xfId="2791"/>
    <cellStyle name="Title 18" xfId="2792"/>
    <cellStyle name="Title 2" xfId="2793"/>
    <cellStyle name="Title 2 2" xfId="2794"/>
    <cellStyle name="Title 3" xfId="2795"/>
    <cellStyle name="Title 4" xfId="2796"/>
    <cellStyle name="Title 5" xfId="2797"/>
    <cellStyle name="Title 6" xfId="2798"/>
    <cellStyle name="Title 7" xfId="2799"/>
    <cellStyle name="Title 8" xfId="2800"/>
    <cellStyle name="Title 9" xfId="2801"/>
    <cellStyle name="Total 2" xfId="2802"/>
    <cellStyle name="Total 2 2" xfId="2803"/>
    <cellStyle name="Total 2 2 2" xfId="2804"/>
    <cellStyle name="Total 2 2 2 2" xfId="2805"/>
    <cellStyle name="Total 2 2 2 2 2" xfId="2806"/>
    <cellStyle name="Total 2 2 2 2 2 2" xfId="2807"/>
    <cellStyle name="Total 2 2 2 2 2 2 2" xfId="12881"/>
    <cellStyle name="Total 2 2 2 2 2 2_YL Capex Cashflow &amp; Dep" xfId="13686"/>
    <cellStyle name="Total 2 2 2 2 2_YL Capex Cashflow &amp; Dep" xfId="13685"/>
    <cellStyle name="Total 2 2 2 2 3" xfId="2808"/>
    <cellStyle name="Total 2 2 2 2 3 2" xfId="2809"/>
    <cellStyle name="Total 2 2 2 2 3 2 2" xfId="13138"/>
    <cellStyle name="Total 2 2 2 2 3 2_YL Capex Cashflow &amp; Dep" xfId="13688"/>
    <cellStyle name="Total 2 2 2 2 3_YL Capex Cashflow &amp; Dep" xfId="13687"/>
    <cellStyle name="Total 2 2 2 2_YL Capex Cashflow &amp; Dep" xfId="13684"/>
    <cellStyle name="Total 2 2 2 3" xfId="2810"/>
    <cellStyle name="Total 2 2 2 3 2" xfId="2811"/>
    <cellStyle name="Total 2 2 2 3 2 2" xfId="13167"/>
    <cellStyle name="Total 2 2 2 3 2_YL Capex Cashflow &amp; Dep" xfId="13690"/>
    <cellStyle name="Total 2 2 2 3_YL Capex Cashflow &amp; Dep" xfId="13689"/>
    <cellStyle name="Total 2 2 2 4" xfId="2812"/>
    <cellStyle name="Total 2 2 2 4 2" xfId="2813"/>
    <cellStyle name="Total 2 2 2 4 2 2" xfId="12977"/>
    <cellStyle name="Total 2 2 2 4 2_YL Capex Cashflow &amp; Dep" xfId="13692"/>
    <cellStyle name="Total 2 2 2 4_YL Capex Cashflow &amp; Dep" xfId="13691"/>
    <cellStyle name="Total 2 2 2_YL Capex Cashflow &amp; Dep" xfId="13683"/>
    <cellStyle name="Total 2 2 3" xfId="2814"/>
    <cellStyle name="Total 2 2 3 2" xfId="2815"/>
    <cellStyle name="Total 2 2 3 2 2" xfId="2816"/>
    <cellStyle name="Total 2 2 3 2 2 2" xfId="2817"/>
    <cellStyle name="Total 2 2 3 2 2 2 2" xfId="13169"/>
    <cellStyle name="Total 2 2 3 2 2 2_YL Capex Cashflow &amp; Dep" xfId="13696"/>
    <cellStyle name="Total 2 2 3 2 2_YL Capex Cashflow &amp; Dep" xfId="13695"/>
    <cellStyle name="Total 2 2 3 2 3" xfId="2818"/>
    <cellStyle name="Total 2 2 3 2 3 2" xfId="2819"/>
    <cellStyle name="Total 2 2 3 2 3 2 2" xfId="13226"/>
    <cellStyle name="Total 2 2 3 2 3 2_YL Capex Cashflow &amp; Dep" xfId="13698"/>
    <cellStyle name="Total 2 2 3 2 3_YL Capex Cashflow &amp; Dep" xfId="13697"/>
    <cellStyle name="Total 2 2 3 2_YL Capex Cashflow &amp; Dep" xfId="13694"/>
    <cellStyle name="Total 2 2 3 3" xfId="2820"/>
    <cellStyle name="Total 2 2 3 3 2" xfId="2821"/>
    <cellStyle name="Total 2 2 3 3 2 2" xfId="12887"/>
    <cellStyle name="Total 2 2 3 3 2_YL Capex Cashflow &amp; Dep" xfId="13700"/>
    <cellStyle name="Total 2 2 3 3_YL Capex Cashflow &amp; Dep" xfId="13699"/>
    <cellStyle name="Total 2 2 3 4" xfId="2822"/>
    <cellStyle name="Total 2 2 3 4 2" xfId="2823"/>
    <cellStyle name="Total 2 2 3 4 2 2" xfId="13091"/>
    <cellStyle name="Total 2 2 3 4 2_YL Capex Cashflow &amp; Dep" xfId="13702"/>
    <cellStyle name="Total 2 2 3 4_YL Capex Cashflow &amp; Dep" xfId="13701"/>
    <cellStyle name="Total 2 2 3_YL Capex Cashflow &amp; Dep" xfId="13693"/>
    <cellStyle name="Total 2 2 4" xfId="2824"/>
    <cellStyle name="Total 2 2 4 2" xfId="2825"/>
    <cellStyle name="Total 2 2 4 2 2" xfId="2826"/>
    <cellStyle name="Total 2 2 4 2 2 2" xfId="12965"/>
    <cellStyle name="Total 2 2 4 2 2_YL Capex Cashflow &amp; Dep" xfId="13705"/>
    <cellStyle name="Total 2 2 4 2_YL Capex Cashflow &amp; Dep" xfId="13704"/>
    <cellStyle name="Total 2 2 4 3" xfId="2827"/>
    <cellStyle name="Total 2 2 4 3 2" xfId="2828"/>
    <cellStyle name="Total 2 2 4 3 2 2" xfId="13117"/>
    <cellStyle name="Total 2 2 4 3 2_YL Capex Cashflow &amp; Dep" xfId="13707"/>
    <cellStyle name="Total 2 2 4 3_YL Capex Cashflow &amp; Dep" xfId="13706"/>
    <cellStyle name="Total 2 2 4_YL Capex Cashflow &amp; Dep" xfId="13703"/>
    <cellStyle name="Total 2 2 5" xfId="2829"/>
    <cellStyle name="Total 2 2 5 2" xfId="2830"/>
    <cellStyle name="Total 2 2 5 2 2" xfId="12838"/>
    <cellStyle name="Total 2 2 5 2_YL Capex Cashflow &amp; Dep" xfId="13709"/>
    <cellStyle name="Total 2 2 5_YL Capex Cashflow &amp; Dep" xfId="13708"/>
    <cellStyle name="Total 2 2 6" xfId="2831"/>
    <cellStyle name="Total 2 2 6 2" xfId="2832"/>
    <cellStyle name="Total 2 2 6 2 2" xfId="12955"/>
    <cellStyle name="Total 2 2 6 2_YL Capex Cashflow &amp; Dep" xfId="13711"/>
    <cellStyle name="Total 2 2 6_YL Capex Cashflow &amp; Dep" xfId="13710"/>
    <cellStyle name="Total 2 2 7" xfId="2833"/>
    <cellStyle name="Total 2 2 7 2" xfId="12778"/>
    <cellStyle name="Total 2 2 7_YL Capex Cashflow &amp; Dep" xfId="13712"/>
    <cellStyle name="Total 2 2_YL Capex Cashflow &amp; Dep" xfId="13682"/>
    <cellStyle name="Total 2 3" xfId="2834"/>
    <cellStyle name="Total 2 3 2" xfId="2835"/>
    <cellStyle name="Total 2 3 2 2" xfId="2836"/>
    <cellStyle name="Total 2 3 2 2 2" xfId="2837"/>
    <cellStyle name="Total 2 3 2 2 2 2" xfId="13187"/>
    <cellStyle name="Total 2 3 2 2 2_YL Capex Cashflow &amp; Dep" xfId="13716"/>
    <cellStyle name="Total 2 3 2 2_YL Capex Cashflow &amp; Dep" xfId="13715"/>
    <cellStyle name="Total 2 3 2 3" xfId="2838"/>
    <cellStyle name="Total 2 3 2 3 2" xfId="2839"/>
    <cellStyle name="Total 2 3 2 3 2 2" xfId="13141"/>
    <cellStyle name="Total 2 3 2 3 2_YL Capex Cashflow &amp; Dep" xfId="13718"/>
    <cellStyle name="Total 2 3 2 3_YL Capex Cashflow &amp; Dep" xfId="13717"/>
    <cellStyle name="Total 2 3 2_YL Capex Cashflow &amp; Dep" xfId="13714"/>
    <cellStyle name="Total 2 3 3" xfId="2840"/>
    <cellStyle name="Total 2 3 3 2" xfId="2841"/>
    <cellStyle name="Total 2 3 3 2 2" xfId="12770"/>
    <cellStyle name="Total 2 3 3 2_YL Capex Cashflow &amp; Dep" xfId="13720"/>
    <cellStyle name="Total 2 3 3_YL Capex Cashflow &amp; Dep" xfId="13719"/>
    <cellStyle name="Total 2 3 4" xfId="2842"/>
    <cellStyle name="Total 2 3 4 2" xfId="2843"/>
    <cellStyle name="Total 2 3 4 2 2" xfId="12980"/>
    <cellStyle name="Total 2 3 4 2_YL Capex Cashflow &amp; Dep" xfId="13722"/>
    <cellStyle name="Total 2 3 4_YL Capex Cashflow &amp; Dep" xfId="13721"/>
    <cellStyle name="Total 2 3_YL Capex Cashflow &amp; Dep" xfId="13713"/>
    <cellStyle name="Total 2 4" xfId="2844"/>
    <cellStyle name="Total 2 4 2" xfId="2845"/>
    <cellStyle name="Total 2 4 2 2" xfId="2846"/>
    <cellStyle name="Total 2 4 2 2 2" xfId="2847"/>
    <cellStyle name="Total 2 4 2 2 2 2" xfId="12870"/>
    <cellStyle name="Total 2 4 2 2 2_YL Capex Cashflow &amp; Dep" xfId="13726"/>
    <cellStyle name="Total 2 4 2 2_YL Capex Cashflow &amp; Dep" xfId="13725"/>
    <cellStyle name="Total 2 4 2 3" xfId="2848"/>
    <cellStyle name="Total 2 4 2 3 2" xfId="2849"/>
    <cellStyle name="Total 2 4 2 3 2 2" xfId="13201"/>
    <cellStyle name="Total 2 4 2 3 2_YL Capex Cashflow &amp; Dep" xfId="13728"/>
    <cellStyle name="Total 2 4 2 3_YL Capex Cashflow &amp; Dep" xfId="13727"/>
    <cellStyle name="Total 2 4 2_YL Capex Cashflow &amp; Dep" xfId="13724"/>
    <cellStyle name="Total 2 4 3" xfId="2850"/>
    <cellStyle name="Total 2 4 3 2" xfId="2851"/>
    <cellStyle name="Total 2 4 3 2 2" xfId="13147"/>
    <cellStyle name="Total 2 4 3 2_YL Capex Cashflow &amp; Dep" xfId="13730"/>
    <cellStyle name="Total 2 4 3_YL Capex Cashflow &amp; Dep" xfId="13729"/>
    <cellStyle name="Total 2 4 4" xfId="2852"/>
    <cellStyle name="Total 2 4 4 2" xfId="2853"/>
    <cellStyle name="Total 2 4 4 2 2" xfId="13062"/>
    <cellStyle name="Total 2 4 4 2_YL Capex Cashflow &amp; Dep" xfId="13732"/>
    <cellStyle name="Total 2 4 4_YL Capex Cashflow &amp; Dep" xfId="13731"/>
    <cellStyle name="Total 2 4_YL Capex Cashflow &amp; Dep" xfId="13723"/>
    <cellStyle name="Total 2 5" xfId="2854"/>
    <cellStyle name="Total 2 5 2" xfId="2855"/>
    <cellStyle name="Total 2 5 2 2" xfId="2856"/>
    <cellStyle name="Total 2 5 2 2 2" xfId="2857"/>
    <cellStyle name="Total 2 5 2 2 2 2" xfId="13190"/>
    <cellStyle name="Total 2 5 2 2 2_YL Capex Cashflow &amp; Dep" xfId="13736"/>
    <cellStyle name="Total 2 5 2 2_YL Capex Cashflow &amp; Dep" xfId="13735"/>
    <cellStyle name="Total 2 5 2 3" xfId="2858"/>
    <cellStyle name="Total 2 5 2 3 2" xfId="2859"/>
    <cellStyle name="Total 2 5 2 3 2 2" xfId="13207"/>
    <cellStyle name="Total 2 5 2 3 2_YL Capex Cashflow &amp; Dep" xfId="13738"/>
    <cellStyle name="Total 2 5 2 3_YL Capex Cashflow &amp; Dep" xfId="13737"/>
    <cellStyle name="Total 2 5 2_YL Capex Cashflow &amp; Dep" xfId="13734"/>
    <cellStyle name="Total 2 5 3" xfId="2860"/>
    <cellStyle name="Total 2 5 3 2" xfId="2861"/>
    <cellStyle name="Total 2 5 3 2 2" xfId="12886"/>
    <cellStyle name="Total 2 5 3 2_YL Capex Cashflow &amp; Dep" xfId="13740"/>
    <cellStyle name="Total 2 5 3_YL Capex Cashflow &amp; Dep" xfId="13739"/>
    <cellStyle name="Total 2 5 4" xfId="2862"/>
    <cellStyle name="Total 2 5 4 2" xfId="2863"/>
    <cellStyle name="Total 2 5 4 2 2" xfId="13072"/>
    <cellStyle name="Total 2 5 4 2_YL Capex Cashflow &amp; Dep" xfId="13742"/>
    <cellStyle name="Total 2 5 4_YL Capex Cashflow &amp; Dep" xfId="13741"/>
    <cellStyle name="Total 2 5_YL Capex Cashflow &amp; Dep" xfId="13733"/>
    <cellStyle name="Total 2 6" xfId="2864"/>
    <cellStyle name="Total 2 6 2" xfId="2865"/>
    <cellStyle name="Total 2 6 2 2" xfId="2866"/>
    <cellStyle name="Total 2 6 2 2 2" xfId="12882"/>
    <cellStyle name="Total 2 6 2 2_YL Capex Cashflow &amp; Dep" xfId="13745"/>
    <cellStyle name="Total 2 6 2_YL Capex Cashflow &amp; Dep" xfId="13744"/>
    <cellStyle name="Total 2 6 3" xfId="2867"/>
    <cellStyle name="Total 2 6 3 2" xfId="2868"/>
    <cellStyle name="Total 2 6 3 2 2" xfId="13101"/>
    <cellStyle name="Total 2 6 3 2_YL Capex Cashflow &amp; Dep" xfId="13747"/>
    <cellStyle name="Total 2 6 3_YL Capex Cashflow &amp; Dep" xfId="13746"/>
    <cellStyle name="Total 2 6_YL Capex Cashflow &amp; Dep" xfId="13743"/>
    <cellStyle name="Total 2 7" xfId="2869"/>
    <cellStyle name="Total 2 7 2" xfId="2870"/>
    <cellStyle name="Total 2 7 2 2" xfId="13036"/>
    <cellStyle name="Total 2 7 2_YL Capex Cashflow &amp; Dep" xfId="13749"/>
    <cellStyle name="Total 2 7_YL Capex Cashflow &amp; Dep" xfId="13748"/>
    <cellStyle name="Total 2 8" xfId="2871"/>
    <cellStyle name="Total 2 8 2" xfId="2872"/>
    <cellStyle name="Total 2 8 2 2" xfId="12930"/>
    <cellStyle name="Total 2 8 2_YL Capex Cashflow &amp; Dep" xfId="13751"/>
    <cellStyle name="Total 2 8_YL Capex Cashflow &amp; Dep" xfId="13750"/>
    <cellStyle name="Total 2 9" xfId="2873"/>
    <cellStyle name="Total 2 9 2" xfId="13039"/>
    <cellStyle name="Total 2 9_YL Capex Cashflow &amp; Dep" xfId="13752"/>
    <cellStyle name="Total 2_YL Capex Cashflow &amp; Dep" xfId="13681"/>
    <cellStyle name="Total 3" xfId="2874"/>
    <cellStyle name="Total 3 2" xfId="2875"/>
    <cellStyle name="Total 3 2 2" xfId="2876"/>
    <cellStyle name="Total 3 2 2 2" xfId="2877"/>
    <cellStyle name="Total 3 2 2 2 2" xfId="2878"/>
    <cellStyle name="Total 3 2 2 2 2 2" xfId="12764"/>
    <cellStyle name="Total 3 2 2 2 2_YL Capex Cashflow &amp; Dep" xfId="13757"/>
    <cellStyle name="Total 3 2 2 2_YL Capex Cashflow &amp; Dep" xfId="13756"/>
    <cellStyle name="Total 3 2 2 3" xfId="2879"/>
    <cellStyle name="Total 3 2 2 3 2" xfId="2880"/>
    <cellStyle name="Total 3 2 2 3 2 2" xfId="13133"/>
    <cellStyle name="Total 3 2 2 3 2_YL Capex Cashflow &amp; Dep" xfId="13759"/>
    <cellStyle name="Total 3 2 2 3_YL Capex Cashflow &amp; Dep" xfId="13758"/>
    <cellStyle name="Total 3 2 2_YL Capex Cashflow &amp; Dep" xfId="13755"/>
    <cellStyle name="Total 3 2 3" xfId="2881"/>
    <cellStyle name="Total 3 2 3 2" xfId="2882"/>
    <cellStyle name="Total 3 2 3 2 2" xfId="12825"/>
    <cellStyle name="Total 3 2 3 2_YL Capex Cashflow &amp; Dep" xfId="13761"/>
    <cellStyle name="Total 3 2 3_YL Capex Cashflow &amp; Dep" xfId="13760"/>
    <cellStyle name="Total 3 2 4" xfId="2883"/>
    <cellStyle name="Total 3 2 4 2" xfId="2884"/>
    <cellStyle name="Total 3 2 4 2 2" xfId="12972"/>
    <cellStyle name="Total 3 2 4 2_YL Capex Cashflow &amp; Dep" xfId="13763"/>
    <cellStyle name="Total 3 2 4_YL Capex Cashflow &amp; Dep" xfId="13762"/>
    <cellStyle name="Total 3 2_YL Capex Cashflow &amp; Dep" xfId="13754"/>
    <cellStyle name="Total 3 3" xfId="2885"/>
    <cellStyle name="Total 3 3 2" xfId="2886"/>
    <cellStyle name="Total 3 3 2 2" xfId="2887"/>
    <cellStyle name="Total 3 3 2 2 2" xfId="2888"/>
    <cellStyle name="Total 3 3 2 2 2 2" xfId="12966"/>
    <cellStyle name="Total 3 3 2 2 2_YL Capex Cashflow &amp; Dep" xfId="13767"/>
    <cellStyle name="Total 3 3 2 2_YL Capex Cashflow &amp; Dep" xfId="13766"/>
    <cellStyle name="Total 3 3 2 3" xfId="2889"/>
    <cellStyle name="Total 3 3 2 3 2" xfId="2890"/>
    <cellStyle name="Total 3 3 2 3 2 2" xfId="13220"/>
    <cellStyle name="Total 3 3 2 3 2_YL Capex Cashflow &amp; Dep" xfId="13769"/>
    <cellStyle name="Total 3 3 2 3_YL Capex Cashflow &amp; Dep" xfId="13768"/>
    <cellStyle name="Total 3 3 2_YL Capex Cashflow &amp; Dep" xfId="13765"/>
    <cellStyle name="Total 3 3 3" xfId="2891"/>
    <cellStyle name="Total 3 3 3 2" xfId="2892"/>
    <cellStyle name="Total 3 3 3 2 2" xfId="13164"/>
    <cellStyle name="Total 3 3 3 2_YL Capex Cashflow &amp; Dep" xfId="13771"/>
    <cellStyle name="Total 3 3 3_YL Capex Cashflow &amp; Dep" xfId="13770"/>
    <cellStyle name="Total 3 3 4" xfId="2893"/>
    <cellStyle name="Total 3 3 4 2" xfId="2894"/>
    <cellStyle name="Total 3 3 4 2 2" xfId="13085"/>
    <cellStyle name="Total 3 3 4 2_YL Capex Cashflow &amp; Dep" xfId="13773"/>
    <cellStyle name="Total 3 3 4_YL Capex Cashflow &amp; Dep" xfId="13772"/>
    <cellStyle name="Total 3 3_YL Capex Cashflow &amp; Dep" xfId="13764"/>
    <cellStyle name="Total 3 4" xfId="2895"/>
    <cellStyle name="Total 3 4 2" xfId="2896"/>
    <cellStyle name="Total 3 4 2 2" xfId="2897"/>
    <cellStyle name="Total 3 4 2 2 2" xfId="12802"/>
    <cellStyle name="Total 3 4 2 2_YL Capex Cashflow &amp; Dep" xfId="13776"/>
    <cellStyle name="Total 3 4 2_YL Capex Cashflow &amp; Dep" xfId="13775"/>
    <cellStyle name="Total 3 4 3" xfId="2898"/>
    <cellStyle name="Total 3 4 3 2" xfId="2899"/>
    <cellStyle name="Total 3 4 3 2 2" xfId="13111"/>
    <cellStyle name="Total 3 4 3 2_YL Capex Cashflow &amp; Dep" xfId="13778"/>
    <cellStyle name="Total 3 4 3_YL Capex Cashflow &amp; Dep" xfId="13777"/>
    <cellStyle name="Total 3 4_YL Capex Cashflow &amp; Dep" xfId="13774"/>
    <cellStyle name="Total 3 5" xfId="2900"/>
    <cellStyle name="Total 3 5 2" xfId="2901"/>
    <cellStyle name="Total 3 5 2 2" xfId="12768"/>
    <cellStyle name="Total 3 5 2_YL Capex Cashflow &amp; Dep" xfId="13780"/>
    <cellStyle name="Total 3 5_YL Capex Cashflow &amp; Dep" xfId="13779"/>
    <cellStyle name="Total 3 6" xfId="2902"/>
    <cellStyle name="Total 3 6 2" xfId="2903"/>
    <cellStyle name="Total 3 6 2 2" xfId="12949"/>
    <cellStyle name="Total 3 6 2_YL Capex Cashflow &amp; Dep" xfId="13782"/>
    <cellStyle name="Total 3 6_YL Capex Cashflow &amp; Dep" xfId="13781"/>
    <cellStyle name="Total 3 7" xfId="2904"/>
    <cellStyle name="Total 3 7 2" xfId="13239"/>
    <cellStyle name="Total 3 7_YL Capex Cashflow &amp; Dep" xfId="13783"/>
    <cellStyle name="Total 3_YL Capex Cashflow &amp; Dep" xfId="13753"/>
    <cellStyle name="TotCol - Style5" xfId="2905"/>
    <cellStyle name="TotRow - Style4" xfId="2906"/>
    <cellStyle name="TotRow - Style4 10" xfId="10903"/>
    <cellStyle name="TotRow - Style4 2" xfId="2907"/>
    <cellStyle name="TotRow - Style4 2 2" xfId="2908"/>
    <cellStyle name="TotRow - Style4 2 2 2" xfId="2909"/>
    <cellStyle name="TotRow - Style4 2 2 2 2" xfId="2910"/>
    <cellStyle name="TotRow - Style4 2 2 2 2 2" xfId="2911"/>
    <cellStyle name="TotRow - Style4 2 2 2 2 2 2" xfId="12903"/>
    <cellStyle name="TotRow - Style4 2 2 2 2 2_YL Capex Cashflow &amp; Dep" xfId="13789"/>
    <cellStyle name="TotRow - Style4 2 2 2 2 3" xfId="12175"/>
    <cellStyle name="TotRow - Style4 2 2 2 2_YL Capex Cashflow &amp; Dep" xfId="13788"/>
    <cellStyle name="TotRow - Style4 2 2 2 3" xfId="2912"/>
    <cellStyle name="TotRow - Style4 2 2 2 3 2" xfId="2913"/>
    <cellStyle name="TotRow - Style4 2 2 2 3 2 2" xfId="13176"/>
    <cellStyle name="TotRow - Style4 2 2 2 3 2_YL Capex Cashflow &amp; Dep" xfId="13791"/>
    <cellStyle name="TotRow - Style4 2 2 2 3 3" xfId="12663"/>
    <cellStyle name="TotRow - Style4 2 2 2 3_YL Capex Cashflow &amp; Dep" xfId="13790"/>
    <cellStyle name="TotRow - Style4 2 2 2 4" xfId="11966"/>
    <cellStyle name="TotRow - Style4 2 2 2_YL Capex Cashflow &amp; Dep" xfId="13787"/>
    <cellStyle name="TotRow - Style4 2 2 3" xfId="2914"/>
    <cellStyle name="TotRow - Style4 2 2 3 2" xfId="2915"/>
    <cellStyle name="TotRow - Style4 2 2 3 2 2" xfId="2916"/>
    <cellStyle name="TotRow - Style4 2 2 3 2 2 2" xfId="12866"/>
    <cellStyle name="TotRow - Style4 2 2 3 2 2_YL Capex Cashflow &amp; Dep" xfId="13794"/>
    <cellStyle name="TotRow - Style4 2 2 3 2 3" xfId="12104"/>
    <cellStyle name="TotRow - Style4 2 2 3 2_YL Capex Cashflow &amp; Dep" xfId="13793"/>
    <cellStyle name="TotRow - Style4 2 2 3 3" xfId="2917"/>
    <cellStyle name="TotRow - Style4 2 2 3 3 2" xfId="2918"/>
    <cellStyle name="TotRow - Style4 2 2 3 3 2 2" xfId="13059"/>
    <cellStyle name="TotRow - Style4 2 2 3 3 2_YL Capex Cashflow &amp; Dep" xfId="13796"/>
    <cellStyle name="TotRow - Style4 2 2 3 3 3" xfId="12479"/>
    <cellStyle name="TotRow - Style4 2 2 3 3_YL Capex Cashflow &amp; Dep" xfId="13795"/>
    <cellStyle name="TotRow - Style4 2 2 3 4" xfId="11763"/>
    <cellStyle name="TotRow - Style4 2 2 3_YL Capex Cashflow &amp; Dep" xfId="13792"/>
    <cellStyle name="TotRow - Style4 2 2 4" xfId="2919"/>
    <cellStyle name="TotRow - Style4 2 2 4 2" xfId="2920"/>
    <cellStyle name="TotRow - Style4 2 2 4 2 2" xfId="13163"/>
    <cellStyle name="TotRow - Style4 2 2 4 2_YL Capex Cashflow &amp; Dep" xfId="13798"/>
    <cellStyle name="TotRow - Style4 2 2 4 3" xfId="12083"/>
    <cellStyle name="TotRow - Style4 2 2 4_YL Capex Cashflow &amp; Dep" xfId="13797"/>
    <cellStyle name="TotRow - Style4 2 2 5" xfId="2921"/>
    <cellStyle name="TotRow - Style4 2 2 5 2" xfId="2922"/>
    <cellStyle name="TotRow - Style4 2 2 5 2 2" xfId="13018"/>
    <cellStyle name="TotRow - Style4 2 2 5 2_YL Capex Cashflow &amp; Dep" xfId="13800"/>
    <cellStyle name="TotRow - Style4 2 2 5 3" xfId="12395"/>
    <cellStyle name="TotRow - Style4 2 2 5_YL Capex Cashflow &amp; Dep" xfId="13799"/>
    <cellStyle name="TotRow - Style4 2 2 6" xfId="11423"/>
    <cellStyle name="TotRow - Style4 2 2_YL Capex Cashflow &amp; Dep" xfId="13786"/>
    <cellStyle name="TotRow - Style4 2 3" xfId="2923"/>
    <cellStyle name="TotRow - Style4 2 3 2" xfId="2924"/>
    <cellStyle name="TotRow - Style4 2 3 2 2" xfId="2925"/>
    <cellStyle name="TotRow - Style4 2 3 2 2 2" xfId="2926"/>
    <cellStyle name="TotRow - Style4 2 3 2 2 2 2" xfId="12852"/>
    <cellStyle name="TotRow - Style4 2 3 2 2 2_YL Capex Cashflow &amp; Dep" xfId="13804"/>
    <cellStyle name="TotRow - Style4 2 3 2 2 3" xfId="12173"/>
    <cellStyle name="TotRow - Style4 2 3 2 2_YL Capex Cashflow &amp; Dep" xfId="13803"/>
    <cellStyle name="TotRow - Style4 2 3 2 3" xfId="2927"/>
    <cellStyle name="TotRow - Style4 2 3 2 3 2" xfId="2928"/>
    <cellStyle name="TotRow - Style4 2 3 2 3 2 2" xfId="13155"/>
    <cellStyle name="TotRow - Style4 2 3 2 3 2_YL Capex Cashflow &amp; Dep" xfId="13806"/>
    <cellStyle name="TotRow - Style4 2 3 2 3 3" xfId="12599"/>
    <cellStyle name="TotRow - Style4 2 3 2 3_YL Capex Cashflow &amp; Dep" xfId="13805"/>
    <cellStyle name="TotRow - Style4 2 3 2 4" xfId="11902"/>
    <cellStyle name="TotRow - Style4 2 3 2_YL Capex Cashflow &amp; Dep" xfId="13802"/>
    <cellStyle name="TotRow - Style4 2 3 3" xfId="2929"/>
    <cellStyle name="TotRow - Style4 2 3 3 2" xfId="2930"/>
    <cellStyle name="TotRow - Style4 2 3 3 2 2" xfId="2931"/>
    <cellStyle name="TotRow - Style4 2 3 3 2 2 2" xfId="13186"/>
    <cellStyle name="TotRow - Style4 2 3 3 2 2_YL Capex Cashflow &amp; Dep" xfId="13809"/>
    <cellStyle name="TotRow - Style4 2 3 3 2 3" xfId="12110"/>
    <cellStyle name="TotRow - Style4 2 3 3 2_YL Capex Cashflow &amp; Dep" xfId="13808"/>
    <cellStyle name="TotRow - Style4 2 3 3 3" xfId="2932"/>
    <cellStyle name="TotRow - Style4 2 3 3 3 2" xfId="2933"/>
    <cellStyle name="TotRow - Style4 2 3 3 3 2 2" xfId="13066"/>
    <cellStyle name="TotRow - Style4 2 3 3 3 2_YL Capex Cashflow &amp; Dep" xfId="13811"/>
    <cellStyle name="TotRow - Style4 2 3 3 3 3" xfId="12485"/>
    <cellStyle name="TotRow - Style4 2 3 3 3_YL Capex Cashflow &amp; Dep" xfId="13810"/>
    <cellStyle name="TotRow - Style4 2 3 3 4" xfId="11771"/>
    <cellStyle name="TotRow - Style4 2 3 3_YL Capex Cashflow &amp; Dep" xfId="13807"/>
    <cellStyle name="TotRow - Style4 2 3 4" xfId="2934"/>
    <cellStyle name="TotRow - Style4 2 3 4 2" xfId="2935"/>
    <cellStyle name="TotRow - Style4 2 3 4 2 2" xfId="13038"/>
    <cellStyle name="TotRow - Style4 2 3 4 2_YL Capex Cashflow &amp; Dep" xfId="13813"/>
    <cellStyle name="TotRow - Style4 2 3 4 3" xfId="12077"/>
    <cellStyle name="TotRow - Style4 2 3 4_YL Capex Cashflow &amp; Dep" xfId="13812"/>
    <cellStyle name="TotRow - Style4 2 3 5" xfId="2936"/>
    <cellStyle name="TotRow - Style4 2 3 5 2" xfId="2937"/>
    <cellStyle name="TotRow - Style4 2 3 5 2 2" xfId="12995"/>
    <cellStyle name="TotRow - Style4 2 3 5 2_YL Capex Cashflow &amp; Dep" xfId="13815"/>
    <cellStyle name="TotRow - Style4 2 3 5 3" xfId="12331"/>
    <cellStyle name="TotRow - Style4 2 3 5_YL Capex Cashflow &amp; Dep" xfId="13814"/>
    <cellStyle name="TotRow - Style4 2 3 6" xfId="11603"/>
    <cellStyle name="TotRow - Style4 2 3_YL Capex Cashflow &amp; Dep" xfId="13801"/>
    <cellStyle name="TotRow - Style4 2 4" xfId="2938"/>
    <cellStyle name="TotRow - Style4 2 4 2" xfId="2939"/>
    <cellStyle name="TotRow - Style4 2 4 2 2" xfId="2940"/>
    <cellStyle name="TotRow - Style4 2 4 2 2 2" xfId="2941"/>
    <cellStyle name="TotRow - Style4 2 4 2 2 2 2" xfId="13150"/>
    <cellStyle name="TotRow - Style4 2 4 2 2 2_YL Capex Cashflow &amp; Dep" xfId="13819"/>
    <cellStyle name="TotRow - Style4 2 4 2 2 3" xfId="12190"/>
    <cellStyle name="TotRow - Style4 2 4 2 2_YL Capex Cashflow &amp; Dep" xfId="13818"/>
    <cellStyle name="TotRow - Style4 2 4 2 3" xfId="2942"/>
    <cellStyle name="TotRow - Style4 2 4 2 3 2" xfId="2943"/>
    <cellStyle name="TotRow - Style4 2 4 2 3 2 2" xfId="13203"/>
    <cellStyle name="TotRow - Style4 2 4 2 3 2_YL Capex Cashflow &amp; Dep" xfId="13821"/>
    <cellStyle name="TotRow - Style4 2 4 2 3 3" xfId="12718"/>
    <cellStyle name="TotRow - Style4 2 4 2 3_YL Capex Cashflow &amp; Dep" xfId="13820"/>
    <cellStyle name="TotRow - Style4 2 4 2 4" xfId="12020"/>
    <cellStyle name="TotRow - Style4 2 4 2_YL Capex Cashflow &amp; Dep" xfId="13817"/>
    <cellStyle name="TotRow - Style4 2 4 3" xfId="2944"/>
    <cellStyle name="TotRow - Style4 2 4 3 2" xfId="2945"/>
    <cellStyle name="TotRow - Style4 2 4 3 2 2" xfId="12857"/>
    <cellStyle name="TotRow - Style4 2 4 3 2_YL Capex Cashflow &amp; Dep" xfId="13823"/>
    <cellStyle name="TotRow - Style4 2 4 3 3" xfId="12112"/>
    <cellStyle name="TotRow - Style4 2 4 3_YL Capex Cashflow &amp; Dep" xfId="13822"/>
    <cellStyle name="TotRow - Style4 2 4 4" xfId="2946"/>
    <cellStyle name="TotRow - Style4 2 4 4 2" xfId="2947"/>
    <cellStyle name="TotRow - Style4 2 4 4 2 2" xfId="13068"/>
    <cellStyle name="TotRow - Style4 2 4 4 2_YL Capex Cashflow &amp; Dep" xfId="13825"/>
    <cellStyle name="TotRow - Style4 2 4 4 3" xfId="12487"/>
    <cellStyle name="TotRow - Style4 2 4 4_YL Capex Cashflow &amp; Dep" xfId="13824"/>
    <cellStyle name="TotRow - Style4 2 4 5" xfId="11775"/>
    <cellStyle name="TotRow - Style4 2 4_YL Capex Cashflow &amp; Dep" xfId="13816"/>
    <cellStyle name="TotRow - Style4 2 5" xfId="2948"/>
    <cellStyle name="TotRow - Style4 2 5 2" xfId="2949"/>
    <cellStyle name="TotRow - Style4 2 5 2 2" xfId="2950"/>
    <cellStyle name="TotRow - Style4 2 5 2 2 2" xfId="2951"/>
    <cellStyle name="TotRow - Style4 2 5 2 2 2 2" xfId="12760"/>
    <cellStyle name="TotRow - Style4 2 5 2 2 2_YL Capex Cashflow &amp; Dep" xfId="13829"/>
    <cellStyle name="TotRow - Style4 2 5 2 2 3" xfId="12217"/>
    <cellStyle name="TotRow - Style4 2 5 2 2_YL Capex Cashflow &amp; Dep" xfId="13828"/>
    <cellStyle name="TotRow - Style4 2 5 2 3" xfId="2952"/>
    <cellStyle name="TotRow - Style4 2 5 2 3 2" xfId="2953"/>
    <cellStyle name="TotRow - Style4 2 5 2 3 2 2" xfId="13235"/>
    <cellStyle name="TotRow - Style4 2 5 2 3 2_YL Capex Cashflow &amp; Dep" xfId="13831"/>
    <cellStyle name="TotRow - Style4 2 5 2 3 3" xfId="12747"/>
    <cellStyle name="TotRow - Style4 2 5 2 3_YL Capex Cashflow &amp; Dep" xfId="13830"/>
    <cellStyle name="TotRow - Style4 2 5 2 4" xfId="12045"/>
    <cellStyle name="TotRow - Style4 2 5 2_YL Capex Cashflow &amp; Dep" xfId="13827"/>
    <cellStyle name="TotRow - Style4 2 5 3" xfId="2954"/>
    <cellStyle name="TotRow - Style4 2 5 3 2" xfId="2955"/>
    <cellStyle name="TotRow - Style4 2 5 3 2 2" xfId="12912"/>
    <cellStyle name="TotRow - Style4 2 5 3 2_YL Capex Cashflow &amp; Dep" xfId="13833"/>
    <cellStyle name="TotRow - Style4 2 5 3 3" xfId="12142"/>
    <cellStyle name="TotRow - Style4 2 5 3_YL Capex Cashflow &amp; Dep" xfId="13832"/>
    <cellStyle name="TotRow - Style4 2 5 4" xfId="2956"/>
    <cellStyle name="TotRow - Style4 2 5 4 2" xfId="2957"/>
    <cellStyle name="TotRow - Style4 2 5 4 2 2" xfId="13105"/>
    <cellStyle name="TotRow - Style4 2 5 4 2_YL Capex Cashflow &amp; Dep" xfId="13835"/>
    <cellStyle name="TotRow - Style4 2 5 4 3" xfId="12519"/>
    <cellStyle name="TotRow - Style4 2 5 4_YL Capex Cashflow &amp; Dep" xfId="13834"/>
    <cellStyle name="TotRow - Style4 2 5 5" xfId="11813"/>
    <cellStyle name="TotRow - Style4 2 5_YL Capex Cashflow &amp; Dep" xfId="13826"/>
    <cellStyle name="TotRow - Style4 2 6" xfId="2958"/>
    <cellStyle name="TotRow - Style4 2 6 2" xfId="2959"/>
    <cellStyle name="TotRow - Style4 2 6 2 2" xfId="12883"/>
    <cellStyle name="TotRow - Style4 2 6 2_YL Capex Cashflow &amp; Dep" xfId="13837"/>
    <cellStyle name="TotRow - Style4 2 6 3" xfId="11538"/>
    <cellStyle name="TotRow - Style4 2 6_YL Capex Cashflow &amp; Dep" xfId="13836"/>
    <cellStyle name="TotRow - Style4 2 7" xfId="2960"/>
    <cellStyle name="TotRow - Style4 2 7 2" xfId="2961"/>
    <cellStyle name="TotRow - Style4 2 7 2 2" xfId="12941"/>
    <cellStyle name="TotRow - Style4 2 7 2_YL Capex Cashflow &amp; Dep" xfId="13839"/>
    <cellStyle name="TotRow - Style4 2 7 3" xfId="12251"/>
    <cellStyle name="TotRow - Style4 2 7_YL Capex Cashflow &amp; Dep" xfId="13838"/>
    <cellStyle name="TotRow - Style4 2 8" xfId="2962"/>
    <cellStyle name="TotRow - Style4 2 8 2" xfId="12798"/>
    <cellStyle name="TotRow - Style4 2 8_YL Capex Cashflow &amp; Dep" xfId="13840"/>
    <cellStyle name="TotRow - Style4 2 9" xfId="11040"/>
    <cellStyle name="TotRow - Style4 2_YL Capex Cashflow &amp; Dep" xfId="13785"/>
    <cellStyle name="TotRow - Style4 3" xfId="2963"/>
    <cellStyle name="TotRow - Style4 3 2" xfId="2964"/>
    <cellStyle name="TotRow - Style4 3 2 2" xfId="2965"/>
    <cellStyle name="TotRow - Style4 3 2 2 2" xfId="2966"/>
    <cellStyle name="TotRow - Style4 3 2 2 2 2" xfId="12874"/>
    <cellStyle name="TotRow - Style4 3 2 2 2_YL Capex Cashflow &amp; Dep" xfId="13844"/>
    <cellStyle name="TotRow - Style4 3 2 2 3" xfId="12180"/>
    <cellStyle name="TotRow - Style4 3 2 2_YL Capex Cashflow &amp; Dep" xfId="13843"/>
    <cellStyle name="TotRow - Style4 3 2 3" xfId="2967"/>
    <cellStyle name="TotRow - Style4 3 2 3 2" xfId="2968"/>
    <cellStyle name="TotRow - Style4 3 2 3 2 2" xfId="13184"/>
    <cellStyle name="TotRow - Style4 3 2 3 2_YL Capex Cashflow &amp; Dep" xfId="13846"/>
    <cellStyle name="TotRow - Style4 3 2 3 3" xfId="12682"/>
    <cellStyle name="TotRow - Style4 3 2 3_YL Capex Cashflow &amp; Dep" xfId="13845"/>
    <cellStyle name="TotRow - Style4 3 2 4" xfId="11983"/>
    <cellStyle name="TotRow - Style4 3 2_YL Capex Cashflow &amp; Dep" xfId="13842"/>
    <cellStyle name="TotRow - Style4 3 3" xfId="2969"/>
    <cellStyle name="TotRow - Style4 3 3 2" xfId="2970"/>
    <cellStyle name="TotRow - Style4 3 3 2 2" xfId="2971"/>
    <cellStyle name="TotRow - Style4 3 3 2 2 2" xfId="12901"/>
    <cellStyle name="TotRow - Style4 3 3 2 2_YL Capex Cashflow &amp; Dep" xfId="13849"/>
    <cellStyle name="TotRow - Style4 3 3 2 3" xfId="12097"/>
    <cellStyle name="TotRow - Style4 3 3 2_YL Capex Cashflow &amp; Dep" xfId="13848"/>
    <cellStyle name="TotRow - Style4 3 3 3" xfId="2972"/>
    <cellStyle name="TotRow - Style4 3 3 3 2" xfId="2973"/>
    <cellStyle name="TotRow - Style4 3 3 3 2 2" xfId="13044"/>
    <cellStyle name="TotRow - Style4 3 3 3 2_YL Capex Cashflow &amp; Dep" xfId="13851"/>
    <cellStyle name="TotRow - Style4 3 3 3 3" xfId="12450"/>
    <cellStyle name="TotRow - Style4 3 3 3_YL Capex Cashflow &amp; Dep" xfId="13850"/>
    <cellStyle name="TotRow - Style4 3 3 4" xfId="11728"/>
    <cellStyle name="TotRow - Style4 3 3_YL Capex Cashflow &amp; Dep" xfId="13847"/>
    <cellStyle name="TotRow - Style4 3 4" xfId="2974"/>
    <cellStyle name="TotRow - Style4 3 4 2" xfId="2975"/>
    <cellStyle name="TotRow - Style4 3 4 2 2" xfId="13179"/>
    <cellStyle name="TotRow - Style4 3 4 2_YL Capex Cashflow &amp; Dep" xfId="13853"/>
    <cellStyle name="TotRow - Style4 3 4 3" xfId="12088"/>
    <cellStyle name="TotRow - Style4 3 4_YL Capex Cashflow &amp; Dep" xfId="13852"/>
    <cellStyle name="TotRow - Style4 3 5" xfId="2976"/>
    <cellStyle name="TotRow - Style4 3 5 2" xfId="2977"/>
    <cellStyle name="TotRow - Style4 3 5 2 2" xfId="13027"/>
    <cellStyle name="TotRow - Style4 3 5 2_YL Capex Cashflow &amp; Dep" xfId="13855"/>
    <cellStyle name="TotRow - Style4 3 5 3" xfId="12414"/>
    <cellStyle name="TotRow - Style4 3 5_YL Capex Cashflow &amp; Dep" xfId="13854"/>
    <cellStyle name="TotRow - Style4 3 6" xfId="11450"/>
    <cellStyle name="TotRow - Style4 3_YL Capex Cashflow &amp; Dep" xfId="13841"/>
    <cellStyle name="TotRow - Style4 4" xfId="2978"/>
    <cellStyle name="TotRow - Style4 4 2" xfId="2979"/>
    <cellStyle name="TotRow - Style4 4 2 2" xfId="2980"/>
    <cellStyle name="TotRow - Style4 4 2 2 2" xfId="2981"/>
    <cellStyle name="TotRow - Style4 4 2 2 2 2" xfId="13158"/>
    <cellStyle name="TotRow - Style4 4 2 2 2_YL Capex Cashflow &amp; Dep" xfId="13859"/>
    <cellStyle name="TotRow - Style4 4 2 2 3" xfId="12170"/>
    <cellStyle name="TotRow - Style4 4 2 2_YL Capex Cashflow &amp; Dep" xfId="13858"/>
    <cellStyle name="TotRow - Style4 4 2 3" xfId="2982"/>
    <cellStyle name="TotRow - Style4 4 2 3 2" xfId="2983"/>
    <cellStyle name="TotRow - Style4 4 2 3 2 2" xfId="13146"/>
    <cellStyle name="TotRow - Style4 4 2 3 2_YL Capex Cashflow &amp; Dep" xfId="13861"/>
    <cellStyle name="TotRow - Style4 4 2 3 3" xfId="12573"/>
    <cellStyle name="TotRow - Style4 4 2 3_YL Capex Cashflow &amp; Dep" xfId="13860"/>
    <cellStyle name="TotRow - Style4 4 2 4" xfId="11877"/>
    <cellStyle name="TotRow - Style4 4 2_YL Capex Cashflow &amp; Dep" xfId="13857"/>
    <cellStyle name="TotRow - Style4 4 3" xfId="2984"/>
    <cellStyle name="TotRow - Style4 4 3 2" xfId="2985"/>
    <cellStyle name="TotRow - Style4 4 3 2 2" xfId="2986"/>
    <cellStyle name="TotRow - Style4 4 3 2 2 2" xfId="12850"/>
    <cellStyle name="TotRow - Style4 4 3 2 2_YL Capex Cashflow &amp; Dep" xfId="13864"/>
    <cellStyle name="TotRow - Style4 4 3 2 3" xfId="12095"/>
    <cellStyle name="TotRow - Style4 4 3 2_YL Capex Cashflow &amp; Dep" xfId="13863"/>
    <cellStyle name="TotRow - Style4 4 3 3" xfId="2987"/>
    <cellStyle name="TotRow - Style4 4 3 3 2" xfId="2988"/>
    <cellStyle name="TotRow - Style4 4 3 3 2 2" xfId="13042"/>
    <cellStyle name="TotRow - Style4 4 3 3 2_YL Capex Cashflow &amp; Dep" xfId="13866"/>
    <cellStyle name="TotRow - Style4 4 3 3 3" xfId="12448"/>
    <cellStyle name="TotRow - Style4 4 3 3_YL Capex Cashflow &amp; Dep" xfId="13865"/>
    <cellStyle name="TotRow - Style4 4 3 4" xfId="11726"/>
    <cellStyle name="TotRow - Style4 4 3_YL Capex Cashflow &amp; Dep" xfId="13862"/>
    <cellStyle name="TotRow - Style4 4 4" xfId="2989"/>
    <cellStyle name="TotRow - Style4 4 4 2" xfId="2990"/>
    <cellStyle name="TotRow - Style4 4 4 2 2" xfId="12991"/>
    <cellStyle name="TotRow - Style4 4 4 2_YL Capex Cashflow &amp; Dep" xfId="13868"/>
    <cellStyle name="TotRow - Style4 4 4 3" xfId="12073"/>
    <cellStyle name="TotRow - Style4 4 4_YL Capex Cashflow &amp; Dep" xfId="13867"/>
    <cellStyle name="TotRow - Style4 4 5" xfId="2991"/>
    <cellStyle name="TotRow - Style4 4 5 2" xfId="2992"/>
    <cellStyle name="TotRow - Style4 4 5 2 2" xfId="12985"/>
    <cellStyle name="TotRow - Style4 4 5 2_YL Capex Cashflow &amp; Dep" xfId="13870"/>
    <cellStyle name="TotRow - Style4 4 5 3" xfId="12305"/>
    <cellStyle name="TotRow - Style4 4 5_YL Capex Cashflow &amp; Dep" xfId="13869"/>
    <cellStyle name="TotRow - Style4 4 6" xfId="11577"/>
    <cellStyle name="TotRow - Style4 4_YL Capex Cashflow &amp; Dep" xfId="13856"/>
    <cellStyle name="TotRow - Style4 5" xfId="2993"/>
    <cellStyle name="TotRow - Style4 5 2" xfId="2994"/>
    <cellStyle name="TotRow - Style4 5 2 2" xfId="2995"/>
    <cellStyle name="TotRow - Style4 5 2 2 2" xfId="2996"/>
    <cellStyle name="TotRow - Style4 5 2 2 2 2" xfId="12841"/>
    <cellStyle name="TotRow - Style4 5 2 2 2_YL Capex Cashflow &amp; Dep" xfId="13874"/>
    <cellStyle name="TotRow - Style4 5 2 2 3" xfId="12195"/>
    <cellStyle name="TotRow - Style4 5 2 2_YL Capex Cashflow &amp; Dep" xfId="13873"/>
    <cellStyle name="TotRow - Style4 5 2 3" xfId="2997"/>
    <cellStyle name="TotRow - Style4 5 2 3 2" xfId="2998"/>
    <cellStyle name="TotRow - Style4 5 2 3 2 2" xfId="13211"/>
    <cellStyle name="TotRow - Style4 5 2 3 2_YL Capex Cashflow &amp; Dep" xfId="13876"/>
    <cellStyle name="TotRow - Style4 5 2 3 3" xfId="12725"/>
    <cellStyle name="TotRow - Style4 5 2 3_YL Capex Cashflow &amp; Dep" xfId="13875"/>
    <cellStyle name="TotRow - Style4 5 2 4" xfId="12025"/>
    <cellStyle name="TotRow - Style4 5 2_YL Capex Cashflow &amp; Dep" xfId="13872"/>
    <cellStyle name="TotRow - Style4 5 3" xfId="2999"/>
    <cellStyle name="TotRow - Style4 5 3 2" xfId="3000"/>
    <cellStyle name="TotRow - Style4 5 3 2 2" xfId="13171"/>
    <cellStyle name="TotRow - Style4 5 3 2_YL Capex Cashflow &amp; Dep" xfId="13878"/>
    <cellStyle name="TotRow - Style4 5 3 3" xfId="12118"/>
    <cellStyle name="TotRow - Style4 5 3_YL Capex Cashflow &amp; Dep" xfId="13877"/>
    <cellStyle name="TotRow - Style4 5 4" xfId="3001"/>
    <cellStyle name="TotRow - Style4 5 4 2" xfId="3002"/>
    <cellStyle name="TotRow - Style4 5 4 2 2" xfId="13076"/>
    <cellStyle name="TotRow - Style4 5 4 2_YL Capex Cashflow &amp; Dep" xfId="13880"/>
    <cellStyle name="TotRow - Style4 5 4 3" xfId="12493"/>
    <cellStyle name="TotRow - Style4 5 4_YL Capex Cashflow &amp; Dep" xfId="13879"/>
    <cellStyle name="TotRow - Style4 5 5" xfId="11782"/>
    <cellStyle name="TotRow - Style4 5_YL Capex Cashflow &amp; Dep" xfId="13871"/>
    <cellStyle name="TotRow - Style4 6" xfId="3003"/>
    <cellStyle name="TotRow - Style4 6 2" xfId="3004"/>
    <cellStyle name="TotRow - Style4 6 2 2" xfId="3005"/>
    <cellStyle name="TotRow - Style4 6 2 2 2" xfId="3006"/>
    <cellStyle name="TotRow - Style4 6 2 2 2 2" xfId="12936"/>
    <cellStyle name="TotRow - Style4 6 2 2 2_YL Capex Cashflow &amp; Dep" xfId="13884"/>
    <cellStyle name="TotRow - Style4 6 2 2 3" xfId="12213"/>
    <cellStyle name="TotRow - Style4 6 2 2_YL Capex Cashflow &amp; Dep" xfId="13883"/>
    <cellStyle name="TotRow - Style4 6 2 3" xfId="3007"/>
    <cellStyle name="TotRow - Style4 6 2 3 2" xfId="3008"/>
    <cellStyle name="TotRow - Style4 6 2 3 2 2" xfId="13231"/>
    <cellStyle name="TotRow - Style4 6 2 3 2_YL Capex Cashflow &amp; Dep" xfId="13886"/>
    <cellStyle name="TotRow - Style4 6 2 3 3" xfId="12743"/>
    <cellStyle name="TotRow - Style4 6 2 3_YL Capex Cashflow &amp; Dep" xfId="13885"/>
    <cellStyle name="TotRow - Style4 6 2 4" xfId="12041"/>
    <cellStyle name="TotRow - Style4 6 2_YL Capex Cashflow &amp; Dep" xfId="13882"/>
    <cellStyle name="TotRow - Style4 6 3" xfId="3009"/>
    <cellStyle name="TotRow - Style4 6 3 2" xfId="3010"/>
    <cellStyle name="TotRow - Style4 6 3 2 2" xfId="12817"/>
    <cellStyle name="TotRow - Style4 6 3 2_YL Capex Cashflow &amp; Dep" xfId="13888"/>
    <cellStyle name="TotRow - Style4 6 3 3" xfId="12134"/>
    <cellStyle name="TotRow - Style4 6 3_YL Capex Cashflow &amp; Dep" xfId="13887"/>
    <cellStyle name="TotRow - Style4 6 4" xfId="3011"/>
    <cellStyle name="TotRow - Style4 6 4 2" xfId="3012"/>
    <cellStyle name="TotRow - Style4 6 4 2 2" xfId="13096"/>
    <cellStyle name="TotRow - Style4 6 4 2_YL Capex Cashflow &amp; Dep" xfId="13890"/>
    <cellStyle name="TotRow - Style4 6 4 3" xfId="12513"/>
    <cellStyle name="TotRow - Style4 6 4_YL Capex Cashflow &amp; Dep" xfId="13889"/>
    <cellStyle name="TotRow - Style4 6 5" xfId="11807"/>
    <cellStyle name="TotRow - Style4 6_YL Capex Cashflow &amp; Dep" xfId="13881"/>
    <cellStyle name="TotRow - Style4 7" xfId="3013"/>
    <cellStyle name="TotRow - Style4 7 2" xfId="3014"/>
    <cellStyle name="TotRow - Style4 7 2 2" xfId="12913"/>
    <cellStyle name="TotRow - Style4 7 2_YL Capex Cashflow &amp; Dep" xfId="13892"/>
    <cellStyle name="TotRow - Style4 7 3" xfId="11541"/>
    <cellStyle name="TotRow - Style4 7_YL Capex Cashflow &amp; Dep" xfId="13891"/>
    <cellStyle name="TotRow - Style4 8" xfId="3015"/>
    <cellStyle name="TotRow - Style4 8 2" xfId="3016"/>
    <cellStyle name="TotRow - Style4 8 2 2" xfId="12925"/>
    <cellStyle name="TotRow - Style4 8 2_YL Capex Cashflow &amp; Dep" xfId="13894"/>
    <cellStyle name="TotRow - Style4 8 3" xfId="12221"/>
    <cellStyle name="TotRow - Style4 8_YL Capex Cashflow &amp; Dep" xfId="13893"/>
    <cellStyle name="TotRow - Style4 9" xfId="3017"/>
    <cellStyle name="TotRow - Style4 9 2" xfId="13172"/>
    <cellStyle name="TotRow - Style4 9_YL Capex Cashflow &amp; Dep" xfId="13895"/>
    <cellStyle name="TotRow - Style4_YL Capex Cashflow &amp; Dep" xfId="13784"/>
    <cellStyle name="Tusental (0)_pldt" xfId="3018"/>
    <cellStyle name="Tusental_pldt" xfId="3019"/>
    <cellStyle name="Underline_Single" xfId="3020"/>
    <cellStyle name="Unprot" xfId="3021"/>
    <cellStyle name="Unprot$" xfId="3022"/>
    <cellStyle name="Unprotect" xfId="3023"/>
    <cellStyle name="Valuta (0)_pldt" xfId="3024"/>
    <cellStyle name="Valuta_pldt" xfId="3025"/>
    <cellStyle name="Währung [0]_Compiling Utility Macros" xfId="3026"/>
    <cellStyle name="Währung_Compiling Utility Macros" xfId="3027"/>
    <cellStyle name="Warning Text 2" xfId="3028"/>
    <cellStyle name="Warning Text 2 2" xfId="3029"/>
    <cellStyle name="year" xfId="3030"/>
    <cellStyle name="year 2" xfId="3031"/>
    <cellStyle name="Yen [0]" xfId="3032"/>
    <cellStyle name="パーセント_laroux" xfId="3033"/>
    <cellStyle name="เครื่องหมายสกุลเงิน [0]_PLDT" xfId="3034"/>
    <cellStyle name="เครื่องหมายสกุลเงิน_PLDT" xfId="3035"/>
    <cellStyle name="ปกติ_PLDT" xfId="3036"/>
    <cellStyle name="_11011" xfId="3037"/>
    <cellStyle name="瘉EMMC-CP1" xfId="3038"/>
    <cellStyle name="_Detail P&amp;L " xfId="3039"/>
    <cellStyle name="だ[0]_BS9701-3" xfId="3040"/>
    <cellStyle name="だ_BS9701-3" xfId="3041"/>
    <cellStyle name="だ_laroux" xfId="3042"/>
    <cellStyle name="遽_4錯褒瞳" xfId="3043"/>
    <cellStyle name="煦弇[0]_2000.9趶髟獲?脹" xfId="3044"/>
    <cellStyle name="煦弇_2000.9趶髟獲?脹" xfId="3045"/>
    <cellStyle name="똿뗦먛귟 [0.00]_PRODUCT DETAIL Q1" xfId="3046"/>
    <cellStyle name="똿뗦먛귟_PRODUCT DETAIL Q1" xfId="3047"/>
    <cellStyle name="믅됞 [0.00]_PRODUCT DETAIL Q1" xfId="3048"/>
    <cellStyle name="믅됞_PRODUCT DETAIL Q1" xfId="3049"/>
    <cellStyle name="백분율_HOBONG" xfId="3050"/>
    <cellStyle name="뷭?_BOOKSHIP" xfId="3051"/>
    <cellStyle name="쉼표 [0]_Sudden Attack Team" xfId="3052"/>
    <cellStyle name="쉼표_SBK Reporting Package_2-28" xfId="3053"/>
    <cellStyle name="콤마 [0]_1202" xfId="3054"/>
    <cellStyle name="콤마_1202" xfId="3055"/>
    <cellStyle name="통화 [0]_1202" xfId="3056"/>
    <cellStyle name="통화_1202" xfId="3057"/>
    <cellStyle name="표준_(정보부문)월별인원계획" xfId="3058"/>
    <cellStyle name="一般 10" xfId="3059"/>
    <cellStyle name="一般 11" xfId="3060"/>
    <cellStyle name="一般 11 2" xfId="3061"/>
    <cellStyle name="一般 11 3" xfId="3062"/>
    <cellStyle name="一般 12" xfId="3063"/>
    <cellStyle name="一般 13" xfId="3064"/>
    <cellStyle name="一般 13 2" xfId="3065"/>
    <cellStyle name="一般 13_Cashflow trend" xfId="3066"/>
    <cellStyle name="一般 14" xfId="3067"/>
    <cellStyle name="一般 15" xfId="3068"/>
    <cellStyle name="一般 18" xfId="3069"/>
    <cellStyle name="一般 19" xfId="3070"/>
    <cellStyle name="一般 2" xfId="3071"/>
    <cellStyle name="一般 2 2" xfId="3072"/>
    <cellStyle name="一般 2 2 2" xfId="3073"/>
    <cellStyle name="一般 2 2 3" xfId="3074"/>
    <cellStyle name="一般 2 3" xfId="3075"/>
    <cellStyle name="一般 2 4" xfId="3076"/>
    <cellStyle name="一般 2 4 2" xfId="3077"/>
    <cellStyle name="一般 2 4_Cashflow trend" xfId="3078"/>
    <cellStyle name="一般 2 5" xfId="3079"/>
    <cellStyle name="一般 2 6" xfId="8271"/>
    <cellStyle name="一般 20" xfId="3080"/>
    <cellStyle name="一般 21" xfId="3081"/>
    <cellStyle name="一般 22" xfId="3082"/>
    <cellStyle name="一般 3" xfId="3083"/>
    <cellStyle name="一般 3 2" xfId="3084"/>
    <cellStyle name="一般 3 2 2" xfId="3085"/>
    <cellStyle name="一般 3 2 3" xfId="3086"/>
    <cellStyle name="一般 3 3" xfId="3087"/>
    <cellStyle name="一般 4" xfId="3088"/>
    <cellStyle name="一般 4 2" xfId="3089"/>
    <cellStyle name="一般 4 3" xfId="3090"/>
    <cellStyle name="一般 4 4" xfId="3091"/>
    <cellStyle name="一般 5" xfId="3092"/>
    <cellStyle name="一般 5 2" xfId="3093"/>
    <cellStyle name="一般 5 3" xfId="3094"/>
    <cellStyle name="一般 5 4" xfId="3095"/>
    <cellStyle name="一般 6" xfId="3096"/>
    <cellStyle name="一般 6 2" xfId="3097"/>
    <cellStyle name="一般 6 3" xfId="3098"/>
    <cellStyle name="一般 6 4" xfId="3099"/>
    <cellStyle name="一般 6_Cashflow trend" xfId="3100"/>
    <cellStyle name="一般 7" xfId="3101"/>
    <cellStyle name="一般 7 2" xfId="3102"/>
    <cellStyle name="一般 7 3" xfId="3103"/>
    <cellStyle name="一般 7 4" xfId="3104"/>
    <cellStyle name="一般 8" xfId="3105"/>
    <cellStyle name="一般 8 2" xfId="3106"/>
    <cellStyle name="一般 8 3" xfId="3107"/>
    <cellStyle name="一般 8_Cashflow trend" xfId="3108"/>
    <cellStyle name="一般 9" xfId="3109"/>
    <cellStyle name="一般 9 2" xfId="3110"/>
    <cellStyle name="一般 9 3" xfId="3111"/>
    <cellStyle name="一般 9_Cashflow trend" xfId="3112"/>
    <cellStyle name="一般_A5 New accounts" xfId="47099"/>
    <cellStyle name="僴僀僷乕儕儞僋" xfId="3113"/>
    <cellStyle name="千位[0]_ 库存" xfId="3114"/>
    <cellStyle name="千位_ 库存" xfId="3115"/>
    <cellStyle name="千位分隔 2" xfId="47100"/>
    <cellStyle name="千位分隔[0]_SMI_FS_200904_ScheduleApril" xfId="3116"/>
    <cellStyle name="千位分隔_Final_SMILLC-Mar2009" xfId="3117"/>
    <cellStyle name="千分位 [0]" xfId="3118"/>
    <cellStyle name="千分位 10" xfId="3119"/>
    <cellStyle name="千分位 10 2" xfId="3120"/>
    <cellStyle name="千分位 10 3" xfId="47101"/>
    <cellStyle name="千分位 11" xfId="3121"/>
    <cellStyle name="千分位 11 2" xfId="47102"/>
    <cellStyle name="千分位 12" xfId="3122"/>
    <cellStyle name="千分位 12 2" xfId="3123"/>
    <cellStyle name="千分位 13" xfId="3124"/>
    <cellStyle name="千分位 13 2" xfId="3125"/>
    <cellStyle name="千分位 14" xfId="3126"/>
    <cellStyle name="千分位 14 2" xfId="3127"/>
    <cellStyle name="千分位 15" xfId="3128"/>
    <cellStyle name="千分位 15 2" xfId="3129"/>
    <cellStyle name="千分位 15 3" xfId="3130"/>
    <cellStyle name="千分位 16" xfId="3131"/>
    <cellStyle name="千分位 16 2" xfId="3132"/>
    <cellStyle name="千分位 17" xfId="3133"/>
    <cellStyle name="千分位 17 2" xfId="3134"/>
    <cellStyle name="千分位 18" xfId="3135"/>
    <cellStyle name="千分位 19" xfId="3136"/>
    <cellStyle name="千分位 19 2" xfId="3137"/>
    <cellStyle name="千分位 19 3" xfId="3138"/>
    <cellStyle name="千分位 2" xfId="3139"/>
    <cellStyle name="千分位 2 2" xfId="3140"/>
    <cellStyle name="千分位 2 2 2" xfId="3141"/>
    <cellStyle name="千分位 2 2 2 2" xfId="3142"/>
    <cellStyle name="千分位 2 2 3" xfId="3143"/>
    <cellStyle name="千分位 2 3" xfId="3144"/>
    <cellStyle name="千分位 2 4" xfId="3145"/>
    <cellStyle name="千分位 2 5" xfId="8272"/>
    <cellStyle name="千分位 20" xfId="3146"/>
    <cellStyle name="千分位 20 2" xfId="3147"/>
    <cellStyle name="千分位 21" xfId="3148"/>
    <cellStyle name="千分位 21 2" xfId="3149"/>
    <cellStyle name="千分位 22" xfId="3150"/>
    <cellStyle name="千分位 22 2" xfId="3151"/>
    <cellStyle name="千分位 23" xfId="3152"/>
    <cellStyle name="千分位 3" xfId="3153"/>
    <cellStyle name="千分位 3 2" xfId="3154"/>
    <cellStyle name="千分位 3 2 2" xfId="3155"/>
    <cellStyle name="千分位 3 2 3" xfId="3156"/>
    <cellStyle name="千分位 3 3" xfId="3157"/>
    <cellStyle name="千分位 3 3 2" xfId="3158"/>
    <cellStyle name="千分位 3 4" xfId="8273"/>
    <cellStyle name="千分位 4" xfId="3159"/>
    <cellStyle name="千分位 4 2" xfId="3160"/>
    <cellStyle name="千分位 4 3" xfId="3161"/>
    <cellStyle name="千分位 4 4" xfId="3162"/>
    <cellStyle name="千分位 5" xfId="3163"/>
    <cellStyle name="千分位 5 2" xfId="3164"/>
    <cellStyle name="千分位 5 3" xfId="3165"/>
    <cellStyle name="千分位 5 4" xfId="3166"/>
    <cellStyle name="千分位 6" xfId="3167"/>
    <cellStyle name="千分位 6 2" xfId="3168"/>
    <cellStyle name="千分位 7" xfId="3169"/>
    <cellStyle name="千分位 7 2" xfId="3170"/>
    <cellStyle name="千分位 8" xfId="3171"/>
    <cellStyle name="千分位 8 2" xfId="3172"/>
    <cellStyle name="千分位 8 3" xfId="47103"/>
    <cellStyle name="千分位 9" xfId="3173"/>
    <cellStyle name="千分位 9 2" xfId="3174"/>
    <cellStyle name="千分位[0] 2" xfId="3175"/>
    <cellStyle name="千分位[0]n⸳‰" xfId="3176"/>
    <cellStyle name="壞_Book1" xfId="3177"/>
    <cellStyle name="壞_FS_FML_2012.10" xfId="3178"/>
    <cellStyle name="壞_X019_07_Cl" xfId="3179"/>
    <cellStyle name="壞_X019_07_Cl_updated" xfId="3180"/>
    <cellStyle name="壞_X019_Cl" xfId="3181"/>
    <cellStyle name="壞_X019_L_Cl" xfId="3182"/>
    <cellStyle name="大綱欄_1_Schedule of Quantities and Rates" xfId="3183"/>
    <cellStyle name="好_Book1" xfId="3184"/>
    <cellStyle name="好_FS_FML_2012.10" xfId="3185"/>
    <cellStyle name="好_X019_07_Cl" xfId="3186"/>
    <cellStyle name="好_X019_07_Cl_updated" xfId="3187"/>
    <cellStyle name="好_X019_Cl" xfId="3188"/>
    <cellStyle name="好_X019_L_Cl" xfId="3189"/>
    <cellStyle name="寘嬫愗傝 [0.00]_PRODUCT DETAIL Q1" xfId="3190"/>
    <cellStyle name="寘嬫愗傝_PRODUCT DETAIL Q1" xfId="3191"/>
    <cellStyle name="寥碟徽_95" xfId="3192"/>
    <cellStyle name="巍葆 [0]_95" xfId="3193"/>
    <cellStyle name="巍葆_95" xfId="3194"/>
    <cellStyle name="常规_2002请款对帐单" xfId="3195"/>
    <cellStyle name="捠壿 [0.00]_PRODUCT DETAIL Q1" xfId="3196"/>
    <cellStyle name="捠壿_PRODUCT DETAIL Q1" xfId="3197"/>
    <cellStyle name="昗弨_BOOKSHIP" xfId="3198"/>
    <cellStyle name="普通_ 白土" xfId="3199"/>
    <cellStyle name="未定義" xfId="3200"/>
    <cellStyle name="桁区切り [0.00]_１１月価格表" xfId="3201"/>
    <cellStyle name="桁区切り_１１月価格表" xfId="3202"/>
    <cellStyle name="检查单元格" xfId="3203"/>
    <cellStyle name="检查单元格 2" xfId="47104"/>
    <cellStyle name="检查单元格 3" xfId="47105"/>
    <cellStyle name="检查单元格 4" xfId="47106"/>
    <cellStyle name="检查单元格 5" xfId="47107"/>
    <cellStyle name="標準_１１月価格表" xfId="3204"/>
    <cellStyle name="標準1203" xfId="3205"/>
    <cellStyle name="樣式 1" xfId="3206"/>
    <cellStyle name="樣式 2" xfId="3207"/>
    <cellStyle name="正常 - 樣式1" xfId="3208"/>
    <cellStyle name="正常 - 樣式2" xfId="3209"/>
    <cellStyle name="正常 - 樣式3" xfId="3210"/>
    <cellStyle name="正常 - 樣式4" xfId="3211"/>
    <cellStyle name="正常 - 樣式5" xfId="3212"/>
    <cellStyle name="正常 - 樣式6" xfId="3213"/>
    <cellStyle name="正常 - 樣式7" xfId="3214"/>
    <cellStyle name="正常 - 樣式8" xfId="3215"/>
    <cellStyle name="烹拳 [0]_1202" xfId="3216"/>
    <cellStyle name="烹拳_1202" xfId="3217"/>
    <cellStyle name="珨啜_2000.9趶髟獲?脹" xfId="3218"/>
    <cellStyle name="百分比 2" xfId="3219"/>
    <cellStyle name="百分比 2 2" xfId="3220"/>
    <cellStyle name="百分比 2 3" xfId="3221"/>
    <cellStyle name="百分比 2 4" xfId="8274"/>
    <cellStyle name="百分比 3" xfId="3222"/>
    <cellStyle name="百分比 3 2" xfId="3223"/>
    <cellStyle name="百分比 3 2 2" xfId="3224"/>
    <cellStyle name="百分比 3 3" xfId="3225"/>
    <cellStyle name="百分比 3 4" xfId="47108"/>
    <cellStyle name="百分比 4" xfId="3226"/>
    <cellStyle name="百分比 4 2" xfId="3227"/>
    <cellStyle name="百分比 5" xfId="3228"/>
    <cellStyle name="砯刽 [0]_BS9701-3" xfId="3229"/>
    <cellStyle name="砯刽[0]_MMC-CP1" xfId="3230"/>
    <cellStyle name="砯刽_BS9701-3" xfId="3231"/>
    <cellStyle name="綴樟閉撰蟈諉" xfId="3232"/>
    <cellStyle name="蕦摽腔閉窣磐_Book1" xfId="3233"/>
    <cellStyle name="貨幣 [0]n⸳" xfId="3234"/>
    <cellStyle name="貨幣 2" xfId="3235"/>
    <cellStyle name="貨幣 2 2" xfId="3236"/>
    <cellStyle name="貨幣 2 3" xfId="3237"/>
    <cellStyle name="貨幣 2 3 2" xfId="3238"/>
    <cellStyle name="貨幣 3" xfId="3239"/>
    <cellStyle name="貨幣 4" xfId="3240"/>
    <cellStyle name="貨幣[0]_A_2_3" xfId="3241"/>
    <cellStyle name="货币_SMI_FS_200907_Vicky_20090817" xfId="3242"/>
    <cellStyle name="资产" xfId="3243"/>
    <cellStyle name="资产 10" xfId="8275"/>
    <cellStyle name="资产 10 10" xfId="47109"/>
    <cellStyle name="资产 10 2" xfId="47110"/>
    <cellStyle name="资产 10 3" xfId="47111"/>
    <cellStyle name="资产 10 4" xfId="47112"/>
    <cellStyle name="资产 10 5" xfId="47113"/>
    <cellStyle name="资产 10 6" xfId="47114"/>
    <cellStyle name="资产 10 7" xfId="47115"/>
    <cellStyle name="资产 10 8" xfId="47116"/>
    <cellStyle name="资产 10 9" xfId="47117"/>
    <cellStyle name="资产 11" xfId="8276"/>
    <cellStyle name="资产 11 2" xfId="47118"/>
    <cellStyle name="资产 11 3" xfId="47119"/>
    <cellStyle name="资产 11 4" xfId="47120"/>
    <cellStyle name="资产 11 5" xfId="47121"/>
    <cellStyle name="资产 11 6" xfId="47122"/>
    <cellStyle name="资产 11 7" xfId="47123"/>
    <cellStyle name="资产 12" xfId="8277"/>
    <cellStyle name="资产 12 2" xfId="47124"/>
    <cellStyle name="资产 12 3" xfId="47125"/>
    <cellStyle name="资产 12 4" xfId="47126"/>
    <cellStyle name="资产 12 5" xfId="47127"/>
    <cellStyle name="资产 12 6" xfId="47128"/>
    <cellStyle name="资产 12 7" xfId="47129"/>
    <cellStyle name="资产 13" xfId="8278"/>
    <cellStyle name="资产 13 2" xfId="47130"/>
    <cellStyle name="资产 13 3" xfId="47131"/>
    <cellStyle name="资产 13 4" xfId="47132"/>
    <cellStyle name="资产 13 5" xfId="47133"/>
    <cellStyle name="资产 13 6" xfId="47134"/>
    <cellStyle name="资产 13 7" xfId="47135"/>
    <cellStyle name="资产 14" xfId="8279"/>
    <cellStyle name="资产 14 2" xfId="47136"/>
    <cellStyle name="资产 14 3" xfId="47137"/>
    <cellStyle name="资产 14 4" xfId="47138"/>
    <cellStyle name="资产 14 5" xfId="47139"/>
    <cellStyle name="资产 14 6" xfId="47140"/>
    <cellStyle name="资产 14 7" xfId="47141"/>
    <cellStyle name="资产 15" xfId="8280"/>
    <cellStyle name="资产 15 2" xfId="47142"/>
    <cellStyle name="资产 15 3" xfId="47143"/>
    <cellStyle name="资产 15 4" xfId="47144"/>
    <cellStyle name="资产 15 5" xfId="47145"/>
    <cellStyle name="资产 15 6" xfId="47146"/>
    <cellStyle name="资产 15 7" xfId="47147"/>
    <cellStyle name="资产 16" xfId="8281"/>
    <cellStyle name="资产 16 2" xfId="47148"/>
    <cellStyle name="资产 16 3" xfId="47149"/>
    <cellStyle name="资产 16 4" xfId="47150"/>
    <cellStyle name="资产 16 5" xfId="47151"/>
    <cellStyle name="资产 16 6" xfId="47152"/>
    <cellStyle name="资产 16 7" xfId="47153"/>
    <cellStyle name="资产 17" xfId="8282"/>
    <cellStyle name="资产 17 2" xfId="47154"/>
    <cellStyle name="资产 17 3" xfId="47155"/>
    <cellStyle name="资产 17 4" xfId="47156"/>
    <cellStyle name="资产 17 5" xfId="47157"/>
    <cellStyle name="资产 17 6" xfId="47158"/>
    <cellStyle name="资产 17 7" xfId="47159"/>
    <cellStyle name="资产 18" xfId="8283"/>
    <cellStyle name="资产 18 2" xfId="47160"/>
    <cellStyle name="资产 18 3" xfId="47161"/>
    <cellStyle name="资产 18 4" xfId="47162"/>
    <cellStyle name="资产 18 5" xfId="47163"/>
    <cellStyle name="资产 18 6" xfId="47164"/>
    <cellStyle name="资产 18 7" xfId="47165"/>
    <cellStyle name="资产 19" xfId="8284"/>
    <cellStyle name="资产 19 2" xfId="47166"/>
    <cellStyle name="资产 19 3" xfId="47167"/>
    <cellStyle name="资产 19 4" xfId="47168"/>
    <cellStyle name="资产 19 5" xfId="47169"/>
    <cellStyle name="资产 19 6" xfId="47170"/>
    <cellStyle name="资产 19 7" xfId="47171"/>
    <cellStyle name="资产 2" xfId="3244"/>
    <cellStyle name="资产 2 10" xfId="8285"/>
    <cellStyle name="资产 2 10 2" xfId="47172"/>
    <cellStyle name="资产 2 10 3" xfId="47173"/>
    <cellStyle name="资产 2 10 4" xfId="47174"/>
    <cellStyle name="资产 2 10 5" xfId="47175"/>
    <cellStyle name="资产 2 10 6" xfId="47176"/>
    <cellStyle name="资产 2 10 7" xfId="47177"/>
    <cellStyle name="资产 2 100" xfId="47178"/>
    <cellStyle name="资产 2 11" xfId="8286"/>
    <cellStyle name="资产 2 11 2" xfId="47179"/>
    <cellStyle name="资产 2 11 3" xfId="47180"/>
    <cellStyle name="资产 2 11 4" xfId="47181"/>
    <cellStyle name="资产 2 11 5" xfId="47182"/>
    <cellStyle name="资产 2 11 6" xfId="47183"/>
    <cellStyle name="资产 2 11 7" xfId="47184"/>
    <cellStyle name="资产 2 12" xfId="8287"/>
    <cellStyle name="资产 2 12 2" xfId="47185"/>
    <cellStyle name="资产 2 12 3" xfId="47186"/>
    <cellStyle name="资产 2 12 4" xfId="47187"/>
    <cellStyle name="资产 2 12 5" xfId="47188"/>
    <cellStyle name="资产 2 12 6" xfId="47189"/>
    <cellStyle name="资产 2 12 7" xfId="47190"/>
    <cellStyle name="资产 2 13" xfId="8288"/>
    <cellStyle name="资产 2 13 2" xfId="47191"/>
    <cellStyle name="资产 2 13 3" xfId="47192"/>
    <cellStyle name="资产 2 13 4" xfId="47193"/>
    <cellStyle name="资产 2 13 5" xfId="47194"/>
    <cellStyle name="资产 2 13 6" xfId="47195"/>
    <cellStyle name="资产 2 13 7" xfId="47196"/>
    <cellStyle name="资产 2 14" xfId="8289"/>
    <cellStyle name="资产 2 14 2" xfId="47197"/>
    <cellStyle name="资产 2 14 3" xfId="47198"/>
    <cellStyle name="资产 2 14 4" xfId="47199"/>
    <cellStyle name="资产 2 14 5" xfId="47200"/>
    <cellStyle name="资产 2 14 6" xfId="47201"/>
    <cellStyle name="资产 2 14 7" xfId="47202"/>
    <cellStyle name="资产 2 15" xfId="8290"/>
    <cellStyle name="资产 2 15 2" xfId="47203"/>
    <cellStyle name="资产 2 15 3" xfId="47204"/>
    <cellStyle name="资产 2 15 4" xfId="47205"/>
    <cellStyle name="资产 2 15 5" xfId="47206"/>
    <cellStyle name="资产 2 15 6" xfId="47207"/>
    <cellStyle name="资产 2 15 7" xfId="47208"/>
    <cellStyle name="资产 2 16" xfId="8291"/>
    <cellStyle name="资产 2 16 2" xfId="47209"/>
    <cellStyle name="资产 2 16 3" xfId="47210"/>
    <cellStyle name="资产 2 16 4" xfId="47211"/>
    <cellStyle name="资产 2 16 5" xfId="47212"/>
    <cellStyle name="资产 2 16 6" xfId="47213"/>
    <cellStyle name="资产 2 16 7" xfId="47214"/>
    <cellStyle name="资产 2 17" xfId="8292"/>
    <cellStyle name="资产 2 17 2" xfId="47215"/>
    <cellStyle name="资产 2 17 3" xfId="47216"/>
    <cellStyle name="资产 2 17 4" xfId="47217"/>
    <cellStyle name="资产 2 17 5" xfId="47218"/>
    <cellStyle name="资产 2 17 6" xfId="47219"/>
    <cellStyle name="资产 2 17 7" xfId="47220"/>
    <cellStyle name="资产 2 18" xfId="8293"/>
    <cellStyle name="资产 2 18 2" xfId="47221"/>
    <cellStyle name="资产 2 18 3" xfId="47222"/>
    <cellStyle name="资产 2 18 4" xfId="47223"/>
    <cellStyle name="资产 2 18 5" xfId="47224"/>
    <cellStyle name="资产 2 18 6" xfId="47225"/>
    <cellStyle name="资产 2 18 7" xfId="47226"/>
    <cellStyle name="资产 2 19" xfId="8294"/>
    <cellStyle name="资产 2 19 2" xfId="47227"/>
    <cellStyle name="资产 2 19 3" xfId="47228"/>
    <cellStyle name="资产 2 19 4" xfId="47229"/>
    <cellStyle name="资产 2 19 5" xfId="47230"/>
    <cellStyle name="资产 2 19 6" xfId="47231"/>
    <cellStyle name="资产 2 19 7" xfId="47232"/>
    <cellStyle name="资产 2 2" xfId="3245"/>
    <cellStyle name="资产 2 2 10" xfId="8295"/>
    <cellStyle name="资产 2 2 10 2" xfId="47233"/>
    <cellStyle name="资产 2 2 10 3" xfId="47234"/>
    <cellStyle name="资产 2 2 10 4" xfId="47235"/>
    <cellStyle name="资产 2 2 10 5" xfId="47236"/>
    <cellStyle name="资产 2 2 10 6" xfId="47237"/>
    <cellStyle name="资产 2 2 10 7" xfId="47238"/>
    <cellStyle name="资产 2 2 100" xfId="47239"/>
    <cellStyle name="资产 2 2 101" xfId="47240"/>
    <cellStyle name="资产 2 2 102" xfId="47241"/>
    <cellStyle name="资产 2 2 11" xfId="8296"/>
    <cellStyle name="资产 2 2 11 2" xfId="47242"/>
    <cellStyle name="资产 2 2 11 3" xfId="47243"/>
    <cellStyle name="资产 2 2 11 4" xfId="47244"/>
    <cellStyle name="资产 2 2 11 5" xfId="47245"/>
    <cellStyle name="资产 2 2 11 6" xfId="47246"/>
    <cellStyle name="资产 2 2 11 7" xfId="47247"/>
    <cellStyle name="资产 2 2 12" xfId="8297"/>
    <cellStyle name="资产 2 2 12 2" xfId="47248"/>
    <cellStyle name="资产 2 2 12 3" xfId="47249"/>
    <cellStyle name="资产 2 2 12 4" xfId="47250"/>
    <cellStyle name="资产 2 2 12 5" xfId="47251"/>
    <cellStyle name="资产 2 2 12 6" xfId="47252"/>
    <cellStyle name="资产 2 2 12 7" xfId="47253"/>
    <cellStyle name="资产 2 2 13" xfId="8298"/>
    <cellStyle name="资产 2 2 13 2" xfId="47254"/>
    <cellStyle name="资产 2 2 13 3" xfId="47255"/>
    <cellStyle name="资产 2 2 13 4" xfId="47256"/>
    <cellStyle name="资产 2 2 13 5" xfId="47257"/>
    <cellStyle name="资产 2 2 13 6" xfId="47258"/>
    <cellStyle name="资产 2 2 13 7" xfId="47259"/>
    <cellStyle name="资产 2 2 14" xfId="8299"/>
    <cellStyle name="资产 2 2 14 2" xfId="47260"/>
    <cellStyle name="资产 2 2 14 3" xfId="47261"/>
    <cellStyle name="资产 2 2 14 4" xfId="47262"/>
    <cellStyle name="资产 2 2 14 5" xfId="47263"/>
    <cellStyle name="资产 2 2 14 6" xfId="47264"/>
    <cellStyle name="资产 2 2 14 7" xfId="47265"/>
    <cellStyle name="资产 2 2 15" xfId="8300"/>
    <cellStyle name="资产 2 2 15 2" xfId="47266"/>
    <cellStyle name="资产 2 2 15 3" xfId="47267"/>
    <cellStyle name="资产 2 2 15 4" xfId="47268"/>
    <cellStyle name="资产 2 2 15 5" xfId="47269"/>
    <cellStyle name="资产 2 2 15 6" xfId="47270"/>
    <cellStyle name="资产 2 2 15 7" xfId="47271"/>
    <cellStyle name="资产 2 2 16" xfId="8301"/>
    <cellStyle name="资产 2 2 16 2" xfId="47272"/>
    <cellStyle name="资产 2 2 16 3" xfId="47273"/>
    <cellStyle name="资产 2 2 16 4" xfId="47274"/>
    <cellStyle name="资产 2 2 16 5" xfId="47275"/>
    <cellStyle name="资产 2 2 16 6" xfId="47276"/>
    <cellStyle name="资产 2 2 16 7" xfId="47277"/>
    <cellStyle name="资产 2 2 17" xfId="8302"/>
    <cellStyle name="资产 2 2 17 2" xfId="47278"/>
    <cellStyle name="资产 2 2 17 3" xfId="47279"/>
    <cellStyle name="资产 2 2 17 4" xfId="47280"/>
    <cellStyle name="资产 2 2 17 5" xfId="47281"/>
    <cellStyle name="资产 2 2 17 6" xfId="47282"/>
    <cellStyle name="资产 2 2 17 7" xfId="47283"/>
    <cellStyle name="资产 2 2 18" xfId="8303"/>
    <cellStyle name="资产 2 2 18 2" xfId="47284"/>
    <cellStyle name="资产 2 2 18 3" xfId="47285"/>
    <cellStyle name="资产 2 2 18 4" xfId="47286"/>
    <cellStyle name="资产 2 2 18 5" xfId="47287"/>
    <cellStyle name="资产 2 2 18 6" xfId="47288"/>
    <cellStyle name="资产 2 2 18 7" xfId="47289"/>
    <cellStyle name="资产 2 2 19" xfId="8304"/>
    <cellStyle name="资产 2 2 19 2" xfId="47290"/>
    <cellStyle name="资产 2 2 19 3" xfId="47291"/>
    <cellStyle name="资产 2 2 19 4" xfId="47292"/>
    <cellStyle name="资产 2 2 19 5" xfId="47293"/>
    <cellStyle name="资产 2 2 19 6" xfId="47294"/>
    <cellStyle name="资产 2 2 19 7" xfId="47295"/>
    <cellStyle name="资产 2 2 2" xfId="3246"/>
    <cellStyle name="资产 2 2 2 10" xfId="47296"/>
    <cellStyle name="资产 2 2 2 11" xfId="47297"/>
    <cellStyle name="资产 2 2 2 2" xfId="12782"/>
    <cellStyle name="资产 2 2 2 3" xfId="47298"/>
    <cellStyle name="资产 2 2 2 4" xfId="47299"/>
    <cellStyle name="资产 2 2 2 5" xfId="47300"/>
    <cellStyle name="资产 2 2 2 6" xfId="47301"/>
    <cellStyle name="资产 2 2 2 7" xfId="47302"/>
    <cellStyle name="资产 2 2 2 8" xfId="47303"/>
    <cellStyle name="资产 2 2 2 9" xfId="47304"/>
    <cellStyle name="资产 2 2 2_YL Capex Cashflow &amp; Dep" xfId="13897"/>
    <cellStyle name="资产 2 2 20" xfId="8305"/>
    <cellStyle name="资产 2 2 20 2" xfId="47305"/>
    <cellStyle name="资产 2 2 20 3" xfId="47306"/>
    <cellStyle name="资产 2 2 20 4" xfId="47307"/>
    <cellStyle name="资产 2 2 20 5" xfId="47308"/>
    <cellStyle name="资产 2 2 20 6" xfId="47309"/>
    <cellStyle name="资产 2 2 20 7" xfId="47310"/>
    <cellStyle name="资产 2 2 21" xfId="8306"/>
    <cellStyle name="资产 2 2 21 2" xfId="47311"/>
    <cellStyle name="资产 2 2 21 3" xfId="47312"/>
    <cellStyle name="资产 2 2 21 4" xfId="47313"/>
    <cellStyle name="资产 2 2 21 5" xfId="47314"/>
    <cellStyle name="资产 2 2 21 6" xfId="47315"/>
    <cellStyle name="资产 2 2 21 7" xfId="47316"/>
    <cellStyle name="资产 2 2 22" xfId="8307"/>
    <cellStyle name="资产 2 2 22 2" xfId="47317"/>
    <cellStyle name="资产 2 2 22 3" xfId="47318"/>
    <cellStyle name="资产 2 2 22 4" xfId="47319"/>
    <cellStyle name="资产 2 2 22 5" xfId="47320"/>
    <cellStyle name="资产 2 2 22 6" xfId="47321"/>
    <cellStyle name="资产 2 2 22 7" xfId="47322"/>
    <cellStyle name="资产 2 2 23" xfId="8308"/>
    <cellStyle name="资产 2 2 23 2" xfId="47323"/>
    <cellStyle name="资产 2 2 23 3" xfId="47324"/>
    <cellStyle name="资产 2 2 23 4" xfId="47325"/>
    <cellStyle name="资产 2 2 23 5" xfId="47326"/>
    <cellStyle name="资产 2 2 23 6" xfId="47327"/>
    <cellStyle name="资产 2 2 23 7" xfId="47328"/>
    <cellStyle name="资产 2 2 24" xfId="8309"/>
    <cellStyle name="资产 2 2 24 2" xfId="47329"/>
    <cellStyle name="资产 2 2 24 3" xfId="47330"/>
    <cellStyle name="资产 2 2 24 4" xfId="47331"/>
    <cellStyle name="资产 2 2 24 5" xfId="47332"/>
    <cellStyle name="资产 2 2 24 6" xfId="47333"/>
    <cellStyle name="资产 2 2 24 7" xfId="47334"/>
    <cellStyle name="资产 2 2 25" xfId="8310"/>
    <cellStyle name="资产 2 2 25 2" xfId="47335"/>
    <cellStyle name="资产 2 2 25 3" xfId="47336"/>
    <cellStyle name="资产 2 2 25 4" xfId="47337"/>
    <cellStyle name="资产 2 2 25 5" xfId="47338"/>
    <cellStyle name="资产 2 2 25 6" xfId="47339"/>
    <cellStyle name="资产 2 2 25 7" xfId="47340"/>
    <cellStyle name="资产 2 2 26" xfId="8311"/>
    <cellStyle name="资产 2 2 26 2" xfId="47341"/>
    <cellStyle name="资产 2 2 26 3" xfId="47342"/>
    <cellStyle name="资产 2 2 26 4" xfId="47343"/>
    <cellStyle name="资产 2 2 26 5" xfId="47344"/>
    <cellStyle name="资产 2 2 26 6" xfId="47345"/>
    <cellStyle name="资产 2 2 26 7" xfId="47346"/>
    <cellStyle name="资产 2 2 27" xfId="8312"/>
    <cellStyle name="资产 2 2 27 2" xfId="47347"/>
    <cellStyle name="资产 2 2 27 3" xfId="47348"/>
    <cellStyle name="资产 2 2 27 4" xfId="47349"/>
    <cellStyle name="资产 2 2 27 5" xfId="47350"/>
    <cellStyle name="资产 2 2 27 6" xfId="47351"/>
    <cellStyle name="资产 2 2 27 7" xfId="47352"/>
    <cellStyle name="资产 2 2 28" xfId="8313"/>
    <cellStyle name="资产 2 2 28 2" xfId="47353"/>
    <cellStyle name="资产 2 2 28 3" xfId="47354"/>
    <cellStyle name="资产 2 2 28 4" xfId="47355"/>
    <cellStyle name="资产 2 2 28 5" xfId="47356"/>
    <cellStyle name="资产 2 2 28 6" xfId="47357"/>
    <cellStyle name="资产 2 2 28 7" xfId="47358"/>
    <cellStyle name="资产 2 2 29" xfId="8314"/>
    <cellStyle name="资产 2 2 29 2" xfId="47359"/>
    <cellStyle name="资产 2 2 29 3" xfId="47360"/>
    <cellStyle name="资产 2 2 29 4" xfId="47361"/>
    <cellStyle name="资产 2 2 29 5" xfId="47362"/>
    <cellStyle name="资产 2 2 29 6" xfId="47363"/>
    <cellStyle name="资产 2 2 29 7" xfId="47364"/>
    <cellStyle name="资产 2 2 3" xfId="8315"/>
    <cellStyle name="资产 2 2 3 10" xfId="47365"/>
    <cellStyle name="资产 2 2 3 2" xfId="47366"/>
    <cellStyle name="资产 2 2 3 3" xfId="47367"/>
    <cellStyle name="资产 2 2 3 4" xfId="47368"/>
    <cellStyle name="资产 2 2 3 5" xfId="47369"/>
    <cellStyle name="资产 2 2 3 6" xfId="47370"/>
    <cellStyle name="资产 2 2 3 7" xfId="47371"/>
    <cellStyle name="资产 2 2 3 8" xfId="47372"/>
    <cellStyle name="资产 2 2 3 9" xfId="47373"/>
    <cellStyle name="资产 2 2 30" xfId="8316"/>
    <cellStyle name="资产 2 2 30 2" xfId="47374"/>
    <cellStyle name="资产 2 2 30 3" xfId="47375"/>
    <cellStyle name="资产 2 2 30 4" xfId="47376"/>
    <cellStyle name="资产 2 2 30 5" xfId="47377"/>
    <cellStyle name="资产 2 2 30 6" xfId="47378"/>
    <cellStyle name="资产 2 2 30 7" xfId="47379"/>
    <cellStyle name="资产 2 2 31" xfId="8317"/>
    <cellStyle name="资产 2 2 31 2" xfId="47380"/>
    <cellStyle name="资产 2 2 31 3" xfId="47381"/>
    <cellStyle name="资产 2 2 31 4" xfId="47382"/>
    <cellStyle name="资产 2 2 31 5" xfId="47383"/>
    <cellStyle name="资产 2 2 31 6" xfId="47384"/>
    <cellStyle name="资产 2 2 31 7" xfId="47385"/>
    <cellStyle name="资产 2 2 32" xfId="8318"/>
    <cellStyle name="资产 2 2 32 2" xfId="47386"/>
    <cellStyle name="资产 2 2 32 3" xfId="47387"/>
    <cellStyle name="资产 2 2 32 4" xfId="47388"/>
    <cellStyle name="资产 2 2 32 5" xfId="47389"/>
    <cellStyle name="资产 2 2 32 6" xfId="47390"/>
    <cellStyle name="资产 2 2 32 7" xfId="47391"/>
    <cellStyle name="资产 2 2 33" xfId="8319"/>
    <cellStyle name="资产 2 2 33 2" xfId="47392"/>
    <cellStyle name="资产 2 2 33 3" xfId="47393"/>
    <cellStyle name="资产 2 2 33 4" xfId="47394"/>
    <cellStyle name="资产 2 2 33 5" xfId="47395"/>
    <cellStyle name="资产 2 2 33 6" xfId="47396"/>
    <cellStyle name="资产 2 2 33 7" xfId="47397"/>
    <cellStyle name="资产 2 2 34" xfId="8320"/>
    <cellStyle name="资产 2 2 34 2" xfId="47398"/>
    <cellStyle name="资产 2 2 34 3" xfId="47399"/>
    <cellStyle name="资产 2 2 34 4" xfId="47400"/>
    <cellStyle name="资产 2 2 34 5" xfId="47401"/>
    <cellStyle name="资产 2 2 34 6" xfId="47402"/>
    <cellStyle name="资产 2 2 34 7" xfId="47403"/>
    <cellStyle name="资产 2 2 35" xfId="8321"/>
    <cellStyle name="资产 2 2 35 2" xfId="47404"/>
    <cellStyle name="资产 2 2 35 3" xfId="47405"/>
    <cellStyle name="资产 2 2 35 4" xfId="47406"/>
    <cellStyle name="资产 2 2 35 5" xfId="47407"/>
    <cellStyle name="资产 2 2 35 6" xfId="47408"/>
    <cellStyle name="资产 2 2 35 7" xfId="47409"/>
    <cellStyle name="资产 2 2 36" xfId="8322"/>
    <cellStyle name="资产 2 2 36 2" xfId="47410"/>
    <cellStyle name="资产 2 2 36 3" xfId="47411"/>
    <cellStyle name="资产 2 2 36 4" xfId="47412"/>
    <cellStyle name="资产 2 2 36 5" xfId="47413"/>
    <cellStyle name="资产 2 2 36 6" xfId="47414"/>
    <cellStyle name="资产 2 2 36 7" xfId="47415"/>
    <cellStyle name="资产 2 2 37" xfId="8323"/>
    <cellStyle name="资产 2 2 37 2" xfId="47416"/>
    <cellStyle name="资产 2 2 37 3" xfId="47417"/>
    <cellStyle name="资产 2 2 37 4" xfId="47418"/>
    <cellStyle name="资产 2 2 37 5" xfId="47419"/>
    <cellStyle name="资产 2 2 37 6" xfId="47420"/>
    <cellStyle name="资产 2 2 37 7" xfId="47421"/>
    <cellStyle name="资产 2 2 38" xfId="8324"/>
    <cellStyle name="资产 2 2 38 2" xfId="47422"/>
    <cellStyle name="资产 2 2 38 3" xfId="47423"/>
    <cellStyle name="资产 2 2 38 4" xfId="47424"/>
    <cellStyle name="资产 2 2 38 5" xfId="47425"/>
    <cellStyle name="资产 2 2 38 6" xfId="47426"/>
    <cellStyle name="资产 2 2 38 7" xfId="47427"/>
    <cellStyle name="资产 2 2 39" xfId="8325"/>
    <cellStyle name="资产 2 2 39 2" xfId="47428"/>
    <cellStyle name="资产 2 2 39 3" xfId="47429"/>
    <cellStyle name="资产 2 2 39 4" xfId="47430"/>
    <cellStyle name="资产 2 2 39 5" xfId="47431"/>
    <cellStyle name="资产 2 2 39 6" xfId="47432"/>
    <cellStyle name="资产 2 2 39 7" xfId="47433"/>
    <cellStyle name="资产 2 2 4" xfId="8326"/>
    <cellStyle name="资产 2 2 4 10" xfId="47434"/>
    <cellStyle name="资产 2 2 4 2" xfId="47435"/>
    <cellStyle name="资产 2 2 4 3" xfId="47436"/>
    <cellStyle name="资产 2 2 4 4" xfId="47437"/>
    <cellStyle name="资产 2 2 4 5" xfId="47438"/>
    <cellStyle name="资产 2 2 4 6" xfId="47439"/>
    <cellStyle name="资产 2 2 4 7" xfId="47440"/>
    <cellStyle name="资产 2 2 4 8" xfId="47441"/>
    <cellStyle name="资产 2 2 4 9" xfId="47442"/>
    <cellStyle name="资产 2 2 40" xfId="8327"/>
    <cellStyle name="资产 2 2 40 2" xfId="47443"/>
    <cellStyle name="资产 2 2 40 3" xfId="47444"/>
    <cellStyle name="资产 2 2 40 4" xfId="47445"/>
    <cellStyle name="资产 2 2 40 5" xfId="47446"/>
    <cellStyle name="资产 2 2 40 6" xfId="47447"/>
    <cellStyle name="资产 2 2 40 7" xfId="47448"/>
    <cellStyle name="资产 2 2 41" xfId="8328"/>
    <cellStyle name="资产 2 2 41 2" xfId="47449"/>
    <cellStyle name="资产 2 2 41 3" xfId="47450"/>
    <cellStyle name="资产 2 2 41 4" xfId="47451"/>
    <cellStyle name="资产 2 2 41 5" xfId="47452"/>
    <cellStyle name="资产 2 2 41 6" xfId="47453"/>
    <cellStyle name="资产 2 2 41 7" xfId="47454"/>
    <cellStyle name="资产 2 2 42" xfId="8329"/>
    <cellStyle name="资产 2 2 42 2" xfId="47455"/>
    <cellStyle name="资产 2 2 42 3" xfId="47456"/>
    <cellStyle name="资产 2 2 42 4" xfId="47457"/>
    <cellStyle name="资产 2 2 42 5" xfId="47458"/>
    <cellStyle name="资产 2 2 42 6" xfId="47459"/>
    <cellStyle name="资产 2 2 42 7" xfId="47460"/>
    <cellStyle name="资产 2 2 43" xfId="8330"/>
    <cellStyle name="资产 2 2 43 2" xfId="47461"/>
    <cellStyle name="资产 2 2 43 3" xfId="47462"/>
    <cellStyle name="资产 2 2 43 4" xfId="47463"/>
    <cellStyle name="资产 2 2 43 5" xfId="47464"/>
    <cellStyle name="资产 2 2 43 6" xfId="47465"/>
    <cellStyle name="资产 2 2 43 7" xfId="47466"/>
    <cellStyle name="资产 2 2 44" xfId="8331"/>
    <cellStyle name="资产 2 2 44 2" xfId="47467"/>
    <cellStyle name="资产 2 2 44 3" xfId="47468"/>
    <cellStyle name="资产 2 2 44 4" xfId="47469"/>
    <cellStyle name="资产 2 2 44 5" xfId="47470"/>
    <cellStyle name="资产 2 2 44 6" xfId="47471"/>
    <cellStyle name="资产 2 2 44 7" xfId="47472"/>
    <cellStyle name="资产 2 2 45" xfId="8332"/>
    <cellStyle name="资产 2 2 45 2" xfId="47473"/>
    <cellStyle name="资产 2 2 45 3" xfId="47474"/>
    <cellStyle name="资产 2 2 45 4" xfId="47475"/>
    <cellStyle name="资产 2 2 45 5" xfId="47476"/>
    <cellStyle name="资产 2 2 45 6" xfId="47477"/>
    <cellStyle name="资产 2 2 45 7" xfId="47478"/>
    <cellStyle name="资产 2 2 46" xfId="8333"/>
    <cellStyle name="资产 2 2 46 2" xfId="47479"/>
    <cellStyle name="资产 2 2 46 3" xfId="47480"/>
    <cellStyle name="资产 2 2 46 4" xfId="47481"/>
    <cellStyle name="资产 2 2 46 5" xfId="47482"/>
    <cellStyle name="资产 2 2 46 6" xfId="47483"/>
    <cellStyle name="资产 2 2 46 7" xfId="47484"/>
    <cellStyle name="资产 2 2 47" xfId="8334"/>
    <cellStyle name="资产 2 2 47 2" xfId="47485"/>
    <cellStyle name="资产 2 2 47 3" xfId="47486"/>
    <cellStyle name="资产 2 2 47 4" xfId="47487"/>
    <cellStyle name="资产 2 2 47 5" xfId="47488"/>
    <cellStyle name="资产 2 2 47 6" xfId="47489"/>
    <cellStyle name="资产 2 2 47 7" xfId="47490"/>
    <cellStyle name="资产 2 2 48" xfId="8335"/>
    <cellStyle name="资产 2 2 48 2" xfId="47491"/>
    <cellStyle name="资产 2 2 48 3" xfId="47492"/>
    <cellStyle name="资产 2 2 48 4" xfId="47493"/>
    <cellStyle name="资产 2 2 48 5" xfId="47494"/>
    <cellStyle name="资产 2 2 48 6" xfId="47495"/>
    <cellStyle name="资产 2 2 48 7" xfId="47496"/>
    <cellStyle name="资产 2 2 49" xfId="8336"/>
    <cellStyle name="资产 2 2 49 2" xfId="47497"/>
    <cellStyle name="资产 2 2 49 3" xfId="47498"/>
    <cellStyle name="资产 2 2 49 4" xfId="47499"/>
    <cellStyle name="资产 2 2 49 5" xfId="47500"/>
    <cellStyle name="资产 2 2 49 6" xfId="47501"/>
    <cellStyle name="资产 2 2 49 7" xfId="47502"/>
    <cellStyle name="资产 2 2 5" xfId="8337"/>
    <cellStyle name="资产 2 2 5 2" xfId="47503"/>
    <cellStyle name="资产 2 2 5 3" xfId="47504"/>
    <cellStyle name="资产 2 2 5 4" xfId="47505"/>
    <cellStyle name="资产 2 2 5 5" xfId="47506"/>
    <cellStyle name="资产 2 2 5 6" xfId="47507"/>
    <cellStyle name="资产 2 2 5 7" xfId="47508"/>
    <cellStyle name="资产 2 2 50" xfId="8338"/>
    <cellStyle name="资产 2 2 50 2" xfId="47509"/>
    <cellStyle name="资产 2 2 50 3" xfId="47510"/>
    <cellStyle name="资产 2 2 50 4" xfId="47511"/>
    <cellStyle name="资产 2 2 50 5" xfId="47512"/>
    <cellStyle name="资产 2 2 50 6" xfId="47513"/>
    <cellStyle name="资产 2 2 50 7" xfId="47514"/>
    <cellStyle name="资产 2 2 51" xfId="8339"/>
    <cellStyle name="资产 2 2 51 2" xfId="47515"/>
    <cellStyle name="资产 2 2 51 3" xfId="47516"/>
    <cellStyle name="资产 2 2 51 4" xfId="47517"/>
    <cellStyle name="资产 2 2 51 5" xfId="47518"/>
    <cellStyle name="资产 2 2 51 6" xfId="47519"/>
    <cellStyle name="资产 2 2 51 7" xfId="47520"/>
    <cellStyle name="资产 2 2 52" xfId="8340"/>
    <cellStyle name="资产 2 2 52 2" xfId="47521"/>
    <cellStyle name="资产 2 2 52 3" xfId="47522"/>
    <cellStyle name="资产 2 2 52 4" xfId="47523"/>
    <cellStyle name="资产 2 2 52 5" xfId="47524"/>
    <cellStyle name="资产 2 2 52 6" xfId="47525"/>
    <cellStyle name="资产 2 2 52 7" xfId="47526"/>
    <cellStyle name="资产 2 2 53" xfId="8341"/>
    <cellStyle name="资产 2 2 53 2" xfId="47527"/>
    <cellStyle name="资产 2 2 53 3" xfId="47528"/>
    <cellStyle name="资产 2 2 53 4" xfId="47529"/>
    <cellStyle name="资产 2 2 53 5" xfId="47530"/>
    <cellStyle name="资产 2 2 53 6" xfId="47531"/>
    <cellStyle name="资产 2 2 53 7" xfId="47532"/>
    <cellStyle name="资产 2 2 54" xfId="8342"/>
    <cellStyle name="资产 2 2 54 2" xfId="47533"/>
    <cellStyle name="资产 2 2 54 3" xfId="47534"/>
    <cellStyle name="资产 2 2 54 4" xfId="47535"/>
    <cellStyle name="资产 2 2 54 5" xfId="47536"/>
    <cellStyle name="资产 2 2 54 6" xfId="47537"/>
    <cellStyle name="资产 2 2 54 7" xfId="47538"/>
    <cellStyle name="资产 2 2 55" xfId="8343"/>
    <cellStyle name="资产 2 2 55 2" xfId="47539"/>
    <cellStyle name="资产 2 2 55 3" xfId="47540"/>
    <cellStyle name="资产 2 2 55 4" xfId="47541"/>
    <cellStyle name="资产 2 2 55 5" xfId="47542"/>
    <cellStyle name="资产 2 2 55 6" xfId="47543"/>
    <cellStyle name="资产 2 2 55 7" xfId="47544"/>
    <cellStyle name="资产 2 2 56" xfId="8344"/>
    <cellStyle name="资产 2 2 56 2" xfId="47545"/>
    <cellStyle name="资产 2 2 56 3" xfId="47546"/>
    <cellStyle name="资产 2 2 56 4" xfId="47547"/>
    <cellStyle name="资产 2 2 56 5" xfId="47548"/>
    <cellStyle name="资产 2 2 56 6" xfId="47549"/>
    <cellStyle name="资产 2 2 56 7" xfId="47550"/>
    <cellStyle name="资产 2 2 57" xfId="8345"/>
    <cellStyle name="资产 2 2 57 2" xfId="47551"/>
    <cellStyle name="资产 2 2 57 3" xfId="47552"/>
    <cellStyle name="资产 2 2 57 4" xfId="47553"/>
    <cellStyle name="资产 2 2 57 5" xfId="47554"/>
    <cellStyle name="资产 2 2 57 6" xfId="47555"/>
    <cellStyle name="资产 2 2 57 7" xfId="47556"/>
    <cellStyle name="资产 2 2 58" xfId="8346"/>
    <cellStyle name="资产 2 2 58 2" xfId="47557"/>
    <cellStyle name="资产 2 2 58 3" xfId="47558"/>
    <cellStyle name="资产 2 2 58 4" xfId="47559"/>
    <cellStyle name="资产 2 2 58 5" xfId="47560"/>
    <cellStyle name="资产 2 2 58 6" xfId="47561"/>
    <cellStyle name="资产 2 2 58 7" xfId="47562"/>
    <cellStyle name="资产 2 2 59" xfId="8347"/>
    <cellStyle name="资产 2 2 59 2" xfId="47563"/>
    <cellStyle name="资产 2 2 59 3" xfId="47564"/>
    <cellStyle name="资产 2 2 59 4" xfId="47565"/>
    <cellStyle name="资产 2 2 59 5" xfId="47566"/>
    <cellStyle name="资产 2 2 59 6" xfId="47567"/>
    <cellStyle name="资产 2 2 59 7" xfId="47568"/>
    <cellStyle name="资产 2 2 6" xfId="8348"/>
    <cellStyle name="资产 2 2 6 2" xfId="47569"/>
    <cellStyle name="资产 2 2 6 3" xfId="47570"/>
    <cellStyle name="资产 2 2 6 4" xfId="47571"/>
    <cellStyle name="资产 2 2 6 5" xfId="47572"/>
    <cellStyle name="资产 2 2 6 6" xfId="47573"/>
    <cellStyle name="资产 2 2 6 7" xfId="47574"/>
    <cellStyle name="资产 2 2 60" xfId="8349"/>
    <cellStyle name="资产 2 2 60 2" xfId="47575"/>
    <cellStyle name="资产 2 2 60 3" xfId="47576"/>
    <cellStyle name="资产 2 2 60 4" xfId="47577"/>
    <cellStyle name="资产 2 2 60 5" xfId="47578"/>
    <cellStyle name="资产 2 2 60 6" xfId="47579"/>
    <cellStyle name="资产 2 2 60 7" xfId="47580"/>
    <cellStyle name="资产 2 2 61" xfId="8350"/>
    <cellStyle name="资产 2 2 61 2" xfId="47581"/>
    <cellStyle name="资产 2 2 61 3" xfId="47582"/>
    <cellStyle name="资产 2 2 61 4" xfId="47583"/>
    <cellStyle name="资产 2 2 61 5" xfId="47584"/>
    <cellStyle name="资产 2 2 61 6" xfId="47585"/>
    <cellStyle name="资产 2 2 61 7" xfId="47586"/>
    <cellStyle name="资产 2 2 62" xfId="8351"/>
    <cellStyle name="资产 2 2 62 2" xfId="47587"/>
    <cellStyle name="资产 2 2 62 3" xfId="47588"/>
    <cellStyle name="资产 2 2 62 4" xfId="47589"/>
    <cellStyle name="资产 2 2 62 5" xfId="47590"/>
    <cellStyle name="资产 2 2 62 6" xfId="47591"/>
    <cellStyle name="资产 2 2 62 7" xfId="47592"/>
    <cellStyle name="资产 2 2 63" xfId="8352"/>
    <cellStyle name="资产 2 2 63 2" xfId="47593"/>
    <cellStyle name="资产 2 2 63 3" xfId="47594"/>
    <cellStyle name="资产 2 2 63 4" xfId="47595"/>
    <cellStyle name="资产 2 2 63 5" xfId="47596"/>
    <cellStyle name="资产 2 2 63 6" xfId="47597"/>
    <cellStyle name="资产 2 2 63 7" xfId="47598"/>
    <cellStyle name="资产 2 2 64" xfId="8353"/>
    <cellStyle name="资产 2 2 64 2" xfId="47599"/>
    <cellStyle name="资产 2 2 64 3" xfId="47600"/>
    <cellStyle name="资产 2 2 64 4" xfId="47601"/>
    <cellStyle name="资产 2 2 64 5" xfId="47602"/>
    <cellStyle name="资产 2 2 64 6" xfId="47603"/>
    <cellStyle name="资产 2 2 64 7" xfId="47604"/>
    <cellStyle name="资产 2 2 65" xfId="8354"/>
    <cellStyle name="资产 2 2 65 2" xfId="47605"/>
    <cellStyle name="资产 2 2 65 3" xfId="47606"/>
    <cellStyle name="资产 2 2 65 4" xfId="47607"/>
    <cellStyle name="资产 2 2 65 5" xfId="47608"/>
    <cellStyle name="资产 2 2 65 6" xfId="47609"/>
    <cellStyle name="资产 2 2 65 7" xfId="47610"/>
    <cellStyle name="资产 2 2 66" xfId="8355"/>
    <cellStyle name="资产 2 2 66 2" xfId="47611"/>
    <cellStyle name="资产 2 2 66 3" xfId="47612"/>
    <cellStyle name="资产 2 2 66 4" xfId="47613"/>
    <cellStyle name="资产 2 2 66 5" xfId="47614"/>
    <cellStyle name="资产 2 2 66 6" xfId="47615"/>
    <cellStyle name="资产 2 2 66 7" xfId="47616"/>
    <cellStyle name="资产 2 2 67" xfId="8356"/>
    <cellStyle name="资产 2 2 67 2" xfId="47617"/>
    <cellStyle name="资产 2 2 67 3" xfId="47618"/>
    <cellStyle name="资产 2 2 67 4" xfId="47619"/>
    <cellStyle name="资产 2 2 67 5" xfId="47620"/>
    <cellStyle name="资产 2 2 67 6" xfId="47621"/>
    <cellStyle name="资产 2 2 67 7" xfId="47622"/>
    <cellStyle name="资产 2 2 68" xfId="8357"/>
    <cellStyle name="资产 2 2 68 2" xfId="47623"/>
    <cellStyle name="资产 2 2 68 3" xfId="47624"/>
    <cellStyle name="资产 2 2 68 4" xfId="47625"/>
    <cellStyle name="资产 2 2 68 5" xfId="47626"/>
    <cellStyle name="资产 2 2 68 6" xfId="47627"/>
    <cellStyle name="资产 2 2 68 7" xfId="47628"/>
    <cellStyle name="资产 2 2 69" xfId="8358"/>
    <cellStyle name="资产 2 2 69 2" xfId="47629"/>
    <cellStyle name="资产 2 2 69 3" xfId="47630"/>
    <cellStyle name="资产 2 2 69 4" xfId="47631"/>
    <cellStyle name="资产 2 2 69 5" xfId="47632"/>
    <cellStyle name="资产 2 2 69 6" xfId="47633"/>
    <cellStyle name="资产 2 2 69 7" xfId="47634"/>
    <cellStyle name="资产 2 2 7" xfId="8359"/>
    <cellStyle name="资产 2 2 7 2" xfId="47635"/>
    <cellStyle name="资产 2 2 7 3" xfId="47636"/>
    <cellStyle name="资产 2 2 7 4" xfId="47637"/>
    <cellStyle name="资产 2 2 7 5" xfId="47638"/>
    <cellStyle name="资产 2 2 7 6" xfId="47639"/>
    <cellStyle name="资产 2 2 7 7" xfId="47640"/>
    <cellStyle name="资产 2 2 70" xfId="8360"/>
    <cellStyle name="资产 2 2 70 2" xfId="47641"/>
    <cellStyle name="资产 2 2 70 3" xfId="47642"/>
    <cellStyle name="资产 2 2 70 4" xfId="47643"/>
    <cellStyle name="资产 2 2 70 5" xfId="47644"/>
    <cellStyle name="资产 2 2 70 6" xfId="47645"/>
    <cellStyle name="资产 2 2 70 7" xfId="47646"/>
    <cellStyle name="资产 2 2 71" xfId="8361"/>
    <cellStyle name="资产 2 2 71 2" xfId="47647"/>
    <cellStyle name="资产 2 2 71 3" xfId="47648"/>
    <cellStyle name="资产 2 2 71 4" xfId="47649"/>
    <cellStyle name="资产 2 2 71 5" xfId="47650"/>
    <cellStyle name="资产 2 2 71 6" xfId="47651"/>
    <cellStyle name="资产 2 2 71 7" xfId="47652"/>
    <cellStyle name="资产 2 2 72" xfId="8362"/>
    <cellStyle name="资产 2 2 72 2" xfId="47653"/>
    <cellStyle name="资产 2 2 72 3" xfId="47654"/>
    <cellStyle name="资产 2 2 72 4" xfId="47655"/>
    <cellStyle name="资产 2 2 72 5" xfId="47656"/>
    <cellStyle name="资产 2 2 72 6" xfId="47657"/>
    <cellStyle name="资产 2 2 72 7" xfId="47658"/>
    <cellStyle name="资产 2 2 73" xfId="8363"/>
    <cellStyle name="资产 2 2 73 2" xfId="47659"/>
    <cellStyle name="资产 2 2 73 3" xfId="47660"/>
    <cellStyle name="资产 2 2 73 4" xfId="47661"/>
    <cellStyle name="资产 2 2 73 5" xfId="47662"/>
    <cellStyle name="资产 2 2 73 6" xfId="47663"/>
    <cellStyle name="资产 2 2 73 7" xfId="47664"/>
    <cellStyle name="资产 2 2 74" xfId="8364"/>
    <cellStyle name="资产 2 2 74 2" xfId="47665"/>
    <cellStyle name="资产 2 2 74 3" xfId="47666"/>
    <cellStyle name="资产 2 2 74 4" xfId="47667"/>
    <cellStyle name="资产 2 2 74 5" xfId="47668"/>
    <cellStyle name="资产 2 2 74 6" xfId="47669"/>
    <cellStyle name="资产 2 2 74 7" xfId="47670"/>
    <cellStyle name="资产 2 2 75" xfId="8365"/>
    <cellStyle name="资产 2 2 75 2" xfId="47671"/>
    <cellStyle name="资产 2 2 75 3" xfId="47672"/>
    <cellStyle name="资产 2 2 75 4" xfId="47673"/>
    <cellStyle name="资产 2 2 75 5" xfId="47674"/>
    <cellStyle name="资产 2 2 75 6" xfId="47675"/>
    <cellStyle name="资产 2 2 75 7" xfId="47676"/>
    <cellStyle name="资产 2 2 76" xfId="8366"/>
    <cellStyle name="资产 2 2 76 2" xfId="47677"/>
    <cellStyle name="资产 2 2 76 3" xfId="47678"/>
    <cellStyle name="资产 2 2 76 4" xfId="47679"/>
    <cellStyle name="资产 2 2 76 5" xfId="47680"/>
    <cellStyle name="资产 2 2 76 6" xfId="47681"/>
    <cellStyle name="资产 2 2 76 7" xfId="47682"/>
    <cellStyle name="资产 2 2 77" xfId="8367"/>
    <cellStyle name="资产 2 2 77 2" xfId="47683"/>
    <cellStyle name="资产 2 2 77 3" xfId="47684"/>
    <cellStyle name="资产 2 2 77 4" xfId="47685"/>
    <cellStyle name="资产 2 2 77 5" xfId="47686"/>
    <cellStyle name="资产 2 2 77 6" xfId="47687"/>
    <cellStyle name="资产 2 2 77 7" xfId="47688"/>
    <cellStyle name="资产 2 2 78" xfId="8368"/>
    <cellStyle name="资产 2 2 78 2" xfId="47689"/>
    <cellStyle name="资产 2 2 78 3" xfId="47690"/>
    <cellStyle name="资产 2 2 78 4" xfId="47691"/>
    <cellStyle name="资产 2 2 78 5" xfId="47692"/>
    <cellStyle name="资产 2 2 78 6" xfId="47693"/>
    <cellStyle name="资产 2 2 78 7" xfId="47694"/>
    <cellStyle name="资产 2 2 79" xfId="8369"/>
    <cellStyle name="资产 2 2 79 2" xfId="47695"/>
    <cellStyle name="资产 2 2 79 3" xfId="47696"/>
    <cellStyle name="资产 2 2 79 4" xfId="47697"/>
    <cellStyle name="资产 2 2 79 5" xfId="47698"/>
    <cellStyle name="资产 2 2 79 6" xfId="47699"/>
    <cellStyle name="资产 2 2 79 7" xfId="47700"/>
    <cellStyle name="资产 2 2 8" xfId="8370"/>
    <cellStyle name="资产 2 2 8 2" xfId="47701"/>
    <cellStyle name="资产 2 2 8 3" xfId="47702"/>
    <cellStyle name="资产 2 2 8 4" xfId="47703"/>
    <cellStyle name="资产 2 2 8 5" xfId="47704"/>
    <cellStyle name="资产 2 2 8 6" xfId="47705"/>
    <cellStyle name="资产 2 2 8 7" xfId="47706"/>
    <cellStyle name="资产 2 2 80" xfId="8371"/>
    <cellStyle name="资产 2 2 80 2" xfId="47707"/>
    <cellStyle name="资产 2 2 80 3" xfId="47708"/>
    <cellStyle name="资产 2 2 80 4" xfId="47709"/>
    <cellStyle name="资产 2 2 80 5" xfId="47710"/>
    <cellStyle name="资产 2 2 80 6" xfId="47711"/>
    <cellStyle name="资产 2 2 80 7" xfId="47712"/>
    <cellStyle name="资产 2 2 81" xfId="8372"/>
    <cellStyle name="资产 2 2 81 2" xfId="47713"/>
    <cellStyle name="资产 2 2 81 3" xfId="47714"/>
    <cellStyle name="资产 2 2 81 4" xfId="47715"/>
    <cellStyle name="资产 2 2 81 5" xfId="47716"/>
    <cellStyle name="资产 2 2 81 6" xfId="47717"/>
    <cellStyle name="资产 2 2 81 7" xfId="47718"/>
    <cellStyle name="资产 2 2 82" xfId="8373"/>
    <cellStyle name="资产 2 2 82 2" xfId="47719"/>
    <cellStyle name="资产 2 2 82 3" xfId="47720"/>
    <cellStyle name="资产 2 2 82 4" xfId="47721"/>
    <cellStyle name="资产 2 2 82 5" xfId="47722"/>
    <cellStyle name="资产 2 2 82 6" xfId="47723"/>
    <cellStyle name="资产 2 2 82 7" xfId="47724"/>
    <cellStyle name="资产 2 2 83" xfId="8374"/>
    <cellStyle name="资产 2 2 83 2" xfId="47725"/>
    <cellStyle name="资产 2 2 83 3" xfId="47726"/>
    <cellStyle name="资产 2 2 83 4" xfId="47727"/>
    <cellStyle name="资产 2 2 83 5" xfId="47728"/>
    <cellStyle name="资产 2 2 83 6" xfId="47729"/>
    <cellStyle name="资产 2 2 83 7" xfId="47730"/>
    <cellStyle name="资产 2 2 84" xfId="8375"/>
    <cellStyle name="资产 2 2 84 2" xfId="47731"/>
    <cellStyle name="资产 2 2 84 3" xfId="47732"/>
    <cellStyle name="资产 2 2 84 4" xfId="47733"/>
    <cellStyle name="资产 2 2 84 5" xfId="47734"/>
    <cellStyle name="资产 2 2 84 6" xfId="47735"/>
    <cellStyle name="资产 2 2 84 7" xfId="47736"/>
    <cellStyle name="资产 2 2 85" xfId="8376"/>
    <cellStyle name="资产 2 2 85 2" xfId="47737"/>
    <cellStyle name="资产 2 2 85 3" xfId="47738"/>
    <cellStyle name="资产 2 2 85 4" xfId="47739"/>
    <cellStyle name="资产 2 2 85 5" xfId="47740"/>
    <cellStyle name="资产 2 2 85 6" xfId="47741"/>
    <cellStyle name="资产 2 2 85 7" xfId="47742"/>
    <cellStyle name="资产 2 2 86" xfId="8377"/>
    <cellStyle name="资产 2 2 86 2" xfId="47743"/>
    <cellStyle name="资产 2 2 86 3" xfId="47744"/>
    <cellStyle name="资产 2 2 86 4" xfId="47745"/>
    <cellStyle name="资产 2 2 86 5" xfId="47746"/>
    <cellStyle name="资产 2 2 86 6" xfId="47747"/>
    <cellStyle name="资产 2 2 86 7" xfId="47748"/>
    <cellStyle name="资产 2 2 87" xfId="8378"/>
    <cellStyle name="资产 2 2 87 2" xfId="47749"/>
    <cellStyle name="资产 2 2 87 3" xfId="47750"/>
    <cellStyle name="资产 2 2 87 4" xfId="47751"/>
    <cellStyle name="资产 2 2 87 5" xfId="47752"/>
    <cellStyle name="资产 2 2 87 6" xfId="47753"/>
    <cellStyle name="资产 2 2 87 7" xfId="47754"/>
    <cellStyle name="资产 2 2 88" xfId="8379"/>
    <cellStyle name="资产 2 2 88 2" xfId="47755"/>
    <cellStyle name="资产 2 2 88 3" xfId="47756"/>
    <cellStyle name="资产 2 2 88 4" xfId="47757"/>
    <cellStyle name="资产 2 2 88 5" xfId="47758"/>
    <cellStyle name="资产 2 2 88 6" xfId="47759"/>
    <cellStyle name="资产 2 2 88 7" xfId="47760"/>
    <cellStyle name="资产 2 2 89" xfId="8380"/>
    <cellStyle name="资产 2 2 89 2" xfId="47761"/>
    <cellStyle name="资产 2 2 89 3" xfId="47762"/>
    <cellStyle name="资产 2 2 89 4" xfId="47763"/>
    <cellStyle name="资产 2 2 89 5" xfId="47764"/>
    <cellStyle name="资产 2 2 89 6" xfId="47765"/>
    <cellStyle name="资产 2 2 89 7" xfId="47766"/>
    <cellStyle name="资产 2 2 9" xfId="8381"/>
    <cellStyle name="资产 2 2 9 2" xfId="47767"/>
    <cellStyle name="资产 2 2 9 3" xfId="47768"/>
    <cellStyle name="资产 2 2 9 4" xfId="47769"/>
    <cellStyle name="资产 2 2 9 5" xfId="47770"/>
    <cellStyle name="资产 2 2 9 6" xfId="47771"/>
    <cellStyle name="资产 2 2 9 7" xfId="47772"/>
    <cellStyle name="资产 2 2 90" xfId="8382"/>
    <cellStyle name="资产 2 2 90 2" xfId="47773"/>
    <cellStyle name="资产 2 2 90 3" xfId="47774"/>
    <cellStyle name="资产 2 2 90 4" xfId="47775"/>
    <cellStyle name="资产 2 2 90 5" xfId="47776"/>
    <cellStyle name="资产 2 2 90 6" xfId="47777"/>
    <cellStyle name="资产 2 2 90 7" xfId="47778"/>
    <cellStyle name="资产 2 2 91" xfId="8383"/>
    <cellStyle name="资产 2 2 91 2" xfId="47779"/>
    <cellStyle name="资产 2 2 91 3" xfId="47780"/>
    <cellStyle name="资产 2 2 91 4" xfId="47781"/>
    <cellStyle name="资产 2 2 91 5" xfId="47782"/>
    <cellStyle name="资产 2 2 91 6" xfId="47783"/>
    <cellStyle name="资产 2 2 91 7" xfId="47784"/>
    <cellStyle name="资产 2 2 92" xfId="8384"/>
    <cellStyle name="资产 2 2 92 2" xfId="47785"/>
    <cellStyle name="资产 2 2 92 3" xfId="47786"/>
    <cellStyle name="资产 2 2 92 4" xfId="47787"/>
    <cellStyle name="资产 2 2 92 5" xfId="47788"/>
    <cellStyle name="资产 2 2 92 6" xfId="47789"/>
    <cellStyle name="资产 2 2 92 7" xfId="47790"/>
    <cellStyle name="资产 2 2 93" xfId="8385"/>
    <cellStyle name="资产 2 2 93 2" xfId="47791"/>
    <cellStyle name="资产 2 2 93 3" xfId="47792"/>
    <cellStyle name="资产 2 2 93 4" xfId="47793"/>
    <cellStyle name="资产 2 2 93 5" xfId="47794"/>
    <cellStyle name="资产 2 2 93 6" xfId="47795"/>
    <cellStyle name="资产 2 2 94" xfId="12187"/>
    <cellStyle name="资产 2 2 95" xfId="47796"/>
    <cellStyle name="资产 2 2 96" xfId="47797"/>
    <cellStyle name="资产 2 2 97" xfId="47798"/>
    <cellStyle name="资产 2 2 98" xfId="47799"/>
    <cellStyle name="资产 2 2 99" xfId="47800"/>
    <cellStyle name="资产 2 2_Cashflow trend" xfId="3247"/>
    <cellStyle name="资产 2 20" xfId="8386"/>
    <cellStyle name="资产 2 20 2" xfId="47801"/>
    <cellStyle name="资产 2 20 3" xfId="47802"/>
    <cellStyle name="资产 2 20 4" xfId="47803"/>
    <cellStyle name="资产 2 20 5" xfId="47804"/>
    <cellStyle name="资产 2 20 6" xfId="47805"/>
    <cellStyle name="资产 2 20 7" xfId="47806"/>
    <cellStyle name="资产 2 21" xfId="8387"/>
    <cellStyle name="资产 2 21 2" xfId="47807"/>
    <cellStyle name="资产 2 21 3" xfId="47808"/>
    <cellStyle name="资产 2 21 4" xfId="47809"/>
    <cellStyle name="资产 2 21 5" xfId="47810"/>
    <cellStyle name="资产 2 21 6" xfId="47811"/>
    <cellStyle name="资产 2 21 7" xfId="47812"/>
    <cellStyle name="资产 2 22" xfId="8388"/>
    <cellStyle name="资产 2 22 2" xfId="47813"/>
    <cellStyle name="资产 2 22 3" xfId="47814"/>
    <cellStyle name="资产 2 22 4" xfId="47815"/>
    <cellStyle name="资产 2 22 5" xfId="47816"/>
    <cellStyle name="资产 2 22 6" xfId="47817"/>
    <cellStyle name="资产 2 22 7" xfId="47818"/>
    <cellStyle name="资产 2 23" xfId="8389"/>
    <cellStyle name="资产 2 23 2" xfId="47819"/>
    <cellStyle name="资产 2 23 3" xfId="47820"/>
    <cellStyle name="资产 2 23 4" xfId="47821"/>
    <cellStyle name="资产 2 23 5" xfId="47822"/>
    <cellStyle name="资产 2 23 6" xfId="47823"/>
    <cellStyle name="资产 2 23 7" xfId="47824"/>
    <cellStyle name="资产 2 24" xfId="8390"/>
    <cellStyle name="资产 2 24 2" xfId="47825"/>
    <cellStyle name="资产 2 24 3" xfId="47826"/>
    <cellStyle name="资产 2 24 4" xfId="47827"/>
    <cellStyle name="资产 2 24 5" xfId="47828"/>
    <cellStyle name="资产 2 24 6" xfId="47829"/>
    <cellStyle name="资产 2 24 7" xfId="47830"/>
    <cellStyle name="资产 2 25" xfId="8391"/>
    <cellStyle name="资产 2 25 2" xfId="47831"/>
    <cellStyle name="资产 2 25 3" xfId="47832"/>
    <cellStyle name="资产 2 25 4" xfId="47833"/>
    <cellStyle name="资产 2 25 5" xfId="47834"/>
    <cellStyle name="资产 2 25 6" xfId="47835"/>
    <cellStyle name="资产 2 25 7" xfId="47836"/>
    <cellStyle name="资产 2 26" xfId="8392"/>
    <cellStyle name="资产 2 26 2" xfId="47837"/>
    <cellStyle name="资产 2 26 3" xfId="47838"/>
    <cellStyle name="资产 2 26 4" xfId="47839"/>
    <cellStyle name="资产 2 26 5" xfId="47840"/>
    <cellStyle name="资产 2 26 6" xfId="47841"/>
    <cellStyle name="资产 2 26 7" xfId="47842"/>
    <cellStyle name="资产 2 27" xfId="8393"/>
    <cellStyle name="资产 2 27 2" xfId="47843"/>
    <cellStyle name="资产 2 27 3" xfId="47844"/>
    <cellStyle name="资产 2 27 4" xfId="47845"/>
    <cellStyle name="资产 2 27 5" xfId="47846"/>
    <cellStyle name="资产 2 27 6" xfId="47847"/>
    <cellStyle name="资产 2 27 7" xfId="47848"/>
    <cellStyle name="资产 2 28" xfId="8394"/>
    <cellStyle name="资产 2 28 2" xfId="47849"/>
    <cellStyle name="资产 2 28 3" xfId="47850"/>
    <cellStyle name="资产 2 28 4" xfId="47851"/>
    <cellStyle name="资产 2 28 5" xfId="47852"/>
    <cellStyle name="资产 2 28 6" xfId="47853"/>
    <cellStyle name="资产 2 28 7" xfId="47854"/>
    <cellStyle name="资产 2 29" xfId="8395"/>
    <cellStyle name="资产 2 29 2" xfId="47855"/>
    <cellStyle name="资产 2 29 3" xfId="47856"/>
    <cellStyle name="资产 2 29 4" xfId="47857"/>
    <cellStyle name="资产 2 29 5" xfId="47858"/>
    <cellStyle name="资产 2 29 6" xfId="47859"/>
    <cellStyle name="资产 2 29 7" xfId="47860"/>
    <cellStyle name="资产 2 3" xfId="3248"/>
    <cellStyle name="资产 2 3 10" xfId="8396"/>
    <cellStyle name="资产 2 3 10 2" xfId="47861"/>
    <cellStyle name="资产 2 3 10 3" xfId="47862"/>
    <cellStyle name="资产 2 3 10 4" xfId="47863"/>
    <cellStyle name="资产 2 3 10 5" xfId="47864"/>
    <cellStyle name="资产 2 3 10 6" xfId="47865"/>
    <cellStyle name="资产 2 3 10 7" xfId="47866"/>
    <cellStyle name="资产 2 3 100" xfId="47867"/>
    <cellStyle name="资产 2 3 101" xfId="47868"/>
    <cellStyle name="资产 2 3 102" xfId="47869"/>
    <cellStyle name="资产 2 3 11" xfId="8397"/>
    <cellStyle name="资产 2 3 11 2" xfId="47870"/>
    <cellStyle name="资产 2 3 11 3" xfId="47871"/>
    <cellStyle name="资产 2 3 11 4" xfId="47872"/>
    <cellStyle name="资产 2 3 11 5" xfId="47873"/>
    <cellStyle name="资产 2 3 11 6" xfId="47874"/>
    <cellStyle name="资产 2 3 11 7" xfId="47875"/>
    <cellStyle name="资产 2 3 12" xfId="8398"/>
    <cellStyle name="资产 2 3 12 2" xfId="47876"/>
    <cellStyle name="资产 2 3 12 3" xfId="47877"/>
    <cellStyle name="资产 2 3 12 4" xfId="47878"/>
    <cellStyle name="资产 2 3 12 5" xfId="47879"/>
    <cellStyle name="资产 2 3 12 6" xfId="47880"/>
    <cellStyle name="资产 2 3 12 7" xfId="47881"/>
    <cellStyle name="资产 2 3 13" xfId="8399"/>
    <cellStyle name="资产 2 3 13 2" xfId="47882"/>
    <cellStyle name="资产 2 3 13 3" xfId="47883"/>
    <cellStyle name="资产 2 3 13 4" xfId="47884"/>
    <cellStyle name="资产 2 3 13 5" xfId="47885"/>
    <cellStyle name="资产 2 3 13 6" xfId="47886"/>
    <cellStyle name="资产 2 3 13 7" xfId="47887"/>
    <cellStyle name="资产 2 3 14" xfId="8400"/>
    <cellStyle name="资产 2 3 14 2" xfId="47888"/>
    <cellStyle name="资产 2 3 14 3" xfId="47889"/>
    <cellStyle name="资产 2 3 14 4" xfId="47890"/>
    <cellStyle name="资产 2 3 14 5" xfId="47891"/>
    <cellStyle name="资产 2 3 14 6" xfId="47892"/>
    <cellStyle name="资产 2 3 14 7" xfId="47893"/>
    <cellStyle name="资产 2 3 15" xfId="8401"/>
    <cellStyle name="资产 2 3 15 2" xfId="47894"/>
    <cellStyle name="资产 2 3 15 3" xfId="47895"/>
    <cellStyle name="资产 2 3 15 4" xfId="47896"/>
    <cellStyle name="资产 2 3 15 5" xfId="47897"/>
    <cellStyle name="资产 2 3 15 6" xfId="47898"/>
    <cellStyle name="资产 2 3 15 7" xfId="47899"/>
    <cellStyle name="资产 2 3 16" xfId="8402"/>
    <cellStyle name="资产 2 3 16 2" xfId="47900"/>
    <cellStyle name="资产 2 3 16 3" xfId="47901"/>
    <cellStyle name="资产 2 3 16 4" xfId="47902"/>
    <cellStyle name="资产 2 3 16 5" xfId="47903"/>
    <cellStyle name="资产 2 3 16 6" xfId="47904"/>
    <cellStyle name="资产 2 3 16 7" xfId="47905"/>
    <cellStyle name="资产 2 3 17" xfId="8403"/>
    <cellStyle name="资产 2 3 17 2" xfId="47906"/>
    <cellStyle name="资产 2 3 17 3" xfId="47907"/>
    <cellStyle name="资产 2 3 17 4" xfId="47908"/>
    <cellStyle name="资产 2 3 17 5" xfId="47909"/>
    <cellStyle name="资产 2 3 17 6" xfId="47910"/>
    <cellStyle name="资产 2 3 17 7" xfId="47911"/>
    <cellStyle name="资产 2 3 18" xfId="8404"/>
    <cellStyle name="资产 2 3 18 2" xfId="47912"/>
    <cellStyle name="资产 2 3 18 3" xfId="47913"/>
    <cellStyle name="资产 2 3 18 4" xfId="47914"/>
    <cellStyle name="资产 2 3 18 5" xfId="47915"/>
    <cellStyle name="资产 2 3 18 6" xfId="47916"/>
    <cellStyle name="资产 2 3 18 7" xfId="47917"/>
    <cellStyle name="资产 2 3 19" xfId="8405"/>
    <cellStyle name="资产 2 3 19 2" xfId="47918"/>
    <cellStyle name="资产 2 3 19 3" xfId="47919"/>
    <cellStyle name="资产 2 3 19 4" xfId="47920"/>
    <cellStyle name="资产 2 3 19 5" xfId="47921"/>
    <cellStyle name="资产 2 3 19 6" xfId="47922"/>
    <cellStyle name="资产 2 3 19 7" xfId="47923"/>
    <cellStyle name="资产 2 3 2" xfId="3249"/>
    <cellStyle name="资产 2 3 2 10" xfId="47924"/>
    <cellStyle name="资产 2 3 2 11" xfId="47925"/>
    <cellStyle name="资产 2 3 2 2" xfId="13198"/>
    <cellStyle name="资产 2 3 2 3" xfId="47926"/>
    <cellStyle name="资产 2 3 2 4" xfId="47927"/>
    <cellStyle name="资产 2 3 2 5" xfId="47928"/>
    <cellStyle name="资产 2 3 2 6" xfId="47929"/>
    <cellStyle name="资产 2 3 2 7" xfId="47930"/>
    <cellStyle name="资产 2 3 2 8" xfId="47931"/>
    <cellStyle name="资产 2 3 2 9" xfId="47932"/>
    <cellStyle name="资产 2 3 2_YL Capex Cashflow &amp; Dep" xfId="13898"/>
    <cellStyle name="资产 2 3 20" xfId="8406"/>
    <cellStyle name="资产 2 3 20 2" xfId="47933"/>
    <cellStyle name="资产 2 3 20 3" xfId="47934"/>
    <cellStyle name="资产 2 3 20 4" xfId="47935"/>
    <cellStyle name="资产 2 3 20 5" xfId="47936"/>
    <cellStyle name="资产 2 3 20 6" xfId="47937"/>
    <cellStyle name="资产 2 3 20 7" xfId="47938"/>
    <cellStyle name="资产 2 3 21" xfId="8407"/>
    <cellStyle name="资产 2 3 21 2" xfId="47939"/>
    <cellStyle name="资产 2 3 21 3" xfId="47940"/>
    <cellStyle name="资产 2 3 21 4" xfId="47941"/>
    <cellStyle name="资产 2 3 21 5" xfId="47942"/>
    <cellStyle name="资产 2 3 21 6" xfId="47943"/>
    <cellStyle name="资产 2 3 21 7" xfId="47944"/>
    <cellStyle name="资产 2 3 22" xfId="8408"/>
    <cellStyle name="资产 2 3 22 2" xfId="47945"/>
    <cellStyle name="资产 2 3 22 3" xfId="47946"/>
    <cellStyle name="资产 2 3 22 4" xfId="47947"/>
    <cellStyle name="资产 2 3 22 5" xfId="47948"/>
    <cellStyle name="资产 2 3 22 6" xfId="47949"/>
    <cellStyle name="资产 2 3 22 7" xfId="47950"/>
    <cellStyle name="资产 2 3 23" xfId="8409"/>
    <cellStyle name="资产 2 3 23 2" xfId="47951"/>
    <cellStyle name="资产 2 3 23 3" xfId="47952"/>
    <cellStyle name="资产 2 3 23 4" xfId="47953"/>
    <cellStyle name="资产 2 3 23 5" xfId="47954"/>
    <cellStyle name="资产 2 3 23 6" xfId="47955"/>
    <cellStyle name="资产 2 3 23 7" xfId="47956"/>
    <cellStyle name="资产 2 3 24" xfId="8410"/>
    <cellStyle name="资产 2 3 24 2" xfId="47957"/>
    <cellStyle name="资产 2 3 24 3" xfId="47958"/>
    <cellStyle name="资产 2 3 24 4" xfId="47959"/>
    <cellStyle name="资产 2 3 24 5" xfId="47960"/>
    <cellStyle name="资产 2 3 24 6" xfId="47961"/>
    <cellStyle name="资产 2 3 24 7" xfId="47962"/>
    <cellStyle name="资产 2 3 25" xfId="8411"/>
    <cellStyle name="资产 2 3 25 2" xfId="47963"/>
    <cellStyle name="资产 2 3 25 3" xfId="47964"/>
    <cellStyle name="资产 2 3 25 4" xfId="47965"/>
    <cellStyle name="资产 2 3 25 5" xfId="47966"/>
    <cellStyle name="资产 2 3 25 6" xfId="47967"/>
    <cellStyle name="资产 2 3 25 7" xfId="47968"/>
    <cellStyle name="资产 2 3 26" xfId="8412"/>
    <cellStyle name="资产 2 3 26 2" xfId="47969"/>
    <cellStyle name="资产 2 3 26 3" xfId="47970"/>
    <cellStyle name="资产 2 3 26 4" xfId="47971"/>
    <cellStyle name="资产 2 3 26 5" xfId="47972"/>
    <cellStyle name="资产 2 3 26 6" xfId="47973"/>
    <cellStyle name="资产 2 3 26 7" xfId="47974"/>
    <cellStyle name="资产 2 3 27" xfId="8413"/>
    <cellStyle name="资产 2 3 27 2" xfId="47975"/>
    <cellStyle name="资产 2 3 27 3" xfId="47976"/>
    <cellStyle name="资产 2 3 27 4" xfId="47977"/>
    <cellStyle name="资产 2 3 27 5" xfId="47978"/>
    <cellStyle name="资产 2 3 27 6" xfId="47979"/>
    <cellStyle name="资产 2 3 27 7" xfId="47980"/>
    <cellStyle name="资产 2 3 28" xfId="8414"/>
    <cellStyle name="资产 2 3 28 2" xfId="47981"/>
    <cellStyle name="资产 2 3 28 3" xfId="47982"/>
    <cellStyle name="资产 2 3 28 4" xfId="47983"/>
    <cellStyle name="资产 2 3 28 5" xfId="47984"/>
    <cellStyle name="资产 2 3 28 6" xfId="47985"/>
    <cellStyle name="资产 2 3 28 7" xfId="47986"/>
    <cellStyle name="资产 2 3 29" xfId="8415"/>
    <cellStyle name="资产 2 3 29 2" xfId="47987"/>
    <cellStyle name="资产 2 3 29 3" xfId="47988"/>
    <cellStyle name="资产 2 3 29 4" xfId="47989"/>
    <cellStyle name="资产 2 3 29 5" xfId="47990"/>
    <cellStyle name="资产 2 3 29 6" xfId="47991"/>
    <cellStyle name="资产 2 3 29 7" xfId="47992"/>
    <cellStyle name="资产 2 3 3" xfId="8416"/>
    <cellStyle name="资产 2 3 3 10" xfId="47993"/>
    <cellStyle name="资产 2 3 3 2" xfId="47994"/>
    <cellStyle name="资产 2 3 3 3" xfId="47995"/>
    <cellStyle name="资产 2 3 3 4" xfId="47996"/>
    <cellStyle name="资产 2 3 3 5" xfId="47997"/>
    <cellStyle name="资产 2 3 3 6" xfId="47998"/>
    <cellStyle name="资产 2 3 3 7" xfId="47999"/>
    <cellStyle name="资产 2 3 3 8" xfId="48000"/>
    <cellStyle name="资产 2 3 3 9" xfId="48001"/>
    <cellStyle name="资产 2 3 30" xfId="8417"/>
    <cellStyle name="资产 2 3 30 2" xfId="48002"/>
    <cellStyle name="资产 2 3 30 3" xfId="48003"/>
    <cellStyle name="资产 2 3 30 4" xfId="48004"/>
    <cellStyle name="资产 2 3 30 5" xfId="48005"/>
    <cellStyle name="资产 2 3 30 6" xfId="48006"/>
    <cellStyle name="资产 2 3 30 7" xfId="48007"/>
    <cellStyle name="资产 2 3 31" xfId="8418"/>
    <cellStyle name="资产 2 3 31 2" xfId="48008"/>
    <cellStyle name="资产 2 3 31 3" xfId="48009"/>
    <cellStyle name="资产 2 3 31 4" xfId="48010"/>
    <cellStyle name="资产 2 3 31 5" xfId="48011"/>
    <cellStyle name="资产 2 3 31 6" xfId="48012"/>
    <cellStyle name="资产 2 3 31 7" xfId="48013"/>
    <cellStyle name="资产 2 3 32" xfId="8419"/>
    <cellStyle name="资产 2 3 32 2" xfId="48014"/>
    <cellStyle name="资产 2 3 32 3" xfId="48015"/>
    <cellStyle name="资产 2 3 32 4" xfId="48016"/>
    <cellStyle name="资产 2 3 32 5" xfId="48017"/>
    <cellStyle name="资产 2 3 32 6" xfId="48018"/>
    <cellStyle name="资产 2 3 32 7" xfId="48019"/>
    <cellStyle name="资产 2 3 33" xfId="8420"/>
    <cellStyle name="资产 2 3 33 2" xfId="48020"/>
    <cellStyle name="资产 2 3 33 3" xfId="48021"/>
    <cellStyle name="资产 2 3 33 4" xfId="48022"/>
    <cellStyle name="资产 2 3 33 5" xfId="48023"/>
    <cellStyle name="资产 2 3 33 6" xfId="48024"/>
    <cellStyle name="资产 2 3 33 7" xfId="48025"/>
    <cellStyle name="资产 2 3 34" xfId="8421"/>
    <cellStyle name="资产 2 3 34 2" xfId="48026"/>
    <cellStyle name="资产 2 3 34 3" xfId="48027"/>
    <cellStyle name="资产 2 3 34 4" xfId="48028"/>
    <cellStyle name="资产 2 3 34 5" xfId="48029"/>
    <cellStyle name="资产 2 3 34 6" xfId="48030"/>
    <cellStyle name="资产 2 3 34 7" xfId="48031"/>
    <cellStyle name="资产 2 3 35" xfId="8422"/>
    <cellStyle name="资产 2 3 35 2" xfId="48032"/>
    <cellStyle name="资产 2 3 35 3" xfId="48033"/>
    <cellStyle name="资产 2 3 35 4" xfId="48034"/>
    <cellStyle name="资产 2 3 35 5" xfId="48035"/>
    <cellStyle name="资产 2 3 35 6" xfId="48036"/>
    <cellStyle name="资产 2 3 35 7" xfId="48037"/>
    <cellStyle name="资产 2 3 36" xfId="8423"/>
    <cellStyle name="资产 2 3 36 2" xfId="48038"/>
    <cellStyle name="资产 2 3 36 3" xfId="48039"/>
    <cellStyle name="资产 2 3 36 4" xfId="48040"/>
    <cellStyle name="资产 2 3 36 5" xfId="48041"/>
    <cellStyle name="资产 2 3 36 6" xfId="48042"/>
    <cellStyle name="资产 2 3 36 7" xfId="48043"/>
    <cellStyle name="资产 2 3 37" xfId="8424"/>
    <cellStyle name="资产 2 3 37 2" xfId="48044"/>
    <cellStyle name="资产 2 3 37 3" xfId="48045"/>
    <cellStyle name="资产 2 3 37 4" xfId="48046"/>
    <cellStyle name="资产 2 3 37 5" xfId="48047"/>
    <cellStyle name="资产 2 3 37 6" xfId="48048"/>
    <cellStyle name="资产 2 3 37 7" xfId="48049"/>
    <cellStyle name="资产 2 3 38" xfId="8425"/>
    <cellStyle name="资产 2 3 38 2" xfId="48050"/>
    <cellStyle name="资产 2 3 38 3" xfId="48051"/>
    <cellStyle name="资产 2 3 38 4" xfId="48052"/>
    <cellStyle name="资产 2 3 38 5" xfId="48053"/>
    <cellStyle name="资产 2 3 38 6" xfId="48054"/>
    <cellStyle name="资产 2 3 38 7" xfId="48055"/>
    <cellStyle name="资产 2 3 39" xfId="8426"/>
    <cellStyle name="资产 2 3 39 2" xfId="48056"/>
    <cellStyle name="资产 2 3 39 3" xfId="48057"/>
    <cellStyle name="资产 2 3 39 4" xfId="48058"/>
    <cellStyle name="资产 2 3 39 5" xfId="48059"/>
    <cellStyle name="资产 2 3 39 6" xfId="48060"/>
    <cellStyle name="资产 2 3 39 7" xfId="48061"/>
    <cellStyle name="资产 2 3 4" xfId="8427"/>
    <cellStyle name="资产 2 3 4 10" xfId="48062"/>
    <cellStyle name="资产 2 3 4 2" xfId="48063"/>
    <cellStyle name="资产 2 3 4 3" xfId="48064"/>
    <cellStyle name="资产 2 3 4 4" xfId="48065"/>
    <cellStyle name="资产 2 3 4 5" xfId="48066"/>
    <cellStyle name="资产 2 3 4 6" xfId="48067"/>
    <cellStyle name="资产 2 3 4 7" xfId="48068"/>
    <cellStyle name="资产 2 3 4 8" xfId="48069"/>
    <cellStyle name="资产 2 3 4 9" xfId="48070"/>
    <cellStyle name="资产 2 3 40" xfId="8428"/>
    <cellStyle name="资产 2 3 40 2" xfId="48071"/>
    <cellStyle name="资产 2 3 40 3" xfId="48072"/>
    <cellStyle name="资产 2 3 40 4" xfId="48073"/>
    <cellStyle name="资产 2 3 40 5" xfId="48074"/>
    <cellStyle name="资产 2 3 40 6" xfId="48075"/>
    <cellStyle name="资产 2 3 40 7" xfId="48076"/>
    <cellStyle name="资产 2 3 41" xfId="8429"/>
    <cellStyle name="资产 2 3 41 2" xfId="48077"/>
    <cellStyle name="资产 2 3 41 3" xfId="48078"/>
    <cellStyle name="资产 2 3 41 4" xfId="48079"/>
    <cellStyle name="资产 2 3 41 5" xfId="48080"/>
    <cellStyle name="资产 2 3 41 6" xfId="48081"/>
    <cellStyle name="资产 2 3 41 7" xfId="48082"/>
    <cellStyle name="资产 2 3 42" xfId="8430"/>
    <cellStyle name="资产 2 3 42 2" xfId="48083"/>
    <cellStyle name="资产 2 3 42 3" xfId="48084"/>
    <cellStyle name="资产 2 3 42 4" xfId="48085"/>
    <cellStyle name="资产 2 3 42 5" xfId="48086"/>
    <cellStyle name="资产 2 3 42 6" xfId="48087"/>
    <cellStyle name="资产 2 3 42 7" xfId="48088"/>
    <cellStyle name="资产 2 3 43" xfId="8431"/>
    <cellStyle name="资产 2 3 43 2" xfId="48089"/>
    <cellStyle name="资产 2 3 43 3" xfId="48090"/>
    <cellStyle name="资产 2 3 43 4" xfId="48091"/>
    <cellStyle name="资产 2 3 43 5" xfId="48092"/>
    <cellStyle name="资产 2 3 43 6" xfId="48093"/>
    <cellStyle name="资产 2 3 43 7" xfId="48094"/>
    <cellStyle name="资产 2 3 44" xfId="8432"/>
    <cellStyle name="资产 2 3 44 2" xfId="48095"/>
    <cellStyle name="资产 2 3 44 3" xfId="48096"/>
    <cellStyle name="资产 2 3 44 4" xfId="48097"/>
    <cellStyle name="资产 2 3 44 5" xfId="48098"/>
    <cellStyle name="资产 2 3 44 6" xfId="48099"/>
    <cellStyle name="资产 2 3 44 7" xfId="48100"/>
    <cellStyle name="资产 2 3 45" xfId="8433"/>
    <cellStyle name="资产 2 3 45 2" xfId="48101"/>
    <cellStyle name="资产 2 3 45 3" xfId="48102"/>
    <cellStyle name="资产 2 3 45 4" xfId="48103"/>
    <cellStyle name="资产 2 3 45 5" xfId="48104"/>
    <cellStyle name="资产 2 3 45 6" xfId="48105"/>
    <cellStyle name="资产 2 3 45 7" xfId="48106"/>
    <cellStyle name="资产 2 3 46" xfId="8434"/>
    <cellStyle name="资产 2 3 46 2" xfId="48107"/>
    <cellStyle name="资产 2 3 46 3" xfId="48108"/>
    <cellStyle name="资产 2 3 46 4" xfId="48109"/>
    <cellStyle name="资产 2 3 46 5" xfId="48110"/>
    <cellStyle name="资产 2 3 46 6" xfId="48111"/>
    <cellStyle name="资产 2 3 46 7" xfId="48112"/>
    <cellStyle name="资产 2 3 47" xfId="8435"/>
    <cellStyle name="资产 2 3 47 2" xfId="48113"/>
    <cellStyle name="资产 2 3 47 3" xfId="48114"/>
    <cellStyle name="资产 2 3 47 4" xfId="48115"/>
    <cellStyle name="资产 2 3 47 5" xfId="48116"/>
    <cellStyle name="资产 2 3 47 6" xfId="48117"/>
    <cellStyle name="资产 2 3 47 7" xfId="48118"/>
    <cellStyle name="资产 2 3 48" xfId="8436"/>
    <cellStyle name="资产 2 3 48 2" xfId="48119"/>
    <cellStyle name="资产 2 3 48 3" xfId="48120"/>
    <cellStyle name="资产 2 3 48 4" xfId="48121"/>
    <cellStyle name="资产 2 3 48 5" xfId="48122"/>
    <cellStyle name="资产 2 3 48 6" xfId="48123"/>
    <cellStyle name="资产 2 3 48 7" xfId="48124"/>
    <cellStyle name="资产 2 3 49" xfId="8437"/>
    <cellStyle name="资产 2 3 49 2" xfId="48125"/>
    <cellStyle name="资产 2 3 49 3" xfId="48126"/>
    <cellStyle name="资产 2 3 49 4" xfId="48127"/>
    <cellStyle name="资产 2 3 49 5" xfId="48128"/>
    <cellStyle name="资产 2 3 49 6" xfId="48129"/>
    <cellStyle name="资产 2 3 49 7" xfId="48130"/>
    <cellStyle name="资产 2 3 5" xfId="8438"/>
    <cellStyle name="资产 2 3 5 2" xfId="48131"/>
    <cellStyle name="资产 2 3 5 3" xfId="48132"/>
    <cellStyle name="资产 2 3 5 4" xfId="48133"/>
    <cellStyle name="资产 2 3 5 5" xfId="48134"/>
    <cellStyle name="资产 2 3 5 6" xfId="48135"/>
    <cellStyle name="资产 2 3 5 7" xfId="48136"/>
    <cellStyle name="资产 2 3 50" xfId="8439"/>
    <cellStyle name="资产 2 3 50 2" xfId="48137"/>
    <cellStyle name="资产 2 3 50 3" xfId="48138"/>
    <cellStyle name="资产 2 3 50 4" xfId="48139"/>
    <cellStyle name="资产 2 3 50 5" xfId="48140"/>
    <cellStyle name="资产 2 3 50 6" xfId="48141"/>
    <cellStyle name="资产 2 3 50 7" xfId="48142"/>
    <cellStyle name="资产 2 3 51" xfId="8440"/>
    <cellStyle name="资产 2 3 51 2" xfId="48143"/>
    <cellStyle name="资产 2 3 51 3" xfId="48144"/>
    <cellStyle name="资产 2 3 51 4" xfId="48145"/>
    <cellStyle name="资产 2 3 51 5" xfId="48146"/>
    <cellStyle name="资产 2 3 51 6" xfId="48147"/>
    <cellStyle name="资产 2 3 51 7" xfId="48148"/>
    <cellStyle name="资产 2 3 52" xfId="8441"/>
    <cellStyle name="资产 2 3 52 2" xfId="48149"/>
    <cellStyle name="资产 2 3 52 3" xfId="48150"/>
    <cellStyle name="资产 2 3 52 4" xfId="48151"/>
    <cellStyle name="资产 2 3 52 5" xfId="48152"/>
    <cellStyle name="资产 2 3 52 6" xfId="48153"/>
    <cellStyle name="资产 2 3 52 7" xfId="48154"/>
    <cellStyle name="资产 2 3 53" xfId="8442"/>
    <cellStyle name="资产 2 3 53 2" xfId="48155"/>
    <cellStyle name="资产 2 3 53 3" xfId="48156"/>
    <cellStyle name="资产 2 3 53 4" xfId="48157"/>
    <cellStyle name="资产 2 3 53 5" xfId="48158"/>
    <cellStyle name="资产 2 3 53 6" xfId="48159"/>
    <cellStyle name="资产 2 3 53 7" xfId="48160"/>
    <cellStyle name="资产 2 3 54" xfId="8443"/>
    <cellStyle name="资产 2 3 54 2" xfId="48161"/>
    <cellStyle name="资产 2 3 54 3" xfId="48162"/>
    <cellStyle name="资产 2 3 54 4" xfId="48163"/>
    <cellStyle name="资产 2 3 54 5" xfId="48164"/>
    <cellStyle name="资产 2 3 54 6" xfId="48165"/>
    <cellStyle name="资产 2 3 54 7" xfId="48166"/>
    <cellStyle name="资产 2 3 55" xfId="8444"/>
    <cellStyle name="资产 2 3 55 2" xfId="48167"/>
    <cellStyle name="资产 2 3 55 3" xfId="48168"/>
    <cellStyle name="资产 2 3 55 4" xfId="48169"/>
    <cellStyle name="资产 2 3 55 5" xfId="48170"/>
    <cellStyle name="资产 2 3 55 6" xfId="48171"/>
    <cellStyle name="资产 2 3 55 7" xfId="48172"/>
    <cellStyle name="资产 2 3 56" xfId="8445"/>
    <cellStyle name="资产 2 3 56 2" xfId="48173"/>
    <cellStyle name="资产 2 3 56 3" xfId="48174"/>
    <cellStyle name="资产 2 3 56 4" xfId="48175"/>
    <cellStyle name="资产 2 3 56 5" xfId="48176"/>
    <cellStyle name="资产 2 3 56 6" xfId="48177"/>
    <cellStyle name="资产 2 3 56 7" xfId="48178"/>
    <cellStyle name="资产 2 3 57" xfId="8446"/>
    <cellStyle name="资产 2 3 57 2" xfId="48179"/>
    <cellStyle name="资产 2 3 57 3" xfId="48180"/>
    <cellStyle name="资产 2 3 57 4" xfId="48181"/>
    <cellStyle name="资产 2 3 57 5" xfId="48182"/>
    <cellStyle name="资产 2 3 57 6" xfId="48183"/>
    <cellStyle name="资产 2 3 57 7" xfId="48184"/>
    <cellStyle name="资产 2 3 58" xfId="8447"/>
    <cellStyle name="资产 2 3 58 2" xfId="48185"/>
    <cellStyle name="资产 2 3 58 3" xfId="48186"/>
    <cellStyle name="资产 2 3 58 4" xfId="48187"/>
    <cellStyle name="资产 2 3 58 5" xfId="48188"/>
    <cellStyle name="资产 2 3 58 6" xfId="48189"/>
    <cellStyle name="资产 2 3 58 7" xfId="48190"/>
    <cellStyle name="资产 2 3 59" xfId="8448"/>
    <cellStyle name="资产 2 3 59 2" xfId="48191"/>
    <cellStyle name="资产 2 3 59 3" xfId="48192"/>
    <cellStyle name="资产 2 3 59 4" xfId="48193"/>
    <cellStyle name="资产 2 3 59 5" xfId="48194"/>
    <cellStyle name="资产 2 3 59 6" xfId="48195"/>
    <cellStyle name="资产 2 3 59 7" xfId="48196"/>
    <cellStyle name="资产 2 3 6" xfId="8449"/>
    <cellStyle name="资产 2 3 6 2" xfId="48197"/>
    <cellStyle name="资产 2 3 6 3" xfId="48198"/>
    <cellStyle name="资产 2 3 6 4" xfId="48199"/>
    <cellStyle name="资产 2 3 6 5" xfId="48200"/>
    <cellStyle name="资产 2 3 6 6" xfId="48201"/>
    <cellStyle name="资产 2 3 6 7" xfId="48202"/>
    <cellStyle name="资产 2 3 60" xfId="8450"/>
    <cellStyle name="资产 2 3 60 2" xfId="48203"/>
    <cellStyle name="资产 2 3 60 3" xfId="48204"/>
    <cellStyle name="资产 2 3 60 4" xfId="48205"/>
    <cellStyle name="资产 2 3 60 5" xfId="48206"/>
    <cellStyle name="资产 2 3 60 6" xfId="48207"/>
    <cellStyle name="资产 2 3 60 7" xfId="48208"/>
    <cellStyle name="资产 2 3 61" xfId="8451"/>
    <cellStyle name="资产 2 3 61 2" xfId="48209"/>
    <cellStyle name="资产 2 3 61 3" xfId="48210"/>
    <cellStyle name="资产 2 3 61 4" xfId="48211"/>
    <cellStyle name="资产 2 3 61 5" xfId="48212"/>
    <cellStyle name="资产 2 3 61 6" xfId="48213"/>
    <cellStyle name="资产 2 3 61 7" xfId="48214"/>
    <cellStyle name="资产 2 3 62" xfId="8452"/>
    <cellStyle name="资产 2 3 62 2" xfId="48215"/>
    <cellStyle name="资产 2 3 62 3" xfId="48216"/>
    <cellStyle name="资产 2 3 62 4" xfId="48217"/>
    <cellStyle name="资产 2 3 62 5" xfId="48218"/>
    <cellStyle name="资产 2 3 62 6" xfId="48219"/>
    <cellStyle name="资产 2 3 62 7" xfId="48220"/>
    <cellStyle name="资产 2 3 63" xfId="8453"/>
    <cellStyle name="资产 2 3 63 2" xfId="48221"/>
    <cellStyle name="资产 2 3 63 3" xfId="48222"/>
    <cellStyle name="资产 2 3 63 4" xfId="48223"/>
    <cellStyle name="资产 2 3 63 5" xfId="48224"/>
    <cellStyle name="资产 2 3 63 6" xfId="48225"/>
    <cellStyle name="资产 2 3 63 7" xfId="48226"/>
    <cellStyle name="资产 2 3 64" xfId="8454"/>
    <cellStyle name="资产 2 3 64 2" xfId="48227"/>
    <cellStyle name="资产 2 3 64 3" xfId="48228"/>
    <cellStyle name="资产 2 3 64 4" xfId="48229"/>
    <cellStyle name="资产 2 3 64 5" xfId="48230"/>
    <cellStyle name="资产 2 3 64 6" xfId="48231"/>
    <cellStyle name="资产 2 3 64 7" xfId="48232"/>
    <cellStyle name="资产 2 3 65" xfId="8455"/>
    <cellStyle name="资产 2 3 65 2" xfId="48233"/>
    <cellStyle name="资产 2 3 65 3" xfId="48234"/>
    <cellStyle name="资产 2 3 65 4" xfId="48235"/>
    <cellStyle name="资产 2 3 65 5" xfId="48236"/>
    <cellStyle name="资产 2 3 65 6" xfId="48237"/>
    <cellStyle name="资产 2 3 65 7" xfId="48238"/>
    <cellStyle name="资产 2 3 66" xfId="8456"/>
    <cellStyle name="资产 2 3 66 2" xfId="48239"/>
    <cellStyle name="资产 2 3 66 3" xfId="48240"/>
    <cellStyle name="资产 2 3 66 4" xfId="48241"/>
    <cellStyle name="资产 2 3 66 5" xfId="48242"/>
    <cellStyle name="资产 2 3 66 6" xfId="48243"/>
    <cellStyle name="资产 2 3 66 7" xfId="48244"/>
    <cellStyle name="资产 2 3 67" xfId="8457"/>
    <cellStyle name="资产 2 3 67 2" xfId="48245"/>
    <cellStyle name="资产 2 3 67 3" xfId="48246"/>
    <cellStyle name="资产 2 3 67 4" xfId="48247"/>
    <cellStyle name="资产 2 3 67 5" xfId="48248"/>
    <cellStyle name="资产 2 3 67 6" xfId="48249"/>
    <cellStyle name="资产 2 3 67 7" xfId="48250"/>
    <cellStyle name="资产 2 3 68" xfId="8458"/>
    <cellStyle name="资产 2 3 68 2" xfId="48251"/>
    <cellStyle name="资产 2 3 68 3" xfId="48252"/>
    <cellStyle name="资产 2 3 68 4" xfId="48253"/>
    <cellStyle name="资产 2 3 68 5" xfId="48254"/>
    <cellStyle name="资产 2 3 68 6" xfId="48255"/>
    <cellStyle name="资产 2 3 68 7" xfId="48256"/>
    <cellStyle name="资产 2 3 69" xfId="8459"/>
    <cellStyle name="资产 2 3 69 2" xfId="48257"/>
    <cellStyle name="资产 2 3 69 3" xfId="48258"/>
    <cellStyle name="资产 2 3 69 4" xfId="48259"/>
    <cellStyle name="资产 2 3 69 5" xfId="48260"/>
    <cellStyle name="资产 2 3 69 6" xfId="48261"/>
    <cellStyle name="资产 2 3 69 7" xfId="48262"/>
    <cellStyle name="资产 2 3 7" xfId="8460"/>
    <cellStyle name="资产 2 3 7 2" xfId="48263"/>
    <cellStyle name="资产 2 3 7 3" xfId="48264"/>
    <cellStyle name="资产 2 3 7 4" xfId="48265"/>
    <cellStyle name="资产 2 3 7 5" xfId="48266"/>
    <cellStyle name="资产 2 3 7 6" xfId="48267"/>
    <cellStyle name="资产 2 3 7 7" xfId="48268"/>
    <cellStyle name="资产 2 3 70" xfId="8461"/>
    <cellStyle name="资产 2 3 70 2" xfId="48269"/>
    <cellStyle name="资产 2 3 70 3" xfId="48270"/>
    <cellStyle name="资产 2 3 70 4" xfId="48271"/>
    <cellStyle name="资产 2 3 70 5" xfId="48272"/>
    <cellStyle name="资产 2 3 70 6" xfId="48273"/>
    <cellStyle name="资产 2 3 70 7" xfId="48274"/>
    <cellStyle name="资产 2 3 71" xfId="8462"/>
    <cellStyle name="资产 2 3 71 2" xfId="48275"/>
    <cellStyle name="资产 2 3 71 3" xfId="48276"/>
    <cellStyle name="资产 2 3 71 4" xfId="48277"/>
    <cellStyle name="资产 2 3 71 5" xfId="48278"/>
    <cellStyle name="资产 2 3 71 6" xfId="48279"/>
    <cellStyle name="资产 2 3 71 7" xfId="48280"/>
    <cellStyle name="资产 2 3 72" xfId="8463"/>
    <cellStyle name="资产 2 3 72 2" xfId="48281"/>
    <cellStyle name="资产 2 3 72 3" xfId="48282"/>
    <cellStyle name="资产 2 3 72 4" xfId="48283"/>
    <cellStyle name="资产 2 3 72 5" xfId="48284"/>
    <cellStyle name="资产 2 3 72 6" xfId="48285"/>
    <cellStyle name="资产 2 3 72 7" xfId="48286"/>
    <cellStyle name="资产 2 3 73" xfId="8464"/>
    <cellStyle name="资产 2 3 73 2" xfId="48287"/>
    <cellStyle name="资产 2 3 73 3" xfId="48288"/>
    <cellStyle name="资产 2 3 73 4" xfId="48289"/>
    <cellStyle name="资产 2 3 73 5" xfId="48290"/>
    <cellStyle name="资产 2 3 73 6" xfId="48291"/>
    <cellStyle name="资产 2 3 73 7" xfId="48292"/>
    <cellStyle name="资产 2 3 74" xfId="8465"/>
    <cellStyle name="资产 2 3 74 2" xfId="48293"/>
    <cellStyle name="资产 2 3 74 3" xfId="48294"/>
    <cellStyle name="资产 2 3 74 4" xfId="48295"/>
    <cellStyle name="资产 2 3 74 5" xfId="48296"/>
    <cellStyle name="资产 2 3 74 6" xfId="48297"/>
    <cellStyle name="资产 2 3 74 7" xfId="48298"/>
    <cellStyle name="资产 2 3 75" xfId="8466"/>
    <cellStyle name="资产 2 3 75 2" xfId="48299"/>
    <cellStyle name="资产 2 3 75 3" xfId="48300"/>
    <cellStyle name="资产 2 3 75 4" xfId="48301"/>
    <cellStyle name="资产 2 3 75 5" xfId="48302"/>
    <cellStyle name="资产 2 3 75 6" xfId="48303"/>
    <cellStyle name="资产 2 3 75 7" xfId="48304"/>
    <cellStyle name="资产 2 3 76" xfId="8467"/>
    <cellStyle name="资产 2 3 76 2" xfId="48305"/>
    <cellStyle name="资产 2 3 76 3" xfId="48306"/>
    <cellStyle name="资产 2 3 76 4" xfId="48307"/>
    <cellStyle name="资产 2 3 76 5" xfId="48308"/>
    <cellStyle name="资产 2 3 76 6" xfId="48309"/>
    <cellStyle name="资产 2 3 76 7" xfId="48310"/>
    <cellStyle name="资产 2 3 77" xfId="8468"/>
    <cellStyle name="资产 2 3 77 2" xfId="48311"/>
    <cellStyle name="资产 2 3 77 3" xfId="48312"/>
    <cellStyle name="资产 2 3 77 4" xfId="48313"/>
    <cellStyle name="资产 2 3 77 5" xfId="48314"/>
    <cellStyle name="资产 2 3 77 6" xfId="48315"/>
    <cellStyle name="资产 2 3 77 7" xfId="48316"/>
    <cellStyle name="资产 2 3 78" xfId="8469"/>
    <cellStyle name="资产 2 3 78 2" xfId="48317"/>
    <cellStyle name="资产 2 3 78 3" xfId="48318"/>
    <cellStyle name="资产 2 3 78 4" xfId="48319"/>
    <cellStyle name="资产 2 3 78 5" xfId="48320"/>
    <cellStyle name="资产 2 3 78 6" xfId="48321"/>
    <cellStyle name="资产 2 3 78 7" xfId="48322"/>
    <cellStyle name="资产 2 3 79" xfId="8470"/>
    <cellStyle name="资产 2 3 79 2" xfId="48323"/>
    <cellStyle name="资产 2 3 79 3" xfId="48324"/>
    <cellStyle name="资产 2 3 79 4" xfId="48325"/>
    <cellStyle name="资产 2 3 79 5" xfId="48326"/>
    <cellStyle name="资产 2 3 79 6" xfId="48327"/>
    <cellStyle name="资产 2 3 79 7" xfId="48328"/>
    <cellStyle name="资产 2 3 8" xfId="8471"/>
    <cellStyle name="资产 2 3 8 2" xfId="48329"/>
    <cellStyle name="资产 2 3 8 3" xfId="48330"/>
    <cellStyle name="资产 2 3 8 4" xfId="48331"/>
    <cellStyle name="资产 2 3 8 5" xfId="48332"/>
    <cellStyle name="资产 2 3 8 6" xfId="48333"/>
    <cellStyle name="资产 2 3 8 7" xfId="48334"/>
    <cellStyle name="资产 2 3 80" xfId="8472"/>
    <cellStyle name="资产 2 3 80 2" xfId="48335"/>
    <cellStyle name="资产 2 3 80 3" xfId="48336"/>
    <cellStyle name="资产 2 3 80 4" xfId="48337"/>
    <cellStyle name="资产 2 3 80 5" xfId="48338"/>
    <cellStyle name="资产 2 3 80 6" xfId="48339"/>
    <cellStyle name="资产 2 3 80 7" xfId="48340"/>
    <cellStyle name="资产 2 3 81" xfId="8473"/>
    <cellStyle name="资产 2 3 81 2" xfId="48341"/>
    <cellStyle name="资产 2 3 81 3" xfId="48342"/>
    <cellStyle name="资产 2 3 81 4" xfId="48343"/>
    <cellStyle name="资产 2 3 81 5" xfId="48344"/>
    <cellStyle name="资产 2 3 81 6" xfId="48345"/>
    <cellStyle name="资产 2 3 81 7" xfId="48346"/>
    <cellStyle name="资产 2 3 82" xfId="8474"/>
    <cellStyle name="资产 2 3 82 2" xfId="48347"/>
    <cellStyle name="资产 2 3 82 3" xfId="48348"/>
    <cellStyle name="资产 2 3 82 4" xfId="48349"/>
    <cellStyle name="资产 2 3 82 5" xfId="48350"/>
    <cellStyle name="资产 2 3 82 6" xfId="48351"/>
    <cellStyle name="资产 2 3 82 7" xfId="48352"/>
    <cellStyle name="资产 2 3 83" xfId="8475"/>
    <cellStyle name="资产 2 3 83 2" xfId="48353"/>
    <cellStyle name="资产 2 3 83 3" xfId="48354"/>
    <cellStyle name="资产 2 3 83 4" xfId="48355"/>
    <cellStyle name="资产 2 3 83 5" xfId="48356"/>
    <cellStyle name="资产 2 3 83 6" xfId="48357"/>
    <cellStyle name="资产 2 3 83 7" xfId="48358"/>
    <cellStyle name="资产 2 3 84" xfId="8476"/>
    <cellStyle name="资产 2 3 84 2" xfId="48359"/>
    <cellStyle name="资产 2 3 84 3" xfId="48360"/>
    <cellStyle name="资产 2 3 84 4" xfId="48361"/>
    <cellStyle name="资产 2 3 84 5" xfId="48362"/>
    <cellStyle name="资产 2 3 84 6" xfId="48363"/>
    <cellStyle name="资产 2 3 84 7" xfId="48364"/>
    <cellStyle name="资产 2 3 85" xfId="8477"/>
    <cellStyle name="资产 2 3 85 2" xfId="48365"/>
    <cellStyle name="资产 2 3 85 3" xfId="48366"/>
    <cellStyle name="资产 2 3 85 4" xfId="48367"/>
    <cellStyle name="资产 2 3 85 5" xfId="48368"/>
    <cellStyle name="资产 2 3 85 6" xfId="48369"/>
    <cellStyle name="资产 2 3 85 7" xfId="48370"/>
    <cellStyle name="资产 2 3 86" xfId="8478"/>
    <cellStyle name="资产 2 3 86 2" xfId="48371"/>
    <cellStyle name="资产 2 3 86 3" xfId="48372"/>
    <cellStyle name="资产 2 3 86 4" xfId="48373"/>
    <cellStyle name="资产 2 3 86 5" xfId="48374"/>
    <cellStyle name="资产 2 3 86 6" xfId="48375"/>
    <cellStyle name="资产 2 3 86 7" xfId="48376"/>
    <cellStyle name="资产 2 3 87" xfId="8479"/>
    <cellStyle name="资产 2 3 87 2" xfId="48377"/>
    <cellStyle name="资产 2 3 87 3" xfId="48378"/>
    <cellStyle name="资产 2 3 87 4" xfId="48379"/>
    <cellStyle name="资产 2 3 87 5" xfId="48380"/>
    <cellStyle name="资产 2 3 87 6" xfId="48381"/>
    <cellStyle name="资产 2 3 87 7" xfId="48382"/>
    <cellStyle name="资产 2 3 88" xfId="8480"/>
    <cellStyle name="资产 2 3 88 2" xfId="48383"/>
    <cellStyle name="资产 2 3 88 3" xfId="48384"/>
    <cellStyle name="资产 2 3 88 4" xfId="48385"/>
    <cellStyle name="资产 2 3 88 5" xfId="48386"/>
    <cellStyle name="资产 2 3 88 6" xfId="48387"/>
    <cellStyle name="资产 2 3 88 7" xfId="48388"/>
    <cellStyle name="资产 2 3 89" xfId="8481"/>
    <cellStyle name="资产 2 3 89 2" xfId="48389"/>
    <cellStyle name="资产 2 3 89 3" xfId="48390"/>
    <cellStyle name="资产 2 3 89 4" xfId="48391"/>
    <cellStyle name="资产 2 3 89 5" xfId="48392"/>
    <cellStyle name="资产 2 3 89 6" xfId="48393"/>
    <cellStyle name="资产 2 3 89 7" xfId="48394"/>
    <cellStyle name="资产 2 3 9" xfId="8482"/>
    <cellStyle name="资产 2 3 9 2" xfId="48395"/>
    <cellStyle name="资产 2 3 9 3" xfId="48396"/>
    <cellStyle name="资产 2 3 9 4" xfId="48397"/>
    <cellStyle name="资产 2 3 9 5" xfId="48398"/>
    <cellStyle name="资产 2 3 9 6" xfId="48399"/>
    <cellStyle name="资产 2 3 9 7" xfId="48400"/>
    <cellStyle name="资产 2 3 90" xfId="8483"/>
    <cellStyle name="资产 2 3 90 2" xfId="48401"/>
    <cellStyle name="资产 2 3 90 3" xfId="48402"/>
    <cellStyle name="资产 2 3 90 4" xfId="48403"/>
    <cellStyle name="资产 2 3 90 5" xfId="48404"/>
    <cellStyle name="资产 2 3 90 6" xfId="48405"/>
    <cellStyle name="资产 2 3 90 7" xfId="48406"/>
    <cellStyle name="资产 2 3 91" xfId="8484"/>
    <cellStyle name="资产 2 3 91 2" xfId="48407"/>
    <cellStyle name="资产 2 3 91 3" xfId="48408"/>
    <cellStyle name="资产 2 3 91 4" xfId="48409"/>
    <cellStyle name="资产 2 3 91 5" xfId="48410"/>
    <cellStyle name="资产 2 3 91 6" xfId="48411"/>
    <cellStyle name="资产 2 3 91 7" xfId="48412"/>
    <cellStyle name="资产 2 3 92" xfId="8485"/>
    <cellStyle name="资产 2 3 92 2" xfId="48413"/>
    <cellStyle name="资产 2 3 92 3" xfId="48414"/>
    <cellStyle name="资产 2 3 92 4" xfId="48415"/>
    <cellStyle name="资产 2 3 92 5" xfId="48416"/>
    <cellStyle name="资产 2 3 92 6" xfId="48417"/>
    <cellStyle name="资产 2 3 92 7" xfId="48418"/>
    <cellStyle name="资产 2 3 93" xfId="8486"/>
    <cellStyle name="资产 2 3 93 2" xfId="48419"/>
    <cellStyle name="资产 2 3 93 3" xfId="48420"/>
    <cellStyle name="资产 2 3 93 4" xfId="48421"/>
    <cellStyle name="资产 2 3 93 5" xfId="48422"/>
    <cellStyle name="资产 2 3 93 6" xfId="48423"/>
    <cellStyle name="资产 2 3 94" xfId="12715"/>
    <cellStyle name="资产 2 3 95" xfId="48424"/>
    <cellStyle name="资产 2 3 96" xfId="48425"/>
    <cellStyle name="资产 2 3 97" xfId="48426"/>
    <cellStyle name="资产 2 3 98" xfId="48427"/>
    <cellStyle name="资产 2 3 99" xfId="48428"/>
    <cellStyle name="资产 2 3_Cashflow trend" xfId="3250"/>
    <cellStyle name="资产 2 30" xfId="8487"/>
    <cellStyle name="资产 2 30 2" xfId="48429"/>
    <cellStyle name="资产 2 30 3" xfId="48430"/>
    <cellStyle name="资产 2 30 4" xfId="48431"/>
    <cellStyle name="资产 2 30 5" xfId="48432"/>
    <cellStyle name="资产 2 30 6" xfId="48433"/>
    <cellStyle name="资产 2 30 7" xfId="48434"/>
    <cellStyle name="资产 2 31" xfId="8488"/>
    <cellStyle name="资产 2 31 2" xfId="48435"/>
    <cellStyle name="资产 2 31 3" xfId="48436"/>
    <cellStyle name="资产 2 31 4" xfId="48437"/>
    <cellStyle name="资产 2 31 5" xfId="48438"/>
    <cellStyle name="资产 2 31 6" xfId="48439"/>
    <cellStyle name="资产 2 31 7" xfId="48440"/>
    <cellStyle name="资产 2 32" xfId="8489"/>
    <cellStyle name="资产 2 32 2" xfId="48441"/>
    <cellStyle name="资产 2 32 3" xfId="48442"/>
    <cellStyle name="资产 2 32 4" xfId="48443"/>
    <cellStyle name="资产 2 32 5" xfId="48444"/>
    <cellStyle name="资产 2 32 6" xfId="48445"/>
    <cellStyle name="资产 2 32 7" xfId="48446"/>
    <cellStyle name="资产 2 33" xfId="8490"/>
    <cellStyle name="资产 2 33 2" xfId="48447"/>
    <cellStyle name="资产 2 33 3" xfId="48448"/>
    <cellStyle name="资产 2 33 4" xfId="48449"/>
    <cellStyle name="资产 2 33 5" xfId="48450"/>
    <cellStyle name="资产 2 33 6" xfId="48451"/>
    <cellStyle name="资产 2 33 7" xfId="48452"/>
    <cellStyle name="资产 2 34" xfId="8491"/>
    <cellStyle name="资产 2 34 2" xfId="48453"/>
    <cellStyle name="资产 2 34 3" xfId="48454"/>
    <cellStyle name="资产 2 34 4" xfId="48455"/>
    <cellStyle name="资产 2 34 5" xfId="48456"/>
    <cellStyle name="资产 2 34 6" xfId="48457"/>
    <cellStyle name="资产 2 34 7" xfId="48458"/>
    <cellStyle name="资产 2 35" xfId="8492"/>
    <cellStyle name="资产 2 35 2" xfId="48459"/>
    <cellStyle name="资产 2 35 3" xfId="48460"/>
    <cellStyle name="资产 2 35 4" xfId="48461"/>
    <cellStyle name="资产 2 35 5" xfId="48462"/>
    <cellStyle name="资产 2 35 6" xfId="48463"/>
    <cellStyle name="资产 2 35 7" xfId="48464"/>
    <cellStyle name="资产 2 36" xfId="8493"/>
    <cellStyle name="资产 2 36 2" xfId="48465"/>
    <cellStyle name="资产 2 36 3" xfId="48466"/>
    <cellStyle name="资产 2 36 4" xfId="48467"/>
    <cellStyle name="资产 2 36 5" xfId="48468"/>
    <cellStyle name="资产 2 36 6" xfId="48469"/>
    <cellStyle name="资产 2 36 7" xfId="48470"/>
    <cellStyle name="资产 2 37" xfId="8494"/>
    <cellStyle name="资产 2 37 2" xfId="48471"/>
    <cellStyle name="资产 2 37 3" xfId="48472"/>
    <cellStyle name="资产 2 37 4" xfId="48473"/>
    <cellStyle name="资产 2 37 5" xfId="48474"/>
    <cellStyle name="资产 2 37 6" xfId="48475"/>
    <cellStyle name="资产 2 37 7" xfId="48476"/>
    <cellStyle name="资产 2 38" xfId="8495"/>
    <cellStyle name="资产 2 38 2" xfId="48477"/>
    <cellStyle name="资产 2 38 3" xfId="48478"/>
    <cellStyle name="资产 2 38 4" xfId="48479"/>
    <cellStyle name="资产 2 38 5" xfId="48480"/>
    <cellStyle name="资产 2 38 6" xfId="48481"/>
    <cellStyle name="资产 2 38 7" xfId="48482"/>
    <cellStyle name="资产 2 39" xfId="8496"/>
    <cellStyle name="资产 2 39 2" xfId="48483"/>
    <cellStyle name="资产 2 39 3" xfId="48484"/>
    <cellStyle name="资产 2 39 4" xfId="48485"/>
    <cellStyle name="资产 2 39 5" xfId="48486"/>
    <cellStyle name="资产 2 39 6" xfId="48487"/>
    <cellStyle name="资产 2 39 7" xfId="48488"/>
    <cellStyle name="资产 2 4" xfId="8497"/>
    <cellStyle name="资产 2 4 10" xfId="8498"/>
    <cellStyle name="资产 2 4 10 2" xfId="48489"/>
    <cellStyle name="资产 2 4 10 3" xfId="48490"/>
    <cellStyle name="资产 2 4 10 4" xfId="48491"/>
    <cellStyle name="资产 2 4 10 5" xfId="48492"/>
    <cellStyle name="资产 2 4 10 6" xfId="48493"/>
    <cellStyle name="资产 2 4 10 7" xfId="48494"/>
    <cellStyle name="资产 2 4 100" xfId="48495"/>
    <cellStyle name="资产 2 4 101" xfId="48496"/>
    <cellStyle name="资产 2 4 102" xfId="48497"/>
    <cellStyle name="资产 2 4 11" xfId="8499"/>
    <cellStyle name="资产 2 4 11 2" xfId="48498"/>
    <cellStyle name="资产 2 4 11 3" xfId="48499"/>
    <cellStyle name="资产 2 4 11 4" xfId="48500"/>
    <cellStyle name="资产 2 4 11 5" xfId="48501"/>
    <cellStyle name="资产 2 4 11 6" xfId="48502"/>
    <cellStyle name="资产 2 4 11 7" xfId="48503"/>
    <cellStyle name="资产 2 4 12" xfId="8500"/>
    <cellStyle name="资产 2 4 12 2" xfId="48504"/>
    <cellStyle name="资产 2 4 12 3" xfId="48505"/>
    <cellStyle name="资产 2 4 12 4" xfId="48506"/>
    <cellStyle name="资产 2 4 12 5" xfId="48507"/>
    <cellStyle name="资产 2 4 12 6" xfId="48508"/>
    <cellStyle name="资产 2 4 12 7" xfId="48509"/>
    <cellStyle name="资产 2 4 13" xfId="8501"/>
    <cellStyle name="资产 2 4 13 2" xfId="48510"/>
    <cellStyle name="资产 2 4 13 3" xfId="48511"/>
    <cellStyle name="资产 2 4 13 4" xfId="48512"/>
    <cellStyle name="资产 2 4 13 5" xfId="48513"/>
    <cellStyle name="资产 2 4 13 6" xfId="48514"/>
    <cellStyle name="资产 2 4 13 7" xfId="48515"/>
    <cellStyle name="资产 2 4 14" xfId="8502"/>
    <cellStyle name="资产 2 4 14 2" xfId="48516"/>
    <cellStyle name="资产 2 4 14 3" xfId="48517"/>
    <cellStyle name="资产 2 4 14 4" xfId="48518"/>
    <cellStyle name="资产 2 4 14 5" xfId="48519"/>
    <cellStyle name="资产 2 4 14 6" xfId="48520"/>
    <cellStyle name="资产 2 4 14 7" xfId="48521"/>
    <cellStyle name="资产 2 4 15" xfId="8503"/>
    <cellStyle name="资产 2 4 15 2" xfId="48522"/>
    <cellStyle name="资产 2 4 15 3" xfId="48523"/>
    <cellStyle name="资产 2 4 15 4" xfId="48524"/>
    <cellStyle name="资产 2 4 15 5" xfId="48525"/>
    <cellStyle name="资产 2 4 15 6" xfId="48526"/>
    <cellStyle name="资产 2 4 15 7" xfId="48527"/>
    <cellStyle name="资产 2 4 16" xfId="8504"/>
    <cellStyle name="资产 2 4 16 2" xfId="48528"/>
    <cellStyle name="资产 2 4 16 3" xfId="48529"/>
    <cellStyle name="资产 2 4 16 4" xfId="48530"/>
    <cellStyle name="资产 2 4 16 5" xfId="48531"/>
    <cellStyle name="资产 2 4 16 6" xfId="48532"/>
    <cellStyle name="资产 2 4 16 7" xfId="48533"/>
    <cellStyle name="资产 2 4 17" xfId="8505"/>
    <cellStyle name="资产 2 4 17 2" xfId="48534"/>
    <cellStyle name="资产 2 4 17 3" xfId="48535"/>
    <cellStyle name="资产 2 4 17 4" xfId="48536"/>
    <cellStyle name="资产 2 4 17 5" xfId="48537"/>
    <cellStyle name="资产 2 4 17 6" xfId="48538"/>
    <cellStyle name="资产 2 4 17 7" xfId="48539"/>
    <cellStyle name="资产 2 4 18" xfId="8506"/>
    <cellStyle name="资产 2 4 18 2" xfId="48540"/>
    <cellStyle name="资产 2 4 18 3" xfId="48541"/>
    <cellStyle name="资产 2 4 18 4" xfId="48542"/>
    <cellStyle name="资产 2 4 18 5" xfId="48543"/>
    <cellStyle name="资产 2 4 18 6" xfId="48544"/>
    <cellStyle name="资产 2 4 18 7" xfId="48545"/>
    <cellStyle name="资产 2 4 19" xfId="8507"/>
    <cellStyle name="资产 2 4 19 2" xfId="48546"/>
    <cellStyle name="资产 2 4 19 3" xfId="48547"/>
    <cellStyle name="资产 2 4 19 4" xfId="48548"/>
    <cellStyle name="资产 2 4 19 5" xfId="48549"/>
    <cellStyle name="资产 2 4 19 6" xfId="48550"/>
    <cellStyle name="资产 2 4 19 7" xfId="48551"/>
    <cellStyle name="资产 2 4 2" xfId="8508"/>
    <cellStyle name="资产 2 4 2 10" xfId="48552"/>
    <cellStyle name="资产 2 4 2 11" xfId="48553"/>
    <cellStyle name="资产 2 4 2 2" xfId="48554"/>
    <cellStyle name="资产 2 4 2 3" xfId="48555"/>
    <cellStyle name="资产 2 4 2 4" xfId="48556"/>
    <cellStyle name="资产 2 4 2 5" xfId="48557"/>
    <cellStyle name="资产 2 4 2 6" xfId="48558"/>
    <cellStyle name="资产 2 4 2 7" xfId="48559"/>
    <cellStyle name="资产 2 4 2 8" xfId="48560"/>
    <cellStyle name="资产 2 4 2 9" xfId="48561"/>
    <cellStyle name="资产 2 4 20" xfId="8509"/>
    <cellStyle name="资产 2 4 20 2" xfId="48562"/>
    <cellStyle name="资产 2 4 20 3" xfId="48563"/>
    <cellStyle name="资产 2 4 20 4" xfId="48564"/>
    <cellStyle name="资产 2 4 20 5" xfId="48565"/>
    <cellStyle name="资产 2 4 20 6" xfId="48566"/>
    <cellStyle name="资产 2 4 20 7" xfId="48567"/>
    <cellStyle name="资产 2 4 21" xfId="8510"/>
    <cellStyle name="资产 2 4 21 2" xfId="48568"/>
    <cellStyle name="资产 2 4 21 3" xfId="48569"/>
    <cellStyle name="资产 2 4 21 4" xfId="48570"/>
    <cellStyle name="资产 2 4 21 5" xfId="48571"/>
    <cellStyle name="资产 2 4 21 6" xfId="48572"/>
    <cellStyle name="资产 2 4 21 7" xfId="48573"/>
    <cellStyle name="资产 2 4 22" xfId="8511"/>
    <cellStyle name="资产 2 4 22 2" xfId="48574"/>
    <cellStyle name="资产 2 4 22 3" xfId="48575"/>
    <cellStyle name="资产 2 4 22 4" xfId="48576"/>
    <cellStyle name="资产 2 4 22 5" xfId="48577"/>
    <cellStyle name="资产 2 4 22 6" xfId="48578"/>
    <cellStyle name="资产 2 4 22 7" xfId="48579"/>
    <cellStyle name="资产 2 4 23" xfId="8512"/>
    <cellStyle name="资产 2 4 23 2" xfId="48580"/>
    <cellStyle name="资产 2 4 23 3" xfId="48581"/>
    <cellStyle name="资产 2 4 23 4" xfId="48582"/>
    <cellStyle name="资产 2 4 23 5" xfId="48583"/>
    <cellStyle name="资产 2 4 23 6" xfId="48584"/>
    <cellStyle name="资产 2 4 23 7" xfId="48585"/>
    <cellStyle name="资产 2 4 24" xfId="8513"/>
    <cellStyle name="资产 2 4 24 2" xfId="48586"/>
    <cellStyle name="资产 2 4 24 3" xfId="48587"/>
    <cellStyle name="资产 2 4 24 4" xfId="48588"/>
    <cellStyle name="资产 2 4 24 5" xfId="48589"/>
    <cellStyle name="资产 2 4 24 6" xfId="48590"/>
    <cellStyle name="资产 2 4 24 7" xfId="48591"/>
    <cellStyle name="资产 2 4 25" xfId="8514"/>
    <cellStyle name="资产 2 4 25 2" xfId="48592"/>
    <cellStyle name="资产 2 4 25 3" xfId="48593"/>
    <cellStyle name="资产 2 4 25 4" xfId="48594"/>
    <cellStyle name="资产 2 4 25 5" xfId="48595"/>
    <cellStyle name="资产 2 4 25 6" xfId="48596"/>
    <cellStyle name="资产 2 4 25 7" xfId="48597"/>
    <cellStyle name="资产 2 4 26" xfId="8515"/>
    <cellStyle name="资产 2 4 26 2" xfId="48598"/>
    <cellStyle name="资产 2 4 26 3" xfId="48599"/>
    <cellStyle name="资产 2 4 26 4" xfId="48600"/>
    <cellStyle name="资产 2 4 26 5" xfId="48601"/>
    <cellStyle name="资产 2 4 26 6" xfId="48602"/>
    <cellStyle name="资产 2 4 26 7" xfId="48603"/>
    <cellStyle name="资产 2 4 27" xfId="8516"/>
    <cellStyle name="资产 2 4 27 2" xfId="48604"/>
    <cellStyle name="资产 2 4 27 3" xfId="48605"/>
    <cellStyle name="资产 2 4 27 4" xfId="48606"/>
    <cellStyle name="资产 2 4 27 5" xfId="48607"/>
    <cellStyle name="资产 2 4 27 6" xfId="48608"/>
    <cellStyle name="资产 2 4 27 7" xfId="48609"/>
    <cellStyle name="资产 2 4 28" xfId="8517"/>
    <cellStyle name="资产 2 4 28 2" xfId="48610"/>
    <cellStyle name="资产 2 4 28 3" xfId="48611"/>
    <cellStyle name="资产 2 4 28 4" xfId="48612"/>
    <cellStyle name="资产 2 4 28 5" xfId="48613"/>
    <cellStyle name="资产 2 4 28 6" xfId="48614"/>
    <cellStyle name="资产 2 4 28 7" xfId="48615"/>
    <cellStyle name="资产 2 4 29" xfId="8518"/>
    <cellStyle name="资产 2 4 29 2" xfId="48616"/>
    <cellStyle name="资产 2 4 29 3" xfId="48617"/>
    <cellStyle name="资产 2 4 29 4" xfId="48618"/>
    <cellStyle name="资产 2 4 29 5" xfId="48619"/>
    <cellStyle name="资产 2 4 29 6" xfId="48620"/>
    <cellStyle name="资产 2 4 29 7" xfId="48621"/>
    <cellStyle name="资产 2 4 3" xfId="8519"/>
    <cellStyle name="资产 2 4 3 10" xfId="48622"/>
    <cellStyle name="资产 2 4 3 2" xfId="48623"/>
    <cellStyle name="资产 2 4 3 3" xfId="48624"/>
    <cellStyle name="资产 2 4 3 4" xfId="48625"/>
    <cellStyle name="资产 2 4 3 5" xfId="48626"/>
    <cellStyle name="资产 2 4 3 6" xfId="48627"/>
    <cellStyle name="资产 2 4 3 7" xfId="48628"/>
    <cellStyle name="资产 2 4 3 8" xfId="48629"/>
    <cellStyle name="资产 2 4 3 9" xfId="48630"/>
    <cellStyle name="资产 2 4 30" xfId="8520"/>
    <cellStyle name="资产 2 4 30 2" xfId="48631"/>
    <cellStyle name="资产 2 4 30 3" xfId="48632"/>
    <cellStyle name="资产 2 4 30 4" xfId="48633"/>
    <cellStyle name="资产 2 4 30 5" xfId="48634"/>
    <cellStyle name="资产 2 4 30 6" xfId="48635"/>
    <cellStyle name="资产 2 4 30 7" xfId="48636"/>
    <cellStyle name="资产 2 4 31" xfId="8521"/>
    <cellStyle name="资产 2 4 31 2" xfId="48637"/>
    <cellStyle name="资产 2 4 31 3" xfId="48638"/>
    <cellStyle name="资产 2 4 31 4" xfId="48639"/>
    <cellStyle name="资产 2 4 31 5" xfId="48640"/>
    <cellStyle name="资产 2 4 31 6" xfId="48641"/>
    <cellStyle name="资产 2 4 31 7" xfId="48642"/>
    <cellStyle name="资产 2 4 32" xfId="8522"/>
    <cellStyle name="资产 2 4 32 2" xfId="48643"/>
    <cellStyle name="资产 2 4 32 3" xfId="48644"/>
    <cellStyle name="资产 2 4 32 4" xfId="48645"/>
    <cellStyle name="资产 2 4 32 5" xfId="48646"/>
    <cellStyle name="资产 2 4 32 6" xfId="48647"/>
    <cellStyle name="资产 2 4 32 7" xfId="48648"/>
    <cellStyle name="资产 2 4 33" xfId="8523"/>
    <cellStyle name="资产 2 4 33 2" xfId="48649"/>
    <cellStyle name="资产 2 4 33 3" xfId="48650"/>
    <cellStyle name="资产 2 4 33 4" xfId="48651"/>
    <cellStyle name="资产 2 4 33 5" xfId="48652"/>
    <cellStyle name="资产 2 4 33 6" xfId="48653"/>
    <cellStyle name="资产 2 4 33 7" xfId="48654"/>
    <cellStyle name="资产 2 4 34" xfId="8524"/>
    <cellStyle name="资产 2 4 34 2" xfId="48655"/>
    <cellStyle name="资产 2 4 34 3" xfId="48656"/>
    <cellStyle name="资产 2 4 34 4" xfId="48657"/>
    <cellStyle name="资产 2 4 34 5" xfId="48658"/>
    <cellStyle name="资产 2 4 34 6" xfId="48659"/>
    <cellStyle name="资产 2 4 34 7" xfId="48660"/>
    <cellStyle name="资产 2 4 35" xfId="8525"/>
    <cellStyle name="资产 2 4 35 2" xfId="48661"/>
    <cellStyle name="资产 2 4 35 3" xfId="48662"/>
    <cellStyle name="资产 2 4 35 4" xfId="48663"/>
    <cellStyle name="资产 2 4 35 5" xfId="48664"/>
    <cellStyle name="资产 2 4 35 6" xfId="48665"/>
    <cellStyle name="资产 2 4 35 7" xfId="48666"/>
    <cellStyle name="资产 2 4 36" xfId="8526"/>
    <cellStyle name="资产 2 4 36 2" xfId="48667"/>
    <cellStyle name="资产 2 4 36 3" xfId="48668"/>
    <cellStyle name="资产 2 4 36 4" xfId="48669"/>
    <cellStyle name="资产 2 4 36 5" xfId="48670"/>
    <cellStyle name="资产 2 4 36 6" xfId="48671"/>
    <cellStyle name="资产 2 4 36 7" xfId="48672"/>
    <cellStyle name="资产 2 4 37" xfId="8527"/>
    <cellStyle name="资产 2 4 37 2" xfId="48673"/>
    <cellStyle name="资产 2 4 37 3" xfId="48674"/>
    <cellStyle name="资产 2 4 37 4" xfId="48675"/>
    <cellStyle name="资产 2 4 37 5" xfId="48676"/>
    <cellStyle name="资产 2 4 37 6" xfId="48677"/>
    <cellStyle name="资产 2 4 37 7" xfId="48678"/>
    <cellStyle name="资产 2 4 38" xfId="8528"/>
    <cellStyle name="资产 2 4 38 2" xfId="48679"/>
    <cellStyle name="资产 2 4 38 3" xfId="48680"/>
    <cellStyle name="资产 2 4 38 4" xfId="48681"/>
    <cellStyle name="资产 2 4 38 5" xfId="48682"/>
    <cellStyle name="资产 2 4 38 6" xfId="48683"/>
    <cellStyle name="资产 2 4 38 7" xfId="48684"/>
    <cellStyle name="资产 2 4 39" xfId="8529"/>
    <cellStyle name="资产 2 4 39 2" xfId="48685"/>
    <cellStyle name="资产 2 4 39 3" xfId="48686"/>
    <cellStyle name="资产 2 4 39 4" xfId="48687"/>
    <cellStyle name="资产 2 4 39 5" xfId="48688"/>
    <cellStyle name="资产 2 4 39 6" xfId="48689"/>
    <cellStyle name="资产 2 4 39 7" xfId="48690"/>
    <cellStyle name="资产 2 4 4" xfId="8530"/>
    <cellStyle name="资产 2 4 4 10" xfId="48691"/>
    <cellStyle name="资产 2 4 4 2" xfId="48692"/>
    <cellStyle name="资产 2 4 4 3" xfId="48693"/>
    <cellStyle name="资产 2 4 4 4" xfId="48694"/>
    <cellStyle name="资产 2 4 4 5" xfId="48695"/>
    <cellStyle name="资产 2 4 4 6" xfId="48696"/>
    <cellStyle name="资产 2 4 4 7" xfId="48697"/>
    <cellStyle name="资产 2 4 4 8" xfId="48698"/>
    <cellStyle name="资产 2 4 4 9" xfId="48699"/>
    <cellStyle name="资产 2 4 40" xfId="8531"/>
    <cellStyle name="资产 2 4 40 2" xfId="48700"/>
    <cellStyle name="资产 2 4 40 3" xfId="48701"/>
    <cellStyle name="资产 2 4 40 4" xfId="48702"/>
    <cellStyle name="资产 2 4 40 5" xfId="48703"/>
    <cellStyle name="资产 2 4 40 6" xfId="48704"/>
    <cellStyle name="资产 2 4 40 7" xfId="48705"/>
    <cellStyle name="资产 2 4 41" xfId="8532"/>
    <cellStyle name="资产 2 4 41 2" xfId="48706"/>
    <cellStyle name="资产 2 4 41 3" xfId="48707"/>
    <cellStyle name="资产 2 4 41 4" xfId="48708"/>
    <cellStyle name="资产 2 4 41 5" xfId="48709"/>
    <cellStyle name="资产 2 4 41 6" xfId="48710"/>
    <cellStyle name="资产 2 4 41 7" xfId="48711"/>
    <cellStyle name="资产 2 4 42" xfId="8533"/>
    <cellStyle name="资产 2 4 42 2" xfId="48712"/>
    <cellStyle name="资产 2 4 42 3" xfId="48713"/>
    <cellStyle name="资产 2 4 42 4" xfId="48714"/>
    <cellStyle name="资产 2 4 42 5" xfId="48715"/>
    <cellStyle name="资产 2 4 42 6" xfId="48716"/>
    <cellStyle name="资产 2 4 42 7" xfId="48717"/>
    <cellStyle name="资产 2 4 43" xfId="8534"/>
    <cellStyle name="资产 2 4 43 2" xfId="48718"/>
    <cellStyle name="资产 2 4 43 3" xfId="48719"/>
    <cellStyle name="资产 2 4 43 4" xfId="48720"/>
    <cellStyle name="资产 2 4 43 5" xfId="48721"/>
    <cellStyle name="资产 2 4 43 6" xfId="48722"/>
    <cellStyle name="资产 2 4 43 7" xfId="48723"/>
    <cellStyle name="资产 2 4 44" xfId="8535"/>
    <cellStyle name="资产 2 4 44 2" xfId="48724"/>
    <cellStyle name="资产 2 4 44 3" xfId="48725"/>
    <cellStyle name="资产 2 4 44 4" xfId="48726"/>
    <cellStyle name="资产 2 4 44 5" xfId="48727"/>
    <cellStyle name="资产 2 4 44 6" xfId="48728"/>
    <cellStyle name="资产 2 4 44 7" xfId="48729"/>
    <cellStyle name="资产 2 4 45" xfId="8536"/>
    <cellStyle name="资产 2 4 45 2" xfId="48730"/>
    <cellStyle name="资产 2 4 45 3" xfId="48731"/>
    <cellStyle name="资产 2 4 45 4" xfId="48732"/>
    <cellStyle name="资产 2 4 45 5" xfId="48733"/>
    <cellStyle name="资产 2 4 45 6" xfId="48734"/>
    <cellStyle name="资产 2 4 45 7" xfId="48735"/>
    <cellStyle name="资产 2 4 46" xfId="8537"/>
    <cellStyle name="资产 2 4 46 2" xfId="48736"/>
    <cellStyle name="资产 2 4 46 3" xfId="48737"/>
    <cellStyle name="资产 2 4 46 4" xfId="48738"/>
    <cellStyle name="资产 2 4 46 5" xfId="48739"/>
    <cellStyle name="资产 2 4 46 6" xfId="48740"/>
    <cellStyle name="资产 2 4 46 7" xfId="48741"/>
    <cellStyle name="资产 2 4 47" xfId="8538"/>
    <cellStyle name="资产 2 4 47 2" xfId="48742"/>
    <cellStyle name="资产 2 4 47 3" xfId="48743"/>
    <cellStyle name="资产 2 4 47 4" xfId="48744"/>
    <cellStyle name="资产 2 4 47 5" xfId="48745"/>
    <cellStyle name="资产 2 4 47 6" xfId="48746"/>
    <cellStyle name="资产 2 4 47 7" xfId="48747"/>
    <cellStyle name="资产 2 4 48" xfId="8539"/>
    <cellStyle name="资产 2 4 48 2" xfId="48748"/>
    <cellStyle name="资产 2 4 48 3" xfId="48749"/>
    <cellStyle name="资产 2 4 48 4" xfId="48750"/>
    <cellStyle name="资产 2 4 48 5" xfId="48751"/>
    <cellStyle name="资产 2 4 48 6" xfId="48752"/>
    <cellStyle name="资产 2 4 48 7" xfId="48753"/>
    <cellStyle name="资产 2 4 49" xfId="8540"/>
    <cellStyle name="资产 2 4 49 2" xfId="48754"/>
    <cellStyle name="资产 2 4 49 3" xfId="48755"/>
    <cellStyle name="资产 2 4 49 4" xfId="48756"/>
    <cellStyle name="资产 2 4 49 5" xfId="48757"/>
    <cellStyle name="资产 2 4 49 6" xfId="48758"/>
    <cellStyle name="资产 2 4 49 7" xfId="48759"/>
    <cellStyle name="资产 2 4 5" xfId="8541"/>
    <cellStyle name="资产 2 4 5 2" xfId="48760"/>
    <cellStyle name="资产 2 4 5 3" xfId="48761"/>
    <cellStyle name="资产 2 4 5 4" xfId="48762"/>
    <cellStyle name="资产 2 4 5 5" xfId="48763"/>
    <cellStyle name="资产 2 4 5 6" xfId="48764"/>
    <cellStyle name="资产 2 4 5 7" xfId="48765"/>
    <cellStyle name="资产 2 4 50" xfId="8542"/>
    <cellStyle name="资产 2 4 50 2" xfId="48766"/>
    <cellStyle name="资产 2 4 50 3" xfId="48767"/>
    <cellStyle name="资产 2 4 50 4" xfId="48768"/>
    <cellStyle name="资产 2 4 50 5" xfId="48769"/>
    <cellStyle name="资产 2 4 50 6" xfId="48770"/>
    <cellStyle name="资产 2 4 50 7" xfId="48771"/>
    <cellStyle name="资产 2 4 51" xfId="8543"/>
    <cellStyle name="资产 2 4 51 2" xfId="48772"/>
    <cellStyle name="资产 2 4 51 3" xfId="48773"/>
    <cellStyle name="资产 2 4 51 4" xfId="48774"/>
    <cellStyle name="资产 2 4 51 5" xfId="48775"/>
    <cellStyle name="资产 2 4 51 6" xfId="48776"/>
    <cellStyle name="资产 2 4 51 7" xfId="48777"/>
    <cellStyle name="资产 2 4 52" xfId="8544"/>
    <cellStyle name="资产 2 4 52 2" xfId="48778"/>
    <cellStyle name="资产 2 4 52 3" xfId="48779"/>
    <cellStyle name="资产 2 4 52 4" xfId="48780"/>
    <cellStyle name="资产 2 4 52 5" xfId="48781"/>
    <cellStyle name="资产 2 4 52 6" xfId="48782"/>
    <cellStyle name="资产 2 4 52 7" xfId="48783"/>
    <cellStyle name="资产 2 4 53" xfId="8545"/>
    <cellStyle name="资产 2 4 53 2" xfId="48784"/>
    <cellStyle name="资产 2 4 53 3" xfId="48785"/>
    <cellStyle name="资产 2 4 53 4" xfId="48786"/>
    <cellStyle name="资产 2 4 53 5" xfId="48787"/>
    <cellStyle name="资产 2 4 53 6" xfId="48788"/>
    <cellStyle name="资产 2 4 53 7" xfId="48789"/>
    <cellStyle name="资产 2 4 54" xfId="8546"/>
    <cellStyle name="资产 2 4 54 2" xfId="48790"/>
    <cellStyle name="资产 2 4 54 3" xfId="48791"/>
    <cellStyle name="资产 2 4 54 4" xfId="48792"/>
    <cellStyle name="资产 2 4 54 5" xfId="48793"/>
    <cellStyle name="资产 2 4 54 6" xfId="48794"/>
    <cellStyle name="资产 2 4 54 7" xfId="48795"/>
    <cellStyle name="资产 2 4 55" xfId="8547"/>
    <cellStyle name="资产 2 4 55 2" xfId="48796"/>
    <cellStyle name="资产 2 4 55 3" xfId="48797"/>
    <cellStyle name="资产 2 4 55 4" xfId="48798"/>
    <cellStyle name="资产 2 4 55 5" xfId="48799"/>
    <cellStyle name="资产 2 4 55 6" xfId="48800"/>
    <cellStyle name="资产 2 4 55 7" xfId="48801"/>
    <cellStyle name="资产 2 4 56" xfId="8548"/>
    <cellStyle name="资产 2 4 56 2" xfId="48802"/>
    <cellStyle name="资产 2 4 56 3" xfId="48803"/>
    <cellStyle name="资产 2 4 56 4" xfId="48804"/>
    <cellStyle name="资产 2 4 56 5" xfId="48805"/>
    <cellStyle name="资产 2 4 56 6" xfId="48806"/>
    <cellStyle name="资产 2 4 56 7" xfId="48807"/>
    <cellStyle name="资产 2 4 57" xfId="8549"/>
    <cellStyle name="资产 2 4 57 2" xfId="48808"/>
    <cellStyle name="资产 2 4 57 3" xfId="48809"/>
    <cellStyle name="资产 2 4 57 4" xfId="48810"/>
    <cellStyle name="资产 2 4 57 5" xfId="48811"/>
    <cellStyle name="资产 2 4 57 6" xfId="48812"/>
    <cellStyle name="资产 2 4 57 7" xfId="48813"/>
    <cellStyle name="资产 2 4 58" xfId="8550"/>
    <cellStyle name="资产 2 4 58 2" xfId="48814"/>
    <cellStyle name="资产 2 4 58 3" xfId="48815"/>
    <cellStyle name="资产 2 4 58 4" xfId="48816"/>
    <cellStyle name="资产 2 4 58 5" xfId="48817"/>
    <cellStyle name="资产 2 4 58 6" xfId="48818"/>
    <cellStyle name="资产 2 4 58 7" xfId="48819"/>
    <cellStyle name="资产 2 4 59" xfId="8551"/>
    <cellStyle name="资产 2 4 59 2" xfId="48820"/>
    <cellStyle name="资产 2 4 59 3" xfId="48821"/>
    <cellStyle name="资产 2 4 59 4" xfId="48822"/>
    <cellStyle name="资产 2 4 59 5" xfId="48823"/>
    <cellStyle name="资产 2 4 59 6" xfId="48824"/>
    <cellStyle name="资产 2 4 59 7" xfId="48825"/>
    <cellStyle name="资产 2 4 6" xfId="8552"/>
    <cellStyle name="资产 2 4 6 2" xfId="48826"/>
    <cellStyle name="资产 2 4 6 3" xfId="48827"/>
    <cellStyle name="资产 2 4 6 4" xfId="48828"/>
    <cellStyle name="资产 2 4 6 5" xfId="48829"/>
    <cellStyle name="资产 2 4 6 6" xfId="48830"/>
    <cellStyle name="资产 2 4 6 7" xfId="48831"/>
    <cellStyle name="资产 2 4 60" xfId="8553"/>
    <cellStyle name="资产 2 4 60 2" xfId="48832"/>
    <cellStyle name="资产 2 4 60 3" xfId="48833"/>
    <cellStyle name="资产 2 4 60 4" xfId="48834"/>
    <cellStyle name="资产 2 4 60 5" xfId="48835"/>
    <cellStyle name="资产 2 4 60 6" xfId="48836"/>
    <cellStyle name="资产 2 4 60 7" xfId="48837"/>
    <cellStyle name="资产 2 4 61" xfId="8554"/>
    <cellStyle name="资产 2 4 61 2" xfId="48838"/>
    <cellStyle name="资产 2 4 61 3" xfId="48839"/>
    <cellStyle name="资产 2 4 61 4" xfId="48840"/>
    <cellStyle name="资产 2 4 61 5" xfId="48841"/>
    <cellStyle name="资产 2 4 61 6" xfId="48842"/>
    <cellStyle name="资产 2 4 61 7" xfId="48843"/>
    <cellStyle name="资产 2 4 62" xfId="8555"/>
    <cellStyle name="资产 2 4 62 2" xfId="48844"/>
    <cellStyle name="资产 2 4 62 3" xfId="48845"/>
    <cellStyle name="资产 2 4 62 4" xfId="48846"/>
    <cellStyle name="资产 2 4 62 5" xfId="48847"/>
    <cellStyle name="资产 2 4 62 6" xfId="48848"/>
    <cellStyle name="资产 2 4 62 7" xfId="48849"/>
    <cellStyle name="资产 2 4 63" xfId="8556"/>
    <cellStyle name="资产 2 4 63 2" xfId="48850"/>
    <cellStyle name="资产 2 4 63 3" xfId="48851"/>
    <cellStyle name="资产 2 4 63 4" xfId="48852"/>
    <cellStyle name="资产 2 4 63 5" xfId="48853"/>
    <cellStyle name="资产 2 4 63 6" xfId="48854"/>
    <cellStyle name="资产 2 4 63 7" xfId="48855"/>
    <cellStyle name="资产 2 4 64" xfId="8557"/>
    <cellStyle name="资产 2 4 64 2" xfId="48856"/>
    <cellStyle name="资产 2 4 64 3" xfId="48857"/>
    <cellStyle name="资产 2 4 64 4" xfId="48858"/>
    <cellStyle name="资产 2 4 64 5" xfId="48859"/>
    <cellStyle name="资产 2 4 64 6" xfId="48860"/>
    <cellStyle name="资产 2 4 64 7" xfId="48861"/>
    <cellStyle name="资产 2 4 65" xfId="8558"/>
    <cellStyle name="资产 2 4 65 2" xfId="48862"/>
    <cellStyle name="资产 2 4 65 3" xfId="48863"/>
    <cellStyle name="资产 2 4 65 4" xfId="48864"/>
    <cellStyle name="资产 2 4 65 5" xfId="48865"/>
    <cellStyle name="资产 2 4 65 6" xfId="48866"/>
    <cellStyle name="资产 2 4 65 7" xfId="48867"/>
    <cellStyle name="资产 2 4 66" xfId="8559"/>
    <cellStyle name="资产 2 4 66 2" xfId="48868"/>
    <cellStyle name="资产 2 4 66 3" xfId="48869"/>
    <cellStyle name="资产 2 4 66 4" xfId="48870"/>
    <cellStyle name="资产 2 4 66 5" xfId="48871"/>
    <cellStyle name="资产 2 4 66 6" xfId="48872"/>
    <cellStyle name="资产 2 4 66 7" xfId="48873"/>
    <cellStyle name="资产 2 4 67" xfId="8560"/>
    <cellStyle name="资产 2 4 67 2" xfId="48874"/>
    <cellStyle name="资产 2 4 67 3" xfId="48875"/>
    <cellStyle name="资产 2 4 67 4" xfId="48876"/>
    <cellStyle name="资产 2 4 67 5" xfId="48877"/>
    <cellStyle name="资产 2 4 67 6" xfId="48878"/>
    <cellStyle name="资产 2 4 67 7" xfId="48879"/>
    <cellStyle name="资产 2 4 68" xfId="8561"/>
    <cellStyle name="资产 2 4 68 2" xfId="48880"/>
    <cellStyle name="资产 2 4 68 3" xfId="48881"/>
    <cellStyle name="资产 2 4 68 4" xfId="48882"/>
    <cellStyle name="资产 2 4 68 5" xfId="48883"/>
    <cellStyle name="资产 2 4 68 6" xfId="48884"/>
    <cellStyle name="资产 2 4 68 7" xfId="48885"/>
    <cellStyle name="资产 2 4 69" xfId="8562"/>
    <cellStyle name="资产 2 4 69 2" xfId="48886"/>
    <cellStyle name="资产 2 4 69 3" xfId="48887"/>
    <cellStyle name="资产 2 4 69 4" xfId="48888"/>
    <cellStyle name="资产 2 4 69 5" xfId="48889"/>
    <cellStyle name="资产 2 4 69 6" xfId="48890"/>
    <cellStyle name="资产 2 4 69 7" xfId="48891"/>
    <cellStyle name="资产 2 4 7" xfId="8563"/>
    <cellStyle name="资产 2 4 7 2" xfId="48892"/>
    <cellStyle name="资产 2 4 7 3" xfId="48893"/>
    <cellStyle name="资产 2 4 7 4" xfId="48894"/>
    <cellStyle name="资产 2 4 7 5" xfId="48895"/>
    <cellStyle name="资产 2 4 7 6" xfId="48896"/>
    <cellStyle name="资产 2 4 7 7" xfId="48897"/>
    <cellStyle name="资产 2 4 70" xfId="8564"/>
    <cellStyle name="资产 2 4 70 2" xfId="48898"/>
    <cellStyle name="资产 2 4 70 3" xfId="48899"/>
    <cellStyle name="资产 2 4 70 4" xfId="48900"/>
    <cellStyle name="资产 2 4 70 5" xfId="48901"/>
    <cellStyle name="资产 2 4 70 6" xfId="48902"/>
    <cellStyle name="资产 2 4 70 7" xfId="48903"/>
    <cellStyle name="资产 2 4 71" xfId="8565"/>
    <cellStyle name="资产 2 4 71 2" xfId="48904"/>
    <cellStyle name="资产 2 4 71 3" xfId="48905"/>
    <cellStyle name="资产 2 4 71 4" xfId="48906"/>
    <cellStyle name="资产 2 4 71 5" xfId="48907"/>
    <cellStyle name="资产 2 4 71 6" xfId="48908"/>
    <cellStyle name="资产 2 4 71 7" xfId="48909"/>
    <cellStyle name="资产 2 4 72" xfId="8566"/>
    <cellStyle name="资产 2 4 72 2" xfId="48910"/>
    <cellStyle name="资产 2 4 72 3" xfId="48911"/>
    <cellStyle name="资产 2 4 72 4" xfId="48912"/>
    <cellStyle name="资产 2 4 72 5" xfId="48913"/>
    <cellStyle name="资产 2 4 72 6" xfId="48914"/>
    <cellStyle name="资产 2 4 72 7" xfId="48915"/>
    <cellStyle name="资产 2 4 73" xfId="8567"/>
    <cellStyle name="资产 2 4 73 2" xfId="48916"/>
    <cellStyle name="资产 2 4 73 3" xfId="48917"/>
    <cellStyle name="资产 2 4 73 4" xfId="48918"/>
    <cellStyle name="资产 2 4 73 5" xfId="48919"/>
    <cellStyle name="资产 2 4 73 6" xfId="48920"/>
    <cellStyle name="资产 2 4 73 7" xfId="48921"/>
    <cellStyle name="资产 2 4 74" xfId="8568"/>
    <cellStyle name="资产 2 4 74 2" xfId="48922"/>
    <cellStyle name="资产 2 4 74 3" xfId="48923"/>
    <cellStyle name="资产 2 4 74 4" xfId="48924"/>
    <cellStyle name="资产 2 4 74 5" xfId="48925"/>
    <cellStyle name="资产 2 4 74 6" xfId="48926"/>
    <cellStyle name="资产 2 4 74 7" xfId="48927"/>
    <cellStyle name="资产 2 4 75" xfId="8569"/>
    <cellStyle name="资产 2 4 75 2" xfId="48928"/>
    <cellStyle name="资产 2 4 75 3" xfId="48929"/>
    <cellStyle name="资产 2 4 75 4" xfId="48930"/>
    <cellStyle name="资产 2 4 75 5" xfId="48931"/>
    <cellStyle name="资产 2 4 75 6" xfId="48932"/>
    <cellStyle name="资产 2 4 75 7" xfId="48933"/>
    <cellStyle name="资产 2 4 76" xfId="8570"/>
    <cellStyle name="资产 2 4 76 2" xfId="48934"/>
    <cellStyle name="资产 2 4 76 3" xfId="48935"/>
    <cellStyle name="资产 2 4 76 4" xfId="48936"/>
    <cellStyle name="资产 2 4 76 5" xfId="48937"/>
    <cellStyle name="资产 2 4 76 6" xfId="48938"/>
    <cellStyle name="资产 2 4 76 7" xfId="48939"/>
    <cellStyle name="资产 2 4 77" xfId="8571"/>
    <cellStyle name="资产 2 4 77 2" xfId="48940"/>
    <cellStyle name="资产 2 4 77 3" xfId="48941"/>
    <cellStyle name="资产 2 4 77 4" xfId="48942"/>
    <cellStyle name="资产 2 4 77 5" xfId="48943"/>
    <cellStyle name="资产 2 4 77 6" xfId="48944"/>
    <cellStyle name="资产 2 4 77 7" xfId="48945"/>
    <cellStyle name="资产 2 4 78" xfId="8572"/>
    <cellStyle name="资产 2 4 78 2" xfId="48946"/>
    <cellStyle name="资产 2 4 78 3" xfId="48947"/>
    <cellStyle name="资产 2 4 78 4" xfId="48948"/>
    <cellStyle name="资产 2 4 78 5" xfId="48949"/>
    <cellStyle name="资产 2 4 78 6" xfId="48950"/>
    <cellStyle name="资产 2 4 78 7" xfId="48951"/>
    <cellStyle name="资产 2 4 79" xfId="8573"/>
    <cellStyle name="资产 2 4 79 2" xfId="48952"/>
    <cellStyle name="资产 2 4 79 3" xfId="48953"/>
    <cellStyle name="资产 2 4 79 4" xfId="48954"/>
    <cellStyle name="资产 2 4 79 5" xfId="48955"/>
    <cellStyle name="资产 2 4 79 6" xfId="48956"/>
    <cellStyle name="资产 2 4 79 7" xfId="48957"/>
    <cellStyle name="资产 2 4 8" xfId="8574"/>
    <cellStyle name="资产 2 4 8 2" xfId="48958"/>
    <cellStyle name="资产 2 4 8 3" xfId="48959"/>
    <cellStyle name="资产 2 4 8 4" xfId="48960"/>
    <cellStyle name="资产 2 4 8 5" xfId="48961"/>
    <cellStyle name="资产 2 4 8 6" xfId="48962"/>
    <cellStyle name="资产 2 4 8 7" xfId="48963"/>
    <cellStyle name="资产 2 4 80" xfId="8575"/>
    <cellStyle name="资产 2 4 80 2" xfId="48964"/>
    <cellStyle name="资产 2 4 80 3" xfId="48965"/>
    <cellStyle name="资产 2 4 80 4" xfId="48966"/>
    <cellStyle name="资产 2 4 80 5" xfId="48967"/>
    <cellStyle name="资产 2 4 80 6" xfId="48968"/>
    <cellStyle name="资产 2 4 80 7" xfId="48969"/>
    <cellStyle name="资产 2 4 81" xfId="8576"/>
    <cellStyle name="资产 2 4 81 2" xfId="48970"/>
    <cellStyle name="资产 2 4 81 3" xfId="48971"/>
    <cellStyle name="资产 2 4 81 4" xfId="48972"/>
    <cellStyle name="资产 2 4 81 5" xfId="48973"/>
    <cellStyle name="资产 2 4 81 6" xfId="48974"/>
    <cellStyle name="资产 2 4 81 7" xfId="48975"/>
    <cellStyle name="资产 2 4 82" xfId="8577"/>
    <cellStyle name="资产 2 4 82 2" xfId="48976"/>
    <cellStyle name="资产 2 4 82 3" xfId="48977"/>
    <cellStyle name="资产 2 4 82 4" xfId="48978"/>
    <cellStyle name="资产 2 4 82 5" xfId="48979"/>
    <cellStyle name="资产 2 4 82 6" xfId="48980"/>
    <cellStyle name="资产 2 4 82 7" xfId="48981"/>
    <cellStyle name="资产 2 4 83" xfId="8578"/>
    <cellStyle name="资产 2 4 83 2" xfId="48982"/>
    <cellStyle name="资产 2 4 83 3" xfId="48983"/>
    <cellStyle name="资产 2 4 83 4" xfId="48984"/>
    <cellStyle name="资产 2 4 83 5" xfId="48985"/>
    <cellStyle name="资产 2 4 83 6" xfId="48986"/>
    <cellStyle name="资产 2 4 83 7" xfId="48987"/>
    <cellStyle name="资产 2 4 84" xfId="8579"/>
    <cellStyle name="资产 2 4 84 2" xfId="48988"/>
    <cellStyle name="资产 2 4 84 3" xfId="48989"/>
    <cellStyle name="资产 2 4 84 4" xfId="48990"/>
    <cellStyle name="资产 2 4 84 5" xfId="48991"/>
    <cellStyle name="资产 2 4 84 6" xfId="48992"/>
    <cellStyle name="资产 2 4 84 7" xfId="48993"/>
    <cellStyle name="资产 2 4 85" xfId="8580"/>
    <cellStyle name="资产 2 4 85 2" xfId="48994"/>
    <cellStyle name="资产 2 4 85 3" xfId="48995"/>
    <cellStyle name="资产 2 4 85 4" xfId="48996"/>
    <cellStyle name="资产 2 4 85 5" xfId="48997"/>
    <cellStyle name="资产 2 4 85 6" xfId="48998"/>
    <cellStyle name="资产 2 4 85 7" xfId="48999"/>
    <cellStyle name="资产 2 4 86" xfId="8581"/>
    <cellStyle name="资产 2 4 86 2" xfId="49000"/>
    <cellStyle name="资产 2 4 86 3" xfId="49001"/>
    <cellStyle name="资产 2 4 86 4" xfId="49002"/>
    <cellStyle name="资产 2 4 86 5" xfId="49003"/>
    <cellStyle name="资产 2 4 86 6" xfId="49004"/>
    <cellStyle name="资产 2 4 86 7" xfId="49005"/>
    <cellStyle name="资产 2 4 87" xfId="8582"/>
    <cellStyle name="资产 2 4 87 2" xfId="49006"/>
    <cellStyle name="资产 2 4 87 3" xfId="49007"/>
    <cellStyle name="资产 2 4 87 4" xfId="49008"/>
    <cellStyle name="资产 2 4 87 5" xfId="49009"/>
    <cellStyle name="资产 2 4 87 6" xfId="49010"/>
    <cellStyle name="资产 2 4 87 7" xfId="49011"/>
    <cellStyle name="资产 2 4 88" xfId="8583"/>
    <cellStyle name="资产 2 4 88 2" xfId="49012"/>
    <cellStyle name="资产 2 4 88 3" xfId="49013"/>
    <cellStyle name="资产 2 4 88 4" xfId="49014"/>
    <cellStyle name="资产 2 4 88 5" xfId="49015"/>
    <cellStyle name="资产 2 4 88 6" xfId="49016"/>
    <cellStyle name="资产 2 4 88 7" xfId="49017"/>
    <cellStyle name="资产 2 4 89" xfId="8584"/>
    <cellStyle name="资产 2 4 89 2" xfId="49018"/>
    <cellStyle name="资产 2 4 89 3" xfId="49019"/>
    <cellStyle name="资产 2 4 89 4" xfId="49020"/>
    <cellStyle name="资产 2 4 89 5" xfId="49021"/>
    <cellStyle name="资产 2 4 89 6" xfId="49022"/>
    <cellStyle name="资产 2 4 89 7" xfId="49023"/>
    <cellStyle name="资产 2 4 9" xfId="8585"/>
    <cellStyle name="资产 2 4 9 2" xfId="49024"/>
    <cellStyle name="资产 2 4 9 3" xfId="49025"/>
    <cellStyle name="资产 2 4 9 4" xfId="49026"/>
    <cellStyle name="资产 2 4 9 5" xfId="49027"/>
    <cellStyle name="资产 2 4 9 6" xfId="49028"/>
    <cellStyle name="资产 2 4 9 7" xfId="49029"/>
    <cellStyle name="资产 2 4 90" xfId="8586"/>
    <cellStyle name="资产 2 4 90 2" xfId="49030"/>
    <cellStyle name="资产 2 4 90 3" xfId="49031"/>
    <cellStyle name="资产 2 4 90 4" xfId="49032"/>
    <cellStyle name="资产 2 4 90 5" xfId="49033"/>
    <cellStyle name="资产 2 4 90 6" xfId="49034"/>
    <cellStyle name="资产 2 4 90 7" xfId="49035"/>
    <cellStyle name="资产 2 4 91" xfId="8587"/>
    <cellStyle name="资产 2 4 91 2" xfId="49036"/>
    <cellStyle name="资产 2 4 91 3" xfId="49037"/>
    <cellStyle name="资产 2 4 91 4" xfId="49038"/>
    <cellStyle name="资产 2 4 91 5" xfId="49039"/>
    <cellStyle name="资产 2 4 91 6" xfId="49040"/>
    <cellStyle name="资产 2 4 91 7" xfId="49041"/>
    <cellStyle name="资产 2 4 92" xfId="8588"/>
    <cellStyle name="资产 2 4 92 2" xfId="49042"/>
    <cellStyle name="资产 2 4 92 3" xfId="49043"/>
    <cellStyle name="资产 2 4 92 4" xfId="49044"/>
    <cellStyle name="资产 2 4 92 5" xfId="49045"/>
    <cellStyle name="资产 2 4 92 6" xfId="49046"/>
    <cellStyle name="资产 2 4 92 7" xfId="49047"/>
    <cellStyle name="资产 2 4 93" xfId="8589"/>
    <cellStyle name="资产 2 4 93 2" xfId="49048"/>
    <cellStyle name="资产 2 4 93 3" xfId="49049"/>
    <cellStyle name="资产 2 4 93 4" xfId="49050"/>
    <cellStyle name="资产 2 4 93 5" xfId="49051"/>
    <cellStyle name="资产 2 4 93 6" xfId="49052"/>
    <cellStyle name="资产 2 4 94" xfId="49053"/>
    <cellStyle name="资产 2 4 95" xfId="49054"/>
    <cellStyle name="资产 2 4 96" xfId="49055"/>
    <cellStyle name="资产 2 4 97" xfId="49056"/>
    <cellStyle name="资产 2 4 98" xfId="49057"/>
    <cellStyle name="资产 2 4 99" xfId="49058"/>
    <cellStyle name="资产 2 40" xfId="8590"/>
    <cellStyle name="资产 2 40 2" xfId="49059"/>
    <cellStyle name="资产 2 40 3" xfId="49060"/>
    <cellStyle name="资产 2 40 4" xfId="49061"/>
    <cellStyle name="资产 2 40 5" xfId="49062"/>
    <cellStyle name="资产 2 40 6" xfId="49063"/>
    <cellStyle name="资产 2 40 7" xfId="49064"/>
    <cellStyle name="资产 2 41" xfId="8591"/>
    <cellStyle name="资产 2 41 2" xfId="49065"/>
    <cellStyle name="资产 2 41 3" xfId="49066"/>
    <cellStyle name="资产 2 41 4" xfId="49067"/>
    <cellStyle name="资产 2 41 5" xfId="49068"/>
    <cellStyle name="资产 2 41 6" xfId="49069"/>
    <cellStyle name="资产 2 41 7" xfId="49070"/>
    <cellStyle name="资产 2 42" xfId="8592"/>
    <cellStyle name="资产 2 42 2" xfId="49071"/>
    <cellStyle name="资产 2 42 3" xfId="49072"/>
    <cellStyle name="资产 2 42 4" xfId="49073"/>
    <cellStyle name="资产 2 42 5" xfId="49074"/>
    <cellStyle name="资产 2 42 6" xfId="49075"/>
    <cellStyle name="资产 2 42 7" xfId="49076"/>
    <cellStyle name="资产 2 43" xfId="8593"/>
    <cellStyle name="资产 2 43 2" xfId="49077"/>
    <cellStyle name="资产 2 43 3" xfId="49078"/>
    <cellStyle name="资产 2 43 4" xfId="49079"/>
    <cellStyle name="资产 2 43 5" xfId="49080"/>
    <cellStyle name="资产 2 43 6" xfId="49081"/>
    <cellStyle name="资产 2 43 7" xfId="49082"/>
    <cellStyle name="资产 2 44" xfId="8594"/>
    <cellStyle name="资产 2 44 2" xfId="49083"/>
    <cellStyle name="资产 2 44 3" xfId="49084"/>
    <cellStyle name="资产 2 44 4" xfId="49085"/>
    <cellStyle name="资产 2 44 5" xfId="49086"/>
    <cellStyle name="资产 2 44 6" xfId="49087"/>
    <cellStyle name="资产 2 44 7" xfId="49088"/>
    <cellStyle name="资产 2 45" xfId="8595"/>
    <cellStyle name="资产 2 45 2" xfId="49089"/>
    <cellStyle name="资产 2 45 3" xfId="49090"/>
    <cellStyle name="资产 2 45 4" xfId="49091"/>
    <cellStyle name="资产 2 45 5" xfId="49092"/>
    <cellStyle name="资产 2 45 6" xfId="49093"/>
    <cellStyle name="资产 2 45 7" xfId="49094"/>
    <cellStyle name="资产 2 46" xfId="8596"/>
    <cellStyle name="资产 2 46 2" xfId="49095"/>
    <cellStyle name="资产 2 46 3" xfId="49096"/>
    <cellStyle name="资产 2 46 4" xfId="49097"/>
    <cellStyle name="资产 2 46 5" xfId="49098"/>
    <cellStyle name="资产 2 46 6" xfId="49099"/>
    <cellStyle name="资产 2 46 7" xfId="49100"/>
    <cellStyle name="资产 2 47" xfId="8597"/>
    <cellStyle name="资产 2 47 2" xfId="49101"/>
    <cellStyle name="资产 2 47 3" xfId="49102"/>
    <cellStyle name="资产 2 47 4" xfId="49103"/>
    <cellStyle name="资产 2 47 5" xfId="49104"/>
    <cellStyle name="资产 2 47 6" xfId="49105"/>
    <cellStyle name="资产 2 47 7" xfId="49106"/>
    <cellStyle name="资产 2 48" xfId="8598"/>
    <cellStyle name="资产 2 48 2" xfId="49107"/>
    <cellStyle name="资产 2 48 3" xfId="49108"/>
    <cellStyle name="资产 2 48 4" xfId="49109"/>
    <cellStyle name="资产 2 48 5" xfId="49110"/>
    <cellStyle name="资产 2 48 6" xfId="49111"/>
    <cellStyle name="资产 2 48 7" xfId="49112"/>
    <cellStyle name="资产 2 49" xfId="8599"/>
    <cellStyle name="资产 2 49 2" xfId="49113"/>
    <cellStyle name="资产 2 49 3" xfId="49114"/>
    <cellStyle name="资产 2 49 4" xfId="49115"/>
    <cellStyle name="资产 2 49 5" xfId="49116"/>
    <cellStyle name="资产 2 49 6" xfId="49117"/>
    <cellStyle name="资产 2 49 7" xfId="49118"/>
    <cellStyle name="资产 2 5" xfId="8600"/>
    <cellStyle name="资产 2 5 10" xfId="8601"/>
    <cellStyle name="资产 2 5 10 2" xfId="49119"/>
    <cellStyle name="资产 2 5 10 3" xfId="49120"/>
    <cellStyle name="资产 2 5 10 4" xfId="49121"/>
    <cellStyle name="资产 2 5 10 5" xfId="49122"/>
    <cellStyle name="资产 2 5 10 6" xfId="49123"/>
    <cellStyle name="资产 2 5 10 7" xfId="49124"/>
    <cellStyle name="资产 2 5 100" xfId="49125"/>
    <cellStyle name="资产 2 5 101" xfId="49126"/>
    <cellStyle name="资产 2 5 102" xfId="49127"/>
    <cellStyle name="资产 2 5 11" xfId="8602"/>
    <cellStyle name="资产 2 5 11 2" xfId="49128"/>
    <cellStyle name="资产 2 5 11 3" xfId="49129"/>
    <cellStyle name="资产 2 5 11 4" xfId="49130"/>
    <cellStyle name="资产 2 5 11 5" xfId="49131"/>
    <cellStyle name="资产 2 5 11 6" xfId="49132"/>
    <cellStyle name="资产 2 5 11 7" xfId="49133"/>
    <cellStyle name="资产 2 5 12" xfId="8603"/>
    <cellStyle name="资产 2 5 12 2" xfId="49134"/>
    <cellStyle name="资产 2 5 12 3" xfId="49135"/>
    <cellStyle name="资产 2 5 12 4" xfId="49136"/>
    <cellStyle name="资产 2 5 12 5" xfId="49137"/>
    <cellStyle name="资产 2 5 12 6" xfId="49138"/>
    <cellStyle name="资产 2 5 12 7" xfId="49139"/>
    <cellStyle name="资产 2 5 13" xfId="8604"/>
    <cellStyle name="资产 2 5 13 2" xfId="49140"/>
    <cellStyle name="资产 2 5 13 3" xfId="49141"/>
    <cellStyle name="资产 2 5 13 4" xfId="49142"/>
    <cellStyle name="资产 2 5 13 5" xfId="49143"/>
    <cellStyle name="资产 2 5 13 6" xfId="49144"/>
    <cellStyle name="资产 2 5 13 7" xfId="49145"/>
    <cellStyle name="资产 2 5 14" xfId="8605"/>
    <cellStyle name="资产 2 5 14 2" xfId="49146"/>
    <cellStyle name="资产 2 5 14 3" xfId="49147"/>
    <cellStyle name="资产 2 5 14 4" xfId="49148"/>
    <cellStyle name="资产 2 5 14 5" xfId="49149"/>
    <cellStyle name="资产 2 5 14 6" xfId="49150"/>
    <cellStyle name="资产 2 5 14 7" xfId="49151"/>
    <cellStyle name="资产 2 5 15" xfId="8606"/>
    <cellStyle name="资产 2 5 15 2" xfId="49152"/>
    <cellStyle name="资产 2 5 15 3" xfId="49153"/>
    <cellStyle name="资产 2 5 15 4" xfId="49154"/>
    <cellStyle name="资产 2 5 15 5" xfId="49155"/>
    <cellStyle name="资产 2 5 15 6" xfId="49156"/>
    <cellStyle name="资产 2 5 15 7" xfId="49157"/>
    <cellStyle name="资产 2 5 16" xfId="8607"/>
    <cellStyle name="资产 2 5 16 2" xfId="49158"/>
    <cellStyle name="资产 2 5 16 3" xfId="49159"/>
    <cellStyle name="资产 2 5 16 4" xfId="49160"/>
    <cellStyle name="资产 2 5 16 5" xfId="49161"/>
    <cellStyle name="资产 2 5 16 6" xfId="49162"/>
    <cellStyle name="资产 2 5 16 7" xfId="49163"/>
    <cellStyle name="资产 2 5 17" xfId="8608"/>
    <cellStyle name="资产 2 5 17 2" xfId="49164"/>
    <cellStyle name="资产 2 5 17 3" xfId="49165"/>
    <cellStyle name="资产 2 5 17 4" xfId="49166"/>
    <cellStyle name="资产 2 5 17 5" xfId="49167"/>
    <cellStyle name="资产 2 5 17 6" xfId="49168"/>
    <cellStyle name="资产 2 5 17 7" xfId="49169"/>
    <cellStyle name="资产 2 5 18" xfId="8609"/>
    <cellStyle name="资产 2 5 18 2" xfId="49170"/>
    <cellStyle name="资产 2 5 18 3" xfId="49171"/>
    <cellStyle name="资产 2 5 18 4" xfId="49172"/>
    <cellStyle name="资产 2 5 18 5" xfId="49173"/>
    <cellStyle name="资产 2 5 18 6" xfId="49174"/>
    <cellStyle name="资产 2 5 18 7" xfId="49175"/>
    <cellStyle name="资产 2 5 19" xfId="8610"/>
    <cellStyle name="资产 2 5 19 2" xfId="49176"/>
    <cellStyle name="资产 2 5 19 3" xfId="49177"/>
    <cellStyle name="资产 2 5 19 4" xfId="49178"/>
    <cellStyle name="资产 2 5 19 5" xfId="49179"/>
    <cellStyle name="资产 2 5 19 6" xfId="49180"/>
    <cellStyle name="资产 2 5 19 7" xfId="49181"/>
    <cellStyle name="资产 2 5 2" xfId="8611"/>
    <cellStyle name="资产 2 5 2 10" xfId="49182"/>
    <cellStyle name="资产 2 5 2 11" xfId="49183"/>
    <cellStyle name="资产 2 5 2 2" xfId="49184"/>
    <cellStyle name="资产 2 5 2 3" xfId="49185"/>
    <cellStyle name="资产 2 5 2 4" xfId="49186"/>
    <cellStyle name="资产 2 5 2 5" xfId="49187"/>
    <cellStyle name="资产 2 5 2 6" xfId="49188"/>
    <cellStyle name="资产 2 5 2 7" xfId="49189"/>
    <cellStyle name="资产 2 5 2 8" xfId="49190"/>
    <cellStyle name="资产 2 5 2 9" xfId="49191"/>
    <cellStyle name="资产 2 5 20" xfId="8612"/>
    <cellStyle name="资产 2 5 20 2" xfId="49192"/>
    <cellStyle name="资产 2 5 20 3" xfId="49193"/>
    <cellStyle name="资产 2 5 20 4" xfId="49194"/>
    <cellStyle name="资产 2 5 20 5" xfId="49195"/>
    <cellStyle name="资产 2 5 20 6" xfId="49196"/>
    <cellStyle name="资产 2 5 20 7" xfId="49197"/>
    <cellStyle name="资产 2 5 21" xfId="8613"/>
    <cellStyle name="资产 2 5 21 2" xfId="49198"/>
    <cellStyle name="资产 2 5 21 3" xfId="49199"/>
    <cellStyle name="资产 2 5 21 4" xfId="49200"/>
    <cellStyle name="资产 2 5 21 5" xfId="49201"/>
    <cellStyle name="资产 2 5 21 6" xfId="49202"/>
    <cellStyle name="资产 2 5 21 7" xfId="49203"/>
    <cellStyle name="资产 2 5 22" xfId="8614"/>
    <cellStyle name="资产 2 5 22 2" xfId="49204"/>
    <cellStyle name="资产 2 5 22 3" xfId="49205"/>
    <cellStyle name="资产 2 5 22 4" xfId="49206"/>
    <cellStyle name="资产 2 5 22 5" xfId="49207"/>
    <cellStyle name="资产 2 5 22 6" xfId="49208"/>
    <cellStyle name="资产 2 5 22 7" xfId="49209"/>
    <cellStyle name="资产 2 5 23" xfId="8615"/>
    <cellStyle name="资产 2 5 23 2" xfId="49210"/>
    <cellStyle name="资产 2 5 23 3" xfId="49211"/>
    <cellStyle name="资产 2 5 23 4" xfId="49212"/>
    <cellStyle name="资产 2 5 23 5" xfId="49213"/>
    <cellStyle name="资产 2 5 23 6" xfId="49214"/>
    <cellStyle name="资产 2 5 23 7" xfId="49215"/>
    <cellStyle name="资产 2 5 24" xfId="8616"/>
    <cellStyle name="资产 2 5 24 2" xfId="49216"/>
    <cellStyle name="资产 2 5 24 3" xfId="49217"/>
    <cellStyle name="资产 2 5 24 4" xfId="49218"/>
    <cellStyle name="资产 2 5 24 5" xfId="49219"/>
    <cellStyle name="资产 2 5 24 6" xfId="49220"/>
    <cellStyle name="资产 2 5 24 7" xfId="49221"/>
    <cellStyle name="资产 2 5 25" xfId="8617"/>
    <cellStyle name="资产 2 5 25 2" xfId="49222"/>
    <cellStyle name="资产 2 5 25 3" xfId="49223"/>
    <cellStyle name="资产 2 5 25 4" xfId="49224"/>
    <cellStyle name="资产 2 5 25 5" xfId="49225"/>
    <cellStyle name="资产 2 5 25 6" xfId="49226"/>
    <cellStyle name="资产 2 5 25 7" xfId="49227"/>
    <cellStyle name="资产 2 5 26" xfId="8618"/>
    <cellStyle name="资产 2 5 26 2" xfId="49228"/>
    <cellStyle name="资产 2 5 26 3" xfId="49229"/>
    <cellStyle name="资产 2 5 26 4" xfId="49230"/>
    <cellStyle name="资产 2 5 26 5" xfId="49231"/>
    <cellStyle name="资产 2 5 26 6" xfId="49232"/>
    <cellStyle name="资产 2 5 26 7" xfId="49233"/>
    <cellStyle name="资产 2 5 27" xfId="8619"/>
    <cellStyle name="资产 2 5 27 2" xfId="49234"/>
    <cellStyle name="资产 2 5 27 3" xfId="49235"/>
    <cellStyle name="资产 2 5 27 4" xfId="49236"/>
    <cellStyle name="资产 2 5 27 5" xfId="49237"/>
    <cellStyle name="资产 2 5 27 6" xfId="49238"/>
    <cellStyle name="资产 2 5 27 7" xfId="49239"/>
    <cellStyle name="资产 2 5 28" xfId="8620"/>
    <cellStyle name="资产 2 5 28 2" xfId="49240"/>
    <cellStyle name="资产 2 5 28 3" xfId="49241"/>
    <cellStyle name="资产 2 5 28 4" xfId="49242"/>
    <cellStyle name="资产 2 5 28 5" xfId="49243"/>
    <cellStyle name="资产 2 5 28 6" xfId="49244"/>
    <cellStyle name="资产 2 5 28 7" xfId="49245"/>
    <cellStyle name="资产 2 5 29" xfId="8621"/>
    <cellStyle name="资产 2 5 29 2" xfId="49246"/>
    <cellStyle name="资产 2 5 29 3" xfId="49247"/>
    <cellStyle name="资产 2 5 29 4" xfId="49248"/>
    <cellStyle name="资产 2 5 29 5" xfId="49249"/>
    <cellStyle name="资产 2 5 29 6" xfId="49250"/>
    <cellStyle name="资产 2 5 29 7" xfId="49251"/>
    <cellStyle name="资产 2 5 3" xfId="8622"/>
    <cellStyle name="资产 2 5 3 10" xfId="49252"/>
    <cellStyle name="资产 2 5 3 2" xfId="49253"/>
    <cellStyle name="资产 2 5 3 3" xfId="49254"/>
    <cellStyle name="资产 2 5 3 4" xfId="49255"/>
    <cellStyle name="资产 2 5 3 5" xfId="49256"/>
    <cellStyle name="资产 2 5 3 6" xfId="49257"/>
    <cellStyle name="资产 2 5 3 7" xfId="49258"/>
    <cellStyle name="资产 2 5 3 8" xfId="49259"/>
    <cellStyle name="资产 2 5 3 9" xfId="49260"/>
    <cellStyle name="资产 2 5 30" xfId="8623"/>
    <cellStyle name="资产 2 5 30 2" xfId="49261"/>
    <cellStyle name="资产 2 5 30 3" xfId="49262"/>
    <cellStyle name="资产 2 5 30 4" xfId="49263"/>
    <cellStyle name="资产 2 5 30 5" xfId="49264"/>
    <cellStyle name="资产 2 5 30 6" xfId="49265"/>
    <cellStyle name="资产 2 5 30 7" xfId="49266"/>
    <cellStyle name="资产 2 5 31" xfId="8624"/>
    <cellStyle name="资产 2 5 31 2" xfId="49267"/>
    <cellStyle name="资产 2 5 31 3" xfId="49268"/>
    <cellStyle name="资产 2 5 31 4" xfId="49269"/>
    <cellStyle name="资产 2 5 31 5" xfId="49270"/>
    <cellStyle name="资产 2 5 31 6" xfId="49271"/>
    <cellStyle name="资产 2 5 31 7" xfId="49272"/>
    <cellStyle name="资产 2 5 32" xfId="8625"/>
    <cellStyle name="资产 2 5 32 2" xfId="49273"/>
    <cellStyle name="资产 2 5 32 3" xfId="49274"/>
    <cellStyle name="资产 2 5 32 4" xfId="49275"/>
    <cellStyle name="资产 2 5 32 5" xfId="49276"/>
    <cellStyle name="资产 2 5 32 6" xfId="49277"/>
    <cellStyle name="资产 2 5 32 7" xfId="49278"/>
    <cellStyle name="资产 2 5 33" xfId="8626"/>
    <cellStyle name="资产 2 5 33 2" xfId="49279"/>
    <cellStyle name="资产 2 5 33 3" xfId="49280"/>
    <cellStyle name="资产 2 5 33 4" xfId="49281"/>
    <cellStyle name="资产 2 5 33 5" xfId="49282"/>
    <cellStyle name="资产 2 5 33 6" xfId="49283"/>
    <cellStyle name="资产 2 5 33 7" xfId="49284"/>
    <cellStyle name="资产 2 5 34" xfId="8627"/>
    <cellStyle name="资产 2 5 34 2" xfId="49285"/>
    <cellStyle name="资产 2 5 34 3" xfId="49286"/>
    <cellStyle name="资产 2 5 34 4" xfId="49287"/>
    <cellStyle name="资产 2 5 34 5" xfId="49288"/>
    <cellStyle name="资产 2 5 34 6" xfId="49289"/>
    <cellStyle name="资产 2 5 34 7" xfId="49290"/>
    <cellStyle name="资产 2 5 35" xfId="8628"/>
    <cellStyle name="资产 2 5 35 2" xfId="49291"/>
    <cellStyle name="资产 2 5 35 3" xfId="49292"/>
    <cellStyle name="资产 2 5 35 4" xfId="49293"/>
    <cellStyle name="资产 2 5 35 5" xfId="49294"/>
    <cellStyle name="资产 2 5 35 6" xfId="49295"/>
    <cellStyle name="资产 2 5 35 7" xfId="49296"/>
    <cellStyle name="资产 2 5 36" xfId="8629"/>
    <cellStyle name="资产 2 5 36 2" xfId="49297"/>
    <cellStyle name="资产 2 5 36 3" xfId="49298"/>
    <cellStyle name="资产 2 5 36 4" xfId="49299"/>
    <cellStyle name="资产 2 5 36 5" xfId="49300"/>
    <cellStyle name="资产 2 5 36 6" xfId="49301"/>
    <cellStyle name="资产 2 5 36 7" xfId="49302"/>
    <cellStyle name="资产 2 5 37" xfId="8630"/>
    <cellStyle name="资产 2 5 37 2" xfId="49303"/>
    <cellStyle name="资产 2 5 37 3" xfId="49304"/>
    <cellStyle name="资产 2 5 37 4" xfId="49305"/>
    <cellStyle name="资产 2 5 37 5" xfId="49306"/>
    <cellStyle name="资产 2 5 37 6" xfId="49307"/>
    <cellStyle name="资产 2 5 37 7" xfId="49308"/>
    <cellStyle name="资产 2 5 38" xfId="8631"/>
    <cellStyle name="资产 2 5 38 2" xfId="49309"/>
    <cellStyle name="资产 2 5 38 3" xfId="49310"/>
    <cellStyle name="资产 2 5 38 4" xfId="49311"/>
    <cellStyle name="资产 2 5 38 5" xfId="49312"/>
    <cellStyle name="资产 2 5 38 6" xfId="49313"/>
    <cellStyle name="资产 2 5 38 7" xfId="49314"/>
    <cellStyle name="资产 2 5 39" xfId="8632"/>
    <cellStyle name="资产 2 5 39 2" xfId="49315"/>
    <cellStyle name="资产 2 5 39 3" xfId="49316"/>
    <cellStyle name="资产 2 5 39 4" xfId="49317"/>
    <cellStyle name="资产 2 5 39 5" xfId="49318"/>
    <cellStyle name="资产 2 5 39 6" xfId="49319"/>
    <cellStyle name="资产 2 5 39 7" xfId="49320"/>
    <cellStyle name="资产 2 5 4" xfId="8633"/>
    <cellStyle name="资产 2 5 4 10" xfId="49321"/>
    <cellStyle name="资产 2 5 4 2" xfId="49322"/>
    <cellStyle name="资产 2 5 4 3" xfId="49323"/>
    <cellStyle name="资产 2 5 4 4" xfId="49324"/>
    <cellStyle name="资产 2 5 4 5" xfId="49325"/>
    <cellStyle name="资产 2 5 4 6" xfId="49326"/>
    <cellStyle name="资产 2 5 4 7" xfId="49327"/>
    <cellStyle name="资产 2 5 4 8" xfId="49328"/>
    <cellStyle name="资产 2 5 4 9" xfId="49329"/>
    <cellStyle name="资产 2 5 40" xfId="8634"/>
    <cellStyle name="资产 2 5 40 2" xfId="49330"/>
    <cellStyle name="资产 2 5 40 3" xfId="49331"/>
    <cellStyle name="资产 2 5 40 4" xfId="49332"/>
    <cellStyle name="资产 2 5 40 5" xfId="49333"/>
    <cellStyle name="资产 2 5 40 6" xfId="49334"/>
    <cellStyle name="资产 2 5 40 7" xfId="49335"/>
    <cellStyle name="资产 2 5 41" xfId="8635"/>
    <cellStyle name="资产 2 5 41 2" xfId="49336"/>
    <cellStyle name="资产 2 5 41 3" xfId="49337"/>
    <cellStyle name="资产 2 5 41 4" xfId="49338"/>
    <cellStyle name="资产 2 5 41 5" xfId="49339"/>
    <cellStyle name="资产 2 5 41 6" xfId="49340"/>
    <cellStyle name="资产 2 5 41 7" xfId="49341"/>
    <cellStyle name="资产 2 5 42" xfId="8636"/>
    <cellStyle name="资产 2 5 42 2" xfId="49342"/>
    <cellStyle name="资产 2 5 42 3" xfId="49343"/>
    <cellStyle name="资产 2 5 42 4" xfId="49344"/>
    <cellStyle name="资产 2 5 42 5" xfId="49345"/>
    <cellStyle name="资产 2 5 42 6" xfId="49346"/>
    <cellStyle name="资产 2 5 42 7" xfId="49347"/>
    <cellStyle name="资产 2 5 43" xfId="8637"/>
    <cellStyle name="资产 2 5 43 2" xfId="49348"/>
    <cellStyle name="资产 2 5 43 3" xfId="49349"/>
    <cellStyle name="资产 2 5 43 4" xfId="49350"/>
    <cellStyle name="资产 2 5 43 5" xfId="49351"/>
    <cellStyle name="资产 2 5 43 6" xfId="49352"/>
    <cellStyle name="资产 2 5 43 7" xfId="49353"/>
    <cellStyle name="资产 2 5 44" xfId="8638"/>
    <cellStyle name="资产 2 5 44 2" xfId="49354"/>
    <cellStyle name="资产 2 5 44 3" xfId="49355"/>
    <cellStyle name="资产 2 5 44 4" xfId="49356"/>
    <cellStyle name="资产 2 5 44 5" xfId="49357"/>
    <cellStyle name="资产 2 5 44 6" xfId="49358"/>
    <cellStyle name="资产 2 5 44 7" xfId="49359"/>
    <cellStyle name="资产 2 5 45" xfId="8639"/>
    <cellStyle name="资产 2 5 45 2" xfId="49360"/>
    <cellStyle name="资产 2 5 45 3" xfId="49361"/>
    <cellStyle name="资产 2 5 45 4" xfId="49362"/>
    <cellStyle name="资产 2 5 45 5" xfId="49363"/>
    <cellStyle name="资产 2 5 45 6" xfId="49364"/>
    <cellStyle name="资产 2 5 45 7" xfId="49365"/>
    <cellStyle name="资产 2 5 46" xfId="8640"/>
    <cellStyle name="资产 2 5 46 2" xfId="49366"/>
    <cellStyle name="资产 2 5 46 3" xfId="49367"/>
    <cellStyle name="资产 2 5 46 4" xfId="49368"/>
    <cellStyle name="资产 2 5 46 5" xfId="49369"/>
    <cellStyle name="资产 2 5 46 6" xfId="49370"/>
    <cellStyle name="资产 2 5 46 7" xfId="49371"/>
    <cellStyle name="资产 2 5 47" xfId="8641"/>
    <cellStyle name="资产 2 5 47 2" xfId="49372"/>
    <cellStyle name="资产 2 5 47 3" xfId="49373"/>
    <cellStyle name="资产 2 5 47 4" xfId="49374"/>
    <cellStyle name="资产 2 5 47 5" xfId="49375"/>
    <cellStyle name="资产 2 5 47 6" xfId="49376"/>
    <cellStyle name="资产 2 5 47 7" xfId="49377"/>
    <cellStyle name="资产 2 5 48" xfId="8642"/>
    <cellStyle name="资产 2 5 48 2" xfId="49378"/>
    <cellStyle name="资产 2 5 48 3" xfId="49379"/>
    <cellStyle name="资产 2 5 48 4" xfId="49380"/>
    <cellStyle name="资产 2 5 48 5" xfId="49381"/>
    <cellStyle name="资产 2 5 48 6" xfId="49382"/>
    <cellStyle name="资产 2 5 48 7" xfId="49383"/>
    <cellStyle name="资产 2 5 49" xfId="8643"/>
    <cellStyle name="资产 2 5 49 2" xfId="49384"/>
    <cellStyle name="资产 2 5 49 3" xfId="49385"/>
    <cellStyle name="资产 2 5 49 4" xfId="49386"/>
    <cellStyle name="资产 2 5 49 5" xfId="49387"/>
    <cellStyle name="资产 2 5 49 6" xfId="49388"/>
    <cellStyle name="资产 2 5 49 7" xfId="49389"/>
    <cellStyle name="资产 2 5 5" xfId="8644"/>
    <cellStyle name="资产 2 5 5 2" xfId="49390"/>
    <cellStyle name="资产 2 5 5 3" xfId="49391"/>
    <cellStyle name="资产 2 5 5 4" xfId="49392"/>
    <cellStyle name="资产 2 5 5 5" xfId="49393"/>
    <cellStyle name="资产 2 5 5 6" xfId="49394"/>
    <cellStyle name="资产 2 5 5 7" xfId="49395"/>
    <cellStyle name="资产 2 5 50" xfId="8645"/>
    <cellStyle name="资产 2 5 50 2" xfId="49396"/>
    <cellStyle name="资产 2 5 50 3" xfId="49397"/>
    <cellStyle name="资产 2 5 50 4" xfId="49398"/>
    <cellStyle name="资产 2 5 50 5" xfId="49399"/>
    <cellStyle name="资产 2 5 50 6" xfId="49400"/>
    <cellStyle name="资产 2 5 50 7" xfId="49401"/>
    <cellStyle name="资产 2 5 51" xfId="8646"/>
    <cellStyle name="资产 2 5 51 2" xfId="49402"/>
    <cellStyle name="资产 2 5 51 3" xfId="49403"/>
    <cellStyle name="资产 2 5 51 4" xfId="49404"/>
    <cellStyle name="资产 2 5 51 5" xfId="49405"/>
    <cellStyle name="资产 2 5 51 6" xfId="49406"/>
    <cellStyle name="资产 2 5 51 7" xfId="49407"/>
    <cellStyle name="资产 2 5 52" xfId="8647"/>
    <cellStyle name="资产 2 5 52 2" xfId="49408"/>
    <cellStyle name="资产 2 5 52 3" xfId="49409"/>
    <cellStyle name="资产 2 5 52 4" xfId="49410"/>
    <cellStyle name="资产 2 5 52 5" xfId="49411"/>
    <cellStyle name="资产 2 5 52 6" xfId="49412"/>
    <cellStyle name="资产 2 5 52 7" xfId="49413"/>
    <cellStyle name="资产 2 5 53" xfId="8648"/>
    <cellStyle name="资产 2 5 53 2" xfId="49414"/>
    <cellStyle name="资产 2 5 53 3" xfId="49415"/>
    <cellStyle name="资产 2 5 53 4" xfId="49416"/>
    <cellStyle name="资产 2 5 53 5" xfId="49417"/>
    <cellStyle name="资产 2 5 53 6" xfId="49418"/>
    <cellStyle name="资产 2 5 53 7" xfId="49419"/>
    <cellStyle name="资产 2 5 54" xfId="8649"/>
    <cellStyle name="资产 2 5 54 2" xfId="49420"/>
    <cellStyle name="资产 2 5 54 3" xfId="49421"/>
    <cellStyle name="资产 2 5 54 4" xfId="49422"/>
    <cellStyle name="资产 2 5 54 5" xfId="49423"/>
    <cellStyle name="资产 2 5 54 6" xfId="49424"/>
    <cellStyle name="资产 2 5 54 7" xfId="49425"/>
    <cellStyle name="资产 2 5 55" xfId="8650"/>
    <cellStyle name="资产 2 5 55 2" xfId="49426"/>
    <cellStyle name="资产 2 5 55 3" xfId="49427"/>
    <cellStyle name="资产 2 5 55 4" xfId="49428"/>
    <cellStyle name="资产 2 5 55 5" xfId="49429"/>
    <cellStyle name="资产 2 5 55 6" xfId="49430"/>
    <cellStyle name="资产 2 5 55 7" xfId="49431"/>
    <cellStyle name="资产 2 5 56" xfId="8651"/>
    <cellStyle name="资产 2 5 56 2" xfId="49432"/>
    <cellStyle name="资产 2 5 56 3" xfId="49433"/>
    <cellStyle name="资产 2 5 56 4" xfId="49434"/>
    <cellStyle name="资产 2 5 56 5" xfId="49435"/>
    <cellStyle name="资产 2 5 56 6" xfId="49436"/>
    <cellStyle name="资产 2 5 56 7" xfId="49437"/>
    <cellStyle name="资产 2 5 57" xfId="8652"/>
    <cellStyle name="资产 2 5 57 2" xfId="49438"/>
    <cellStyle name="资产 2 5 57 3" xfId="49439"/>
    <cellStyle name="资产 2 5 57 4" xfId="49440"/>
    <cellStyle name="资产 2 5 57 5" xfId="49441"/>
    <cellStyle name="资产 2 5 57 6" xfId="49442"/>
    <cellStyle name="资产 2 5 57 7" xfId="49443"/>
    <cellStyle name="资产 2 5 58" xfId="8653"/>
    <cellStyle name="资产 2 5 58 2" xfId="49444"/>
    <cellStyle name="资产 2 5 58 3" xfId="49445"/>
    <cellStyle name="资产 2 5 58 4" xfId="49446"/>
    <cellStyle name="资产 2 5 58 5" xfId="49447"/>
    <cellStyle name="资产 2 5 58 6" xfId="49448"/>
    <cellStyle name="资产 2 5 58 7" xfId="49449"/>
    <cellStyle name="资产 2 5 59" xfId="8654"/>
    <cellStyle name="资产 2 5 59 2" xfId="49450"/>
    <cellStyle name="资产 2 5 59 3" xfId="49451"/>
    <cellStyle name="资产 2 5 59 4" xfId="49452"/>
    <cellStyle name="资产 2 5 59 5" xfId="49453"/>
    <cellStyle name="资产 2 5 59 6" xfId="49454"/>
    <cellStyle name="资产 2 5 59 7" xfId="49455"/>
    <cellStyle name="资产 2 5 6" xfId="8655"/>
    <cellStyle name="资产 2 5 6 2" xfId="49456"/>
    <cellStyle name="资产 2 5 6 3" xfId="49457"/>
    <cellStyle name="资产 2 5 6 4" xfId="49458"/>
    <cellStyle name="资产 2 5 6 5" xfId="49459"/>
    <cellStyle name="资产 2 5 6 6" xfId="49460"/>
    <cellStyle name="资产 2 5 6 7" xfId="49461"/>
    <cellStyle name="资产 2 5 60" xfId="8656"/>
    <cellStyle name="资产 2 5 60 2" xfId="49462"/>
    <cellStyle name="资产 2 5 60 3" xfId="49463"/>
    <cellStyle name="资产 2 5 60 4" xfId="49464"/>
    <cellStyle name="资产 2 5 60 5" xfId="49465"/>
    <cellStyle name="资产 2 5 60 6" xfId="49466"/>
    <cellStyle name="资产 2 5 60 7" xfId="49467"/>
    <cellStyle name="资产 2 5 61" xfId="8657"/>
    <cellStyle name="资产 2 5 61 2" xfId="49468"/>
    <cellStyle name="资产 2 5 61 3" xfId="49469"/>
    <cellStyle name="资产 2 5 61 4" xfId="49470"/>
    <cellStyle name="资产 2 5 61 5" xfId="49471"/>
    <cellStyle name="资产 2 5 61 6" xfId="49472"/>
    <cellStyle name="资产 2 5 61 7" xfId="49473"/>
    <cellStyle name="资产 2 5 62" xfId="8658"/>
    <cellStyle name="资产 2 5 62 2" xfId="49474"/>
    <cellStyle name="资产 2 5 62 3" xfId="49475"/>
    <cellStyle name="资产 2 5 62 4" xfId="49476"/>
    <cellStyle name="资产 2 5 62 5" xfId="49477"/>
    <cellStyle name="资产 2 5 62 6" xfId="49478"/>
    <cellStyle name="资产 2 5 62 7" xfId="49479"/>
    <cellStyle name="资产 2 5 63" xfId="8659"/>
    <cellStyle name="资产 2 5 63 2" xfId="49480"/>
    <cellStyle name="资产 2 5 63 3" xfId="49481"/>
    <cellStyle name="资产 2 5 63 4" xfId="49482"/>
    <cellStyle name="资产 2 5 63 5" xfId="49483"/>
    <cellStyle name="资产 2 5 63 6" xfId="49484"/>
    <cellStyle name="资产 2 5 63 7" xfId="49485"/>
    <cellStyle name="资产 2 5 64" xfId="8660"/>
    <cellStyle name="资产 2 5 64 2" xfId="49486"/>
    <cellStyle name="资产 2 5 64 3" xfId="49487"/>
    <cellStyle name="资产 2 5 64 4" xfId="49488"/>
    <cellStyle name="资产 2 5 64 5" xfId="49489"/>
    <cellStyle name="资产 2 5 64 6" xfId="49490"/>
    <cellStyle name="资产 2 5 64 7" xfId="49491"/>
    <cellStyle name="资产 2 5 65" xfId="8661"/>
    <cellStyle name="资产 2 5 65 2" xfId="49492"/>
    <cellStyle name="资产 2 5 65 3" xfId="49493"/>
    <cellStyle name="资产 2 5 65 4" xfId="49494"/>
    <cellStyle name="资产 2 5 65 5" xfId="49495"/>
    <cellStyle name="资产 2 5 65 6" xfId="49496"/>
    <cellStyle name="资产 2 5 65 7" xfId="49497"/>
    <cellStyle name="资产 2 5 66" xfId="8662"/>
    <cellStyle name="资产 2 5 66 2" xfId="49498"/>
    <cellStyle name="资产 2 5 66 3" xfId="49499"/>
    <cellStyle name="资产 2 5 66 4" xfId="49500"/>
    <cellStyle name="资产 2 5 66 5" xfId="49501"/>
    <cellStyle name="资产 2 5 66 6" xfId="49502"/>
    <cellStyle name="资产 2 5 66 7" xfId="49503"/>
    <cellStyle name="资产 2 5 67" xfId="8663"/>
    <cellStyle name="资产 2 5 67 2" xfId="49504"/>
    <cellStyle name="资产 2 5 67 3" xfId="49505"/>
    <cellStyle name="资产 2 5 67 4" xfId="49506"/>
    <cellStyle name="资产 2 5 67 5" xfId="49507"/>
    <cellStyle name="资产 2 5 67 6" xfId="49508"/>
    <cellStyle name="资产 2 5 67 7" xfId="49509"/>
    <cellStyle name="资产 2 5 68" xfId="8664"/>
    <cellStyle name="资产 2 5 68 2" xfId="49510"/>
    <cellStyle name="资产 2 5 68 3" xfId="49511"/>
    <cellStyle name="资产 2 5 68 4" xfId="49512"/>
    <cellStyle name="资产 2 5 68 5" xfId="49513"/>
    <cellStyle name="资产 2 5 68 6" xfId="49514"/>
    <cellStyle name="资产 2 5 68 7" xfId="49515"/>
    <cellStyle name="资产 2 5 69" xfId="8665"/>
    <cellStyle name="资产 2 5 69 2" xfId="49516"/>
    <cellStyle name="资产 2 5 69 3" xfId="49517"/>
    <cellStyle name="资产 2 5 69 4" xfId="49518"/>
    <cellStyle name="资产 2 5 69 5" xfId="49519"/>
    <cellStyle name="资产 2 5 69 6" xfId="49520"/>
    <cellStyle name="资产 2 5 69 7" xfId="49521"/>
    <cellStyle name="资产 2 5 7" xfId="8666"/>
    <cellStyle name="资产 2 5 7 2" xfId="49522"/>
    <cellStyle name="资产 2 5 7 3" xfId="49523"/>
    <cellStyle name="资产 2 5 7 4" xfId="49524"/>
    <cellStyle name="资产 2 5 7 5" xfId="49525"/>
    <cellStyle name="资产 2 5 7 6" xfId="49526"/>
    <cellStyle name="资产 2 5 7 7" xfId="49527"/>
    <cellStyle name="资产 2 5 70" xfId="8667"/>
    <cellStyle name="资产 2 5 70 2" xfId="49528"/>
    <cellStyle name="资产 2 5 70 3" xfId="49529"/>
    <cellStyle name="资产 2 5 70 4" xfId="49530"/>
    <cellStyle name="资产 2 5 70 5" xfId="49531"/>
    <cellStyle name="资产 2 5 70 6" xfId="49532"/>
    <cellStyle name="资产 2 5 70 7" xfId="49533"/>
    <cellStyle name="资产 2 5 71" xfId="8668"/>
    <cellStyle name="资产 2 5 71 2" xfId="49534"/>
    <cellStyle name="资产 2 5 71 3" xfId="49535"/>
    <cellStyle name="资产 2 5 71 4" xfId="49536"/>
    <cellStyle name="资产 2 5 71 5" xfId="49537"/>
    <cellStyle name="资产 2 5 71 6" xfId="49538"/>
    <cellStyle name="资产 2 5 71 7" xfId="49539"/>
    <cellStyle name="资产 2 5 72" xfId="8669"/>
    <cellStyle name="资产 2 5 72 2" xfId="49540"/>
    <cellStyle name="资产 2 5 72 3" xfId="49541"/>
    <cellStyle name="资产 2 5 72 4" xfId="49542"/>
    <cellStyle name="资产 2 5 72 5" xfId="49543"/>
    <cellStyle name="资产 2 5 72 6" xfId="49544"/>
    <cellStyle name="资产 2 5 72 7" xfId="49545"/>
    <cellStyle name="资产 2 5 73" xfId="8670"/>
    <cellStyle name="资产 2 5 73 2" xfId="49546"/>
    <cellStyle name="资产 2 5 73 3" xfId="49547"/>
    <cellStyle name="资产 2 5 73 4" xfId="49548"/>
    <cellStyle name="资产 2 5 73 5" xfId="49549"/>
    <cellStyle name="资产 2 5 73 6" xfId="49550"/>
    <cellStyle name="资产 2 5 73 7" xfId="49551"/>
    <cellStyle name="资产 2 5 74" xfId="8671"/>
    <cellStyle name="资产 2 5 74 2" xfId="49552"/>
    <cellStyle name="资产 2 5 74 3" xfId="49553"/>
    <cellStyle name="资产 2 5 74 4" xfId="49554"/>
    <cellStyle name="资产 2 5 74 5" xfId="49555"/>
    <cellStyle name="资产 2 5 74 6" xfId="49556"/>
    <cellStyle name="资产 2 5 74 7" xfId="49557"/>
    <cellStyle name="资产 2 5 75" xfId="8672"/>
    <cellStyle name="资产 2 5 75 2" xfId="49558"/>
    <cellStyle name="资产 2 5 75 3" xfId="49559"/>
    <cellStyle name="资产 2 5 75 4" xfId="49560"/>
    <cellStyle name="资产 2 5 75 5" xfId="49561"/>
    <cellStyle name="资产 2 5 75 6" xfId="49562"/>
    <cellStyle name="资产 2 5 75 7" xfId="49563"/>
    <cellStyle name="资产 2 5 76" xfId="8673"/>
    <cellStyle name="资产 2 5 76 2" xfId="49564"/>
    <cellStyle name="资产 2 5 76 3" xfId="49565"/>
    <cellStyle name="资产 2 5 76 4" xfId="49566"/>
    <cellStyle name="资产 2 5 76 5" xfId="49567"/>
    <cellStyle name="资产 2 5 76 6" xfId="49568"/>
    <cellStyle name="资产 2 5 76 7" xfId="49569"/>
    <cellStyle name="资产 2 5 77" xfId="8674"/>
    <cellStyle name="资产 2 5 77 2" xfId="49570"/>
    <cellStyle name="资产 2 5 77 3" xfId="49571"/>
    <cellStyle name="资产 2 5 77 4" xfId="49572"/>
    <cellStyle name="资产 2 5 77 5" xfId="49573"/>
    <cellStyle name="资产 2 5 77 6" xfId="49574"/>
    <cellStyle name="资产 2 5 77 7" xfId="49575"/>
    <cellStyle name="资产 2 5 78" xfId="8675"/>
    <cellStyle name="资产 2 5 78 2" xfId="49576"/>
    <cellStyle name="资产 2 5 78 3" xfId="49577"/>
    <cellStyle name="资产 2 5 78 4" xfId="49578"/>
    <cellStyle name="资产 2 5 78 5" xfId="49579"/>
    <cellStyle name="资产 2 5 78 6" xfId="49580"/>
    <cellStyle name="资产 2 5 78 7" xfId="49581"/>
    <cellStyle name="资产 2 5 79" xfId="8676"/>
    <cellStyle name="资产 2 5 79 2" xfId="49582"/>
    <cellStyle name="资产 2 5 79 3" xfId="49583"/>
    <cellStyle name="资产 2 5 79 4" xfId="49584"/>
    <cellStyle name="资产 2 5 79 5" xfId="49585"/>
    <cellStyle name="资产 2 5 79 6" xfId="49586"/>
    <cellStyle name="资产 2 5 79 7" xfId="49587"/>
    <cellStyle name="资产 2 5 8" xfId="8677"/>
    <cellStyle name="资产 2 5 8 2" xfId="49588"/>
    <cellStyle name="资产 2 5 8 3" xfId="49589"/>
    <cellStyle name="资产 2 5 8 4" xfId="49590"/>
    <cellStyle name="资产 2 5 8 5" xfId="49591"/>
    <cellStyle name="资产 2 5 8 6" xfId="49592"/>
    <cellStyle name="资产 2 5 8 7" xfId="49593"/>
    <cellStyle name="资产 2 5 80" xfId="8678"/>
    <cellStyle name="资产 2 5 80 2" xfId="49594"/>
    <cellStyle name="资产 2 5 80 3" xfId="49595"/>
    <cellStyle name="资产 2 5 80 4" xfId="49596"/>
    <cellStyle name="资产 2 5 80 5" xfId="49597"/>
    <cellStyle name="资产 2 5 80 6" xfId="49598"/>
    <cellStyle name="资产 2 5 80 7" xfId="49599"/>
    <cellStyle name="资产 2 5 81" xfId="8679"/>
    <cellStyle name="资产 2 5 81 2" xfId="49600"/>
    <cellStyle name="资产 2 5 81 3" xfId="49601"/>
    <cellStyle name="资产 2 5 81 4" xfId="49602"/>
    <cellStyle name="资产 2 5 81 5" xfId="49603"/>
    <cellStyle name="资产 2 5 81 6" xfId="49604"/>
    <cellStyle name="资产 2 5 81 7" xfId="49605"/>
    <cellStyle name="资产 2 5 82" xfId="8680"/>
    <cellStyle name="资产 2 5 82 2" xfId="49606"/>
    <cellStyle name="资产 2 5 82 3" xfId="49607"/>
    <cellStyle name="资产 2 5 82 4" xfId="49608"/>
    <cellStyle name="资产 2 5 82 5" xfId="49609"/>
    <cellStyle name="资产 2 5 82 6" xfId="49610"/>
    <cellStyle name="资产 2 5 82 7" xfId="49611"/>
    <cellStyle name="资产 2 5 83" xfId="8681"/>
    <cellStyle name="资产 2 5 83 2" xfId="49612"/>
    <cellStyle name="资产 2 5 83 3" xfId="49613"/>
    <cellStyle name="资产 2 5 83 4" xfId="49614"/>
    <cellStyle name="资产 2 5 83 5" xfId="49615"/>
    <cellStyle name="资产 2 5 83 6" xfId="49616"/>
    <cellStyle name="资产 2 5 83 7" xfId="49617"/>
    <cellStyle name="资产 2 5 84" xfId="8682"/>
    <cellStyle name="资产 2 5 84 2" xfId="49618"/>
    <cellStyle name="资产 2 5 84 3" xfId="49619"/>
    <cellStyle name="资产 2 5 84 4" xfId="49620"/>
    <cellStyle name="资产 2 5 84 5" xfId="49621"/>
    <cellStyle name="资产 2 5 84 6" xfId="49622"/>
    <cellStyle name="资产 2 5 84 7" xfId="49623"/>
    <cellStyle name="资产 2 5 85" xfId="8683"/>
    <cellStyle name="资产 2 5 85 2" xfId="49624"/>
    <cellStyle name="资产 2 5 85 3" xfId="49625"/>
    <cellStyle name="资产 2 5 85 4" xfId="49626"/>
    <cellStyle name="资产 2 5 85 5" xfId="49627"/>
    <cellStyle name="资产 2 5 85 6" xfId="49628"/>
    <cellStyle name="资产 2 5 85 7" xfId="49629"/>
    <cellStyle name="资产 2 5 86" xfId="8684"/>
    <cellStyle name="资产 2 5 86 2" xfId="49630"/>
    <cellStyle name="资产 2 5 86 3" xfId="49631"/>
    <cellStyle name="资产 2 5 86 4" xfId="49632"/>
    <cellStyle name="资产 2 5 86 5" xfId="49633"/>
    <cellStyle name="资产 2 5 86 6" xfId="49634"/>
    <cellStyle name="资产 2 5 86 7" xfId="49635"/>
    <cellStyle name="资产 2 5 87" xfId="8685"/>
    <cellStyle name="资产 2 5 87 2" xfId="49636"/>
    <cellStyle name="资产 2 5 87 3" xfId="49637"/>
    <cellStyle name="资产 2 5 87 4" xfId="49638"/>
    <cellStyle name="资产 2 5 87 5" xfId="49639"/>
    <cellStyle name="资产 2 5 87 6" xfId="49640"/>
    <cellStyle name="资产 2 5 87 7" xfId="49641"/>
    <cellStyle name="资产 2 5 88" xfId="8686"/>
    <cellStyle name="资产 2 5 88 2" xfId="49642"/>
    <cellStyle name="资产 2 5 88 3" xfId="49643"/>
    <cellStyle name="资产 2 5 88 4" xfId="49644"/>
    <cellStyle name="资产 2 5 88 5" xfId="49645"/>
    <cellStyle name="资产 2 5 88 6" xfId="49646"/>
    <cellStyle name="资产 2 5 88 7" xfId="49647"/>
    <cellStyle name="资产 2 5 89" xfId="8687"/>
    <cellStyle name="资产 2 5 89 2" xfId="49648"/>
    <cellStyle name="资产 2 5 89 3" xfId="49649"/>
    <cellStyle name="资产 2 5 89 4" xfId="49650"/>
    <cellStyle name="资产 2 5 89 5" xfId="49651"/>
    <cellStyle name="资产 2 5 89 6" xfId="49652"/>
    <cellStyle name="资产 2 5 89 7" xfId="49653"/>
    <cellStyle name="资产 2 5 9" xfId="8688"/>
    <cellStyle name="资产 2 5 9 2" xfId="49654"/>
    <cellStyle name="资产 2 5 9 3" xfId="49655"/>
    <cellStyle name="资产 2 5 9 4" xfId="49656"/>
    <cellStyle name="资产 2 5 9 5" xfId="49657"/>
    <cellStyle name="资产 2 5 9 6" xfId="49658"/>
    <cellStyle name="资产 2 5 9 7" xfId="49659"/>
    <cellStyle name="资产 2 5 90" xfId="8689"/>
    <cellStyle name="资产 2 5 90 2" xfId="49660"/>
    <cellStyle name="资产 2 5 90 3" xfId="49661"/>
    <cellStyle name="资产 2 5 90 4" xfId="49662"/>
    <cellStyle name="资产 2 5 90 5" xfId="49663"/>
    <cellStyle name="资产 2 5 90 6" xfId="49664"/>
    <cellStyle name="资产 2 5 90 7" xfId="49665"/>
    <cellStyle name="资产 2 5 91" xfId="8690"/>
    <cellStyle name="资产 2 5 91 2" xfId="49666"/>
    <cellStyle name="资产 2 5 91 3" xfId="49667"/>
    <cellStyle name="资产 2 5 91 4" xfId="49668"/>
    <cellStyle name="资产 2 5 91 5" xfId="49669"/>
    <cellStyle name="资产 2 5 91 6" xfId="49670"/>
    <cellStyle name="资产 2 5 91 7" xfId="49671"/>
    <cellStyle name="资产 2 5 92" xfId="8691"/>
    <cellStyle name="资产 2 5 92 2" xfId="49672"/>
    <cellStyle name="资产 2 5 92 3" xfId="49673"/>
    <cellStyle name="资产 2 5 92 4" xfId="49674"/>
    <cellStyle name="资产 2 5 92 5" xfId="49675"/>
    <cellStyle name="资产 2 5 92 6" xfId="49676"/>
    <cellStyle name="资产 2 5 92 7" xfId="49677"/>
    <cellStyle name="资产 2 5 93" xfId="8692"/>
    <cellStyle name="资产 2 5 93 2" xfId="49678"/>
    <cellStyle name="资产 2 5 93 3" xfId="49679"/>
    <cellStyle name="资产 2 5 93 4" xfId="49680"/>
    <cellStyle name="资产 2 5 93 5" xfId="49681"/>
    <cellStyle name="资产 2 5 93 6" xfId="49682"/>
    <cellStyle name="资产 2 5 94" xfId="49683"/>
    <cellStyle name="资产 2 5 95" xfId="49684"/>
    <cellStyle name="资产 2 5 96" xfId="49685"/>
    <cellStyle name="资产 2 5 97" xfId="49686"/>
    <cellStyle name="资产 2 5 98" xfId="49687"/>
    <cellStyle name="资产 2 5 99" xfId="49688"/>
    <cellStyle name="资产 2 50" xfId="8693"/>
    <cellStyle name="资产 2 50 2" xfId="49689"/>
    <cellStyle name="资产 2 50 3" xfId="49690"/>
    <cellStyle name="资产 2 50 4" xfId="49691"/>
    <cellStyle name="资产 2 50 5" xfId="49692"/>
    <cellStyle name="资产 2 50 6" xfId="49693"/>
    <cellStyle name="资产 2 50 7" xfId="49694"/>
    <cellStyle name="资产 2 51" xfId="8694"/>
    <cellStyle name="资产 2 51 2" xfId="49695"/>
    <cellStyle name="资产 2 51 3" xfId="49696"/>
    <cellStyle name="资产 2 51 4" xfId="49697"/>
    <cellStyle name="资产 2 51 5" xfId="49698"/>
    <cellStyle name="资产 2 51 6" xfId="49699"/>
    <cellStyle name="资产 2 51 7" xfId="49700"/>
    <cellStyle name="资产 2 52" xfId="8695"/>
    <cellStyle name="资产 2 52 2" xfId="49701"/>
    <cellStyle name="资产 2 52 3" xfId="49702"/>
    <cellStyle name="资产 2 52 4" xfId="49703"/>
    <cellStyle name="资产 2 52 5" xfId="49704"/>
    <cellStyle name="资产 2 52 6" xfId="49705"/>
    <cellStyle name="资产 2 52 7" xfId="49706"/>
    <cellStyle name="资产 2 53" xfId="8696"/>
    <cellStyle name="资产 2 53 2" xfId="49707"/>
    <cellStyle name="资产 2 53 3" xfId="49708"/>
    <cellStyle name="资产 2 53 4" xfId="49709"/>
    <cellStyle name="资产 2 53 5" xfId="49710"/>
    <cellStyle name="资产 2 53 6" xfId="49711"/>
    <cellStyle name="资产 2 53 7" xfId="49712"/>
    <cellStyle name="资产 2 54" xfId="8697"/>
    <cellStyle name="资产 2 54 2" xfId="49713"/>
    <cellStyle name="资产 2 54 3" xfId="49714"/>
    <cellStyle name="资产 2 54 4" xfId="49715"/>
    <cellStyle name="资产 2 54 5" xfId="49716"/>
    <cellStyle name="资产 2 54 6" xfId="49717"/>
    <cellStyle name="资产 2 54 7" xfId="49718"/>
    <cellStyle name="资产 2 55" xfId="8698"/>
    <cellStyle name="资产 2 55 2" xfId="49719"/>
    <cellStyle name="资产 2 55 3" xfId="49720"/>
    <cellStyle name="资产 2 55 4" xfId="49721"/>
    <cellStyle name="资产 2 55 5" xfId="49722"/>
    <cellStyle name="资产 2 55 6" xfId="49723"/>
    <cellStyle name="资产 2 55 7" xfId="49724"/>
    <cellStyle name="资产 2 56" xfId="8699"/>
    <cellStyle name="资产 2 56 2" xfId="49725"/>
    <cellStyle name="资产 2 56 3" xfId="49726"/>
    <cellStyle name="资产 2 56 4" xfId="49727"/>
    <cellStyle name="资产 2 56 5" xfId="49728"/>
    <cellStyle name="资产 2 56 6" xfId="49729"/>
    <cellStyle name="资产 2 56 7" xfId="49730"/>
    <cellStyle name="资产 2 57" xfId="8700"/>
    <cellStyle name="资产 2 57 2" xfId="49731"/>
    <cellStyle name="资产 2 57 3" xfId="49732"/>
    <cellStyle name="资产 2 57 4" xfId="49733"/>
    <cellStyle name="资产 2 57 5" xfId="49734"/>
    <cellStyle name="资产 2 57 6" xfId="49735"/>
    <cellStyle name="资产 2 57 7" xfId="49736"/>
    <cellStyle name="资产 2 58" xfId="8701"/>
    <cellStyle name="资产 2 58 2" xfId="49737"/>
    <cellStyle name="资产 2 58 3" xfId="49738"/>
    <cellStyle name="资产 2 58 4" xfId="49739"/>
    <cellStyle name="资产 2 58 5" xfId="49740"/>
    <cellStyle name="资产 2 58 6" xfId="49741"/>
    <cellStyle name="资产 2 58 7" xfId="49742"/>
    <cellStyle name="资产 2 59" xfId="8702"/>
    <cellStyle name="资产 2 59 2" xfId="49743"/>
    <cellStyle name="资产 2 59 3" xfId="49744"/>
    <cellStyle name="资产 2 59 4" xfId="49745"/>
    <cellStyle name="资产 2 59 5" xfId="49746"/>
    <cellStyle name="资产 2 59 6" xfId="49747"/>
    <cellStyle name="资产 2 59 7" xfId="49748"/>
    <cellStyle name="资产 2 6" xfId="8703"/>
    <cellStyle name="资产 2 6 10" xfId="49749"/>
    <cellStyle name="资产 2 6 11" xfId="49750"/>
    <cellStyle name="资产 2 6 2" xfId="49751"/>
    <cellStyle name="资产 2 6 3" xfId="49752"/>
    <cellStyle name="资产 2 6 4" xfId="49753"/>
    <cellStyle name="资产 2 6 5" xfId="49754"/>
    <cellStyle name="资产 2 6 6" xfId="49755"/>
    <cellStyle name="资产 2 6 7" xfId="49756"/>
    <cellStyle name="资产 2 6 8" xfId="49757"/>
    <cellStyle name="资产 2 6 9" xfId="49758"/>
    <cellStyle name="资产 2 60" xfId="8704"/>
    <cellStyle name="资产 2 60 2" xfId="49759"/>
    <cellStyle name="资产 2 60 3" xfId="49760"/>
    <cellStyle name="资产 2 60 4" xfId="49761"/>
    <cellStyle name="资产 2 60 5" xfId="49762"/>
    <cellStyle name="资产 2 60 6" xfId="49763"/>
    <cellStyle name="资产 2 60 7" xfId="49764"/>
    <cellStyle name="资产 2 61" xfId="8705"/>
    <cellStyle name="资产 2 61 2" xfId="49765"/>
    <cellStyle name="资产 2 61 3" xfId="49766"/>
    <cellStyle name="资产 2 61 4" xfId="49767"/>
    <cellStyle name="资产 2 61 5" xfId="49768"/>
    <cellStyle name="资产 2 61 6" xfId="49769"/>
    <cellStyle name="资产 2 61 7" xfId="49770"/>
    <cellStyle name="资产 2 62" xfId="8706"/>
    <cellStyle name="资产 2 62 2" xfId="49771"/>
    <cellStyle name="资产 2 62 3" xfId="49772"/>
    <cellStyle name="资产 2 62 4" xfId="49773"/>
    <cellStyle name="资产 2 62 5" xfId="49774"/>
    <cellStyle name="资产 2 62 6" xfId="49775"/>
    <cellStyle name="资产 2 62 7" xfId="49776"/>
    <cellStyle name="资产 2 63" xfId="8707"/>
    <cellStyle name="资产 2 63 2" xfId="49777"/>
    <cellStyle name="资产 2 63 3" xfId="49778"/>
    <cellStyle name="资产 2 63 4" xfId="49779"/>
    <cellStyle name="资产 2 63 5" xfId="49780"/>
    <cellStyle name="资产 2 63 6" xfId="49781"/>
    <cellStyle name="资产 2 63 7" xfId="49782"/>
    <cellStyle name="资产 2 64" xfId="8708"/>
    <cellStyle name="资产 2 64 2" xfId="49783"/>
    <cellStyle name="资产 2 64 3" xfId="49784"/>
    <cellStyle name="资产 2 64 4" xfId="49785"/>
    <cellStyle name="资产 2 64 5" xfId="49786"/>
    <cellStyle name="资产 2 64 6" xfId="49787"/>
    <cellStyle name="资产 2 64 7" xfId="49788"/>
    <cellStyle name="资产 2 65" xfId="8709"/>
    <cellStyle name="资产 2 65 2" xfId="49789"/>
    <cellStyle name="资产 2 65 3" xfId="49790"/>
    <cellStyle name="资产 2 65 4" xfId="49791"/>
    <cellStyle name="资产 2 65 5" xfId="49792"/>
    <cellStyle name="资产 2 65 6" xfId="49793"/>
    <cellStyle name="资产 2 65 7" xfId="49794"/>
    <cellStyle name="资产 2 66" xfId="8710"/>
    <cellStyle name="资产 2 66 2" xfId="49795"/>
    <cellStyle name="资产 2 66 3" xfId="49796"/>
    <cellStyle name="资产 2 66 4" xfId="49797"/>
    <cellStyle name="资产 2 66 5" xfId="49798"/>
    <cellStyle name="资产 2 66 6" xfId="49799"/>
    <cellStyle name="资产 2 66 7" xfId="49800"/>
    <cellStyle name="资产 2 67" xfId="8711"/>
    <cellStyle name="资产 2 67 2" xfId="49801"/>
    <cellStyle name="资产 2 67 3" xfId="49802"/>
    <cellStyle name="资产 2 67 4" xfId="49803"/>
    <cellStyle name="资产 2 67 5" xfId="49804"/>
    <cellStyle name="资产 2 67 6" xfId="49805"/>
    <cellStyle name="资产 2 67 7" xfId="49806"/>
    <cellStyle name="资产 2 68" xfId="8712"/>
    <cellStyle name="资产 2 68 2" xfId="49807"/>
    <cellStyle name="资产 2 68 3" xfId="49808"/>
    <cellStyle name="资产 2 68 4" xfId="49809"/>
    <cellStyle name="资产 2 68 5" xfId="49810"/>
    <cellStyle name="资产 2 68 6" xfId="49811"/>
    <cellStyle name="资产 2 68 7" xfId="49812"/>
    <cellStyle name="资产 2 69" xfId="8713"/>
    <cellStyle name="资产 2 69 2" xfId="49813"/>
    <cellStyle name="资产 2 69 3" xfId="49814"/>
    <cellStyle name="资产 2 69 4" xfId="49815"/>
    <cellStyle name="资产 2 69 5" xfId="49816"/>
    <cellStyle name="资产 2 69 6" xfId="49817"/>
    <cellStyle name="资产 2 69 7" xfId="49818"/>
    <cellStyle name="资产 2 7" xfId="8714"/>
    <cellStyle name="资产 2 7 10" xfId="49819"/>
    <cellStyle name="资产 2 7 11" xfId="49820"/>
    <cellStyle name="资产 2 7 2" xfId="49821"/>
    <cellStyle name="资产 2 7 3" xfId="49822"/>
    <cellStyle name="资产 2 7 4" xfId="49823"/>
    <cellStyle name="资产 2 7 5" xfId="49824"/>
    <cellStyle name="资产 2 7 6" xfId="49825"/>
    <cellStyle name="资产 2 7 7" xfId="49826"/>
    <cellStyle name="资产 2 7 8" xfId="49827"/>
    <cellStyle name="资产 2 7 9" xfId="49828"/>
    <cellStyle name="资产 2 70" xfId="8715"/>
    <cellStyle name="资产 2 70 2" xfId="49829"/>
    <cellStyle name="资产 2 70 3" xfId="49830"/>
    <cellStyle name="资产 2 70 4" xfId="49831"/>
    <cellStyle name="资产 2 70 5" xfId="49832"/>
    <cellStyle name="资产 2 70 6" xfId="49833"/>
    <cellStyle name="资产 2 70 7" xfId="49834"/>
    <cellStyle name="资产 2 71" xfId="8716"/>
    <cellStyle name="资产 2 71 2" xfId="49835"/>
    <cellStyle name="资产 2 71 3" xfId="49836"/>
    <cellStyle name="资产 2 71 4" xfId="49837"/>
    <cellStyle name="资产 2 71 5" xfId="49838"/>
    <cellStyle name="资产 2 71 6" xfId="49839"/>
    <cellStyle name="资产 2 71 7" xfId="49840"/>
    <cellStyle name="资产 2 72" xfId="8717"/>
    <cellStyle name="资产 2 72 2" xfId="49841"/>
    <cellStyle name="资产 2 72 3" xfId="49842"/>
    <cellStyle name="资产 2 72 4" xfId="49843"/>
    <cellStyle name="资产 2 72 5" xfId="49844"/>
    <cellStyle name="资产 2 72 6" xfId="49845"/>
    <cellStyle name="资产 2 72 7" xfId="49846"/>
    <cellStyle name="资产 2 73" xfId="8718"/>
    <cellStyle name="资产 2 73 2" xfId="49847"/>
    <cellStyle name="资产 2 73 3" xfId="49848"/>
    <cellStyle name="资产 2 73 4" xfId="49849"/>
    <cellStyle name="资产 2 73 5" xfId="49850"/>
    <cellStyle name="资产 2 73 6" xfId="49851"/>
    <cellStyle name="资产 2 73 7" xfId="49852"/>
    <cellStyle name="资产 2 74" xfId="8719"/>
    <cellStyle name="资产 2 74 2" xfId="49853"/>
    <cellStyle name="资产 2 74 3" xfId="49854"/>
    <cellStyle name="资产 2 74 4" xfId="49855"/>
    <cellStyle name="资产 2 74 5" xfId="49856"/>
    <cellStyle name="资产 2 74 6" xfId="49857"/>
    <cellStyle name="资产 2 74 7" xfId="49858"/>
    <cellStyle name="资产 2 75" xfId="8720"/>
    <cellStyle name="资产 2 75 2" xfId="49859"/>
    <cellStyle name="资产 2 75 3" xfId="49860"/>
    <cellStyle name="资产 2 75 4" xfId="49861"/>
    <cellStyle name="资产 2 75 5" xfId="49862"/>
    <cellStyle name="资产 2 75 6" xfId="49863"/>
    <cellStyle name="资产 2 75 7" xfId="49864"/>
    <cellStyle name="资产 2 76" xfId="8721"/>
    <cellStyle name="资产 2 76 2" xfId="49865"/>
    <cellStyle name="资产 2 76 3" xfId="49866"/>
    <cellStyle name="资产 2 76 4" xfId="49867"/>
    <cellStyle name="资产 2 76 5" xfId="49868"/>
    <cellStyle name="资产 2 76 6" xfId="49869"/>
    <cellStyle name="资产 2 76 7" xfId="49870"/>
    <cellStyle name="资产 2 77" xfId="8722"/>
    <cellStyle name="资产 2 77 2" xfId="49871"/>
    <cellStyle name="资产 2 77 3" xfId="49872"/>
    <cellStyle name="资产 2 77 4" xfId="49873"/>
    <cellStyle name="资产 2 77 5" xfId="49874"/>
    <cellStyle name="资产 2 77 6" xfId="49875"/>
    <cellStyle name="资产 2 77 7" xfId="49876"/>
    <cellStyle name="资产 2 78" xfId="8723"/>
    <cellStyle name="资产 2 78 2" xfId="49877"/>
    <cellStyle name="资产 2 78 3" xfId="49878"/>
    <cellStyle name="资产 2 78 4" xfId="49879"/>
    <cellStyle name="资产 2 78 5" xfId="49880"/>
    <cellStyle name="资产 2 78 6" xfId="49881"/>
    <cellStyle name="资产 2 78 7" xfId="49882"/>
    <cellStyle name="资产 2 79" xfId="8724"/>
    <cellStyle name="资产 2 79 2" xfId="49883"/>
    <cellStyle name="资产 2 79 3" xfId="49884"/>
    <cellStyle name="资产 2 79 4" xfId="49885"/>
    <cellStyle name="资产 2 79 5" xfId="49886"/>
    <cellStyle name="资产 2 79 6" xfId="49887"/>
    <cellStyle name="资产 2 79 7" xfId="49888"/>
    <cellStyle name="资产 2 8" xfId="8725"/>
    <cellStyle name="资产 2 8 10" xfId="49889"/>
    <cellStyle name="资产 2 8 11" xfId="49890"/>
    <cellStyle name="资产 2 8 2" xfId="49891"/>
    <cellStyle name="资产 2 8 3" xfId="49892"/>
    <cellStyle name="资产 2 8 4" xfId="49893"/>
    <cellStyle name="资产 2 8 5" xfId="49894"/>
    <cellStyle name="资产 2 8 6" xfId="49895"/>
    <cellStyle name="资产 2 8 7" xfId="49896"/>
    <cellStyle name="资产 2 8 8" xfId="49897"/>
    <cellStyle name="资产 2 8 9" xfId="49898"/>
    <cellStyle name="资产 2 80" xfId="8726"/>
    <cellStyle name="资产 2 80 2" xfId="49899"/>
    <cellStyle name="资产 2 80 3" xfId="49900"/>
    <cellStyle name="资产 2 80 4" xfId="49901"/>
    <cellStyle name="资产 2 80 5" xfId="49902"/>
    <cellStyle name="资产 2 80 6" xfId="49903"/>
    <cellStyle name="资产 2 80 7" xfId="49904"/>
    <cellStyle name="资产 2 81" xfId="8727"/>
    <cellStyle name="资产 2 81 2" xfId="49905"/>
    <cellStyle name="资产 2 81 3" xfId="49906"/>
    <cellStyle name="资产 2 81 4" xfId="49907"/>
    <cellStyle name="资产 2 81 5" xfId="49908"/>
    <cellStyle name="资产 2 81 6" xfId="49909"/>
    <cellStyle name="资产 2 81 7" xfId="49910"/>
    <cellStyle name="资产 2 82" xfId="8728"/>
    <cellStyle name="资产 2 82 2" xfId="49911"/>
    <cellStyle name="资产 2 82 3" xfId="49912"/>
    <cellStyle name="资产 2 82 4" xfId="49913"/>
    <cellStyle name="资产 2 82 5" xfId="49914"/>
    <cellStyle name="资产 2 82 6" xfId="49915"/>
    <cellStyle name="资产 2 82 7" xfId="49916"/>
    <cellStyle name="资产 2 83" xfId="8729"/>
    <cellStyle name="资产 2 83 2" xfId="49917"/>
    <cellStyle name="资产 2 83 3" xfId="49918"/>
    <cellStyle name="资产 2 83 4" xfId="49919"/>
    <cellStyle name="资产 2 83 5" xfId="49920"/>
    <cellStyle name="资产 2 83 6" xfId="49921"/>
    <cellStyle name="资产 2 83 7" xfId="49922"/>
    <cellStyle name="资产 2 84" xfId="8730"/>
    <cellStyle name="资产 2 84 2" xfId="49923"/>
    <cellStyle name="资产 2 84 3" xfId="49924"/>
    <cellStyle name="资产 2 84 4" xfId="49925"/>
    <cellStyle name="资产 2 84 5" xfId="49926"/>
    <cellStyle name="资产 2 84 6" xfId="49927"/>
    <cellStyle name="资产 2 84 7" xfId="49928"/>
    <cellStyle name="资产 2 85" xfId="8731"/>
    <cellStyle name="资产 2 85 2" xfId="49929"/>
    <cellStyle name="资产 2 85 3" xfId="49930"/>
    <cellStyle name="资产 2 85 4" xfId="49931"/>
    <cellStyle name="资产 2 85 5" xfId="49932"/>
    <cellStyle name="资产 2 85 6" xfId="49933"/>
    <cellStyle name="资产 2 85 7" xfId="49934"/>
    <cellStyle name="资产 2 86" xfId="8732"/>
    <cellStyle name="资产 2 86 2" xfId="49935"/>
    <cellStyle name="资产 2 86 3" xfId="49936"/>
    <cellStyle name="资产 2 86 4" xfId="49937"/>
    <cellStyle name="资产 2 86 5" xfId="49938"/>
    <cellStyle name="资产 2 86 6" xfId="49939"/>
    <cellStyle name="资产 2 86 7" xfId="49940"/>
    <cellStyle name="资产 2 87" xfId="8733"/>
    <cellStyle name="资产 2 87 2" xfId="49941"/>
    <cellStyle name="资产 2 87 3" xfId="49942"/>
    <cellStyle name="资产 2 87 4" xfId="49943"/>
    <cellStyle name="资产 2 87 5" xfId="49944"/>
    <cellStyle name="资产 2 87 6" xfId="49945"/>
    <cellStyle name="资产 2 87 7" xfId="49946"/>
    <cellStyle name="资产 2 88" xfId="8734"/>
    <cellStyle name="资产 2 88 2" xfId="49947"/>
    <cellStyle name="资产 2 88 3" xfId="49948"/>
    <cellStyle name="资产 2 88 4" xfId="49949"/>
    <cellStyle name="资产 2 88 5" xfId="49950"/>
    <cellStyle name="资产 2 88 6" xfId="49951"/>
    <cellStyle name="资产 2 88 7" xfId="49952"/>
    <cellStyle name="资产 2 89" xfId="8735"/>
    <cellStyle name="资产 2 89 2" xfId="49953"/>
    <cellStyle name="资产 2 89 3" xfId="49954"/>
    <cellStyle name="资产 2 89 4" xfId="49955"/>
    <cellStyle name="资产 2 89 5" xfId="49956"/>
    <cellStyle name="资产 2 89 6" xfId="49957"/>
    <cellStyle name="资产 2 89 7" xfId="49958"/>
    <cellStyle name="资产 2 9" xfId="8736"/>
    <cellStyle name="资产 2 9 10" xfId="49959"/>
    <cellStyle name="资产 2 9 2" xfId="49960"/>
    <cellStyle name="资产 2 9 3" xfId="49961"/>
    <cellStyle name="资产 2 9 4" xfId="49962"/>
    <cellStyle name="资产 2 9 5" xfId="49963"/>
    <cellStyle name="资产 2 9 6" xfId="49964"/>
    <cellStyle name="资产 2 9 7" xfId="49965"/>
    <cellStyle name="资产 2 9 8" xfId="49966"/>
    <cellStyle name="资产 2 9 9" xfId="49967"/>
    <cellStyle name="资产 2 90" xfId="8737"/>
    <cellStyle name="资产 2 90 2" xfId="49968"/>
    <cellStyle name="资产 2 90 3" xfId="49969"/>
    <cellStyle name="资产 2 90 4" xfId="49970"/>
    <cellStyle name="资产 2 90 5" xfId="49971"/>
    <cellStyle name="资产 2 90 6" xfId="49972"/>
    <cellStyle name="资产 2 90 7" xfId="49973"/>
    <cellStyle name="资产 2 91" xfId="8738"/>
    <cellStyle name="资产 2 91 2" xfId="49974"/>
    <cellStyle name="资产 2 91 3" xfId="49975"/>
    <cellStyle name="资产 2 91 4" xfId="49976"/>
    <cellStyle name="资产 2 91 5" xfId="49977"/>
    <cellStyle name="资产 2 91 6" xfId="49978"/>
    <cellStyle name="资产 2 91 7" xfId="49979"/>
    <cellStyle name="资产 2 92" xfId="8739"/>
    <cellStyle name="资产 2 92 2" xfId="49980"/>
    <cellStyle name="资产 2 92 3" xfId="49981"/>
    <cellStyle name="资产 2 92 4" xfId="49982"/>
    <cellStyle name="资产 2 92 5" xfId="49983"/>
    <cellStyle name="资产 2 92 6" xfId="49984"/>
    <cellStyle name="资产 2 92 7" xfId="49985"/>
    <cellStyle name="资产 2 93" xfId="12016"/>
    <cellStyle name="资产 2 94" xfId="49986"/>
    <cellStyle name="资产 2 95" xfId="49987"/>
    <cellStyle name="资产 2 96" xfId="49988"/>
    <cellStyle name="资产 2 97" xfId="49989"/>
    <cellStyle name="资产 2 98" xfId="49990"/>
    <cellStyle name="资产 2 99" xfId="49991"/>
    <cellStyle name="资产 2_Cashflow trend" xfId="3251"/>
    <cellStyle name="资产 20" xfId="8740"/>
    <cellStyle name="资产 20 2" xfId="49992"/>
    <cellStyle name="资产 20 3" xfId="49993"/>
    <cellStyle name="资产 20 4" xfId="49994"/>
    <cellStyle name="资产 20 5" xfId="49995"/>
    <cellStyle name="资产 20 6" xfId="49996"/>
    <cellStyle name="资产 20 7" xfId="49997"/>
    <cellStyle name="资产 21" xfId="8741"/>
    <cellStyle name="资产 21 2" xfId="49998"/>
    <cellStyle name="资产 21 3" xfId="49999"/>
    <cellStyle name="资产 21 4" xfId="50000"/>
    <cellStyle name="资产 21 5" xfId="50001"/>
    <cellStyle name="资产 21 6" xfId="50002"/>
    <cellStyle name="资产 21 7" xfId="50003"/>
    <cellStyle name="资产 22" xfId="8742"/>
    <cellStyle name="资产 22 2" xfId="50004"/>
    <cellStyle name="资产 22 3" xfId="50005"/>
    <cellStyle name="资产 22 4" xfId="50006"/>
    <cellStyle name="资产 22 5" xfId="50007"/>
    <cellStyle name="资产 22 6" xfId="50008"/>
    <cellStyle name="资产 22 7" xfId="50009"/>
    <cellStyle name="资产 23" xfId="8743"/>
    <cellStyle name="资产 23 2" xfId="50010"/>
    <cellStyle name="资产 23 3" xfId="50011"/>
    <cellStyle name="资产 23 4" xfId="50012"/>
    <cellStyle name="资产 23 5" xfId="50013"/>
    <cellStyle name="资产 23 6" xfId="50014"/>
    <cellStyle name="资产 23 7" xfId="50015"/>
    <cellStyle name="资产 24" xfId="8744"/>
    <cellStyle name="资产 24 2" xfId="50016"/>
    <cellStyle name="资产 24 3" xfId="50017"/>
    <cellStyle name="资产 24 4" xfId="50018"/>
    <cellStyle name="资产 24 5" xfId="50019"/>
    <cellStyle name="资产 24 6" xfId="50020"/>
    <cellStyle name="资产 24 7" xfId="50021"/>
    <cellStyle name="资产 25" xfId="8745"/>
    <cellStyle name="资产 25 2" xfId="50022"/>
    <cellStyle name="资产 25 3" xfId="50023"/>
    <cellStyle name="资产 25 4" xfId="50024"/>
    <cellStyle name="资产 25 5" xfId="50025"/>
    <cellStyle name="资产 25 6" xfId="50026"/>
    <cellStyle name="资产 25 7" xfId="50027"/>
    <cellStyle name="资产 26" xfId="8746"/>
    <cellStyle name="资产 26 2" xfId="50028"/>
    <cellStyle name="资产 26 3" xfId="50029"/>
    <cellStyle name="资产 26 4" xfId="50030"/>
    <cellStyle name="资产 26 5" xfId="50031"/>
    <cellStyle name="资产 26 6" xfId="50032"/>
    <cellStyle name="资产 26 7" xfId="50033"/>
    <cellStyle name="资产 27" xfId="8747"/>
    <cellStyle name="资产 27 2" xfId="50034"/>
    <cellStyle name="资产 27 3" xfId="50035"/>
    <cellStyle name="资产 27 4" xfId="50036"/>
    <cellStyle name="资产 27 5" xfId="50037"/>
    <cellStyle name="资产 27 6" xfId="50038"/>
    <cellStyle name="资产 27 7" xfId="50039"/>
    <cellStyle name="资产 28" xfId="8748"/>
    <cellStyle name="资产 28 2" xfId="50040"/>
    <cellStyle name="资产 28 3" xfId="50041"/>
    <cellStyle name="资产 28 4" xfId="50042"/>
    <cellStyle name="资产 28 5" xfId="50043"/>
    <cellStyle name="资产 28 6" xfId="50044"/>
    <cellStyle name="资产 28 7" xfId="50045"/>
    <cellStyle name="资产 29" xfId="8749"/>
    <cellStyle name="资产 29 2" xfId="50046"/>
    <cellStyle name="资产 29 3" xfId="50047"/>
    <cellStyle name="资产 29 4" xfId="50048"/>
    <cellStyle name="资产 29 5" xfId="50049"/>
    <cellStyle name="资产 29 6" xfId="50050"/>
    <cellStyle name="资产 29 7" xfId="50051"/>
    <cellStyle name="资产 3" xfId="8750"/>
    <cellStyle name="资产 3 10" xfId="8751"/>
    <cellStyle name="资产 3 10 2" xfId="50052"/>
    <cellStyle name="资产 3 10 3" xfId="50053"/>
    <cellStyle name="资产 3 10 4" xfId="50054"/>
    <cellStyle name="资产 3 10 5" xfId="50055"/>
    <cellStyle name="资产 3 10 6" xfId="50056"/>
    <cellStyle name="资产 3 10 7" xfId="50057"/>
    <cellStyle name="资产 3 100" xfId="50058"/>
    <cellStyle name="资产 3 101" xfId="50059"/>
    <cellStyle name="资产 3 102" xfId="50060"/>
    <cellStyle name="资产 3 11" xfId="8752"/>
    <cellStyle name="资产 3 11 2" xfId="50061"/>
    <cellStyle name="资产 3 11 3" xfId="50062"/>
    <cellStyle name="资产 3 11 4" xfId="50063"/>
    <cellStyle name="资产 3 11 5" xfId="50064"/>
    <cellStyle name="资产 3 11 6" xfId="50065"/>
    <cellStyle name="资产 3 11 7" xfId="50066"/>
    <cellStyle name="资产 3 12" xfId="8753"/>
    <cellStyle name="资产 3 12 2" xfId="50067"/>
    <cellStyle name="资产 3 12 3" xfId="50068"/>
    <cellStyle name="资产 3 12 4" xfId="50069"/>
    <cellStyle name="资产 3 12 5" xfId="50070"/>
    <cellStyle name="资产 3 12 6" xfId="50071"/>
    <cellStyle name="资产 3 12 7" xfId="50072"/>
    <cellStyle name="资产 3 13" xfId="8754"/>
    <cellStyle name="资产 3 13 2" xfId="50073"/>
    <cellStyle name="资产 3 13 3" xfId="50074"/>
    <cellStyle name="资产 3 13 4" xfId="50075"/>
    <cellStyle name="资产 3 13 5" xfId="50076"/>
    <cellStyle name="资产 3 13 6" xfId="50077"/>
    <cellStyle name="资产 3 13 7" xfId="50078"/>
    <cellStyle name="资产 3 14" xfId="8755"/>
    <cellStyle name="资产 3 14 2" xfId="50079"/>
    <cellStyle name="资产 3 14 3" xfId="50080"/>
    <cellStyle name="资产 3 14 4" xfId="50081"/>
    <cellStyle name="资产 3 14 5" xfId="50082"/>
    <cellStyle name="资产 3 14 6" xfId="50083"/>
    <cellStyle name="资产 3 14 7" xfId="50084"/>
    <cellStyle name="资产 3 15" xfId="8756"/>
    <cellStyle name="资产 3 15 2" xfId="50085"/>
    <cellStyle name="资产 3 15 3" xfId="50086"/>
    <cellStyle name="资产 3 15 4" xfId="50087"/>
    <cellStyle name="资产 3 15 5" xfId="50088"/>
    <cellStyle name="资产 3 15 6" xfId="50089"/>
    <cellStyle name="资产 3 15 7" xfId="50090"/>
    <cellStyle name="资产 3 16" xfId="8757"/>
    <cellStyle name="资产 3 16 2" xfId="50091"/>
    <cellStyle name="资产 3 16 3" xfId="50092"/>
    <cellStyle name="资产 3 16 4" xfId="50093"/>
    <cellStyle name="资产 3 16 5" xfId="50094"/>
    <cellStyle name="资产 3 16 6" xfId="50095"/>
    <cellStyle name="资产 3 16 7" xfId="50096"/>
    <cellStyle name="资产 3 17" xfId="8758"/>
    <cellStyle name="资产 3 17 2" xfId="50097"/>
    <cellStyle name="资产 3 17 3" xfId="50098"/>
    <cellStyle name="资产 3 17 4" xfId="50099"/>
    <cellStyle name="资产 3 17 5" xfId="50100"/>
    <cellStyle name="资产 3 17 6" xfId="50101"/>
    <cellStyle name="资产 3 17 7" xfId="50102"/>
    <cellStyle name="资产 3 18" xfId="8759"/>
    <cellStyle name="资产 3 18 2" xfId="50103"/>
    <cellStyle name="资产 3 18 3" xfId="50104"/>
    <cellStyle name="资产 3 18 4" xfId="50105"/>
    <cellStyle name="资产 3 18 5" xfId="50106"/>
    <cellStyle name="资产 3 18 6" xfId="50107"/>
    <cellStyle name="资产 3 18 7" xfId="50108"/>
    <cellStyle name="资产 3 19" xfId="8760"/>
    <cellStyle name="资产 3 19 2" xfId="50109"/>
    <cellStyle name="资产 3 19 3" xfId="50110"/>
    <cellStyle name="资产 3 19 4" xfId="50111"/>
    <cellStyle name="资产 3 19 5" xfId="50112"/>
    <cellStyle name="资产 3 19 6" xfId="50113"/>
    <cellStyle name="资产 3 19 7" xfId="50114"/>
    <cellStyle name="资产 3 2" xfId="8761"/>
    <cellStyle name="资产 3 2 10" xfId="50115"/>
    <cellStyle name="资产 3 2 11" xfId="50116"/>
    <cellStyle name="资产 3 2 2" xfId="50117"/>
    <cellStyle name="资产 3 2 3" xfId="50118"/>
    <cellStyle name="资产 3 2 4" xfId="50119"/>
    <cellStyle name="资产 3 2 5" xfId="50120"/>
    <cellStyle name="资产 3 2 6" xfId="50121"/>
    <cellStyle name="资产 3 2 7" xfId="50122"/>
    <cellStyle name="资产 3 2 8" xfId="50123"/>
    <cellStyle name="资产 3 2 9" xfId="50124"/>
    <cellStyle name="资产 3 20" xfId="8762"/>
    <cellStyle name="资产 3 20 2" xfId="50125"/>
    <cellStyle name="资产 3 20 3" xfId="50126"/>
    <cellStyle name="资产 3 20 4" xfId="50127"/>
    <cellStyle name="资产 3 20 5" xfId="50128"/>
    <cellStyle name="资产 3 20 6" xfId="50129"/>
    <cellStyle name="资产 3 20 7" xfId="50130"/>
    <cellStyle name="资产 3 21" xfId="8763"/>
    <cellStyle name="资产 3 21 2" xfId="50131"/>
    <cellStyle name="资产 3 21 3" xfId="50132"/>
    <cellStyle name="资产 3 21 4" xfId="50133"/>
    <cellStyle name="资产 3 21 5" xfId="50134"/>
    <cellStyle name="资产 3 21 6" xfId="50135"/>
    <cellStyle name="资产 3 21 7" xfId="50136"/>
    <cellStyle name="资产 3 22" xfId="8764"/>
    <cellStyle name="资产 3 22 2" xfId="50137"/>
    <cellStyle name="资产 3 22 3" xfId="50138"/>
    <cellStyle name="资产 3 22 4" xfId="50139"/>
    <cellStyle name="资产 3 22 5" xfId="50140"/>
    <cellStyle name="资产 3 22 6" xfId="50141"/>
    <cellStyle name="资产 3 22 7" xfId="50142"/>
    <cellStyle name="资产 3 23" xfId="8765"/>
    <cellStyle name="资产 3 23 2" xfId="50143"/>
    <cellStyle name="资产 3 23 3" xfId="50144"/>
    <cellStyle name="资产 3 23 4" xfId="50145"/>
    <cellStyle name="资产 3 23 5" xfId="50146"/>
    <cellStyle name="资产 3 23 6" xfId="50147"/>
    <cellStyle name="资产 3 23 7" xfId="50148"/>
    <cellStyle name="资产 3 24" xfId="8766"/>
    <cellStyle name="资产 3 24 2" xfId="50149"/>
    <cellStyle name="资产 3 24 3" xfId="50150"/>
    <cellStyle name="资产 3 24 4" xfId="50151"/>
    <cellStyle name="资产 3 24 5" xfId="50152"/>
    <cellStyle name="资产 3 24 6" xfId="50153"/>
    <cellStyle name="资产 3 24 7" xfId="50154"/>
    <cellStyle name="资产 3 25" xfId="8767"/>
    <cellStyle name="资产 3 25 2" xfId="50155"/>
    <cellStyle name="资产 3 25 3" xfId="50156"/>
    <cellStyle name="资产 3 25 4" xfId="50157"/>
    <cellStyle name="资产 3 25 5" xfId="50158"/>
    <cellStyle name="资产 3 25 6" xfId="50159"/>
    <cellStyle name="资产 3 25 7" xfId="50160"/>
    <cellStyle name="资产 3 26" xfId="8768"/>
    <cellStyle name="资产 3 26 2" xfId="50161"/>
    <cellStyle name="资产 3 26 3" xfId="50162"/>
    <cellStyle name="资产 3 26 4" xfId="50163"/>
    <cellStyle name="资产 3 26 5" xfId="50164"/>
    <cellStyle name="资产 3 26 6" xfId="50165"/>
    <cellStyle name="资产 3 26 7" xfId="50166"/>
    <cellStyle name="资产 3 27" xfId="8769"/>
    <cellStyle name="资产 3 27 2" xfId="50167"/>
    <cellStyle name="资产 3 27 3" xfId="50168"/>
    <cellStyle name="资产 3 27 4" xfId="50169"/>
    <cellStyle name="资产 3 27 5" xfId="50170"/>
    <cellStyle name="资产 3 27 6" xfId="50171"/>
    <cellStyle name="资产 3 27 7" xfId="50172"/>
    <cellStyle name="资产 3 28" xfId="8770"/>
    <cellStyle name="资产 3 28 2" xfId="50173"/>
    <cellStyle name="资产 3 28 3" xfId="50174"/>
    <cellStyle name="资产 3 28 4" xfId="50175"/>
    <cellStyle name="资产 3 28 5" xfId="50176"/>
    <cellStyle name="资产 3 28 6" xfId="50177"/>
    <cellStyle name="资产 3 28 7" xfId="50178"/>
    <cellStyle name="资产 3 29" xfId="8771"/>
    <cellStyle name="资产 3 29 2" xfId="50179"/>
    <cellStyle name="资产 3 29 3" xfId="50180"/>
    <cellStyle name="资产 3 29 4" xfId="50181"/>
    <cellStyle name="资产 3 29 5" xfId="50182"/>
    <cellStyle name="资产 3 29 6" xfId="50183"/>
    <cellStyle name="资产 3 29 7" xfId="50184"/>
    <cellStyle name="资产 3 3" xfId="8772"/>
    <cellStyle name="资产 3 3 10" xfId="50185"/>
    <cellStyle name="资产 3 3 2" xfId="50186"/>
    <cellStyle name="资产 3 3 3" xfId="50187"/>
    <cellStyle name="资产 3 3 4" xfId="50188"/>
    <cellStyle name="资产 3 3 5" xfId="50189"/>
    <cellStyle name="资产 3 3 6" xfId="50190"/>
    <cellStyle name="资产 3 3 7" xfId="50191"/>
    <cellStyle name="资产 3 3 8" xfId="50192"/>
    <cellStyle name="资产 3 3 9" xfId="50193"/>
    <cellStyle name="资产 3 30" xfId="8773"/>
    <cellStyle name="资产 3 30 2" xfId="50194"/>
    <cellStyle name="资产 3 30 3" xfId="50195"/>
    <cellStyle name="资产 3 30 4" xfId="50196"/>
    <cellStyle name="资产 3 30 5" xfId="50197"/>
    <cellStyle name="资产 3 30 6" xfId="50198"/>
    <cellStyle name="资产 3 30 7" xfId="50199"/>
    <cellStyle name="资产 3 31" xfId="8774"/>
    <cellStyle name="资产 3 31 2" xfId="50200"/>
    <cellStyle name="资产 3 31 3" xfId="50201"/>
    <cellStyle name="资产 3 31 4" xfId="50202"/>
    <cellStyle name="资产 3 31 5" xfId="50203"/>
    <cellStyle name="资产 3 31 6" xfId="50204"/>
    <cellStyle name="资产 3 31 7" xfId="50205"/>
    <cellStyle name="资产 3 32" xfId="8775"/>
    <cellStyle name="资产 3 32 2" xfId="50206"/>
    <cellStyle name="资产 3 32 3" xfId="50207"/>
    <cellStyle name="资产 3 32 4" xfId="50208"/>
    <cellStyle name="资产 3 32 5" xfId="50209"/>
    <cellStyle name="资产 3 32 6" xfId="50210"/>
    <cellStyle name="资产 3 32 7" xfId="50211"/>
    <cellStyle name="资产 3 33" xfId="8776"/>
    <cellStyle name="资产 3 33 2" xfId="50212"/>
    <cellStyle name="资产 3 33 3" xfId="50213"/>
    <cellStyle name="资产 3 33 4" xfId="50214"/>
    <cellStyle name="资产 3 33 5" xfId="50215"/>
    <cellStyle name="资产 3 33 6" xfId="50216"/>
    <cellStyle name="资产 3 33 7" xfId="50217"/>
    <cellStyle name="资产 3 34" xfId="8777"/>
    <cellStyle name="资产 3 34 2" xfId="50218"/>
    <cellStyle name="资产 3 34 3" xfId="50219"/>
    <cellStyle name="资产 3 34 4" xfId="50220"/>
    <cellStyle name="资产 3 34 5" xfId="50221"/>
    <cellStyle name="资产 3 34 6" xfId="50222"/>
    <cellStyle name="资产 3 34 7" xfId="50223"/>
    <cellStyle name="资产 3 35" xfId="8778"/>
    <cellStyle name="资产 3 35 2" xfId="50224"/>
    <cellStyle name="资产 3 35 3" xfId="50225"/>
    <cellStyle name="资产 3 35 4" xfId="50226"/>
    <cellStyle name="资产 3 35 5" xfId="50227"/>
    <cellStyle name="资产 3 35 6" xfId="50228"/>
    <cellStyle name="资产 3 35 7" xfId="50229"/>
    <cellStyle name="资产 3 36" xfId="8779"/>
    <cellStyle name="资产 3 36 2" xfId="50230"/>
    <cellStyle name="资产 3 36 3" xfId="50231"/>
    <cellStyle name="资产 3 36 4" xfId="50232"/>
    <cellStyle name="资产 3 36 5" xfId="50233"/>
    <cellStyle name="资产 3 36 6" xfId="50234"/>
    <cellStyle name="资产 3 36 7" xfId="50235"/>
    <cellStyle name="资产 3 37" xfId="8780"/>
    <cellStyle name="资产 3 37 2" xfId="50236"/>
    <cellStyle name="资产 3 37 3" xfId="50237"/>
    <cellStyle name="资产 3 37 4" xfId="50238"/>
    <cellStyle name="资产 3 37 5" xfId="50239"/>
    <cellStyle name="资产 3 37 6" xfId="50240"/>
    <cellStyle name="资产 3 37 7" xfId="50241"/>
    <cellStyle name="资产 3 38" xfId="8781"/>
    <cellStyle name="资产 3 38 2" xfId="50242"/>
    <cellStyle name="资产 3 38 3" xfId="50243"/>
    <cellStyle name="资产 3 38 4" xfId="50244"/>
    <cellStyle name="资产 3 38 5" xfId="50245"/>
    <cellStyle name="资产 3 38 6" xfId="50246"/>
    <cellStyle name="资产 3 38 7" xfId="50247"/>
    <cellStyle name="资产 3 39" xfId="8782"/>
    <cellStyle name="资产 3 39 2" xfId="50248"/>
    <cellStyle name="资产 3 39 3" xfId="50249"/>
    <cellStyle name="资产 3 39 4" xfId="50250"/>
    <cellStyle name="资产 3 39 5" xfId="50251"/>
    <cellStyle name="资产 3 39 6" xfId="50252"/>
    <cellStyle name="资产 3 39 7" xfId="50253"/>
    <cellStyle name="资产 3 4" xfId="8783"/>
    <cellStyle name="资产 3 4 10" xfId="50254"/>
    <cellStyle name="资产 3 4 2" xfId="50255"/>
    <cellStyle name="资产 3 4 3" xfId="50256"/>
    <cellStyle name="资产 3 4 4" xfId="50257"/>
    <cellStyle name="资产 3 4 5" xfId="50258"/>
    <cellStyle name="资产 3 4 6" xfId="50259"/>
    <cellStyle name="资产 3 4 7" xfId="50260"/>
    <cellStyle name="资产 3 4 8" xfId="50261"/>
    <cellStyle name="资产 3 4 9" xfId="50262"/>
    <cellStyle name="资产 3 40" xfId="8784"/>
    <cellStyle name="资产 3 40 2" xfId="50263"/>
    <cellStyle name="资产 3 40 3" xfId="50264"/>
    <cellStyle name="资产 3 40 4" xfId="50265"/>
    <cellStyle name="资产 3 40 5" xfId="50266"/>
    <cellStyle name="资产 3 40 6" xfId="50267"/>
    <cellStyle name="资产 3 40 7" xfId="50268"/>
    <cellStyle name="资产 3 41" xfId="8785"/>
    <cellStyle name="资产 3 41 2" xfId="50269"/>
    <cellStyle name="资产 3 41 3" xfId="50270"/>
    <cellStyle name="资产 3 41 4" xfId="50271"/>
    <cellStyle name="资产 3 41 5" xfId="50272"/>
    <cellStyle name="资产 3 41 6" xfId="50273"/>
    <cellStyle name="资产 3 41 7" xfId="50274"/>
    <cellStyle name="资产 3 42" xfId="8786"/>
    <cellStyle name="资产 3 42 2" xfId="50275"/>
    <cellStyle name="资产 3 42 3" xfId="50276"/>
    <cellStyle name="资产 3 42 4" xfId="50277"/>
    <cellStyle name="资产 3 42 5" xfId="50278"/>
    <cellStyle name="资产 3 42 6" xfId="50279"/>
    <cellStyle name="资产 3 42 7" xfId="50280"/>
    <cellStyle name="资产 3 43" xfId="8787"/>
    <cellStyle name="资产 3 43 2" xfId="50281"/>
    <cellStyle name="资产 3 43 3" xfId="50282"/>
    <cellStyle name="资产 3 43 4" xfId="50283"/>
    <cellStyle name="资产 3 43 5" xfId="50284"/>
    <cellStyle name="资产 3 43 6" xfId="50285"/>
    <cellStyle name="资产 3 43 7" xfId="50286"/>
    <cellStyle name="资产 3 44" xfId="8788"/>
    <cellStyle name="资产 3 44 2" xfId="50287"/>
    <cellStyle name="资产 3 44 3" xfId="50288"/>
    <cellStyle name="资产 3 44 4" xfId="50289"/>
    <cellStyle name="资产 3 44 5" xfId="50290"/>
    <cellStyle name="资产 3 44 6" xfId="50291"/>
    <cellStyle name="资产 3 44 7" xfId="50292"/>
    <cellStyle name="资产 3 45" xfId="8789"/>
    <cellStyle name="资产 3 45 2" xfId="50293"/>
    <cellStyle name="资产 3 45 3" xfId="50294"/>
    <cellStyle name="资产 3 45 4" xfId="50295"/>
    <cellStyle name="资产 3 45 5" xfId="50296"/>
    <cellStyle name="资产 3 45 6" xfId="50297"/>
    <cellStyle name="资产 3 45 7" xfId="50298"/>
    <cellStyle name="资产 3 46" xfId="8790"/>
    <cellStyle name="资产 3 46 2" xfId="50299"/>
    <cellStyle name="资产 3 46 3" xfId="50300"/>
    <cellStyle name="资产 3 46 4" xfId="50301"/>
    <cellStyle name="资产 3 46 5" xfId="50302"/>
    <cellStyle name="资产 3 46 6" xfId="50303"/>
    <cellStyle name="资产 3 46 7" xfId="50304"/>
    <cellStyle name="资产 3 47" xfId="8791"/>
    <cellStyle name="资产 3 47 2" xfId="50305"/>
    <cellStyle name="资产 3 47 3" xfId="50306"/>
    <cellStyle name="资产 3 47 4" xfId="50307"/>
    <cellStyle name="资产 3 47 5" xfId="50308"/>
    <cellStyle name="资产 3 47 6" xfId="50309"/>
    <cellStyle name="资产 3 47 7" xfId="50310"/>
    <cellStyle name="资产 3 48" xfId="8792"/>
    <cellStyle name="资产 3 48 2" xfId="50311"/>
    <cellStyle name="资产 3 48 3" xfId="50312"/>
    <cellStyle name="资产 3 48 4" xfId="50313"/>
    <cellStyle name="资产 3 48 5" xfId="50314"/>
    <cellStyle name="资产 3 48 6" xfId="50315"/>
    <cellStyle name="资产 3 48 7" xfId="50316"/>
    <cellStyle name="资产 3 49" xfId="8793"/>
    <cellStyle name="资产 3 49 2" xfId="50317"/>
    <cellStyle name="资产 3 49 3" xfId="50318"/>
    <cellStyle name="资产 3 49 4" xfId="50319"/>
    <cellStyle name="资产 3 49 5" xfId="50320"/>
    <cellStyle name="资产 3 49 6" xfId="50321"/>
    <cellStyle name="资产 3 49 7" xfId="50322"/>
    <cellStyle name="资产 3 5" xfId="8794"/>
    <cellStyle name="资产 3 5 2" xfId="50323"/>
    <cellStyle name="资产 3 5 3" xfId="50324"/>
    <cellStyle name="资产 3 5 4" xfId="50325"/>
    <cellStyle name="资产 3 5 5" xfId="50326"/>
    <cellStyle name="资产 3 5 6" xfId="50327"/>
    <cellStyle name="资产 3 5 7" xfId="50328"/>
    <cellStyle name="资产 3 50" xfId="8795"/>
    <cellStyle name="资产 3 50 2" xfId="50329"/>
    <cellStyle name="资产 3 50 3" xfId="50330"/>
    <cellStyle name="资产 3 50 4" xfId="50331"/>
    <cellStyle name="资产 3 50 5" xfId="50332"/>
    <cellStyle name="资产 3 50 6" xfId="50333"/>
    <cellStyle name="资产 3 50 7" xfId="50334"/>
    <cellStyle name="资产 3 51" xfId="8796"/>
    <cellStyle name="资产 3 51 2" xfId="50335"/>
    <cellStyle name="资产 3 51 3" xfId="50336"/>
    <cellStyle name="资产 3 51 4" xfId="50337"/>
    <cellStyle name="资产 3 51 5" xfId="50338"/>
    <cellStyle name="资产 3 51 6" xfId="50339"/>
    <cellStyle name="资产 3 51 7" xfId="50340"/>
    <cellStyle name="资产 3 52" xfId="8797"/>
    <cellStyle name="资产 3 52 2" xfId="50341"/>
    <cellStyle name="资产 3 52 3" xfId="50342"/>
    <cellStyle name="资产 3 52 4" xfId="50343"/>
    <cellStyle name="资产 3 52 5" xfId="50344"/>
    <cellStyle name="资产 3 52 6" xfId="50345"/>
    <cellStyle name="资产 3 52 7" xfId="50346"/>
    <cellStyle name="资产 3 53" xfId="8798"/>
    <cellStyle name="资产 3 53 2" xfId="50347"/>
    <cellStyle name="资产 3 53 3" xfId="50348"/>
    <cellStyle name="资产 3 53 4" xfId="50349"/>
    <cellStyle name="资产 3 53 5" xfId="50350"/>
    <cellStyle name="资产 3 53 6" xfId="50351"/>
    <cellStyle name="资产 3 53 7" xfId="50352"/>
    <cellStyle name="资产 3 54" xfId="8799"/>
    <cellStyle name="资产 3 54 2" xfId="50353"/>
    <cellStyle name="资产 3 54 3" xfId="50354"/>
    <cellStyle name="资产 3 54 4" xfId="50355"/>
    <cellStyle name="资产 3 54 5" xfId="50356"/>
    <cellStyle name="资产 3 54 6" xfId="50357"/>
    <cellStyle name="资产 3 54 7" xfId="50358"/>
    <cellStyle name="资产 3 55" xfId="8800"/>
    <cellStyle name="资产 3 55 2" xfId="50359"/>
    <cellStyle name="资产 3 55 3" xfId="50360"/>
    <cellStyle name="资产 3 55 4" xfId="50361"/>
    <cellStyle name="资产 3 55 5" xfId="50362"/>
    <cellStyle name="资产 3 55 6" xfId="50363"/>
    <cellStyle name="资产 3 55 7" xfId="50364"/>
    <cellStyle name="资产 3 56" xfId="8801"/>
    <cellStyle name="资产 3 56 2" xfId="50365"/>
    <cellStyle name="资产 3 56 3" xfId="50366"/>
    <cellStyle name="资产 3 56 4" xfId="50367"/>
    <cellStyle name="资产 3 56 5" xfId="50368"/>
    <cellStyle name="资产 3 56 6" xfId="50369"/>
    <cellStyle name="资产 3 56 7" xfId="50370"/>
    <cellStyle name="资产 3 57" xfId="8802"/>
    <cellStyle name="资产 3 57 2" xfId="50371"/>
    <cellStyle name="资产 3 57 3" xfId="50372"/>
    <cellStyle name="资产 3 57 4" xfId="50373"/>
    <cellStyle name="资产 3 57 5" xfId="50374"/>
    <cellStyle name="资产 3 57 6" xfId="50375"/>
    <cellStyle name="资产 3 57 7" xfId="50376"/>
    <cellStyle name="资产 3 58" xfId="8803"/>
    <cellStyle name="资产 3 58 2" xfId="50377"/>
    <cellStyle name="资产 3 58 3" xfId="50378"/>
    <cellStyle name="资产 3 58 4" xfId="50379"/>
    <cellStyle name="资产 3 58 5" xfId="50380"/>
    <cellStyle name="资产 3 58 6" xfId="50381"/>
    <cellStyle name="资产 3 58 7" xfId="50382"/>
    <cellStyle name="资产 3 59" xfId="8804"/>
    <cellStyle name="资产 3 59 2" xfId="50383"/>
    <cellStyle name="资产 3 59 3" xfId="50384"/>
    <cellStyle name="资产 3 59 4" xfId="50385"/>
    <cellStyle name="资产 3 59 5" xfId="50386"/>
    <cellStyle name="资产 3 59 6" xfId="50387"/>
    <cellStyle name="资产 3 59 7" xfId="50388"/>
    <cellStyle name="资产 3 6" xfId="8805"/>
    <cellStyle name="资产 3 6 2" xfId="50389"/>
    <cellStyle name="资产 3 6 3" xfId="50390"/>
    <cellStyle name="资产 3 6 4" xfId="50391"/>
    <cellStyle name="资产 3 6 5" xfId="50392"/>
    <cellStyle name="资产 3 6 6" xfId="50393"/>
    <cellStyle name="资产 3 6 7" xfId="50394"/>
    <cellStyle name="资产 3 60" xfId="8806"/>
    <cellStyle name="资产 3 60 2" xfId="50395"/>
    <cellStyle name="资产 3 60 3" xfId="50396"/>
    <cellStyle name="资产 3 60 4" xfId="50397"/>
    <cellStyle name="资产 3 60 5" xfId="50398"/>
    <cellStyle name="资产 3 60 6" xfId="50399"/>
    <cellStyle name="资产 3 60 7" xfId="50400"/>
    <cellStyle name="资产 3 61" xfId="8807"/>
    <cellStyle name="资产 3 61 2" xfId="50401"/>
    <cellStyle name="资产 3 61 3" xfId="50402"/>
    <cellStyle name="资产 3 61 4" xfId="50403"/>
    <cellStyle name="资产 3 61 5" xfId="50404"/>
    <cellStyle name="资产 3 61 6" xfId="50405"/>
    <cellStyle name="资产 3 61 7" xfId="50406"/>
    <cellStyle name="资产 3 62" xfId="8808"/>
    <cellStyle name="资产 3 62 2" xfId="50407"/>
    <cellStyle name="资产 3 62 3" xfId="50408"/>
    <cellStyle name="资产 3 62 4" xfId="50409"/>
    <cellStyle name="资产 3 62 5" xfId="50410"/>
    <cellStyle name="资产 3 62 6" xfId="50411"/>
    <cellStyle name="资产 3 62 7" xfId="50412"/>
    <cellStyle name="资产 3 63" xfId="8809"/>
    <cellStyle name="资产 3 63 2" xfId="50413"/>
    <cellStyle name="资产 3 63 3" xfId="50414"/>
    <cellStyle name="资产 3 63 4" xfId="50415"/>
    <cellStyle name="资产 3 63 5" xfId="50416"/>
    <cellStyle name="资产 3 63 6" xfId="50417"/>
    <cellStyle name="资产 3 63 7" xfId="50418"/>
    <cellStyle name="资产 3 64" xfId="8810"/>
    <cellStyle name="资产 3 64 2" xfId="50419"/>
    <cellStyle name="资产 3 64 3" xfId="50420"/>
    <cellStyle name="资产 3 64 4" xfId="50421"/>
    <cellStyle name="资产 3 64 5" xfId="50422"/>
    <cellStyle name="资产 3 64 6" xfId="50423"/>
    <cellStyle name="资产 3 64 7" xfId="50424"/>
    <cellStyle name="资产 3 65" xfId="8811"/>
    <cellStyle name="资产 3 65 2" xfId="50425"/>
    <cellStyle name="资产 3 65 3" xfId="50426"/>
    <cellStyle name="资产 3 65 4" xfId="50427"/>
    <cellStyle name="资产 3 65 5" xfId="50428"/>
    <cellStyle name="资产 3 65 6" xfId="50429"/>
    <cellStyle name="资产 3 65 7" xfId="50430"/>
    <cellStyle name="资产 3 66" xfId="8812"/>
    <cellStyle name="资产 3 66 2" xfId="50431"/>
    <cellStyle name="资产 3 66 3" xfId="50432"/>
    <cellStyle name="资产 3 66 4" xfId="50433"/>
    <cellStyle name="资产 3 66 5" xfId="50434"/>
    <cellStyle name="资产 3 66 6" xfId="50435"/>
    <cellStyle name="资产 3 66 7" xfId="50436"/>
    <cellStyle name="资产 3 67" xfId="8813"/>
    <cellStyle name="资产 3 67 2" xfId="50437"/>
    <cellStyle name="资产 3 67 3" xfId="50438"/>
    <cellStyle name="资产 3 67 4" xfId="50439"/>
    <cellStyle name="资产 3 67 5" xfId="50440"/>
    <cellStyle name="资产 3 67 6" xfId="50441"/>
    <cellStyle name="资产 3 67 7" xfId="50442"/>
    <cellStyle name="资产 3 68" xfId="8814"/>
    <cellStyle name="资产 3 68 2" xfId="50443"/>
    <cellStyle name="资产 3 68 3" xfId="50444"/>
    <cellStyle name="资产 3 68 4" xfId="50445"/>
    <cellStyle name="资产 3 68 5" xfId="50446"/>
    <cellStyle name="资产 3 68 6" xfId="50447"/>
    <cellStyle name="资产 3 68 7" xfId="50448"/>
    <cellStyle name="资产 3 69" xfId="8815"/>
    <cellStyle name="资产 3 69 2" xfId="50449"/>
    <cellStyle name="资产 3 69 3" xfId="50450"/>
    <cellStyle name="资产 3 69 4" xfId="50451"/>
    <cellStyle name="资产 3 69 5" xfId="50452"/>
    <cellStyle name="资产 3 69 6" xfId="50453"/>
    <cellStyle name="资产 3 69 7" xfId="50454"/>
    <cellStyle name="资产 3 7" xfId="8816"/>
    <cellStyle name="资产 3 7 2" xfId="50455"/>
    <cellStyle name="资产 3 7 3" xfId="50456"/>
    <cellStyle name="资产 3 7 4" xfId="50457"/>
    <cellStyle name="资产 3 7 5" xfId="50458"/>
    <cellStyle name="资产 3 7 6" xfId="50459"/>
    <cellStyle name="资产 3 7 7" xfId="50460"/>
    <cellStyle name="资产 3 70" xfId="8817"/>
    <cellStyle name="资产 3 70 2" xfId="50461"/>
    <cellStyle name="资产 3 70 3" xfId="50462"/>
    <cellStyle name="资产 3 70 4" xfId="50463"/>
    <cellStyle name="资产 3 70 5" xfId="50464"/>
    <cellStyle name="资产 3 70 6" xfId="50465"/>
    <cellStyle name="资产 3 70 7" xfId="50466"/>
    <cellStyle name="资产 3 71" xfId="8818"/>
    <cellStyle name="资产 3 71 2" xfId="50467"/>
    <cellStyle name="资产 3 71 3" xfId="50468"/>
    <cellStyle name="资产 3 71 4" xfId="50469"/>
    <cellStyle name="资产 3 71 5" xfId="50470"/>
    <cellStyle name="资产 3 71 6" xfId="50471"/>
    <cellStyle name="资产 3 71 7" xfId="50472"/>
    <cellStyle name="资产 3 72" xfId="8819"/>
    <cellStyle name="资产 3 72 2" xfId="50473"/>
    <cellStyle name="资产 3 72 3" xfId="50474"/>
    <cellStyle name="资产 3 72 4" xfId="50475"/>
    <cellStyle name="资产 3 72 5" xfId="50476"/>
    <cellStyle name="资产 3 72 6" xfId="50477"/>
    <cellStyle name="资产 3 72 7" xfId="50478"/>
    <cellStyle name="资产 3 73" xfId="8820"/>
    <cellStyle name="资产 3 73 2" xfId="50479"/>
    <cellStyle name="资产 3 73 3" xfId="50480"/>
    <cellStyle name="资产 3 73 4" xfId="50481"/>
    <cellStyle name="资产 3 73 5" xfId="50482"/>
    <cellStyle name="资产 3 73 6" xfId="50483"/>
    <cellStyle name="资产 3 73 7" xfId="50484"/>
    <cellStyle name="资产 3 74" xfId="8821"/>
    <cellStyle name="资产 3 74 2" xfId="50485"/>
    <cellStyle name="资产 3 74 3" xfId="50486"/>
    <cellStyle name="资产 3 74 4" xfId="50487"/>
    <cellStyle name="资产 3 74 5" xfId="50488"/>
    <cellStyle name="资产 3 74 6" xfId="50489"/>
    <cellStyle name="资产 3 74 7" xfId="50490"/>
    <cellStyle name="资产 3 75" xfId="8822"/>
    <cellStyle name="资产 3 75 2" xfId="50491"/>
    <cellStyle name="资产 3 75 3" xfId="50492"/>
    <cellStyle name="资产 3 75 4" xfId="50493"/>
    <cellStyle name="资产 3 75 5" xfId="50494"/>
    <cellStyle name="资产 3 75 6" xfId="50495"/>
    <cellStyle name="资产 3 75 7" xfId="50496"/>
    <cellStyle name="资产 3 76" xfId="8823"/>
    <cellStyle name="资产 3 76 2" xfId="50497"/>
    <cellStyle name="资产 3 76 3" xfId="50498"/>
    <cellStyle name="资产 3 76 4" xfId="50499"/>
    <cellStyle name="资产 3 76 5" xfId="50500"/>
    <cellStyle name="资产 3 76 6" xfId="50501"/>
    <cellStyle name="资产 3 76 7" xfId="50502"/>
    <cellStyle name="资产 3 77" xfId="8824"/>
    <cellStyle name="资产 3 77 2" xfId="50503"/>
    <cellStyle name="资产 3 77 3" xfId="50504"/>
    <cellStyle name="资产 3 77 4" xfId="50505"/>
    <cellStyle name="资产 3 77 5" xfId="50506"/>
    <cellStyle name="资产 3 77 6" xfId="50507"/>
    <cellStyle name="资产 3 77 7" xfId="50508"/>
    <cellStyle name="资产 3 78" xfId="8825"/>
    <cellStyle name="资产 3 78 2" xfId="50509"/>
    <cellStyle name="资产 3 78 3" xfId="50510"/>
    <cellStyle name="资产 3 78 4" xfId="50511"/>
    <cellStyle name="资产 3 78 5" xfId="50512"/>
    <cellStyle name="资产 3 78 6" xfId="50513"/>
    <cellStyle name="资产 3 78 7" xfId="50514"/>
    <cellStyle name="资产 3 79" xfId="8826"/>
    <cellStyle name="资产 3 79 2" xfId="50515"/>
    <cellStyle name="资产 3 79 3" xfId="50516"/>
    <cellStyle name="资产 3 79 4" xfId="50517"/>
    <cellStyle name="资产 3 79 5" xfId="50518"/>
    <cellStyle name="资产 3 79 6" xfId="50519"/>
    <cellStyle name="资产 3 79 7" xfId="50520"/>
    <cellStyle name="资产 3 8" xfId="8827"/>
    <cellStyle name="资产 3 8 2" xfId="50521"/>
    <cellStyle name="资产 3 8 3" xfId="50522"/>
    <cellStyle name="资产 3 8 4" xfId="50523"/>
    <cellStyle name="资产 3 8 5" xfId="50524"/>
    <cellStyle name="资产 3 8 6" xfId="50525"/>
    <cellStyle name="资产 3 8 7" xfId="50526"/>
    <cellStyle name="资产 3 80" xfId="8828"/>
    <cellStyle name="资产 3 80 2" xfId="50527"/>
    <cellStyle name="资产 3 80 3" xfId="50528"/>
    <cellStyle name="资产 3 80 4" xfId="50529"/>
    <cellStyle name="资产 3 80 5" xfId="50530"/>
    <cellStyle name="资产 3 80 6" xfId="50531"/>
    <cellStyle name="资产 3 80 7" xfId="50532"/>
    <cellStyle name="资产 3 81" xfId="8829"/>
    <cellStyle name="资产 3 81 2" xfId="50533"/>
    <cellStyle name="资产 3 81 3" xfId="50534"/>
    <cellStyle name="资产 3 81 4" xfId="50535"/>
    <cellStyle name="资产 3 81 5" xfId="50536"/>
    <cellStyle name="资产 3 81 6" xfId="50537"/>
    <cellStyle name="资产 3 81 7" xfId="50538"/>
    <cellStyle name="资产 3 82" xfId="8830"/>
    <cellStyle name="资产 3 82 2" xfId="50539"/>
    <cellStyle name="资产 3 82 3" xfId="50540"/>
    <cellStyle name="资产 3 82 4" xfId="50541"/>
    <cellStyle name="资产 3 82 5" xfId="50542"/>
    <cellStyle name="资产 3 82 6" xfId="50543"/>
    <cellStyle name="资产 3 82 7" xfId="50544"/>
    <cellStyle name="资产 3 83" xfId="8831"/>
    <cellStyle name="资产 3 83 2" xfId="50545"/>
    <cellStyle name="资产 3 83 3" xfId="50546"/>
    <cellStyle name="资产 3 83 4" xfId="50547"/>
    <cellStyle name="资产 3 83 5" xfId="50548"/>
    <cellStyle name="资产 3 83 6" xfId="50549"/>
    <cellStyle name="资产 3 83 7" xfId="50550"/>
    <cellStyle name="资产 3 84" xfId="8832"/>
    <cellStyle name="资产 3 84 2" xfId="50551"/>
    <cellStyle name="资产 3 84 3" xfId="50552"/>
    <cellStyle name="资产 3 84 4" xfId="50553"/>
    <cellStyle name="资产 3 84 5" xfId="50554"/>
    <cellStyle name="资产 3 84 6" xfId="50555"/>
    <cellStyle name="资产 3 84 7" xfId="50556"/>
    <cellStyle name="资产 3 85" xfId="8833"/>
    <cellStyle name="资产 3 85 2" xfId="50557"/>
    <cellStyle name="资产 3 85 3" xfId="50558"/>
    <cellStyle name="资产 3 85 4" xfId="50559"/>
    <cellStyle name="资产 3 85 5" xfId="50560"/>
    <cellStyle name="资产 3 85 6" xfId="50561"/>
    <cellStyle name="资产 3 85 7" xfId="50562"/>
    <cellStyle name="资产 3 86" xfId="8834"/>
    <cellStyle name="资产 3 86 2" xfId="50563"/>
    <cellStyle name="资产 3 86 3" xfId="50564"/>
    <cellStyle name="资产 3 86 4" xfId="50565"/>
    <cellStyle name="资产 3 86 5" xfId="50566"/>
    <cellStyle name="资产 3 86 6" xfId="50567"/>
    <cellStyle name="资产 3 86 7" xfId="50568"/>
    <cellStyle name="资产 3 87" xfId="8835"/>
    <cellStyle name="资产 3 87 2" xfId="50569"/>
    <cellStyle name="资产 3 87 3" xfId="50570"/>
    <cellStyle name="资产 3 87 4" xfId="50571"/>
    <cellStyle name="资产 3 87 5" xfId="50572"/>
    <cellStyle name="资产 3 87 6" xfId="50573"/>
    <cellStyle name="资产 3 87 7" xfId="50574"/>
    <cellStyle name="资产 3 88" xfId="8836"/>
    <cellStyle name="资产 3 88 2" xfId="50575"/>
    <cellStyle name="资产 3 88 3" xfId="50576"/>
    <cellStyle name="资产 3 88 4" xfId="50577"/>
    <cellStyle name="资产 3 88 5" xfId="50578"/>
    <cellStyle name="资产 3 88 6" xfId="50579"/>
    <cellStyle name="资产 3 88 7" xfId="50580"/>
    <cellStyle name="资产 3 89" xfId="8837"/>
    <cellStyle name="资产 3 89 2" xfId="50581"/>
    <cellStyle name="资产 3 89 3" xfId="50582"/>
    <cellStyle name="资产 3 89 4" xfId="50583"/>
    <cellStyle name="资产 3 89 5" xfId="50584"/>
    <cellStyle name="资产 3 89 6" xfId="50585"/>
    <cellStyle name="资产 3 89 7" xfId="50586"/>
    <cellStyle name="资产 3 9" xfId="8838"/>
    <cellStyle name="资产 3 9 2" xfId="50587"/>
    <cellStyle name="资产 3 9 3" xfId="50588"/>
    <cellStyle name="资产 3 9 4" xfId="50589"/>
    <cellStyle name="资产 3 9 5" xfId="50590"/>
    <cellStyle name="资产 3 9 6" xfId="50591"/>
    <cellStyle name="资产 3 9 7" xfId="50592"/>
    <cellStyle name="资产 3 90" xfId="8839"/>
    <cellStyle name="资产 3 90 2" xfId="50593"/>
    <cellStyle name="资产 3 90 3" xfId="50594"/>
    <cellStyle name="资产 3 90 4" xfId="50595"/>
    <cellStyle name="资产 3 90 5" xfId="50596"/>
    <cellStyle name="资产 3 90 6" xfId="50597"/>
    <cellStyle name="资产 3 90 7" xfId="50598"/>
    <cellStyle name="资产 3 91" xfId="8840"/>
    <cellStyle name="资产 3 91 2" xfId="50599"/>
    <cellStyle name="资产 3 91 3" xfId="50600"/>
    <cellStyle name="资产 3 91 4" xfId="50601"/>
    <cellStyle name="资产 3 91 5" xfId="50602"/>
    <cellStyle name="资产 3 91 6" xfId="50603"/>
    <cellStyle name="资产 3 91 7" xfId="50604"/>
    <cellStyle name="资产 3 92" xfId="8841"/>
    <cellStyle name="资产 3 92 2" xfId="50605"/>
    <cellStyle name="资产 3 92 3" xfId="50606"/>
    <cellStyle name="资产 3 92 4" xfId="50607"/>
    <cellStyle name="资产 3 92 5" xfId="50608"/>
    <cellStyle name="资产 3 92 6" xfId="50609"/>
    <cellStyle name="资产 3 92 7" xfId="50610"/>
    <cellStyle name="资产 3 93" xfId="8842"/>
    <cellStyle name="资产 3 93 2" xfId="50611"/>
    <cellStyle name="资产 3 93 3" xfId="50612"/>
    <cellStyle name="资产 3 93 4" xfId="50613"/>
    <cellStyle name="资产 3 93 5" xfId="50614"/>
    <cellStyle name="资产 3 93 6" xfId="50615"/>
    <cellStyle name="资产 3 94" xfId="50616"/>
    <cellStyle name="资产 3 95" xfId="50617"/>
    <cellStyle name="资产 3 96" xfId="50618"/>
    <cellStyle name="资产 3 97" xfId="50619"/>
    <cellStyle name="资产 3 98" xfId="50620"/>
    <cellStyle name="资产 3 99" xfId="50621"/>
    <cellStyle name="资产 30" xfId="8843"/>
    <cellStyle name="资产 30 2" xfId="50622"/>
    <cellStyle name="资产 30 3" xfId="50623"/>
    <cellStyle name="资产 30 4" xfId="50624"/>
    <cellStyle name="资产 30 5" xfId="50625"/>
    <cellStyle name="资产 30 6" xfId="50626"/>
    <cellStyle name="资产 30 7" xfId="50627"/>
    <cellStyle name="资产 31" xfId="8844"/>
    <cellStyle name="资产 31 2" xfId="50628"/>
    <cellStyle name="资产 31 3" xfId="50629"/>
    <cellStyle name="资产 31 4" xfId="50630"/>
    <cellStyle name="资产 31 5" xfId="50631"/>
    <cellStyle name="资产 31 6" xfId="50632"/>
    <cellStyle name="资产 31 7" xfId="50633"/>
    <cellStyle name="资产 32" xfId="8845"/>
    <cellStyle name="资产 32 2" xfId="50634"/>
    <cellStyle name="资产 32 3" xfId="50635"/>
    <cellStyle name="资产 32 4" xfId="50636"/>
    <cellStyle name="资产 32 5" xfId="50637"/>
    <cellStyle name="资产 32 6" xfId="50638"/>
    <cellStyle name="资产 32 7" xfId="50639"/>
    <cellStyle name="资产 33" xfId="8846"/>
    <cellStyle name="资产 33 2" xfId="50640"/>
    <cellStyle name="资产 33 3" xfId="50641"/>
    <cellStyle name="资产 33 4" xfId="50642"/>
    <cellStyle name="资产 33 5" xfId="50643"/>
    <cellStyle name="资产 33 6" xfId="50644"/>
    <cellStyle name="资产 33 7" xfId="50645"/>
    <cellStyle name="资产 34" xfId="8847"/>
    <cellStyle name="资产 34 2" xfId="50646"/>
    <cellStyle name="资产 34 3" xfId="50647"/>
    <cellStyle name="资产 34 4" xfId="50648"/>
    <cellStyle name="资产 34 5" xfId="50649"/>
    <cellStyle name="资产 34 6" xfId="50650"/>
    <cellStyle name="资产 34 7" xfId="50651"/>
    <cellStyle name="资产 35" xfId="8848"/>
    <cellStyle name="资产 35 2" xfId="50652"/>
    <cellStyle name="资产 35 3" xfId="50653"/>
    <cellStyle name="资产 35 4" xfId="50654"/>
    <cellStyle name="资产 35 5" xfId="50655"/>
    <cellStyle name="资产 35 6" xfId="50656"/>
    <cellStyle name="资产 35 7" xfId="50657"/>
    <cellStyle name="资产 36" xfId="8849"/>
    <cellStyle name="资产 36 2" xfId="50658"/>
    <cellStyle name="资产 36 3" xfId="50659"/>
    <cellStyle name="资产 36 4" xfId="50660"/>
    <cellStyle name="资产 36 5" xfId="50661"/>
    <cellStyle name="资产 36 6" xfId="50662"/>
    <cellStyle name="资产 36 7" xfId="50663"/>
    <cellStyle name="资产 37" xfId="8850"/>
    <cellStyle name="资产 37 2" xfId="50664"/>
    <cellStyle name="资产 37 3" xfId="50665"/>
    <cellStyle name="资产 37 4" xfId="50666"/>
    <cellStyle name="资产 37 5" xfId="50667"/>
    <cellStyle name="资产 37 6" xfId="50668"/>
    <cellStyle name="资产 37 7" xfId="50669"/>
    <cellStyle name="资产 38" xfId="8851"/>
    <cellStyle name="资产 38 2" xfId="50670"/>
    <cellStyle name="资产 38 3" xfId="50671"/>
    <cellStyle name="资产 38 4" xfId="50672"/>
    <cellStyle name="资产 38 5" xfId="50673"/>
    <cellStyle name="资产 38 6" xfId="50674"/>
    <cellStyle name="资产 38 7" xfId="50675"/>
    <cellStyle name="资产 39" xfId="8852"/>
    <cellStyle name="资产 39 2" xfId="50676"/>
    <cellStyle name="资产 39 3" xfId="50677"/>
    <cellStyle name="资产 39 4" xfId="50678"/>
    <cellStyle name="资产 39 5" xfId="50679"/>
    <cellStyle name="资产 39 6" xfId="50680"/>
    <cellStyle name="资产 39 7" xfId="50681"/>
    <cellStyle name="资产 4" xfId="8853"/>
    <cellStyle name="资产 4 10" xfId="8854"/>
    <cellStyle name="资产 4 10 2" xfId="50682"/>
    <cellStyle name="资产 4 10 3" xfId="50683"/>
    <cellStyle name="资产 4 10 4" xfId="50684"/>
    <cellStyle name="资产 4 10 5" xfId="50685"/>
    <cellStyle name="资产 4 10 6" xfId="50686"/>
    <cellStyle name="资产 4 10 7" xfId="50687"/>
    <cellStyle name="资产 4 100" xfId="50688"/>
    <cellStyle name="资产 4 101" xfId="50689"/>
    <cellStyle name="资产 4 102" xfId="50690"/>
    <cellStyle name="资产 4 11" xfId="8855"/>
    <cellStyle name="资产 4 11 2" xfId="50691"/>
    <cellStyle name="资产 4 11 3" xfId="50692"/>
    <cellStyle name="资产 4 11 4" xfId="50693"/>
    <cellStyle name="资产 4 11 5" xfId="50694"/>
    <cellStyle name="资产 4 11 6" xfId="50695"/>
    <cellStyle name="资产 4 11 7" xfId="50696"/>
    <cellStyle name="资产 4 12" xfId="8856"/>
    <cellStyle name="资产 4 12 2" xfId="50697"/>
    <cellStyle name="资产 4 12 3" xfId="50698"/>
    <cellStyle name="资产 4 12 4" xfId="50699"/>
    <cellStyle name="资产 4 12 5" xfId="50700"/>
    <cellStyle name="资产 4 12 6" xfId="50701"/>
    <cellStyle name="资产 4 12 7" xfId="50702"/>
    <cellStyle name="资产 4 13" xfId="8857"/>
    <cellStyle name="资产 4 13 2" xfId="50703"/>
    <cellStyle name="资产 4 13 3" xfId="50704"/>
    <cellStyle name="资产 4 13 4" xfId="50705"/>
    <cellStyle name="资产 4 13 5" xfId="50706"/>
    <cellStyle name="资产 4 13 6" xfId="50707"/>
    <cellStyle name="资产 4 13 7" xfId="50708"/>
    <cellStyle name="资产 4 14" xfId="8858"/>
    <cellStyle name="资产 4 14 2" xfId="50709"/>
    <cellStyle name="资产 4 14 3" xfId="50710"/>
    <cellStyle name="资产 4 14 4" xfId="50711"/>
    <cellStyle name="资产 4 14 5" xfId="50712"/>
    <cellStyle name="资产 4 14 6" xfId="50713"/>
    <cellStyle name="资产 4 14 7" xfId="50714"/>
    <cellStyle name="资产 4 15" xfId="8859"/>
    <cellStyle name="资产 4 15 2" xfId="50715"/>
    <cellStyle name="资产 4 15 3" xfId="50716"/>
    <cellStyle name="资产 4 15 4" xfId="50717"/>
    <cellStyle name="资产 4 15 5" xfId="50718"/>
    <cellStyle name="资产 4 15 6" xfId="50719"/>
    <cellStyle name="资产 4 15 7" xfId="50720"/>
    <cellStyle name="资产 4 16" xfId="8860"/>
    <cellStyle name="资产 4 16 2" xfId="50721"/>
    <cellStyle name="资产 4 16 3" xfId="50722"/>
    <cellStyle name="资产 4 16 4" xfId="50723"/>
    <cellStyle name="资产 4 16 5" xfId="50724"/>
    <cellStyle name="资产 4 16 6" xfId="50725"/>
    <cellStyle name="资产 4 16 7" xfId="50726"/>
    <cellStyle name="资产 4 17" xfId="8861"/>
    <cellStyle name="资产 4 17 2" xfId="50727"/>
    <cellStyle name="资产 4 17 3" xfId="50728"/>
    <cellStyle name="资产 4 17 4" xfId="50729"/>
    <cellStyle name="资产 4 17 5" xfId="50730"/>
    <cellStyle name="资产 4 17 6" xfId="50731"/>
    <cellStyle name="资产 4 17 7" xfId="50732"/>
    <cellStyle name="资产 4 18" xfId="8862"/>
    <cellStyle name="资产 4 18 2" xfId="50733"/>
    <cellStyle name="资产 4 18 3" xfId="50734"/>
    <cellStyle name="资产 4 18 4" xfId="50735"/>
    <cellStyle name="资产 4 18 5" xfId="50736"/>
    <cellStyle name="资产 4 18 6" xfId="50737"/>
    <cellStyle name="资产 4 18 7" xfId="50738"/>
    <cellStyle name="资产 4 19" xfId="8863"/>
    <cellStyle name="资产 4 19 2" xfId="50739"/>
    <cellStyle name="资产 4 19 3" xfId="50740"/>
    <cellStyle name="资产 4 19 4" xfId="50741"/>
    <cellStyle name="资产 4 19 5" xfId="50742"/>
    <cellStyle name="资产 4 19 6" xfId="50743"/>
    <cellStyle name="资产 4 19 7" xfId="50744"/>
    <cellStyle name="资产 4 2" xfId="8864"/>
    <cellStyle name="资产 4 2 10" xfId="50745"/>
    <cellStyle name="资产 4 2 11" xfId="50746"/>
    <cellStyle name="资产 4 2 2" xfId="50747"/>
    <cellStyle name="资产 4 2 3" xfId="50748"/>
    <cellStyle name="资产 4 2 4" xfId="50749"/>
    <cellStyle name="资产 4 2 5" xfId="50750"/>
    <cellStyle name="资产 4 2 6" xfId="50751"/>
    <cellStyle name="资产 4 2 7" xfId="50752"/>
    <cellStyle name="资产 4 2 8" xfId="50753"/>
    <cellStyle name="资产 4 2 9" xfId="50754"/>
    <cellStyle name="资产 4 20" xfId="8865"/>
    <cellStyle name="资产 4 20 2" xfId="50755"/>
    <cellStyle name="资产 4 20 3" xfId="50756"/>
    <cellStyle name="资产 4 20 4" xfId="50757"/>
    <cellStyle name="资产 4 20 5" xfId="50758"/>
    <cellStyle name="资产 4 20 6" xfId="50759"/>
    <cellStyle name="资产 4 20 7" xfId="50760"/>
    <cellStyle name="资产 4 21" xfId="8866"/>
    <cellStyle name="资产 4 21 2" xfId="50761"/>
    <cellStyle name="资产 4 21 3" xfId="50762"/>
    <cellStyle name="资产 4 21 4" xfId="50763"/>
    <cellStyle name="资产 4 21 5" xfId="50764"/>
    <cellStyle name="资产 4 21 6" xfId="50765"/>
    <cellStyle name="资产 4 21 7" xfId="50766"/>
    <cellStyle name="资产 4 22" xfId="8867"/>
    <cellStyle name="资产 4 22 2" xfId="50767"/>
    <cellStyle name="资产 4 22 3" xfId="50768"/>
    <cellStyle name="资产 4 22 4" xfId="50769"/>
    <cellStyle name="资产 4 22 5" xfId="50770"/>
    <cellStyle name="资产 4 22 6" xfId="50771"/>
    <cellStyle name="资产 4 22 7" xfId="50772"/>
    <cellStyle name="资产 4 23" xfId="8868"/>
    <cellStyle name="资产 4 23 2" xfId="50773"/>
    <cellStyle name="资产 4 23 3" xfId="50774"/>
    <cellStyle name="资产 4 23 4" xfId="50775"/>
    <cellStyle name="资产 4 23 5" xfId="50776"/>
    <cellStyle name="资产 4 23 6" xfId="50777"/>
    <cellStyle name="资产 4 23 7" xfId="50778"/>
    <cellStyle name="资产 4 24" xfId="8869"/>
    <cellStyle name="资产 4 24 2" xfId="50779"/>
    <cellStyle name="资产 4 24 3" xfId="50780"/>
    <cellStyle name="资产 4 24 4" xfId="50781"/>
    <cellStyle name="资产 4 24 5" xfId="50782"/>
    <cellStyle name="资产 4 24 6" xfId="50783"/>
    <cellStyle name="资产 4 24 7" xfId="50784"/>
    <cellStyle name="资产 4 25" xfId="8870"/>
    <cellStyle name="资产 4 25 2" xfId="50785"/>
    <cellStyle name="资产 4 25 3" xfId="50786"/>
    <cellStyle name="资产 4 25 4" xfId="50787"/>
    <cellStyle name="资产 4 25 5" xfId="50788"/>
    <cellStyle name="资产 4 25 6" xfId="50789"/>
    <cellStyle name="资产 4 25 7" xfId="50790"/>
    <cellStyle name="资产 4 26" xfId="8871"/>
    <cellStyle name="资产 4 26 2" xfId="50791"/>
    <cellStyle name="资产 4 26 3" xfId="50792"/>
    <cellStyle name="资产 4 26 4" xfId="50793"/>
    <cellStyle name="资产 4 26 5" xfId="50794"/>
    <cellStyle name="资产 4 26 6" xfId="50795"/>
    <cellStyle name="资产 4 26 7" xfId="50796"/>
    <cellStyle name="资产 4 27" xfId="8872"/>
    <cellStyle name="资产 4 27 2" xfId="50797"/>
    <cellStyle name="资产 4 27 3" xfId="50798"/>
    <cellStyle name="资产 4 27 4" xfId="50799"/>
    <cellStyle name="资产 4 27 5" xfId="50800"/>
    <cellStyle name="资产 4 27 6" xfId="50801"/>
    <cellStyle name="资产 4 27 7" xfId="50802"/>
    <cellStyle name="资产 4 28" xfId="8873"/>
    <cellStyle name="资产 4 28 2" xfId="50803"/>
    <cellStyle name="资产 4 28 3" xfId="50804"/>
    <cellStyle name="资产 4 28 4" xfId="50805"/>
    <cellStyle name="资产 4 28 5" xfId="50806"/>
    <cellStyle name="资产 4 28 6" xfId="50807"/>
    <cellStyle name="资产 4 28 7" xfId="50808"/>
    <cellStyle name="资产 4 29" xfId="8874"/>
    <cellStyle name="资产 4 29 2" xfId="50809"/>
    <cellStyle name="资产 4 29 3" xfId="50810"/>
    <cellStyle name="资产 4 29 4" xfId="50811"/>
    <cellStyle name="资产 4 29 5" xfId="50812"/>
    <cellStyle name="资产 4 29 6" xfId="50813"/>
    <cellStyle name="资产 4 29 7" xfId="50814"/>
    <cellStyle name="资产 4 3" xfId="8875"/>
    <cellStyle name="资产 4 3 10" xfId="50815"/>
    <cellStyle name="资产 4 3 2" xfId="50816"/>
    <cellStyle name="资产 4 3 3" xfId="50817"/>
    <cellStyle name="资产 4 3 4" xfId="50818"/>
    <cellStyle name="资产 4 3 5" xfId="50819"/>
    <cellStyle name="资产 4 3 6" xfId="50820"/>
    <cellStyle name="资产 4 3 7" xfId="50821"/>
    <cellStyle name="资产 4 3 8" xfId="50822"/>
    <cellStyle name="资产 4 3 9" xfId="50823"/>
    <cellStyle name="资产 4 30" xfId="8876"/>
    <cellStyle name="资产 4 30 2" xfId="50824"/>
    <cellStyle name="资产 4 30 3" xfId="50825"/>
    <cellStyle name="资产 4 30 4" xfId="50826"/>
    <cellStyle name="资产 4 30 5" xfId="50827"/>
    <cellStyle name="资产 4 30 6" xfId="50828"/>
    <cellStyle name="资产 4 30 7" xfId="50829"/>
    <cellStyle name="资产 4 31" xfId="8877"/>
    <cellStyle name="资产 4 31 2" xfId="50830"/>
    <cellStyle name="资产 4 31 3" xfId="50831"/>
    <cellStyle name="资产 4 31 4" xfId="50832"/>
    <cellStyle name="资产 4 31 5" xfId="50833"/>
    <cellStyle name="资产 4 31 6" xfId="50834"/>
    <cellStyle name="资产 4 31 7" xfId="50835"/>
    <cellStyle name="资产 4 32" xfId="8878"/>
    <cellStyle name="资产 4 32 2" xfId="50836"/>
    <cellStyle name="资产 4 32 3" xfId="50837"/>
    <cellStyle name="资产 4 32 4" xfId="50838"/>
    <cellStyle name="资产 4 32 5" xfId="50839"/>
    <cellStyle name="资产 4 32 6" xfId="50840"/>
    <cellStyle name="资产 4 32 7" xfId="50841"/>
    <cellStyle name="资产 4 33" xfId="8879"/>
    <cellStyle name="资产 4 33 2" xfId="50842"/>
    <cellStyle name="资产 4 33 3" xfId="50843"/>
    <cellStyle name="资产 4 33 4" xfId="50844"/>
    <cellStyle name="资产 4 33 5" xfId="50845"/>
    <cellStyle name="资产 4 33 6" xfId="50846"/>
    <cellStyle name="资产 4 33 7" xfId="50847"/>
    <cellStyle name="资产 4 34" xfId="8880"/>
    <cellStyle name="资产 4 34 2" xfId="50848"/>
    <cellStyle name="资产 4 34 3" xfId="50849"/>
    <cellStyle name="资产 4 34 4" xfId="50850"/>
    <cellStyle name="资产 4 34 5" xfId="50851"/>
    <cellStyle name="资产 4 34 6" xfId="50852"/>
    <cellStyle name="资产 4 34 7" xfId="50853"/>
    <cellStyle name="资产 4 35" xfId="8881"/>
    <cellStyle name="资产 4 35 2" xfId="50854"/>
    <cellStyle name="资产 4 35 3" xfId="50855"/>
    <cellStyle name="资产 4 35 4" xfId="50856"/>
    <cellStyle name="资产 4 35 5" xfId="50857"/>
    <cellStyle name="资产 4 35 6" xfId="50858"/>
    <cellStyle name="资产 4 35 7" xfId="50859"/>
    <cellStyle name="资产 4 36" xfId="8882"/>
    <cellStyle name="资产 4 36 2" xfId="50860"/>
    <cellStyle name="资产 4 36 3" xfId="50861"/>
    <cellStyle name="资产 4 36 4" xfId="50862"/>
    <cellStyle name="资产 4 36 5" xfId="50863"/>
    <cellStyle name="资产 4 36 6" xfId="50864"/>
    <cellStyle name="资产 4 36 7" xfId="50865"/>
    <cellStyle name="资产 4 37" xfId="8883"/>
    <cellStyle name="资产 4 37 2" xfId="50866"/>
    <cellStyle name="资产 4 37 3" xfId="50867"/>
    <cellStyle name="资产 4 37 4" xfId="50868"/>
    <cellStyle name="资产 4 37 5" xfId="50869"/>
    <cellStyle name="资产 4 37 6" xfId="50870"/>
    <cellStyle name="资产 4 37 7" xfId="50871"/>
    <cellStyle name="资产 4 38" xfId="8884"/>
    <cellStyle name="资产 4 38 2" xfId="50872"/>
    <cellStyle name="资产 4 38 3" xfId="50873"/>
    <cellStyle name="资产 4 38 4" xfId="50874"/>
    <cellStyle name="资产 4 38 5" xfId="50875"/>
    <cellStyle name="资产 4 38 6" xfId="50876"/>
    <cellStyle name="资产 4 38 7" xfId="50877"/>
    <cellStyle name="资产 4 39" xfId="8885"/>
    <cellStyle name="资产 4 39 2" xfId="50878"/>
    <cellStyle name="资产 4 39 3" xfId="50879"/>
    <cellStyle name="资产 4 39 4" xfId="50880"/>
    <cellStyle name="资产 4 39 5" xfId="50881"/>
    <cellStyle name="资产 4 39 6" xfId="50882"/>
    <cellStyle name="资产 4 39 7" xfId="50883"/>
    <cellStyle name="资产 4 4" xfId="8886"/>
    <cellStyle name="资产 4 4 10" xfId="50884"/>
    <cellStyle name="资产 4 4 2" xfId="50885"/>
    <cellStyle name="资产 4 4 3" xfId="50886"/>
    <cellStyle name="资产 4 4 4" xfId="50887"/>
    <cellStyle name="资产 4 4 5" xfId="50888"/>
    <cellStyle name="资产 4 4 6" xfId="50889"/>
    <cellStyle name="资产 4 4 7" xfId="50890"/>
    <cellStyle name="资产 4 4 8" xfId="50891"/>
    <cellStyle name="资产 4 4 9" xfId="50892"/>
    <cellStyle name="资产 4 40" xfId="8887"/>
    <cellStyle name="资产 4 40 2" xfId="50893"/>
    <cellStyle name="资产 4 40 3" xfId="50894"/>
    <cellStyle name="资产 4 40 4" xfId="50895"/>
    <cellStyle name="资产 4 40 5" xfId="50896"/>
    <cellStyle name="资产 4 40 6" xfId="50897"/>
    <cellStyle name="资产 4 40 7" xfId="50898"/>
    <cellStyle name="资产 4 41" xfId="8888"/>
    <cellStyle name="资产 4 41 2" xfId="50899"/>
    <cellStyle name="资产 4 41 3" xfId="50900"/>
    <cellStyle name="资产 4 41 4" xfId="50901"/>
    <cellStyle name="资产 4 41 5" xfId="50902"/>
    <cellStyle name="资产 4 41 6" xfId="50903"/>
    <cellStyle name="资产 4 41 7" xfId="50904"/>
    <cellStyle name="资产 4 42" xfId="8889"/>
    <cellStyle name="资产 4 42 2" xfId="50905"/>
    <cellStyle name="资产 4 42 3" xfId="50906"/>
    <cellStyle name="资产 4 42 4" xfId="50907"/>
    <cellStyle name="资产 4 42 5" xfId="50908"/>
    <cellStyle name="资产 4 42 6" xfId="50909"/>
    <cellStyle name="资产 4 42 7" xfId="50910"/>
    <cellStyle name="资产 4 43" xfId="8890"/>
    <cellStyle name="资产 4 43 2" xfId="50911"/>
    <cellStyle name="资产 4 43 3" xfId="50912"/>
    <cellStyle name="资产 4 43 4" xfId="50913"/>
    <cellStyle name="资产 4 43 5" xfId="50914"/>
    <cellStyle name="资产 4 43 6" xfId="50915"/>
    <cellStyle name="资产 4 43 7" xfId="50916"/>
    <cellStyle name="资产 4 44" xfId="8891"/>
    <cellStyle name="资产 4 44 2" xfId="50917"/>
    <cellStyle name="资产 4 44 3" xfId="50918"/>
    <cellStyle name="资产 4 44 4" xfId="50919"/>
    <cellStyle name="资产 4 44 5" xfId="50920"/>
    <cellStyle name="资产 4 44 6" xfId="50921"/>
    <cellStyle name="资产 4 44 7" xfId="50922"/>
    <cellStyle name="资产 4 45" xfId="8892"/>
    <cellStyle name="资产 4 45 2" xfId="50923"/>
    <cellStyle name="资产 4 45 3" xfId="50924"/>
    <cellStyle name="资产 4 45 4" xfId="50925"/>
    <cellStyle name="资产 4 45 5" xfId="50926"/>
    <cellStyle name="资产 4 45 6" xfId="50927"/>
    <cellStyle name="资产 4 45 7" xfId="50928"/>
    <cellStyle name="资产 4 46" xfId="8893"/>
    <cellStyle name="资产 4 46 2" xfId="50929"/>
    <cellStyle name="资产 4 46 3" xfId="50930"/>
    <cellStyle name="资产 4 46 4" xfId="50931"/>
    <cellStyle name="资产 4 46 5" xfId="50932"/>
    <cellStyle name="资产 4 46 6" xfId="50933"/>
    <cellStyle name="资产 4 46 7" xfId="50934"/>
    <cellStyle name="资产 4 47" xfId="8894"/>
    <cellStyle name="资产 4 47 2" xfId="50935"/>
    <cellStyle name="资产 4 47 3" xfId="50936"/>
    <cellStyle name="资产 4 47 4" xfId="50937"/>
    <cellStyle name="资产 4 47 5" xfId="50938"/>
    <cellStyle name="资产 4 47 6" xfId="50939"/>
    <cellStyle name="资产 4 47 7" xfId="50940"/>
    <cellStyle name="资产 4 48" xfId="8895"/>
    <cellStyle name="资产 4 48 2" xfId="50941"/>
    <cellStyle name="资产 4 48 3" xfId="50942"/>
    <cellStyle name="资产 4 48 4" xfId="50943"/>
    <cellStyle name="资产 4 48 5" xfId="50944"/>
    <cellStyle name="资产 4 48 6" xfId="50945"/>
    <cellStyle name="资产 4 48 7" xfId="50946"/>
    <cellStyle name="资产 4 49" xfId="8896"/>
    <cellStyle name="资产 4 49 2" xfId="50947"/>
    <cellStyle name="资产 4 49 3" xfId="50948"/>
    <cellStyle name="资产 4 49 4" xfId="50949"/>
    <cellStyle name="资产 4 49 5" xfId="50950"/>
    <cellStyle name="资产 4 49 6" xfId="50951"/>
    <cellStyle name="资产 4 49 7" xfId="50952"/>
    <cellStyle name="资产 4 5" xfId="8897"/>
    <cellStyle name="资产 4 5 2" xfId="50953"/>
    <cellStyle name="资产 4 5 3" xfId="50954"/>
    <cellStyle name="资产 4 5 4" xfId="50955"/>
    <cellStyle name="资产 4 5 5" xfId="50956"/>
    <cellStyle name="资产 4 5 6" xfId="50957"/>
    <cellStyle name="资产 4 5 7" xfId="50958"/>
    <cellStyle name="资产 4 50" xfId="8898"/>
    <cellStyle name="资产 4 50 2" xfId="50959"/>
    <cellStyle name="资产 4 50 3" xfId="50960"/>
    <cellStyle name="资产 4 50 4" xfId="50961"/>
    <cellStyle name="资产 4 50 5" xfId="50962"/>
    <cellStyle name="资产 4 50 6" xfId="50963"/>
    <cellStyle name="资产 4 50 7" xfId="50964"/>
    <cellStyle name="资产 4 51" xfId="8899"/>
    <cellStyle name="资产 4 51 2" xfId="50965"/>
    <cellStyle name="资产 4 51 3" xfId="50966"/>
    <cellStyle name="资产 4 51 4" xfId="50967"/>
    <cellStyle name="资产 4 51 5" xfId="50968"/>
    <cellStyle name="资产 4 51 6" xfId="50969"/>
    <cellStyle name="资产 4 51 7" xfId="50970"/>
    <cellStyle name="资产 4 52" xfId="8900"/>
    <cellStyle name="资产 4 52 2" xfId="50971"/>
    <cellStyle name="资产 4 52 3" xfId="50972"/>
    <cellStyle name="资产 4 52 4" xfId="50973"/>
    <cellStyle name="资产 4 52 5" xfId="50974"/>
    <cellStyle name="资产 4 52 6" xfId="50975"/>
    <cellStyle name="资产 4 52 7" xfId="50976"/>
    <cellStyle name="资产 4 53" xfId="8901"/>
    <cellStyle name="资产 4 53 2" xfId="50977"/>
    <cellStyle name="资产 4 53 3" xfId="50978"/>
    <cellStyle name="资产 4 53 4" xfId="50979"/>
    <cellStyle name="资产 4 53 5" xfId="50980"/>
    <cellStyle name="资产 4 53 6" xfId="50981"/>
    <cellStyle name="资产 4 53 7" xfId="50982"/>
    <cellStyle name="资产 4 54" xfId="8902"/>
    <cellStyle name="资产 4 54 2" xfId="50983"/>
    <cellStyle name="资产 4 54 3" xfId="50984"/>
    <cellStyle name="资产 4 54 4" xfId="50985"/>
    <cellStyle name="资产 4 54 5" xfId="50986"/>
    <cellStyle name="资产 4 54 6" xfId="50987"/>
    <cellStyle name="资产 4 54 7" xfId="50988"/>
    <cellStyle name="资产 4 55" xfId="8903"/>
    <cellStyle name="资产 4 55 2" xfId="50989"/>
    <cellStyle name="资产 4 55 3" xfId="50990"/>
    <cellStyle name="资产 4 55 4" xfId="50991"/>
    <cellStyle name="资产 4 55 5" xfId="50992"/>
    <cellStyle name="资产 4 55 6" xfId="50993"/>
    <cellStyle name="资产 4 55 7" xfId="50994"/>
    <cellStyle name="资产 4 56" xfId="8904"/>
    <cellStyle name="资产 4 56 2" xfId="50995"/>
    <cellStyle name="资产 4 56 3" xfId="50996"/>
    <cellStyle name="资产 4 56 4" xfId="50997"/>
    <cellStyle name="资产 4 56 5" xfId="50998"/>
    <cellStyle name="资产 4 56 6" xfId="50999"/>
    <cellStyle name="资产 4 56 7" xfId="51000"/>
    <cellStyle name="资产 4 57" xfId="8905"/>
    <cellStyle name="资产 4 57 2" xfId="51001"/>
    <cellStyle name="资产 4 57 3" xfId="51002"/>
    <cellStyle name="资产 4 57 4" xfId="51003"/>
    <cellStyle name="资产 4 57 5" xfId="51004"/>
    <cellStyle name="资产 4 57 6" xfId="51005"/>
    <cellStyle name="资产 4 57 7" xfId="51006"/>
    <cellStyle name="资产 4 58" xfId="8906"/>
    <cellStyle name="资产 4 58 2" xfId="51007"/>
    <cellStyle name="资产 4 58 3" xfId="51008"/>
    <cellStyle name="资产 4 58 4" xfId="51009"/>
    <cellStyle name="资产 4 58 5" xfId="51010"/>
    <cellStyle name="资产 4 58 6" xfId="51011"/>
    <cellStyle name="资产 4 58 7" xfId="51012"/>
    <cellStyle name="资产 4 59" xfId="8907"/>
    <cellStyle name="资产 4 59 2" xfId="51013"/>
    <cellStyle name="资产 4 59 3" xfId="51014"/>
    <cellStyle name="资产 4 59 4" xfId="51015"/>
    <cellStyle name="资产 4 59 5" xfId="51016"/>
    <cellStyle name="资产 4 59 6" xfId="51017"/>
    <cellStyle name="资产 4 59 7" xfId="51018"/>
    <cellStyle name="资产 4 6" xfId="8908"/>
    <cellStyle name="资产 4 6 2" xfId="51019"/>
    <cellStyle name="资产 4 6 3" xfId="51020"/>
    <cellStyle name="资产 4 6 4" xfId="51021"/>
    <cellStyle name="资产 4 6 5" xfId="51022"/>
    <cellStyle name="资产 4 6 6" xfId="51023"/>
    <cellStyle name="资产 4 6 7" xfId="51024"/>
    <cellStyle name="资产 4 60" xfId="8909"/>
    <cellStyle name="资产 4 60 2" xfId="51025"/>
    <cellStyle name="资产 4 60 3" xfId="51026"/>
    <cellStyle name="资产 4 60 4" xfId="51027"/>
    <cellStyle name="资产 4 60 5" xfId="51028"/>
    <cellStyle name="资产 4 60 6" xfId="51029"/>
    <cellStyle name="资产 4 60 7" xfId="51030"/>
    <cellStyle name="资产 4 61" xfId="8910"/>
    <cellStyle name="资产 4 61 2" xfId="51031"/>
    <cellStyle name="资产 4 61 3" xfId="51032"/>
    <cellStyle name="资产 4 61 4" xfId="51033"/>
    <cellStyle name="资产 4 61 5" xfId="51034"/>
    <cellStyle name="资产 4 61 6" xfId="51035"/>
    <cellStyle name="资产 4 61 7" xfId="51036"/>
    <cellStyle name="资产 4 62" xfId="8911"/>
    <cellStyle name="资产 4 62 2" xfId="51037"/>
    <cellStyle name="资产 4 62 3" xfId="51038"/>
    <cellStyle name="资产 4 62 4" xfId="51039"/>
    <cellStyle name="资产 4 62 5" xfId="51040"/>
    <cellStyle name="资产 4 62 6" xfId="51041"/>
    <cellStyle name="资产 4 62 7" xfId="51042"/>
    <cellStyle name="资产 4 63" xfId="8912"/>
    <cellStyle name="资产 4 63 2" xfId="51043"/>
    <cellStyle name="资产 4 63 3" xfId="51044"/>
    <cellStyle name="资产 4 63 4" xfId="51045"/>
    <cellStyle name="资产 4 63 5" xfId="51046"/>
    <cellStyle name="资产 4 63 6" xfId="51047"/>
    <cellStyle name="资产 4 63 7" xfId="51048"/>
    <cellStyle name="资产 4 64" xfId="8913"/>
    <cellStyle name="资产 4 64 2" xfId="51049"/>
    <cellStyle name="资产 4 64 3" xfId="51050"/>
    <cellStyle name="资产 4 64 4" xfId="51051"/>
    <cellStyle name="资产 4 64 5" xfId="51052"/>
    <cellStyle name="资产 4 64 6" xfId="51053"/>
    <cellStyle name="资产 4 64 7" xfId="51054"/>
    <cellStyle name="资产 4 65" xfId="8914"/>
    <cellStyle name="资产 4 65 2" xfId="51055"/>
    <cellStyle name="资产 4 65 3" xfId="51056"/>
    <cellStyle name="资产 4 65 4" xfId="51057"/>
    <cellStyle name="资产 4 65 5" xfId="51058"/>
    <cellStyle name="资产 4 65 6" xfId="51059"/>
    <cellStyle name="资产 4 65 7" xfId="51060"/>
    <cellStyle name="资产 4 66" xfId="8915"/>
    <cellStyle name="资产 4 66 2" xfId="51061"/>
    <cellStyle name="资产 4 66 3" xfId="51062"/>
    <cellStyle name="资产 4 66 4" xfId="51063"/>
    <cellStyle name="资产 4 66 5" xfId="51064"/>
    <cellStyle name="资产 4 66 6" xfId="51065"/>
    <cellStyle name="资产 4 66 7" xfId="51066"/>
    <cellStyle name="资产 4 67" xfId="8916"/>
    <cellStyle name="资产 4 67 2" xfId="51067"/>
    <cellStyle name="资产 4 67 3" xfId="51068"/>
    <cellStyle name="资产 4 67 4" xfId="51069"/>
    <cellStyle name="资产 4 67 5" xfId="51070"/>
    <cellStyle name="资产 4 67 6" xfId="51071"/>
    <cellStyle name="资产 4 67 7" xfId="51072"/>
    <cellStyle name="资产 4 68" xfId="8917"/>
    <cellStyle name="资产 4 68 2" xfId="51073"/>
    <cellStyle name="资产 4 68 3" xfId="51074"/>
    <cellStyle name="资产 4 68 4" xfId="51075"/>
    <cellStyle name="资产 4 68 5" xfId="51076"/>
    <cellStyle name="资产 4 68 6" xfId="51077"/>
    <cellStyle name="资产 4 68 7" xfId="51078"/>
    <cellStyle name="资产 4 69" xfId="8918"/>
    <cellStyle name="资产 4 69 2" xfId="51079"/>
    <cellStyle name="资产 4 69 3" xfId="51080"/>
    <cellStyle name="资产 4 69 4" xfId="51081"/>
    <cellStyle name="资产 4 69 5" xfId="51082"/>
    <cellStyle name="资产 4 69 6" xfId="51083"/>
    <cellStyle name="资产 4 69 7" xfId="51084"/>
    <cellStyle name="资产 4 7" xfId="8919"/>
    <cellStyle name="资产 4 7 2" xfId="51085"/>
    <cellStyle name="资产 4 7 3" xfId="51086"/>
    <cellStyle name="资产 4 7 4" xfId="51087"/>
    <cellStyle name="资产 4 7 5" xfId="51088"/>
    <cellStyle name="资产 4 7 6" xfId="51089"/>
    <cellStyle name="资产 4 7 7" xfId="51090"/>
    <cellStyle name="资产 4 70" xfId="8920"/>
    <cellStyle name="资产 4 70 2" xfId="51091"/>
    <cellStyle name="资产 4 70 3" xfId="51092"/>
    <cellStyle name="资产 4 70 4" xfId="51093"/>
    <cellStyle name="资产 4 70 5" xfId="51094"/>
    <cellStyle name="资产 4 70 6" xfId="51095"/>
    <cellStyle name="资产 4 70 7" xfId="51096"/>
    <cellStyle name="资产 4 71" xfId="8921"/>
    <cellStyle name="资产 4 71 2" xfId="51097"/>
    <cellStyle name="资产 4 71 3" xfId="51098"/>
    <cellStyle name="资产 4 71 4" xfId="51099"/>
    <cellStyle name="资产 4 71 5" xfId="51100"/>
    <cellStyle name="资产 4 71 6" xfId="51101"/>
    <cellStyle name="资产 4 71 7" xfId="51102"/>
    <cellStyle name="资产 4 72" xfId="8922"/>
    <cellStyle name="资产 4 72 2" xfId="51103"/>
    <cellStyle name="资产 4 72 3" xfId="51104"/>
    <cellStyle name="资产 4 72 4" xfId="51105"/>
    <cellStyle name="资产 4 72 5" xfId="51106"/>
    <cellStyle name="资产 4 72 6" xfId="51107"/>
    <cellStyle name="资产 4 72 7" xfId="51108"/>
    <cellStyle name="资产 4 73" xfId="8923"/>
    <cellStyle name="资产 4 73 2" xfId="51109"/>
    <cellStyle name="资产 4 73 3" xfId="51110"/>
    <cellStyle name="资产 4 73 4" xfId="51111"/>
    <cellStyle name="资产 4 73 5" xfId="51112"/>
    <cellStyle name="资产 4 73 6" xfId="51113"/>
    <cellStyle name="资产 4 73 7" xfId="51114"/>
    <cellStyle name="资产 4 74" xfId="8924"/>
    <cellStyle name="资产 4 74 2" xfId="51115"/>
    <cellStyle name="资产 4 74 3" xfId="51116"/>
    <cellStyle name="资产 4 74 4" xfId="51117"/>
    <cellStyle name="资产 4 74 5" xfId="51118"/>
    <cellStyle name="资产 4 74 6" xfId="51119"/>
    <cellStyle name="资产 4 74 7" xfId="51120"/>
    <cellStyle name="资产 4 75" xfId="8925"/>
    <cellStyle name="资产 4 75 2" xfId="51121"/>
    <cellStyle name="资产 4 75 3" xfId="51122"/>
    <cellStyle name="资产 4 75 4" xfId="51123"/>
    <cellStyle name="资产 4 75 5" xfId="51124"/>
    <cellStyle name="资产 4 75 6" xfId="51125"/>
    <cellStyle name="资产 4 75 7" xfId="51126"/>
    <cellStyle name="资产 4 76" xfId="8926"/>
    <cellStyle name="资产 4 76 2" xfId="51127"/>
    <cellStyle name="资产 4 76 3" xfId="51128"/>
    <cellStyle name="资产 4 76 4" xfId="51129"/>
    <cellStyle name="资产 4 76 5" xfId="51130"/>
    <cellStyle name="资产 4 76 6" xfId="51131"/>
    <cellStyle name="资产 4 76 7" xfId="51132"/>
    <cellStyle name="资产 4 77" xfId="8927"/>
    <cellStyle name="资产 4 77 2" xfId="51133"/>
    <cellStyle name="资产 4 77 3" xfId="51134"/>
    <cellStyle name="资产 4 77 4" xfId="51135"/>
    <cellStyle name="资产 4 77 5" xfId="51136"/>
    <cellStyle name="资产 4 77 6" xfId="51137"/>
    <cellStyle name="资产 4 77 7" xfId="51138"/>
    <cellStyle name="资产 4 78" xfId="8928"/>
    <cellStyle name="资产 4 78 2" xfId="51139"/>
    <cellStyle name="资产 4 78 3" xfId="51140"/>
    <cellStyle name="资产 4 78 4" xfId="51141"/>
    <cellStyle name="资产 4 78 5" xfId="51142"/>
    <cellStyle name="资产 4 78 6" xfId="51143"/>
    <cellStyle name="资产 4 78 7" xfId="51144"/>
    <cellStyle name="资产 4 79" xfId="8929"/>
    <cellStyle name="资产 4 79 2" xfId="51145"/>
    <cellStyle name="资产 4 79 3" xfId="51146"/>
    <cellStyle name="资产 4 79 4" xfId="51147"/>
    <cellStyle name="资产 4 79 5" xfId="51148"/>
    <cellStyle name="资产 4 79 6" xfId="51149"/>
    <cellStyle name="资产 4 79 7" xfId="51150"/>
    <cellStyle name="资产 4 8" xfId="8930"/>
    <cellStyle name="资产 4 8 2" xfId="51151"/>
    <cellStyle name="资产 4 8 3" xfId="51152"/>
    <cellStyle name="资产 4 8 4" xfId="51153"/>
    <cellStyle name="资产 4 8 5" xfId="51154"/>
    <cellStyle name="资产 4 8 6" xfId="51155"/>
    <cellStyle name="资产 4 8 7" xfId="51156"/>
    <cellStyle name="资产 4 80" xfId="8931"/>
    <cellStyle name="资产 4 80 2" xfId="51157"/>
    <cellStyle name="资产 4 80 3" xfId="51158"/>
    <cellStyle name="资产 4 80 4" xfId="51159"/>
    <cellStyle name="资产 4 80 5" xfId="51160"/>
    <cellStyle name="资产 4 80 6" xfId="51161"/>
    <cellStyle name="资产 4 80 7" xfId="51162"/>
    <cellStyle name="资产 4 81" xfId="8932"/>
    <cellStyle name="资产 4 81 2" xfId="51163"/>
    <cellStyle name="资产 4 81 3" xfId="51164"/>
    <cellStyle name="资产 4 81 4" xfId="51165"/>
    <cellStyle name="资产 4 81 5" xfId="51166"/>
    <cellStyle name="资产 4 81 6" xfId="51167"/>
    <cellStyle name="资产 4 81 7" xfId="51168"/>
    <cellStyle name="资产 4 82" xfId="8933"/>
    <cellStyle name="资产 4 82 2" xfId="51169"/>
    <cellStyle name="资产 4 82 3" xfId="51170"/>
    <cellStyle name="资产 4 82 4" xfId="51171"/>
    <cellStyle name="资产 4 82 5" xfId="51172"/>
    <cellStyle name="资产 4 82 6" xfId="51173"/>
    <cellStyle name="资产 4 82 7" xfId="51174"/>
    <cellStyle name="资产 4 83" xfId="8934"/>
    <cellStyle name="资产 4 83 2" xfId="51175"/>
    <cellStyle name="资产 4 83 3" xfId="51176"/>
    <cellStyle name="资产 4 83 4" xfId="51177"/>
    <cellStyle name="资产 4 83 5" xfId="51178"/>
    <cellStyle name="资产 4 83 6" xfId="51179"/>
    <cellStyle name="资产 4 83 7" xfId="51180"/>
    <cellStyle name="资产 4 84" xfId="8935"/>
    <cellStyle name="资产 4 84 2" xfId="51181"/>
    <cellStyle name="资产 4 84 3" xfId="51182"/>
    <cellStyle name="资产 4 84 4" xfId="51183"/>
    <cellStyle name="资产 4 84 5" xfId="51184"/>
    <cellStyle name="资产 4 84 6" xfId="51185"/>
    <cellStyle name="资产 4 84 7" xfId="51186"/>
    <cellStyle name="资产 4 85" xfId="8936"/>
    <cellStyle name="资产 4 85 2" xfId="51187"/>
    <cellStyle name="资产 4 85 3" xfId="51188"/>
    <cellStyle name="资产 4 85 4" xfId="51189"/>
    <cellStyle name="资产 4 85 5" xfId="51190"/>
    <cellStyle name="资产 4 85 6" xfId="51191"/>
    <cellStyle name="资产 4 85 7" xfId="51192"/>
    <cellStyle name="资产 4 86" xfId="8937"/>
    <cellStyle name="资产 4 86 2" xfId="51193"/>
    <cellStyle name="资产 4 86 3" xfId="51194"/>
    <cellStyle name="资产 4 86 4" xfId="51195"/>
    <cellStyle name="资产 4 86 5" xfId="51196"/>
    <cellStyle name="资产 4 86 6" xfId="51197"/>
    <cellStyle name="资产 4 86 7" xfId="51198"/>
    <cellStyle name="资产 4 87" xfId="8938"/>
    <cellStyle name="资产 4 87 2" xfId="51199"/>
    <cellStyle name="资产 4 87 3" xfId="51200"/>
    <cellStyle name="资产 4 87 4" xfId="51201"/>
    <cellStyle name="资产 4 87 5" xfId="51202"/>
    <cellStyle name="资产 4 87 6" xfId="51203"/>
    <cellStyle name="资产 4 87 7" xfId="51204"/>
    <cellStyle name="资产 4 88" xfId="8939"/>
    <cellStyle name="资产 4 88 2" xfId="51205"/>
    <cellStyle name="资产 4 88 3" xfId="51206"/>
    <cellStyle name="资产 4 88 4" xfId="51207"/>
    <cellStyle name="资产 4 88 5" xfId="51208"/>
    <cellStyle name="资产 4 88 6" xfId="51209"/>
    <cellStyle name="资产 4 88 7" xfId="51210"/>
    <cellStyle name="资产 4 89" xfId="8940"/>
    <cellStyle name="资产 4 89 2" xfId="51211"/>
    <cellStyle name="资产 4 89 3" xfId="51212"/>
    <cellStyle name="资产 4 89 4" xfId="51213"/>
    <cellStyle name="资产 4 89 5" xfId="51214"/>
    <cellStyle name="资产 4 89 6" xfId="51215"/>
    <cellStyle name="资产 4 89 7" xfId="51216"/>
    <cellStyle name="资产 4 9" xfId="8941"/>
    <cellStyle name="资产 4 9 2" xfId="51217"/>
    <cellStyle name="资产 4 9 3" xfId="51218"/>
    <cellStyle name="资产 4 9 4" xfId="51219"/>
    <cellStyle name="资产 4 9 5" xfId="51220"/>
    <cellStyle name="资产 4 9 6" xfId="51221"/>
    <cellStyle name="资产 4 9 7" xfId="51222"/>
    <cellStyle name="资产 4 90" xfId="8942"/>
    <cellStyle name="资产 4 90 2" xfId="51223"/>
    <cellStyle name="资产 4 90 3" xfId="51224"/>
    <cellStyle name="资产 4 90 4" xfId="51225"/>
    <cellStyle name="资产 4 90 5" xfId="51226"/>
    <cellStyle name="资产 4 90 6" xfId="51227"/>
    <cellStyle name="资产 4 90 7" xfId="51228"/>
    <cellStyle name="资产 4 91" xfId="8943"/>
    <cellStyle name="资产 4 91 2" xfId="51229"/>
    <cellStyle name="资产 4 91 3" xfId="51230"/>
    <cellStyle name="资产 4 91 4" xfId="51231"/>
    <cellStyle name="资产 4 91 5" xfId="51232"/>
    <cellStyle name="资产 4 91 6" xfId="51233"/>
    <cellStyle name="资产 4 91 7" xfId="51234"/>
    <cellStyle name="资产 4 92" xfId="8944"/>
    <cellStyle name="资产 4 92 2" xfId="51235"/>
    <cellStyle name="资产 4 92 3" xfId="51236"/>
    <cellStyle name="资产 4 92 4" xfId="51237"/>
    <cellStyle name="资产 4 92 5" xfId="51238"/>
    <cellStyle name="资产 4 92 6" xfId="51239"/>
    <cellStyle name="资产 4 92 7" xfId="51240"/>
    <cellStyle name="资产 4 93" xfId="8945"/>
    <cellStyle name="资产 4 93 2" xfId="51241"/>
    <cellStyle name="资产 4 93 3" xfId="51242"/>
    <cellStyle name="资产 4 93 4" xfId="51243"/>
    <cellStyle name="资产 4 93 5" xfId="51244"/>
    <cellStyle name="资产 4 93 6" xfId="51245"/>
    <cellStyle name="资产 4 94" xfId="51246"/>
    <cellStyle name="资产 4 95" xfId="51247"/>
    <cellStyle name="资产 4 96" xfId="51248"/>
    <cellStyle name="资产 4 97" xfId="51249"/>
    <cellStyle name="资产 4 98" xfId="51250"/>
    <cellStyle name="资产 4 99" xfId="51251"/>
    <cellStyle name="资产 40" xfId="8946"/>
    <cellStyle name="资产 40 2" xfId="51252"/>
    <cellStyle name="资产 40 3" xfId="51253"/>
    <cellStyle name="资产 40 4" xfId="51254"/>
    <cellStyle name="资产 40 5" xfId="51255"/>
    <cellStyle name="资产 40 6" xfId="51256"/>
    <cellStyle name="资产 40 7" xfId="51257"/>
    <cellStyle name="资产 41" xfId="8947"/>
    <cellStyle name="资产 41 2" xfId="51258"/>
    <cellStyle name="资产 41 3" xfId="51259"/>
    <cellStyle name="资产 41 4" xfId="51260"/>
    <cellStyle name="资产 41 5" xfId="51261"/>
    <cellStyle name="资产 41 6" xfId="51262"/>
    <cellStyle name="资产 41 7" xfId="51263"/>
    <cellStyle name="资产 42" xfId="8948"/>
    <cellStyle name="资产 42 2" xfId="51264"/>
    <cellStyle name="资产 42 3" xfId="51265"/>
    <cellStyle name="资产 42 4" xfId="51266"/>
    <cellStyle name="资产 42 5" xfId="51267"/>
    <cellStyle name="资产 42 6" xfId="51268"/>
    <cellStyle name="资产 42 7" xfId="51269"/>
    <cellStyle name="资产 43" xfId="8949"/>
    <cellStyle name="资产 43 2" xfId="51270"/>
    <cellStyle name="资产 43 3" xfId="51271"/>
    <cellStyle name="资产 43 4" xfId="51272"/>
    <cellStyle name="资产 43 5" xfId="51273"/>
    <cellStyle name="资产 43 6" xfId="51274"/>
    <cellStyle name="资产 43 7" xfId="51275"/>
    <cellStyle name="资产 44" xfId="8950"/>
    <cellStyle name="资产 44 2" xfId="51276"/>
    <cellStyle name="资产 44 3" xfId="51277"/>
    <cellStyle name="资产 44 4" xfId="51278"/>
    <cellStyle name="资产 44 5" xfId="51279"/>
    <cellStyle name="资产 44 6" xfId="51280"/>
    <cellStyle name="资产 44 7" xfId="51281"/>
    <cellStyle name="资产 45" xfId="8951"/>
    <cellStyle name="资产 45 2" xfId="51282"/>
    <cellStyle name="资产 45 3" xfId="51283"/>
    <cellStyle name="资产 45 4" xfId="51284"/>
    <cellStyle name="资产 45 5" xfId="51285"/>
    <cellStyle name="资产 45 6" xfId="51286"/>
    <cellStyle name="资产 45 7" xfId="51287"/>
    <cellStyle name="资产 46" xfId="8952"/>
    <cellStyle name="资产 46 2" xfId="51288"/>
    <cellStyle name="资产 46 3" xfId="51289"/>
    <cellStyle name="资产 46 4" xfId="51290"/>
    <cellStyle name="资产 46 5" xfId="51291"/>
    <cellStyle name="资产 46 6" xfId="51292"/>
    <cellStyle name="资产 46 7" xfId="51293"/>
    <cellStyle name="资产 47" xfId="8953"/>
    <cellStyle name="资产 47 2" xfId="51294"/>
    <cellStyle name="资产 47 3" xfId="51295"/>
    <cellStyle name="资产 47 4" xfId="51296"/>
    <cellStyle name="资产 47 5" xfId="51297"/>
    <cellStyle name="资产 47 6" xfId="51298"/>
    <cellStyle name="资产 47 7" xfId="51299"/>
    <cellStyle name="资产 48" xfId="8954"/>
    <cellStyle name="资产 48 2" xfId="51300"/>
    <cellStyle name="资产 48 3" xfId="51301"/>
    <cellStyle name="资产 48 4" xfId="51302"/>
    <cellStyle name="资产 48 5" xfId="51303"/>
    <cellStyle name="资产 48 6" xfId="51304"/>
    <cellStyle name="资产 48 7" xfId="51305"/>
    <cellStyle name="资产 49" xfId="8955"/>
    <cellStyle name="资产 49 2" xfId="51306"/>
    <cellStyle name="资产 49 3" xfId="51307"/>
    <cellStyle name="资产 49 4" xfId="51308"/>
    <cellStyle name="资产 49 5" xfId="51309"/>
    <cellStyle name="资产 49 6" xfId="51310"/>
    <cellStyle name="资产 49 7" xfId="51311"/>
    <cellStyle name="资产 5" xfId="8956"/>
    <cellStyle name="资产 5 10" xfId="8957"/>
    <cellStyle name="资产 5 10 2" xfId="51312"/>
    <cellStyle name="资产 5 10 3" xfId="51313"/>
    <cellStyle name="资产 5 10 4" xfId="51314"/>
    <cellStyle name="资产 5 10 5" xfId="51315"/>
    <cellStyle name="资产 5 10 6" xfId="51316"/>
    <cellStyle name="资产 5 10 7" xfId="51317"/>
    <cellStyle name="资产 5 100" xfId="51318"/>
    <cellStyle name="资产 5 101" xfId="51319"/>
    <cellStyle name="资产 5 102" xfId="51320"/>
    <cellStyle name="资产 5 11" xfId="8958"/>
    <cellStyle name="资产 5 11 2" xfId="51321"/>
    <cellStyle name="资产 5 11 3" xfId="51322"/>
    <cellStyle name="资产 5 11 4" xfId="51323"/>
    <cellStyle name="资产 5 11 5" xfId="51324"/>
    <cellStyle name="资产 5 11 6" xfId="51325"/>
    <cellStyle name="资产 5 11 7" xfId="51326"/>
    <cellStyle name="资产 5 12" xfId="8959"/>
    <cellStyle name="资产 5 12 2" xfId="51327"/>
    <cellStyle name="资产 5 12 3" xfId="51328"/>
    <cellStyle name="资产 5 12 4" xfId="51329"/>
    <cellStyle name="资产 5 12 5" xfId="51330"/>
    <cellStyle name="资产 5 12 6" xfId="51331"/>
    <cellStyle name="资产 5 12 7" xfId="51332"/>
    <cellStyle name="资产 5 13" xfId="8960"/>
    <cellStyle name="资产 5 13 2" xfId="51333"/>
    <cellStyle name="资产 5 13 3" xfId="51334"/>
    <cellStyle name="资产 5 13 4" xfId="51335"/>
    <cellStyle name="资产 5 13 5" xfId="51336"/>
    <cellStyle name="资产 5 13 6" xfId="51337"/>
    <cellStyle name="资产 5 13 7" xfId="51338"/>
    <cellStyle name="资产 5 14" xfId="8961"/>
    <cellStyle name="资产 5 14 2" xfId="51339"/>
    <cellStyle name="资产 5 14 3" xfId="51340"/>
    <cellStyle name="资产 5 14 4" xfId="51341"/>
    <cellStyle name="资产 5 14 5" xfId="51342"/>
    <cellStyle name="资产 5 14 6" xfId="51343"/>
    <cellStyle name="资产 5 14 7" xfId="51344"/>
    <cellStyle name="资产 5 15" xfId="8962"/>
    <cellStyle name="资产 5 15 2" xfId="51345"/>
    <cellStyle name="资产 5 15 3" xfId="51346"/>
    <cellStyle name="资产 5 15 4" xfId="51347"/>
    <cellStyle name="资产 5 15 5" xfId="51348"/>
    <cellStyle name="资产 5 15 6" xfId="51349"/>
    <cellStyle name="资产 5 15 7" xfId="51350"/>
    <cellStyle name="资产 5 16" xfId="8963"/>
    <cellStyle name="资产 5 16 2" xfId="51351"/>
    <cellStyle name="资产 5 16 3" xfId="51352"/>
    <cellStyle name="资产 5 16 4" xfId="51353"/>
    <cellStyle name="资产 5 16 5" xfId="51354"/>
    <cellStyle name="资产 5 16 6" xfId="51355"/>
    <cellStyle name="资产 5 16 7" xfId="51356"/>
    <cellStyle name="资产 5 17" xfId="8964"/>
    <cellStyle name="资产 5 17 2" xfId="51357"/>
    <cellStyle name="资产 5 17 3" xfId="51358"/>
    <cellStyle name="资产 5 17 4" xfId="51359"/>
    <cellStyle name="资产 5 17 5" xfId="51360"/>
    <cellStyle name="资产 5 17 6" xfId="51361"/>
    <cellStyle name="资产 5 17 7" xfId="51362"/>
    <cellStyle name="资产 5 18" xfId="8965"/>
    <cellStyle name="资产 5 18 2" xfId="51363"/>
    <cellStyle name="资产 5 18 3" xfId="51364"/>
    <cellStyle name="资产 5 18 4" xfId="51365"/>
    <cellStyle name="资产 5 18 5" xfId="51366"/>
    <cellStyle name="资产 5 18 6" xfId="51367"/>
    <cellStyle name="资产 5 18 7" xfId="51368"/>
    <cellStyle name="资产 5 19" xfId="8966"/>
    <cellStyle name="资产 5 19 2" xfId="51369"/>
    <cellStyle name="资产 5 19 3" xfId="51370"/>
    <cellStyle name="资产 5 19 4" xfId="51371"/>
    <cellStyle name="资产 5 19 5" xfId="51372"/>
    <cellStyle name="资产 5 19 6" xfId="51373"/>
    <cellStyle name="资产 5 19 7" xfId="51374"/>
    <cellStyle name="资产 5 2" xfId="8967"/>
    <cellStyle name="资产 5 2 10" xfId="51375"/>
    <cellStyle name="资产 5 2 11" xfId="51376"/>
    <cellStyle name="资产 5 2 2" xfId="51377"/>
    <cellStyle name="资产 5 2 3" xfId="51378"/>
    <cellStyle name="资产 5 2 4" xfId="51379"/>
    <cellStyle name="资产 5 2 5" xfId="51380"/>
    <cellStyle name="资产 5 2 6" xfId="51381"/>
    <cellStyle name="资产 5 2 7" xfId="51382"/>
    <cellStyle name="资产 5 2 8" xfId="51383"/>
    <cellStyle name="资产 5 2 9" xfId="51384"/>
    <cellStyle name="资产 5 20" xfId="8968"/>
    <cellStyle name="资产 5 20 2" xfId="51385"/>
    <cellStyle name="资产 5 20 3" xfId="51386"/>
    <cellStyle name="资产 5 20 4" xfId="51387"/>
    <cellStyle name="资产 5 20 5" xfId="51388"/>
    <cellStyle name="资产 5 20 6" xfId="51389"/>
    <cellStyle name="资产 5 20 7" xfId="51390"/>
    <cellStyle name="资产 5 21" xfId="8969"/>
    <cellStyle name="资产 5 21 2" xfId="51391"/>
    <cellStyle name="资产 5 21 3" xfId="51392"/>
    <cellStyle name="资产 5 21 4" xfId="51393"/>
    <cellStyle name="资产 5 21 5" xfId="51394"/>
    <cellStyle name="资产 5 21 6" xfId="51395"/>
    <cellStyle name="资产 5 21 7" xfId="51396"/>
    <cellStyle name="资产 5 22" xfId="8970"/>
    <cellStyle name="资产 5 22 2" xfId="51397"/>
    <cellStyle name="资产 5 22 3" xfId="51398"/>
    <cellStyle name="资产 5 22 4" xfId="51399"/>
    <cellStyle name="资产 5 22 5" xfId="51400"/>
    <cellStyle name="资产 5 22 6" xfId="51401"/>
    <cellStyle name="资产 5 22 7" xfId="51402"/>
    <cellStyle name="资产 5 23" xfId="8971"/>
    <cellStyle name="资产 5 23 2" xfId="51403"/>
    <cellStyle name="资产 5 23 3" xfId="51404"/>
    <cellStyle name="资产 5 23 4" xfId="51405"/>
    <cellStyle name="资产 5 23 5" xfId="51406"/>
    <cellStyle name="资产 5 23 6" xfId="51407"/>
    <cellStyle name="资产 5 23 7" xfId="51408"/>
    <cellStyle name="资产 5 24" xfId="8972"/>
    <cellStyle name="资产 5 24 2" xfId="51409"/>
    <cellStyle name="资产 5 24 3" xfId="51410"/>
    <cellStyle name="资产 5 24 4" xfId="51411"/>
    <cellStyle name="资产 5 24 5" xfId="51412"/>
    <cellStyle name="资产 5 24 6" xfId="51413"/>
    <cellStyle name="资产 5 24 7" xfId="51414"/>
    <cellStyle name="资产 5 25" xfId="8973"/>
    <cellStyle name="资产 5 25 2" xfId="51415"/>
    <cellStyle name="资产 5 25 3" xfId="51416"/>
    <cellStyle name="资产 5 25 4" xfId="51417"/>
    <cellStyle name="资产 5 25 5" xfId="51418"/>
    <cellStyle name="资产 5 25 6" xfId="51419"/>
    <cellStyle name="资产 5 25 7" xfId="51420"/>
    <cellStyle name="资产 5 26" xfId="8974"/>
    <cellStyle name="资产 5 26 2" xfId="51421"/>
    <cellStyle name="资产 5 26 3" xfId="51422"/>
    <cellStyle name="资产 5 26 4" xfId="51423"/>
    <cellStyle name="资产 5 26 5" xfId="51424"/>
    <cellStyle name="资产 5 26 6" xfId="51425"/>
    <cellStyle name="资产 5 26 7" xfId="51426"/>
    <cellStyle name="资产 5 27" xfId="8975"/>
    <cellStyle name="资产 5 27 2" xfId="51427"/>
    <cellStyle name="资产 5 27 3" xfId="51428"/>
    <cellStyle name="资产 5 27 4" xfId="51429"/>
    <cellStyle name="资产 5 27 5" xfId="51430"/>
    <cellStyle name="资产 5 27 6" xfId="51431"/>
    <cellStyle name="资产 5 27 7" xfId="51432"/>
    <cellStyle name="资产 5 28" xfId="8976"/>
    <cellStyle name="资产 5 28 2" xfId="51433"/>
    <cellStyle name="资产 5 28 3" xfId="51434"/>
    <cellStyle name="资产 5 28 4" xfId="51435"/>
    <cellStyle name="资产 5 28 5" xfId="51436"/>
    <cellStyle name="资产 5 28 6" xfId="51437"/>
    <cellStyle name="资产 5 28 7" xfId="51438"/>
    <cellStyle name="资产 5 29" xfId="8977"/>
    <cellStyle name="资产 5 29 2" xfId="51439"/>
    <cellStyle name="资产 5 29 3" xfId="51440"/>
    <cellStyle name="资产 5 29 4" xfId="51441"/>
    <cellStyle name="资产 5 29 5" xfId="51442"/>
    <cellStyle name="资产 5 29 6" xfId="51443"/>
    <cellStyle name="资产 5 29 7" xfId="51444"/>
    <cellStyle name="资产 5 3" xfId="8978"/>
    <cellStyle name="资产 5 3 10" xfId="51445"/>
    <cellStyle name="资产 5 3 2" xfId="51446"/>
    <cellStyle name="资产 5 3 3" xfId="51447"/>
    <cellStyle name="资产 5 3 4" xfId="51448"/>
    <cellStyle name="资产 5 3 5" xfId="51449"/>
    <cellStyle name="资产 5 3 6" xfId="51450"/>
    <cellStyle name="资产 5 3 7" xfId="51451"/>
    <cellStyle name="资产 5 3 8" xfId="51452"/>
    <cellStyle name="资产 5 3 9" xfId="51453"/>
    <cellStyle name="资产 5 30" xfId="8979"/>
    <cellStyle name="资产 5 30 2" xfId="51454"/>
    <cellStyle name="资产 5 30 3" xfId="51455"/>
    <cellStyle name="资产 5 30 4" xfId="51456"/>
    <cellStyle name="资产 5 30 5" xfId="51457"/>
    <cellStyle name="资产 5 30 6" xfId="51458"/>
    <cellStyle name="资产 5 30 7" xfId="51459"/>
    <cellStyle name="资产 5 31" xfId="8980"/>
    <cellStyle name="资产 5 31 2" xfId="51460"/>
    <cellStyle name="资产 5 31 3" xfId="51461"/>
    <cellStyle name="资产 5 31 4" xfId="51462"/>
    <cellStyle name="资产 5 31 5" xfId="51463"/>
    <cellStyle name="资产 5 31 6" xfId="51464"/>
    <cellStyle name="资产 5 31 7" xfId="51465"/>
    <cellStyle name="资产 5 32" xfId="8981"/>
    <cellStyle name="资产 5 32 2" xfId="51466"/>
    <cellStyle name="资产 5 32 3" xfId="51467"/>
    <cellStyle name="资产 5 32 4" xfId="51468"/>
    <cellStyle name="资产 5 32 5" xfId="51469"/>
    <cellStyle name="资产 5 32 6" xfId="51470"/>
    <cellStyle name="资产 5 32 7" xfId="51471"/>
    <cellStyle name="资产 5 33" xfId="8982"/>
    <cellStyle name="资产 5 33 2" xfId="51472"/>
    <cellStyle name="资产 5 33 3" xfId="51473"/>
    <cellStyle name="资产 5 33 4" xfId="51474"/>
    <cellStyle name="资产 5 33 5" xfId="51475"/>
    <cellStyle name="资产 5 33 6" xfId="51476"/>
    <cellStyle name="资产 5 33 7" xfId="51477"/>
    <cellStyle name="资产 5 34" xfId="8983"/>
    <cellStyle name="资产 5 34 2" xfId="51478"/>
    <cellStyle name="资产 5 34 3" xfId="51479"/>
    <cellStyle name="资产 5 34 4" xfId="51480"/>
    <cellStyle name="资产 5 34 5" xfId="51481"/>
    <cellStyle name="资产 5 34 6" xfId="51482"/>
    <cellStyle name="资产 5 34 7" xfId="51483"/>
    <cellStyle name="资产 5 35" xfId="8984"/>
    <cellStyle name="资产 5 35 2" xfId="51484"/>
    <cellStyle name="资产 5 35 3" xfId="51485"/>
    <cellStyle name="资产 5 35 4" xfId="51486"/>
    <cellStyle name="资产 5 35 5" xfId="51487"/>
    <cellStyle name="资产 5 35 6" xfId="51488"/>
    <cellStyle name="资产 5 35 7" xfId="51489"/>
    <cellStyle name="资产 5 36" xfId="8985"/>
    <cellStyle name="资产 5 36 2" xfId="51490"/>
    <cellStyle name="资产 5 36 3" xfId="51491"/>
    <cellStyle name="资产 5 36 4" xfId="51492"/>
    <cellStyle name="资产 5 36 5" xfId="51493"/>
    <cellStyle name="资产 5 36 6" xfId="51494"/>
    <cellStyle name="资产 5 36 7" xfId="51495"/>
    <cellStyle name="资产 5 37" xfId="8986"/>
    <cellStyle name="资产 5 37 2" xfId="51496"/>
    <cellStyle name="资产 5 37 3" xfId="51497"/>
    <cellStyle name="资产 5 37 4" xfId="51498"/>
    <cellStyle name="资产 5 37 5" xfId="51499"/>
    <cellStyle name="资产 5 37 6" xfId="51500"/>
    <cellStyle name="资产 5 37 7" xfId="51501"/>
    <cellStyle name="资产 5 38" xfId="8987"/>
    <cellStyle name="资产 5 38 2" xfId="51502"/>
    <cellStyle name="资产 5 38 3" xfId="51503"/>
    <cellStyle name="资产 5 38 4" xfId="51504"/>
    <cellStyle name="资产 5 38 5" xfId="51505"/>
    <cellStyle name="资产 5 38 6" xfId="51506"/>
    <cellStyle name="资产 5 38 7" xfId="51507"/>
    <cellStyle name="资产 5 39" xfId="8988"/>
    <cellStyle name="资产 5 39 2" xfId="51508"/>
    <cellStyle name="资产 5 39 3" xfId="51509"/>
    <cellStyle name="资产 5 39 4" xfId="51510"/>
    <cellStyle name="资产 5 39 5" xfId="51511"/>
    <cellStyle name="资产 5 39 6" xfId="51512"/>
    <cellStyle name="资产 5 39 7" xfId="51513"/>
    <cellStyle name="资产 5 4" xfId="8989"/>
    <cellStyle name="资产 5 4 10" xfId="51514"/>
    <cellStyle name="资产 5 4 2" xfId="51515"/>
    <cellStyle name="资产 5 4 3" xfId="51516"/>
    <cellStyle name="资产 5 4 4" xfId="51517"/>
    <cellStyle name="资产 5 4 5" xfId="51518"/>
    <cellStyle name="资产 5 4 6" xfId="51519"/>
    <cellStyle name="资产 5 4 7" xfId="51520"/>
    <cellStyle name="资产 5 4 8" xfId="51521"/>
    <cellStyle name="资产 5 4 9" xfId="51522"/>
    <cellStyle name="资产 5 40" xfId="8990"/>
    <cellStyle name="资产 5 40 2" xfId="51523"/>
    <cellStyle name="资产 5 40 3" xfId="51524"/>
    <cellStyle name="资产 5 40 4" xfId="51525"/>
    <cellStyle name="资产 5 40 5" xfId="51526"/>
    <cellStyle name="资产 5 40 6" xfId="51527"/>
    <cellStyle name="资产 5 40 7" xfId="51528"/>
    <cellStyle name="资产 5 41" xfId="8991"/>
    <cellStyle name="资产 5 41 2" xfId="51529"/>
    <cellStyle name="资产 5 41 3" xfId="51530"/>
    <cellStyle name="资产 5 41 4" xfId="51531"/>
    <cellStyle name="资产 5 41 5" xfId="51532"/>
    <cellStyle name="资产 5 41 6" xfId="51533"/>
    <cellStyle name="资产 5 41 7" xfId="51534"/>
    <cellStyle name="资产 5 42" xfId="8992"/>
    <cellStyle name="资产 5 42 2" xfId="51535"/>
    <cellStyle name="资产 5 42 3" xfId="51536"/>
    <cellStyle name="资产 5 42 4" xfId="51537"/>
    <cellStyle name="资产 5 42 5" xfId="51538"/>
    <cellStyle name="资产 5 42 6" xfId="51539"/>
    <cellStyle name="资产 5 42 7" xfId="51540"/>
    <cellStyle name="资产 5 43" xfId="8993"/>
    <cellStyle name="资产 5 43 2" xfId="51541"/>
    <cellStyle name="资产 5 43 3" xfId="51542"/>
    <cellStyle name="资产 5 43 4" xfId="51543"/>
    <cellStyle name="资产 5 43 5" xfId="51544"/>
    <cellStyle name="资产 5 43 6" xfId="51545"/>
    <cellStyle name="资产 5 43 7" xfId="51546"/>
    <cellStyle name="资产 5 44" xfId="8994"/>
    <cellStyle name="资产 5 44 2" xfId="51547"/>
    <cellStyle name="资产 5 44 3" xfId="51548"/>
    <cellStyle name="资产 5 44 4" xfId="51549"/>
    <cellStyle name="资产 5 44 5" xfId="51550"/>
    <cellStyle name="资产 5 44 6" xfId="51551"/>
    <cellStyle name="资产 5 44 7" xfId="51552"/>
    <cellStyle name="资产 5 45" xfId="8995"/>
    <cellStyle name="资产 5 45 2" xfId="51553"/>
    <cellStyle name="资产 5 45 3" xfId="51554"/>
    <cellStyle name="资产 5 45 4" xfId="51555"/>
    <cellStyle name="资产 5 45 5" xfId="51556"/>
    <cellStyle name="资产 5 45 6" xfId="51557"/>
    <cellStyle name="资产 5 45 7" xfId="51558"/>
    <cellStyle name="资产 5 46" xfId="8996"/>
    <cellStyle name="资产 5 46 2" xfId="51559"/>
    <cellStyle name="资产 5 46 3" xfId="51560"/>
    <cellStyle name="资产 5 46 4" xfId="51561"/>
    <cellStyle name="资产 5 46 5" xfId="51562"/>
    <cellStyle name="资产 5 46 6" xfId="51563"/>
    <cellStyle name="资产 5 46 7" xfId="51564"/>
    <cellStyle name="资产 5 47" xfId="8997"/>
    <cellStyle name="资产 5 47 2" xfId="51565"/>
    <cellStyle name="资产 5 47 3" xfId="51566"/>
    <cellStyle name="资产 5 47 4" xfId="51567"/>
    <cellStyle name="资产 5 47 5" xfId="51568"/>
    <cellStyle name="资产 5 47 6" xfId="51569"/>
    <cellStyle name="资产 5 47 7" xfId="51570"/>
    <cellStyle name="资产 5 48" xfId="8998"/>
    <cellStyle name="资产 5 48 2" xfId="51571"/>
    <cellStyle name="资产 5 48 3" xfId="51572"/>
    <cellStyle name="资产 5 48 4" xfId="51573"/>
    <cellStyle name="资产 5 48 5" xfId="51574"/>
    <cellStyle name="资产 5 48 6" xfId="51575"/>
    <cellStyle name="资产 5 48 7" xfId="51576"/>
    <cellStyle name="资产 5 49" xfId="8999"/>
    <cellStyle name="资产 5 49 2" xfId="51577"/>
    <cellStyle name="资产 5 49 3" xfId="51578"/>
    <cellStyle name="资产 5 49 4" xfId="51579"/>
    <cellStyle name="资产 5 49 5" xfId="51580"/>
    <cellStyle name="资产 5 49 6" xfId="51581"/>
    <cellStyle name="资产 5 49 7" xfId="51582"/>
    <cellStyle name="资产 5 5" xfId="9000"/>
    <cellStyle name="资产 5 5 2" xfId="51583"/>
    <cellStyle name="资产 5 5 3" xfId="51584"/>
    <cellStyle name="资产 5 5 4" xfId="51585"/>
    <cellStyle name="资产 5 5 5" xfId="51586"/>
    <cellStyle name="资产 5 5 6" xfId="51587"/>
    <cellStyle name="资产 5 5 7" xfId="51588"/>
    <cellStyle name="资产 5 50" xfId="9001"/>
    <cellStyle name="资产 5 50 2" xfId="51589"/>
    <cellStyle name="资产 5 50 3" xfId="51590"/>
    <cellStyle name="资产 5 50 4" xfId="51591"/>
    <cellStyle name="资产 5 50 5" xfId="51592"/>
    <cellStyle name="资产 5 50 6" xfId="51593"/>
    <cellStyle name="资产 5 50 7" xfId="51594"/>
    <cellStyle name="资产 5 51" xfId="9002"/>
    <cellStyle name="资产 5 51 2" xfId="51595"/>
    <cellStyle name="资产 5 51 3" xfId="51596"/>
    <cellStyle name="资产 5 51 4" xfId="51597"/>
    <cellStyle name="资产 5 51 5" xfId="51598"/>
    <cellStyle name="资产 5 51 6" xfId="51599"/>
    <cellStyle name="资产 5 51 7" xfId="51600"/>
    <cellStyle name="资产 5 52" xfId="9003"/>
    <cellStyle name="资产 5 52 2" xfId="51601"/>
    <cellStyle name="资产 5 52 3" xfId="51602"/>
    <cellStyle name="资产 5 52 4" xfId="51603"/>
    <cellStyle name="资产 5 52 5" xfId="51604"/>
    <cellStyle name="资产 5 52 6" xfId="51605"/>
    <cellStyle name="资产 5 52 7" xfId="51606"/>
    <cellStyle name="资产 5 53" xfId="9004"/>
    <cellStyle name="资产 5 53 2" xfId="51607"/>
    <cellStyle name="资产 5 53 3" xfId="51608"/>
    <cellStyle name="资产 5 53 4" xfId="51609"/>
    <cellStyle name="资产 5 53 5" xfId="51610"/>
    <cellStyle name="资产 5 53 6" xfId="51611"/>
    <cellStyle name="资产 5 53 7" xfId="51612"/>
    <cellStyle name="资产 5 54" xfId="9005"/>
    <cellStyle name="资产 5 54 2" xfId="51613"/>
    <cellStyle name="资产 5 54 3" xfId="51614"/>
    <cellStyle name="资产 5 54 4" xfId="51615"/>
    <cellStyle name="资产 5 54 5" xfId="51616"/>
    <cellStyle name="资产 5 54 6" xfId="51617"/>
    <cellStyle name="资产 5 54 7" xfId="51618"/>
    <cellStyle name="资产 5 55" xfId="9006"/>
    <cellStyle name="资产 5 55 2" xfId="51619"/>
    <cellStyle name="资产 5 55 3" xfId="51620"/>
    <cellStyle name="资产 5 55 4" xfId="51621"/>
    <cellStyle name="资产 5 55 5" xfId="51622"/>
    <cellStyle name="资产 5 55 6" xfId="51623"/>
    <cellStyle name="资产 5 55 7" xfId="51624"/>
    <cellStyle name="资产 5 56" xfId="9007"/>
    <cellStyle name="资产 5 56 2" xfId="51625"/>
    <cellStyle name="资产 5 56 3" xfId="51626"/>
    <cellStyle name="资产 5 56 4" xfId="51627"/>
    <cellStyle name="资产 5 56 5" xfId="51628"/>
    <cellStyle name="资产 5 56 6" xfId="51629"/>
    <cellStyle name="资产 5 56 7" xfId="51630"/>
    <cellStyle name="资产 5 57" xfId="9008"/>
    <cellStyle name="资产 5 57 2" xfId="51631"/>
    <cellStyle name="资产 5 57 3" xfId="51632"/>
    <cellStyle name="资产 5 57 4" xfId="51633"/>
    <cellStyle name="资产 5 57 5" xfId="51634"/>
    <cellStyle name="资产 5 57 6" xfId="51635"/>
    <cellStyle name="资产 5 57 7" xfId="51636"/>
    <cellStyle name="资产 5 58" xfId="9009"/>
    <cellStyle name="资产 5 58 2" xfId="51637"/>
    <cellStyle name="资产 5 58 3" xfId="51638"/>
    <cellStyle name="资产 5 58 4" xfId="51639"/>
    <cellStyle name="资产 5 58 5" xfId="51640"/>
    <cellStyle name="资产 5 58 6" xfId="51641"/>
    <cellStyle name="资产 5 58 7" xfId="51642"/>
    <cellStyle name="资产 5 59" xfId="9010"/>
    <cellStyle name="资产 5 59 2" xfId="51643"/>
    <cellStyle name="资产 5 59 3" xfId="51644"/>
    <cellStyle name="资产 5 59 4" xfId="51645"/>
    <cellStyle name="资产 5 59 5" xfId="51646"/>
    <cellStyle name="资产 5 59 6" xfId="51647"/>
    <cellStyle name="资产 5 59 7" xfId="51648"/>
    <cellStyle name="资产 5 6" xfId="9011"/>
    <cellStyle name="资产 5 6 2" xfId="51649"/>
    <cellStyle name="资产 5 6 3" xfId="51650"/>
    <cellStyle name="资产 5 6 4" xfId="51651"/>
    <cellStyle name="资产 5 6 5" xfId="51652"/>
    <cellStyle name="资产 5 6 6" xfId="51653"/>
    <cellStyle name="资产 5 6 7" xfId="51654"/>
    <cellStyle name="资产 5 60" xfId="9012"/>
    <cellStyle name="资产 5 60 2" xfId="51655"/>
    <cellStyle name="资产 5 60 3" xfId="51656"/>
    <cellStyle name="资产 5 60 4" xfId="51657"/>
    <cellStyle name="资产 5 60 5" xfId="51658"/>
    <cellStyle name="资产 5 60 6" xfId="51659"/>
    <cellStyle name="资产 5 60 7" xfId="51660"/>
    <cellStyle name="资产 5 61" xfId="9013"/>
    <cellStyle name="资产 5 61 2" xfId="51661"/>
    <cellStyle name="资产 5 61 3" xfId="51662"/>
    <cellStyle name="资产 5 61 4" xfId="51663"/>
    <cellStyle name="资产 5 61 5" xfId="51664"/>
    <cellStyle name="资产 5 61 6" xfId="51665"/>
    <cellStyle name="资产 5 61 7" xfId="51666"/>
    <cellStyle name="资产 5 62" xfId="9014"/>
    <cellStyle name="资产 5 62 2" xfId="51667"/>
    <cellStyle name="资产 5 62 3" xfId="51668"/>
    <cellStyle name="资产 5 62 4" xfId="51669"/>
    <cellStyle name="资产 5 62 5" xfId="51670"/>
    <cellStyle name="资产 5 62 6" xfId="51671"/>
    <cellStyle name="资产 5 62 7" xfId="51672"/>
    <cellStyle name="资产 5 63" xfId="9015"/>
    <cellStyle name="资产 5 63 2" xfId="51673"/>
    <cellStyle name="资产 5 63 3" xfId="51674"/>
    <cellStyle name="资产 5 63 4" xfId="51675"/>
    <cellStyle name="资产 5 63 5" xfId="51676"/>
    <cellStyle name="资产 5 63 6" xfId="51677"/>
    <cellStyle name="资产 5 63 7" xfId="51678"/>
    <cellStyle name="资产 5 64" xfId="9016"/>
    <cellStyle name="资产 5 64 2" xfId="51679"/>
    <cellStyle name="资产 5 64 3" xfId="51680"/>
    <cellStyle name="资产 5 64 4" xfId="51681"/>
    <cellStyle name="资产 5 64 5" xfId="51682"/>
    <cellStyle name="资产 5 64 6" xfId="51683"/>
    <cellStyle name="资产 5 64 7" xfId="51684"/>
    <cellStyle name="资产 5 65" xfId="9017"/>
    <cellStyle name="资产 5 65 2" xfId="51685"/>
    <cellStyle name="资产 5 65 3" xfId="51686"/>
    <cellStyle name="资产 5 65 4" xfId="51687"/>
    <cellStyle name="资产 5 65 5" xfId="51688"/>
    <cellStyle name="资产 5 65 6" xfId="51689"/>
    <cellStyle name="资产 5 65 7" xfId="51690"/>
    <cellStyle name="资产 5 66" xfId="9018"/>
    <cellStyle name="资产 5 66 2" xfId="51691"/>
    <cellStyle name="资产 5 66 3" xfId="51692"/>
    <cellStyle name="资产 5 66 4" xfId="51693"/>
    <cellStyle name="资产 5 66 5" xfId="51694"/>
    <cellStyle name="资产 5 66 6" xfId="51695"/>
    <cellStyle name="资产 5 66 7" xfId="51696"/>
    <cellStyle name="资产 5 67" xfId="9019"/>
    <cellStyle name="资产 5 67 2" xfId="51697"/>
    <cellStyle name="资产 5 67 3" xfId="51698"/>
    <cellStyle name="资产 5 67 4" xfId="51699"/>
    <cellStyle name="资产 5 67 5" xfId="51700"/>
    <cellStyle name="资产 5 67 6" xfId="51701"/>
    <cellStyle name="资产 5 67 7" xfId="51702"/>
    <cellStyle name="资产 5 68" xfId="9020"/>
    <cellStyle name="资产 5 68 2" xfId="51703"/>
    <cellStyle name="资产 5 68 3" xfId="51704"/>
    <cellStyle name="资产 5 68 4" xfId="51705"/>
    <cellStyle name="资产 5 68 5" xfId="51706"/>
    <cellStyle name="资产 5 68 6" xfId="51707"/>
    <cellStyle name="资产 5 68 7" xfId="51708"/>
    <cellStyle name="资产 5 69" xfId="9021"/>
    <cellStyle name="资产 5 69 2" xfId="51709"/>
    <cellStyle name="资产 5 69 3" xfId="51710"/>
    <cellStyle name="资产 5 69 4" xfId="51711"/>
    <cellStyle name="资产 5 69 5" xfId="51712"/>
    <cellStyle name="资产 5 69 6" xfId="51713"/>
    <cellStyle name="资产 5 69 7" xfId="51714"/>
    <cellStyle name="资产 5 7" xfId="9022"/>
    <cellStyle name="资产 5 7 2" xfId="51715"/>
    <cellStyle name="资产 5 7 3" xfId="51716"/>
    <cellStyle name="资产 5 7 4" xfId="51717"/>
    <cellStyle name="资产 5 7 5" xfId="51718"/>
    <cellStyle name="资产 5 7 6" xfId="51719"/>
    <cellStyle name="资产 5 7 7" xfId="51720"/>
    <cellStyle name="资产 5 70" xfId="9023"/>
    <cellStyle name="资产 5 70 2" xfId="51721"/>
    <cellStyle name="资产 5 70 3" xfId="51722"/>
    <cellStyle name="资产 5 70 4" xfId="51723"/>
    <cellStyle name="资产 5 70 5" xfId="51724"/>
    <cellStyle name="资产 5 70 6" xfId="51725"/>
    <cellStyle name="资产 5 70 7" xfId="51726"/>
    <cellStyle name="资产 5 71" xfId="9024"/>
    <cellStyle name="资产 5 71 2" xfId="51727"/>
    <cellStyle name="资产 5 71 3" xfId="51728"/>
    <cellStyle name="资产 5 71 4" xfId="51729"/>
    <cellStyle name="资产 5 71 5" xfId="51730"/>
    <cellStyle name="资产 5 71 6" xfId="51731"/>
    <cellStyle name="资产 5 71 7" xfId="51732"/>
    <cellStyle name="资产 5 72" xfId="9025"/>
    <cellStyle name="资产 5 72 2" xfId="51733"/>
    <cellStyle name="资产 5 72 3" xfId="51734"/>
    <cellStyle name="资产 5 72 4" xfId="51735"/>
    <cellStyle name="资产 5 72 5" xfId="51736"/>
    <cellStyle name="资产 5 72 6" xfId="51737"/>
    <cellStyle name="资产 5 72 7" xfId="51738"/>
    <cellStyle name="资产 5 73" xfId="9026"/>
    <cellStyle name="资产 5 73 2" xfId="51739"/>
    <cellStyle name="资产 5 73 3" xfId="51740"/>
    <cellStyle name="资产 5 73 4" xfId="51741"/>
    <cellStyle name="资产 5 73 5" xfId="51742"/>
    <cellStyle name="资产 5 73 6" xfId="51743"/>
    <cellStyle name="资产 5 73 7" xfId="51744"/>
    <cellStyle name="资产 5 74" xfId="9027"/>
    <cellStyle name="资产 5 74 2" xfId="51745"/>
    <cellStyle name="资产 5 74 3" xfId="51746"/>
    <cellStyle name="资产 5 74 4" xfId="51747"/>
    <cellStyle name="资产 5 74 5" xfId="51748"/>
    <cellStyle name="资产 5 74 6" xfId="51749"/>
    <cellStyle name="资产 5 74 7" xfId="51750"/>
    <cellStyle name="资产 5 75" xfId="9028"/>
    <cellStyle name="资产 5 75 2" xfId="51751"/>
    <cellStyle name="资产 5 75 3" xfId="51752"/>
    <cellStyle name="资产 5 75 4" xfId="51753"/>
    <cellStyle name="资产 5 75 5" xfId="51754"/>
    <cellStyle name="资产 5 75 6" xfId="51755"/>
    <cellStyle name="资产 5 75 7" xfId="51756"/>
    <cellStyle name="资产 5 76" xfId="9029"/>
    <cellStyle name="资产 5 76 2" xfId="51757"/>
    <cellStyle name="资产 5 76 3" xfId="51758"/>
    <cellStyle name="资产 5 76 4" xfId="51759"/>
    <cellStyle name="资产 5 76 5" xfId="51760"/>
    <cellStyle name="资产 5 76 6" xfId="51761"/>
    <cellStyle name="资产 5 76 7" xfId="51762"/>
    <cellStyle name="资产 5 77" xfId="9030"/>
    <cellStyle name="资产 5 77 2" xfId="51763"/>
    <cellStyle name="资产 5 77 3" xfId="51764"/>
    <cellStyle name="资产 5 77 4" xfId="51765"/>
    <cellStyle name="资产 5 77 5" xfId="51766"/>
    <cellStyle name="资产 5 77 6" xfId="51767"/>
    <cellStyle name="资产 5 77 7" xfId="51768"/>
    <cellStyle name="资产 5 78" xfId="9031"/>
    <cellStyle name="资产 5 78 2" xfId="51769"/>
    <cellStyle name="资产 5 78 3" xfId="51770"/>
    <cellStyle name="资产 5 78 4" xfId="51771"/>
    <cellStyle name="资产 5 78 5" xfId="51772"/>
    <cellStyle name="资产 5 78 6" xfId="51773"/>
    <cellStyle name="资产 5 78 7" xfId="51774"/>
    <cellStyle name="资产 5 79" xfId="9032"/>
    <cellStyle name="资产 5 79 2" xfId="51775"/>
    <cellStyle name="资产 5 79 3" xfId="51776"/>
    <cellStyle name="资产 5 79 4" xfId="51777"/>
    <cellStyle name="资产 5 79 5" xfId="51778"/>
    <cellStyle name="资产 5 79 6" xfId="51779"/>
    <cellStyle name="资产 5 79 7" xfId="51780"/>
    <cellStyle name="资产 5 8" xfId="9033"/>
    <cellStyle name="资产 5 8 2" xfId="51781"/>
    <cellStyle name="资产 5 8 3" xfId="51782"/>
    <cellStyle name="资产 5 8 4" xfId="51783"/>
    <cellStyle name="资产 5 8 5" xfId="51784"/>
    <cellStyle name="资产 5 8 6" xfId="51785"/>
    <cellStyle name="资产 5 8 7" xfId="51786"/>
    <cellStyle name="资产 5 80" xfId="9034"/>
    <cellStyle name="资产 5 80 2" xfId="51787"/>
    <cellStyle name="资产 5 80 3" xfId="51788"/>
    <cellStyle name="资产 5 80 4" xfId="51789"/>
    <cellStyle name="资产 5 80 5" xfId="51790"/>
    <cellStyle name="资产 5 80 6" xfId="51791"/>
    <cellStyle name="资产 5 80 7" xfId="51792"/>
    <cellStyle name="资产 5 81" xfId="9035"/>
    <cellStyle name="资产 5 81 2" xfId="51793"/>
    <cellStyle name="资产 5 81 3" xfId="51794"/>
    <cellStyle name="资产 5 81 4" xfId="51795"/>
    <cellStyle name="资产 5 81 5" xfId="51796"/>
    <cellStyle name="资产 5 81 6" xfId="51797"/>
    <cellStyle name="资产 5 81 7" xfId="51798"/>
    <cellStyle name="资产 5 82" xfId="9036"/>
    <cellStyle name="资产 5 82 2" xfId="51799"/>
    <cellStyle name="资产 5 82 3" xfId="51800"/>
    <cellStyle name="资产 5 82 4" xfId="51801"/>
    <cellStyle name="资产 5 82 5" xfId="51802"/>
    <cellStyle name="资产 5 82 6" xfId="51803"/>
    <cellStyle name="资产 5 82 7" xfId="51804"/>
    <cellStyle name="资产 5 83" xfId="9037"/>
    <cellStyle name="资产 5 83 2" xfId="51805"/>
    <cellStyle name="资产 5 83 3" xfId="51806"/>
    <cellStyle name="资产 5 83 4" xfId="51807"/>
    <cellStyle name="资产 5 83 5" xfId="51808"/>
    <cellStyle name="资产 5 83 6" xfId="51809"/>
    <cellStyle name="资产 5 83 7" xfId="51810"/>
    <cellStyle name="资产 5 84" xfId="9038"/>
    <cellStyle name="资产 5 84 2" xfId="51811"/>
    <cellStyle name="资产 5 84 3" xfId="51812"/>
    <cellStyle name="资产 5 84 4" xfId="51813"/>
    <cellStyle name="资产 5 84 5" xfId="51814"/>
    <cellStyle name="资产 5 84 6" xfId="51815"/>
    <cellStyle name="资产 5 84 7" xfId="51816"/>
    <cellStyle name="资产 5 85" xfId="9039"/>
    <cellStyle name="资产 5 85 2" xfId="51817"/>
    <cellStyle name="资产 5 85 3" xfId="51818"/>
    <cellStyle name="资产 5 85 4" xfId="51819"/>
    <cellStyle name="资产 5 85 5" xfId="51820"/>
    <cellStyle name="资产 5 85 6" xfId="51821"/>
    <cellStyle name="资产 5 85 7" xfId="51822"/>
    <cellStyle name="资产 5 86" xfId="9040"/>
    <cellStyle name="资产 5 86 2" xfId="51823"/>
    <cellStyle name="资产 5 86 3" xfId="51824"/>
    <cellStyle name="资产 5 86 4" xfId="51825"/>
    <cellStyle name="资产 5 86 5" xfId="51826"/>
    <cellStyle name="资产 5 86 6" xfId="51827"/>
    <cellStyle name="资产 5 86 7" xfId="51828"/>
    <cellStyle name="资产 5 87" xfId="9041"/>
    <cellStyle name="资产 5 87 2" xfId="51829"/>
    <cellStyle name="资产 5 87 3" xfId="51830"/>
    <cellStyle name="资产 5 87 4" xfId="51831"/>
    <cellStyle name="资产 5 87 5" xfId="51832"/>
    <cellStyle name="资产 5 87 6" xfId="51833"/>
    <cellStyle name="资产 5 87 7" xfId="51834"/>
    <cellStyle name="资产 5 88" xfId="9042"/>
    <cellStyle name="资产 5 88 2" xfId="51835"/>
    <cellStyle name="资产 5 88 3" xfId="51836"/>
    <cellStyle name="资产 5 88 4" xfId="51837"/>
    <cellStyle name="资产 5 88 5" xfId="51838"/>
    <cellStyle name="资产 5 88 6" xfId="51839"/>
    <cellStyle name="资产 5 88 7" xfId="51840"/>
    <cellStyle name="资产 5 89" xfId="9043"/>
    <cellStyle name="资产 5 89 2" xfId="51841"/>
    <cellStyle name="资产 5 89 3" xfId="51842"/>
    <cellStyle name="资产 5 89 4" xfId="51843"/>
    <cellStyle name="资产 5 89 5" xfId="51844"/>
    <cellStyle name="资产 5 89 6" xfId="51845"/>
    <cellStyle name="资产 5 89 7" xfId="51846"/>
    <cellStyle name="资产 5 9" xfId="9044"/>
    <cellStyle name="资产 5 9 2" xfId="51847"/>
    <cellStyle name="资产 5 9 3" xfId="51848"/>
    <cellStyle name="资产 5 9 4" xfId="51849"/>
    <cellStyle name="资产 5 9 5" xfId="51850"/>
    <cellStyle name="资产 5 9 6" xfId="51851"/>
    <cellStyle name="资产 5 9 7" xfId="51852"/>
    <cellStyle name="资产 5 90" xfId="9045"/>
    <cellStyle name="资产 5 90 2" xfId="51853"/>
    <cellStyle name="资产 5 90 3" xfId="51854"/>
    <cellStyle name="资产 5 90 4" xfId="51855"/>
    <cellStyle name="资产 5 90 5" xfId="51856"/>
    <cellStyle name="资产 5 90 6" xfId="51857"/>
    <cellStyle name="资产 5 90 7" xfId="51858"/>
    <cellStyle name="资产 5 91" xfId="9046"/>
    <cellStyle name="资产 5 91 2" xfId="51859"/>
    <cellStyle name="资产 5 91 3" xfId="51860"/>
    <cellStyle name="资产 5 91 4" xfId="51861"/>
    <cellStyle name="资产 5 91 5" xfId="51862"/>
    <cellStyle name="资产 5 91 6" xfId="51863"/>
    <cellStyle name="资产 5 91 7" xfId="51864"/>
    <cellStyle name="资产 5 92" xfId="9047"/>
    <cellStyle name="资产 5 92 2" xfId="51865"/>
    <cellStyle name="资产 5 92 3" xfId="51866"/>
    <cellStyle name="资产 5 92 4" xfId="51867"/>
    <cellStyle name="资产 5 92 5" xfId="51868"/>
    <cellStyle name="资产 5 92 6" xfId="51869"/>
    <cellStyle name="资产 5 92 7" xfId="51870"/>
    <cellStyle name="资产 5 93" xfId="9048"/>
    <cellStyle name="资产 5 93 2" xfId="51871"/>
    <cellStyle name="资产 5 93 3" xfId="51872"/>
    <cellStyle name="资产 5 93 4" xfId="51873"/>
    <cellStyle name="资产 5 93 5" xfId="51874"/>
    <cellStyle name="资产 5 93 6" xfId="51875"/>
    <cellStyle name="资产 5 94" xfId="51876"/>
    <cellStyle name="资产 5 95" xfId="51877"/>
    <cellStyle name="资产 5 96" xfId="51878"/>
    <cellStyle name="资产 5 97" xfId="51879"/>
    <cellStyle name="资产 5 98" xfId="51880"/>
    <cellStyle name="资产 5 99" xfId="51881"/>
    <cellStyle name="资产 50" xfId="9049"/>
    <cellStyle name="资产 50 2" xfId="51882"/>
    <cellStyle name="资产 50 3" xfId="51883"/>
    <cellStyle name="资产 50 4" xfId="51884"/>
    <cellStyle name="资产 50 5" xfId="51885"/>
    <cellStyle name="资产 50 6" xfId="51886"/>
    <cellStyle name="资产 50 7" xfId="51887"/>
    <cellStyle name="资产 51" xfId="9050"/>
    <cellStyle name="资产 51 2" xfId="51888"/>
    <cellStyle name="资产 51 3" xfId="51889"/>
    <cellStyle name="资产 51 4" xfId="51890"/>
    <cellStyle name="资产 51 5" xfId="51891"/>
    <cellStyle name="资产 51 6" xfId="51892"/>
    <cellStyle name="资产 51 7" xfId="51893"/>
    <cellStyle name="资产 52" xfId="9051"/>
    <cellStyle name="资产 52 2" xfId="51894"/>
    <cellStyle name="资产 52 3" xfId="51895"/>
    <cellStyle name="资产 52 4" xfId="51896"/>
    <cellStyle name="资产 52 5" xfId="51897"/>
    <cellStyle name="资产 52 6" xfId="51898"/>
    <cellStyle name="资产 52 7" xfId="51899"/>
    <cellStyle name="资产 53" xfId="9052"/>
    <cellStyle name="资产 53 2" xfId="51900"/>
    <cellStyle name="资产 53 3" xfId="51901"/>
    <cellStyle name="资产 53 4" xfId="51902"/>
    <cellStyle name="资产 53 5" xfId="51903"/>
    <cellStyle name="资产 53 6" xfId="51904"/>
    <cellStyle name="资产 53 7" xfId="51905"/>
    <cellStyle name="资产 54" xfId="9053"/>
    <cellStyle name="资产 54 2" xfId="51906"/>
    <cellStyle name="资产 54 3" xfId="51907"/>
    <cellStyle name="资产 54 4" xfId="51908"/>
    <cellStyle name="资产 54 5" xfId="51909"/>
    <cellStyle name="资产 54 6" xfId="51910"/>
    <cellStyle name="资产 54 7" xfId="51911"/>
    <cellStyle name="资产 55" xfId="9054"/>
    <cellStyle name="资产 55 2" xfId="51912"/>
    <cellStyle name="资产 55 3" xfId="51913"/>
    <cellStyle name="资产 55 4" xfId="51914"/>
    <cellStyle name="资产 55 5" xfId="51915"/>
    <cellStyle name="资产 55 6" xfId="51916"/>
    <cellStyle name="资产 55 7" xfId="51917"/>
    <cellStyle name="资产 56" xfId="9055"/>
    <cellStyle name="资产 56 2" xfId="51918"/>
    <cellStyle name="资产 56 3" xfId="51919"/>
    <cellStyle name="资产 56 4" xfId="51920"/>
    <cellStyle name="资产 56 5" xfId="51921"/>
    <cellStyle name="资产 56 6" xfId="51922"/>
    <cellStyle name="资产 56 7" xfId="51923"/>
    <cellStyle name="资产 57" xfId="9056"/>
    <cellStyle name="资产 57 2" xfId="51924"/>
    <cellStyle name="资产 57 3" xfId="51925"/>
    <cellStyle name="资产 57 4" xfId="51926"/>
    <cellStyle name="资产 57 5" xfId="51927"/>
    <cellStyle name="资产 57 6" xfId="51928"/>
    <cellStyle name="资产 57 7" xfId="51929"/>
    <cellStyle name="资产 58" xfId="9057"/>
    <cellStyle name="资产 58 2" xfId="51930"/>
    <cellStyle name="资产 58 3" xfId="51931"/>
    <cellStyle name="资产 58 4" xfId="51932"/>
    <cellStyle name="资产 58 5" xfId="51933"/>
    <cellStyle name="资产 58 6" xfId="51934"/>
    <cellStyle name="资产 58 7" xfId="51935"/>
    <cellStyle name="资产 59" xfId="9058"/>
    <cellStyle name="资产 59 2" xfId="51936"/>
    <cellStyle name="资产 59 3" xfId="51937"/>
    <cellStyle name="资产 59 4" xfId="51938"/>
    <cellStyle name="资产 59 5" xfId="51939"/>
    <cellStyle name="资产 59 6" xfId="51940"/>
    <cellStyle name="资产 59 7" xfId="51941"/>
    <cellStyle name="资产 6" xfId="9059"/>
    <cellStyle name="资产 6 10" xfId="9060"/>
    <cellStyle name="资产 6 10 2" xfId="51942"/>
    <cellStyle name="资产 6 10 3" xfId="51943"/>
    <cellStyle name="资产 6 10 4" xfId="51944"/>
    <cellStyle name="资产 6 10 5" xfId="51945"/>
    <cellStyle name="资产 6 10 6" xfId="51946"/>
    <cellStyle name="资产 6 10 7" xfId="51947"/>
    <cellStyle name="资产 6 100" xfId="51948"/>
    <cellStyle name="资产 6 101" xfId="51949"/>
    <cellStyle name="资产 6 102" xfId="51950"/>
    <cellStyle name="资产 6 11" xfId="9061"/>
    <cellStyle name="资产 6 11 2" xfId="51951"/>
    <cellStyle name="资产 6 11 3" xfId="51952"/>
    <cellStyle name="资产 6 11 4" xfId="51953"/>
    <cellStyle name="资产 6 11 5" xfId="51954"/>
    <cellStyle name="资产 6 11 6" xfId="51955"/>
    <cellStyle name="资产 6 11 7" xfId="51956"/>
    <cellStyle name="资产 6 12" xfId="9062"/>
    <cellStyle name="资产 6 12 2" xfId="51957"/>
    <cellStyle name="资产 6 12 3" xfId="51958"/>
    <cellStyle name="资产 6 12 4" xfId="51959"/>
    <cellStyle name="资产 6 12 5" xfId="51960"/>
    <cellStyle name="资产 6 12 6" xfId="51961"/>
    <cellStyle name="资产 6 12 7" xfId="51962"/>
    <cellStyle name="资产 6 13" xfId="9063"/>
    <cellStyle name="资产 6 13 2" xfId="51963"/>
    <cellStyle name="资产 6 13 3" xfId="51964"/>
    <cellStyle name="资产 6 13 4" xfId="51965"/>
    <cellStyle name="资产 6 13 5" xfId="51966"/>
    <cellStyle name="资产 6 13 6" xfId="51967"/>
    <cellStyle name="资产 6 13 7" xfId="51968"/>
    <cellStyle name="资产 6 14" xfId="9064"/>
    <cellStyle name="资产 6 14 2" xfId="51969"/>
    <cellStyle name="资产 6 14 3" xfId="51970"/>
    <cellStyle name="资产 6 14 4" xfId="51971"/>
    <cellStyle name="资产 6 14 5" xfId="51972"/>
    <cellStyle name="资产 6 14 6" xfId="51973"/>
    <cellStyle name="资产 6 14 7" xfId="51974"/>
    <cellStyle name="资产 6 15" xfId="9065"/>
    <cellStyle name="资产 6 15 2" xfId="51975"/>
    <cellStyle name="资产 6 15 3" xfId="51976"/>
    <cellStyle name="资产 6 15 4" xfId="51977"/>
    <cellStyle name="资产 6 15 5" xfId="51978"/>
    <cellStyle name="资产 6 15 6" xfId="51979"/>
    <cellStyle name="资产 6 15 7" xfId="51980"/>
    <cellStyle name="资产 6 16" xfId="9066"/>
    <cellStyle name="资产 6 16 2" xfId="51981"/>
    <cellStyle name="资产 6 16 3" xfId="51982"/>
    <cellStyle name="资产 6 16 4" xfId="51983"/>
    <cellStyle name="资产 6 16 5" xfId="51984"/>
    <cellStyle name="资产 6 16 6" xfId="51985"/>
    <cellStyle name="资产 6 16 7" xfId="51986"/>
    <cellStyle name="资产 6 17" xfId="9067"/>
    <cellStyle name="资产 6 17 2" xfId="51987"/>
    <cellStyle name="资产 6 17 3" xfId="51988"/>
    <cellStyle name="资产 6 17 4" xfId="51989"/>
    <cellStyle name="资产 6 17 5" xfId="51990"/>
    <cellStyle name="资产 6 17 6" xfId="51991"/>
    <cellStyle name="资产 6 17 7" xfId="51992"/>
    <cellStyle name="资产 6 18" xfId="9068"/>
    <cellStyle name="资产 6 18 2" xfId="51993"/>
    <cellStyle name="资产 6 18 3" xfId="51994"/>
    <cellStyle name="资产 6 18 4" xfId="51995"/>
    <cellStyle name="资产 6 18 5" xfId="51996"/>
    <cellStyle name="资产 6 18 6" xfId="51997"/>
    <cellStyle name="资产 6 18 7" xfId="51998"/>
    <cellStyle name="资产 6 19" xfId="9069"/>
    <cellStyle name="资产 6 19 2" xfId="51999"/>
    <cellStyle name="资产 6 19 3" xfId="52000"/>
    <cellStyle name="资产 6 19 4" xfId="52001"/>
    <cellStyle name="资产 6 19 5" xfId="52002"/>
    <cellStyle name="资产 6 19 6" xfId="52003"/>
    <cellStyle name="资产 6 19 7" xfId="52004"/>
    <cellStyle name="资产 6 2" xfId="9070"/>
    <cellStyle name="资产 6 2 10" xfId="52005"/>
    <cellStyle name="资产 6 2 11" xfId="52006"/>
    <cellStyle name="资产 6 2 2" xfId="52007"/>
    <cellStyle name="资产 6 2 3" xfId="52008"/>
    <cellStyle name="资产 6 2 4" xfId="52009"/>
    <cellStyle name="资产 6 2 5" xfId="52010"/>
    <cellStyle name="资产 6 2 6" xfId="52011"/>
    <cellStyle name="资产 6 2 7" xfId="52012"/>
    <cellStyle name="资产 6 2 8" xfId="52013"/>
    <cellStyle name="资产 6 2 9" xfId="52014"/>
    <cellStyle name="资产 6 20" xfId="9071"/>
    <cellStyle name="资产 6 20 2" xfId="52015"/>
    <cellStyle name="资产 6 20 3" xfId="52016"/>
    <cellStyle name="资产 6 20 4" xfId="52017"/>
    <cellStyle name="资产 6 20 5" xfId="52018"/>
    <cellStyle name="资产 6 20 6" xfId="52019"/>
    <cellStyle name="资产 6 20 7" xfId="52020"/>
    <cellStyle name="资产 6 21" xfId="9072"/>
    <cellStyle name="资产 6 21 2" xfId="52021"/>
    <cellStyle name="资产 6 21 3" xfId="52022"/>
    <cellStyle name="资产 6 21 4" xfId="52023"/>
    <cellStyle name="资产 6 21 5" xfId="52024"/>
    <cellStyle name="资产 6 21 6" xfId="52025"/>
    <cellStyle name="资产 6 21 7" xfId="52026"/>
    <cellStyle name="资产 6 22" xfId="9073"/>
    <cellStyle name="资产 6 22 2" xfId="52027"/>
    <cellStyle name="资产 6 22 3" xfId="52028"/>
    <cellStyle name="资产 6 22 4" xfId="52029"/>
    <cellStyle name="资产 6 22 5" xfId="52030"/>
    <cellStyle name="资产 6 22 6" xfId="52031"/>
    <cellStyle name="资产 6 22 7" xfId="52032"/>
    <cellStyle name="资产 6 23" xfId="9074"/>
    <cellStyle name="资产 6 23 2" xfId="52033"/>
    <cellStyle name="资产 6 23 3" xfId="52034"/>
    <cellStyle name="资产 6 23 4" xfId="52035"/>
    <cellStyle name="资产 6 23 5" xfId="52036"/>
    <cellStyle name="资产 6 23 6" xfId="52037"/>
    <cellStyle name="资产 6 23 7" xfId="52038"/>
    <cellStyle name="资产 6 24" xfId="9075"/>
    <cellStyle name="资产 6 24 2" xfId="52039"/>
    <cellStyle name="资产 6 24 3" xfId="52040"/>
    <cellStyle name="资产 6 24 4" xfId="52041"/>
    <cellStyle name="资产 6 24 5" xfId="52042"/>
    <cellStyle name="资产 6 24 6" xfId="52043"/>
    <cellStyle name="资产 6 24 7" xfId="52044"/>
    <cellStyle name="资产 6 25" xfId="9076"/>
    <cellStyle name="资产 6 25 2" xfId="52045"/>
    <cellStyle name="资产 6 25 3" xfId="52046"/>
    <cellStyle name="资产 6 25 4" xfId="52047"/>
    <cellStyle name="资产 6 25 5" xfId="52048"/>
    <cellStyle name="资产 6 25 6" xfId="52049"/>
    <cellStyle name="资产 6 25 7" xfId="52050"/>
    <cellStyle name="资产 6 26" xfId="9077"/>
    <cellStyle name="资产 6 26 2" xfId="52051"/>
    <cellStyle name="资产 6 26 3" xfId="52052"/>
    <cellStyle name="资产 6 26 4" xfId="52053"/>
    <cellStyle name="资产 6 26 5" xfId="52054"/>
    <cellStyle name="资产 6 26 6" xfId="52055"/>
    <cellStyle name="资产 6 26 7" xfId="52056"/>
    <cellStyle name="资产 6 27" xfId="9078"/>
    <cellStyle name="资产 6 27 2" xfId="52057"/>
    <cellStyle name="资产 6 27 3" xfId="52058"/>
    <cellStyle name="资产 6 27 4" xfId="52059"/>
    <cellStyle name="资产 6 27 5" xfId="52060"/>
    <cellStyle name="资产 6 27 6" xfId="52061"/>
    <cellStyle name="资产 6 27 7" xfId="52062"/>
    <cellStyle name="资产 6 28" xfId="9079"/>
    <cellStyle name="资产 6 28 2" xfId="52063"/>
    <cellStyle name="资产 6 28 3" xfId="52064"/>
    <cellStyle name="资产 6 28 4" xfId="52065"/>
    <cellStyle name="资产 6 28 5" xfId="52066"/>
    <cellStyle name="资产 6 28 6" xfId="52067"/>
    <cellStyle name="资产 6 28 7" xfId="52068"/>
    <cellStyle name="资产 6 29" xfId="9080"/>
    <cellStyle name="资产 6 29 2" xfId="52069"/>
    <cellStyle name="资产 6 29 3" xfId="52070"/>
    <cellStyle name="资产 6 29 4" xfId="52071"/>
    <cellStyle name="资产 6 29 5" xfId="52072"/>
    <cellStyle name="资产 6 29 6" xfId="52073"/>
    <cellStyle name="资产 6 29 7" xfId="52074"/>
    <cellStyle name="资产 6 3" xfId="9081"/>
    <cellStyle name="资产 6 3 10" xfId="52075"/>
    <cellStyle name="资产 6 3 2" xfId="52076"/>
    <cellStyle name="资产 6 3 3" xfId="52077"/>
    <cellStyle name="资产 6 3 4" xfId="52078"/>
    <cellStyle name="资产 6 3 5" xfId="52079"/>
    <cellStyle name="资产 6 3 6" xfId="52080"/>
    <cellStyle name="资产 6 3 7" xfId="52081"/>
    <cellStyle name="资产 6 3 8" xfId="52082"/>
    <cellStyle name="资产 6 3 9" xfId="52083"/>
    <cellStyle name="资产 6 30" xfId="9082"/>
    <cellStyle name="资产 6 30 2" xfId="52084"/>
    <cellStyle name="资产 6 30 3" xfId="52085"/>
    <cellStyle name="资产 6 30 4" xfId="52086"/>
    <cellStyle name="资产 6 30 5" xfId="52087"/>
    <cellStyle name="资产 6 30 6" xfId="52088"/>
    <cellStyle name="资产 6 30 7" xfId="52089"/>
    <cellStyle name="资产 6 31" xfId="9083"/>
    <cellStyle name="资产 6 31 2" xfId="52090"/>
    <cellStyle name="资产 6 31 3" xfId="52091"/>
    <cellStyle name="资产 6 31 4" xfId="52092"/>
    <cellStyle name="资产 6 31 5" xfId="52093"/>
    <cellStyle name="资产 6 31 6" xfId="52094"/>
    <cellStyle name="资产 6 31 7" xfId="52095"/>
    <cellStyle name="资产 6 32" xfId="9084"/>
    <cellStyle name="资产 6 32 2" xfId="52096"/>
    <cellStyle name="资产 6 32 3" xfId="52097"/>
    <cellStyle name="资产 6 32 4" xfId="52098"/>
    <cellStyle name="资产 6 32 5" xfId="52099"/>
    <cellStyle name="资产 6 32 6" xfId="52100"/>
    <cellStyle name="资产 6 32 7" xfId="52101"/>
    <cellStyle name="资产 6 33" xfId="9085"/>
    <cellStyle name="资产 6 33 2" xfId="52102"/>
    <cellStyle name="资产 6 33 3" xfId="52103"/>
    <cellStyle name="资产 6 33 4" xfId="52104"/>
    <cellStyle name="资产 6 33 5" xfId="52105"/>
    <cellStyle name="资产 6 33 6" xfId="52106"/>
    <cellStyle name="资产 6 33 7" xfId="52107"/>
    <cellStyle name="资产 6 34" xfId="9086"/>
    <cellStyle name="资产 6 34 2" xfId="52108"/>
    <cellStyle name="资产 6 34 3" xfId="52109"/>
    <cellStyle name="资产 6 34 4" xfId="52110"/>
    <cellStyle name="资产 6 34 5" xfId="52111"/>
    <cellStyle name="资产 6 34 6" xfId="52112"/>
    <cellStyle name="资产 6 34 7" xfId="52113"/>
    <cellStyle name="资产 6 35" xfId="9087"/>
    <cellStyle name="资产 6 35 2" xfId="52114"/>
    <cellStyle name="资产 6 35 3" xfId="52115"/>
    <cellStyle name="资产 6 35 4" xfId="52116"/>
    <cellStyle name="资产 6 35 5" xfId="52117"/>
    <cellStyle name="资产 6 35 6" xfId="52118"/>
    <cellStyle name="资产 6 35 7" xfId="52119"/>
    <cellStyle name="资产 6 36" xfId="9088"/>
    <cellStyle name="资产 6 36 2" xfId="52120"/>
    <cellStyle name="资产 6 36 3" xfId="52121"/>
    <cellStyle name="资产 6 36 4" xfId="52122"/>
    <cellStyle name="资产 6 36 5" xfId="52123"/>
    <cellStyle name="资产 6 36 6" xfId="52124"/>
    <cellStyle name="资产 6 36 7" xfId="52125"/>
    <cellStyle name="资产 6 37" xfId="9089"/>
    <cellStyle name="资产 6 37 2" xfId="52126"/>
    <cellStyle name="资产 6 37 3" xfId="52127"/>
    <cellStyle name="资产 6 37 4" xfId="52128"/>
    <cellStyle name="资产 6 37 5" xfId="52129"/>
    <cellStyle name="资产 6 37 6" xfId="52130"/>
    <cellStyle name="资产 6 37 7" xfId="52131"/>
    <cellStyle name="资产 6 38" xfId="9090"/>
    <cellStyle name="资产 6 38 2" xfId="52132"/>
    <cellStyle name="资产 6 38 3" xfId="52133"/>
    <cellStyle name="资产 6 38 4" xfId="52134"/>
    <cellStyle name="资产 6 38 5" xfId="52135"/>
    <cellStyle name="资产 6 38 6" xfId="52136"/>
    <cellStyle name="资产 6 38 7" xfId="52137"/>
    <cellStyle name="资产 6 39" xfId="9091"/>
    <cellStyle name="资产 6 39 2" xfId="52138"/>
    <cellStyle name="资产 6 39 3" xfId="52139"/>
    <cellStyle name="资产 6 39 4" xfId="52140"/>
    <cellStyle name="资产 6 39 5" xfId="52141"/>
    <cellStyle name="资产 6 39 6" xfId="52142"/>
    <cellStyle name="资产 6 39 7" xfId="52143"/>
    <cellStyle name="资产 6 4" xfId="9092"/>
    <cellStyle name="资产 6 4 10" xfId="52144"/>
    <cellStyle name="资产 6 4 2" xfId="52145"/>
    <cellStyle name="资产 6 4 3" xfId="52146"/>
    <cellStyle name="资产 6 4 4" xfId="52147"/>
    <cellStyle name="资产 6 4 5" xfId="52148"/>
    <cellStyle name="资产 6 4 6" xfId="52149"/>
    <cellStyle name="资产 6 4 7" xfId="52150"/>
    <cellStyle name="资产 6 4 8" xfId="52151"/>
    <cellStyle name="资产 6 4 9" xfId="52152"/>
    <cellStyle name="资产 6 40" xfId="9093"/>
    <cellStyle name="资产 6 40 2" xfId="52153"/>
    <cellStyle name="资产 6 40 3" xfId="52154"/>
    <cellStyle name="资产 6 40 4" xfId="52155"/>
    <cellStyle name="资产 6 40 5" xfId="52156"/>
    <cellStyle name="资产 6 40 6" xfId="52157"/>
    <cellStyle name="资产 6 40 7" xfId="52158"/>
    <cellStyle name="资产 6 41" xfId="9094"/>
    <cellStyle name="资产 6 41 2" xfId="52159"/>
    <cellStyle name="资产 6 41 3" xfId="52160"/>
    <cellStyle name="资产 6 41 4" xfId="52161"/>
    <cellStyle name="资产 6 41 5" xfId="52162"/>
    <cellStyle name="资产 6 41 6" xfId="52163"/>
    <cellStyle name="资产 6 41 7" xfId="52164"/>
    <cellStyle name="资产 6 42" xfId="9095"/>
    <cellStyle name="资产 6 42 2" xfId="52165"/>
    <cellStyle name="资产 6 42 3" xfId="52166"/>
    <cellStyle name="资产 6 42 4" xfId="52167"/>
    <cellStyle name="资产 6 42 5" xfId="52168"/>
    <cellStyle name="资产 6 42 6" xfId="52169"/>
    <cellStyle name="资产 6 42 7" xfId="52170"/>
    <cellStyle name="资产 6 43" xfId="9096"/>
    <cellStyle name="资产 6 43 2" xfId="52171"/>
    <cellStyle name="资产 6 43 3" xfId="52172"/>
    <cellStyle name="资产 6 43 4" xfId="52173"/>
    <cellStyle name="资产 6 43 5" xfId="52174"/>
    <cellStyle name="资产 6 43 6" xfId="52175"/>
    <cellStyle name="资产 6 43 7" xfId="52176"/>
    <cellStyle name="资产 6 44" xfId="9097"/>
    <cellStyle name="资产 6 44 2" xfId="52177"/>
    <cellStyle name="资产 6 44 3" xfId="52178"/>
    <cellStyle name="资产 6 44 4" xfId="52179"/>
    <cellStyle name="资产 6 44 5" xfId="52180"/>
    <cellStyle name="资产 6 44 6" xfId="52181"/>
    <cellStyle name="资产 6 44 7" xfId="52182"/>
    <cellStyle name="资产 6 45" xfId="9098"/>
    <cellStyle name="资产 6 45 2" xfId="52183"/>
    <cellStyle name="资产 6 45 3" xfId="52184"/>
    <cellStyle name="资产 6 45 4" xfId="52185"/>
    <cellStyle name="资产 6 45 5" xfId="52186"/>
    <cellStyle name="资产 6 45 6" xfId="52187"/>
    <cellStyle name="资产 6 45 7" xfId="52188"/>
    <cellStyle name="资产 6 46" xfId="9099"/>
    <cellStyle name="资产 6 46 2" xfId="52189"/>
    <cellStyle name="资产 6 46 3" xfId="52190"/>
    <cellStyle name="资产 6 46 4" xfId="52191"/>
    <cellStyle name="资产 6 46 5" xfId="52192"/>
    <cellStyle name="资产 6 46 6" xfId="52193"/>
    <cellStyle name="资产 6 46 7" xfId="52194"/>
    <cellStyle name="资产 6 47" xfId="9100"/>
    <cellStyle name="资产 6 47 2" xfId="52195"/>
    <cellStyle name="资产 6 47 3" xfId="52196"/>
    <cellStyle name="资产 6 47 4" xfId="52197"/>
    <cellStyle name="资产 6 47 5" xfId="52198"/>
    <cellStyle name="资产 6 47 6" xfId="52199"/>
    <cellStyle name="资产 6 47 7" xfId="52200"/>
    <cellStyle name="资产 6 48" xfId="9101"/>
    <cellStyle name="资产 6 48 2" xfId="52201"/>
    <cellStyle name="资产 6 48 3" xfId="52202"/>
    <cellStyle name="资产 6 48 4" xfId="52203"/>
    <cellStyle name="资产 6 48 5" xfId="52204"/>
    <cellStyle name="资产 6 48 6" xfId="52205"/>
    <cellStyle name="资产 6 48 7" xfId="52206"/>
    <cellStyle name="资产 6 49" xfId="9102"/>
    <cellStyle name="资产 6 49 2" xfId="52207"/>
    <cellStyle name="资产 6 49 3" xfId="52208"/>
    <cellStyle name="资产 6 49 4" xfId="52209"/>
    <cellStyle name="资产 6 49 5" xfId="52210"/>
    <cellStyle name="资产 6 49 6" xfId="52211"/>
    <cellStyle name="资产 6 49 7" xfId="52212"/>
    <cellStyle name="资产 6 5" xfId="9103"/>
    <cellStyle name="资产 6 5 2" xfId="52213"/>
    <cellStyle name="资产 6 5 3" xfId="52214"/>
    <cellStyle name="资产 6 5 4" xfId="52215"/>
    <cellStyle name="资产 6 5 5" xfId="52216"/>
    <cellStyle name="资产 6 5 6" xfId="52217"/>
    <cellStyle name="资产 6 5 7" xfId="52218"/>
    <cellStyle name="资产 6 50" xfId="9104"/>
    <cellStyle name="资产 6 50 2" xfId="52219"/>
    <cellStyle name="资产 6 50 3" xfId="52220"/>
    <cellStyle name="资产 6 50 4" xfId="52221"/>
    <cellStyle name="资产 6 50 5" xfId="52222"/>
    <cellStyle name="资产 6 50 6" xfId="52223"/>
    <cellStyle name="资产 6 50 7" xfId="52224"/>
    <cellStyle name="资产 6 51" xfId="9105"/>
    <cellStyle name="资产 6 51 2" xfId="52225"/>
    <cellStyle name="资产 6 51 3" xfId="52226"/>
    <cellStyle name="资产 6 51 4" xfId="52227"/>
    <cellStyle name="资产 6 51 5" xfId="52228"/>
    <cellStyle name="资产 6 51 6" xfId="52229"/>
    <cellStyle name="资产 6 51 7" xfId="52230"/>
    <cellStyle name="资产 6 52" xfId="9106"/>
    <cellStyle name="资产 6 52 2" xfId="52231"/>
    <cellStyle name="资产 6 52 3" xfId="52232"/>
    <cellStyle name="资产 6 52 4" xfId="52233"/>
    <cellStyle name="资产 6 52 5" xfId="52234"/>
    <cellStyle name="资产 6 52 6" xfId="52235"/>
    <cellStyle name="资产 6 52 7" xfId="52236"/>
    <cellStyle name="资产 6 53" xfId="9107"/>
    <cellStyle name="资产 6 53 2" xfId="52237"/>
    <cellStyle name="资产 6 53 3" xfId="52238"/>
    <cellStyle name="资产 6 53 4" xfId="52239"/>
    <cellStyle name="资产 6 53 5" xfId="52240"/>
    <cellStyle name="资产 6 53 6" xfId="52241"/>
    <cellStyle name="资产 6 53 7" xfId="52242"/>
    <cellStyle name="资产 6 54" xfId="9108"/>
    <cellStyle name="资产 6 54 2" xfId="52243"/>
    <cellStyle name="资产 6 54 3" xfId="52244"/>
    <cellStyle name="资产 6 54 4" xfId="52245"/>
    <cellStyle name="资产 6 54 5" xfId="52246"/>
    <cellStyle name="资产 6 54 6" xfId="52247"/>
    <cellStyle name="资产 6 54 7" xfId="52248"/>
    <cellStyle name="资产 6 55" xfId="9109"/>
    <cellStyle name="资产 6 55 2" xfId="52249"/>
    <cellStyle name="资产 6 55 3" xfId="52250"/>
    <cellStyle name="资产 6 55 4" xfId="52251"/>
    <cellStyle name="资产 6 55 5" xfId="52252"/>
    <cellStyle name="资产 6 55 6" xfId="52253"/>
    <cellStyle name="资产 6 55 7" xfId="52254"/>
    <cellStyle name="资产 6 56" xfId="9110"/>
    <cellStyle name="资产 6 56 2" xfId="52255"/>
    <cellStyle name="资产 6 56 3" xfId="52256"/>
    <cellStyle name="资产 6 56 4" xfId="52257"/>
    <cellStyle name="资产 6 56 5" xfId="52258"/>
    <cellStyle name="资产 6 56 6" xfId="52259"/>
    <cellStyle name="资产 6 56 7" xfId="52260"/>
    <cellStyle name="资产 6 57" xfId="9111"/>
    <cellStyle name="资产 6 57 2" xfId="52261"/>
    <cellStyle name="资产 6 57 3" xfId="52262"/>
    <cellStyle name="资产 6 57 4" xfId="52263"/>
    <cellStyle name="资产 6 57 5" xfId="52264"/>
    <cellStyle name="资产 6 57 6" xfId="52265"/>
    <cellStyle name="资产 6 57 7" xfId="52266"/>
    <cellStyle name="资产 6 58" xfId="9112"/>
    <cellStyle name="资产 6 58 2" xfId="52267"/>
    <cellStyle name="资产 6 58 3" xfId="52268"/>
    <cellStyle name="资产 6 58 4" xfId="52269"/>
    <cellStyle name="资产 6 58 5" xfId="52270"/>
    <cellStyle name="资产 6 58 6" xfId="52271"/>
    <cellStyle name="资产 6 58 7" xfId="52272"/>
    <cellStyle name="资产 6 59" xfId="9113"/>
    <cellStyle name="资产 6 59 2" xfId="52273"/>
    <cellStyle name="资产 6 59 3" xfId="52274"/>
    <cellStyle name="资产 6 59 4" xfId="52275"/>
    <cellStyle name="资产 6 59 5" xfId="52276"/>
    <cellStyle name="资产 6 59 6" xfId="52277"/>
    <cellStyle name="资产 6 59 7" xfId="52278"/>
    <cellStyle name="资产 6 6" xfId="9114"/>
    <cellStyle name="资产 6 6 2" xfId="52279"/>
    <cellStyle name="资产 6 6 3" xfId="52280"/>
    <cellStyle name="资产 6 6 4" xfId="52281"/>
    <cellStyle name="资产 6 6 5" xfId="52282"/>
    <cellStyle name="资产 6 6 6" xfId="52283"/>
    <cellStyle name="资产 6 6 7" xfId="52284"/>
    <cellStyle name="资产 6 60" xfId="9115"/>
    <cellStyle name="资产 6 60 2" xfId="52285"/>
    <cellStyle name="资产 6 60 3" xfId="52286"/>
    <cellStyle name="资产 6 60 4" xfId="52287"/>
    <cellStyle name="资产 6 60 5" xfId="52288"/>
    <cellStyle name="资产 6 60 6" xfId="52289"/>
    <cellStyle name="资产 6 60 7" xfId="52290"/>
    <cellStyle name="资产 6 61" xfId="9116"/>
    <cellStyle name="资产 6 61 2" xfId="52291"/>
    <cellStyle name="资产 6 61 3" xfId="52292"/>
    <cellStyle name="资产 6 61 4" xfId="52293"/>
    <cellStyle name="资产 6 61 5" xfId="52294"/>
    <cellStyle name="资产 6 61 6" xfId="52295"/>
    <cellStyle name="资产 6 61 7" xfId="52296"/>
    <cellStyle name="资产 6 62" xfId="9117"/>
    <cellStyle name="资产 6 62 2" xfId="52297"/>
    <cellStyle name="资产 6 62 3" xfId="52298"/>
    <cellStyle name="资产 6 62 4" xfId="52299"/>
    <cellStyle name="资产 6 62 5" xfId="52300"/>
    <cellStyle name="资产 6 62 6" xfId="52301"/>
    <cellStyle name="资产 6 62 7" xfId="52302"/>
    <cellStyle name="资产 6 63" xfId="9118"/>
    <cellStyle name="资产 6 63 2" xfId="52303"/>
    <cellStyle name="资产 6 63 3" xfId="52304"/>
    <cellStyle name="资产 6 63 4" xfId="52305"/>
    <cellStyle name="资产 6 63 5" xfId="52306"/>
    <cellStyle name="资产 6 63 6" xfId="52307"/>
    <cellStyle name="资产 6 63 7" xfId="52308"/>
    <cellStyle name="资产 6 64" xfId="9119"/>
    <cellStyle name="资产 6 64 2" xfId="52309"/>
    <cellStyle name="资产 6 64 3" xfId="52310"/>
    <cellStyle name="资产 6 64 4" xfId="52311"/>
    <cellStyle name="资产 6 64 5" xfId="52312"/>
    <cellStyle name="资产 6 64 6" xfId="52313"/>
    <cellStyle name="资产 6 64 7" xfId="52314"/>
    <cellStyle name="资产 6 65" xfId="9120"/>
    <cellStyle name="资产 6 65 2" xfId="52315"/>
    <cellStyle name="资产 6 65 3" xfId="52316"/>
    <cellStyle name="资产 6 65 4" xfId="52317"/>
    <cellStyle name="资产 6 65 5" xfId="52318"/>
    <cellStyle name="资产 6 65 6" xfId="52319"/>
    <cellStyle name="资产 6 65 7" xfId="52320"/>
    <cellStyle name="资产 6 66" xfId="9121"/>
    <cellStyle name="资产 6 66 2" xfId="52321"/>
    <cellStyle name="资产 6 66 3" xfId="52322"/>
    <cellStyle name="资产 6 66 4" xfId="52323"/>
    <cellStyle name="资产 6 66 5" xfId="52324"/>
    <cellStyle name="资产 6 66 6" xfId="52325"/>
    <cellStyle name="资产 6 66 7" xfId="52326"/>
    <cellStyle name="资产 6 67" xfId="9122"/>
    <cellStyle name="资产 6 67 2" xfId="52327"/>
    <cellStyle name="资产 6 67 3" xfId="52328"/>
    <cellStyle name="资产 6 67 4" xfId="52329"/>
    <cellStyle name="资产 6 67 5" xfId="52330"/>
    <cellStyle name="资产 6 67 6" xfId="52331"/>
    <cellStyle name="资产 6 67 7" xfId="52332"/>
    <cellStyle name="资产 6 68" xfId="9123"/>
    <cellStyle name="资产 6 68 2" xfId="52333"/>
    <cellStyle name="资产 6 68 3" xfId="52334"/>
    <cellStyle name="资产 6 68 4" xfId="52335"/>
    <cellStyle name="资产 6 68 5" xfId="52336"/>
    <cellStyle name="资产 6 68 6" xfId="52337"/>
    <cellStyle name="资产 6 68 7" xfId="52338"/>
    <cellStyle name="资产 6 69" xfId="9124"/>
    <cellStyle name="资产 6 69 2" xfId="52339"/>
    <cellStyle name="资产 6 69 3" xfId="52340"/>
    <cellStyle name="资产 6 69 4" xfId="52341"/>
    <cellStyle name="资产 6 69 5" xfId="52342"/>
    <cellStyle name="资产 6 69 6" xfId="52343"/>
    <cellStyle name="资产 6 69 7" xfId="52344"/>
    <cellStyle name="资产 6 7" xfId="9125"/>
    <cellStyle name="资产 6 7 2" xfId="52345"/>
    <cellStyle name="资产 6 7 3" xfId="52346"/>
    <cellStyle name="资产 6 7 4" xfId="52347"/>
    <cellStyle name="资产 6 7 5" xfId="52348"/>
    <cellStyle name="资产 6 7 6" xfId="52349"/>
    <cellStyle name="资产 6 7 7" xfId="52350"/>
    <cellStyle name="资产 6 70" xfId="9126"/>
    <cellStyle name="资产 6 70 2" xfId="52351"/>
    <cellStyle name="资产 6 70 3" xfId="52352"/>
    <cellStyle name="资产 6 70 4" xfId="52353"/>
    <cellStyle name="资产 6 70 5" xfId="52354"/>
    <cellStyle name="资产 6 70 6" xfId="52355"/>
    <cellStyle name="资产 6 70 7" xfId="52356"/>
    <cellStyle name="资产 6 71" xfId="9127"/>
    <cellStyle name="资产 6 71 2" xfId="52357"/>
    <cellStyle name="资产 6 71 3" xfId="52358"/>
    <cellStyle name="资产 6 71 4" xfId="52359"/>
    <cellStyle name="资产 6 71 5" xfId="52360"/>
    <cellStyle name="资产 6 71 6" xfId="52361"/>
    <cellStyle name="资产 6 71 7" xfId="52362"/>
    <cellStyle name="资产 6 72" xfId="9128"/>
    <cellStyle name="资产 6 72 2" xfId="52363"/>
    <cellStyle name="资产 6 72 3" xfId="52364"/>
    <cellStyle name="资产 6 72 4" xfId="52365"/>
    <cellStyle name="资产 6 72 5" xfId="52366"/>
    <cellStyle name="资产 6 72 6" xfId="52367"/>
    <cellStyle name="资产 6 72 7" xfId="52368"/>
    <cellStyle name="资产 6 73" xfId="9129"/>
    <cellStyle name="资产 6 73 2" xfId="52369"/>
    <cellStyle name="资产 6 73 3" xfId="52370"/>
    <cellStyle name="资产 6 73 4" xfId="52371"/>
    <cellStyle name="资产 6 73 5" xfId="52372"/>
    <cellStyle name="资产 6 73 6" xfId="52373"/>
    <cellStyle name="资产 6 73 7" xfId="52374"/>
    <cellStyle name="资产 6 74" xfId="9130"/>
    <cellStyle name="资产 6 74 2" xfId="52375"/>
    <cellStyle name="资产 6 74 3" xfId="52376"/>
    <cellStyle name="资产 6 74 4" xfId="52377"/>
    <cellStyle name="资产 6 74 5" xfId="52378"/>
    <cellStyle name="资产 6 74 6" xfId="52379"/>
    <cellStyle name="资产 6 74 7" xfId="52380"/>
    <cellStyle name="资产 6 75" xfId="9131"/>
    <cellStyle name="资产 6 75 2" xfId="52381"/>
    <cellStyle name="资产 6 75 3" xfId="52382"/>
    <cellStyle name="资产 6 75 4" xfId="52383"/>
    <cellStyle name="资产 6 75 5" xfId="52384"/>
    <cellStyle name="资产 6 75 6" xfId="52385"/>
    <cellStyle name="资产 6 75 7" xfId="52386"/>
    <cellStyle name="资产 6 76" xfId="9132"/>
    <cellStyle name="资产 6 76 2" xfId="52387"/>
    <cellStyle name="资产 6 76 3" xfId="52388"/>
    <cellStyle name="资产 6 76 4" xfId="52389"/>
    <cellStyle name="资产 6 76 5" xfId="52390"/>
    <cellStyle name="资产 6 76 6" xfId="52391"/>
    <cellStyle name="资产 6 76 7" xfId="52392"/>
    <cellStyle name="资产 6 77" xfId="9133"/>
    <cellStyle name="资产 6 77 2" xfId="52393"/>
    <cellStyle name="资产 6 77 3" xfId="52394"/>
    <cellStyle name="资产 6 77 4" xfId="52395"/>
    <cellStyle name="资产 6 77 5" xfId="52396"/>
    <cellStyle name="资产 6 77 6" xfId="52397"/>
    <cellStyle name="资产 6 77 7" xfId="52398"/>
    <cellStyle name="资产 6 78" xfId="9134"/>
    <cellStyle name="资产 6 78 2" xfId="52399"/>
    <cellStyle name="资产 6 78 3" xfId="52400"/>
    <cellStyle name="资产 6 78 4" xfId="52401"/>
    <cellStyle name="资产 6 78 5" xfId="52402"/>
    <cellStyle name="资产 6 78 6" xfId="52403"/>
    <cellStyle name="资产 6 78 7" xfId="52404"/>
    <cellStyle name="资产 6 79" xfId="9135"/>
    <cellStyle name="资产 6 79 2" xfId="52405"/>
    <cellStyle name="资产 6 79 3" xfId="52406"/>
    <cellStyle name="资产 6 79 4" xfId="52407"/>
    <cellStyle name="资产 6 79 5" xfId="52408"/>
    <cellStyle name="资产 6 79 6" xfId="52409"/>
    <cellStyle name="资产 6 79 7" xfId="52410"/>
    <cellStyle name="资产 6 8" xfId="9136"/>
    <cellStyle name="资产 6 8 2" xfId="52411"/>
    <cellStyle name="资产 6 8 3" xfId="52412"/>
    <cellStyle name="资产 6 8 4" xfId="52413"/>
    <cellStyle name="资产 6 8 5" xfId="52414"/>
    <cellStyle name="资产 6 8 6" xfId="52415"/>
    <cellStyle name="资产 6 8 7" xfId="52416"/>
    <cellStyle name="资产 6 80" xfId="9137"/>
    <cellStyle name="资产 6 80 2" xfId="52417"/>
    <cellStyle name="资产 6 80 3" xfId="52418"/>
    <cellStyle name="资产 6 80 4" xfId="52419"/>
    <cellStyle name="资产 6 80 5" xfId="52420"/>
    <cellStyle name="资产 6 80 6" xfId="52421"/>
    <cellStyle name="资产 6 80 7" xfId="52422"/>
    <cellStyle name="资产 6 81" xfId="9138"/>
    <cellStyle name="资产 6 81 2" xfId="52423"/>
    <cellStyle name="资产 6 81 3" xfId="52424"/>
    <cellStyle name="资产 6 81 4" xfId="52425"/>
    <cellStyle name="资产 6 81 5" xfId="52426"/>
    <cellStyle name="资产 6 81 6" xfId="52427"/>
    <cellStyle name="资产 6 81 7" xfId="52428"/>
    <cellStyle name="资产 6 82" xfId="9139"/>
    <cellStyle name="资产 6 82 2" xfId="52429"/>
    <cellStyle name="资产 6 82 3" xfId="52430"/>
    <cellStyle name="资产 6 82 4" xfId="52431"/>
    <cellStyle name="资产 6 82 5" xfId="52432"/>
    <cellStyle name="资产 6 82 6" xfId="52433"/>
    <cellStyle name="资产 6 82 7" xfId="52434"/>
    <cellStyle name="资产 6 83" xfId="9140"/>
    <cellStyle name="资产 6 83 2" xfId="52435"/>
    <cellStyle name="资产 6 83 3" xfId="52436"/>
    <cellStyle name="资产 6 83 4" xfId="52437"/>
    <cellStyle name="资产 6 83 5" xfId="52438"/>
    <cellStyle name="资产 6 83 6" xfId="52439"/>
    <cellStyle name="资产 6 83 7" xfId="52440"/>
    <cellStyle name="资产 6 84" xfId="9141"/>
    <cellStyle name="资产 6 84 2" xfId="52441"/>
    <cellStyle name="资产 6 84 3" xfId="52442"/>
    <cellStyle name="资产 6 84 4" xfId="52443"/>
    <cellStyle name="资产 6 84 5" xfId="52444"/>
    <cellStyle name="资产 6 84 6" xfId="52445"/>
    <cellStyle name="资产 6 84 7" xfId="52446"/>
    <cellStyle name="资产 6 85" xfId="9142"/>
    <cellStyle name="资产 6 85 2" xfId="52447"/>
    <cellStyle name="资产 6 85 3" xfId="52448"/>
    <cellStyle name="资产 6 85 4" xfId="52449"/>
    <cellStyle name="资产 6 85 5" xfId="52450"/>
    <cellStyle name="资产 6 85 6" xfId="52451"/>
    <cellStyle name="资产 6 85 7" xfId="52452"/>
    <cellStyle name="资产 6 86" xfId="9143"/>
    <cellStyle name="资产 6 86 2" xfId="52453"/>
    <cellStyle name="资产 6 86 3" xfId="52454"/>
    <cellStyle name="资产 6 86 4" xfId="52455"/>
    <cellStyle name="资产 6 86 5" xfId="52456"/>
    <cellStyle name="资产 6 86 6" xfId="52457"/>
    <cellStyle name="资产 6 86 7" xfId="52458"/>
    <cellStyle name="资产 6 87" xfId="9144"/>
    <cellStyle name="资产 6 87 2" xfId="52459"/>
    <cellStyle name="资产 6 87 3" xfId="52460"/>
    <cellStyle name="资产 6 87 4" xfId="52461"/>
    <cellStyle name="资产 6 87 5" xfId="52462"/>
    <cellStyle name="资产 6 87 6" xfId="52463"/>
    <cellStyle name="资产 6 87 7" xfId="52464"/>
    <cellStyle name="资产 6 88" xfId="9145"/>
    <cellStyle name="资产 6 88 2" xfId="52465"/>
    <cellStyle name="资产 6 88 3" xfId="52466"/>
    <cellStyle name="资产 6 88 4" xfId="52467"/>
    <cellStyle name="资产 6 88 5" xfId="52468"/>
    <cellStyle name="资产 6 88 6" xfId="52469"/>
    <cellStyle name="资产 6 88 7" xfId="52470"/>
    <cellStyle name="资产 6 89" xfId="9146"/>
    <cellStyle name="资产 6 89 2" xfId="52471"/>
    <cellStyle name="资产 6 89 3" xfId="52472"/>
    <cellStyle name="资产 6 89 4" xfId="52473"/>
    <cellStyle name="资产 6 89 5" xfId="52474"/>
    <cellStyle name="资产 6 89 6" xfId="52475"/>
    <cellStyle name="资产 6 89 7" xfId="52476"/>
    <cellStyle name="资产 6 9" xfId="9147"/>
    <cellStyle name="资产 6 9 2" xfId="52477"/>
    <cellStyle name="资产 6 9 3" xfId="52478"/>
    <cellStyle name="资产 6 9 4" xfId="52479"/>
    <cellStyle name="资产 6 9 5" xfId="52480"/>
    <cellStyle name="资产 6 9 6" xfId="52481"/>
    <cellStyle name="资产 6 9 7" xfId="52482"/>
    <cellStyle name="资产 6 90" xfId="9148"/>
    <cellStyle name="资产 6 90 2" xfId="52483"/>
    <cellStyle name="资产 6 90 3" xfId="52484"/>
    <cellStyle name="资产 6 90 4" xfId="52485"/>
    <cellStyle name="资产 6 90 5" xfId="52486"/>
    <cellStyle name="资产 6 90 6" xfId="52487"/>
    <cellStyle name="资产 6 90 7" xfId="52488"/>
    <cellStyle name="资产 6 91" xfId="9149"/>
    <cellStyle name="资产 6 91 2" xfId="52489"/>
    <cellStyle name="资产 6 91 3" xfId="52490"/>
    <cellStyle name="资产 6 91 4" xfId="52491"/>
    <cellStyle name="资产 6 91 5" xfId="52492"/>
    <cellStyle name="资产 6 91 6" xfId="52493"/>
    <cellStyle name="资产 6 91 7" xfId="52494"/>
    <cellStyle name="资产 6 92" xfId="9150"/>
    <cellStyle name="资产 6 92 2" xfId="52495"/>
    <cellStyle name="资产 6 92 3" xfId="52496"/>
    <cellStyle name="资产 6 92 4" xfId="52497"/>
    <cellStyle name="资产 6 92 5" xfId="52498"/>
    <cellStyle name="资产 6 92 6" xfId="52499"/>
    <cellStyle name="资产 6 92 7" xfId="52500"/>
    <cellStyle name="资产 6 93" xfId="9151"/>
    <cellStyle name="资产 6 93 2" xfId="52501"/>
    <cellStyle name="资产 6 93 3" xfId="52502"/>
    <cellStyle name="资产 6 93 4" xfId="52503"/>
    <cellStyle name="资产 6 93 5" xfId="52504"/>
    <cellStyle name="资产 6 93 6" xfId="52505"/>
    <cellStyle name="资产 6 94" xfId="52506"/>
    <cellStyle name="资产 6 95" xfId="52507"/>
    <cellStyle name="资产 6 96" xfId="52508"/>
    <cellStyle name="资产 6 97" xfId="52509"/>
    <cellStyle name="资产 6 98" xfId="52510"/>
    <cellStyle name="资产 6 99" xfId="52511"/>
    <cellStyle name="资产 60" xfId="9152"/>
    <cellStyle name="资产 60 2" xfId="52512"/>
    <cellStyle name="资产 60 3" xfId="52513"/>
    <cellStyle name="资产 60 4" xfId="52514"/>
    <cellStyle name="资产 60 5" xfId="52515"/>
    <cellStyle name="资产 60 6" xfId="52516"/>
    <cellStyle name="资产 60 7" xfId="52517"/>
    <cellStyle name="资产 61" xfId="9153"/>
    <cellStyle name="资产 61 2" xfId="52518"/>
    <cellStyle name="资产 61 3" xfId="52519"/>
    <cellStyle name="资产 61 4" xfId="52520"/>
    <cellStyle name="资产 61 5" xfId="52521"/>
    <cellStyle name="资产 61 6" xfId="52522"/>
    <cellStyle name="资产 61 7" xfId="52523"/>
    <cellStyle name="资产 62" xfId="9154"/>
    <cellStyle name="资产 62 2" xfId="52524"/>
    <cellStyle name="资产 62 3" xfId="52525"/>
    <cellStyle name="资产 62 4" xfId="52526"/>
    <cellStyle name="资产 62 5" xfId="52527"/>
    <cellStyle name="资产 62 6" xfId="52528"/>
    <cellStyle name="资产 62 7" xfId="52529"/>
    <cellStyle name="资产 63" xfId="9155"/>
    <cellStyle name="资产 63 2" xfId="52530"/>
    <cellStyle name="资产 63 3" xfId="52531"/>
    <cellStyle name="资产 63 4" xfId="52532"/>
    <cellStyle name="资产 63 5" xfId="52533"/>
    <cellStyle name="资产 63 6" xfId="52534"/>
    <cellStyle name="资产 63 7" xfId="52535"/>
    <cellStyle name="资产 64" xfId="9156"/>
    <cellStyle name="资产 64 2" xfId="52536"/>
    <cellStyle name="资产 64 3" xfId="52537"/>
    <cellStyle name="资产 64 4" xfId="52538"/>
    <cellStyle name="资产 64 5" xfId="52539"/>
    <cellStyle name="资产 64 6" xfId="52540"/>
    <cellStyle name="资产 64 7" xfId="52541"/>
    <cellStyle name="资产 65" xfId="9157"/>
    <cellStyle name="资产 65 2" xfId="52542"/>
    <cellStyle name="资产 65 3" xfId="52543"/>
    <cellStyle name="资产 65 4" xfId="52544"/>
    <cellStyle name="资产 65 5" xfId="52545"/>
    <cellStyle name="资产 65 6" xfId="52546"/>
    <cellStyle name="资产 65 7" xfId="52547"/>
    <cellStyle name="资产 66" xfId="9158"/>
    <cellStyle name="资产 66 2" xfId="52548"/>
    <cellStyle name="资产 66 3" xfId="52549"/>
    <cellStyle name="资产 66 4" xfId="52550"/>
    <cellStyle name="资产 66 5" xfId="52551"/>
    <cellStyle name="资产 66 6" xfId="52552"/>
    <cellStyle name="资产 66 7" xfId="52553"/>
    <cellStyle name="资产 67" xfId="9159"/>
    <cellStyle name="资产 67 2" xfId="52554"/>
    <cellStyle name="资产 67 3" xfId="52555"/>
    <cellStyle name="资产 67 4" xfId="52556"/>
    <cellStyle name="资产 67 5" xfId="52557"/>
    <cellStyle name="资产 67 6" xfId="52558"/>
    <cellStyle name="资产 67 7" xfId="52559"/>
    <cellStyle name="资产 68" xfId="9160"/>
    <cellStyle name="资产 68 2" xfId="52560"/>
    <cellStyle name="资产 68 3" xfId="52561"/>
    <cellStyle name="资产 68 4" xfId="52562"/>
    <cellStyle name="资产 68 5" xfId="52563"/>
    <cellStyle name="资产 68 6" xfId="52564"/>
    <cellStyle name="资产 68 7" xfId="52565"/>
    <cellStyle name="资产 69" xfId="9161"/>
    <cellStyle name="资产 69 2" xfId="52566"/>
    <cellStyle name="资产 69 3" xfId="52567"/>
    <cellStyle name="资产 69 4" xfId="52568"/>
    <cellStyle name="资产 69 5" xfId="52569"/>
    <cellStyle name="资产 69 6" xfId="52570"/>
    <cellStyle name="资产 69 7" xfId="52571"/>
    <cellStyle name="资产 7" xfId="9162"/>
    <cellStyle name="资产 7 10" xfId="52572"/>
    <cellStyle name="资产 7 11" xfId="52573"/>
    <cellStyle name="资产 7 2" xfId="52574"/>
    <cellStyle name="资产 7 3" xfId="52575"/>
    <cellStyle name="资产 7 4" xfId="52576"/>
    <cellStyle name="资产 7 5" xfId="52577"/>
    <cellStyle name="资产 7 6" xfId="52578"/>
    <cellStyle name="资产 7 7" xfId="52579"/>
    <cellStyle name="资产 7 8" xfId="52580"/>
    <cellStyle name="资产 7 9" xfId="52581"/>
    <cellStyle name="资产 70" xfId="9163"/>
    <cellStyle name="资产 70 2" xfId="52582"/>
    <cellStyle name="资产 70 3" xfId="52583"/>
    <cellStyle name="资产 70 4" xfId="52584"/>
    <cellStyle name="资产 70 5" xfId="52585"/>
    <cellStyle name="资产 70 6" xfId="52586"/>
    <cellStyle name="资产 70 7" xfId="52587"/>
    <cellStyle name="资产 71" xfId="9164"/>
    <cellStyle name="资产 71 2" xfId="52588"/>
    <cellStyle name="资产 71 3" xfId="52589"/>
    <cellStyle name="资产 71 4" xfId="52590"/>
    <cellStyle name="资产 71 5" xfId="52591"/>
    <cellStyle name="资产 71 6" xfId="52592"/>
    <cellStyle name="资产 71 7" xfId="52593"/>
    <cellStyle name="资产 72" xfId="9165"/>
    <cellStyle name="资产 72 2" xfId="52594"/>
    <cellStyle name="资产 72 3" xfId="52595"/>
    <cellStyle name="资产 72 4" xfId="52596"/>
    <cellStyle name="资产 72 5" xfId="52597"/>
    <cellStyle name="资产 72 6" xfId="52598"/>
    <cellStyle name="资产 72 7" xfId="52599"/>
    <cellStyle name="资产 73" xfId="9166"/>
    <cellStyle name="资产 73 2" xfId="52600"/>
    <cellStyle name="资产 73 3" xfId="52601"/>
    <cellStyle name="资产 73 4" xfId="52602"/>
    <cellStyle name="资产 73 5" xfId="52603"/>
    <cellStyle name="资产 73 6" xfId="52604"/>
    <cellStyle name="资产 73 7" xfId="52605"/>
    <cellStyle name="资产 74" xfId="9167"/>
    <cellStyle name="资产 74 2" xfId="52606"/>
    <cellStyle name="资产 74 3" xfId="52607"/>
    <cellStyle name="资产 74 4" xfId="52608"/>
    <cellStyle name="资产 74 5" xfId="52609"/>
    <cellStyle name="资产 74 6" xfId="52610"/>
    <cellStyle name="资产 74 7" xfId="52611"/>
    <cellStyle name="资产 75" xfId="9168"/>
    <cellStyle name="资产 75 2" xfId="52612"/>
    <cellStyle name="资产 75 3" xfId="52613"/>
    <cellStyle name="资产 75 4" xfId="52614"/>
    <cellStyle name="资产 75 5" xfId="52615"/>
    <cellStyle name="资产 75 6" xfId="52616"/>
    <cellStyle name="资产 75 7" xfId="52617"/>
    <cellStyle name="资产 8" xfId="9169"/>
    <cellStyle name="资产 8 10" xfId="52618"/>
    <cellStyle name="资产 8 11" xfId="52619"/>
    <cellStyle name="资产 8 2" xfId="52620"/>
    <cellStyle name="资产 8 3" xfId="52621"/>
    <cellStyle name="资产 8 4" xfId="52622"/>
    <cellStyle name="资产 8 5" xfId="52623"/>
    <cellStyle name="资产 8 6" xfId="52624"/>
    <cellStyle name="资产 8 7" xfId="52625"/>
    <cellStyle name="资产 8 8" xfId="52626"/>
    <cellStyle name="资产 8 9" xfId="52627"/>
    <cellStyle name="资产 9" xfId="9170"/>
    <cellStyle name="资产 9 10" xfId="52628"/>
    <cellStyle name="资产 9 11" xfId="52629"/>
    <cellStyle name="资产 9 2" xfId="52630"/>
    <cellStyle name="资产 9 3" xfId="52631"/>
    <cellStyle name="资产 9 4" xfId="52632"/>
    <cellStyle name="资产 9 5" xfId="52633"/>
    <cellStyle name="资产 9 6" xfId="52634"/>
    <cellStyle name="资产 9 7" xfId="52635"/>
    <cellStyle name="资产 9 8" xfId="52636"/>
    <cellStyle name="资产 9 9" xfId="52637"/>
    <cellStyle name="资产_YL Capex Cashflow &amp; Dep" xfId="13896"/>
    <cellStyle name="超連結 2" xfId="3252"/>
    <cellStyle name="输入" xfId="3253"/>
    <cellStyle name="输入 10" xfId="9171"/>
    <cellStyle name="输入 10 10" xfId="52638"/>
    <cellStyle name="输入 10 11" xfId="52639"/>
    <cellStyle name="输入 10 2" xfId="9172"/>
    <cellStyle name="输入 10 2 2" xfId="52640"/>
    <cellStyle name="输入 10 3" xfId="52641"/>
    <cellStyle name="输入 10 4" xfId="52642"/>
    <cellStyle name="输入 10 5" xfId="52643"/>
    <cellStyle name="输入 10 6" xfId="52644"/>
    <cellStyle name="输入 10 7" xfId="52645"/>
    <cellStyle name="输入 10 8" xfId="52646"/>
    <cellStyle name="输入 10 9" xfId="52647"/>
    <cellStyle name="输入 11" xfId="9173"/>
    <cellStyle name="输入 11 10" xfId="52648"/>
    <cellStyle name="输入 11 11" xfId="52649"/>
    <cellStyle name="输入 11 2" xfId="9174"/>
    <cellStyle name="输入 11 2 2" xfId="52650"/>
    <cellStyle name="输入 11 3" xfId="52651"/>
    <cellStyle name="输入 11 4" xfId="52652"/>
    <cellStyle name="输入 11 5" xfId="52653"/>
    <cellStyle name="输入 11 6" xfId="52654"/>
    <cellStyle name="输入 11 7" xfId="52655"/>
    <cellStyle name="输入 11 8" xfId="52656"/>
    <cellStyle name="输入 11 9" xfId="52657"/>
    <cellStyle name="输入 12" xfId="9175"/>
    <cellStyle name="输入 12 10" xfId="52658"/>
    <cellStyle name="输入 12 11" xfId="52659"/>
    <cellStyle name="输入 12 2" xfId="9176"/>
    <cellStyle name="输入 12 2 2" xfId="52660"/>
    <cellStyle name="输入 12 3" xfId="52661"/>
    <cellStyle name="输入 12 4" xfId="52662"/>
    <cellStyle name="输入 12 5" xfId="52663"/>
    <cellStyle name="输入 12 6" xfId="52664"/>
    <cellStyle name="输入 12 7" xfId="52665"/>
    <cellStyle name="输入 12 8" xfId="52666"/>
    <cellStyle name="输入 12 9" xfId="52667"/>
    <cellStyle name="输入 13" xfId="9177"/>
    <cellStyle name="输入 13 10" xfId="52668"/>
    <cellStyle name="输入 13 11" xfId="52669"/>
    <cellStyle name="输入 13 2" xfId="9178"/>
    <cellStyle name="输入 13 2 2" xfId="52670"/>
    <cellStyle name="输入 13 3" xfId="52671"/>
    <cellStyle name="输入 13 4" xfId="52672"/>
    <cellStyle name="输入 13 5" xfId="52673"/>
    <cellStyle name="输入 13 6" xfId="52674"/>
    <cellStyle name="输入 13 7" xfId="52675"/>
    <cellStyle name="输入 13 8" xfId="52676"/>
    <cellStyle name="输入 13 9" xfId="52677"/>
    <cellStyle name="输入 14" xfId="9179"/>
    <cellStyle name="输入 14 10" xfId="52678"/>
    <cellStyle name="输入 14 11" xfId="52679"/>
    <cellStyle name="输入 14 2" xfId="9180"/>
    <cellStyle name="输入 14 2 2" xfId="52680"/>
    <cellStyle name="输入 14 3" xfId="52681"/>
    <cellStyle name="输入 14 4" xfId="52682"/>
    <cellStyle name="输入 14 5" xfId="52683"/>
    <cellStyle name="输入 14 6" xfId="52684"/>
    <cellStyle name="输入 14 7" xfId="52685"/>
    <cellStyle name="输入 14 8" xfId="52686"/>
    <cellStyle name="输入 14 9" xfId="52687"/>
    <cellStyle name="输入 15" xfId="9181"/>
    <cellStyle name="输入 15 10" xfId="52688"/>
    <cellStyle name="输入 15 11" xfId="52689"/>
    <cellStyle name="输入 15 2" xfId="9182"/>
    <cellStyle name="输入 15 2 2" xfId="52690"/>
    <cellStyle name="输入 15 3" xfId="52691"/>
    <cellStyle name="输入 15 4" xfId="52692"/>
    <cellStyle name="输入 15 5" xfId="52693"/>
    <cellStyle name="输入 15 6" xfId="52694"/>
    <cellStyle name="输入 15 7" xfId="52695"/>
    <cellStyle name="输入 15 8" xfId="52696"/>
    <cellStyle name="输入 15 9" xfId="52697"/>
    <cellStyle name="输入 16" xfId="9183"/>
    <cellStyle name="输入 16 10" xfId="52698"/>
    <cellStyle name="输入 16 11" xfId="52699"/>
    <cellStyle name="输入 16 12" xfId="52700"/>
    <cellStyle name="输入 16 2" xfId="9184"/>
    <cellStyle name="输入 16 2 2" xfId="52701"/>
    <cellStyle name="输入 16 3" xfId="52702"/>
    <cellStyle name="输入 16 4" xfId="52703"/>
    <cellStyle name="输入 16 5" xfId="52704"/>
    <cellStyle name="输入 16 6" xfId="52705"/>
    <cellStyle name="输入 16 7" xfId="52706"/>
    <cellStyle name="输入 16 8" xfId="52707"/>
    <cellStyle name="输入 16 9" xfId="52708"/>
    <cellStyle name="输入 17" xfId="9185"/>
    <cellStyle name="输入 17 10" xfId="52709"/>
    <cellStyle name="输入 17 11" xfId="52710"/>
    <cellStyle name="输入 17 12" xfId="52711"/>
    <cellStyle name="输入 17 2" xfId="9186"/>
    <cellStyle name="输入 17 2 2" xfId="52712"/>
    <cellStyle name="输入 17 3" xfId="52713"/>
    <cellStyle name="输入 17 4" xfId="52714"/>
    <cellStyle name="输入 17 5" xfId="52715"/>
    <cellStyle name="输入 17 6" xfId="52716"/>
    <cellStyle name="输入 17 7" xfId="52717"/>
    <cellStyle name="输入 17 8" xfId="52718"/>
    <cellStyle name="输入 17 9" xfId="52719"/>
    <cellStyle name="输入 18" xfId="9187"/>
    <cellStyle name="输入 18 10" xfId="52720"/>
    <cellStyle name="输入 18 11" xfId="52721"/>
    <cellStyle name="输入 18 12" xfId="52722"/>
    <cellStyle name="输入 18 2" xfId="9188"/>
    <cellStyle name="输入 18 2 2" xfId="52723"/>
    <cellStyle name="输入 18 3" xfId="52724"/>
    <cellStyle name="输入 18 4" xfId="52725"/>
    <cellStyle name="输入 18 5" xfId="52726"/>
    <cellStyle name="输入 18 6" xfId="52727"/>
    <cellStyle name="输入 18 7" xfId="52728"/>
    <cellStyle name="输入 18 8" xfId="52729"/>
    <cellStyle name="输入 18 9" xfId="52730"/>
    <cellStyle name="输入 19" xfId="9189"/>
    <cellStyle name="输入 19 10" xfId="52731"/>
    <cellStyle name="输入 19 11" xfId="52732"/>
    <cellStyle name="输入 19 12" xfId="52733"/>
    <cellStyle name="输入 19 2" xfId="9190"/>
    <cellStyle name="输入 19 2 2" xfId="52734"/>
    <cellStyle name="输入 19 3" xfId="52735"/>
    <cellStyle name="输入 19 4" xfId="52736"/>
    <cellStyle name="输入 19 5" xfId="52737"/>
    <cellStyle name="输入 19 6" xfId="52738"/>
    <cellStyle name="输入 19 7" xfId="52739"/>
    <cellStyle name="输入 19 8" xfId="52740"/>
    <cellStyle name="输入 19 9" xfId="52741"/>
    <cellStyle name="输入 2" xfId="3254"/>
    <cellStyle name="输入 2 10" xfId="9191"/>
    <cellStyle name="输入 2 10 10" xfId="52742"/>
    <cellStyle name="输入 2 10 11" xfId="52743"/>
    <cellStyle name="输入 2 10 2" xfId="9192"/>
    <cellStyle name="输入 2 10 2 2" xfId="52744"/>
    <cellStyle name="输入 2 10 3" xfId="52745"/>
    <cellStyle name="输入 2 10 4" xfId="52746"/>
    <cellStyle name="输入 2 10 5" xfId="52747"/>
    <cellStyle name="输入 2 10 6" xfId="52748"/>
    <cellStyle name="输入 2 10 7" xfId="52749"/>
    <cellStyle name="输入 2 10 8" xfId="52750"/>
    <cellStyle name="输入 2 10 9" xfId="52751"/>
    <cellStyle name="输入 2 11" xfId="9193"/>
    <cellStyle name="输入 2 11 10" xfId="52752"/>
    <cellStyle name="输入 2 11 11" xfId="52753"/>
    <cellStyle name="输入 2 11 2" xfId="9194"/>
    <cellStyle name="输入 2 11 2 2" xfId="52754"/>
    <cellStyle name="输入 2 11 3" xfId="52755"/>
    <cellStyle name="输入 2 11 4" xfId="52756"/>
    <cellStyle name="输入 2 11 5" xfId="52757"/>
    <cellStyle name="输入 2 11 6" xfId="52758"/>
    <cellStyle name="输入 2 11 7" xfId="52759"/>
    <cellStyle name="输入 2 11 8" xfId="52760"/>
    <cellStyle name="输入 2 11 9" xfId="52761"/>
    <cellStyle name="输入 2 12" xfId="9195"/>
    <cellStyle name="输入 2 12 10" xfId="52762"/>
    <cellStyle name="输入 2 12 11" xfId="52763"/>
    <cellStyle name="输入 2 12 2" xfId="9196"/>
    <cellStyle name="输入 2 12 2 2" xfId="52764"/>
    <cellStyle name="输入 2 12 3" xfId="52765"/>
    <cellStyle name="输入 2 12 4" xfId="52766"/>
    <cellStyle name="输入 2 12 5" xfId="52767"/>
    <cellStyle name="输入 2 12 6" xfId="52768"/>
    <cellStyle name="输入 2 12 7" xfId="52769"/>
    <cellStyle name="输入 2 12 8" xfId="52770"/>
    <cellStyle name="输入 2 12 9" xfId="52771"/>
    <cellStyle name="输入 2 13" xfId="9197"/>
    <cellStyle name="输入 2 13 10" xfId="52772"/>
    <cellStyle name="输入 2 13 11" xfId="52773"/>
    <cellStyle name="输入 2 13 2" xfId="9198"/>
    <cellStyle name="输入 2 13 2 2" xfId="52774"/>
    <cellStyle name="输入 2 13 3" xfId="52775"/>
    <cellStyle name="输入 2 13 4" xfId="52776"/>
    <cellStyle name="输入 2 13 5" xfId="52777"/>
    <cellStyle name="输入 2 13 6" xfId="52778"/>
    <cellStyle name="输入 2 13 7" xfId="52779"/>
    <cellStyle name="输入 2 13 8" xfId="52780"/>
    <cellStyle name="输入 2 13 9" xfId="52781"/>
    <cellStyle name="输入 2 14" xfId="9199"/>
    <cellStyle name="输入 2 14 10" xfId="52782"/>
    <cellStyle name="输入 2 14 11" xfId="52783"/>
    <cellStyle name="输入 2 14 2" xfId="9200"/>
    <cellStyle name="输入 2 14 2 2" xfId="52784"/>
    <cellStyle name="输入 2 14 3" xfId="52785"/>
    <cellStyle name="输入 2 14 4" xfId="52786"/>
    <cellStyle name="输入 2 14 5" xfId="52787"/>
    <cellStyle name="输入 2 14 6" xfId="52788"/>
    <cellStyle name="输入 2 14 7" xfId="52789"/>
    <cellStyle name="输入 2 14 8" xfId="52790"/>
    <cellStyle name="输入 2 14 9" xfId="52791"/>
    <cellStyle name="输入 2 15" xfId="9201"/>
    <cellStyle name="输入 2 15 10" xfId="52792"/>
    <cellStyle name="输入 2 15 11" xfId="52793"/>
    <cellStyle name="输入 2 15 2" xfId="9202"/>
    <cellStyle name="输入 2 15 2 2" xfId="52794"/>
    <cellStyle name="输入 2 15 3" xfId="52795"/>
    <cellStyle name="输入 2 15 4" xfId="52796"/>
    <cellStyle name="输入 2 15 5" xfId="52797"/>
    <cellStyle name="输入 2 15 6" xfId="52798"/>
    <cellStyle name="输入 2 15 7" xfId="52799"/>
    <cellStyle name="输入 2 15 8" xfId="52800"/>
    <cellStyle name="输入 2 15 9" xfId="52801"/>
    <cellStyle name="输入 2 16" xfId="9203"/>
    <cellStyle name="输入 2 16 10" xfId="52802"/>
    <cellStyle name="输入 2 16 11" xfId="52803"/>
    <cellStyle name="输入 2 16 2" xfId="9204"/>
    <cellStyle name="输入 2 16 2 2" xfId="52804"/>
    <cellStyle name="输入 2 16 3" xfId="52805"/>
    <cellStyle name="输入 2 16 4" xfId="52806"/>
    <cellStyle name="输入 2 16 5" xfId="52807"/>
    <cellStyle name="输入 2 16 6" xfId="52808"/>
    <cellStyle name="输入 2 16 7" xfId="52809"/>
    <cellStyle name="输入 2 16 8" xfId="52810"/>
    <cellStyle name="输入 2 16 9" xfId="52811"/>
    <cellStyle name="输入 2 17" xfId="9205"/>
    <cellStyle name="输入 2 17 10" xfId="52812"/>
    <cellStyle name="输入 2 17 11" xfId="52813"/>
    <cellStyle name="输入 2 17 2" xfId="9206"/>
    <cellStyle name="输入 2 17 2 2" xfId="52814"/>
    <cellStyle name="输入 2 17 3" xfId="52815"/>
    <cellStyle name="输入 2 17 4" xfId="52816"/>
    <cellStyle name="输入 2 17 5" xfId="52817"/>
    <cellStyle name="输入 2 17 6" xfId="52818"/>
    <cellStyle name="输入 2 17 7" xfId="52819"/>
    <cellStyle name="输入 2 17 8" xfId="52820"/>
    <cellStyle name="输入 2 17 9" xfId="52821"/>
    <cellStyle name="输入 2 18" xfId="9207"/>
    <cellStyle name="输入 2 18 10" xfId="52822"/>
    <cellStyle name="输入 2 18 11" xfId="52823"/>
    <cellStyle name="输入 2 18 2" xfId="9208"/>
    <cellStyle name="输入 2 18 2 2" xfId="52824"/>
    <cellStyle name="输入 2 18 3" xfId="52825"/>
    <cellStyle name="输入 2 18 4" xfId="52826"/>
    <cellStyle name="输入 2 18 5" xfId="52827"/>
    <cellStyle name="输入 2 18 6" xfId="52828"/>
    <cellStyle name="输入 2 18 7" xfId="52829"/>
    <cellStyle name="输入 2 18 8" xfId="52830"/>
    <cellStyle name="输入 2 18 9" xfId="52831"/>
    <cellStyle name="输入 2 19" xfId="9209"/>
    <cellStyle name="输入 2 19 10" xfId="52832"/>
    <cellStyle name="输入 2 19 11" xfId="52833"/>
    <cellStyle name="输入 2 19 2" xfId="9210"/>
    <cellStyle name="输入 2 19 2 2" xfId="52834"/>
    <cellStyle name="输入 2 19 3" xfId="52835"/>
    <cellStyle name="输入 2 19 4" xfId="52836"/>
    <cellStyle name="输入 2 19 5" xfId="52837"/>
    <cellStyle name="输入 2 19 6" xfId="52838"/>
    <cellStyle name="输入 2 19 7" xfId="52839"/>
    <cellStyle name="输入 2 19 8" xfId="52840"/>
    <cellStyle name="输入 2 19 9" xfId="52841"/>
    <cellStyle name="输入 2 2" xfId="3255"/>
    <cellStyle name="输入 2 2 10" xfId="9211"/>
    <cellStyle name="输入 2 2 10 10" xfId="52842"/>
    <cellStyle name="输入 2 2 10 11" xfId="52843"/>
    <cellStyle name="输入 2 2 10 2" xfId="9212"/>
    <cellStyle name="输入 2 2 10 2 2" xfId="52844"/>
    <cellStyle name="输入 2 2 10 3" xfId="52845"/>
    <cellStyle name="输入 2 2 10 4" xfId="52846"/>
    <cellStyle name="输入 2 2 10 5" xfId="52847"/>
    <cellStyle name="输入 2 2 10 6" xfId="52848"/>
    <cellStyle name="输入 2 2 10 7" xfId="52849"/>
    <cellStyle name="输入 2 2 10 8" xfId="52850"/>
    <cellStyle name="输入 2 2 10 9" xfId="52851"/>
    <cellStyle name="输入 2 2 11" xfId="9213"/>
    <cellStyle name="输入 2 2 11 10" xfId="52852"/>
    <cellStyle name="输入 2 2 11 11" xfId="52853"/>
    <cellStyle name="输入 2 2 11 2" xfId="9214"/>
    <cellStyle name="输入 2 2 11 2 2" xfId="52854"/>
    <cellStyle name="输入 2 2 11 3" xfId="52855"/>
    <cellStyle name="输入 2 2 11 4" xfId="52856"/>
    <cellStyle name="输入 2 2 11 5" xfId="52857"/>
    <cellStyle name="输入 2 2 11 6" xfId="52858"/>
    <cellStyle name="输入 2 2 11 7" xfId="52859"/>
    <cellStyle name="输入 2 2 11 8" xfId="52860"/>
    <cellStyle name="输入 2 2 11 9" xfId="52861"/>
    <cellStyle name="输入 2 2 12" xfId="9215"/>
    <cellStyle name="输入 2 2 12 10" xfId="52862"/>
    <cellStyle name="输入 2 2 12 2" xfId="9216"/>
    <cellStyle name="输入 2 2 12 2 2" xfId="52863"/>
    <cellStyle name="输入 2 2 12 3" xfId="52864"/>
    <cellStyle name="输入 2 2 12 4" xfId="52865"/>
    <cellStyle name="输入 2 2 12 5" xfId="52866"/>
    <cellStyle name="输入 2 2 12 6" xfId="52867"/>
    <cellStyle name="输入 2 2 12 7" xfId="52868"/>
    <cellStyle name="输入 2 2 12 8" xfId="52869"/>
    <cellStyle name="输入 2 2 12 9" xfId="52870"/>
    <cellStyle name="输入 2 2 13" xfId="9217"/>
    <cellStyle name="输入 2 2 13 10" xfId="52871"/>
    <cellStyle name="输入 2 2 13 11" xfId="52872"/>
    <cellStyle name="输入 2 2 13 2" xfId="9218"/>
    <cellStyle name="输入 2 2 13 2 2" xfId="52873"/>
    <cellStyle name="输入 2 2 13 3" xfId="52874"/>
    <cellStyle name="输入 2 2 13 4" xfId="52875"/>
    <cellStyle name="输入 2 2 13 5" xfId="52876"/>
    <cellStyle name="输入 2 2 13 6" xfId="52877"/>
    <cellStyle name="输入 2 2 13 7" xfId="52878"/>
    <cellStyle name="输入 2 2 13 8" xfId="52879"/>
    <cellStyle name="输入 2 2 13 9" xfId="52880"/>
    <cellStyle name="输入 2 2 14" xfId="9219"/>
    <cellStyle name="输入 2 2 14 10" xfId="52881"/>
    <cellStyle name="输入 2 2 14 11" xfId="52882"/>
    <cellStyle name="输入 2 2 14 2" xfId="9220"/>
    <cellStyle name="输入 2 2 14 2 2" xfId="52883"/>
    <cellStyle name="输入 2 2 14 3" xfId="52884"/>
    <cellStyle name="输入 2 2 14 4" xfId="52885"/>
    <cellStyle name="输入 2 2 14 5" xfId="52886"/>
    <cellStyle name="输入 2 2 14 6" xfId="52887"/>
    <cellStyle name="输入 2 2 14 7" xfId="52888"/>
    <cellStyle name="输入 2 2 14 8" xfId="52889"/>
    <cellStyle name="输入 2 2 14 9" xfId="52890"/>
    <cellStyle name="输入 2 2 15" xfId="9221"/>
    <cellStyle name="输入 2 2 15 10" xfId="52891"/>
    <cellStyle name="输入 2 2 15 11" xfId="52892"/>
    <cellStyle name="输入 2 2 15 2" xfId="9222"/>
    <cellStyle name="输入 2 2 15 2 2" xfId="52893"/>
    <cellStyle name="输入 2 2 15 3" xfId="52894"/>
    <cellStyle name="输入 2 2 15 4" xfId="52895"/>
    <cellStyle name="输入 2 2 15 5" xfId="52896"/>
    <cellStyle name="输入 2 2 15 6" xfId="52897"/>
    <cellStyle name="输入 2 2 15 7" xfId="52898"/>
    <cellStyle name="输入 2 2 15 8" xfId="52899"/>
    <cellStyle name="输入 2 2 15 9" xfId="52900"/>
    <cellStyle name="输入 2 2 16" xfId="9223"/>
    <cellStyle name="输入 2 2 16 10" xfId="52901"/>
    <cellStyle name="输入 2 2 16 11" xfId="52902"/>
    <cellStyle name="输入 2 2 16 2" xfId="9224"/>
    <cellStyle name="输入 2 2 16 2 2" xfId="52903"/>
    <cellStyle name="输入 2 2 16 3" xfId="52904"/>
    <cellStyle name="输入 2 2 16 4" xfId="52905"/>
    <cellStyle name="输入 2 2 16 5" xfId="52906"/>
    <cellStyle name="输入 2 2 16 6" xfId="52907"/>
    <cellStyle name="输入 2 2 16 7" xfId="52908"/>
    <cellStyle name="输入 2 2 16 8" xfId="52909"/>
    <cellStyle name="输入 2 2 16 9" xfId="52910"/>
    <cellStyle name="输入 2 2 17" xfId="9225"/>
    <cellStyle name="输入 2 2 17 10" xfId="52911"/>
    <cellStyle name="输入 2 2 17 11" xfId="52912"/>
    <cellStyle name="输入 2 2 17 2" xfId="9226"/>
    <cellStyle name="输入 2 2 17 2 2" xfId="52913"/>
    <cellStyle name="输入 2 2 17 3" xfId="52914"/>
    <cellStyle name="输入 2 2 17 4" xfId="52915"/>
    <cellStyle name="输入 2 2 17 5" xfId="52916"/>
    <cellStyle name="输入 2 2 17 6" xfId="52917"/>
    <cellStyle name="输入 2 2 17 7" xfId="52918"/>
    <cellStyle name="输入 2 2 17 8" xfId="52919"/>
    <cellStyle name="输入 2 2 17 9" xfId="52920"/>
    <cellStyle name="输入 2 2 18" xfId="9227"/>
    <cellStyle name="输入 2 2 18 10" xfId="52921"/>
    <cellStyle name="输入 2 2 18 11" xfId="52922"/>
    <cellStyle name="输入 2 2 18 2" xfId="9228"/>
    <cellStyle name="输入 2 2 18 2 2" xfId="52923"/>
    <cellStyle name="输入 2 2 18 3" xfId="52924"/>
    <cellStyle name="输入 2 2 18 4" xfId="52925"/>
    <cellStyle name="输入 2 2 18 5" xfId="52926"/>
    <cellStyle name="输入 2 2 18 6" xfId="52927"/>
    <cellStyle name="输入 2 2 18 7" xfId="52928"/>
    <cellStyle name="输入 2 2 18 8" xfId="52929"/>
    <cellStyle name="输入 2 2 18 9" xfId="52930"/>
    <cellStyle name="输入 2 2 19" xfId="9229"/>
    <cellStyle name="输入 2 2 19 10" xfId="52931"/>
    <cellStyle name="输入 2 2 19 11" xfId="52932"/>
    <cellStyle name="输入 2 2 19 2" xfId="9230"/>
    <cellStyle name="输入 2 2 19 2 2" xfId="52933"/>
    <cellStyle name="输入 2 2 19 3" xfId="52934"/>
    <cellStyle name="输入 2 2 19 4" xfId="52935"/>
    <cellStyle name="输入 2 2 19 5" xfId="52936"/>
    <cellStyle name="输入 2 2 19 6" xfId="52937"/>
    <cellStyle name="输入 2 2 19 7" xfId="52938"/>
    <cellStyle name="输入 2 2 19 8" xfId="52939"/>
    <cellStyle name="输入 2 2 19 9" xfId="52940"/>
    <cellStyle name="输入 2 2 2" xfId="3256"/>
    <cellStyle name="输入 2 2 2 10" xfId="52941"/>
    <cellStyle name="输入 2 2 2 11" xfId="52942"/>
    <cellStyle name="输入 2 2 2 12" xfId="52943"/>
    <cellStyle name="输入 2 2 2 2" xfId="3257"/>
    <cellStyle name="输入 2 2 2 2 2" xfId="3258"/>
    <cellStyle name="输入 2 2 2 2 2 2" xfId="13051"/>
    <cellStyle name="输入 2 2 2 2 2_YL Capex Cashflow &amp; Dep" xfId="13904"/>
    <cellStyle name="输入 2 2 2 2 3" xfId="12162"/>
    <cellStyle name="输入 2 2 2 2_YL Capex Cashflow &amp; Dep" xfId="13903"/>
    <cellStyle name="输入 2 2 2 3" xfId="3259"/>
    <cellStyle name="输入 2 2 2 3 2" xfId="3260"/>
    <cellStyle name="输入 2 2 2 3 2 2" xfId="13134"/>
    <cellStyle name="输入 2 2 2 3 2_YL Capex Cashflow &amp; Dep" xfId="13906"/>
    <cellStyle name="输入 2 2 2 3 3" xfId="12562"/>
    <cellStyle name="输入 2 2 2 3_YL Capex Cashflow &amp; Dep" xfId="13905"/>
    <cellStyle name="输入 2 2 2 4" xfId="11867"/>
    <cellStyle name="输入 2 2 2 5" xfId="52944"/>
    <cellStyle name="输入 2 2 2 6" xfId="52945"/>
    <cellStyle name="输入 2 2 2 7" xfId="52946"/>
    <cellStyle name="输入 2 2 2 8" xfId="52947"/>
    <cellStyle name="输入 2 2 2 9" xfId="52948"/>
    <cellStyle name="输入 2 2 2_YL Capex Cashflow &amp; Dep" xfId="13902"/>
    <cellStyle name="输入 2 2 20" xfId="9231"/>
    <cellStyle name="输入 2 2 20 10" xfId="52949"/>
    <cellStyle name="输入 2 2 20 11" xfId="52950"/>
    <cellStyle name="输入 2 2 20 12" xfId="52951"/>
    <cellStyle name="输入 2 2 20 2" xfId="9232"/>
    <cellStyle name="输入 2 2 20 2 2" xfId="52952"/>
    <cellStyle name="输入 2 2 20 3" xfId="52953"/>
    <cellStyle name="输入 2 2 20 4" xfId="52954"/>
    <cellStyle name="输入 2 2 20 5" xfId="52955"/>
    <cellStyle name="输入 2 2 20 6" xfId="52956"/>
    <cellStyle name="输入 2 2 20 7" xfId="52957"/>
    <cellStyle name="输入 2 2 20 8" xfId="52958"/>
    <cellStyle name="输入 2 2 20 9" xfId="52959"/>
    <cellStyle name="输入 2 2 21" xfId="9233"/>
    <cellStyle name="输入 2 2 21 10" xfId="52960"/>
    <cellStyle name="输入 2 2 21 11" xfId="52961"/>
    <cellStyle name="输入 2 2 21 12" xfId="52962"/>
    <cellStyle name="输入 2 2 21 2" xfId="9234"/>
    <cellStyle name="输入 2 2 21 2 2" xfId="52963"/>
    <cellStyle name="输入 2 2 21 3" xfId="52964"/>
    <cellStyle name="输入 2 2 21 4" xfId="52965"/>
    <cellStyle name="输入 2 2 21 5" xfId="52966"/>
    <cellStyle name="输入 2 2 21 6" xfId="52967"/>
    <cellStyle name="输入 2 2 21 7" xfId="52968"/>
    <cellStyle name="输入 2 2 21 8" xfId="52969"/>
    <cellStyle name="输入 2 2 21 9" xfId="52970"/>
    <cellStyle name="输入 2 2 22" xfId="9235"/>
    <cellStyle name="输入 2 2 22 10" xfId="52971"/>
    <cellStyle name="输入 2 2 22 11" xfId="52972"/>
    <cellStyle name="输入 2 2 22 12" xfId="52973"/>
    <cellStyle name="输入 2 2 22 2" xfId="9236"/>
    <cellStyle name="输入 2 2 22 2 2" xfId="52974"/>
    <cellStyle name="输入 2 2 22 3" xfId="52975"/>
    <cellStyle name="输入 2 2 22 4" xfId="52976"/>
    <cellStyle name="输入 2 2 22 5" xfId="52977"/>
    <cellStyle name="输入 2 2 22 6" xfId="52978"/>
    <cellStyle name="输入 2 2 22 7" xfId="52979"/>
    <cellStyle name="输入 2 2 22 8" xfId="52980"/>
    <cellStyle name="输入 2 2 22 9" xfId="52981"/>
    <cellStyle name="输入 2 2 23" xfId="9237"/>
    <cellStyle name="输入 2 2 23 10" xfId="52982"/>
    <cellStyle name="输入 2 2 23 11" xfId="52983"/>
    <cellStyle name="输入 2 2 23 12" xfId="52984"/>
    <cellStyle name="输入 2 2 23 2" xfId="9238"/>
    <cellStyle name="输入 2 2 23 2 2" xfId="52985"/>
    <cellStyle name="输入 2 2 23 3" xfId="52986"/>
    <cellStyle name="输入 2 2 23 4" xfId="52987"/>
    <cellStyle name="输入 2 2 23 5" xfId="52988"/>
    <cellStyle name="输入 2 2 23 6" xfId="52989"/>
    <cellStyle name="输入 2 2 23 7" xfId="52990"/>
    <cellStyle name="输入 2 2 23 8" xfId="52991"/>
    <cellStyle name="输入 2 2 23 9" xfId="52992"/>
    <cellStyle name="输入 2 2 24" xfId="9239"/>
    <cellStyle name="输入 2 2 24 10" xfId="52993"/>
    <cellStyle name="输入 2 2 24 11" xfId="52994"/>
    <cellStyle name="输入 2 2 24 12" xfId="52995"/>
    <cellStyle name="输入 2 2 24 2" xfId="9240"/>
    <cellStyle name="输入 2 2 24 2 2" xfId="52996"/>
    <cellStyle name="输入 2 2 24 3" xfId="52997"/>
    <cellStyle name="输入 2 2 24 4" xfId="52998"/>
    <cellStyle name="输入 2 2 24 5" xfId="52999"/>
    <cellStyle name="输入 2 2 24 6" xfId="53000"/>
    <cellStyle name="输入 2 2 24 7" xfId="53001"/>
    <cellStyle name="输入 2 2 24 8" xfId="53002"/>
    <cellStyle name="输入 2 2 24 9" xfId="53003"/>
    <cellStyle name="输入 2 2 25" xfId="9241"/>
    <cellStyle name="输入 2 2 25 10" xfId="53004"/>
    <cellStyle name="输入 2 2 25 11" xfId="53005"/>
    <cellStyle name="输入 2 2 25 12" xfId="53006"/>
    <cellStyle name="输入 2 2 25 2" xfId="9242"/>
    <cellStyle name="输入 2 2 25 2 2" xfId="53007"/>
    <cellStyle name="输入 2 2 25 3" xfId="53008"/>
    <cellStyle name="输入 2 2 25 4" xfId="53009"/>
    <cellStyle name="输入 2 2 25 5" xfId="53010"/>
    <cellStyle name="输入 2 2 25 6" xfId="53011"/>
    <cellStyle name="输入 2 2 25 7" xfId="53012"/>
    <cellStyle name="输入 2 2 25 8" xfId="53013"/>
    <cellStyle name="输入 2 2 25 9" xfId="53014"/>
    <cellStyle name="输入 2 2 26" xfId="9243"/>
    <cellStyle name="输入 2 2 26 10" xfId="53015"/>
    <cellStyle name="输入 2 2 26 11" xfId="53016"/>
    <cellStyle name="输入 2 2 26 12" xfId="53017"/>
    <cellStyle name="输入 2 2 26 2" xfId="9244"/>
    <cellStyle name="输入 2 2 26 2 2" xfId="53018"/>
    <cellStyle name="输入 2 2 26 3" xfId="53019"/>
    <cellStyle name="输入 2 2 26 4" xfId="53020"/>
    <cellStyle name="输入 2 2 26 5" xfId="53021"/>
    <cellStyle name="输入 2 2 26 6" xfId="53022"/>
    <cellStyle name="输入 2 2 26 7" xfId="53023"/>
    <cellStyle name="输入 2 2 26 8" xfId="53024"/>
    <cellStyle name="输入 2 2 26 9" xfId="53025"/>
    <cellStyle name="输入 2 2 27" xfId="9245"/>
    <cellStyle name="输入 2 2 27 10" xfId="53026"/>
    <cellStyle name="输入 2 2 27 11" xfId="53027"/>
    <cellStyle name="输入 2 2 27 12" xfId="53028"/>
    <cellStyle name="输入 2 2 27 2" xfId="9246"/>
    <cellStyle name="输入 2 2 27 2 2" xfId="53029"/>
    <cellStyle name="输入 2 2 27 3" xfId="53030"/>
    <cellStyle name="输入 2 2 27 4" xfId="53031"/>
    <cellStyle name="输入 2 2 27 5" xfId="53032"/>
    <cellStyle name="输入 2 2 27 6" xfId="53033"/>
    <cellStyle name="输入 2 2 27 7" xfId="53034"/>
    <cellStyle name="输入 2 2 27 8" xfId="53035"/>
    <cellStyle name="输入 2 2 27 9" xfId="53036"/>
    <cellStyle name="输入 2 2 28" xfId="9247"/>
    <cellStyle name="输入 2 2 28 10" xfId="53037"/>
    <cellStyle name="输入 2 2 28 11" xfId="53038"/>
    <cellStyle name="输入 2 2 28 12" xfId="53039"/>
    <cellStyle name="输入 2 2 28 2" xfId="9248"/>
    <cellStyle name="输入 2 2 28 2 2" xfId="53040"/>
    <cellStyle name="输入 2 2 28 3" xfId="53041"/>
    <cellStyle name="输入 2 2 28 4" xfId="53042"/>
    <cellStyle name="输入 2 2 28 5" xfId="53043"/>
    <cellStyle name="输入 2 2 28 6" xfId="53044"/>
    <cellStyle name="输入 2 2 28 7" xfId="53045"/>
    <cellStyle name="输入 2 2 28 8" xfId="53046"/>
    <cellStyle name="输入 2 2 28 9" xfId="53047"/>
    <cellStyle name="输入 2 2 29" xfId="9249"/>
    <cellStyle name="输入 2 2 29 10" xfId="53048"/>
    <cellStyle name="输入 2 2 29 11" xfId="53049"/>
    <cellStyle name="输入 2 2 29 12" xfId="53050"/>
    <cellStyle name="输入 2 2 29 2" xfId="9250"/>
    <cellStyle name="输入 2 2 29 2 2" xfId="53051"/>
    <cellStyle name="输入 2 2 29 3" xfId="53052"/>
    <cellStyle name="输入 2 2 29 4" xfId="53053"/>
    <cellStyle name="输入 2 2 29 5" xfId="53054"/>
    <cellStyle name="输入 2 2 29 6" xfId="53055"/>
    <cellStyle name="输入 2 2 29 7" xfId="53056"/>
    <cellStyle name="输入 2 2 29 8" xfId="53057"/>
    <cellStyle name="输入 2 2 29 9" xfId="53058"/>
    <cellStyle name="输入 2 2 3" xfId="3261"/>
    <cellStyle name="输入 2 2 3 10" xfId="53059"/>
    <cellStyle name="输入 2 2 3 11" xfId="53060"/>
    <cellStyle name="输入 2 2 3 12" xfId="53061"/>
    <cellStyle name="输入 2 2 3 2" xfId="3262"/>
    <cellStyle name="输入 2 2 3 2 2" xfId="13125"/>
    <cellStyle name="输入 2 2 3 2_YL Capex Cashflow &amp; Dep" xfId="13908"/>
    <cellStyle name="输入 2 2 3 3" xfId="12063"/>
    <cellStyle name="输入 2 2 3 4" xfId="53062"/>
    <cellStyle name="输入 2 2 3 5" xfId="53063"/>
    <cellStyle name="输入 2 2 3 6" xfId="53064"/>
    <cellStyle name="输入 2 2 3 7" xfId="53065"/>
    <cellStyle name="输入 2 2 3 8" xfId="53066"/>
    <cellStyle name="输入 2 2 3 9" xfId="53067"/>
    <cellStyle name="输入 2 2 3_YL Capex Cashflow &amp; Dep" xfId="13907"/>
    <cellStyle name="输入 2 2 30" xfId="9251"/>
    <cellStyle name="输入 2 2 30 10" xfId="53068"/>
    <cellStyle name="输入 2 2 30 11" xfId="53069"/>
    <cellStyle name="输入 2 2 30 2" xfId="9252"/>
    <cellStyle name="输入 2 2 30 2 2" xfId="53070"/>
    <cellStyle name="输入 2 2 30 3" xfId="53071"/>
    <cellStyle name="输入 2 2 30 4" xfId="53072"/>
    <cellStyle name="输入 2 2 30 5" xfId="53073"/>
    <cellStyle name="输入 2 2 30 6" xfId="53074"/>
    <cellStyle name="输入 2 2 30 7" xfId="53075"/>
    <cellStyle name="输入 2 2 30 8" xfId="53076"/>
    <cellStyle name="输入 2 2 30 9" xfId="53077"/>
    <cellStyle name="输入 2 2 31" xfId="9253"/>
    <cellStyle name="输入 2 2 31 10" xfId="53078"/>
    <cellStyle name="输入 2 2 31 11" xfId="53079"/>
    <cellStyle name="输入 2 2 31 12" xfId="53080"/>
    <cellStyle name="输入 2 2 31 2" xfId="9254"/>
    <cellStyle name="输入 2 2 31 2 2" xfId="53081"/>
    <cellStyle name="输入 2 2 31 3" xfId="53082"/>
    <cellStyle name="输入 2 2 31 4" xfId="53083"/>
    <cellStyle name="输入 2 2 31 5" xfId="53084"/>
    <cellStyle name="输入 2 2 31 6" xfId="53085"/>
    <cellStyle name="输入 2 2 31 7" xfId="53086"/>
    <cellStyle name="输入 2 2 31 8" xfId="53087"/>
    <cellStyle name="输入 2 2 31 9" xfId="53088"/>
    <cellStyle name="输入 2 2 32" xfId="9255"/>
    <cellStyle name="输入 2 2 32 10" xfId="53089"/>
    <cellStyle name="输入 2 2 32 11" xfId="53090"/>
    <cellStyle name="输入 2 2 32 12" xfId="53091"/>
    <cellStyle name="输入 2 2 32 2" xfId="9256"/>
    <cellStyle name="输入 2 2 32 2 2" xfId="53092"/>
    <cellStyle name="输入 2 2 32 3" xfId="53093"/>
    <cellStyle name="输入 2 2 32 4" xfId="53094"/>
    <cellStyle name="输入 2 2 32 5" xfId="53095"/>
    <cellStyle name="输入 2 2 32 6" xfId="53096"/>
    <cellStyle name="输入 2 2 32 7" xfId="53097"/>
    <cellStyle name="输入 2 2 32 8" xfId="53098"/>
    <cellStyle name="输入 2 2 32 9" xfId="53099"/>
    <cellStyle name="输入 2 2 33" xfId="9257"/>
    <cellStyle name="输入 2 2 33 10" xfId="53100"/>
    <cellStyle name="输入 2 2 33 11" xfId="53101"/>
    <cellStyle name="输入 2 2 33 12" xfId="53102"/>
    <cellStyle name="输入 2 2 33 2" xfId="9258"/>
    <cellStyle name="输入 2 2 33 2 2" xfId="53103"/>
    <cellStyle name="输入 2 2 33 3" xfId="53104"/>
    <cellStyle name="输入 2 2 33 4" xfId="53105"/>
    <cellStyle name="输入 2 2 33 5" xfId="53106"/>
    <cellStyle name="输入 2 2 33 6" xfId="53107"/>
    <cellStyle name="输入 2 2 33 7" xfId="53108"/>
    <cellStyle name="输入 2 2 33 8" xfId="53109"/>
    <cellStyle name="输入 2 2 33 9" xfId="53110"/>
    <cellStyle name="输入 2 2 34" xfId="9259"/>
    <cellStyle name="输入 2 2 34 10" xfId="53111"/>
    <cellStyle name="输入 2 2 34 11" xfId="53112"/>
    <cellStyle name="输入 2 2 34 12" xfId="53113"/>
    <cellStyle name="输入 2 2 34 2" xfId="9260"/>
    <cellStyle name="输入 2 2 34 2 2" xfId="53114"/>
    <cellStyle name="输入 2 2 34 3" xfId="53115"/>
    <cellStyle name="输入 2 2 34 4" xfId="53116"/>
    <cellStyle name="输入 2 2 34 5" xfId="53117"/>
    <cellStyle name="输入 2 2 34 6" xfId="53118"/>
    <cellStyle name="输入 2 2 34 7" xfId="53119"/>
    <cellStyle name="输入 2 2 34 8" xfId="53120"/>
    <cellStyle name="输入 2 2 34 9" xfId="53121"/>
    <cellStyle name="输入 2 2 35" xfId="9261"/>
    <cellStyle name="输入 2 2 35 10" xfId="53122"/>
    <cellStyle name="输入 2 2 35 11" xfId="53123"/>
    <cellStyle name="输入 2 2 35 2" xfId="9262"/>
    <cellStyle name="输入 2 2 35 2 2" xfId="53124"/>
    <cellStyle name="输入 2 2 35 3" xfId="53125"/>
    <cellStyle name="输入 2 2 35 4" xfId="53126"/>
    <cellStyle name="输入 2 2 35 5" xfId="53127"/>
    <cellStyle name="输入 2 2 35 6" xfId="53128"/>
    <cellStyle name="输入 2 2 35 7" xfId="53129"/>
    <cellStyle name="输入 2 2 35 8" xfId="53130"/>
    <cellStyle name="输入 2 2 35 9" xfId="53131"/>
    <cellStyle name="输入 2 2 36" xfId="9263"/>
    <cellStyle name="输入 2 2 36 10" xfId="53132"/>
    <cellStyle name="输入 2 2 36 11" xfId="53133"/>
    <cellStyle name="输入 2 2 36 12" xfId="53134"/>
    <cellStyle name="输入 2 2 36 2" xfId="9264"/>
    <cellStyle name="输入 2 2 36 2 2" xfId="53135"/>
    <cellStyle name="输入 2 2 36 3" xfId="53136"/>
    <cellStyle name="输入 2 2 36 4" xfId="53137"/>
    <cellStyle name="输入 2 2 36 5" xfId="53138"/>
    <cellStyle name="输入 2 2 36 6" xfId="53139"/>
    <cellStyle name="输入 2 2 36 7" xfId="53140"/>
    <cellStyle name="输入 2 2 36 8" xfId="53141"/>
    <cellStyle name="输入 2 2 36 9" xfId="53142"/>
    <cellStyle name="输入 2 2 37" xfId="9265"/>
    <cellStyle name="输入 2 2 37 10" xfId="53143"/>
    <cellStyle name="输入 2 2 37 11" xfId="53144"/>
    <cellStyle name="输入 2 2 37 12" xfId="53145"/>
    <cellStyle name="输入 2 2 37 2" xfId="9266"/>
    <cellStyle name="输入 2 2 37 2 2" xfId="53146"/>
    <cellStyle name="输入 2 2 37 3" xfId="53147"/>
    <cellStyle name="输入 2 2 37 4" xfId="53148"/>
    <cellStyle name="输入 2 2 37 5" xfId="53149"/>
    <cellStyle name="输入 2 2 37 6" xfId="53150"/>
    <cellStyle name="输入 2 2 37 7" xfId="53151"/>
    <cellStyle name="输入 2 2 37 8" xfId="53152"/>
    <cellStyle name="输入 2 2 37 9" xfId="53153"/>
    <cellStyle name="输入 2 2 38" xfId="9267"/>
    <cellStyle name="输入 2 2 38 10" xfId="53154"/>
    <cellStyle name="输入 2 2 38 11" xfId="53155"/>
    <cellStyle name="输入 2 2 38 12" xfId="53156"/>
    <cellStyle name="输入 2 2 38 2" xfId="9268"/>
    <cellStyle name="输入 2 2 38 2 2" xfId="53157"/>
    <cellStyle name="输入 2 2 38 3" xfId="53158"/>
    <cellStyle name="输入 2 2 38 4" xfId="53159"/>
    <cellStyle name="输入 2 2 38 5" xfId="53160"/>
    <cellStyle name="输入 2 2 38 6" xfId="53161"/>
    <cellStyle name="输入 2 2 38 7" xfId="53162"/>
    <cellStyle name="输入 2 2 38 8" xfId="53163"/>
    <cellStyle name="输入 2 2 38 9" xfId="53164"/>
    <cellStyle name="输入 2 2 39" xfId="9269"/>
    <cellStyle name="输入 2 2 39 10" xfId="53165"/>
    <cellStyle name="输入 2 2 39 11" xfId="53166"/>
    <cellStyle name="输入 2 2 39 12" xfId="53167"/>
    <cellStyle name="输入 2 2 39 2" xfId="9270"/>
    <cellStyle name="输入 2 2 39 2 2" xfId="53168"/>
    <cellStyle name="输入 2 2 39 3" xfId="53169"/>
    <cellStyle name="输入 2 2 39 4" xfId="53170"/>
    <cellStyle name="输入 2 2 39 5" xfId="53171"/>
    <cellStyle name="输入 2 2 39 6" xfId="53172"/>
    <cellStyle name="输入 2 2 39 7" xfId="53173"/>
    <cellStyle name="输入 2 2 39 8" xfId="53174"/>
    <cellStyle name="输入 2 2 39 9" xfId="53175"/>
    <cellStyle name="输入 2 2 4" xfId="3263"/>
    <cellStyle name="输入 2 2 4 10" xfId="53176"/>
    <cellStyle name="输入 2 2 4 11" xfId="53177"/>
    <cellStyle name="输入 2 2 4 12" xfId="53178"/>
    <cellStyle name="输入 2 2 4 2" xfId="3264"/>
    <cellStyle name="输入 2 2 4 2 2" xfId="12973"/>
    <cellStyle name="输入 2 2 4 2_YL Capex Cashflow &amp; Dep" xfId="13910"/>
    <cellStyle name="输入 2 2 4 3" xfId="12295"/>
    <cellStyle name="输入 2 2 4 4" xfId="53179"/>
    <cellStyle name="输入 2 2 4 5" xfId="53180"/>
    <cellStyle name="输入 2 2 4 6" xfId="53181"/>
    <cellStyle name="输入 2 2 4 7" xfId="53182"/>
    <cellStyle name="输入 2 2 4 8" xfId="53183"/>
    <cellStyle name="输入 2 2 4 9" xfId="53184"/>
    <cellStyle name="输入 2 2 4_YL Capex Cashflow &amp; Dep" xfId="13909"/>
    <cellStyle name="输入 2 2 40" xfId="9271"/>
    <cellStyle name="输入 2 2 40 10" xfId="53185"/>
    <cellStyle name="输入 2 2 40 11" xfId="53186"/>
    <cellStyle name="输入 2 2 40 12" xfId="53187"/>
    <cellStyle name="输入 2 2 40 2" xfId="9272"/>
    <cellStyle name="输入 2 2 40 2 2" xfId="53188"/>
    <cellStyle name="输入 2 2 40 3" xfId="53189"/>
    <cellStyle name="输入 2 2 40 4" xfId="53190"/>
    <cellStyle name="输入 2 2 40 5" xfId="53191"/>
    <cellStyle name="输入 2 2 40 6" xfId="53192"/>
    <cellStyle name="输入 2 2 40 7" xfId="53193"/>
    <cellStyle name="输入 2 2 40 8" xfId="53194"/>
    <cellStyle name="输入 2 2 40 9" xfId="53195"/>
    <cellStyle name="输入 2 2 41" xfId="9273"/>
    <cellStyle name="输入 2 2 41 10" xfId="53196"/>
    <cellStyle name="输入 2 2 41 11" xfId="53197"/>
    <cellStyle name="输入 2 2 41 12" xfId="53198"/>
    <cellStyle name="输入 2 2 41 2" xfId="9274"/>
    <cellStyle name="输入 2 2 41 2 2" xfId="53199"/>
    <cellStyle name="输入 2 2 41 3" xfId="53200"/>
    <cellStyle name="输入 2 2 41 4" xfId="53201"/>
    <cellStyle name="输入 2 2 41 5" xfId="53202"/>
    <cellStyle name="输入 2 2 41 6" xfId="53203"/>
    <cellStyle name="输入 2 2 41 7" xfId="53204"/>
    <cellStyle name="输入 2 2 41 8" xfId="53205"/>
    <cellStyle name="输入 2 2 41 9" xfId="53206"/>
    <cellStyle name="输入 2 2 42" xfId="9275"/>
    <cellStyle name="输入 2 2 42 10" xfId="53207"/>
    <cellStyle name="输入 2 2 42 11" xfId="53208"/>
    <cellStyle name="输入 2 2 42 12" xfId="53209"/>
    <cellStyle name="输入 2 2 42 2" xfId="9276"/>
    <cellStyle name="输入 2 2 42 2 2" xfId="53210"/>
    <cellStyle name="输入 2 2 42 3" xfId="53211"/>
    <cellStyle name="输入 2 2 42 4" xfId="53212"/>
    <cellStyle name="输入 2 2 42 5" xfId="53213"/>
    <cellStyle name="输入 2 2 42 6" xfId="53214"/>
    <cellStyle name="输入 2 2 42 7" xfId="53215"/>
    <cellStyle name="输入 2 2 42 8" xfId="53216"/>
    <cellStyle name="输入 2 2 42 9" xfId="53217"/>
    <cellStyle name="输入 2 2 43" xfId="9277"/>
    <cellStyle name="输入 2 2 43 10" xfId="53218"/>
    <cellStyle name="输入 2 2 43 11" xfId="53219"/>
    <cellStyle name="输入 2 2 43 12" xfId="53220"/>
    <cellStyle name="输入 2 2 43 2" xfId="9278"/>
    <cellStyle name="输入 2 2 43 2 2" xfId="53221"/>
    <cellStyle name="输入 2 2 43 3" xfId="53222"/>
    <cellStyle name="输入 2 2 43 4" xfId="53223"/>
    <cellStyle name="输入 2 2 43 5" xfId="53224"/>
    <cellStyle name="输入 2 2 43 6" xfId="53225"/>
    <cellStyle name="输入 2 2 43 7" xfId="53226"/>
    <cellStyle name="输入 2 2 43 8" xfId="53227"/>
    <cellStyle name="输入 2 2 43 9" xfId="53228"/>
    <cellStyle name="输入 2 2 44" xfId="9279"/>
    <cellStyle name="输入 2 2 44 10" xfId="53229"/>
    <cellStyle name="输入 2 2 44 11" xfId="53230"/>
    <cellStyle name="输入 2 2 44 12" xfId="53231"/>
    <cellStyle name="输入 2 2 44 2" xfId="9280"/>
    <cellStyle name="输入 2 2 44 2 2" xfId="53232"/>
    <cellStyle name="输入 2 2 44 3" xfId="53233"/>
    <cellStyle name="输入 2 2 44 4" xfId="53234"/>
    <cellStyle name="输入 2 2 44 5" xfId="53235"/>
    <cellStyle name="输入 2 2 44 6" xfId="53236"/>
    <cellStyle name="输入 2 2 44 7" xfId="53237"/>
    <cellStyle name="输入 2 2 44 8" xfId="53238"/>
    <cellStyle name="输入 2 2 44 9" xfId="53239"/>
    <cellStyle name="输入 2 2 45" xfId="9281"/>
    <cellStyle name="输入 2 2 45 10" xfId="53240"/>
    <cellStyle name="输入 2 2 45 11" xfId="53241"/>
    <cellStyle name="输入 2 2 45 12" xfId="53242"/>
    <cellStyle name="输入 2 2 45 2" xfId="9282"/>
    <cellStyle name="输入 2 2 45 2 2" xfId="53243"/>
    <cellStyle name="输入 2 2 45 3" xfId="53244"/>
    <cellStyle name="输入 2 2 45 4" xfId="53245"/>
    <cellStyle name="输入 2 2 45 5" xfId="53246"/>
    <cellStyle name="输入 2 2 45 6" xfId="53247"/>
    <cellStyle name="输入 2 2 45 7" xfId="53248"/>
    <cellStyle name="输入 2 2 45 8" xfId="53249"/>
    <cellStyle name="输入 2 2 45 9" xfId="53250"/>
    <cellStyle name="输入 2 2 46" xfId="9283"/>
    <cellStyle name="输入 2 2 46 10" xfId="53251"/>
    <cellStyle name="输入 2 2 46 11" xfId="53252"/>
    <cellStyle name="输入 2 2 46 12" xfId="53253"/>
    <cellStyle name="输入 2 2 46 2" xfId="9284"/>
    <cellStyle name="输入 2 2 46 2 2" xfId="53254"/>
    <cellStyle name="输入 2 2 46 3" xfId="53255"/>
    <cellStyle name="输入 2 2 46 4" xfId="53256"/>
    <cellStyle name="输入 2 2 46 5" xfId="53257"/>
    <cellStyle name="输入 2 2 46 6" xfId="53258"/>
    <cellStyle name="输入 2 2 46 7" xfId="53259"/>
    <cellStyle name="输入 2 2 46 8" xfId="53260"/>
    <cellStyle name="输入 2 2 46 9" xfId="53261"/>
    <cellStyle name="输入 2 2 47" xfId="9285"/>
    <cellStyle name="输入 2 2 47 10" xfId="53262"/>
    <cellStyle name="输入 2 2 47 11" xfId="53263"/>
    <cellStyle name="输入 2 2 47 12" xfId="53264"/>
    <cellStyle name="输入 2 2 47 2" xfId="9286"/>
    <cellStyle name="输入 2 2 47 2 2" xfId="53265"/>
    <cellStyle name="输入 2 2 47 3" xfId="53266"/>
    <cellStyle name="输入 2 2 47 4" xfId="53267"/>
    <cellStyle name="输入 2 2 47 5" xfId="53268"/>
    <cellStyle name="输入 2 2 47 6" xfId="53269"/>
    <cellStyle name="输入 2 2 47 7" xfId="53270"/>
    <cellStyle name="输入 2 2 47 8" xfId="53271"/>
    <cellStyle name="输入 2 2 47 9" xfId="53272"/>
    <cellStyle name="输入 2 2 48" xfId="9287"/>
    <cellStyle name="输入 2 2 48 10" xfId="53273"/>
    <cellStyle name="输入 2 2 48 11" xfId="53274"/>
    <cellStyle name="输入 2 2 48 12" xfId="53275"/>
    <cellStyle name="输入 2 2 48 2" xfId="9288"/>
    <cellStyle name="输入 2 2 48 2 2" xfId="53276"/>
    <cellStyle name="输入 2 2 48 3" xfId="53277"/>
    <cellStyle name="输入 2 2 48 4" xfId="53278"/>
    <cellStyle name="输入 2 2 48 5" xfId="53279"/>
    <cellStyle name="输入 2 2 48 6" xfId="53280"/>
    <cellStyle name="输入 2 2 48 7" xfId="53281"/>
    <cellStyle name="输入 2 2 48 8" xfId="53282"/>
    <cellStyle name="输入 2 2 48 9" xfId="53283"/>
    <cellStyle name="输入 2 2 49" xfId="9289"/>
    <cellStyle name="输入 2 2 49 10" xfId="53284"/>
    <cellStyle name="输入 2 2 49 11" xfId="53285"/>
    <cellStyle name="输入 2 2 49 12" xfId="53286"/>
    <cellStyle name="输入 2 2 49 2" xfId="9290"/>
    <cellStyle name="输入 2 2 49 2 2" xfId="53287"/>
    <cellStyle name="输入 2 2 49 3" xfId="53288"/>
    <cellStyle name="输入 2 2 49 4" xfId="53289"/>
    <cellStyle name="输入 2 2 49 5" xfId="53290"/>
    <cellStyle name="输入 2 2 49 6" xfId="53291"/>
    <cellStyle name="输入 2 2 49 7" xfId="53292"/>
    <cellStyle name="输入 2 2 49 8" xfId="53293"/>
    <cellStyle name="输入 2 2 49 9" xfId="53294"/>
    <cellStyle name="输入 2 2 5" xfId="3265"/>
    <cellStyle name="输入 2 2 5 10" xfId="53295"/>
    <cellStyle name="输入 2 2 5 11" xfId="53296"/>
    <cellStyle name="输入 2 2 5 2" xfId="9291"/>
    <cellStyle name="输入 2 2 5 2 2" xfId="53297"/>
    <cellStyle name="输入 2 2 5 3" xfId="13282"/>
    <cellStyle name="输入 2 2 5 4" xfId="53298"/>
    <cellStyle name="输入 2 2 5 5" xfId="53299"/>
    <cellStyle name="输入 2 2 5 6" xfId="53300"/>
    <cellStyle name="输入 2 2 5 7" xfId="53301"/>
    <cellStyle name="输入 2 2 5 8" xfId="53302"/>
    <cellStyle name="输入 2 2 5 9" xfId="53303"/>
    <cellStyle name="输入 2 2 5_YL Capex Cashflow &amp; Dep" xfId="13911"/>
    <cellStyle name="输入 2 2 50" xfId="9292"/>
    <cellStyle name="输入 2 2 50 10" xfId="53304"/>
    <cellStyle name="输入 2 2 50 11" xfId="53305"/>
    <cellStyle name="输入 2 2 50 12" xfId="53306"/>
    <cellStyle name="输入 2 2 50 2" xfId="9293"/>
    <cellStyle name="输入 2 2 50 2 2" xfId="53307"/>
    <cellStyle name="输入 2 2 50 3" xfId="53308"/>
    <cellStyle name="输入 2 2 50 4" xfId="53309"/>
    <cellStyle name="输入 2 2 50 5" xfId="53310"/>
    <cellStyle name="输入 2 2 50 6" xfId="53311"/>
    <cellStyle name="输入 2 2 50 7" xfId="53312"/>
    <cellStyle name="输入 2 2 50 8" xfId="53313"/>
    <cellStyle name="输入 2 2 50 9" xfId="53314"/>
    <cellStyle name="输入 2 2 51" xfId="9294"/>
    <cellStyle name="输入 2 2 51 10" xfId="53315"/>
    <cellStyle name="输入 2 2 51 11" xfId="53316"/>
    <cellStyle name="输入 2 2 51 12" xfId="53317"/>
    <cellStyle name="输入 2 2 51 2" xfId="9295"/>
    <cellStyle name="输入 2 2 51 2 2" xfId="53318"/>
    <cellStyle name="输入 2 2 51 3" xfId="53319"/>
    <cellStyle name="输入 2 2 51 4" xfId="53320"/>
    <cellStyle name="输入 2 2 51 5" xfId="53321"/>
    <cellStyle name="输入 2 2 51 6" xfId="53322"/>
    <cellStyle name="输入 2 2 51 7" xfId="53323"/>
    <cellStyle name="输入 2 2 51 8" xfId="53324"/>
    <cellStyle name="输入 2 2 51 9" xfId="53325"/>
    <cellStyle name="输入 2 2 52" xfId="9296"/>
    <cellStyle name="输入 2 2 52 10" xfId="53326"/>
    <cellStyle name="输入 2 2 52 11" xfId="53327"/>
    <cellStyle name="输入 2 2 52 12" xfId="53328"/>
    <cellStyle name="输入 2 2 52 2" xfId="9297"/>
    <cellStyle name="输入 2 2 52 2 2" xfId="53329"/>
    <cellStyle name="输入 2 2 52 3" xfId="53330"/>
    <cellStyle name="输入 2 2 52 4" xfId="53331"/>
    <cellStyle name="输入 2 2 52 5" xfId="53332"/>
    <cellStyle name="输入 2 2 52 6" xfId="53333"/>
    <cellStyle name="输入 2 2 52 7" xfId="53334"/>
    <cellStyle name="输入 2 2 52 8" xfId="53335"/>
    <cellStyle name="输入 2 2 52 9" xfId="53336"/>
    <cellStyle name="输入 2 2 53" xfId="9298"/>
    <cellStyle name="输入 2 2 53 10" xfId="53337"/>
    <cellStyle name="输入 2 2 53 11" xfId="53338"/>
    <cellStyle name="输入 2 2 53 12" xfId="53339"/>
    <cellStyle name="输入 2 2 53 2" xfId="9299"/>
    <cellStyle name="输入 2 2 53 2 2" xfId="53340"/>
    <cellStyle name="输入 2 2 53 3" xfId="53341"/>
    <cellStyle name="输入 2 2 53 4" xfId="53342"/>
    <cellStyle name="输入 2 2 53 5" xfId="53343"/>
    <cellStyle name="输入 2 2 53 6" xfId="53344"/>
    <cellStyle name="输入 2 2 53 7" xfId="53345"/>
    <cellStyle name="输入 2 2 53 8" xfId="53346"/>
    <cellStyle name="输入 2 2 53 9" xfId="53347"/>
    <cellStyle name="输入 2 2 54" xfId="9300"/>
    <cellStyle name="输入 2 2 54 10" xfId="53348"/>
    <cellStyle name="输入 2 2 54 11" xfId="53349"/>
    <cellStyle name="输入 2 2 54 2" xfId="9301"/>
    <cellStyle name="输入 2 2 54 2 2" xfId="53350"/>
    <cellStyle name="输入 2 2 54 3" xfId="53351"/>
    <cellStyle name="输入 2 2 54 4" xfId="53352"/>
    <cellStyle name="输入 2 2 54 5" xfId="53353"/>
    <cellStyle name="输入 2 2 54 6" xfId="53354"/>
    <cellStyle name="输入 2 2 54 7" xfId="53355"/>
    <cellStyle name="输入 2 2 54 8" xfId="53356"/>
    <cellStyle name="输入 2 2 54 9" xfId="53357"/>
    <cellStyle name="输入 2 2 55" xfId="9302"/>
    <cellStyle name="输入 2 2 55 10" xfId="53358"/>
    <cellStyle name="输入 2 2 55 11" xfId="53359"/>
    <cellStyle name="输入 2 2 55 12" xfId="53360"/>
    <cellStyle name="输入 2 2 55 2" xfId="9303"/>
    <cellStyle name="输入 2 2 55 2 2" xfId="53361"/>
    <cellStyle name="输入 2 2 55 3" xfId="53362"/>
    <cellStyle name="输入 2 2 55 4" xfId="53363"/>
    <cellStyle name="输入 2 2 55 5" xfId="53364"/>
    <cellStyle name="输入 2 2 55 6" xfId="53365"/>
    <cellStyle name="输入 2 2 55 7" xfId="53366"/>
    <cellStyle name="输入 2 2 55 8" xfId="53367"/>
    <cellStyle name="输入 2 2 55 9" xfId="53368"/>
    <cellStyle name="输入 2 2 56" xfId="9304"/>
    <cellStyle name="输入 2 2 56 10" xfId="53369"/>
    <cellStyle name="输入 2 2 56 11" xfId="53370"/>
    <cellStyle name="输入 2 2 56 12" xfId="53371"/>
    <cellStyle name="输入 2 2 56 2" xfId="9305"/>
    <cellStyle name="输入 2 2 56 2 2" xfId="53372"/>
    <cellStyle name="输入 2 2 56 3" xfId="53373"/>
    <cellStyle name="输入 2 2 56 4" xfId="53374"/>
    <cellStyle name="输入 2 2 56 5" xfId="53375"/>
    <cellStyle name="输入 2 2 56 6" xfId="53376"/>
    <cellStyle name="输入 2 2 56 7" xfId="53377"/>
    <cellStyle name="输入 2 2 56 8" xfId="53378"/>
    <cellStyle name="输入 2 2 56 9" xfId="53379"/>
    <cellStyle name="输入 2 2 57" xfId="9306"/>
    <cellStyle name="输入 2 2 57 10" xfId="53380"/>
    <cellStyle name="输入 2 2 57 11" xfId="53381"/>
    <cellStyle name="输入 2 2 57 12" xfId="53382"/>
    <cellStyle name="输入 2 2 57 2" xfId="9307"/>
    <cellStyle name="输入 2 2 57 2 2" xfId="53383"/>
    <cellStyle name="输入 2 2 57 3" xfId="53384"/>
    <cellStyle name="输入 2 2 57 4" xfId="53385"/>
    <cellStyle name="输入 2 2 57 5" xfId="53386"/>
    <cellStyle name="输入 2 2 57 6" xfId="53387"/>
    <cellStyle name="输入 2 2 57 7" xfId="53388"/>
    <cellStyle name="输入 2 2 57 8" xfId="53389"/>
    <cellStyle name="输入 2 2 57 9" xfId="53390"/>
    <cellStyle name="输入 2 2 58" xfId="9308"/>
    <cellStyle name="输入 2 2 58 10" xfId="53391"/>
    <cellStyle name="输入 2 2 58 11" xfId="53392"/>
    <cellStyle name="输入 2 2 58 12" xfId="53393"/>
    <cellStyle name="输入 2 2 58 2" xfId="9309"/>
    <cellStyle name="输入 2 2 58 2 2" xfId="53394"/>
    <cellStyle name="输入 2 2 58 3" xfId="53395"/>
    <cellStyle name="输入 2 2 58 4" xfId="53396"/>
    <cellStyle name="输入 2 2 58 5" xfId="53397"/>
    <cellStyle name="输入 2 2 58 6" xfId="53398"/>
    <cellStyle name="输入 2 2 58 7" xfId="53399"/>
    <cellStyle name="输入 2 2 58 8" xfId="53400"/>
    <cellStyle name="输入 2 2 58 9" xfId="53401"/>
    <cellStyle name="输入 2 2 59" xfId="9310"/>
    <cellStyle name="输入 2 2 59 10" xfId="53402"/>
    <cellStyle name="输入 2 2 59 11" xfId="53403"/>
    <cellStyle name="输入 2 2 59 2" xfId="9311"/>
    <cellStyle name="输入 2 2 59 2 2" xfId="53404"/>
    <cellStyle name="输入 2 2 59 3" xfId="53405"/>
    <cellStyle name="输入 2 2 59 4" xfId="53406"/>
    <cellStyle name="输入 2 2 59 5" xfId="53407"/>
    <cellStyle name="输入 2 2 59 6" xfId="53408"/>
    <cellStyle name="输入 2 2 59 7" xfId="53409"/>
    <cellStyle name="输入 2 2 59 8" xfId="53410"/>
    <cellStyle name="输入 2 2 59 9" xfId="53411"/>
    <cellStyle name="输入 2 2 6" xfId="9312"/>
    <cellStyle name="输入 2 2 6 10" xfId="53412"/>
    <cellStyle name="输入 2 2 6 11" xfId="53413"/>
    <cellStyle name="输入 2 2 6 2" xfId="9313"/>
    <cellStyle name="输入 2 2 6 2 2" xfId="53414"/>
    <cellStyle name="输入 2 2 6 3" xfId="53415"/>
    <cellStyle name="输入 2 2 6 4" xfId="53416"/>
    <cellStyle name="输入 2 2 6 5" xfId="53417"/>
    <cellStyle name="输入 2 2 6 6" xfId="53418"/>
    <cellStyle name="输入 2 2 6 7" xfId="53419"/>
    <cellStyle name="输入 2 2 6 8" xfId="53420"/>
    <cellStyle name="输入 2 2 6 9" xfId="53421"/>
    <cellStyle name="输入 2 2 60" xfId="9314"/>
    <cellStyle name="输入 2 2 60 10" xfId="53422"/>
    <cellStyle name="输入 2 2 60 11" xfId="53423"/>
    <cellStyle name="输入 2 2 60 12" xfId="53424"/>
    <cellStyle name="输入 2 2 60 2" xfId="9315"/>
    <cellStyle name="输入 2 2 60 2 2" xfId="53425"/>
    <cellStyle name="输入 2 2 60 3" xfId="53426"/>
    <cellStyle name="输入 2 2 60 4" xfId="53427"/>
    <cellStyle name="输入 2 2 60 5" xfId="53428"/>
    <cellStyle name="输入 2 2 60 6" xfId="53429"/>
    <cellStyle name="输入 2 2 60 7" xfId="53430"/>
    <cellStyle name="输入 2 2 60 8" xfId="53431"/>
    <cellStyle name="输入 2 2 60 9" xfId="53432"/>
    <cellStyle name="输入 2 2 61" xfId="9316"/>
    <cellStyle name="输入 2 2 61 10" xfId="53433"/>
    <cellStyle name="输入 2 2 61 11" xfId="53434"/>
    <cellStyle name="输入 2 2 61 12" xfId="53435"/>
    <cellStyle name="输入 2 2 61 2" xfId="9317"/>
    <cellStyle name="输入 2 2 61 2 2" xfId="53436"/>
    <cellStyle name="输入 2 2 61 3" xfId="53437"/>
    <cellStyle name="输入 2 2 61 4" xfId="53438"/>
    <cellStyle name="输入 2 2 61 5" xfId="53439"/>
    <cellStyle name="输入 2 2 61 6" xfId="53440"/>
    <cellStyle name="输入 2 2 61 7" xfId="53441"/>
    <cellStyle name="输入 2 2 61 8" xfId="53442"/>
    <cellStyle name="输入 2 2 61 9" xfId="53443"/>
    <cellStyle name="输入 2 2 62" xfId="9318"/>
    <cellStyle name="输入 2 2 62 10" xfId="53444"/>
    <cellStyle name="输入 2 2 62 11" xfId="53445"/>
    <cellStyle name="输入 2 2 62 12" xfId="53446"/>
    <cellStyle name="输入 2 2 62 2" xfId="9319"/>
    <cellStyle name="输入 2 2 62 2 2" xfId="53447"/>
    <cellStyle name="输入 2 2 62 3" xfId="53448"/>
    <cellStyle name="输入 2 2 62 4" xfId="53449"/>
    <cellStyle name="输入 2 2 62 5" xfId="53450"/>
    <cellStyle name="输入 2 2 62 6" xfId="53451"/>
    <cellStyle name="输入 2 2 62 7" xfId="53452"/>
    <cellStyle name="输入 2 2 62 8" xfId="53453"/>
    <cellStyle name="输入 2 2 62 9" xfId="53454"/>
    <cellStyle name="输入 2 2 63" xfId="9320"/>
    <cellStyle name="输入 2 2 63 10" xfId="53455"/>
    <cellStyle name="输入 2 2 63 11" xfId="53456"/>
    <cellStyle name="输入 2 2 63 12" xfId="53457"/>
    <cellStyle name="输入 2 2 63 2" xfId="9321"/>
    <cellStyle name="输入 2 2 63 2 2" xfId="53458"/>
    <cellStyle name="输入 2 2 63 3" xfId="53459"/>
    <cellStyle name="输入 2 2 63 4" xfId="53460"/>
    <cellStyle name="输入 2 2 63 5" xfId="53461"/>
    <cellStyle name="输入 2 2 63 6" xfId="53462"/>
    <cellStyle name="输入 2 2 63 7" xfId="53463"/>
    <cellStyle name="输入 2 2 63 8" xfId="53464"/>
    <cellStyle name="输入 2 2 63 9" xfId="53465"/>
    <cellStyle name="输入 2 2 64" xfId="9322"/>
    <cellStyle name="输入 2 2 64 10" xfId="53466"/>
    <cellStyle name="输入 2 2 64 11" xfId="53467"/>
    <cellStyle name="输入 2 2 64 12" xfId="53468"/>
    <cellStyle name="输入 2 2 64 2" xfId="9323"/>
    <cellStyle name="输入 2 2 64 2 2" xfId="53469"/>
    <cellStyle name="输入 2 2 64 3" xfId="53470"/>
    <cellStyle name="输入 2 2 64 4" xfId="53471"/>
    <cellStyle name="输入 2 2 64 5" xfId="53472"/>
    <cellStyle name="输入 2 2 64 6" xfId="53473"/>
    <cellStyle name="输入 2 2 64 7" xfId="53474"/>
    <cellStyle name="输入 2 2 64 8" xfId="53475"/>
    <cellStyle name="输入 2 2 64 9" xfId="53476"/>
    <cellStyle name="输入 2 2 65" xfId="9324"/>
    <cellStyle name="输入 2 2 65 10" xfId="53477"/>
    <cellStyle name="输入 2 2 65 11" xfId="53478"/>
    <cellStyle name="输入 2 2 65 12" xfId="53479"/>
    <cellStyle name="输入 2 2 65 2" xfId="9325"/>
    <cellStyle name="输入 2 2 65 2 2" xfId="53480"/>
    <cellStyle name="输入 2 2 65 3" xfId="53481"/>
    <cellStyle name="输入 2 2 65 4" xfId="53482"/>
    <cellStyle name="输入 2 2 65 5" xfId="53483"/>
    <cellStyle name="输入 2 2 65 6" xfId="53484"/>
    <cellStyle name="输入 2 2 65 7" xfId="53485"/>
    <cellStyle name="输入 2 2 65 8" xfId="53486"/>
    <cellStyle name="输入 2 2 65 9" xfId="53487"/>
    <cellStyle name="输入 2 2 66" xfId="9326"/>
    <cellStyle name="输入 2 2 66 10" xfId="53488"/>
    <cellStyle name="输入 2 2 66 11" xfId="53489"/>
    <cellStyle name="输入 2 2 66 12" xfId="53490"/>
    <cellStyle name="输入 2 2 66 2" xfId="9327"/>
    <cellStyle name="输入 2 2 66 2 2" xfId="53491"/>
    <cellStyle name="输入 2 2 66 3" xfId="53492"/>
    <cellStyle name="输入 2 2 66 4" xfId="53493"/>
    <cellStyle name="输入 2 2 66 5" xfId="53494"/>
    <cellStyle name="输入 2 2 66 6" xfId="53495"/>
    <cellStyle name="输入 2 2 66 7" xfId="53496"/>
    <cellStyle name="输入 2 2 66 8" xfId="53497"/>
    <cellStyle name="输入 2 2 66 9" xfId="53498"/>
    <cellStyle name="输入 2 2 67" xfId="9328"/>
    <cellStyle name="输入 2 2 67 10" xfId="53499"/>
    <cellStyle name="输入 2 2 67 11" xfId="53500"/>
    <cellStyle name="输入 2 2 67 12" xfId="53501"/>
    <cellStyle name="输入 2 2 67 2" xfId="9329"/>
    <cellStyle name="输入 2 2 67 2 2" xfId="53502"/>
    <cellStyle name="输入 2 2 67 3" xfId="53503"/>
    <cellStyle name="输入 2 2 67 4" xfId="53504"/>
    <cellStyle name="输入 2 2 67 5" xfId="53505"/>
    <cellStyle name="输入 2 2 67 6" xfId="53506"/>
    <cellStyle name="输入 2 2 67 7" xfId="53507"/>
    <cellStyle name="输入 2 2 67 8" xfId="53508"/>
    <cellStyle name="输入 2 2 67 9" xfId="53509"/>
    <cellStyle name="输入 2 2 68" xfId="9330"/>
    <cellStyle name="输入 2 2 68 10" xfId="53510"/>
    <cellStyle name="输入 2 2 68 11" xfId="53511"/>
    <cellStyle name="输入 2 2 68 12" xfId="53512"/>
    <cellStyle name="输入 2 2 68 2" xfId="9331"/>
    <cellStyle name="输入 2 2 68 2 2" xfId="53513"/>
    <cellStyle name="输入 2 2 68 3" xfId="53514"/>
    <cellStyle name="输入 2 2 68 4" xfId="53515"/>
    <cellStyle name="输入 2 2 68 5" xfId="53516"/>
    <cellStyle name="输入 2 2 68 6" xfId="53517"/>
    <cellStyle name="输入 2 2 68 7" xfId="53518"/>
    <cellStyle name="输入 2 2 68 8" xfId="53519"/>
    <cellStyle name="输入 2 2 68 9" xfId="53520"/>
    <cellStyle name="输入 2 2 69" xfId="9332"/>
    <cellStyle name="输入 2 2 69 10" xfId="53521"/>
    <cellStyle name="输入 2 2 69 11" xfId="53522"/>
    <cellStyle name="输入 2 2 69 12" xfId="53523"/>
    <cellStyle name="输入 2 2 69 2" xfId="9333"/>
    <cellStyle name="输入 2 2 69 2 2" xfId="53524"/>
    <cellStyle name="输入 2 2 69 3" xfId="53525"/>
    <cellStyle name="输入 2 2 69 4" xfId="53526"/>
    <cellStyle name="输入 2 2 69 5" xfId="53527"/>
    <cellStyle name="输入 2 2 69 6" xfId="53528"/>
    <cellStyle name="输入 2 2 69 7" xfId="53529"/>
    <cellStyle name="输入 2 2 69 8" xfId="53530"/>
    <cellStyle name="输入 2 2 69 9" xfId="53531"/>
    <cellStyle name="输入 2 2 7" xfId="9334"/>
    <cellStyle name="输入 2 2 7 10" xfId="53532"/>
    <cellStyle name="输入 2 2 7 11" xfId="53533"/>
    <cellStyle name="输入 2 2 7 2" xfId="9335"/>
    <cellStyle name="输入 2 2 7 2 2" xfId="53534"/>
    <cellStyle name="输入 2 2 7 3" xfId="53535"/>
    <cellStyle name="输入 2 2 7 4" xfId="53536"/>
    <cellStyle name="输入 2 2 7 5" xfId="53537"/>
    <cellStyle name="输入 2 2 7 6" xfId="53538"/>
    <cellStyle name="输入 2 2 7 7" xfId="53539"/>
    <cellStyle name="输入 2 2 7 8" xfId="53540"/>
    <cellStyle name="输入 2 2 7 9" xfId="53541"/>
    <cellStyle name="输入 2 2 70" xfId="9336"/>
    <cellStyle name="输入 2 2 70 10" xfId="53542"/>
    <cellStyle name="输入 2 2 70 11" xfId="53543"/>
    <cellStyle name="输入 2 2 70 12" xfId="53544"/>
    <cellStyle name="输入 2 2 70 2" xfId="9337"/>
    <cellStyle name="输入 2 2 70 2 2" xfId="53545"/>
    <cellStyle name="输入 2 2 70 3" xfId="53546"/>
    <cellStyle name="输入 2 2 70 4" xfId="53547"/>
    <cellStyle name="输入 2 2 70 5" xfId="53548"/>
    <cellStyle name="输入 2 2 70 6" xfId="53549"/>
    <cellStyle name="输入 2 2 70 7" xfId="53550"/>
    <cellStyle name="输入 2 2 70 8" xfId="53551"/>
    <cellStyle name="输入 2 2 70 9" xfId="53552"/>
    <cellStyle name="输入 2 2 71" xfId="9338"/>
    <cellStyle name="输入 2 2 71 10" xfId="53553"/>
    <cellStyle name="输入 2 2 71 11" xfId="53554"/>
    <cellStyle name="输入 2 2 71 12" xfId="53555"/>
    <cellStyle name="输入 2 2 71 2" xfId="9339"/>
    <cellStyle name="输入 2 2 71 2 2" xfId="53556"/>
    <cellStyle name="输入 2 2 71 3" xfId="53557"/>
    <cellStyle name="输入 2 2 71 4" xfId="53558"/>
    <cellStyle name="输入 2 2 71 5" xfId="53559"/>
    <cellStyle name="输入 2 2 71 6" xfId="53560"/>
    <cellStyle name="输入 2 2 71 7" xfId="53561"/>
    <cellStyle name="输入 2 2 71 8" xfId="53562"/>
    <cellStyle name="输入 2 2 71 9" xfId="53563"/>
    <cellStyle name="输入 2 2 72" xfId="9340"/>
    <cellStyle name="输入 2 2 72 10" xfId="53564"/>
    <cellStyle name="输入 2 2 72 11" xfId="53565"/>
    <cellStyle name="输入 2 2 72 12" xfId="53566"/>
    <cellStyle name="输入 2 2 72 2" xfId="9341"/>
    <cellStyle name="输入 2 2 72 2 2" xfId="53567"/>
    <cellStyle name="输入 2 2 72 3" xfId="53568"/>
    <cellStyle name="输入 2 2 72 4" xfId="53569"/>
    <cellStyle name="输入 2 2 72 5" xfId="53570"/>
    <cellStyle name="输入 2 2 72 6" xfId="53571"/>
    <cellStyle name="输入 2 2 72 7" xfId="53572"/>
    <cellStyle name="输入 2 2 72 8" xfId="53573"/>
    <cellStyle name="输入 2 2 72 9" xfId="53574"/>
    <cellStyle name="输入 2 2 73" xfId="9342"/>
    <cellStyle name="输入 2 2 73 10" xfId="53575"/>
    <cellStyle name="输入 2 2 73 11" xfId="53576"/>
    <cellStyle name="输入 2 2 73 12" xfId="53577"/>
    <cellStyle name="输入 2 2 73 2" xfId="9343"/>
    <cellStyle name="输入 2 2 73 2 2" xfId="53578"/>
    <cellStyle name="输入 2 2 73 3" xfId="53579"/>
    <cellStyle name="输入 2 2 73 4" xfId="53580"/>
    <cellStyle name="输入 2 2 73 5" xfId="53581"/>
    <cellStyle name="输入 2 2 73 6" xfId="53582"/>
    <cellStyle name="输入 2 2 73 7" xfId="53583"/>
    <cellStyle name="输入 2 2 73 8" xfId="53584"/>
    <cellStyle name="输入 2 2 73 9" xfId="53585"/>
    <cellStyle name="输入 2 2 74" xfId="9344"/>
    <cellStyle name="输入 2 2 74 10" xfId="53586"/>
    <cellStyle name="输入 2 2 74 11" xfId="53587"/>
    <cellStyle name="输入 2 2 74 12" xfId="53588"/>
    <cellStyle name="输入 2 2 74 2" xfId="9345"/>
    <cellStyle name="输入 2 2 74 2 2" xfId="53589"/>
    <cellStyle name="输入 2 2 74 3" xfId="53590"/>
    <cellStyle name="输入 2 2 74 4" xfId="53591"/>
    <cellStyle name="输入 2 2 74 5" xfId="53592"/>
    <cellStyle name="输入 2 2 74 6" xfId="53593"/>
    <cellStyle name="输入 2 2 74 7" xfId="53594"/>
    <cellStyle name="输入 2 2 74 8" xfId="53595"/>
    <cellStyle name="输入 2 2 74 9" xfId="53596"/>
    <cellStyle name="输入 2 2 75" xfId="9346"/>
    <cellStyle name="输入 2 2 75 10" xfId="53597"/>
    <cellStyle name="输入 2 2 75 11" xfId="53598"/>
    <cellStyle name="输入 2 2 75 12" xfId="53599"/>
    <cellStyle name="输入 2 2 75 2" xfId="9347"/>
    <cellStyle name="输入 2 2 75 2 2" xfId="53600"/>
    <cellStyle name="输入 2 2 75 3" xfId="53601"/>
    <cellStyle name="输入 2 2 75 4" xfId="53602"/>
    <cellStyle name="输入 2 2 75 5" xfId="53603"/>
    <cellStyle name="输入 2 2 75 6" xfId="53604"/>
    <cellStyle name="输入 2 2 75 7" xfId="53605"/>
    <cellStyle name="输入 2 2 75 8" xfId="53606"/>
    <cellStyle name="输入 2 2 75 9" xfId="53607"/>
    <cellStyle name="输入 2 2 76" xfId="9348"/>
    <cellStyle name="输入 2 2 76 10" xfId="53608"/>
    <cellStyle name="输入 2 2 76 11" xfId="53609"/>
    <cellStyle name="输入 2 2 76 12" xfId="53610"/>
    <cellStyle name="输入 2 2 76 2" xfId="9349"/>
    <cellStyle name="输入 2 2 76 2 2" xfId="53611"/>
    <cellStyle name="输入 2 2 76 3" xfId="53612"/>
    <cellStyle name="输入 2 2 76 4" xfId="53613"/>
    <cellStyle name="输入 2 2 76 5" xfId="53614"/>
    <cellStyle name="输入 2 2 76 6" xfId="53615"/>
    <cellStyle name="输入 2 2 76 7" xfId="53616"/>
    <cellStyle name="输入 2 2 76 8" xfId="53617"/>
    <cellStyle name="输入 2 2 76 9" xfId="53618"/>
    <cellStyle name="输入 2 2 77" xfId="9350"/>
    <cellStyle name="输入 2 2 77 10" xfId="53619"/>
    <cellStyle name="输入 2 2 77 11" xfId="53620"/>
    <cellStyle name="输入 2 2 77 12" xfId="53621"/>
    <cellStyle name="输入 2 2 77 2" xfId="9351"/>
    <cellStyle name="输入 2 2 77 2 2" xfId="53622"/>
    <cellStyle name="输入 2 2 77 3" xfId="53623"/>
    <cellStyle name="输入 2 2 77 4" xfId="53624"/>
    <cellStyle name="输入 2 2 77 5" xfId="53625"/>
    <cellStyle name="输入 2 2 77 6" xfId="53626"/>
    <cellStyle name="输入 2 2 77 7" xfId="53627"/>
    <cellStyle name="输入 2 2 77 8" xfId="53628"/>
    <cellStyle name="输入 2 2 77 9" xfId="53629"/>
    <cellStyle name="输入 2 2 78" xfId="9352"/>
    <cellStyle name="输入 2 2 78 10" xfId="53630"/>
    <cellStyle name="输入 2 2 78 11" xfId="53631"/>
    <cellStyle name="输入 2 2 78 12" xfId="53632"/>
    <cellStyle name="输入 2 2 78 2" xfId="9353"/>
    <cellStyle name="输入 2 2 78 2 2" xfId="53633"/>
    <cellStyle name="输入 2 2 78 3" xfId="53634"/>
    <cellStyle name="输入 2 2 78 4" xfId="53635"/>
    <cellStyle name="输入 2 2 78 5" xfId="53636"/>
    <cellStyle name="输入 2 2 78 6" xfId="53637"/>
    <cellStyle name="输入 2 2 78 7" xfId="53638"/>
    <cellStyle name="输入 2 2 78 8" xfId="53639"/>
    <cellStyle name="输入 2 2 78 9" xfId="53640"/>
    <cellStyle name="输入 2 2 79" xfId="9354"/>
    <cellStyle name="输入 2 2 79 10" xfId="53641"/>
    <cellStyle name="输入 2 2 79 11" xfId="53642"/>
    <cellStyle name="输入 2 2 79 12" xfId="53643"/>
    <cellStyle name="输入 2 2 79 2" xfId="9355"/>
    <cellStyle name="输入 2 2 79 2 2" xfId="53644"/>
    <cellStyle name="输入 2 2 79 3" xfId="53645"/>
    <cellStyle name="输入 2 2 79 4" xfId="53646"/>
    <cellStyle name="输入 2 2 79 5" xfId="53647"/>
    <cellStyle name="输入 2 2 79 6" xfId="53648"/>
    <cellStyle name="输入 2 2 79 7" xfId="53649"/>
    <cellStyle name="输入 2 2 79 8" xfId="53650"/>
    <cellStyle name="输入 2 2 79 9" xfId="53651"/>
    <cellStyle name="输入 2 2 8" xfId="9356"/>
    <cellStyle name="输入 2 2 8 10" xfId="53652"/>
    <cellStyle name="输入 2 2 8 11" xfId="53653"/>
    <cellStyle name="输入 2 2 8 2" xfId="9357"/>
    <cellStyle name="输入 2 2 8 2 2" xfId="53654"/>
    <cellStyle name="输入 2 2 8 3" xfId="53655"/>
    <cellStyle name="输入 2 2 8 4" xfId="53656"/>
    <cellStyle name="输入 2 2 8 5" xfId="53657"/>
    <cellStyle name="输入 2 2 8 6" xfId="53658"/>
    <cellStyle name="输入 2 2 8 7" xfId="53659"/>
    <cellStyle name="输入 2 2 8 8" xfId="53660"/>
    <cellStyle name="输入 2 2 8 9" xfId="53661"/>
    <cellStyle name="输入 2 2 80" xfId="9358"/>
    <cellStyle name="输入 2 2 80 10" xfId="53662"/>
    <cellStyle name="输入 2 2 80 11" xfId="53663"/>
    <cellStyle name="输入 2 2 80 12" xfId="53664"/>
    <cellStyle name="输入 2 2 80 2" xfId="9359"/>
    <cellStyle name="输入 2 2 80 2 2" xfId="53665"/>
    <cellStyle name="输入 2 2 80 3" xfId="53666"/>
    <cellStyle name="输入 2 2 80 4" xfId="53667"/>
    <cellStyle name="输入 2 2 80 5" xfId="53668"/>
    <cellStyle name="输入 2 2 80 6" xfId="53669"/>
    <cellStyle name="输入 2 2 80 7" xfId="53670"/>
    <cellStyle name="输入 2 2 80 8" xfId="53671"/>
    <cellStyle name="输入 2 2 80 9" xfId="53672"/>
    <cellStyle name="输入 2 2 81" xfId="9360"/>
    <cellStyle name="输入 2 2 81 10" xfId="53673"/>
    <cellStyle name="输入 2 2 81 11" xfId="53674"/>
    <cellStyle name="输入 2 2 81 12" xfId="53675"/>
    <cellStyle name="输入 2 2 81 2" xfId="9361"/>
    <cellStyle name="输入 2 2 81 2 2" xfId="53676"/>
    <cellStyle name="输入 2 2 81 3" xfId="53677"/>
    <cellStyle name="输入 2 2 81 4" xfId="53678"/>
    <cellStyle name="输入 2 2 81 5" xfId="53679"/>
    <cellStyle name="输入 2 2 81 6" xfId="53680"/>
    <cellStyle name="输入 2 2 81 7" xfId="53681"/>
    <cellStyle name="输入 2 2 81 8" xfId="53682"/>
    <cellStyle name="输入 2 2 81 9" xfId="53683"/>
    <cellStyle name="输入 2 2 82" xfId="9362"/>
    <cellStyle name="输入 2 2 82 10" xfId="53684"/>
    <cellStyle name="输入 2 2 82 11" xfId="53685"/>
    <cellStyle name="输入 2 2 82 12" xfId="53686"/>
    <cellStyle name="输入 2 2 82 2" xfId="9363"/>
    <cellStyle name="输入 2 2 82 2 2" xfId="53687"/>
    <cellStyle name="输入 2 2 82 3" xfId="53688"/>
    <cellStyle name="输入 2 2 82 4" xfId="53689"/>
    <cellStyle name="输入 2 2 82 5" xfId="53690"/>
    <cellStyle name="输入 2 2 82 6" xfId="53691"/>
    <cellStyle name="输入 2 2 82 7" xfId="53692"/>
    <cellStyle name="输入 2 2 82 8" xfId="53693"/>
    <cellStyle name="输入 2 2 82 9" xfId="53694"/>
    <cellStyle name="输入 2 2 83" xfId="9364"/>
    <cellStyle name="输入 2 2 83 10" xfId="53695"/>
    <cellStyle name="输入 2 2 83 11" xfId="53696"/>
    <cellStyle name="输入 2 2 83 12" xfId="53697"/>
    <cellStyle name="输入 2 2 83 2" xfId="9365"/>
    <cellStyle name="输入 2 2 83 2 2" xfId="53698"/>
    <cellStyle name="输入 2 2 83 3" xfId="53699"/>
    <cellStyle name="输入 2 2 83 4" xfId="53700"/>
    <cellStyle name="输入 2 2 83 5" xfId="53701"/>
    <cellStyle name="输入 2 2 83 6" xfId="53702"/>
    <cellStyle name="输入 2 2 83 7" xfId="53703"/>
    <cellStyle name="输入 2 2 83 8" xfId="53704"/>
    <cellStyle name="输入 2 2 83 9" xfId="53705"/>
    <cellStyle name="输入 2 2 84" xfId="9366"/>
    <cellStyle name="输入 2 2 84 10" xfId="53706"/>
    <cellStyle name="输入 2 2 84 11" xfId="53707"/>
    <cellStyle name="输入 2 2 84 12" xfId="53708"/>
    <cellStyle name="输入 2 2 84 2" xfId="9367"/>
    <cellStyle name="输入 2 2 84 2 2" xfId="53709"/>
    <cellStyle name="输入 2 2 84 3" xfId="53710"/>
    <cellStyle name="输入 2 2 84 4" xfId="53711"/>
    <cellStyle name="输入 2 2 84 5" xfId="53712"/>
    <cellStyle name="输入 2 2 84 6" xfId="53713"/>
    <cellStyle name="输入 2 2 84 7" xfId="53714"/>
    <cellStyle name="输入 2 2 84 8" xfId="53715"/>
    <cellStyle name="输入 2 2 84 9" xfId="53716"/>
    <cellStyle name="输入 2 2 85" xfId="9368"/>
    <cellStyle name="输入 2 2 85 10" xfId="53717"/>
    <cellStyle name="输入 2 2 85 11" xfId="53718"/>
    <cellStyle name="输入 2 2 85 12" xfId="53719"/>
    <cellStyle name="输入 2 2 85 2" xfId="9369"/>
    <cellStyle name="输入 2 2 85 2 2" xfId="53720"/>
    <cellStyle name="输入 2 2 85 3" xfId="53721"/>
    <cellStyle name="输入 2 2 85 4" xfId="53722"/>
    <cellStyle name="输入 2 2 85 5" xfId="53723"/>
    <cellStyle name="输入 2 2 85 6" xfId="53724"/>
    <cellStyle name="输入 2 2 85 7" xfId="53725"/>
    <cellStyle name="输入 2 2 85 8" xfId="53726"/>
    <cellStyle name="输入 2 2 85 9" xfId="53727"/>
    <cellStyle name="输入 2 2 86" xfId="9370"/>
    <cellStyle name="输入 2 2 86 10" xfId="53728"/>
    <cellStyle name="输入 2 2 86 11" xfId="53729"/>
    <cellStyle name="输入 2 2 86 2" xfId="9371"/>
    <cellStyle name="输入 2 2 86 2 2" xfId="53730"/>
    <cellStyle name="输入 2 2 86 3" xfId="53731"/>
    <cellStyle name="输入 2 2 86 4" xfId="53732"/>
    <cellStyle name="输入 2 2 86 5" xfId="53733"/>
    <cellStyle name="输入 2 2 86 6" xfId="53734"/>
    <cellStyle name="输入 2 2 86 7" xfId="53735"/>
    <cellStyle name="输入 2 2 86 8" xfId="53736"/>
    <cellStyle name="输入 2 2 86 9" xfId="53737"/>
    <cellStyle name="输入 2 2 87" xfId="9372"/>
    <cellStyle name="输入 2 2 87 10" xfId="53738"/>
    <cellStyle name="输入 2 2 87 11" xfId="53739"/>
    <cellStyle name="输入 2 2 87 12" xfId="53740"/>
    <cellStyle name="输入 2 2 87 2" xfId="9373"/>
    <cellStyle name="输入 2 2 87 2 2" xfId="53741"/>
    <cellStyle name="输入 2 2 87 3" xfId="53742"/>
    <cellStyle name="输入 2 2 87 4" xfId="53743"/>
    <cellStyle name="输入 2 2 87 5" xfId="53744"/>
    <cellStyle name="输入 2 2 87 6" xfId="53745"/>
    <cellStyle name="输入 2 2 87 7" xfId="53746"/>
    <cellStyle name="输入 2 2 87 8" xfId="53747"/>
    <cellStyle name="输入 2 2 87 9" xfId="53748"/>
    <cellStyle name="输入 2 2 88" xfId="9374"/>
    <cellStyle name="输入 2 2 88 10" xfId="53749"/>
    <cellStyle name="输入 2 2 88 11" xfId="53750"/>
    <cellStyle name="输入 2 2 88 12" xfId="53751"/>
    <cellStyle name="输入 2 2 88 2" xfId="9375"/>
    <cellStyle name="输入 2 2 88 2 2" xfId="53752"/>
    <cellStyle name="输入 2 2 88 3" xfId="53753"/>
    <cellStyle name="输入 2 2 88 4" xfId="53754"/>
    <cellStyle name="输入 2 2 88 5" xfId="53755"/>
    <cellStyle name="输入 2 2 88 6" xfId="53756"/>
    <cellStyle name="输入 2 2 88 7" xfId="53757"/>
    <cellStyle name="输入 2 2 88 8" xfId="53758"/>
    <cellStyle name="输入 2 2 88 9" xfId="53759"/>
    <cellStyle name="输入 2 2 89" xfId="9376"/>
    <cellStyle name="输入 2 2 89 10" xfId="53760"/>
    <cellStyle name="输入 2 2 89 11" xfId="53761"/>
    <cellStyle name="输入 2 2 89 12" xfId="53762"/>
    <cellStyle name="输入 2 2 89 2" xfId="9377"/>
    <cellStyle name="输入 2 2 89 2 2" xfId="53763"/>
    <cellStyle name="输入 2 2 89 3" xfId="53764"/>
    <cellStyle name="输入 2 2 89 4" xfId="53765"/>
    <cellStyle name="输入 2 2 89 5" xfId="53766"/>
    <cellStyle name="输入 2 2 89 6" xfId="53767"/>
    <cellStyle name="输入 2 2 89 7" xfId="53768"/>
    <cellStyle name="输入 2 2 89 8" xfId="53769"/>
    <cellStyle name="输入 2 2 89 9" xfId="53770"/>
    <cellStyle name="输入 2 2 9" xfId="9378"/>
    <cellStyle name="输入 2 2 9 10" xfId="53771"/>
    <cellStyle name="输入 2 2 9 11" xfId="53772"/>
    <cellStyle name="输入 2 2 9 2" xfId="9379"/>
    <cellStyle name="输入 2 2 9 2 2" xfId="53773"/>
    <cellStyle name="输入 2 2 9 3" xfId="53774"/>
    <cellStyle name="输入 2 2 9 4" xfId="53775"/>
    <cellStyle name="输入 2 2 9 5" xfId="53776"/>
    <cellStyle name="输入 2 2 9 6" xfId="53777"/>
    <cellStyle name="输入 2 2 9 7" xfId="53778"/>
    <cellStyle name="输入 2 2 9 8" xfId="53779"/>
    <cellStyle name="输入 2 2 9 9" xfId="53780"/>
    <cellStyle name="输入 2 2 90" xfId="9380"/>
    <cellStyle name="输入 2 2 90 10" xfId="53781"/>
    <cellStyle name="输入 2 2 90 11" xfId="53782"/>
    <cellStyle name="输入 2 2 90 12" xfId="53783"/>
    <cellStyle name="输入 2 2 90 2" xfId="9381"/>
    <cellStyle name="输入 2 2 90 2 2" xfId="53784"/>
    <cellStyle name="输入 2 2 90 3" xfId="53785"/>
    <cellStyle name="输入 2 2 90 4" xfId="53786"/>
    <cellStyle name="输入 2 2 90 5" xfId="53787"/>
    <cellStyle name="输入 2 2 90 6" xfId="53788"/>
    <cellStyle name="输入 2 2 90 7" xfId="53789"/>
    <cellStyle name="输入 2 2 90 8" xfId="53790"/>
    <cellStyle name="输入 2 2 90 9" xfId="53791"/>
    <cellStyle name="输入 2 2 91" xfId="9382"/>
    <cellStyle name="输入 2 2 91 10" xfId="53792"/>
    <cellStyle name="输入 2 2 91 11" xfId="53793"/>
    <cellStyle name="输入 2 2 91 12" xfId="53794"/>
    <cellStyle name="输入 2 2 91 2" xfId="9383"/>
    <cellStyle name="输入 2 2 91 2 2" xfId="53795"/>
    <cellStyle name="输入 2 2 91 3" xfId="53796"/>
    <cellStyle name="输入 2 2 91 4" xfId="53797"/>
    <cellStyle name="输入 2 2 91 5" xfId="53798"/>
    <cellStyle name="输入 2 2 91 6" xfId="53799"/>
    <cellStyle name="输入 2 2 91 7" xfId="53800"/>
    <cellStyle name="输入 2 2 91 8" xfId="53801"/>
    <cellStyle name="输入 2 2 91 9" xfId="53802"/>
    <cellStyle name="输入 2 2 92" xfId="9384"/>
    <cellStyle name="输入 2 2 92 10" xfId="53803"/>
    <cellStyle name="输入 2 2 92 11" xfId="53804"/>
    <cellStyle name="输入 2 2 92 12" xfId="53805"/>
    <cellStyle name="输入 2 2 92 2" xfId="9385"/>
    <cellStyle name="输入 2 2 92 2 2" xfId="53806"/>
    <cellStyle name="输入 2 2 92 3" xfId="53807"/>
    <cellStyle name="输入 2 2 92 4" xfId="53808"/>
    <cellStyle name="输入 2 2 92 5" xfId="53809"/>
    <cellStyle name="输入 2 2 92 6" xfId="53810"/>
    <cellStyle name="输入 2 2 92 7" xfId="53811"/>
    <cellStyle name="输入 2 2 92 8" xfId="53812"/>
    <cellStyle name="输入 2 2 92 9" xfId="53813"/>
    <cellStyle name="输入 2 2 93" xfId="9386"/>
    <cellStyle name="输入 2 2 93 10" xfId="53814"/>
    <cellStyle name="输入 2 2 93 11" xfId="53815"/>
    <cellStyle name="输入 2 2 93 2" xfId="9387"/>
    <cellStyle name="输入 2 2 93 2 2" xfId="53816"/>
    <cellStyle name="输入 2 2 93 3" xfId="53817"/>
    <cellStyle name="输入 2 2 93 4" xfId="53818"/>
    <cellStyle name="输入 2 2 93 5" xfId="53819"/>
    <cellStyle name="输入 2 2 93 6" xfId="53820"/>
    <cellStyle name="输入 2 2 93 7" xfId="53821"/>
    <cellStyle name="输入 2 2 93 8" xfId="53822"/>
    <cellStyle name="输入 2 2 93 9" xfId="53823"/>
    <cellStyle name="输入 2 2 94" xfId="11443"/>
    <cellStyle name="输入 2 2 95" xfId="53824"/>
    <cellStyle name="输入 2 2_YL Capex Cashflow &amp; Dep" xfId="13901"/>
    <cellStyle name="输入 2 20" xfId="9388"/>
    <cellStyle name="输入 2 20 10" xfId="53825"/>
    <cellStyle name="输入 2 20 11" xfId="53826"/>
    <cellStyle name="输入 2 20 2" xfId="9389"/>
    <cellStyle name="输入 2 20 2 2" xfId="53827"/>
    <cellStyle name="输入 2 20 3" xfId="53828"/>
    <cellStyle name="输入 2 20 4" xfId="53829"/>
    <cellStyle name="输入 2 20 5" xfId="53830"/>
    <cellStyle name="输入 2 20 6" xfId="53831"/>
    <cellStyle name="输入 2 20 7" xfId="53832"/>
    <cellStyle name="输入 2 20 8" xfId="53833"/>
    <cellStyle name="输入 2 20 9" xfId="53834"/>
    <cellStyle name="输入 2 21" xfId="9390"/>
    <cellStyle name="输入 2 21 10" xfId="53835"/>
    <cellStyle name="输入 2 21 11" xfId="53836"/>
    <cellStyle name="输入 2 21 2" xfId="9391"/>
    <cellStyle name="输入 2 21 2 2" xfId="53837"/>
    <cellStyle name="输入 2 21 3" xfId="53838"/>
    <cellStyle name="输入 2 21 4" xfId="53839"/>
    <cellStyle name="输入 2 21 5" xfId="53840"/>
    <cellStyle name="输入 2 21 6" xfId="53841"/>
    <cellStyle name="输入 2 21 7" xfId="53842"/>
    <cellStyle name="输入 2 21 8" xfId="53843"/>
    <cellStyle name="输入 2 21 9" xfId="53844"/>
    <cellStyle name="输入 2 22" xfId="9392"/>
    <cellStyle name="输入 2 22 10" xfId="53845"/>
    <cellStyle name="输入 2 22 11" xfId="53846"/>
    <cellStyle name="输入 2 22 2" xfId="9393"/>
    <cellStyle name="输入 2 22 2 2" xfId="53847"/>
    <cellStyle name="输入 2 22 3" xfId="53848"/>
    <cellStyle name="输入 2 22 4" xfId="53849"/>
    <cellStyle name="输入 2 22 5" xfId="53850"/>
    <cellStyle name="输入 2 22 6" xfId="53851"/>
    <cellStyle name="输入 2 22 7" xfId="53852"/>
    <cellStyle name="输入 2 22 8" xfId="53853"/>
    <cellStyle name="输入 2 22 9" xfId="53854"/>
    <cellStyle name="输入 2 23" xfId="9394"/>
    <cellStyle name="输入 2 23 10" xfId="53855"/>
    <cellStyle name="输入 2 23 11" xfId="53856"/>
    <cellStyle name="输入 2 23 12" xfId="53857"/>
    <cellStyle name="输入 2 23 2" xfId="9395"/>
    <cellStyle name="输入 2 23 2 2" xfId="53858"/>
    <cellStyle name="输入 2 23 3" xfId="53859"/>
    <cellStyle name="输入 2 23 4" xfId="53860"/>
    <cellStyle name="输入 2 23 5" xfId="53861"/>
    <cellStyle name="输入 2 23 6" xfId="53862"/>
    <cellStyle name="输入 2 23 7" xfId="53863"/>
    <cellStyle name="输入 2 23 8" xfId="53864"/>
    <cellStyle name="输入 2 23 9" xfId="53865"/>
    <cellStyle name="输入 2 24" xfId="9396"/>
    <cellStyle name="输入 2 24 10" xfId="53866"/>
    <cellStyle name="输入 2 24 11" xfId="53867"/>
    <cellStyle name="输入 2 24 12" xfId="53868"/>
    <cellStyle name="输入 2 24 2" xfId="9397"/>
    <cellStyle name="输入 2 24 2 2" xfId="53869"/>
    <cellStyle name="输入 2 24 3" xfId="53870"/>
    <cellStyle name="输入 2 24 4" xfId="53871"/>
    <cellStyle name="输入 2 24 5" xfId="53872"/>
    <cellStyle name="输入 2 24 6" xfId="53873"/>
    <cellStyle name="输入 2 24 7" xfId="53874"/>
    <cellStyle name="输入 2 24 8" xfId="53875"/>
    <cellStyle name="输入 2 24 9" xfId="53876"/>
    <cellStyle name="输入 2 25" xfId="9398"/>
    <cellStyle name="输入 2 25 10" xfId="53877"/>
    <cellStyle name="输入 2 25 11" xfId="53878"/>
    <cellStyle name="输入 2 25 12" xfId="53879"/>
    <cellStyle name="输入 2 25 2" xfId="9399"/>
    <cellStyle name="输入 2 25 2 2" xfId="53880"/>
    <cellStyle name="输入 2 25 3" xfId="53881"/>
    <cellStyle name="输入 2 25 4" xfId="53882"/>
    <cellStyle name="输入 2 25 5" xfId="53883"/>
    <cellStyle name="输入 2 25 6" xfId="53884"/>
    <cellStyle name="输入 2 25 7" xfId="53885"/>
    <cellStyle name="输入 2 25 8" xfId="53886"/>
    <cellStyle name="输入 2 25 9" xfId="53887"/>
    <cellStyle name="输入 2 26" xfId="9400"/>
    <cellStyle name="输入 2 26 10" xfId="53888"/>
    <cellStyle name="输入 2 26 11" xfId="53889"/>
    <cellStyle name="输入 2 26 12" xfId="53890"/>
    <cellStyle name="输入 2 26 2" xfId="9401"/>
    <cellStyle name="输入 2 26 2 2" xfId="53891"/>
    <cellStyle name="输入 2 26 3" xfId="53892"/>
    <cellStyle name="输入 2 26 4" xfId="53893"/>
    <cellStyle name="输入 2 26 5" xfId="53894"/>
    <cellStyle name="输入 2 26 6" xfId="53895"/>
    <cellStyle name="输入 2 26 7" xfId="53896"/>
    <cellStyle name="输入 2 26 8" xfId="53897"/>
    <cellStyle name="输入 2 26 9" xfId="53898"/>
    <cellStyle name="输入 2 27" xfId="9402"/>
    <cellStyle name="输入 2 27 10" xfId="53899"/>
    <cellStyle name="输入 2 27 11" xfId="53900"/>
    <cellStyle name="输入 2 27 12" xfId="53901"/>
    <cellStyle name="输入 2 27 2" xfId="9403"/>
    <cellStyle name="输入 2 27 2 2" xfId="53902"/>
    <cellStyle name="输入 2 27 3" xfId="53903"/>
    <cellStyle name="输入 2 27 4" xfId="53904"/>
    <cellStyle name="输入 2 27 5" xfId="53905"/>
    <cellStyle name="输入 2 27 6" xfId="53906"/>
    <cellStyle name="输入 2 27 7" xfId="53907"/>
    <cellStyle name="输入 2 27 8" xfId="53908"/>
    <cellStyle name="输入 2 27 9" xfId="53909"/>
    <cellStyle name="输入 2 28" xfId="9404"/>
    <cellStyle name="输入 2 28 10" xfId="53910"/>
    <cellStyle name="输入 2 28 11" xfId="53911"/>
    <cellStyle name="输入 2 28 12" xfId="53912"/>
    <cellStyle name="输入 2 28 2" xfId="9405"/>
    <cellStyle name="输入 2 28 2 2" xfId="53913"/>
    <cellStyle name="输入 2 28 3" xfId="53914"/>
    <cellStyle name="输入 2 28 4" xfId="53915"/>
    <cellStyle name="输入 2 28 5" xfId="53916"/>
    <cellStyle name="输入 2 28 6" xfId="53917"/>
    <cellStyle name="输入 2 28 7" xfId="53918"/>
    <cellStyle name="输入 2 28 8" xfId="53919"/>
    <cellStyle name="输入 2 28 9" xfId="53920"/>
    <cellStyle name="输入 2 29" xfId="9406"/>
    <cellStyle name="输入 2 29 10" xfId="53921"/>
    <cellStyle name="输入 2 29 11" xfId="53922"/>
    <cellStyle name="输入 2 29 12" xfId="53923"/>
    <cellStyle name="输入 2 29 2" xfId="9407"/>
    <cellStyle name="输入 2 29 2 2" xfId="53924"/>
    <cellStyle name="输入 2 29 3" xfId="53925"/>
    <cellStyle name="输入 2 29 4" xfId="53926"/>
    <cellStyle name="输入 2 29 5" xfId="53927"/>
    <cellStyle name="输入 2 29 6" xfId="53928"/>
    <cellStyle name="输入 2 29 7" xfId="53929"/>
    <cellStyle name="输入 2 29 8" xfId="53930"/>
    <cellStyle name="输入 2 29 9" xfId="53931"/>
    <cellStyle name="输入 2 3" xfId="3266"/>
    <cellStyle name="输入 2 3 10" xfId="9408"/>
    <cellStyle name="输入 2 3 10 10" xfId="53932"/>
    <cellStyle name="输入 2 3 10 11" xfId="53933"/>
    <cellStyle name="输入 2 3 10 2" xfId="9409"/>
    <cellStyle name="输入 2 3 10 2 2" xfId="53934"/>
    <cellStyle name="输入 2 3 10 3" xfId="53935"/>
    <cellStyle name="输入 2 3 10 4" xfId="53936"/>
    <cellStyle name="输入 2 3 10 5" xfId="53937"/>
    <cellStyle name="输入 2 3 10 6" xfId="53938"/>
    <cellStyle name="输入 2 3 10 7" xfId="53939"/>
    <cellStyle name="输入 2 3 10 8" xfId="53940"/>
    <cellStyle name="输入 2 3 10 9" xfId="53941"/>
    <cellStyle name="输入 2 3 11" xfId="9410"/>
    <cellStyle name="输入 2 3 11 10" xfId="53942"/>
    <cellStyle name="输入 2 3 11 11" xfId="53943"/>
    <cellStyle name="输入 2 3 11 2" xfId="9411"/>
    <cellStyle name="输入 2 3 11 2 2" xfId="53944"/>
    <cellStyle name="输入 2 3 11 3" xfId="53945"/>
    <cellStyle name="输入 2 3 11 4" xfId="53946"/>
    <cellStyle name="输入 2 3 11 5" xfId="53947"/>
    <cellStyle name="输入 2 3 11 6" xfId="53948"/>
    <cellStyle name="输入 2 3 11 7" xfId="53949"/>
    <cellStyle name="输入 2 3 11 8" xfId="53950"/>
    <cellStyle name="输入 2 3 11 9" xfId="53951"/>
    <cellStyle name="输入 2 3 12" xfId="9412"/>
    <cellStyle name="输入 2 3 12 10" xfId="53952"/>
    <cellStyle name="输入 2 3 12 2" xfId="9413"/>
    <cellStyle name="输入 2 3 12 2 2" xfId="53953"/>
    <cellStyle name="输入 2 3 12 3" xfId="53954"/>
    <cellStyle name="输入 2 3 12 4" xfId="53955"/>
    <cellStyle name="输入 2 3 12 5" xfId="53956"/>
    <cellStyle name="输入 2 3 12 6" xfId="53957"/>
    <cellStyle name="输入 2 3 12 7" xfId="53958"/>
    <cellStyle name="输入 2 3 12 8" xfId="53959"/>
    <cellStyle name="输入 2 3 12 9" xfId="53960"/>
    <cellStyle name="输入 2 3 13" xfId="9414"/>
    <cellStyle name="输入 2 3 13 10" xfId="53961"/>
    <cellStyle name="输入 2 3 13 11" xfId="53962"/>
    <cellStyle name="输入 2 3 13 2" xfId="9415"/>
    <cellStyle name="输入 2 3 13 2 2" xfId="53963"/>
    <cellStyle name="输入 2 3 13 3" xfId="53964"/>
    <cellStyle name="输入 2 3 13 4" xfId="53965"/>
    <cellStyle name="输入 2 3 13 5" xfId="53966"/>
    <cellStyle name="输入 2 3 13 6" xfId="53967"/>
    <cellStyle name="输入 2 3 13 7" xfId="53968"/>
    <cellStyle name="输入 2 3 13 8" xfId="53969"/>
    <cellStyle name="输入 2 3 13 9" xfId="53970"/>
    <cellStyle name="输入 2 3 14" xfId="9416"/>
    <cellStyle name="输入 2 3 14 10" xfId="53971"/>
    <cellStyle name="输入 2 3 14 11" xfId="53972"/>
    <cellStyle name="输入 2 3 14 2" xfId="9417"/>
    <cellStyle name="输入 2 3 14 2 2" xfId="53973"/>
    <cellStyle name="输入 2 3 14 3" xfId="53974"/>
    <cellStyle name="输入 2 3 14 4" xfId="53975"/>
    <cellStyle name="输入 2 3 14 5" xfId="53976"/>
    <cellStyle name="输入 2 3 14 6" xfId="53977"/>
    <cellStyle name="输入 2 3 14 7" xfId="53978"/>
    <cellStyle name="输入 2 3 14 8" xfId="53979"/>
    <cellStyle name="输入 2 3 14 9" xfId="53980"/>
    <cellStyle name="输入 2 3 15" xfId="9418"/>
    <cellStyle name="输入 2 3 15 10" xfId="53981"/>
    <cellStyle name="输入 2 3 15 11" xfId="53982"/>
    <cellStyle name="输入 2 3 15 2" xfId="9419"/>
    <cellStyle name="输入 2 3 15 2 2" xfId="53983"/>
    <cellStyle name="输入 2 3 15 3" xfId="53984"/>
    <cellStyle name="输入 2 3 15 4" xfId="53985"/>
    <cellStyle name="输入 2 3 15 5" xfId="53986"/>
    <cellStyle name="输入 2 3 15 6" xfId="53987"/>
    <cellStyle name="输入 2 3 15 7" xfId="53988"/>
    <cellStyle name="输入 2 3 15 8" xfId="53989"/>
    <cellStyle name="输入 2 3 15 9" xfId="53990"/>
    <cellStyle name="输入 2 3 16" xfId="9420"/>
    <cellStyle name="输入 2 3 16 10" xfId="53991"/>
    <cellStyle name="输入 2 3 16 11" xfId="53992"/>
    <cellStyle name="输入 2 3 16 2" xfId="9421"/>
    <cellStyle name="输入 2 3 16 2 2" xfId="53993"/>
    <cellStyle name="输入 2 3 16 3" xfId="53994"/>
    <cellStyle name="输入 2 3 16 4" xfId="53995"/>
    <cellStyle name="输入 2 3 16 5" xfId="53996"/>
    <cellStyle name="输入 2 3 16 6" xfId="53997"/>
    <cellStyle name="输入 2 3 16 7" xfId="53998"/>
    <cellStyle name="输入 2 3 16 8" xfId="53999"/>
    <cellStyle name="输入 2 3 16 9" xfId="54000"/>
    <cellStyle name="输入 2 3 17" xfId="9422"/>
    <cellStyle name="输入 2 3 17 10" xfId="54001"/>
    <cellStyle name="输入 2 3 17 11" xfId="54002"/>
    <cellStyle name="输入 2 3 17 2" xfId="9423"/>
    <cellStyle name="输入 2 3 17 2 2" xfId="54003"/>
    <cellStyle name="输入 2 3 17 3" xfId="54004"/>
    <cellStyle name="输入 2 3 17 4" xfId="54005"/>
    <cellStyle name="输入 2 3 17 5" xfId="54006"/>
    <cellStyle name="输入 2 3 17 6" xfId="54007"/>
    <cellStyle name="输入 2 3 17 7" xfId="54008"/>
    <cellStyle name="输入 2 3 17 8" xfId="54009"/>
    <cellStyle name="输入 2 3 17 9" xfId="54010"/>
    <cellStyle name="输入 2 3 18" xfId="9424"/>
    <cellStyle name="输入 2 3 18 10" xfId="54011"/>
    <cellStyle name="输入 2 3 18 11" xfId="54012"/>
    <cellStyle name="输入 2 3 18 2" xfId="9425"/>
    <cellStyle name="输入 2 3 18 2 2" xfId="54013"/>
    <cellStyle name="输入 2 3 18 3" xfId="54014"/>
    <cellStyle name="输入 2 3 18 4" xfId="54015"/>
    <cellStyle name="输入 2 3 18 5" xfId="54016"/>
    <cellStyle name="输入 2 3 18 6" xfId="54017"/>
    <cellStyle name="输入 2 3 18 7" xfId="54018"/>
    <cellStyle name="输入 2 3 18 8" xfId="54019"/>
    <cellStyle name="输入 2 3 18 9" xfId="54020"/>
    <cellStyle name="输入 2 3 19" xfId="9426"/>
    <cellStyle name="输入 2 3 19 10" xfId="54021"/>
    <cellStyle name="输入 2 3 19 11" xfId="54022"/>
    <cellStyle name="输入 2 3 19 2" xfId="9427"/>
    <cellStyle name="输入 2 3 19 2 2" xfId="54023"/>
    <cellStyle name="输入 2 3 19 3" xfId="54024"/>
    <cellStyle name="输入 2 3 19 4" xfId="54025"/>
    <cellStyle name="输入 2 3 19 5" xfId="54026"/>
    <cellStyle name="输入 2 3 19 6" xfId="54027"/>
    <cellStyle name="输入 2 3 19 7" xfId="54028"/>
    <cellStyle name="输入 2 3 19 8" xfId="54029"/>
    <cellStyle name="输入 2 3 19 9" xfId="54030"/>
    <cellStyle name="输入 2 3 2" xfId="3267"/>
    <cellStyle name="输入 2 3 2 10" xfId="54031"/>
    <cellStyle name="输入 2 3 2 11" xfId="54032"/>
    <cellStyle name="输入 2 3 2 12" xfId="54033"/>
    <cellStyle name="输入 2 3 2 2" xfId="3268"/>
    <cellStyle name="输入 2 3 2 2 2" xfId="3269"/>
    <cellStyle name="输入 2 3 2 2 2 2" xfId="12827"/>
    <cellStyle name="输入 2 3 2 2 2_YL Capex Cashflow &amp; Dep" xfId="13915"/>
    <cellStyle name="输入 2 3 2 2 3" xfId="12204"/>
    <cellStyle name="输入 2 3 2 2_YL Capex Cashflow &amp; Dep" xfId="13914"/>
    <cellStyle name="输入 2 3 2 3" xfId="3270"/>
    <cellStyle name="输入 2 3 2 3 2" xfId="3271"/>
    <cellStyle name="输入 2 3 2 3 2 2" xfId="13221"/>
    <cellStyle name="输入 2 3 2 3 2_YL Capex Cashflow &amp; Dep" xfId="13917"/>
    <cellStyle name="输入 2 3 2 3 3" xfId="12733"/>
    <cellStyle name="输入 2 3 2 3_YL Capex Cashflow &amp; Dep" xfId="13916"/>
    <cellStyle name="输入 2 3 2 4" xfId="12034"/>
    <cellStyle name="输入 2 3 2 5" xfId="54034"/>
    <cellStyle name="输入 2 3 2 6" xfId="54035"/>
    <cellStyle name="输入 2 3 2 7" xfId="54036"/>
    <cellStyle name="输入 2 3 2 8" xfId="54037"/>
    <cellStyle name="输入 2 3 2 9" xfId="54038"/>
    <cellStyle name="输入 2 3 2_YL Capex Cashflow &amp; Dep" xfId="13913"/>
    <cellStyle name="输入 2 3 20" xfId="9428"/>
    <cellStyle name="输入 2 3 20 10" xfId="54039"/>
    <cellStyle name="输入 2 3 20 11" xfId="54040"/>
    <cellStyle name="输入 2 3 20 12" xfId="54041"/>
    <cellStyle name="输入 2 3 20 2" xfId="9429"/>
    <cellStyle name="输入 2 3 20 2 2" xfId="54042"/>
    <cellStyle name="输入 2 3 20 3" xfId="54043"/>
    <cellStyle name="输入 2 3 20 4" xfId="54044"/>
    <cellStyle name="输入 2 3 20 5" xfId="54045"/>
    <cellStyle name="输入 2 3 20 6" xfId="54046"/>
    <cellStyle name="输入 2 3 20 7" xfId="54047"/>
    <cellStyle name="输入 2 3 20 8" xfId="54048"/>
    <cellStyle name="输入 2 3 20 9" xfId="54049"/>
    <cellStyle name="输入 2 3 21" xfId="9430"/>
    <cellStyle name="输入 2 3 21 10" xfId="54050"/>
    <cellStyle name="输入 2 3 21 11" xfId="54051"/>
    <cellStyle name="输入 2 3 21 12" xfId="54052"/>
    <cellStyle name="输入 2 3 21 2" xfId="9431"/>
    <cellStyle name="输入 2 3 21 2 2" xfId="54053"/>
    <cellStyle name="输入 2 3 21 3" xfId="54054"/>
    <cellStyle name="输入 2 3 21 4" xfId="54055"/>
    <cellStyle name="输入 2 3 21 5" xfId="54056"/>
    <cellStyle name="输入 2 3 21 6" xfId="54057"/>
    <cellStyle name="输入 2 3 21 7" xfId="54058"/>
    <cellStyle name="输入 2 3 21 8" xfId="54059"/>
    <cellStyle name="输入 2 3 21 9" xfId="54060"/>
    <cellStyle name="输入 2 3 22" xfId="9432"/>
    <cellStyle name="输入 2 3 22 10" xfId="54061"/>
    <cellStyle name="输入 2 3 22 11" xfId="54062"/>
    <cellStyle name="输入 2 3 22 12" xfId="54063"/>
    <cellStyle name="输入 2 3 22 2" xfId="9433"/>
    <cellStyle name="输入 2 3 22 2 2" xfId="54064"/>
    <cellStyle name="输入 2 3 22 3" xfId="54065"/>
    <cellStyle name="输入 2 3 22 4" xfId="54066"/>
    <cellStyle name="输入 2 3 22 5" xfId="54067"/>
    <cellStyle name="输入 2 3 22 6" xfId="54068"/>
    <cellStyle name="输入 2 3 22 7" xfId="54069"/>
    <cellStyle name="输入 2 3 22 8" xfId="54070"/>
    <cellStyle name="输入 2 3 22 9" xfId="54071"/>
    <cellStyle name="输入 2 3 23" xfId="9434"/>
    <cellStyle name="输入 2 3 23 10" xfId="54072"/>
    <cellStyle name="输入 2 3 23 11" xfId="54073"/>
    <cellStyle name="输入 2 3 23 12" xfId="54074"/>
    <cellStyle name="输入 2 3 23 2" xfId="9435"/>
    <cellStyle name="输入 2 3 23 2 2" xfId="54075"/>
    <cellStyle name="输入 2 3 23 3" xfId="54076"/>
    <cellStyle name="输入 2 3 23 4" xfId="54077"/>
    <cellStyle name="输入 2 3 23 5" xfId="54078"/>
    <cellStyle name="输入 2 3 23 6" xfId="54079"/>
    <cellStyle name="输入 2 3 23 7" xfId="54080"/>
    <cellStyle name="输入 2 3 23 8" xfId="54081"/>
    <cellStyle name="输入 2 3 23 9" xfId="54082"/>
    <cellStyle name="输入 2 3 24" xfId="9436"/>
    <cellStyle name="输入 2 3 24 10" xfId="54083"/>
    <cellStyle name="输入 2 3 24 11" xfId="54084"/>
    <cellStyle name="输入 2 3 24 12" xfId="54085"/>
    <cellStyle name="输入 2 3 24 2" xfId="9437"/>
    <cellStyle name="输入 2 3 24 2 2" xfId="54086"/>
    <cellStyle name="输入 2 3 24 3" xfId="54087"/>
    <cellStyle name="输入 2 3 24 4" xfId="54088"/>
    <cellStyle name="输入 2 3 24 5" xfId="54089"/>
    <cellStyle name="输入 2 3 24 6" xfId="54090"/>
    <cellStyle name="输入 2 3 24 7" xfId="54091"/>
    <cellStyle name="输入 2 3 24 8" xfId="54092"/>
    <cellStyle name="输入 2 3 24 9" xfId="54093"/>
    <cellStyle name="输入 2 3 25" xfId="9438"/>
    <cellStyle name="输入 2 3 25 10" xfId="54094"/>
    <cellStyle name="输入 2 3 25 11" xfId="54095"/>
    <cellStyle name="输入 2 3 25 12" xfId="54096"/>
    <cellStyle name="输入 2 3 25 2" xfId="9439"/>
    <cellStyle name="输入 2 3 25 2 2" xfId="54097"/>
    <cellStyle name="输入 2 3 25 3" xfId="54098"/>
    <cellStyle name="输入 2 3 25 4" xfId="54099"/>
    <cellStyle name="输入 2 3 25 5" xfId="54100"/>
    <cellStyle name="输入 2 3 25 6" xfId="54101"/>
    <cellStyle name="输入 2 3 25 7" xfId="54102"/>
    <cellStyle name="输入 2 3 25 8" xfId="54103"/>
    <cellStyle name="输入 2 3 25 9" xfId="54104"/>
    <cellStyle name="输入 2 3 26" xfId="9440"/>
    <cellStyle name="输入 2 3 26 10" xfId="54105"/>
    <cellStyle name="输入 2 3 26 11" xfId="54106"/>
    <cellStyle name="输入 2 3 26 12" xfId="54107"/>
    <cellStyle name="输入 2 3 26 2" xfId="9441"/>
    <cellStyle name="输入 2 3 26 2 2" xfId="54108"/>
    <cellStyle name="输入 2 3 26 3" xfId="54109"/>
    <cellStyle name="输入 2 3 26 4" xfId="54110"/>
    <cellStyle name="输入 2 3 26 5" xfId="54111"/>
    <cellStyle name="输入 2 3 26 6" xfId="54112"/>
    <cellStyle name="输入 2 3 26 7" xfId="54113"/>
    <cellStyle name="输入 2 3 26 8" xfId="54114"/>
    <cellStyle name="输入 2 3 26 9" xfId="54115"/>
    <cellStyle name="输入 2 3 27" xfId="9442"/>
    <cellStyle name="输入 2 3 27 10" xfId="54116"/>
    <cellStyle name="输入 2 3 27 11" xfId="54117"/>
    <cellStyle name="输入 2 3 27 12" xfId="54118"/>
    <cellStyle name="输入 2 3 27 2" xfId="9443"/>
    <cellStyle name="输入 2 3 27 2 2" xfId="54119"/>
    <cellStyle name="输入 2 3 27 3" xfId="54120"/>
    <cellStyle name="输入 2 3 27 4" xfId="54121"/>
    <cellStyle name="输入 2 3 27 5" xfId="54122"/>
    <cellStyle name="输入 2 3 27 6" xfId="54123"/>
    <cellStyle name="输入 2 3 27 7" xfId="54124"/>
    <cellStyle name="输入 2 3 27 8" xfId="54125"/>
    <cellStyle name="输入 2 3 27 9" xfId="54126"/>
    <cellStyle name="输入 2 3 28" xfId="9444"/>
    <cellStyle name="输入 2 3 28 10" xfId="54127"/>
    <cellStyle name="输入 2 3 28 11" xfId="54128"/>
    <cellStyle name="输入 2 3 28 12" xfId="54129"/>
    <cellStyle name="输入 2 3 28 2" xfId="9445"/>
    <cellStyle name="输入 2 3 28 2 2" xfId="54130"/>
    <cellStyle name="输入 2 3 28 3" xfId="54131"/>
    <cellStyle name="输入 2 3 28 4" xfId="54132"/>
    <cellStyle name="输入 2 3 28 5" xfId="54133"/>
    <cellStyle name="输入 2 3 28 6" xfId="54134"/>
    <cellStyle name="输入 2 3 28 7" xfId="54135"/>
    <cellStyle name="输入 2 3 28 8" xfId="54136"/>
    <cellStyle name="输入 2 3 28 9" xfId="54137"/>
    <cellStyle name="输入 2 3 29" xfId="9446"/>
    <cellStyle name="输入 2 3 29 10" xfId="54138"/>
    <cellStyle name="输入 2 3 29 11" xfId="54139"/>
    <cellStyle name="输入 2 3 29 12" xfId="54140"/>
    <cellStyle name="输入 2 3 29 2" xfId="9447"/>
    <cellStyle name="输入 2 3 29 2 2" xfId="54141"/>
    <cellStyle name="输入 2 3 29 3" xfId="54142"/>
    <cellStyle name="输入 2 3 29 4" xfId="54143"/>
    <cellStyle name="输入 2 3 29 5" xfId="54144"/>
    <cellStyle name="输入 2 3 29 6" xfId="54145"/>
    <cellStyle name="输入 2 3 29 7" xfId="54146"/>
    <cellStyle name="输入 2 3 29 8" xfId="54147"/>
    <cellStyle name="输入 2 3 29 9" xfId="54148"/>
    <cellStyle name="输入 2 3 3" xfId="3272"/>
    <cellStyle name="输入 2 3 3 10" xfId="54149"/>
    <cellStyle name="输入 2 3 3 11" xfId="54150"/>
    <cellStyle name="输入 2 3 3 12" xfId="54151"/>
    <cellStyle name="输入 2 3 3 2" xfId="3273"/>
    <cellStyle name="输入 2 3 3 2 2" xfId="12894"/>
    <cellStyle name="输入 2 3 3 2_YL Capex Cashflow &amp; Dep" xfId="13919"/>
    <cellStyle name="输入 2 3 3 3" xfId="12127"/>
    <cellStyle name="输入 2 3 3 4" xfId="54152"/>
    <cellStyle name="输入 2 3 3 5" xfId="54153"/>
    <cellStyle name="输入 2 3 3 6" xfId="54154"/>
    <cellStyle name="输入 2 3 3 7" xfId="54155"/>
    <cellStyle name="输入 2 3 3 8" xfId="54156"/>
    <cellStyle name="输入 2 3 3 9" xfId="54157"/>
    <cellStyle name="输入 2 3 3_YL Capex Cashflow &amp; Dep" xfId="13918"/>
    <cellStyle name="输入 2 3 30" xfId="9448"/>
    <cellStyle name="输入 2 3 30 10" xfId="54158"/>
    <cellStyle name="输入 2 3 30 11" xfId="54159"/>
    <cellStyle name="输入 2 3 30 2" xfId="9449"/>
    <cellStyle name="输入 2 3 30 2 2" xfId="54160"/>
    <cellStyle name="输入 2 3 30 3" xfId="54161"/>
    <cellStyle name="输入 2 3 30 4" xfId="54162"/>
    <cellStyle name="输入 2 3 30 5" xfId="54163"/>
    <cellStyle name="输入 2 3 30 6" xfId="54164"/>
    <cellStyle name="输入 2 3 30 7" xfId="54165"/>
    <cellStyle name="输入 2 3 30 8" xfId="54166"/>
    <cellStyle name="输入 2 3 30 9" xfId="54167"/>
    <cellStyle name="输入 2 3 31" xfId="9450"/>
    <cellStyle name="输入 2 3 31 10" xfId="54168"/>
    <cellStyle name="输入 2 3 31 11" xfId="54169"/>
    <cellStyle name="输入 2 3 31 12" xfId="54170"/>
    <cellStyle name="输入 2 3 31 2" xfId="9451"/>
    <cellStyle name="输入 2 3 31 2 2" xfId="54171"/>
    <cellStyle name="输入 2 3 31 3" xfId="54172"/>
    <cellStyle name="输入 2 3 31 4" xfId="54173"/>
    <cellStyle name="输入 2 3 31 5" xfId="54174"/>
    <cellStyle name="输入 2 3 31 6" xfId="54175"/>
    <cellStyle name="输入 2 3 31 7" xfId="54176"/>
    <cellStyle name="输入 2 3 31 8" xfId="54177"/>
    <cellStyle name="输入 2 3 31 9" xfId="54178"/>
    <cellStyle name="输入 2 3 32" xfId="9452"/>
    <cellStyle name="输入 2 3 32 10" xfId="54179"/>
    <cellStyle name="输入 2 3 32 11" xfId="54180"/>
    <cellStyle name="输入 2 3 32 12" xfId="54181"/>
    <cellStyle name="输入 2 3 32 2" xfId="9453"/>
    <cellStyle name="输入 2 3 32 2 2" xfId="54182"/>
    <cellStyle name="输入 2 3 32 3" xfId="54183"/>
    <cellStyle name="输入 2 3 32 4" xfId="54184"/>
    <cellStyle name="输入 2 3 32 5" xfId="54185"/>
    <cellStyle name="输入 2 3 32 6" xfId="54186"/>
    <cellStyle name="输入 2 3 32 7" xfId="54187"/>
    <cellStyle name="输入 2 3 32 8" xfId="54188"/>
    <cellStyle name="输入 2 3 32 9" xfId="54189"/>
    <cellStyle name="输入 2 3 33" xfId="9454"/>
    <cellStyle name="输入 2 3 33 10" xfId="54190"/>
    <cellStyle name="输入 2 3 33 11" xfId="54191"/>
    <cellStyle name="输入 2 3 33 12" xfId="54192"/>
    <cellStyle name="输入 2 3 33 2" xfId="9455"/>
    <cellStyle name="输入 2 3 33 2 2" xfId="54193"/>
    <cellStyle name="输入 2 3 33 3" xfId="54194"/>
    <cellStyle name="输入 2 3 33 4" xfId="54195"/>
    <cellStyle name="输入 2 3 33 5" xfId="54196"/>
    <cellStyle name="输入 2 3 33 6" xfId="54197"/>
    <cellStyle name="输入 2 3 33 7" xfId="54198"/>
    <cellStyle name="输入 2 3 33 8" xfId="54199"/>
    <cellStyle name="输入 2 3 33 9" xfId="54200"/>
    <cellStyle name="输入 2 3 34" xfId="9456"/>
    <cellStyle name="输入 2 3 34 10" xfId="54201"/>
    <cellStyle name="输入 2 3 34 11" xfId="54202"/>
    <cellStyle name="输入 2 3 34 12" xfId="54203"/>
    <cellStyle name="输入 2 3 34 2" xfId="9457"/>
    <cellStyle name="输入 2 3 34 2 2" xfId="54204"/>
    <cellStyle name="输入 2 3 34 3" xfId="54205"/>
    <cellStyle name="输入 2 3 34 4" xfId="54206"/>
    <cellStyle name="输入 2 3 34 5" xfId="54207"/>
    <cellStyle name="输入 2 3 34 6" xfId="54208"/>
    <cellStyle name="输入 2 3 34 7" xfId="54209"/>
    <cellStyle name="输入 2 3 34 8" xfId="54210"/>
    <cellStyle name="输入 2 3 34 9" xfId="54211"/>
    <cellStyle name="输入 2 3 35" xfId="9458"/>
    <cellStyle name="输入 2 3 35 10" xfId="54212"/>
    <cellStyle name="输入 2 3 35 11" xfId="54213"/>
    <cellStyle name="输入 2 3 35 2" xfId="9459"/>
    <cellStyle name="输入 2 3 35 2 2" xfId="54214"/>
    <cellStyle name="输入 2 3 35 3" xfId="54215"/>
    <cellStyle name="输入 2 3 35 4" xfId="54216"/>
    <cellStyle name="输入 2 3 35 5" xfId="54217"/>
    <cellStyle name="输入 2 3 35 6" xfId="54218"/>
    <cellStyle name="输入 2 3 35 7" xfId="54219"/>
    <cellStyle name="输入 2 3 35 8" xfId="54220"/>
    <cellStyle name="输入 2 3 35 9" xfId="54221"/>
    <cellStyle name="输入 2 3 36" xfId="9460"/>
    <cellStyle name="输入 2 3 36 10" xfId="54222"/>
    <cellStyle name="输入 2 3 36 11" xfId="54223"/>
    <cellStyle name="输入 2 3 36 12" xfId="54224"/>
    <cellStyle name="输入 2 3 36 2" xfId="9461"/>
    <cellStyle name="输入 2 3 36 2 2" xfId="54225"/>
    <cellStyle name="输入 2 3 36 3" xfId="54226"/>
    <cellStyle name="输入 2 3 36 4" xfId="54227"/>
    <cellStyle name="输入 2 3 36 5" xfId="54228"/>
    <cellStyle name="输入 2 3 36 6" xfId="54229"/>
    <cellStyle name="输入 2 3 36 7" xfId="54230"/>
    <cellStyle name="输入 2 3 36 8" xfId="54231"/>
    <cellStyle name="输入 2 3 36 9" xfId="54232"/>
    <cellStyle name="输入 2 3 37" xfId="9462"/>
    <cellStyle name="输入 2 3 37 10" xfId="54233"/>
    <cellStyle name="输入 2 3 37 11" xfId="54234"/>
    <cellStyle name="输入 2 3 37 12" xfId="54235"/>
    <cellStyle name="输入 2 3 37 2" xfId="9463"/>
    <cellStyle name="输入 2 3 37 2 2" xfId="54236"/>
    <cellStyle name="输入 2 3 37 3" xfId="54237"/>
    <cellStyle name="输入 2 3 37 4" xfId="54238"/>
    <cellStyle name="输入 2 3 37 5" xfId="54239"/>
    <cellStyle name="输入 2 3 37 6" xfId="54240"/>
    <cellStyle name="输入 2 3 37 7" xfId="54241"/>
    <cellStyle name="输入 2 3 37 8" xfId="54242"/>
    <cellStyle name="输入 2 3 37 9" xfId="54243"/>
    <cellStyle name="输入 2 3 38" xfId="9464"/>
    <cellStyle name="输入 2 3 38 10" xfId="54244"/>
    <cellStyle name="输入 2 3 38 11" xfId="54245"/>
    <cellStyle name="输入 2 3 38 12" xfId="54246"/>
    <cellStyle name="输入 2 3 38 2" xfId="9465"/>
    <cellStyle name="输入 2 3 38 2 2" xfId="54247"/>
    <cellStyle name="输入 2 3 38 3" xfId="54248"/>
    <cellStyle name="输入 2 3 38 4" xfId="54249"/>
    <cellStyle name="输入 2 3 38 5" xfId="54250"/>
    <cellStyle name="输入 2 3 38 6" xfId="54251"/>
    <cellStyle name="输入 2 3 38 7" xfId="54252"/>
    <cellStyle name="输入 2 3 38 8" xfId="54253"/>
    <cellStyle name="输入 2 3 38 9" xfId="54254"/>
    <cellStyle name="输入 2 3 39" xfId="9466"/>
    <cellStyle name="输入 2 3 39 10" xfId="54255"/>
    <cellStyle name="输入 2 3 39 11" xfId="54256"/>
    <cellStyle name="输入 2 3 39 12" xfId="54257"/>
    <cellStyle name="输入 2 3 39 2" xfId="9467"/>
    <cellStyle name="输入 2 3 39 2 2" xfId="54258"/>
    <cellStyle name="输入 2 3 39 3" xfId="54259"/>
    <cellStyle name="输入 2 3 39 4" xfId="54260"/>
    <cellStyle name="输入 2 3 39 5" xfId="54261"/>
    <cellStyle name="输入 2 3 39 6" xfId="54262"/>
    <cellStyle name="输入 2 3 39 7" xfId="54263"/>
    <cellStyle name="输入 2 3 39 8" xfId="54264"/>
    <cellStyle name="输入 2 3 39 9" xfId="54265"/>
    <cellStyle name="输入 2 3 4" xfId="3274"/>
    <cellStyle name="输入 2 3 4 10" xfId="54266"/>
    <cellStyle name="输入 2 3 4 11" xfId="54267"/>
    <cellStyle name="输入 2 3 4 12" xfId="54268"/>
    <cellStyle name="输入 2 3 4 2" xfId="3275"/>
    <cellStyle name="输入 2 3 4 2 2" xfId="13086"/>
    <cellStyle name="输入 2 3 4 2_YL Capex Cashflow &amp; Dep" xfId="13921"/>
    <cellStyle name="输入 2 3 4 3" xfId="12505"/>
    <cellStyle name="输入 2 3 4 4" xfId="54269"/>
    <cellStyle name="输入 2 3 4 5" xfId="54270"/>
    <cellStyle name="输入 2 3 4 6" xfId="54271"/>
    <cellStyle name="输入 2 3 4 7" xfId="54272"/>
    <cellStyle name="输入 2 3 4 8" xfId="54273"/>
    <cellStyle name="输入 2 3 4 9" xfId="54274"/>
    <cellStyle name="输入 2 3 4_YL Capex Cashflow &amp; Dep" xfId="13920"/>
    <cellStyle name="输入 2 3 40" xfId="9468"/>
    <cellStyle name="输入 2 3 40 10" xfId="54275"/>
    <cellStyle name="输入 2 3 40 11" xfId="54276"/>
    <cellStyle name="输入 2 3 40 12" xfId="54277"/>
    <cellStyle name="输入 2 3 40 2" xfId="9469"/>
    <cellStyle name="输入 2 3 40 2 2" xfId="54278"/>
    <cellStyle name="输入 2 3 40 3" xfId="54279"/>
    <cellStyle name="输入 2 3 40 4" xfId="54280"/>
    <cellStyle name="输入 2 3 40 5" xfId="54281"/>
    <cellStyle name="输入 2 3 40 6" xfId="54282"/>
    <cellStyle name="输入 2 3 40 7" xfId="54283"/>
    <cellStyle name="输入 2 3 40 8" xfId="54284"/>
    <cellStyle name="输入 2 3 40 9" xfId="54285"/>
    <cellStyle name="输入 2 3 41" xfId="9470"/>
    <cellStyle name="输入 2 3 41 10" xfId="54286"/>
    <cellStyle name="输入 2 3 41 11" xfId="54287"/>
    <cellStyle name="输入 2 3 41 12" xfId="54288"/>
    <cellStyle name="输入 2 3 41 2" xfId="9471"/>
    <cellStyle name="输入 2 3 41 2 2" xfId="54289"/>
    <cellStyle name="输入 2 3 41 3" xfId="54290"/>
    <cellStyle name="输入 2 3 41 4" xfId="54291"/>
    <cellStyle name="输入 2 3 41 5" xfId="54292"/>
    <cellStyle name="输入 2 3 41 6" xfId="54293"/>
    <cellStyle name="输入 2 3 41 7" xfId="54294"/>
    <cellStyle name="输入 2 3 41 8" xfId="54295"/>
    <cellStyle name="输入 2 3 41 9" xfId="54296"/>
    <cellStyle name="输入 2 3 42" xfId="9472"/>
    <cellStyle name="输入 2 3 42 10" xfId="54297"/>
    <cellStyle name="输入 2 3 42 11" xfId="54298"/>
    <cellStyle name="输入 2 3 42 12" xfId="54299"/>
    <cellStyle name="输入 2 3 42 2" xfId="9473"/>
    <cellStyle name="输入 2 3 42 2 2" xfId="54300"/>
    <cellStyle name="输入 2 3 42 3" xfId="54301"/>
    <cellStyle name="输入 2 3 42 4" xfId="54302"/>
    <cellStyle name="输入 2 3 42 5" xfId="54303"/>
    <cellStyle name="输入 2 3 42 6" xfId="54304"/>
    <cellStyle name="输入 2 3 42 7" xfId="54305"/>
    <cellStyle name="输入 2 3 42 8" xfId="54306"/>
    <cellStyle name="输入 2 3 42 9" xfId="54307"/>
    <cellStyle name="输入 2 3 43" xfId="9474"/>
    <cellStyle name="输入 2 3 43 10" xfId="54308"/>
    <cellStyle name="输入 2 3 43 11" xfId="54309"/>
    <cellStyle name="输入 2 3 43 12" xfId="54310"/>
    <cellStyle name="输入 2 3 43 2" xfId="9475"/>
    <cellStyle name="输入 2 3 43 2 2" xfId="54311"/>
    <cellStyle name="输入 2 3 43 3" xfId="54312"/>
    <cellStyle name="输入 2 3 43 4" xfId="54313"/>
    <cellStyle name="输入 2 3 43 5" xfId="54314"/>
    <cellStyle name="输入 2 3 43 6" xfId="54315"/>
    <cellStyle name="输入 2 3 43 7" xfId="54316"/>
    <cellStyle name="输入 2 3 43 8" xfId="54317"/>
    <cellStyle name="输入 2 3 43 9" xfId="54318"/>
    <cellStyle name="输入 2 3 44" xfId="9476"/>
    <cellStyle name="输入 2 3 44 10" xfId="54319"/>
    <cellStyle name="输入 2 3 44 11" xfId="54320"/>
    <cellStyle name="输入 2 3 44 12" xfId="54321"/>
    <cellStyle name="输入 2 3 44 2" xfId="9477"/>
    <cellStyle name="输入 2 3 44 2 2" xfId="54322"/>
    <cellStyle name="输入 2 3 44 3" xfId="54323"/>
    <cellStyle name="输入 2 3 44 4" xfId="54324"/>
    <cellStyle name="输入 2 3 44 5" xfId="54325"/>
    <cellStyle name="输入 2 3 44 6" xfId="54326"/>
    <cellStyle name="输入 2 3 44 7" xfId="54327"/>
    <cellStyle name="输入 2 3 44 8" xfId="54328"/>
    <cellStyle name="输入 2 3 44 9" xfId="54329"/>
    <cellStyle name="输入 2 3 45" xfId="9478"/>
    <cellStyle name="输入 2 3 45 10" xfId="54330"/>
    <cellStyle name="输入 2 3 45 11" xfId="54331"/>
    <cellStyle name="输入 2 3 45 12" xfId="54332"/>
    <cellStyle name="输入 2 3 45 2" xfId="9479"/>
    <cellStyle name="输入 2 3 45 2 2" xfId="54333"/>
    <cellStyle name="输入 2 3 45 3" xfId="54334"/>
    <cellStyle name="输入 2 3 45 4" xfId="54335"/>
    <cellStyle name="输入 2 3 45 5" xfId="54336"/>
    <cellStyle name="输入 2 3 45 6" xfId="54337"/>
    <cellStyle name="输入 2 3 45 7" xfId="54338"/>
    <cellStyle name="输入 2 3 45 8" xfId="54339"/>
    <cellStyle name="输入 2 3 45 9" xfId="54340"/>
    <cellStyle name="输入 2 3 46" xfId="9480"/>
    <cellStyle name="输入 2 3 46 10" xfId="54341"/>
    <cellStyle name="输入 2 3 46 11" xfId="54342"/>
    <cellStyle name="输入 2 3 46 12" xfId="54343"/>
    <cellStyle name="输入 2 3 46 2" xfId="9481"/>
    <cellStyle name="输入 2 3 46 2 2" xfId="54344"/>
    <cellStyle name="输入 2 3 46 3" xfId="54345"/>
    <cellStyle name="输入 2 3 46 4" xfId="54346"/>
    <cellStyle name="输入 2 3 46 5" xfId="54347"/>
    <cellStyle name="输入 2 3 46 6" xfId="54348"/>
    <cellStyle name="输入 2 3 46 7" xfId="54349"/>
    <cellStyle name="输入 2 3 46 8" xfId="54350"/>
    <cellStyle name="输入 2 3 46 9" xfId="54351"/>
    <cellStyle name="输入 2 3 47" xfId="9482"/>
    <cellStyle name="输入 2 3 47 10" xfId="54352"/>
    <cellStyle name="输入 2 3 47 11" xfId="54353"/>
    <cellStyle name="输入 2 3 47 12" xfId="54354"/>
    <cellStyle name="输入 2 3 47 2" xfId="9483"/>
    <cellStyle name="输入 2 3 47 2 2" xfId="54355"/>
    <cellStyle name="输入 2 3 47 3" xfId="54356"/>
    <cellStyle name="输入 2 3 47 4" xfId="54357"/>
    <cellStyle name="输入 2 3 47 5" xfId="54358"/>
    <cellStyle name="输入 2 3 47 6" xfId="54359"/>
    <cellStyle name="输入 2 3 47 7" xfId="54360"/>
    <cellStyle name="输入 2 3 47 8" xfId="54361"/>
    <cellStyle name="输入 2 3 47 9" xfId="54362"/>
    <cellStyle name="输入 2 3 48" xfId="9484"/>
    <cellStyle name="输入 2 3 48 10" xfId="54363"/>
    <cellStyle name="输入 2 3 48 11" xfId="54364"/>
    <cellStyle name="输入 2 3 48 12" xfId="54365"/>
    <cellStyle name="输入 2 3 48 2" xfId="9485"/>
    <cellStyle name="输入 2 3 48 2 2" xfId="54366"/>
    <cellStyle name="输入 2 3 48 3" xfId="54367"/>
    <cellStyle name="输入 2 3 48 4" xfId="54368"/>
    <cellStyle name="输入 2 3 48 5" xfId="54369"/>
    <cellStyle name="输入 2 3 48 6" xfId="54370"/>
    <cellStyle name="输入 2 3 48 7" xfId="54371"/>
    <cellStyle name="输入 2 3 48 8" xfId="54372"/>
    <cellStyle name="输入 2 3 48 9" xfId="54373"/>
    <cellStyle name="输入 2 3 49" xfId="9486"/>
    <cellStyle name="输入 2 3 49 10" xfId="54374"/>
    <cellStyle name="输入 2 3 49 11" xfId="54375"/>
    <cellStyle name="输入 2 3 49 12" xfId="54376"/>
    <cellStyle name="输入 2 3 49 2" xfId="9487"/>
    <cellStyle name="输入 2 3 49 2 2" xfId="54377"/>
    <cellStyle name="输入 2 3 49 3" xfId="54378"/>
    <cellStyle name="输入 2 3 49 4" xfId="54379"/>
    <cellStyle name="输入 2 3 49 5" xfId="54380"/>
    <cellStyle name="输入 2 3 49 6" xfId="54381"/>
    <cellStyle name="输入 2 3 49 7" xfId="54382"/>
    <cellStyle name="输入 2 3 49 8" xfId="54383"/>
    <cellStyle name="输入 2 3 49 9" xfId="54384"/>
    <cellStyle name="输入 2 3 5" xfId="9488"/>
    <cellStyle name="输入 2 3 5 10" xfId="54385"/>
    <cellStyle name="输入 2 3 5 11" xfId="54386"/>
    <cellStyle name="输入 2 3 5 2" xfId="9489"/>
    <cellStyle name="输入 2 3 5 2 2" xfId="54387"/>
    <cellStyle name="输入 2 3 5 3" xfId="54388"/>
    <cellStyle name="输入 2 3 5 4" xfId="54389"/>
    <cellStyle name="输入 2 3 5 5" xfId="54390"/>
    <cellStyle name="输入 2 3 5 6" xfId="54391"/>
    <cellStyle name="输入 2 3 5 7" xfId="54392"/>
    <cellStyle name="输入 2 3 5 8" xfId="54393"/>
    <cellStyle name="输入 2 3 5 9" xfId="54394"/>
    <cellStyle name="输入 2 3 50" xfId="9490"/>
    <cellStyle name="输入 2 3 50 10" xfId="54395"/>
    <cellStyle name="输入 2 3 50 11" xfId="54396"/>
    <cellStyle name="输入 2 3 50 12" xfId="54397"/>
    <cellStyle name="输入 2 3 50 2" xfId="9491"/>
    <cellStyle name="输入 2 3 50 2 2" xfId="54398"/>
    <cellStyle name="输入 2 3 50 3" xfId="54399"/>
    <cellStyle name="输入 2 3 50 4" xfId="54400"/>
    <cellStyle name="输入 2 3 50 5" xfId="54401"/>
    <cellStyle name="输入 2 3 50 6" xfId="54402"/>
    <cellStyle name="输入 2 3 50 7" xfId="54403"/>
    <cellStyle name="输入 2 3 50 8" xfId="54404"/>
    <cellStyle name="输入 2 3 50 9" xfId="54405"/>
    <cellStyle name="输入 2 3 51" xfId="9492"/>
    <cellStyle name="输入 2 3 51 10" xfId="54406"/>
    <cellStyle name="输入 2 3 51 11" xfId="54407"/>
    <cellStyle name="输入 2 3 51 12" xfId="54408"/>
    <cellStyle name="输入 2 3 51 2" xfId="9493"/>
    <cellStyle name="输入 2 3 51 2 2" xfId="54409"/>
    <cellStyle name="输入 2 3 51 3" xfId="54410"/>
    <cellStyle name="输入 2 3 51 4" xfId="54411"/>
    <cellStyle name="输入 2 3 51 5" xfId="54412"/>
    <cellStyle name="输入 2 3 51 6" xfId="54413"/>
    <cellStyle name="输入 2 3 51 7" xfId="54414"/>
    <cellStyle name="输入 2 3 51 8" xfId="54415"/>
    <cellStyle name="输入 2 3 51 9" xfId="54416"/>
    <cellStyle name="输入 2 3 52" xfId="9494"/>
    <cellStyle name="输入 2 3 52 10" xfId="54417"/>
    <cellStyle name="输入 2 3 52 11" xfId="54418"/>
    <cellStyle name="输入 2 3 52 12" xfId="54419"/>
    <cellStyle name="输入 2 3 52 2" xfId="9495"/>
    <cellStyle name="输入 2 3 52 2 2" xfId="54420"/>
    <cellStyle name="输入 2 3 52 3" xfId="54421"/>
    <cellStyle name="输入 2 3 52 4" xfId="54422"/>
    <cellStyle name="输入 2 3 52 5" xfId="54423"/>
    <cellStyle name="输入 2 3 52 6" xfId="54424"/>
    <cellStyle name="输入 2 3 52 7" xfId="54425"/>
    <cellStyle name="输入 2 3 52 8" xfId="54426"/>
    <cellStyle name="输入 2 3 52 9" xfId="54427"/>
    <cellStyle name="输入 2 3 53" xfId="9496"/>
    <cellStyle name="输入 2 3 53 10" xfId="54428"/>
    <cellStyle name="输入 2 3 53 11" xfId="54429"/>
    <cellStyle name="输入 2 3 53 12" xfId="54430"/>
    <cellStyle name="输入 2 3 53 2" xfId="9497"/>
    <cellStyle name="输入 2 3 53 2 2" xfId="54431"/>
    <cellStyle name="输入 2 3 53 3" xfId="54432"/>
    <cellStyle name="输入 2 3 53 4" xfId="54433"/>
    <cellStyle name="输入 2 3 53 5" xfId="54434"/>
    <cellStyle name="输入 2 3 53 6" xfId="54435"/>
    <cellStyle name="输入 2 3 53 7" xfId="54436"/>
    <cellStyle name="输入 2 3 53 8" xfId="54437"/>
    <cellStyle name="输入 2 3 53 9" xfId="54438"/>
    <cellStyle name="输入 2 3 54" xfId="9498"/>
    <cellStyle name="输入 2 3 54 10" xfId="54439"/>
    <cellStyle name="输入 2 3 54 11" xfId="54440"/>
    <cellStyle name="输入 2 3 54 2" xfId="9499"/>
    <cellStyle name="输入 2 3 54 2 2" xfId="54441"/>
    <cellStyle name="输入 2 3 54 3" xfId="54442"/>
    <cellStyle name="输入 2 3 54 4" xfId="54443"/>
    <cellStyle name="输入 2 3 54 5" xfId="54444"/>
    <cellStyle name="输入 2 3 54 6" xfId="54445"/>
    <cellStyle name="输入 2 3 54 7" xfId="54446"/>
    <cellStyle name="输入 2 3 54 8" xfId="54447"/>
    <cellStyle name="输入 2 3 54 9" xfId="54448"/>
    <cellStyle name="输入 2 3 55" xfId="9500"/>
    <cellStyle name="输入 2 3 55 10" xfId="54449"/>
    <cellStyle name="输入 2 3 55 11" xfId="54450"/>
    <cellStyle name="输入 2 3 55 12" xfId="54451"/>
    <cellStyle name="输入 2 3 55 2" xfId="9501"/>
    <cellStyle name="输入 2 3 55 2 2" xfId="54452"/>
    <cellStyle name="输入 2 3 55 3" xfId="54453"/>
    <cellStyle name="输入 2 3 55 4" xfId="54454"/>
    <cellStyle name="输入 2 3 55 5" xfId="54455"/>
    <cellStyle name="输入 2 3 55 6" xfId="54456"/>
    <cellStyle name="输入 2 3 55 7" xfId="54457"/>
    <cellStyle name="输入 2 3 55 8" xfId="54458"/>
    <cellStyle name="输入 2 3 55 9" xfId="54459"/>
    <cellStyle name="输入 2 3 56" xfId="9502"/>
    <cellStyle name="输入 2 3 56 10" xfId="54460"/>
    <cellStyle name="输入 2 3 56 11" xfId="54461"/>
    <cellStyle name="输入 2 3 56 12" xfId="54462"/>
    <cellStyle name="输入 2 3 56 2" xfId="9503"/>
    <cellStyle name="输入 2 3 56 2 2" xfId="54463"/>
    <cellStyle name="输入 2 3 56 3" xfId="54464"/>
    <cellStyle name="输入 2 3 56 4" xfId="54465"/>
    <cellStyle name="输入 2 3 56 5" xfId="54466"/>
    <cellStyle name="输入 2 3 56 6" xfId="54467"/>
    <cellStyle name="输入 2 3 56 7" xfId="54468"/>
    <cellStyle name="输入 2 3 56 8" xfId="54469"/>
    <cellStyle name="输入 2 3 56 9" xfId="54470"/>
    <cellStyle name="输入 2 3 57" xfId="9504"/>
    <cellStyle name="输入 2 3 57 10" xfId="54471"/>
    <cellStyle name="输入 2 3 57 11" xfId="54472"/>
    <cellStyle name="输入 2 3 57 12" xfId="54473"/>
    <cellStyle name="输入 2 3 57 2" xfId="9505"/>
    <cellStyle name="输入 2 3 57 2 2" xfId="54474"/>
    <cellStyle name="输入 2 3 57 3" xfId="54475"/>
    <cellStyle name="输入 2 3 57 4" xfId="54476"/>
    <cellStyle name="输入 2 3 57 5" xfId="54477"/>
    <cellStyle name="输入 2 3 57 6" xfId="54478"/>
    <cellStyle name="输入 2 3 57 7" xfId="54479"/>
    <cellStyle name="输入 2 3 57 8" xfId="54480"/>
    <cellStyle name="输入 2 3 57 9" xfId="54481"/>
    <cellStyle name="输入 2 3 58" xfId="9506"/>
    <cellStyle name="输入 2 3 58 10" xfId="54482"/>
    <cellStyle name="输入 2 3 58 11" xfId="54483"/>
    <cellStyle name="输入 2 3 58 12" xfId="54484"/>
    <cellStyle name="输入 2 3 58 2" xfId="9507"/>
    <cellStyle name="输入 2 3 58 2 2" xfId="54485"/>
    <cellStyle name="输入 2 3 58 3" xfId="54486"/>
    <cellStyle name="输入 2 3 58 4" xfId="54487"/>
    <cellStyle name="输入 2 3 58 5" xfId="54488"/>
    <cellStyle name="输入 2 3 58 6" xfId="54489"/>
    <cellStyle name="输入 2 3 58 7" xfId="54490"/>
    <cellStyle name="输入 2 3 58 8" xfId="54491"/>
    <cellStyle name="输入 2 3 58 9" xfId="54492"/>
    <cellStyle name="输入 2 3 59" xfId="9508"/>
    <cellStyle name="输入 2 3 59 10" xfId="54493"/>
    <cellStyle name="输入 2 3 59 11" xfId="54494"/>
    <cellStyle name="输入 2 3 59 2" xfId="9509"/>
    <cellStyle name="输入 2 3 59 2 2" xfId="54495"/>
    <cellStyle name="输入 2 3 59 3" xfId="54496"/>
    <cellStyle name="输入 2 3 59 4" xfId="54497"/>
    <cellStyle name="输入 2 3 59 5" xfId="54498"/>
    <cellStyle name="输入 2 3 59 6" xfId="54499"/>
    <cellStyle name="输入 2 3 59 7" xfId="54500"/>
    <cellStyle name="输入 2 3 59 8" xfId="54501"/>
    <cellStyle name="输入 2 3 59 9" xfId="54502"/>
    <cellStyle name="输入 2 3 6" xfId="9510"/>
    <cellStyle name="输入 2 3 6 10" xfId="54503"/>
    <cellStyle name="输入 2 3 6 11" xfId="54504"/>
    <cellStyle name="输入 2 3 6 2" xfId="9511"/>
    <cellStyle name="输入 2 3 6 2 2" xfId="54505"/>
    <cellStyle name="输入 2 3 6 3" xfId="54506"/>
    <cellStyle name="输入 2 3 6 4" xfId="54507"/>
    <cellStyle name="输入 2 3 6 5" xfId="54508"/>
    <cellStyle name="输入 2 3 6 6" xfId="54509"/>
    <cellStyle name="输入 2 3 6 7" xfId="54510"/>
    <cellStyle name="输入 2 3 6 8" xfId="54511"/>
    <cellStyle name="输入 2 3 6 9" xfId="54512"/>
    <cellStyle name="输入 2 3 60" xfId="9512"/>
    <cellStyle name="输入 2 3 60 10" xfId="54513"/>
    <cellStyle name="输入 2 3 60 11" xfId="54514"/>
    <cellStyle name="输入 2 3 60 12" xfId="54515"/>
    <cellStyle name="输入 2 3 60 2" xfId="9513"/>
    <cellStyle name="输入 2 3 60 2 2" xfId="54516"/>
    <cellStyle name="输入 2 3 60 3" xfId="54517"/>
    <cellStyle name="输入 2 3 60 4" xfId="54518"/>
    <cellStyle name="输入 2 3 60 5" xfId="54519"/>
    <cellStyle name="输入 2 3 60 6" xfId="54520"/>
    <cellStyle name="输入 2 3 60 7" xfId="54521"/>
    <cellStyle name="输入 2 3 60 8" xfId="54522"/>
    <cellStyle name="输入 2 3 60 9" xfId="54523"/>
    <cellStyle name="输入 2 3 61" xfId="9514"/>
    <cellStyle name="输入 2 3 61 10" xfId="54524"/>
    <cellStyle name="输入 2 3 61 11" xfId="54525"/>
    <cellStyle name="输入 2 3 61 12" xfId="54526"/>
    <cellStyle name="输入 2 3 61 2" xfId="9515"/>
    <cellStyle name="输入 2 3 61 2 2" xfId="54527"/>
    <cellStyle name="输入 2 3 61 3" xfId="54528"/>
    <cellStyle name="输入 2 3 61 4" xfId="54529"/>
    <cellStyle name="输入 2 3 61 5" xfId="54530"/>
    <cellStyle name="输入 2 3 61 6" xfId="54531"/>
    <cellStyle name="输入 2 3 61 7" xfId="54532"/>
    <cellStyle name="输入 2 3 61 8" xfId="54533"/>
    <cellStyle name="输入 2 3 61 9" xfId="54534"/>
    <cellStyle name="输入 2 3 62" xfId="9516"/>
    <cellStyle name="输入 2 3 62 10" xfId="54535"/>
    <cellStyle name="输入 2 3 62 11" xfId="54536"/>
    <cellStyle name="输入 2 3 62 12" xfId="54537"/>
    <cellStyle name="输入 2 3 62 2" xfId="9517"/>
    <cellStyle name="输入 2 3 62 2 2" xfId="54538"/>
    <cellStyle name="输入 2 3 62 3" xfId="54539"/>
    <cellStyle name="输入 2 3 62 4" xfId="54540"/>
    <cellStyle name="输入 2 3 62 5" xfId="54541"/>
    <cellStyle name="输入 2 3 62 6" xfId="54542"/>
    <cellStyle name="输入 2 3 62 7" xfId="54543"/>
    <cellStyle name="输入 2 3 62 8" xfId="54544"/>
    <cellStyle name="输入 2 3 62 9" xfId="54545"/>
    <cellStyle name="输入 2 3 63" xfId="9518"/>
    <cellStyle name="输入 2 3 63 10" xfId="54546"/>
    <cellStyle name="输入 2 3 63 11" xfId="54547"/>
    <cellStyle name="输入 2 3 63 12" xfId="54548"/>
    <cellStyle name="输入 2 3 63 2" xfId="9519"/>
    <cellStyle name="输入 2 3 63 2 2" xfId="54549"/>
    <cellStyle name="输入 2 3 63 3" xfId="54550"/>
    <cellStyle name="输入 2 3 63 4" xfId="54551"/>
    <cellStyle name="输入 2 3 63 5" xfId="54552"/>
    <cellStyle name="输入 2 3 63 6" xfId="54553"/>
    <cellStyle name="输入 2 3 63 7" xfId="54554"/>
    <cellStyle name="输入 2 3 63 8" xfId="54555"/>
    <cellStyle name="输入 2 3 63 9" xfId="54556"/>
    <cellStyle name="输入 2 3 64" xfId="9520"/>
    <cellStyle name="输入 2 3 64 10" xfId="54557"/>
    <cellStyle name="输入 2 3 64 11" xfId="54558"/>
    <cellStyle name="输入 2 3 64 12" xfId="54559"/>
    <cellStyle name="输入 2 3 64 2" xfId="9521"/>
    <cellStyle name="输入 2 3 64 2 2" xfId="54560"/>
    <cellStyle name="输入 2 3 64 3" xfId="54561"/>
    <cellStyle name="输入 2 3 64 4" xfId="54562"/>
    <cellStyle name="输入 2 3 64 5" xfId="54563"/>
    <cellStyle name="输入 2 3 64 6" xfId="54564"/>
    <cellStyle name="输入 2 3 64 7" xfId="54565"/>
    <cellStyle name="输入 2 3 64 8" xfId="54566"/>
    <cellStyle name="输入 2 3 64 9" xfId="54567"/>
    <cellStyle name="输入 2 3 65" xfId="9522"/>
    <cellStyle name="输入 2 3 65 10" xfId="54568"/>
    <cellStyle name="输入 2 3 65 11" xfId="54569"/>
    <cellStyle name="输入 2 3 65 12" xfId="54570"/>
    <cellStyle name="输入 2 3 65 2" xfId="9523"/>
    <cellStyle name="输入 2 3 65 2 2" xfId="54571"/>
    <cellStyle name="输入 2 3 65 3" xfId="54572"/>
    <cellStyle name="输入 2 3 65 4" xfId="54573"/>
    <cellStyle name="输入 2 3 65 5" xfId="54574"/>
    <cellStyle name="输入 2 3 65 6" xfId="54575"/>
    <cellStyle name="输入 2 3 65 7" xfId="54576"/>
    <cellStyle name="输入 2 3 65 8" xfId="54577"/>
    <cellStyle name="输入 2 3 65 9" xfId="54578"/>
    <cellStyle name="输入 2 3 66" xfId="9524"/>
    <cellStyle name="输入 2 3 66 10" xfId="54579"/>
    <cellStyle name="输入 2 3 66 11" xfId="54580"/>
    <cellStyle name="输入 2 3 66 12" xfId="54581"/>
    <cellStyle name="输入 2 3 66 2" xfId="9525"/>
    <cellStyle name="输入 2 3 66 2 2" xfId="54582"/>
    <cellStyle name="输入 2 3 66 3" xfId="54583"/>
    <cellStyle name="输入 2 3 66 4" xfId="54584"/>
    <cellStyle name="输入 2 3 66 5" xfId="54585"/>
    <cellStyle name="输入 2 3 66 6" xfId="54586"/>
    <cellStyle name="输入 2 3 66 7" xfId="54587"/>
    <cellStyle name="输入 2 3 66 8" xfId="54588"/>
    <cellStyle name="输入 2 3 66 9" xfId="54589"/>
    <cellStyle name="输入 2 3 67" xfId="9526"/>
    <cellStyle name="输入 2 3 67 10" xfId="54590"/>
    <cellStyle name="输入 2 3 67 11" xfId="54591"/>
    <cellStyle name="输入 2 3 67 12" xfId="54592"/>
    <cellStyle name="输入 2 3 67 2" xfId="9527"/>
    <cellStyle name="输入 2 3 67 2 2" xfId="54593"/>
    <cellStyle name="输入 2 3 67 3" xfId="54594"/>
    <cellStyle name="输入 2 3 67 4" xfId="54595"/>
    <cellStyle name="输入 2 3 67 5" xfId="54596"/>
    <cellStyle name="输入 2 3 67 6" xfId="54597"/>
    <cellStyle name="输入 2 3 67 7" xfId="54598"/>
    <cellStyle name="输入 2 3 67 8" xfId="54599"/>
    <cellStyle name="输入 2 3 67 9" xfId="54600"/>
    <cellStyle name="输入 2 3 68" xfId="9528"/>
    <cellStyle name="输入 2 3 68 10" xfId="54601"/>
    <cellStyle name="输入 2 3 68 11" xfId="54602"/>
    <cellStyle name="输入 2 3 68 12" xfId="54603"/>
    <cellStyle name="输入 2 3 68 2" xfId="9529"/>
    <cellStyle name="输入 2 3 68 2 2" xfId="54604"/>
    <cellStyle name="输入 2 3 68 3" xfId="54605"/>
    <cellStyle name="输入 2 3 68 4" xfId="54606"/>
    <cellStyle name="输入 2 3 68 5" xfId="54607"/>
    <cellStyle name="输入 2 3 68 6" xfId="54608"/>
    <cellStyle name="输入 2 3 68 7" xfId="54609"/>
    <cellStyle name="输入 2 3 68 8" xfId="54610"/>
    <cellStyle name="输入 2 3 68 9" xfId="54611"/>
    <cellStyle name="输入 2 3 69" xfId="9530"/>
    <cellStyle name="输入 2 3 69 10" xfId="54612"/>
    <cellStyle name="输入 2 3 69 11" xfId="54613"/>
    <cellStyle name="输入 2 3 69 12" xfId="54614"/>
    <cellStyle name="输入 2 3 69 2" xfId="9531"/>
    <cellStyle name="输入 2 3 69 2 2" xfId="54615"/>
    <cellStyle name="输入 2 3 69 3" xfId="54616"/>
    <cellStyle name="输入 2 3 69 4" xfId="54617"/>
    <cellStyle name="输入 2 3 69 5" xfId="54618"/>
    <cellStyle name="输入 2 3 69 6" xfId="54619"/>
    <cellStyle name="输入 2 3 69 7" xfId="54620"/>
    <cellStyle name="输入 2 3 69 8" xfId="54621"/>
    <cellStyle name="输入 2 3 69 9" xfId="54622"/>
    <cellStyle name="输入 2 3 7" xfId="9532"/>
    <cellStyle name="输入 2 3 7 10" xfId="54623"/>
    <cellStyle name="输入 2 3 7 11" xfId="54624"/>
    <cellStyle name="输入 2 3 7 2" xfId="9533"/>
    <cellStyle name="输入 2 3 7 2 2" xfId="54625"/>
    <cellStyle name="输入 2 3 7 3" xfId="54626"/>
    <cellStyle name="输入 2 3 7 4" xfId="54627"/>
    <cellStyle name="输入 2 3 7 5" xfId="54628"/>
    <cellStyle name="输入 2 3 7 6" xfId="54629"/>
    <cellStyle name="输入 2 3 7 7" xfId="54630"/>
    <cellStyle name="输入 2 3 7 8" xfId="54631"/>
    <cellStyle name="输入 2 3 7 9" xfId="54632"/>
    <cellStyle name="输入 2 3 70" xfId="9534"/>
    <cellStyle name="输入 2 3 70 10" xfId="54633"/>
    <cellStyle name="输入 2 3 70 11" xfId="54634"/>
    <cellStyle name="输入 2 3 70 12" xfId="54635"/>
    <cellStyle name="输入 2 3 70 2" xfId="9535"/>
    <cellStyle name="输入 2 3 70 2 2" xfId="54636"/>
    <cellStyle name="输入 2 3 70 3" xfId="54637"/>
    <cellStyle name="输入 2 3 70 4" xfId="54638"/>
    <cellStyle name="输入 2 3 70 5" xfId="54639"/>
    <cellStyle name="输入 2 3 70 6" xfId="54640"/>
    <cellStyle name="输入 2 3 70 7" xfId="54641"/>
    <cellStyle name="输入 2 3 70 8" xfId="54642"/>
    <cellStyle name="输入 2 3 70 9" xfId="54643"/>
    <cellStyle name="输入 2 3 71" xfId="9536"/>
    <cellStyle name="输入 2 3 71 10" xfId="54644"/>
    <cellStyle name="输入 2 3 71 11" xfId="54645"/>
    <cellStyle name="输入 2 3 71 12" xfId="54646"/>
    <cellStyle name="输入 2 3 71 2" xfId="9537"/>
    <cellStyle name="输入 2 3 71 2 2" xfId="54647"/>
    <cellStyle name="输入 2 3 71 3" xfId="54648"/>
    <cellStyle name="输入 2 3 71 4" xfId="54649"/>
    <cellStyle name="输入 2 3 71 5" xfId="54650"/>
    <cellStyle name="输入 2 3 71 6" xfId="54651"/>
    <cellStyle name="输入 2 3 71 7" xfId="54652"/>
    <cellStyle name="输入 2 3 71 8" xfId="54653"/>
    <cellStyle name="输入 2 3 71 9" xfId="54654"/>
    <cellStyle name="输入 2 3 72" xfId="9538"/>
    <cellStyle name="输入 2 3 72 10" xfId="54655"/>
    <cellStyle name="输入 2 3 72 11" xfId="54656"/>
    <cellStyle name="输入 2 3 72 12" xfId="54657"/>
    <cellStyle name="输入 2 3 72 2" xfId="9539"/>
    <cellStyle name="输入 2 3 72 2 2" xfId="54658"/>
    <cellStyle name="输入 2 3 72 3" xfId="54659"/>
    <cellStyle name="输入 2 3 72 4" xfId="54660"/>
    <cellStyle name="输入 2 3 72 5" xfId="54661"/>
    <cellStyle name="输入 2 3 72 6" xfId="54662"/>
    <cellStyle name="输入 2 3 72 7" xfId="54663"/>
    <cellStyle name="输入 2 3 72 8" xfId="54664"/>
    <cellStyle name="输入 2 3 72 9" xfId="54665"/>
    <cellStyle name="输入 2 3 73" xfId="9540"/>
    <cellStyle name="输入 2 3 73 10" xfId="54666"/>
    <cellStyle name="输入 2 3 73 11" xfId="54667"/>
    <cellStyle name="输入 2 3 73 12" xfId="54668"/>
    <cellStyle name="输入 2 3 73 2" xfId="9541"/>
    <cellStyle name="输入 2 3 73 2 2" xfId="54669"/>
    <cellStyle name="输入 2 3 73 3" xfId="54670"/>
    <cellStyle name="输入 2 3 73 4" xfId="54671"/>
    <cellStyle name="输入 2 3 73 5" xfId="54672"/>
    <cellStyle name="输入 2 3 73 6" xfId="54673"/>
    <cellStyle name="输入 2 3 73 7" xfId="54674"/>
    <cellStyle name="输入 2 3 73 8" xfId="54675"/>
    <cellStyle name="输入 2 3 73 9" xfId="54676"/>
    <cellStyle name="输入 2 3 74" xfId="9542"/>
    <cellStyle name="输入 2 3 74 10" xfId="54677"/>
    <cellStyle name="输入 2 3 74 11" xfId="54678"/>
    <cellStyle name="输入 2 3 74 12" xfId="54679"/>
    <cellStyle name="输入 2 3 74 2" xfId="9543"/>
    <cellStyle name="输入 2 3 74 2 2" xfId="54680"/>
    <cellStyle name="输入 2 3 74 3" xfId="54681"/>
    <cellStyle name="输入 2 3 74 4" xfId="54682"/>
    <cellStyle name="输入 2 3 74 5" xfId="54683"/>
    <cellStyle name="输入 2 3 74 6" xfId="54684"/>
    <cellStyle name="输入 2 3 74 7" xfId="54685"/>
    <cellStyle name="输入 2 3 74 8" xfId="54686"/>
    <cellStyle name="输入 2 3 74 9" xfId="54687"/>
    <cellStyle name="输入 2 3 75" xfId="9544"/>
    <cellStyle name="输入 2 3 75 10" xfId="54688"/>
    <cellStyle name="输入 2 3 75 11" xfId="54689"/>
    <cellStyle name="输入 2 3 75 12" xfId="54690"/>
    <cellStyle name="输入 2 3 75 2" xfId="9545"/>
    <cellStyle name="输入 2 3 75 2 2" xfId="54691"/>
    <cellStyle name="输入 2 3 75 3" xfId="54692"/>
    <cellStyle name="输入 2 3 75 4" xfId="54693"/>
    <cellStyle name="输入 2 3 75 5" xfId="54694"/>
    <cellStyle name="输入 2 3 75 6" xfId="54695"/>
    <cellStyle name="输入 2 3 75 7" xfId="54696"/>
    <cellStyle name="输入 2 3 75 8" xfId="54697"/>
    <cellStyle name="输入 2 3 75 9" xfId="54698"/>
    <cellStyle name="输入 2 3 76" xfId="9546"/>
    <cellStyle name="输入 2 3 76 10" xfId="54699"/>
    <cellStyle name="输入 2 3 76 11" xfId="54700"/>
    <cellStyle name="输入 2 3 76 12" xfId="54701"/>
    <cellStyle name="输入 2 3 76 2" xfId="9547"/>
    <cellStyle name="输入 2 3 76 2 2" xfId="54702"/>
    <cellStyle name="输入 2 3 76 3" xfId="54703"/>
    <cellStyle name="输入 2 3 76 4" xfId="54704"/>
    <cellStyle name="输入 2 3 76 5" xfId="54705"/>
    <cellStyle name="输入 2 3 76 6" xfId="54706"/>
    <cellStyle name="输入 2 3 76 7" xfId="54707"/>
    <cellStyle name="输入 2 3 76 8" xfId="54708"/>
    <cellStyle name="输入 2 3 76 9" xfId="54709"/>
    <cellStyle name="输入 2 3 77" xfId="9548"/>
    <cellStyle name="输入 2 3 77 10" xfId="54710"/>
    <cellStyle name="输入 2 3 77 11" xfId="54711"/>
    <cellStyle name="输入 2 3 77 12" xfId="54712"/>
    <cellStyle name="输入 2 3 77 2" xfId="9549"/>
    <cellStyle name="输入 2 3 77 2 2" xfId="54713"/>
    <cellStyle name="输入 2 3 77 3" xfId="54714"/>
    <cellStyle name="输入 2 3 77 4" xfId="54715"/>
    <cellStyle name="输入 2 3 77 5" xfId="54716"/>
    <cellStyle name="输入 2 3 77 6" xfId="54717"/>
    <cellStyle name="输入 2 3 77 7" xfId="54718"/>
    <cellStyle name="输入 2 3 77 8" xfId="54719"/>
    <cellStyle name="输入 2 3 77 9" xfId="54720"/>
    <cellStyle name="输入 2 3 78" xfId="9550"/>
    <cellStyle name="输入 2 3 78 10" xfId="54721"/>
    <cellStyle name="输入 2 3 78 11" xfId="54722"/>
    <cellStyle name="输入 2 3 78 12" xfId="54723"/>
    <cellStyle name="输入 2 3 78 2" xfId="9551"/>
    <cellStyle name="输入 2 3 78 2 2" xfId="54724"/>
    <cellStyle name="输入 2 3 78 3" xfId="54725"/>
    <cellStyle name="输入 2 3 78 4" xfId="54726"/>
    <cellStyle name="输入 2 3 78 5" xfId="54727"/>
    <cellStyle name="输入 2 3 78 6" xfId="54728"/>
    <cellStyle name="输入 2 3 78 7" xfId="54729"/>
    <cellStyle name="输入 2 3 78 8" xfId="54730"/>
    <cellStyle name="输入 2 3 78 9" xfId="54731"/>
    <cellStyle name="输入 2 3 79" xfId="9552"/>
    <cellStyle name="输入 2 3 79 10" xfId="54732"/>
    <cellStyle name="输入 2 3 79 11" xfId="54733"/>
    <cellStyle name="输入 2 3 79 12" xfId="54734"/>
    <cellStyle name="输入 2 3 79 2" xfId="9553"/>
    <cellStyle name="输入 2 3 79 2 2" xfId="54735"/>
    <cellStyle name="输入 2 3 79 3" xfId="54736"/>
    <cellStyle name="输入 2 3 79 4" xfId="54737"/>
    <cellStyle name="输入 2 3 79 5" xfId="54738"/>
    <cellStyle name="输入 2 3 79 6" xfId="54739"/>
    <cellStyle name="输入 2 3 79 7" xfId="54740"/>
    <cellStyle name="输入 2 3 79 8" xfId="54741"/>
    <cellStyle name="输入 2 3 79 9" xfId="54742"/>
    <cellStyle name="输入 2 3 8" xfId="9554"/>
    <cellStyle name="输入 2 3 8 10" xfId="54743"/>
    <cellStyle name="输入 2 3 8 11" xfId="54744"/>
    <cellStyle name="输入 2 3 8 2" xfId="9555"/>
    <cellStyle name="输入 2 3 8 2 2" xfId="54745"/>
    <cellStyle name="输入 2 3 8 3" xfId="54746"/>
    <cellStyle name="输入 2 3 8 4" xfId="54747"/>
    <cellStyle name="输入 2 3 8 5" xfId="54748"/>
    <cellStyle name="输入 2 3 8 6" xfId="54749"/>
    <cellStyle name="输入 2 3 8 7" xfId="54750"/>
    <cellStyle name="输入 2 3 8 8" xfId="54751"/>
    <cellStyle name="输入 2 3 8 9" xfId="54752"/>
    <cellStyle name="输入 2 3 80" xfId="9556"/>
    <cellStyle name="输入 2 3 80 10" xfId="54753"/>
    <cellStyle name="输入 2 3 80 11" xfId="54754"/>
    <cellStyle name="输入 2 3 80 12" xfId="54755"/>
    <cellStyle name="输入 2 3 80 2" xfId="9557"/>
    <cellStyle name="输入 2 3 80 2 2" xfId="54756"/>
    <cellStyle name="输入 2 3 80 3" xfId="54757"/>
    <cellStyle name="输入 2 3 80 4" xfId="54758"/>
    <cellStyle name="输入 2 3 80 5" xfId="54759"/>
    <cellStyle name="输入 2 3 80 6" xfId="54760"/>
    <cellStyle name="输入 2 3 80 7" xfId="54761"/>
    <cellStyle name="输入 2 3 80 8" xfId="54762"/>
    <cellStyle name="输入 2 3 80 9" xfId="54763"/>
    <cellStyle name="输入 2 3 81" xfId="9558"/>
    <cellStyle name="输入 2 3 81 10" xfId="54764"/>
    <cellStyle name="输入 2 3 81 11" xfId="54765"/>
    <cellStyle name="输入 2 3 81 12" xfId="54766"/>
    <cellStyle name="输入 2 3 81 2" xfId="9559"/>
    <cellStyle name="输入 2 3 81 2 2" xfId="54767"/>
    <cellStyle name="输入 2 3 81 3" xfId="54768"/>
    <cellStyle name="输入 2 3 81 4" xfId="54769"/>
    <cellStyle name="输入 2 3 81 5" xfId="54770"/>
    <cellStyle name="输入 2 3 81 6" xfId="54771"/>
    <cellStyle name="输入 2 3 81 7" xfId="54772"/>
    <cellStyle name="输入 2 3 81 8" xfId="54773"/>
    <cellStyle name="输入 2 3 81 9" xfId="54774"/>
    <cellStyle name="输入 2 3 82" xfId="9560"/>
    <cellStyle name="输入 2 3 82 10" xfId="54775"/>
    <cellStyle name="输入 2 3 82 11" xfId="54776"/>
    <cellStyle name="输入 2 3 82 12" xfId="54777"/>
    <cellStyle name="输入 2 3 82 2" xfId="9561"/>
    <cellStyle name="输入 2 3 82 2 2" xfId="54778"/>
    <cellStyle name="输入 2 3 82 3" xfId="54779"/>
    <cellStyle name="输入 2 3 82 4" xfId="54780"/>
    <cellStyle name="输入 2 3 82 5" xfId="54781"/>
    <cellStyle name="输入 2 3 82 6" xfId="54782"/>
    <cellStyle name="输入 2 3 82 7" xfId="54783"/>
    <cellStyle name="输入 2 3 82 8" xfId="54784"/>
    <cellStyle name="输入 2 3 82 9" xfId="54785"/>
    <cellStyle name="输入 2 3 83" xfId="9562"/>
    <cellStyle name="输入 2 3 83 10" xfId="54786"/>
    <cellStyle name="输入 2 3 83 11" xfId="54787"/>
    <cellStyle name="输入 2 3 83 12" xfId="54788"/>
    <cellStyle name="输入 2 3 83 2" xfId="9563"/>
    <cellStyle name="输入 2 3 83 2 2" xfId="54789"/>
    <cellStyle name="输入 2 3 83 3" xfId="54790"/>
    <cellStyle name="输入 2 3 83 4" xfId="54791"/>
    <cellStyle name="输入 2 3 83 5" xfId="54792"/>
    <cellStyle name="输入 2 3 83 6" xfId="54793"/>
    <cellStyle name="输入 2 3 83 7" xfId="54794"/>
    <cellStyle name="输入 2 3 83 8" xfId="54795"/>
    <cellStyle name="输入 2 3 83 9" xfId="54796"/>
    <cellStyle name="输入 2 3 84" xfId="9564"/>
    <cellStyle name="输入 2 3 84 10" xfId="54797"/>
    <cellStyle name="输入 2 3 84 11" xfId="54798"/>
    <cellStyle name="输入 2 3 84 12" xfId="54799"/>
    <cellStyle name="输入 2 3 84 2" xfId="9565"/>
    <cellStyle name="输入 2 3 84 2 2" xfId="54800"/>
    <cellStyle name="输入 2 3 84 3" xfId="54801"/>
    <cellStyle name="输入 2 3 84 4" xfId="54802"/>
    <cellStyle name="输入 2 3 84 5" xfId="54803"/>
    <cellStyle name="输入 2 3 84 6" xfId="54804"/>
    <cellStyle name="输入 2 3 84 7" xfId="54805"/>
    <cellStyle name="输入 2 3 84 8" xfId="54806"/>
    <cellStyle name="输入 2 3 84 9" xfId="54807"/>
    <cellStyle name="输入 2 3 85" xfId="9566"/>
    <cellStyle name="输入 2 3 85 10" xfId="54808"/>
    <cellStyle name="输入 2 3 85 11" xfId="54809"/>
    <cellStyle name="输入 2 3 85 12" xfId="54810"/>
    <cellStyle name="输入 2 3 85 2" xfId="9567"/>
    <cellStyle name="输入 2 3 85 2 2" xfId="54811"/>
    <cellStyle name="输入 2 3 85 3" xfId="54812"/>
    <cellStyle name="输入 2 3 85 4" xfId="54813"/>
    <cellStyle name="输入 2 3 85 5" xfId="54814"/>
    <cellStyle name="输入 2 3 85 6" xfId="54815"/>
    <cellStyle name="输入 2 3 85 7" xfId="54816"/>
    <cellStyle name="输入 2 3 85 8" xfId="54817"/>
    <cellStyle name="输入 2 3 85 9" xfId="54818"/>
    <cellStyle name="输入 2 3 86" xfId="9568"/>
    <cellStyle name="输入 2 3 86 10" xfId="54819"/>
    <cellStyle name="输入 2 3 86 11" xfId="54820"/>
    <cellStyle name="输入 2 3 86 2" xfId="9569"/>
    <cellStyle name="输入 2 3 86 2 2" xfId="54821"/>
    <cellStyle name="输入 2 3 86 3" xfId="54822"/>
    <cellStyle name="输入 2 3 86 4" xfId="54823"/>
    <cellStyle name="输入 2 3 86 5" xfId="54824"/>
    <cellStyle name="输入 2 3 86 6" xfId="54825"/>
    <cellStyle name="输入 2 3 86 7" xfId="54826"/>
    <cellStyle name="输入 2 3 86 8" xfId="54827"/>
    <cellStyle name="输入 2 3 86 9" xfId="54828"/>
    <cellStyle name="输入 2 3 87" xfId="9570"/>
    <cellStyle name="输入 2 3 87 10" xfId="54829"/>
    <cellStyle name="输入 2 3 87 11" xfId="54830"/>
    <cellStyle name="输入 2 3 87 12" xfId="54831"/>
    <cellStyle name="输入 2 3 87 2" xfId="9571"/>
    <cellStyle name="输入 2 3 87 2 2" xfId="54832"/>
    <cellStyle name="输入 2 3 87 3" xfId="54833"/>
    <cellStyle name="输入 2 3 87 4" xfId="54834"/>
    <cellStyle name="输入 2 3 87 5" xfId="54835"/>
    <cellStyle name="输入 2 3 87 6" xfId="54836"/>
    <cellStyle name="输入 2 3 87 7" xfId="54837"/>
    <cellStyle name="输入 2 3 87 8" xfId="54838"/>
    <cellStyle name="输入 2 3 87 9" xfId="54839"/>
    <cellStyle name="输入 2 3 88" xfId="9572"/>
    <cellStyle name="输入 2 3 88 10" xfId="54840"/>
    <cellStyle name="输入 2 3 88 11" xfId="54841"/>
    <cellStyle name="输入 2 3 88 12" xfId="54842"/>
    <cellStyle name="输入 2 3 88 2" xfId="9573"/>
    <cellStyle name="输入 2 3 88 2 2" xfId="54843"/>
    <cellStyle name="输入 2 3 88 3" xfId="54844"/>
    <cellStyle name="输入 2 3 88 4" xfId="54845"/>
    <cellStyle name="输入 2 3 88 5" xfId="54846"/>
    <cellStyle name="输入 2 3 88 6" xfId="54847"/>
    <cellStyle name="输入 2 3 88 7" xfId="54848"/>
    <cellStyle name="输入 2 3 88 8" xfId="54849"/>
    <cellStyle name="输入 2 3 88 9" xfId="54850"/>
    <cellStyle name="输入 2 3 89" xfId="9574"/>
    <cellStyle name="输入 2 3 89 10" xfId="54851"/>
    <cellStyle name="输入 2 3 89 11" xfId="54852"/>
    <cellStyle name="输入 2 3 89 12" xfId="54853"/>
    <cellStyle name="输入 2 3 89 2" xfId="9575"/>
    <cellStyle name="输入 2 3 89 2 2" xfId="54854"/>
    <cellStyle name="输入 2 3 89 3" xfId="54855"/>
    <cellStyle name="输入 2 3 89 4" xfId="54856"/>
    <cellStyle name="输入 2 3 89 5" xfId="54857"/>
    <cellStyle name="输入 2 3 89 6" xfId="54858"/>
    <cellStyle name="输入 2 3 89 7" xfId="54859"/>
    <cellStyle name="输入 2 3 89 8" xfId="54860"/>
    <cellStyle name="输入 2 3 89 9" xfId="54861"/>
    <cellStyle name="输入 2 3 9" xfId="9576"/>
    <cellStyle name="输入 2 3 9 10" xfId="54862"/>
    <cellStyle name="输入 2 3 9 11" xfId="54863"/>
    <cellStyle name="输入 2 3 9 2" xfId="9577"/>
    <cellStyle name="输入 2 3 9 2 2" xfId="54864"/>
    <cellStyle name="输入 2 3 9 3" xfId="54865"/>
    <cellStyle name="输入 2 3 9 4" xfId="54866"/>
    <cellStyle name="输入 2 3 9 5" xfId="54867"/>
    <cellStyle name="输入 2 3 9 6" xfId="54868"/>
    <cellStyle name="输入 2 3 9 7" xfId="54869"/>
    <cellStyle name="输入 2 3 9 8" xfId="54870"/>
    <cellStyle name="输入 2 3 9 9" xfId="54871"/>
    <cellStyle name="输入 2 3 90" xfId="9578"/>
    <cellStyle name="输入 2 3 90 10" xfId="54872"/>
    <cellStyle name="输入 2 3 90 11" xfId="54873"/>
    <cellStyle name="输入 2 3 90 12" xfId="54874"/>
    <cellStyle name="输入 2 3 90 2" xfId="9579"/>
    <cellStyle name="输入 2 3 90 2 2" xfId="54875"/>
    <cellStyle name="输入 2 3 90 3" xfId="54876"/>
    <cellStyle name="输入 2 3 90 4" xfId="54877"/>
    <cellStyle name="输入 2 3 90 5" xfId="54878"/>
    <cellStyle name="输入 2 3 90 6" xfId="54879"/>
    <cellStyle name="输入 2 3 90 7" xfId="54880"/>
    <cellStyle name="输入 2 3 90 8" xfId="54881"/>
    <cellStyle name="输入 2 3 90 9" xfId="54882"/>
    <cellStyle name="输入 2 3 91" xfId="9580"/>
    <cellStyle name="输入 2 3 91 10" xfId="54883"/>
    <cellStyle name="输入 2 3 91 11" xfId="54884"/>
    <cellStyle name="输入 2 3 91 12" xfId="54885"/>
    <cellStyle name="输入 2 3 91 2" xfId="9581"/>
    <cellStyle name="输入 2 3 91 2 2" xfId="54886"/>
    <cellStyle name="输入 2 3 91 3" xfId="54887"/>
    <cellStyle name="输入 2 3 91 4" xfId="54888"/>
    <cellStyle name="输入 2 3 91 5" xfId="54889"/>
    <cellStyle name="输入 2 3 91 6" xfId="54890"/>
    <cellStyle name="输入 2 3 91 7" xfId="54891"/>
    <cellStyle name="输入 2 3 91 8" xfId="54892"/>
    <cellStyle name="输入 2 3 91 9" xfId="54893"/>
    <cellStyle name="输入 2 3 92" xfId="9582"/>
    <cellStyle name="输入 2 3 92 10" xfId="54894"/>
    <cellStyle name="输入 2 3 92 11" xfId="54895"/>
    <cellStyle name="输入 2 3 92 12" xfId="54896"/>
    <cellStyle name="输入 2 3 92 2" xfId="9583"/>
    <cellStyle name="输入 2 3 92 2 2" xfId="54897"/>
    <cellStyle name="输入 2 3 92 3" xfId="54898"/>
    <cellStyle name="输入 2 3 92 4" xfId="54899"/>
    <cellStyle name="输入 2 3 92 5" xfId="54900"/>
    <cellStyle name="输入 2 3 92 6" xfId="54901"/>
    <cellStyle name="输入 2 3 92 7" xfId="54902"/>
    <cellStyle name="输入 2 3 92 8" xfId="54903"/>
    <cellStyle name="输入 2 3 92 9" xfId="54904"/>
    <cellStyle name="输入 2 3 93" xfId="9584"/>
    <cellStyle name="输入 2 3 93 10" xfId="54905"/>
    <cellStyle name="输入 2 3 93 11" xfId="54906"/>
    <cellStyle name="输入 2 3 93 2" xfId="9585"/>
    <cellStyle name="输入 2 3 93 2 2" xfId="54907"/>
    <cellStyle name="输入 2 3 93 3" xfId="54908"/>
    <cellStyle name="输入 2 3 93 4" xfId="54909"/>
    <cellStyle name="输入 2 3 93 5" xfId="54910"/>
    <cellStyle name="输入 2 3 93 6" xfId="54911"/>
    <cellStyle name="输入 2 3 93 7" xfId="54912"/>
    <cellStyle name="输入 2 3 93 8" xfId="54913"/>
    <cellStyle name="输入 2 3 93 9" xfId="54914"/>
    <cellStyle name="输入 2 3 94" xfId="9586"/>
    <cellStyle name="输入 2 3 94 2" xfId="54915"/>
    <cellStyle name="输入 2 3 95" xfId="11795"/>
    <cellStyle name="输入 2 3_YL Capex Cashflow &amp; Dep" xfId="13912"/>
    <cellStyle name="输入 2 30" xfId="9587"/>
    <cellStyle name="输入 2 30 10" xfId="54916"/>
    <cellStyle name="输入 2 30 11" xfId="54917"/>
    <cellStyle name="输入 2 30 12" xfId="54918"/>
    <cellStyle name="输入 2 30 2" xfId="9588"/>
    <cellStyle name="输入 2 30 2 2" xfId="54919"/>
    <cellStyle name="输入 2 30 3" xfId="54920"/>
    <cellStyle name="输入 2 30 4" xfId="54921"/>
    <cellStyle name="输入 2 30 5" xfId="54922"/>
    <cellStyle name="输入 2 30 6" xfId="54923"/>
    <cellStyle name="输入 2 30 7" xfId="54924"/>
    <cellStyle name="输入 2 30 8" xfId="54925"/>
    <cellStyle name="输入 2 30 9" xfId="54926"/>
    <cellStyle name="输入 2 31" xfId="9589"/>
    <cellStyle name="输入 2 31 10" xfId="54927"/>
    <cellStyle name="输入 2 31 11" xfId="54928"/>
    <cellStyle name="输入 2 31 12" xfId="54929"/>
    <cellStyle name="输入 2 31 2" xfId="9590"/>
    <cellStyle name="输入 2 31 2 2" xfId="54930"/>
    <cellStyle name="输入 2 31 3" xfId="54931"/>
    <cellStyle name="输入 2 31 4" xfId="54932"/>
    <cellStyle name="输入 2 31 5" xfId="54933"/>
    <cellStyle name="输入 2 31 6" xfId="54934"/>
    <cellStyle name="输入 2 31 7" xfId="54935"/>
    <cellStyle name="输入 2 31 8" xfId="54936"/>
    <cellStyle name="输入 2 31 9" xfId="54937"/>
    <cellStyle name="输入 2 32" xfId="9591"/>
    <cellStyle name="输入 2 32 10" xfId="54938"/>
    <cellStyle name="输入 2 32 11" xfId="54939"/>
    <cellStyle name="输入 2 32 12" xfId="54940"/>
    <cellStyle name="输入 2 32 2" xfId="9592"/>
    <cellStyle name="输入 2 32 2 2" xfId="54941"/>
    <cellStyle name="输入 2 32 3" xfId="54942"/>
    <cellStyle name="输入 2 32 4" xfId="54943"/>
    <cellStyle name="输入 2 32 5" xfId="54944"/>
    <cellStyle name="输入 2 32 6" xfId="54945"/>
    <cellStyle name="输入 2 32 7" xfId="54946"/>
    <cellStyle name="输入 2 32 8" xfId="54947"/>
    <cellStyle name="输入 2 32 9" xfId="54948"/>
    <cellStyle name="输入 2 33" xfId="9593"/>
    <cellStyle name="输入 2 33 10" xfId="54949"/>
    <cellStyle name="输入 2 33 11" xfId="54950"/>
    <cellStyle name="输入 2 33 12" xfId="54951"/>
    <cellStyle name="输入 2 33 2" xfId="9594"/>
    <cellStyle name="输入 2 33 2 2" xfId="54952"/>
    <cellStyle name="输入 2 33 3" xfId="54953"/>
    <cellStyle name="输入 2 33 4" xfId="54954"/>
    <cellStyle name="输入 2 33 5" xfId="54955"/>
    <cellStyle name="输入 2 33 6" xfId="54956"/>
    <cellStyle name="输入 2 33 7" xfId="54957"/>
    <cellStyle name="输入 2 33 8" xfId="54958"/>
    <cellStyle name="输入 2 33 9" xfId="54959"/>
    <cellStyle name="输入 2 34" xfId="9595"/>
    <cellStyle name="输入 2 34 10" xfId="54960"/>
    <cellStyle name="输入 2 34 11" xfId="54961"/>
    <cellStyle name="输入 2 34 12" xfId="54962"/>
    <cellStyle name="输入 2 34 2" xfId="9596"/>
    <cellStyle name="输入 2 34 2 2" xfId="54963"/>
    <cellStyle name="输入 2 34 3" xfId="54964"/>
    <cellStyle name="输入 2 34 4" xfId="54965"/>
    <cellStyle name="输入 2 34 5" xfId="54966"/>
    <cellStyle name="输入 2 34 6" xfId="54967"/>
    <cellStyle name="输入 2 34 7" xfId="54968"/>
    <cellStyle name="输入 2 34 8" xfId="54969"/>
    <cellStyle name="输入 2 34 9" xfId="54970"/>
    <cellStyle name="输入 2 35" xfId="9597"/>
    <cellStyle name="输入 2 35 10" xfId="54971"/>
    <cellStyle name="输入 2 35 11" xfId="54972"/>
    <cellStyle name="输入 2 35 12" xfId="54973"/>
    <cellStyle name="输入 2 35 2" xfId="9598"/>
    <cellStyle name="输入 2 35 2 2" xfId="54974"/>
    <cellStyle name="输入 2 35 3" xfId="54975"/>
    <cellStyle name="输入 2 35 4" xfId="54976"/>
    <cellStyle name="输入 2 35 5" xfId="54977"/>
    <cellStyle name="输入 2 35 6" xfId="54978"/>
    <cellStyle name="输入 2 35 7" xfId="54979"/>
    <cellStyle name="输入 2 35 8" xfId="54980"/>
    <cellStyle name="输入 2 35 9" xfId="54981"/>
    <cellStyle name="输入 2 36" xfId="9599"/>
    <cellStyle name="输入 2 36 10" xfId="54982"/>
    <cellStyle name="输入 2 36 11" xfId="54983"/>
    <cellStyle name="输入 2 36 12" xfId="54984"/>
    <cellStyle name="输入 2 36 2" xfId="9600"/>
    <cellStyle name="输入 2 36 2 2" xfId="54985"/>
    <cellStyle name="输入 2 36 3" xfId="54986"/>
    <cellStyle name="输入 2 36 4" xfId="54987"/>
    <cellStyle name="输入 2 36 5" xfId="54988"/>
    <cellStyle name="输入 2 36 6" xfId="54989"/>
    <cellStyle name="输入 2 36 7" xfId="54990"/>
    <cellStyle name="输入 2 36 8" xfId="54991"/>
    <cellStyle name="输入 2 36 9" xfId="54992"/>
    <cellStyle name="输入 2 37" xfId="9601"/>
    <cellStyle name="输入 2 37 10" xfId="54993"/>
    <cellStyle name="输入 2 37 11" xfId="54994"/>
    <cellStyle name="输入 2 37 12" xfId="54995"/>
    <cellStyle name="输入 2 37 2" xfId="9602"/>
    <cellStyle name="输入 2 37 2 2" xfId="54996"/>
    <cellStyle name="输入 2 37 3" xfId="54997"/>
    <cellStyle name="输入 2 37 4" xfId="54998"/>
    <cellStyle name="输入 2 37 5" xfId="54999"/>
    <cellStyle name="输入 2 37 6" xfId="55000"/>
    <cellStyle name="输入 2 37 7" xfId="55001"/>
    <cellStyle name="输入 2 37 8" xfId="55002"/>
    <cellStyle name="输入 2 37 9" xfId="55003"/>
    <cellStyle name="输入 2 38" xfId="9603"/>
    <cellStyle name="输入 2 38 10" xfId="55004"/>
    <cellStyle name="输入 2 38 11" xfId="55005"/>
    <cellStyle name="输入 2 38 12" xfId="55006"/>
    <cellStyle name="输入 2 38 2" xfId="9604"/>
    <cellStyle name="输入 2 38 2 2" xfId="55007"/>
    <cellStyle name="输入 2 38 3" xfId="55008"/>
    <cellStyle name="输入 2 38 4" xfId="55009"/>
    <cellStyle name="输入 2 38 5" xfId="55010"/>
    <cellStyle name="输入 2 38 6" xfId="55011"/>
    <cellStyle name="输入 2 38 7" xfId="55012"/>
    <cellStyle name="输入 2 38 8" xfId="55013"/>
    <cellStyle name="输入 2 38 9" xfId="55014"/>
    <cellStyle name="输入 2 39" xfId="9605"/>
    <cellStyle name="输入 2 39 10" xfId="55015"/>
    <cellStyle name="输入 2 39 11" xfId="55016"/>
    <cellStyle name="输入 2 39 12" xfId="55017"/>
    <cellStyle name="输入 2 39 2" xfId="9606"/>
    <cellStyle name="输入 2 39 2 2" xfId="55018"/>
    <cellStyle name="输入 2 39 3" xfId="55019"/>
    <cellStyle name="输入 2 39 4" xfId="55020"/>
    <cellStyle name="输入 2 39 5" xfId="55021"/>
    <cellStyle name="输入 2 39 6" xfId="55022"/>
    <cellStyle name="输入 2 39 7" xfId="55023"/>
    <cellStyle name="输入 2 39 8" xfId="55024"/>
    <cellStyle name="输入 2 39 9" xfId="55025"/>
    <cellStyle name="输入 2 4" xfId="3276"/>
    <cellStyle name="输入 2 4 10" xfId="9607"/>
    <cellStyle name="输入 2 4 10 10" xfId="55026"/>
    <cellStyle name="输入 2 4 10 11" xfId="55027"/>
    <cellStyle name="输入 2 4 10 2" xfId="9608"/>
    <cellStyle name="输入 2 4 10 2 2" xfId="55028"/>
    <cellStyle name="输入 2 4 10 3" xfId="55029"/>
    <cellStyle name="输入 2 4 10 4" xfId="55030"/>
    <cellStyle name="输入 2 4 10 5" xfId="55031"/>
    <cellStyle name="输入 2 4 10 6" xfId="55032"/>
    <cellStyle name="输入 2 4 10 7" xfId="55033"/>
    <cellStyle name="输入 2 4 10 8" xfId="55034"/>
    <cellStyle name="输入 2 4 10 9" xfId="55035"/>
    <cellStyle name="输入 2 4 11" xfId="9609"/>
    <cellStyle name="输入 2 4 11 10" xfId="55036"/>
    <cellStyle name="输入 2 4 11 11" xfId="55037"/>
    <cellStyle name="输入 2 4 11 2" xfId="9610"/>
    <cellStyle name="输入 2 4 11 2 2" xfId="55038"/>
    <cellStyle name="输入 2 4 11 3" xfId="55039"/>
    <cellStyle name="输入 2 4 11 4" xfId="55040"/>
    <cellStyle name="输入 2 4 11 5" xfId="55041"/>
    <cellStyle name="输入 2 4 11 6" xfId="55042"/>
    <cellStyle name="输入 2 4 11 7" xfId="55043"/>
    <cellStyle name="输入 2 4 11 8" xfId="55044"/>
    <cellStyle name="输入 2 4 11 9" xfId="55045"/>
    <cellStyle name="输入 2 4 12" xfId="9611"/>
    <cellStyle name="输入 2 4 12 10" xfId="55046"/>
    <cellStyle name="输入 2 4 12 2" xfId="9612"/>
    <cellStyle name="输入 2 4 12 2 2" xfId="55047"/>
    <cellStyle name="输入 2 4 12 3" xfId="55048"/>
    <cellStyle name="输入 2 4 12 4" xfId="55049"/>
    <cellStyle name="输入 2 4 12 5" xfId="55050"/>
    <cellStyle name="输入 2 4 12 6" xfId="55051"/>
    <cellStyle name="输入 2 4 12 7" xfId="55052"/>
    <cellStyle name="输入 2 4 12 8" xfId="55053"/>
    <cellStyle name="输入 2 4 12 9" xfId="55054"/>
    <cellStyle name="输入 2 4 13" xfId="9613"/>
    <cellStyle name="输入 2 4 13 10" xfId="55055"/>
    <cellStyle name="输入 2 4 13 11" xfId="55056"/>
    <cellStyle name="输入 2 4 13 2" xfId="9614"/>
    <cellStyle name="输入 2 4 13 2 2" xfId="55057"/>
    <cellStyle name="输入 2 4 13 3" xfId="55058"/>
    <cellStyle name="输入 2 4 13 4" xfId="55059"/>
    <cellStyle name="输入 2 4 13 5" xfId="55060"/>
    <cellStyle name="输入 2 4 13 6" xfId="55061"/>
    <cellStyle name="输入 2 4 13 7" xfId="55062"/>
    <cellStyle name="输入 2 4 13 8" xfId="55063"/>
    <cellStyle name="输入 2 4 13 9" xfId="55064"/>
    <cellStyle name="输入 2 4 14" xfId="9615"/>
    <cellStyle name="输入 2 4 14 10" xfId="55065"/>
    <cellStyle name="输入 2 4 14 11" xfId="55066"/>
    <cellStyle name="输入 2 4 14 2" xfId="9616"/>
    <cellStyle name="输入 2 4 14 2 2" xfId="55067"/>
    <cellStyle name="输入 2 4 14 3" xfId="55068"/>
    <cellStyle name="输入 2 4 14 4" xfId="55069"/>
    <cellStyle name="输入 2 4 14 5" xfId="55070"/>
    <cellStyle name="输入 2 4 14 6" xfId="55071"/>
    <cellStyle name="输入 2 4 14 7" xfId="55072"/>
    <cellStyle name="输入 2 4 14 8" xfId="55073"/>
    <cellStyle name="输入 2 4 14 9" xfId="55074"/>
    <cellStyle name="输入 2 4 15" xfId="9617"/>
    <cellStyle name="输入 2 4 15 10" xfId="55075"/>
    <cellStyle name="输入 2 4 15 11" xfId="55076"/>
    <cellStyle name="输入 2 4 15 2" xfId="9618"/>
    <cellStyle name="输入 2 4 15 2 2" xfId="55077"/>
    <cellStyle name="输入 2 4 15 3" xfId="55078"/>
    <cellStyle name="输入 2 4 15 4" xfId="55079"/>
    <cellStyle name="输入 2 4 15 5" xfId="55080"/>
    <cellStyle name="输入 2 4 15 6" xfId="55081"/>
    <cellStyle name="输入 2 4 15 7" xfId="55082"/>
    <cellStyle name="输入 2 4 15 8" xfId="55083"/>
    <cellStyle name="输入 2 4 15 9" xfId="55084"/>
    <cellStyle name="输入 2 4 16" xfId="9619"/>
    <cellStyle name="输入 2 4 16 10" xfId="55085"/>
    <cellStyle name="输入 2 4 16 11" xfId="55086"/>
    <cellStyle name="输入 2 4 16 2" xfId="9620"/>
    <cellStyle name="输入 2 4 16 2 2" xfId="55087"/>
    <cellStyle name="输入 2 4 16 3" xfId="55088"/>
    <cellStyle name="输入 2 4 16 4" xfId="55089"/>
    <cellStyle name="输入 2 4 16 5" xfId="55090"/>
    <cellStyle name="输入 2 4 16 6" xfId="55091"/>
    <cellStyle name="输入 2 4 16 7" xfId="55092"/>
    <cellStyle name="输入 2 4 16 8" xfId="55093"/>
    <cellStyle name="输入 2 4 16 9" xfId="55094"/>
    <cellStyle name="输入 2 4 17" xfId="9621"/>
    <cellStyle name="输入 2 4 17 10" xfId="55095"/>
    <cellStyle name="输入 2 4 17 11" xfId="55096"/>
    <cellStyle name="输入 2 4 17 2" xfId="9622"/>
    <cellStyle name="输入 2 4 17 2 2" xfId="55097"/>
    <cellStyle name="输入 2 4 17 3" xfId="55098"/>
    <cellStyle name="输入 2 4 17 4" xfId="55099"/>
    <cellStyle name="输入 2 4 17 5" xfId="55100"/>
    <cellStyle name="输入 2 4 17 6" xfId="55101"/>
    <cellStyle name="输入 2 4 17 7" xfId="55102"/>
    <cellStyle name="输入 2 4 17 8" xfId="55103"/>
    <cellStyle name="输入 2 4 17 9" xfId="55104"/>
    <cellStyle name="输入 2 4 18" xfId="9623"/>
    <cellStyle name="输入 2 4 18 10" xfId="55105"/>
    <cellStyle name="输入 2 4 18 11" xfId="55106"/>
    <cellStyle name="输入 2 4 18 2" xfId="9624"/>
    <cellStyle name="输入 2 4 18 2 2" xfId="55107"/>
    <cellStyle name="输入 2 4 18 3" xfId="55108"/>
    <cellStyle name="输入 2 4 18 4" xfId="55109"/>
    <cellStyle name="输入 2 4 18 5" xfId="55110"/>
    <cellStyle name="输入 2 4 18 6" xfId="55111"/>
    <cellStyle name="输入 2 4 18 7" xfId="55112"/>
    <cellStyle name="输入 2 4 18 8" xfId="55113"/>
    <cellStyle name="输入 2 4 18 9" xfId="55114"/>
    <cellStyle name="输入 2 4 19" xfId="9625"/>
    <cellStyle name="输入 2 4 19 10" xfId="55115"/>
    <cellStyle name="输入 2 4 19 11" xfId="55116"/>
    <cellStyle name="输入 2 4 19 2" xfId="9626"/>
    <cellStyle name="输入 2 4 19 2 2" xfId="55117"/>
    <cellStyle name="输入 2 4 19 3" xfId="55118"/>
    <cellStyle name="输入 2 4 19 4" xfId="55119"/>
    <cellStyle name="输入 2 4 19 5" xfId="55120"/>
    <cellStyle name="输入 2 4 19 6" xfId="55121"/>
    <cellStyle name="输入 2 4 19 7" xfId="55122"/>
    <cellStyle name="输入 2 4 19 8" xfId="55123"/>
    <cellStyle name="输入 2 4 19 9" xfId="55124"/>
    <cellStyle name="输入 2 4 2" xfId="3277"/>
    <cellStyle name="输入 2 4 2 10" xfId="55125"/>
    <cellStyle name="输入 2 4 2 11" xfId="55126"/>
    <cellStyle name="输入 2 4 2 12" xfId="55127"/>
    <cellStyle name="输入 2 4 2 2" xfId="3278"/>
    <cellStyle name="输入 2 4 2 2 2" xfId="13019"/>
    <cellStyle name="输入 2 4 2 2_YL Capex Cashflow &amp; Dep" xfId="13924"/>
    <cellStyle name="输入 2 4 2 3" xfId="12147"/>
    <cellStyle name="输入 2 4 2 4" xfId="55128"/>
    <cellStyle name="输入 2 4 2 5" xfId="55129"/>
    <cellStyle name="输入 2 4 2 6" xfId="55130"/>
    <cellStyle name="输入 2 4 2 7" xfId="55131"/>
    <cellStyle name="输入 2 4 2 8" xfId="55132"/>
    <cellStyle name="输入 2 4 2 9" xfId="55133"/>
    <cellStyle name="输入 2 4 2_YL Capex Cashflow &amp; Dep" xfId="13923"/>
    <cellStyle name="输入 2 4 20" xfId="9627"/>
    <cellStyle name="输入 2 4 20 10" xfId="55134"/>
    <cellStyle name="输入 2 4 20 11" xfId="55135"/>
    <cellStyle name="输入 2 4 20 12" xfId="55136"/>
    <cellStyle name="输入 2 4 20 2" xfId="9628"/>
    <cellStyle name="输入 2 4 20 2 2" xfId="55137"/>
    <cellStyle name="输入 2 4 20 3" xfId="55138"/>
    <cellStyle name="输入 2 4 20 4" xfId="55139"/>
    <cellStyle name="输入 2 4 20 5" xfId="55140"/>
    <cellStyle name="输入 2 4 20 6" xfId="55141"/>
    <cellStyle name="输入 2 4 20 7" xfId="55142"/>
    <cellStyle name="输入 2 4 20 8" xfId="55143"/>
    <cellStyle name="输入 2 4 20 9" xfId="55144"/>
    <cellStyle name="输入 2 4 21" xfId="9629"/>
    <cellStyle name="输入 2 4 21 10" xfId="55145"/>
    <cellStyle name="输入 2 4 21 11" xfId="55146"/>
    <cellStyle name="输入 2 4 21 12" xfId="55147"/>
    <cellStyle name="输入 2 4 21 2" xfId="9630"/>
    <cellStyle name="输入 2 4 21 2 2" xfId="55148"/>
    <cellStyle name="输入 2 4 21 3" xfId="55149"/>
    <cellStyle name="输入 2 4 21 4" xfId="55150"/>
    <cellStyle name="输入 2 4 21 5" xfId="55151"/>
    <cellStyle name="输入 2 4 21 6" xfId="55152"/>
    <cellStyle name="输入 2 4 21 7" xfId="55153"/>
    <cellStyle name="输入 2 4 21 8" xfId="55154"/>
    <cellStyle name="输入 2 4 21 9" xfId="55155"/>
    <cellStyle name="输入 2 4 22" xfId="9631"/>
    <cellStyle name="输入 2 4 22 10" xfId="55156"/>
    <cellStyle name="输入 2 4 22 11" xfId="55157"/>
    <cellStyle name="输入 2 4 22 12" xfId="55158"/>
    <cellStyle name="输入 2 4 22 2" xfId="9632"/>
    <cellStyle name="输入 2 4 22 2 2" xfId="55159"/>
    <cellStyle name="输入 2 4 22 3" xfId="55160"/>
    <cellStyle name="输入 2 4 22 4" xfId="55161"/>
    <cellStyle name="输入 2 4 22 5" xfId="55162"/>
    <cellStyle name="输入 2 4 22 6" xfId="55163"/>
    <cellStyle name="输入 2 4 22 7" xfId="55164"/>
    <cellStyle name="输入 2 4 22 8" xfId="55165"/>
    <cellStyle name="输入 2 4 22 9" xfId="55166"/>
    <cellStyle name="输入 2 4 23" xfId="9633"/>
    <cellStyle name="输入 2 4 23 10" xfId="55167"/>
    <cellStyle name="输入 2 4 23 11" xfId="55168"/>
    <cellStyle name="输入 2 4 23 12" xfId="55169"/>
    <cellStyle name="输入 2 4 23 2" xfId="9634"/>
    <cellStyle name="输入 2 4 23 2 2" xfId="55170"/>
    <cellStyle name="输入 2 4 23 3" xfId="55171"/>
    <cellStyle name="输入 2 4 23 4" xfId="55172"/>
    <cellStyle name="输入 2 4 23 5" xfId="55173"/>
    <cellStyle name="输入 2 4 23 6" xfId="55174"/>
    <cellStyle name="输入 2 4 23 7" xfId="55175"/>
    <cellStyle name="输入 2 4 23 8" xfId="55176"/>
    <cellStyle name="输入 2 4 23 9" xfId="55177"/>
    <cellStyle name="输入 2 4 24" xfId="9635"/>
    <cellStyle name="输入 2 4 24 10" xfId="55178"/>
    <cellStyle name="输入 2 4 24 11" xfId="55179"/>
    <cellStyle name="输入 2 4 24 12" xfId="55180"/>
    <cellStyle name="输入 2 4 24 2" xfId="9636"/>
    <cellStyle name="输入 2 4 24 2 2" xfId="55181"/>
    <cellStyle name="输入 2 4 24 3" xfId="55182"/>
    <cellStyle name="输入 2 4 24 4" xfId="55183"/>
    <cellStyle name="输入 2 4 24 5" xfId="55184"/>
    <cellStyle name="输入 2 4 24 6" xfId="55185"/>
    <cellStyle name="输入 2 4 24 7" xfId="55186"/>
    <cellStyle name="输入 2 4 24 8" xfId="55187"/>
    <cellStyle name="输入 2 4 24 9" xfId="55188"/>
    <cellStyle name="输入 2 4 25" xfId="9637"/>
    <cellStyle name="输入 2 4 25 10" xfId="55189"/>
    <cellStyle name="输入 2 4 25 11" xfId="55190"/>
    <cellStyle name="输入 2 4 25 12" xfId="55191"/>
    <cellStyle name="输入 2 4 25 2" xfId="9638"/>
    <cellStyle name="输入 2 4 25 2 2" xfId="55192"/>
    <cellStyle name="输入 2 4 25 3" xfId="55193"/>
    <cellStyle name="输入 2 4 25 4" xfId="55194"/>
    <cellStyle name="输入 2 4 25 5" xfId="55195"/>
    <cellStyle name="输入 2 4 25 6" xfId="55196"/>
    <cellStyle name="输入 2 4 25 7" xfId="55197"/>
    <cellStyle name="输入 2 4 25 8" xfId="55198"/>
    <cellStyle name="输入 2 4 25 9" xfId="55199"/>
    <cellStyle name="输入 2 4 26" xfId="9639"/>
    <cellStyle name="输入 2 4 26 10" xfId="55200"/>
    <cellStyle name="输入 2 4 26 11" xfId="55201"/>
    <cellStyle name="输入 2 4 26 12" xfId="55202"/>
    <cellStyle name="输入 2 4 26 2" xfId="9640"/>
    <cellStyle name="输入 2 4 26 2 2" xfId="55203"/>
    <cellStyle name="输入 2 4 26 3" xfId="55204"/>
    <cellStyle name="输入 2 4 26 4" xfId="55205"/>
    <cellStyle name="输入 2 4 26 5" xfId="55206"/>
    <cellStyle name="输入 2 4 26 6" xfId="55207"/>
    <cellStyle name="输入 2 4 26 7" xfId="55208"/>
    <cellStyle name="输入 2 4 26 8" xfId="55209"/>
    <cellStyle name="输入 2 4 26 9" xfId="55210"/>
    <cellStyle name="输入 2 4 27" xfId="9641"/>
    <cellStyle name="输入 2 4 27 10" xfId="55211"/>
    <cellStyle name="输入 2 4 27 11" xfId="55212"/>
    <cellStyle name="输入 2 4 27 12" xfId="55213"/>
    <cellStyle name="输入 2 4 27 2" xfId="9642"/>
    <cellStyle name="输入 2 4 27 2 2" xfId="55214"/>
    <cellStyle name="输入 2 4 27 3" xfId="55215"/>
    <cellStyle name="输入 2 4 27 4" xfId="55216"/>
    <cellStyle name="输入 2 4 27 5" xfId="55217"/>
    <cellStyle name="输入 2 4 27 6" xfId="55218"/>
    <cellStyle name="输入 2 4 27 7" xfId="55219"/>
    <cellStyle name="输入 2 4 27 8" xfId="55220"/>
    <cellStyle name="输入 2 4 27 9" xfId="55221"/>
    <cellStyle name="输入 2 4 28" xfId="9643"/>
    <cellStyle name="输入 2 4 28 10" xfId="55222"/>
    <cellStyle name="输入 2 4 28 11" xfId="55223"/>
    <cellStyle name="输入 2 4 28 12" xfId="55224"/>
    <cellStyle name="输入 2 4 28 2" xfId="9644"/>
    <cellStyle name="输入 2 4 28 2 2" xfId="55225"/>
    <cellStyle name="输入 2 4 28 3" xfId="55226"/>
    <cellStyle name="输入 2 4 28 4" xfId="55227"/>
    <cellStyle name="输入 2 4 28 5" xfId="55228"/>
    <cellStyle name="输入 2 4 28 6" xfId="55229"/>
    <cellStyle name="输入 2 4 28 7" xfId="55230"/>
    <cellStyle name="输入 2 4 28 8" xfId="55231"/>
    <cellStyle name="输入 2 4 28 9" xfId="55232"/>
    <cellStyle name="输入 2 4 29" xfId="9645"/>
    <cellStyle name="输入 2 4 29 10" xfId="55233"/>
    <cellStyle name="输入 2 4 29 11" xfId="55234"/>
    <cellStyle name="输入 2 4 29 12" xfId="55235"/>
    <cellStyle name="输入 2 4 29 2" xfId="9646"/>
    <cellStyle name="输入 2 4 29 2 2" xfId="55236"/>
    <cellStyle name="输入 2 4 29 3" xfId="55237"/>
    <cellStyle name="输入 2 4 29 4" xfId="55238"/>
    <cellStyle name="输入 2 4 29 5" xfId="55239"/>
    <cellStyle name="输入 2 4 29 6" xfId="55240"/>
    <cellStyle name="输入 2 4 29 7" xfId="55241"/>
    <cellStyle name="输入 2 4 29 8" xfId="55242"/>
    <cellStyle name="输入 2 4 29 9" xfId="55243"/>
    <cellStyle name="输入 2 4 3" xfId="3279"/>
    <cellStyle name="输入 2 4 3 10" xfId="55244"/>
    <cellStyle name="输入 2 4 3 11" xfId="55245"/>
    <cellStyle name="输入 2 4 3 12" xfId="55246"/>
    <cellStyle name="输入 2 4 3 2" xfId="3280"/>
    <cellStyle name="输入 2 4 3 2 2" xfId="13112"/>
    <cellStyle name="输入 2 4 3 2_YL Capex Cashflow &amp; Dep" xfId="13926"/>
    <cellStyle name="输入 2 4 3 3" xfId="12528"/>
    <cellStyle name="输入 2 4 3 4" xfId="55247"/>
    <cellStyle name="输入 2 4 3 5" xfId="55248"/>
    <cellStyle name="输入 2 4 3 6" xfId="55249"/>
    <cellStyle name="输入 2 4 3 7" xfId="55250"/>
    <cellStyle name="输入 2 4 3 8" xfId="55251"/>
    <cellStyle name="输入 2 4 3 9" xfId="55252"/>
    <cellStyle name="输入 2 4 3_YL Capex Cashflow &amp; Dep" xfId="13925"/>
    <cellStyle name="输入 2 4 30" xfId="9647"/>
    <cellStyle name="输入 2 4 30 10" xfId="55253"/>
    <cellStyle name="输入 2 4 30 11" xfId="55254"/>
    <cellStyle name="输入 2 4 30 2" xfId="9648"/>
    <cellStyle name="输入 2 4 30 2 2" xfId="55255"/>
    <cellStyle name="输入 2 4 30 3" xfId="55256"/>
    <cellStyle name="输入 2 4 30 4" xfId="55257"/>
    <cellStyle name="输入 2 4 30 5" xfId="55258"/>
    <cellStyle name="输入 2 4 30 6" xfId="55259"/>
    <cellStyle name="输入 2 4 30 7" xfId="55260"/>
    <cellStyle name="输入 2 4 30 8" xfId="55261"/>
    <cellStyle name="输入 2 4 30 9" xfId="55262"/>
    <cellStyle name="输入 2 4 31" xfId="9649"/>
    <cellStyle name="输入 2 4 31 10" xfId="55263"/>
    <cellStyle name="输入 2 4 31 11" xfId="55264"/>
    <cellStyle name="输入 2 4 31 12" xfId="55265"/>
    <cellStyle name="输入 2 4 31 2" xfId="9650"/>
    <cellStyle name="输入 2 4 31 2 2" xfId="55266"/>
    <cellStyle name="输入 2 4 31 3" xfId="55267"/>
    <cellStyle name="输入 2 4 31 4" xfId="55268"/>
    <cellStyle name="输入 2 4 31 5" xfId="55269"/>
    <cellStyle name="输入 2 4 31 6" xfId="55270"/>
    <cellStyle name="输入 2 4 31 7" xfId="55271"/>
    <cellStyle name="输入 2 4 31 8" xfId="55272"/>
    <cellStyle name="输入 2 4 31 9" xfId="55273"/>
    <cellStyle name="输入 2 4 32" xfId="9651"/>
    <cellStyle name="输入 2 4 32 10" xfId="55274"/>
    <cellStyle name="输入 2 4 32 11" xfId="55275"/>
    <cellStyle name="输入 2 4 32 12" xfId="55276"/>
    <cellStyle name="输入 2 4 32 2" xfId="9652"/>
    <cellStyle name="输入 2 4 32 2 2" xfId="55277"/>
    <cellStyle name="输入 2 4 32 3" xfId="55278"/>
    <cellStyle name="输入 2 4 32 4" xfId="55279"/>
    <cellStyle name="输入 2 4 32 5" xfId="55280"/>
    <cellStyle name="输入 2 4 32 6" xfId="55281"/>
    <cellStyle name="输入 2 4 32 7" xfId="55282"/>
    <cellStyle name="输入 2 4 32 8" xfId="55283"/>
    <cellStyle name="输入 2 4 32 9" xfId="55284"/>
    <cellStyle name="输入 2 4 33" xfId="9653"/>
    <cellStyle name="输入 2 4 33 10" xfId="55285"/>
    <cellStyle name="输入 2 4 33 11" xfId="55286"/>
    <cellStyle name="输入 2 4 33 12" xfId="55287"/>
    <cellStyle name="输入 2 4 33 2" xfId="9654"/>
    <cellStyle name="输入 2 4 33 2 2" xfId="55288"/>
    <cellStyle name="输入 2 4 33 3" xfId="55289"/>
    <cellStyle name="输入 2 4 33 4" xfId="55290"/>
    <cellStyle name="输入 2 4 33 5" xfId="55291"/>
    <cellStyle name="输入 2 4 33 6" xfId="55292"/>
    <cellStyle name="输入 2 4 33 7" xfId="55293"/>
    <cellStyle name="输入 2 4 33 8" xfId="55294"/>
    <cellStyle name="输入 2 4 33 9" xfId="55295"/>
    <cellStyle name="输入 2 4 34" xfId="9655"/>
    <cellStyle name="输入 2 4 34 10" xfId="55296"/>
    <cellStyle name="输入 2 4 34 11" xfId="55297"/>
    <cellStyle name="输入 2 4 34 12" xfId="55298"/>
    <cellStyle name="输入 2 4 34 2" xfId="9656"/>
    <cellStyle name="输入 2 4 34 2 2" xfId="55299"/>
    <cellStyle name="输入 2 4 34 3" xfId="55300"/>
    <cellStyle name="输入 2 4 34 4" xfId="55301"/>
    <cellStyle name="输入 2 4 34 5" xfId="55302"/>
    <cellStyle name="输入 2 4 34 6" xfId="55303"/>
    <cellStyle name="输入 2 4 34 7" xfId="55304"/>
    <cellStyle name="输入 2 4 34 8" xfId="55305"/>
    <cellStyle name="输入 2 4 34 9" xfId="55306"/>
    <cellStyle name="输入 2 4 35" xfId="9657"/>
    <cellStyle name="输入 2 4 35 10" xfId="55307"/>
    <cellStyle name="输入 2 4 35 11" xfId="55308"/>
    <cellStyle name="输入 2 4 35 2" xfId="9658"/>
    <cellStyle name="输入 2 4 35 2 2" xfId="55309"/>
    <cellStyle name="输入 2 4 35 3" xfId="55310"/>
    <cellStyle name="输入 2 4 35 4" xfId="55311"/>
    <cellStyle name="输入 2 4 35 5" xfId="55312"/>
    <cellStyle name="输入 2 4 35 6" xfId="55313"/>
    <cellStyle name="输入 2 4 35 7" xfId="55314"/>
    <cellStyle name="输入 2 4 35 8" xfId="55315"/>
    <cellStyle name="输入 2 4 35 9" xfId="55316"/>
    <cellStyle name="输入 2 4 36" xfId="9659"/>
    <cellStyle name="输入 2 4 36 10" xfId="55317"/>
    <cellStyle name="输入 2 4 36 11" xfId="55318"/>
    <cellStyle name="输入 2 4 36 12" xfId="55319"/>
    <cellStyle name="输入 2 4 36 2" xfId="9660"/>
    <cellStyle name="输入 2 4 36 2 2" xfId="55320"/>
    <cellStyle name="输入 2 4 36 3" xfId="55321"/>
    <cellStyle name="输入 2 4 36 4" xfId="55322"/>
    <cellStyle name="输入 2 4 36 5" xfId="55323"/>
    <cellStyle name="输入 2 4 36 6" xfId="55324"/>
    <cellStyle name="输入 2 4 36 7" xfId="55325"/>
    <cellStyle name="输入 2 4 36 8" xfId="55326"/>
    <cellStyle name="输入 2 4 36 9" xfId="55327"/>
    <cellStyle name="输入 2 4 37" xfId="9661"/>
    <cellStyle name="输入 2 4 37 10" xfId="55328"/>
    <cellStyle name="输入 2 4 37 11" xfId="55329"/>
    <cellStyle name="输入 2 4 37 12" xfId="55330"/>
    <cellStyle name="输入 2 4 37 2" xfId="9662"/>
    <cellStyle name="输入 2 4 37 2 2" xfId="55331"/>
    <cellStyle name="输入 2 4 37 3" xfId="55332"/>
    <cellStyle name="输入 2 4 37 4" xfId="55333"/>
    <cellStyle name="输入 2 4 37 5" xfId="55334"/>
    <cellStyle name="输入 2 4 37 6" xfId="55335"/>
    <cellStyle name="输入 2 4 37 7" xfId="55336"/>
    <cellStyle name="输入 2 4 37 8" xfId="55337"/>
    <cellStyle name="输入 2 4 37 9" xfId="55338"/>
    <cellStyle name="输入 2 4 38" xfId="9663"/>
    <cellStyle name="输入 2 4 38 10" xfId="55339"/>
    <cellStyle name="输入 2 4 38 11" xfId="55340"/>
    <cellStyle name="输入 2 4 38 12" xfId="55341"/>
    <cellStyle name="输入 2 4 38 2" xfId="9664"/>
    <cellStyle name="输入 2 4 38 2 2" xfId="55342"/>
    <cellStyle name="输入 2 4 38 3" xfId="55343"/>
    <cellStyle name="输入 2 4 38 4" xfId="55344"/>
    <cellStyle name="输入 2 4 38 5" xfId="55345"/>
    <cellStyle name="输入 2 4 38 6" xfId="55346"/>
    <cellStyle name="输入 2 4 38 7" xfId="55347"/>
    <cellStyle name="输入 2 4 38 8" xfId="55348"/>
    <cellStyle name="输入 2 4 38 9" xfId="55349"/>
    <cellStyle name="输入 2 4 39" xfId="9665"/>
    <cellStyle name="输入 2 4 39 10" xfId="55350"/>
    <cellStyle name="输入 2 4 39 11" xfId="55351"/>
    <cellStyle name="输入 2 4 39 12" xfId="55352"/>
    <cellStyle name="输入 2 4 39 2" xfId="9666"/>
    <cellStyle name="输入 2 4 39 2 2" xfId="55353"/>
    <cellStyle name="输入 2 4 39 3" xfId="55354"/>
    <cellStyle name="输入 2 4 39 4" xfId="55355"/>
    <cellStyle name="输入 2 4 39 5" xfId="55356"/>
    <cellStyle name="输入 2 4 39 6" xfId="55357"/>
    <cellStyle name="输入 2 4 39 7" xfId="55358"/>
    <cellStyle name="输入 2 4 39 8" xfId="55359"/>
    <cellStyle name="输入 2 4 39 9" xfId="55360"/>
    <cellStyle name="输入 2 4 4" xfId="9667"/>
    <cellStyle name="输入 2 4 4 10" xfId="55361"/>
    <cellStyle name="输入 2 4 4 11" xfId="55362"/>
    <cellStyle name="输入 2 4 4 12" xfId="55363"/>
    <cellStyle name="输入 2 4 4 2" xfId="9668"/>
    <cellStyle name="输入 2 4 4 2 2" xfId="55364"/>
    <cellStyle name="输入 2 4 4 3" xfId="55365"/>
    <cellStyle name="输入 2 4 4 4" xfId="55366"/>
    <cellStyle name="输入 2 4 4 5" xfId="55367"/>
    <cellStyle name="输入 2 4 4 6" xfId="55368"/>
    <cellStyle name="输入 2 4 4 7" xfId="55369"/>
    <cellStyle name="输入 2 4 4 8" xfId="55370"/>
    <cellStyle name="输入 2 4 4 9" xfId="55371"/>
    <cellStyle name="输入 2 4 40" xfId="9669"/>
    <cellStyle name="输入 2 4 40 10" xfId="55372"/>
    <cellStyle name="输入 2 4 40 11" xfId="55373"/>
    <cellStyle name="输入 2 4 40 12" xfId="55374"/>
    <cellStyle name="输入 2 4 40 2" xfId="9670"/>
    <cellStyle name="输入 2 4 40 2 2" xfId="55375"/>
    <cellStyle name="输入 2 4 40 3" xfId="55376"/>
    <cellStyle name="输入 2 4 40 4" xfId="55377"/>
    <cellStyle name="输入 2 4 40 5" xfId="55378"/>
    <cellStyle name="输入 2 4 40 6" xfId="55379"/>
    <cellStyle name="输入 2 4 40 7" xfId="55380"/>
    <cellStyle name="输入 2 4 40 8" xfId="55381"/>
    <cellStyle name="输入 2 4 40 9" xfId="55382"/>
    <cellStyle name="输入 2 4 41" xfId="9671"/>
    <cellStyle name="输入 2 4 41 10" xfId="55383"/>
    <cellStyle name="输入 2 4 41 11" xfId="55384"/>
    <cellStyle name="输入 2 4 41 12" xfId="55385"/>
    <cellStyle name="输入 2 4 41 2" xfId="9672"/>
    <cellStyle name="输入 2 4 41 2 2" xfId="55386"/>
    <cellStyle name="输入 2 4 41 3" xfId="55387"/>
    <cellStyle name="输入 2 4 41 4" xfId="55388"/>
    <cellStyle name="输入 2 4 41 5" xfId="55389"/>
    <cellStyle name="输入 2 4 41 6" xfId="55390"/>
    <cellStyle name="输入 2 4 41 7" xfId="55391"/>
    <cellStyle name="输入 2 4 41 8" xfId="55392"/>
    <cellStyle name="输入 2 4 41 9" xfId="55393"/>
    <cellStyle name="输入 2 4 42" xfId="9673"/>
    <cellStyle name="输入 2 4 42 10" xfId="55394"/>
    <cellStyle name="输入 2 4 42 11" xfId="55395"/>
    <cellStyle name="输入 2 4 42 12" xfId="55396"/>
    <cellStyle name="输入 2 4 42 2" xfId="9674"/>
    <cellStyle name="输入 2 4 42 2 2" xfId="55397"/>
    <cellStyle name="输入 2 4 42 3" xfId="55398"/>
    <cellStyle name="输入 2 4 42 4" xfId="55399"/>
    <cellStyle name="输入 2 4 42 5" xfId="55400"/>
    <cellStyle name="输入 2 4 42 6" xfId="55401"/>
    <cellStyle name="输入 2 4 42 7" xfId="55402"/>
    <cellStyle name="输入 2 4 42 8" xfId="55403"/>
    <cellStyle name="输入 2 4 42 9" xfId="55404"/>
    <cellStyle name="输入 2 4 43" xfId="9675"/>
    <cellStyle name="输入 2 4 43 10" xfId="55405"/>
    <cellStyle name="输入 2 4 43 11" xfId="55406"/>
    <cellStyle name="输入 2 4 43 12" xfId="55407"/>
    <cellStyle name="输入 2 4 43 2" xfId="9676"/>
    <cellStyle name="输入 2 4 43 2 2" xfId="55408"/>
    <cellStyle name="输入 2 4 43 3" xfId="55409"/>
    <cellStyle name="输入 2 4 43 4" xfId="55410"/>
    <cellStyle name="输入 2 4 43 5" xfId="55411"/>
    <cellStyle name="输入 2 4 43 6" xfId="55412"/>
    <cellStyle name="输入 2 4 43 7" xfId="55413"/>
    <cellStyle name="输入 2 4 43 8" xfId="55414"/>
    <cellStyle name="输入 2 4 43 9" xfId="55415"/>
    <cellStyle name="输入 2 4 44" xfId="9677"/>
    <cellStyle name="输入 2 4 44 10" xfId="55416"/>
    <cellStyle name="输入 2 4 44 11" xfId="55417"/>
    <cellStyle name="输入 2 4 44 12" xfId="55418"/>
    <cellStyle name="输入 2 4 44 2" xfId="9678"/>
    <cellStyle name="输入 2 4 44 2 2" xfId="55419"/>
    <cellStyle name="输入 2 4 44 3" xfId="55420"/>
    <cellStyle name="输入 2 4 44 4" xfId="55421"/>
    <cellStyle name="输入 2 4 44 5" xfId="55422"/>
    <cellStyle name="输入 2 4 44 6" xfId="55423"/>
    <cellStyle name="输入 2 4 44 7" xfId="55424"/>
    <cellStyle name="输入 2 4 44 8" xfId="55425"/>
    <cellStyle name="输入 2 4 44 9" xfId="55426"/>
    <cellStyle name="输入 2 4 45" xfId="9679"/>
    <cellStyle name="输入 2 4 45 10" xfId="55427"/>
    <cellStyle name="输入 2 4 45 11" xfId="55428"/>
    <cellStyle name="输入 2 4 45 12" xfId="55429"/>
    <cellStyle name="输入 2 4 45 2" xfId="9680"/>
    <cellStyle name="输入 2 4 45 2 2" xfId="55430"/>
    <cellStyle name="输入 2 4 45 3" xfId="55431"/>
    <cellStyle name="输入 2 4 45 4" xfId="55432"/>
    <cellStyle name="输入 2 4 45 5" xfId="55433"/>
    <cellStyle name="输入 2 4 45 6" xfId="55434"/>
    <cellStyle name="输入 2 4 45 7" xfId="55435"/>
    <cellStyle name="输入 2 4 45 8" xfId="55436"/>
    <cellStyle name="输入 2 4 45 9" xfId="55437"/>
    <cellStyle name="输入 2 4 46" xfId="9681"/>
    <cellStyle name="输入 2 4 46 10" xfId="55438"/>
    <cellStyle name="输入 2 4 46 11" xfId="55439"/>
    <cellStyle name="输入 2 4 46 12" xfId="55440"/>
    <cellStyle name="输入 2 4 46 2" xfId="9682"/>
    <cellStyle name="输入 2 4 46 2 2" xfId="55441"/>
    <cellStyle name="输入 2 4 46 3" xfId="55442"/>
    <cellStyle name="输入 2 4 46 4" xfId="55443"/>
    <cellStyle name="输入 2 4 46 5" xfId="55444"/>
    <cellStyle name="输入 2 4 46 6" xfId="55445"/>
    <cellStyle name="输入 2 4 46 7" xfId="55446"/>
    <cellStyle name="输入 2 4 46 8" xfId="55447"/>
    <cellStyle name="输入 2 4 46 9" xfId="55448"/>
    <cellStyle name="输入 2 4 47" xfId="9683"/>
    <cellStyle name="输入 2 4 47 10" xfId="55449"/>
    <cellStyle name="输入 2 4 47 11" xfId="55450"/>
    <cellStyle name="输入 2 4 47 12" xfId="55451"/>
    <cellStyle name="输入 2 4 47 2" xfId="9684"/>
    <cellStyle name="输入 2 4 47 2 2" xfId="55452"/>
    <cellStyle name="输入 2 4 47 3" xfId="55453"/>
    <cellStyle name="输入 2 4 47 4" xfId="55454"/>
    <cellStyle name="输入 2 4 47 5" xfId="55455"/>
    <cellStyle name="输入 2 4 47 6" xfId="55456"/>
    <cellStyle name="输入 2 4 47 7" xfId="55457"/>
    <cellStyle name="输入 2 4 47 8" xfId="55458"/>
    <cellStyle name="输入 2 4 47 9" xfId="55459"/>
    <cellStyle name="输入 2 4 48" xfId="9685"/>
    <cellStyle name="输入 2 4 48 10" xfId="55460"/>
    <cellStyle name="输入 2 4 48 11" xfId="55461"/>
    <cellStyle name="输入 2 4 48 12" xfId="55462"/>
    <cellStyle name="输入 2 4 48 2" xfId="9686"/>
    <cellStyle name="输入 2 4 48 2 2" xfId="55463"/>
    <cellStyle name="输入 2 4 48 3" xfId="55464"/>
    <cellStyle name="输入 2 4 48 4" xfId="55465"/>
    <cellStyle name="输入 2 4 48 5" xfId="55466"/>
    <cellStyle name="输入 2 4 48 6" xfId="55467"/>
    <cellStyle name="输入 2 4 48 7" xfId="55468"/>
    <cellStyle name="输入 2 4 48 8" xfId="55469"/>
    <cellStyle name="输入 2 4 48 9" xfId="55470"/>
    <cellStyle name="输入 2 4 49" xfId="9687"/>
    <cellStyle name="输入 2 4 49 10" xfId="55471"/>
    <cellStyle name="输入 2 4 49 11" xfId="55472"/>
    <cellStyle name="输入 2 4 49 12" xfId="55473"/>
    <cellStyle name="输入 2 4 49 2" xfId="9688"/>
    <cellStyle name="输入 2 4 49 2 2" xfId="55474"/>
    <cellStyle name="输入 2 4 49 3" xfId="55475"/>
    <cellStyle name="输入 2 4 49 4" xfId="55476"/>
    <cellStyle name="输入 2 4 49 5" xfId="55477"/>
    <cellStyle name="输入 2 4 49 6" xfId="55478"/>
    <cellStyle name="输入 2 4 49 7" xfId="55479"/>
    <cellStyle name="输入 2 4 49 8" xfId="55480"/>
    <cellStyle name="输入 2 4 49 9" xfId="55481"/>
    <cellStyle name="输入 2 4 5" xfId="9689"/>
    <cellStyle name="输入 2 4 5 10" xfId="55482"/>
    <cellStyle name="输入 2 4 5 11" xfId="55483"/>
    <cellStyle name="输入 2 4 5 2" xfId="9690"/>
    <cellStyle name="输入 2 4 5 2 2" xfId="55484"/>
    <cellStyle name="输入 2 4 5 3" xfId="55485"/>
    <cellStyle name="输入 2 4 5 4" xfId="55486"/>
    <cellStyle name="输入 2 4 5 5" xfId="55487"/>
    <cellStyle name="输入 2 4 5 6" xfId="55488"/>
    <cellStyle name="输入 2 4 5 7" xfId="55489"/>
    <cellStyle name="输入 2 4 5 8" xfId="55490"/>
    <cellStyle name="输入 2 4 5 9" xfId="55491"/>
    <cellStyle name="输入 2 4 50" xfId="9691"/>
    <cellStyle name="输入 2 4 50 10" xfId="55492"/>
    <cellStyle name="输入 2 4 50 11" xfId="55493"/>
    <cellStyle name="输入 2 4 50 12" xfId="55494"/>
    <cellStyle name="输入 2 4 50 2" xfId="9692"/>
    <cellStyle name="输入 2 4 50 2 2" xfId="55495"/>
    <cellStyle name="输入 2 4 50 3" xfId="55496"/>
    <cellStyle name="输入 2 4 50 4" xfId="55497"/>
    <cellStyle name="输入 2 4 50 5" xfId="55498"/>
    <cellStyle name="输入 2 4 50 6" xfId="55499"/>
    <cellStyle name="输入 2 4 50 7" xfId="55500"/>
    <cellStyle name="输入 2 4 50 8" xfId="55501"/>
    <cellStyle name="输入 2 4 50 9" xfId="55502"/>
    <cellStyle name="输入 2 4 51" xfId="9693"/>
    <cellStyle name="输入 2 4 51 10" xfId="55503"/>
    <cellStyle name="输入 2 4 51 11" xfId="55504"/>
    <cellStyle name="输入 2 4 51 12" xfId="55505"/>
    <cellStyle name="输入 2 4 51 2" xfId="9694"/>
    <cellStyle name="输入 2 4 51 2 2" xfId="55506"/>
    <cellStyle name="输入 2 4 51 3" xfId="55507"/>
    <cellStyle name="输入 2 4 51 4" xfId="55508"/>
    <cellStyle name="输入 2 4 51 5" xfId="55509"/>
    <cellStyle name="输入 2 4 51 6" xfId="55510"/>
    <cellStyle name="输入 2 4 51 7" xfId="55511"/>
    <cellStyle name="输入 2 4 51 8" xfId="55512"/>
    <cellStyle name="输入 2 4 51 9" xfId="55513"/>
    <cellStyle name="输入 2 4 52" xfId="9695"/>
    <cellStyle name="输入 2 4 52 10" xfId="55514"/>
    <cellStyle name="输入 2 4 52 11" xfId="55515"/>
    <cellStyle name="输入 2 4 52 12" xfId="55516"/>
    <cellStyle name="输入 2 4 52 2" xfId="9696"/>
    <cellStyle name="输入 2 4 52 2 2" xfId="55517"/>
    <cellStyle name="输入 2 4 52 3" xfId="55518"/>
    <cellStyle name="输入 2 4 52 4" xfId="55519"/>
    <cellStyle name="输入 2 4 52 5" xfId="55520"/>
    <cellStyle name="输入 2 4 52 6" xfId="55521"/>
    <cellStyle name="输入 2 4 52 7" xfId="55522"/>
    <cellStyle name="输入 2 4 52 8" xfId="55523"/>
    <cellStyle name="输入 2 4 52 9" xfId="55524"/>
    <cellStyle name="输入 2 4 53" xfId="9697"/>
    <cellStyle name="输入 2 4 53 10" xfId="55525"/>
    <cellStyle name="输入 2 4 53 11" xfId="55526"/>
    <cellStyle name="输入 2 4 53 12" xfId="55527"/>
    <cellStyle name="输入 2 4 53 2" xfId="9698"/>
    <cellStyle name="输入 2 4 53 2 2" xfId="55528"/>
    <cellStyle name="输入 2 4 53 3" xfId="55529"/>
    <cellStyle name="输入 2 4 53 4" xfId="55530"/>
    <cellStyle name="输入 2 4 53 5" xfId="55531"/>
    <cellStyle name="输入 2 4 53 6" xfId="55532"/>
    <cellStyle name="输入 2 4 53 7" xfId="55533"/>
    <cellStyle name="输入 2 4 53 8" xfId="55534"/>
    <cellStyle name="输入 2 4 53 9" xfId="55535"/>
    <cellStyle name="输入 2 4 54" xfId="9699"/>
    <cellStyle name="输入 2 4 54 10" xfId="55536"/>
    <cellStyle name="输入 2 4 54 11" xfId="55537"/>
    <cellStyle name="输入 2 4 54 2" xfId="9700"/>
    <cellStyle name="输入 2 4 54 2 2" xfId="55538"/>
    <cellStyle name="输入 2 4 54 3" xfId="55539"/>
    <cellStyle name="输入 2 4 54 4" xfId="55540"/>
    <cellStyle name="输入 2 4 54 5" xfId="55541"/>
    <cellStyle name="输入 2 4 54 6" xfId="55542"/>
    <cellStyle name="输入 2 4 54 7" xfId="55543"/>
    <cellStyle name="输入 2 4 54 8" xfId="55544"/>
    <cellStyle name="输入 2 4 54 9" xfId="55545"/>
    <cellStyle name="输入 2 4 55" xfId="9701"/>
    <cellStyle name="输入 2 4 55 10" xfId="55546"/>
    <cellStyle name="输入 2 4 55 11" xfId="55547"/>
    <cellStyle name="输入 2 4 55 12" xfId="55548"/>
    <cellStyle name="输入 2 4 55 2" xfId="9702"/>
    <cellStyle name="输入 2 4 55 2 2" xfId="55549"/>
    <cellStyle name="输入 2 4 55 3" xfId="55550"/>
    <cellStyle name="输入 2 4 55 4" xfId="55551"/>
    <cellStyle name="输入 2 4 55 5" xfId="55552"/>
    <cellStyle name="输入 2 4 55 6" xfId="55553"/>
    <cellStyle name="输入 2 4 55 7" xfId="55554"/>
    <cellStyle name="输入 2 4 55 8" xfId="55555"/>
    <cellStyle name="输入 2 4 55 9" xfId="55556"/>
    <cellStyle name="输入 2 4 56" xfId="9703"/>
    <cellStyle name="输入 2 4 56 10" xfId="55557"/>
    <cellStyle name="输入 2 4 56 11" xfId="55558"/>
    <cellStyle name="输入 2 4 56 12" xfId="55559"/>
    <cellStyle name="输入 2 4 56 2" xfId="9704"/>
    <cellStyle name="输入 2 4 56 2 2" xfId="55560"/>
    <cellStyle name="输入 2 4 56 3" xfId="55561"/>
    <cellStyle name="输入 2 4 56 4" xfId="55562"/>
    <cellStyle name="输入 2 4 56 5" xfId="55563"/>
    <cellStyle name="输入 2 4 56 6" xfId="55564"/>
    <cellStyle name="输入 2 4 56 7" xfId="55565"/>
    <cellStyle name="输入 2 4 56 8" xfId="55566"/>
    <cellStyle name="输入 2 4 56 9" xfId="55567"/>
    <cellStyle name="输入 2 4 57" xfId="9705"/>
    <cellStyle name="输入 2 4 57 10" xfId="55568"/>
    <cellStyle name="输入 2 4 57 11" xfId="55569"/>
    <cellStyle name="输入 2 4 57 12" xfId="55570"/>
    <cellStyle name="输入 2 4 57 2" xfId="9706"/>
    <cellStyle name="输入 2 4 57 2 2" xfId="55571"/>
    <cellStyle name="输入 2 4 57 3" xfId="55572"/>
    <cellStyle name="输入 2 4 57 4" xfId="55573"/>
    <cellStyle name="输入 2 4 57 5" xfId="55574"/>
    <cellStyle name="输入 2 4 57 6" xfId="55575"/>
    <cellStyle name="输入 2 4 57 7" xfId="55576"/>
    <cellStyle name="输入 2 4 57 8" xfId="55577"/>
    <cellStyle name="输入 2 4 57 9" xfId="55578"/>
    <cellStyle name="输入 2 4 58" xfId="9707"/>
    <cellStyle name="输入 2 4 58 10" xfId="55579"/>
    <cellStyle name="输入 2 4 58 11" xfId="55580"/>
    <cellStyle name="输入 2 4 58 12" xfId="55581"/>
    <cellStyle name="输入 2 4 58 2" xfId="9708"/>
    <cellStyle name="输入 2 4 58 2 2" xfId="55582"/>
    <cellStyle name="输入 2 4 58 3" xfId="55583"/>
    <cellStyle name="输入 2 4 58 4" xfId="55584"/>
    <cellStyle name="输入 2 4 58 5" xfId="55585"/>
    <cellStyle name="输入 2 4 58 6" xfId="55586"/>
    <cellStyle name="输入 2 4 58 7" xfId="55587"/>
    <cellStyle name="输入 2 4 58 8" xfId="55588"/>
    <cellStyle name="输入 2 4 58 9" xfId="55589"/>
    <cellStyle name="输入 2 4 59" xfId="9709"/>
    <cellStyle name="输入 2 4 59 10" xfId="55590"/>
    <cellStyle name="输入 2 4 59 11" xfId="55591"/>
    <cellStyle name="输入 2 4 59 2" xfId="9710"/>
    <cellStyle name="输入 2 4 59 2 2" xfId="55592"/>
    <cellStyle name="输入 2 4 59 3" xfId="55593"/>
    <cellStyle name="输入 2 4 59 4" xfId="55594"/>
    <cellStyle name="输入 2 4 59 5" xfId="55595"/>
    <cellStyle name="输入 2 4 59 6" xfId="55596"/>
    <cellStyle name="输入 2 4 59 7" xfId="55597"/>
    <cellStyle name="输入 2 4 59 8" xfId="55598"/>
    <cellStyle name="输入 2 4 59 9" xfId="55599"/>
    <cellStyle name="输入 2 4 6" xfId="9711"/>
    <cellStyle name="输入 2 4 6 10" xfId="55600"/>
    <cellStyle name="输入 2 4 6 11" xfId="55601"/>
    <cellStyle name="输入 2 4 6 2" xfId="9712"/>
    <cellStyle name="输入 2 4 6 2 2" xfId="55602"/>
    <cellStyle name="输入 2 4 6 3" xfId="55603"/>
    <cellStyle name="输入 2 4 6 4" xfId="55604"/>
    <cellStyle name="输入 2 4 6 5" xfId="55605"/>
    <cellStyle name="输入 2 4 6 6" xfId="55606"/>
    <cellStyle name="输入 2 4 6 7" xfId="55607"/>
    <cellStyle name="输入 2 4 6 8" xfId="55608"/>
    <cellStyle name="输入 2 4 6 9" xfId="55609"/>
    <cellStyle name="输入 2 4 60" xfId="9713"/>
    <cellStyle name="输入 2 4 60 10" xfId="55610"/>
    <cellStyle name="输入 2 4 60 11" xfId="55611"/>
    <cellStyle name="输入 2 4 60 12" xfId="55612"/>
    <cellStyle name="输入 2 4 60 2" xfId="9714"/>
    <cellStyle name="输入 2 4 60 2 2" xfId="55613"/>
    <cellStyle name="输入 2 4 60 3" xfId="55614"/>
    <cellStyle name="输入 2 4 60 4" xfId="55615"/>
    <cellStyle name="输入 2 4 60 5" xfId="55616"/>
    <cellStyle name="输入 2 4 60 6" xfId="55617"/>
    <cellStyle name="输入 2 4 60 7" xfId="55618"/>
    <cellStyle name="输入 2 4 60 8" xfId="55619"/>
    <cellStyle name="输入 2 4 60 9" xfId="55620"/>
    <cellStyle name="输入 2 4 61" xfId="9715"/>
    <cellStyle name="输入 2 4 61 10" xfId="55621"/>
    <cellStyle name="输入 2 4 61 11" xfId="55622"/>
    <cellStyle name="输入 2 4 61 12" xfId="55623"/>
    <cellStyle name="输入 2 4 61 2" xfId="9716"/>
    <cellStyle name="输入 2 4 61 2 2" xfId="55624"/>
    <cellStyle name="输入 2 4 61 3" xfId="55625"/>
    <cellStyle name="输入 2 4 61 4" xfId="55626"/>
    <cellStyle name="输入 2 4 61 5" xfId="55627"/>
    <cellStyle name="输入 2 4 61 6" xfId="55628"/>
    <cellStyle name="输入 2 4 61 7" xfId="55629"/>
    <cellStyle name="输入 2 4 61 8" xfId="55630"/>
    <cellStyle name="输入 2 4 61 9" xfId="55631"/>
    <cellStyle name="输入 2 4 62" xfId="9717"/>
    <cellStyle name="输入 2 4 62 10" xfId="55632"/>
    <cellStyle name="输入 2 4 62 11" xfId="55633"/>
    <cellStyle name="输入 2 4 62 12" xfId="55634"/>
    <cellStyle name="输入 2 4 62 2" xfId="9718"/>
    <cellStyle name="输入 2 4 62 2 2" xfId="55635"/>
    <cellStyle name="输入 2 4 62 3" xfId="55636"/>
    <cellStyle name="输入 2 4 62 4" xfId="55637"/>
    <cellStyle name="输入 2 4 62 5" xfId="55638"/>
    <cellStyle name="输入 2 4 62 6" xfId="55639"/>
    <cellStyle name="输入 2 4 62 7" xfId="55640"/>
    <cellStyle name="输入 2 4 62 8" xfId="55641"/>
    <cellStyle name="输入 2 4 62 9" xfId="55642"/>
    <cellStyle name="输入 2 4 63" xfId="9719"/>
    <cellStyle name="输入 2 4 63 10" xfId="55643"/>
    <cellStyle name="输入 2 4 63 11" xfId="55644"/>
    <cellStyle name="输入 2 4 63 12" xfId="55645"/>
    <cellStyle name="输入 2 4 63 2" xfId="9720"/>
    <cellStyle name="输入 2 4 63 2 2" xfId="55646"/>
    <cellStyle name="输入 2 4 63 3" xfId="55647"/>
    <cellStyle name="输入 2 4 63 4" xfId="55648"/>
    <cellStyle name="输入 2 4 63 5" xfId="55649"/>
    <cellStyle name="输入 2 4 63 6" xfId="55650"/>
    <cellStyle name="输入 2 4 63 7" xfId="55651"/>
    <cellStyle name="输入 2 4 63 8" xfId="55652"/>
    <cellStyle name="输入 2 4 63 9" xfId="55653"/>
    <cellStyle name="输入 2 4 64" xfId="9721"/>
    <cellStyle name="输入 2 4 64 10" xfId="55654"/>
    <cellStyle name="输入 2 4 64 11" xfId="55655"/>
    <cellStyle name="输入 2 4 64 12" xfId="55656"/>
    <cellStyle name="输入 2 4 64 2" xfId="9722"/>
    <cellStyle name="输入 2 4 64 2 2" xfId="55657"/>
    <cellStyle name="输入 2 4 64 3" xfId="55658"/>
    <cellStyle name="输入 2 4 64 4" xfId="55659"/>
    <cellStyle name="输入 2 4 64 5" xfId="55660"/>
    <cellStyle name="输入 2 4 64 6" xfId="55661"/>
    <cellStyle name="输入 2 4 64 7" xfId="55662"/>
    <cellStyle name="输入 2 4 64 8" xfId="55663"/>
    <cellStyle name="输入 2 4 64 9" xfId="55664"/>
    <cellStyle name="输入 2 4 65" xfId="9723"/>
    <cellStyle name="输入 2 4 65 10" xfId="55665"/>
    <cellStyle name="输入 2 4 65 11" xfId="55666"/>
    <cellStyle name="输入 2 4 65 12" xfId="55667"/>
    <cellStyle name="输入 2 4 65 2" xfId="9724"/>
    <cellStyle name="输入 2 4 65 2 2" xfId="55668"/>
    <cellStyle name="输入 2 4 65 3" xfId="55669"/>
    <cellStyle name="输入 2 4 65 4" xfId="55670"/>
    <cellStyle name="输入 2 4 65 5" xfId="55671"/>
    <cellStyle name="输入 2 4 65 6" xfId="55672"/>
    <cellStyle name="输入 2 4 65 7" xfId="55673"/>
    <cellStyle name="输入 2 4 65 8" xfId="55674"/>
    <cellStyle name="输入 2 4 65 9" xfId="55675"/>
    <cellStyle name="输入 2 4 66" xfId="9725"/>
    <cellStyle name="输入 2 4 66 10" xfId="55676"/>
    <cellStyle name="输入 2 4 66 11" xfId="55677"/>
    <cellStyle name="输入 2 4 66 12" xfId="55678"/>
    <cellStyle name="输入 2 4 66 2" xfId="9726"/>
    <cellStyle name="输入 2 4 66 2 2" xfId="55679"/>
    <cellStyle name="输入 2 4 66 3" xfId="55680"/>
    <cellStyle name="输入 2 4 66 4" xfId="55681"/>
    <cellStyle name="输入 2 4 66 5" xfId="55682"/>
    <cellStyle name="输入 2 4 66 6" xfId="55683"/>
    <cellStyle name="输入 2 4 66 7" xfId="55684"/>
    <cellStyle name="输入 2 4 66 8" xfId="55685"/>
    <cellStyle name="输入 2 4 66 9" xfId="55686"/>
    <cellStyle name="输入 2 4 67" xfId="9727"/>
    <cellStyle name="输入 2 4 67 10" xfId="55687"/>
    <cellStyle name="输入 2 4 67 11" xfId="55688"/>
    <cellStyle name="输入 2 4 67 12" xfId="55689"/>
    <cellStyle name="输入 2 4 67 2" xfId="9728"/>
    <cellStyle name="输入 2 4 67 2 2" xfId="55690"/>
    <cellStyle name="输入 2 4 67 3" xfId="55691"/>
    <cellStyle name="输入 2 4 67 4" xfId="55692"/>
    <cellStyle name="输入 2 4 67 5" xfId="55693"/>
    <cellStyle name="输入 2 4 67 6" xfId="55694"/>
    <cellStyle name="输入 2 4 67 7" xfId="55695"/>
    <cellStyle name="输入 2 4 67 8" xfId="55696"/>
    <cellStyle name="输入 2 4 67 9" xfId="55697"/>
    <cellStyle name="输入 2 4 68" xfId="9729"/>
    <cellStyle name="输入 2 4 68 10" xfId="55698"/>
    <cellStyle name="输入 2 4 68 11" xfId="55699"/>
    <cellStyle name="输入 2 4 68 12" xfId="55700"/>
    <cellStyle name="输入 2 4 68 2" xfId="9730"/>
    <cellStyle name="输入 2 4 68 2 2" xfId="55701"/>
    <cellStyle name="输入 2 4 68 3" xfId="55702"/>
    <cellStyle name="输入 2 4 68 4" xfId="55703"/>
    <cellStyle name="输入 2 4 68 5" xfId="55704"/>
    <cellStyle name="输入 2 4 68 6" xfId="55705"/>
    <cellStyle name="输入 2 4 68 7" xfId="55706"/>
    <cellStyle name="输入 2 4 68 8" xfId="55707"/>
    <cellStyle name="输入 2 4 68 9" xfId="55708"/>
    <cellStyle name="输入 2 4 69" xfId="9731"/>
    <cellStyle name="输入 2 4 69 10" xfId="55709"/>
    <cellStyle name="输入 2 4 69 11" xfId="55710"/>
    <cellStyle name="输入 2 4 69 12" xfId="55711"/>
    <cellStyle name="输入 2 4 69 2" xfId="9732"/>
    <cellStyle name="输入 2 4 69 2 2" xfId="55712"/>
    <cellStyle name="输入 2 4 69 3" xfId="55713"/>
    <cellStyle name="输入 2 4 69 4" xfId="55714"/>
    <cellStyle name="输入 2 4 69 5" xfId="55715"/>
    <cellStyle name="输入 2 4 69 6" xfId="55716"/>
    <cellStyle name="输入 2 4 69 7" xfId="55717"/>
    <cellStyle name="输入 2 4 69 8" xfId="55718"/>
    <cellStyle name="输入 2 4 69 9" xfId="55719"/>
    <cellStyle name="输入 2 4 7" xfId="9733"/>
    <cellStyle name="输入 2 4 7 10" xfId="55720"/>
    <cellStyle name="输入 2 4 7 11" xfId="55721"/>
    <cellStyle name="输入 2 4 7 2" xfId="9734"/>
    <cellStyle name="输入 2 4 7 2 2" xfId="55722"/>
    <cellStyle name="输入 2 4 7 3" xfId="55723"/>
    <cellStyle name="输入 2 4 7 4" xfId="55724"/>
    <cellStyle name="输入 2 4 7 5" xfId="55725"/>
    <cellStyle name="输入 2 4 7 6" xfId="55726"/>
    <cellStyle name="输入 2 4 7 7" xfId="55727"/>
    <cellStyle name="输入 2 4 7 8" xfId="55728"/>
    <cellStyle name="输入 2 4 7 9" xfId="55729"/>
    <cellStyle name="输入 2 4 70" xfId="9735"/>
    <cellStyle name="输入 2 4 70 10" xfId="55730"/>
    <cellStyle name="输入 2 4 70 11" xfId="55731"/>
    <cellStyle name="输入 2 4 70 12" xfId="55732"/>
    <cellStyle name="输入 2 4 70 2" xfId="9736"/>
    <cellStyle name="输入 2 4 70 2 2" xfId="55733"/>
    <cellStyle name="输入 2 4 70 3" xfId="55734"/>
    <cellStyle name="输入 2 4 70 4" xfId="55735"/>
    <cellStyle name="输入 2 4 70 5" xfId="55736"/>
    <cellStyle name="输入 2 4 70 6" xfId="55737"/>
    <cellStyle name="输入 2 4 70 7" xfId="55738"/>
    <cellStyle name="输入 2 4 70 8" xfId="55739"/>
    <cellStyle name="输入 2 4 70 9" xfId="55740"/>
    <cellStyle name="输入 2 4 71" xfId="9737"/>
    <cellStyle name="输入 2 4 71 10" xfId="55741"/>
    <cellStyle name="输入 2 4 71 11" xfId="55742"/>
    <cellStyle name="输入 2 4 71 12" xfId="55743"/>
    <cellStyle name="输入 2 4 71 2" xfId="9738"/>
    <cellStyle name="输入 2 4 71 2 2" xfId="55744"/>
    <cellStyle name="输入 2 4 71 3" xfId="55745"/>
    <cellStyle name="输入 2 4 71 4" xfId="55746"/>
    <cellStyle name="输入 2 4 71 5" xfId="55747"/>
    <cellStyle name="输入 2 4 71 6" xfId="55748"/>
    <cellStyle name="输入 2 4 71 7" xfId="55749"/>
    <cellStyle name="输入 2 4 71 8" xfId="55750"/>
    <cellStyle name="输入 2 4 71 9" xfId="55751"/>
    <cellStyle name="输入 2 4 72" xfId="9739"/>
    <cellStyle name="输入 2 4 72 10" xfId="55752"/>
    <cellStyle name="输入 2 4 72 11" xfId="55753"/>
    <cellStyle name="输入 2 4 72 12" xfId="55754"/>
    <cellStyle name="输入 2 4 72 2" xfId="9740"/>
    <cellStyle name="输入 2 4 72 2 2" xfId="55755"/>
    <cellStyle name="输入 2 4 72 3" xfId="55756"/>
    <cellStyle name="输入 2 4 72 4" xfId="55757"/>
    <cellStyle name="输入 2 4 72 5" xfId="55758"/>
    <cellStyle name="输入 2 4 72 6" xfId="55759"/>
    <cellStyle name="输入 2 4 72 7" xfId="55760"/>
    <cellStyle name="输入 2 4 72 8" xfId="55761"/>
    <cellStyle name="输入 2 4 72 9" xfId="55762"/>
    <cellStyle name="输入 2 4 73" xfId="9741"/>
    <cellStyle name="输入 2 4 73 10" xfId="55763"/>
    <cellStyle name="输入 2 4 73 11" xfId="55764"/>
    <cellStyle name="输入 2 4 73 12" xfId="55765"/>
    <cellStyle name="输入 2 4 73 2" xfId="9742"/>
    <cellStyle name="输入 2 4 73 2 2" xfId="55766"/>
    <cellStyle name="输入 2 4 73 3" xfId="55767"/>
    <cellStyle name="输入 2 4 73 4" xfId="55768"/>
    <cellStyle name="输入 2 4 73 5" xfId="55769"/>
    <cellStyle name="输入 2 4 73 6" xfId="55770"/>
    <cellStyle name="输入 2 4 73 7" xfId="55771"/>
    <cellStyle name="输入 2 4 73 8" xfId="55772"/>
    <cellStyle name="输入 2 4 73 9" xfId="55773"/>
    <cellStyle name="输入 2 4 74" xfId="9743"/>
    <cellStyle name="输入 2 4 74 10" xfId="55774"/>
    <cellStyle name="输入 2 4 74 11" xfId="55775"/>
    <cellStyle name="输入 2 4 74 12" xfId="55776"/>
    <cellStyle name="输入 2 4 74 2" xfId="9744"/>
    <cellStyle name="输入 2 4 74 2 2" xfId="55777"/>
    <cellStyle name="输入 2 4 74 3" xfId="55778"/>
    <cellStyle name="输入 2 4 74 4" xfId="55779"/>
    <cellStyle name="输入 2 4 74 5" xfId="55780"/>
    <cellStyle name="输入 2 4 74 6" xfId="55781"/>
    <cellStyle name="输入 2 4 74 7" xfId="55782"/>
    <cellStyle name="输入 2 4 74 8" xfId="55783"/>
    <cellStyle name="输入 2 4 74 9" xfId="55784"/>
    <cellStyle name="输入 2 4 75" xfId="9745"/>
    <cellStyle name="输入 2 4 75 10" xfId="55785"/>
    <cellStyle name="输入 2 4 75 11" xfId="55786"/>
    <cellStyle name="输入 2 4 75 12" xfId="55787"/>
    <cellStyle name="输入 2 4 75 2" xfId="9746"/>
    <cellStyle name="输入 2 4 75 2 2" xfId="55788"/>
    <cellStyle name="输入 2 4 75 3" xfId="55789"/>
    <cellStyle name="输入 2 4 75 4" xfId="55790"/>
    <cellStyle name="输入 2 4 75 5" xfId="55791"/>
    <cellStyle name="输入 2 4 75 6" xfId="55792"/>
    <cellStyle name="输入 2 4 75 7" xfId="55793"/>
    <cellStyle name="输入 2 4 75 8" xfId="55794"/>
    <cellStyle name="输入 2 4 75 9" xfId="55795"/>
    <cellStyle name="输入 2 4 76" xfId="9747"/>
    <cellStyle name="输入 2 4 76 10" xfId="55796"/>
    <cellStyle name="输入 2 4 76 11" xfId="55797"/>
    <cellStyle name="输入 2 4 76 12" xfId="55798"/>
    <cellStyle name="输入 2 4 76 2" xfId="9748"/>
    <cellStyle name="输入 2 4 76 2 2" xfId="55799"/>
    <cellStyle name="输入 2 4 76 3" xfId="55800"/>
    <cellStyle name="输入 2 4 76 4" xfId="55801"/>
    <cellStyle name="输入 2 4 76 5" xfId="55802"/>
    <cellStyle name="输入 2 4 76 6" xfId="55803"/>
    <cellStyle name="输入 2 4 76 7" xfId="55804"/>
    <cellStyle name="输入 2 4 76 8" xfId="55805"/>
    <cellStyle name="输入 2 4 76 9" xfId="55806"/>
    <cellStyle name="输入 2 4 77" xfId="9749"/>
    <cellStyle name="输入 2 4 77 10" xfId="55807"/>
    <cellStyle name="输入 2 4 77 11" xfId="55808"/>
    <cellStyle name="输入 2 4 77 12" xfId="55809"/>
    <cellStyle name="输入 2 4 77 2" xfId="9750"/>
    <cellStyle name="输入 2 4 77 2 2" xfId="55810"/>
    <cellStyle name="输入 2 4 77 3" xfId="55811"/>
    <cellStyle name="输入 2 4 77 4" xfId="55812"/>
    <cellStyle name="输入 2 4 77 5" xfId="55813"/>
    <cellStyle name="输入 2 4 77 6" xfId="55814"/>
    <cellStyle name="输入 2 4 77 7" xfId="55815"/>
    <cellStyle name="输入 2 4 77 8" xfId="55816"/>
    <cellStyle name="输入 2 4 77 9" xfId="55817"/>
    <cellStyle name="输入 2 4 78" xfId="9751"/>
    <cellStyle name="输入 2 4 78 10" xfId="55818"/>
    <cellStyle name="输入 2 4 78 11" xfId="55819"/>
    <cellStyle name="输入 2 4 78 12" xfId="55820"/>
    <cellStyle name="输入 2 4 78 2" xfId="9752"/>
    <cellStyle name="输入 2 4 78 2 2" xfId="55821"/>
    <cellStyle name="输入 2 4 78 3" xfId="55822"/>
    <cellStyle name="输入 2 4 78 4" xfId="55823"/>
    <cellStyle name="输入 2 4 78 5" xfId="55824"/>
    <cellStyle name="输入 2 4 78 6" xfId="55825"/>
    <cellStyle name="输入 2 4 78 7" xfId="55826"/>
    <cellStyle name="输入 2 4 78 8" xfId="55827"/>
    <cellStyle name="输入 2 4 78 9" xfId="55828"/>
    <cellStyle name="输入 2 4 79" xfId="9753"/>
    <cellStyle name="输入 2 4 79 10" xfId="55829"/>
    <cellStyle name="输入 2 4 79 11" xfId="55830"/>
    <cellStyle name="输入 2 4 79 12" xfId="55831"/>
    <cellStyle name="输入 2 4 79 2" xfId="9754"/>
    <cellStyle name="输入 2 4 79 2 2" xfId="55832"/>
    <cellStyle name="输入 2 4 79 3" xfId="55833"/>
    <cellStyle name="输入 2 4 79 4" xfId="55834"/>
    <cellStyle name="输入 2 4 79 5" xfId="55835"/>
    <cellStyle name="输入 2 4 79 6" xfId="55836"/>
    <cellStyle name="输入 2 4 79 7" xfId="55837"/>
    <cellStyle name="输入 2 4 79 8" xfId="55838"/>
    <cellStyle name="输入 2 4 79 9" xfId="55839"/>
    <cellStyle name="输入 2 4 8" xfId="9755"/>
    <cellStyle name="输入 2 4 8 10" xfId="55840"/>
    <cellStyle name="输入 2 4 8 11" xfId="55841"/>
    <cellStyle name="输入 2 4 8 2" xfId="9756"/>
    <cellStyle name="输入 2 4 8 2 2" xfId="55842"/>
    <cellStyle name="输入 2 4 8 3" xfId="55843"/>
    <cellStyle name="输入 2 4 8 4" xfId="55844"/>
    <cellStyle name="输入 2 4 8 5" xfId="55845"/>
    <cellStyle name="输入 2 4 8 6" xfId="55846"/>
    <cellStyle name="输入 2 4 8 7" xfId="55847"/>
    <cellStyle name="输入 2 4 8 8" xfId="55848"/>
    <cellStyle name="输入 2 4 8 9" xfId="55849"/>
    <cellStyle name="输入 2 4 80" xfId="9757"/>
    <cellStyle name="输入 2 4 80 10" xfId="55850"/>
    <cellStyle name="输入 2 4 80 11" xfId="55851"/>
    <cellStyle name="输入 2 4 80 12" xfId="55852"/>
    <cellStyle name="输入 2 4 80 2" xfId="9758"/>
    <cellStyle name="输入 2 4 80 2 2" xfId="55853"/>
    <cellStyle name="输入 2 4 80 3" xfId="55854"/>
    <cellStyle name="输入 2 4 80 4" xfId="55855"/>
    <cellStyle name="输入 2 4 80 5" xfId="55856"/>
    <cellStyle name="输入 2 4 80 6" xfId="55857"/>
    <cellStyle name="输入 2 4 80 7" xfId="55858"/>
    <cellStyle name="输入 2 4 80 8" xfId="55859"/>
    <cellStyle name="输入 2 4 80 9" xfId="55860"/>
    <cellStyle name="输入 2 4 81" xfId="9759"/>
    <cellStyle name="输入 2 4 81 10" xfId="55861"/>
    <cellStyle name="输入 2 4 81 11" xfId="55862"/>
    <cellStyle name="输入 2 4 81 12" xfId="55863"/>
    <cellStyle name="输入 2 4 81 2" xfId="9760"/>
    <cellStyle name="输入 2 4 81 2 2" xfId="55864"/>
    <cellStyle name="输入 2 4 81 3" xfId="55865"/>
    <cellStyle name="输入 2 4 81 4" xfId="55866"/>
    <cellStyle name="输入 2 4 81 5" xfId="55867"/>
    <cellStyle name="输入 2 4 81 6" xfId="55868"/>
    <cellStyle name="输入 2 4 81 7" xfId="55869"/>
    <cellStyle name="输入 2 4 81 8" xfId="55870"/>
    <cellStyle name="输入 2 4 81 9" xfId="55871"/>
    <cellStyle name="输入 2 4 82" xfId="9761"/>
    <cellStyle name="输入 2 4 82 10" xfId="55872"/>
    <cellStyle name="输入 2 4 82 11" xfId="55873"/>
    <cellStyle name="输入 2 4 82 12" xfId="55874"/>
    <cellStyle name="输入 2 4 82 2" xfId="9762"/>
    <cellStyle name="输入 2 4 82 2 2" xfId="55875"/>
    <cellStyle name="输入 2 4 82 3" xfId="55876"/>
    <cellStyle name="输入 2 4 82 4" xfId="55877"/>
    <cellStyle name="输入 2 4 82 5" xfId="55878"/>
    <cellStyle name="输入 2 4 82 6" xfId="55879"/>
    <cellStyle name="输入 2 4 82 7" xfId="55880"/>
    <cellStyle name="输入 2 4 82 8" xfId="55881"/>
    <cellStyle name="输入 2 4 82 9" xfId="55882"/>
    <cellStyle name="输入 2 4 83" xfId="9763"/>
    <cellStyle name="输入 2 4 83 10" xfId="55883"/>
    <cellStyle name="输入 2 4 83 11" xfId="55884"/>
    <cellStyle name="输入 2 4 83 12" xfId="55885"/>
    <cellStyle name="输入 2 4 83 2" xfId="9764"/>
    <cellStyle name="输入 2 4 83 2 2" xfId="55886"/>
    <cellStyle name="输入 2 4 83 3" xfId="55887"/>
    <cellStyle name="输入 2 4 83 4" xfId="55888"/>
    <cellStyle name="输入 2 4 83 5" xfId="55889"/>
    <cellStyle name="输入 2 4 83 6" xfId="55890"/>
    <cellStyle name="输入 2 4 83 7" xfId="55891"/>
    <cellStyle name="输入 2 4 83 8" xfId="55892"/>
    <cellStyle name="输入 2 4 83 9" xfId="55893"/>
    <cellStyle name="输入 2 4 84" xfId="9765"/>
    <cellStyle name="输入 2 4 84 10" xfId="55894"/>
    <cellStyle name="输入 2 4 84 11" xfId="55895"/>
    <cellStyle name="输入 2 4 84 12" xfId="55896"/>
    <cellStyle name="输入 2 4 84 2" xfId="9766"/>
    <cellStyle name="输入 2 4 84 2 2" xfId="55897"/>
    <cellStyle name="输入 2 4 84 3" xfId="55898"/>
    <cellStyle name="输入 2 4 84 4" xfId="55899"/>
    <cellStyle name="输入 2 4 84 5" xfId="55900"/>
    <cellStyle name="输入 2 4 84 6" xfId="55901"/>
    <cellStyle name="输入 2 4 84 7" xfId="55902"/>
    <cellStyle name="输入 2 4 84 8" xfId="55903"/>
    <cellStyle name="输入 2 4 84 9" xfId="55904"/>
    <cellStyle name="输入 2 4 85" xfId="9767"/>
    <cellStyle name="输入 2 4 85 10" xfId="55905"/>
    <cellStyle name="输入 2 4 85 11" xfId="55906"/>
    <cellStyle name="输入 2 4 85 12" xfId="55907"/>
    <cellStyle name="输入 2 4 85 2" xfId="9768"/>
    <cellStyle name="输入 2 4 85 2 2" xfId="55908"/>
    <cellStyle name="输入 2 4 85 3" xfId="55909"/>
    <cellStyle name="输入 2 4 85 4" xfId="55910"/>
    <cellStyle name="输入 2 4 85 5" xfId="55911"/>
    <cellStyle name="输入 2 4 85 6" xfId="55912"/>
    <cellStyle name="输入 2 4 85 7" xfId="55913"/>
    <cellStyle name="输入 2 4 85 8" xfId="55914"/>
    <cellStyle name="输入 2 4 85 9" xfId="55915"/>
    <cellStyle name="输入 2 4 86" xfId="9769"/>
    <cellStyle name="输入 2 4 86 10" xfId="55916"/>
    <cellStyle name="输入 2 4 86 11" xfId="55917"/>
    <cellStyle name="输入 2 4 86 2" xfId="9770"/>
    <cellStyle name="输入 2 4 86 2 2" xfId="55918"/>
    <cellStyle name="输入 2 4 86 3" xfId="55919"/>
    <cellStyle name="输入 2 4 86 4" xfId="55920"/>
    <cellStyle name="输入 2 4 86 5" xfId="55921"/>
    <cellStyle name="输入 2 4 86 6" xfId="55922"/>
    <cellStyle name="输入 2 4 86 7" xfId="55923"/>
    <cellStyle name="输入 2 4 86 8" xfId="55924"/>
    <cellStyle name="输入 2 4 86 9" xfId="55925"/>
    <cellStyle name="输入 2 4 87" xfId="9771"/>
    <cellStyle name="输入 2 4 87 10" xfId="55926"/>
    <cellStyle name="输入 2 4 87 11" xfId="55927"/>
    <cellStyle name="输入 2 4 87 12" xfId="55928"/>
    <cellStyle name="输入 2 4 87 2" xfId="9772"/>
    <cellStyle name="输入 2 4 87 2 2" xfId="55929"/>
    <cellStyle name="输入 2 4 87 3" xfId="55930"/>
    <cellStyle name="输入 2 4 87 4" xfId="55931"/>
    <cellStyle name="输入 2 4 87 5" xfId="55932"/>
    <cellStyle name="输入 2 4 87 6" xfId="55933"/>
    <cellStyle name="输入 2 4 87 7" xfId="55934"/>
    <cellStyle name="输入 2 4 87 8" xfId="55935"/>
    <cellStyle name="输入 2 4 87 9" xfId="55936"/>
    <cellStyle name="输入 2 4 88" xfId="9773"/>
    <cellStyle name="输入 2 4 88 10" xfId="55937"/>
    <cellStyle name="输入 2 4 88 11" xfId="55938"/>
    <cellStyle name="输入 2 4 88 12" xfId="55939"/>
    <cellStyle name="输入 2 4 88 2" xfId="9774"/>
    <cellStyle name="输入 2 4 88 2 2" xfId="55940"/>
    <cellStyle name="输入 2 4 88 3" xfId="55941"/>
    <cellStyle name="输入 2 4 88 4" xfId="55942"/>
    <cellStyle name="输入 2 4 88 5" xfId="55943"/>
    <cellStyle name="输入 2 4 88 6" xfId="55944"/>
    <cellStyle name="输入 2 4 88 7" xfId="55945"/>
    <cellStyle name="输入 2 4 88 8" xfId="55946"/>
    <cellStyle name="输入 2 4 88 9" xfId="55947"/>
    <cellStyle name="输入 2 4 89" xfId="9775"/>
    <cellStyle name="输入 2 4 89 10" xfId="55948"/>
    <cellStyle name="输入 2 4 89 11" xfId="55949"/>
    <cellStyle name="输入 2 4 89 12" xfId="55950"/>
    <cellStyle name="输入 2 4 89 2" xfId="9776"/>
    <cellStyle name="输入 2 4 89 2 2" xfId="55951"/>
    <cellStyle name="输入 2 4 89 3" xfId="55952"/>
    <cellStyle name="输入 2 4 89 4" xfId="55953"/>
    <cellStyle name="输入 2 4 89 5" xfId="55954"/>
    <cellStyle name="输入 2 4 89 6" xfId="55955"/>
    <cellStyle name="输入 2 4 89 7" xfId="55956"/>
    <cellStyle name="输入 2 4 89 8" xfId="55957"/>
    <cellStyle name="输入 2 4 89 9" xfId="55958"/>
    <cellStyle name="输入 2 4 9" xfId="9777"/>
    <cellStyle name="输入 2 4 9 10" xfId="55959"/>
    <cellStyle name="输入 2 4 9 11" xfId="55960"/>
    <cellStyle name="输入 2 4 9 2" xfId="9778"/>
    <cellStyle name="输入 2 4 9 2 2" xfId="55961"/>
    <cellStyle name="输入 2 4 9 3" xfId="55962"/>
    <cellStyle name="输入 2 4 9 4" xfId="55963"/>
    <cellStyle name="输入 2 4 9 5" xfId="55964"/>
    <cellStyle name="输入 2 4 9 6" xfId="55965"/>
    <cellStyle name="输入 2 4 9 7" xfId="55966"/>
    <cellStyle name="输入 2 4 9 8" xfId="55967"/>
    <cellStyle name="输入 2 4 9 9" xfId="55968"/>
    <cellStyle name="输入 2 4 90" xfId="9779"/>
    <cellStyle name="输入 2 4 90 10" xfId="55969"/>
    <cellStyle name="输入 2 4 90 11" xfId="55970"/>
    <cellStyle name="输入 2 4 90 12" xfId="55971"/>
    <cellStyle name="输入 2 4 90 2" xfId="9780"/>
    <cellStyle name="输入 2 4 90 2 2" xfId="55972"/>
    <cellStyle name="输入 2 4 90 3" xfId="55973"/>
    <cellStyle name="输入 2 4 90 4" xfId="55974"/>
    <cellStyle name="输入 2 4 90 5" xfId="55975"/>
    <cellStyle name="输入 2 4 90 6" xfId="55976"/>
    <cellStyle name="输入 2 4 90 7" xfId="55977"/>
    <cellStyle name="输入 2 4 90 8" xfId="55978"/>
    <cellStyle name="输入 2 4 90 9" xfId="55979"/>
    <cellStyle name="输入 2 4 91" xfId="9781"/>
    <cellStyle name="输入 2 4 91 10" xfId="55980"/>
    <cellStyle name="输入 2 4 91 11" xfId="55981"/>
    <cellStyle name="输入 2 4 91 12" xfId="55982"/>
    <cellStyle name="输入 2 4 91 2" xfId="9782"/>
    <cellStyle name="输入 2 4 91 2 2" xfId="55983"/>
    <cellStyle name="输入 2 4 91 3" xfId="55984"/>
    <cellStyle name="输入 2 4 91 4" xfId="55985"/>
    <cellStyle name="输入 2 4 91 5" xfId="55986"/>
    <cellStyle name="输入 2 4 91 6" xfId="55987"/>
    <cellStyle name="输入 2 4 91 7" xfId="55988"/>
    <cellStyle name="输入 2 4 91 8" xfId="55989"/>
    <cellStyle name="输入 2 4 91 9" xfId="55990"/>
    <cellStyle name="输入 2 4 92" xfId="9783"/>
    <cellStyle name="输入 2 4 92 10" xfId="55991"/>
    <cellStyle name="输入 2 4 92 11" xfId="55992"/>
    <cellStyle name="输入 2 4 92 12" xfId="55993"/>
    <cellStyle name="输入 2 4 92 2" xfId="9784"/>
    <cellStyle name="输入 2 4 92 2 2" xfId="55994"/>
    <cellStyle name="输入 2 4 92 3" xfId="55995"/>
    <cellStyle name="输入 2 4 92 4" xfId="55996"/>
    <cellStyle name="输入 2 4 92 5" xfId="55997"/>
    <cellStyle name="输入 2 4 92 6" xfId="55998"/>
    <cellStyle name="输入 2 4 92 7" xfId="55999"/>
    <cellStyle name="输入 2 4 92 8" xfId="56000"/>
    <cellStyle name="输入 2 4 92 9" xfId="56001"/>
    <cellStyle name="输入 2 4 93" xfId="9785"/>
    <cellStyle name="输入 2 4 93 10" xfId="56002"/>
    <cellStyle name="输入 2 4 93 11" xfId="56003"/>
    <cellStyle name="输入 2 4 93 2" xfId="9786"/>
    <cellStyle name="输入 2 4 93 2 2" xfId="56004"/>
    <cellStyle name="输入 2 4 93 3" xfId="56005"/>
    <cellStyle name="输入 2 4 93 4" xfId="56006"/>
    <cellStyle name="输入 2 4 93 5" xfId="56007"/>
    <cellStyle name="输入 2 4 93 6" xfId="56008"/>
    <cellStyle name="输入 2 4 93 7" xfId="56009"/>
    <cellStyle name="输入 2 4 93 8" xfId="56010"/>
    <cellStyle name="输入 2 4 93 9" xfId="56011"/>
    <cellStyle name="输入 2 4 94" xfId="9787"/>
    <cellStyle name="输入 2 4 94 2" xfId="56012"/>
    <cellStyle name="输入 2 4 95" xfId="11829"/>
    <cellStyle name="输入 2 4_YL Capex Cashflow &amp; Dep" xfId="13922"/>
    <cellStyle name="输入 2 40" xfId="9788"/>
    <cellStyle name="输入 2 40 10" xfId="56013"/>
    <cellStyle name="输入 2 40 11" xfId="56014"/>
    <cellStyle name="输入 2 40 12" xfId="56015"/>
    <cellStyle name="输入 2 40 2" xfId="9789"/>
    <cellStyle name="输入 2 40 2 2" xfId="56016"/>
    <cellStyle name="输入 2 40 3" xfId="56017"/>
    <cellStyle name="输入 2 40 4" xfId="56018"/>
    <cellStyle name="输入 2 40 5" xfId="56019"/>
    <cellStyle name="输入 2 40 6" xfId="56020"/>
    <cellStyle name="输入 2 40 7" xfId="56021"/>
    <cellStyle name="输入 2 40 8" xfId="56022"/>
    <cellStyle name="输入 2 40 9" xfId="56023"/>
    <cellStyle name="输入 2 41" xfId="9790"/>
    <cellStyle name="输入 2 41 10" xfId="56024"/>
    <cellStyle name="输入 2 41 11" xfId="56025"/>
    <cellStyle name="输入 2 41 12" xfId="56026"/>
    <cellStyle name="输入 2 41 2" xfId="9791"/>
    <cellStyle name="输入 2 41 2 2" xfId="56027"/>
    <cellStyle name="输入 2 41 3" xfId="56028"/>
    <cellStyle name="输入 2 41 4" xfId="56029"/>
    <cellStyle name="输入 2 41 5" xfId="56030"/>
    <cellStyle name="输入 2 41 6" xfId="56031"/>
    <cellStyle name="输入 2 41 7" xfId="56032"/>
    <cellStyle name="输入 2 41 8" xfId="56033"/>
    <cellStyle name="输入 2 41 9" xfId="56034"/>
    <cellStyle name="输入 2 42" xfId="9792"/>
    <cellStyle name="输入 2 42 10" xfId="56035"/>
    <cellStyle name="输入 2 42 11" xfId="56036"/>
    <cellStyle name="输入 2 42 12" xfId="56037"/>
    <cellStyle name="输入 2 42 2" xfId="9793"/>
    <cellStyle name="输入 2 42 2 2" xfId="56038"/>
    <cellStyle name="输入 2 42 3" xfId="56039"/>
    <cellStyle name="输入 2 42 4" xfId="56040"/>
    <cellStyle name="输入 2 42 5" xfId="56041"/>
    <cellStyle name="输入 2 42 6" xfId="56042"/>
    <cellStyle name="输入 2 42 7" xfId="56043"/>
    <cellStyle name="输入 2 42 8" xfId="56044"/>
    <cellStyle name="输入 2 42 9" xfId="56045"/>
    <cellStyle name="输入 2 43" xfId="9794"/>
    <cellStyle name="输入 2 43 10" xfId="56046"/>
    <cellStyle name="输入 2 43 11" xfId="56047"/>
    <cellStyle name="输入 2 43 12" xfId="56048"/>
    <cellStyle name="输入 2 43 2" xfId="9795"/>
    <cellStyle name="输入 2 43 2 2" xfId="56049"/>
    <cellStyle name="输入 2 43 3" xfId="56050"/>
    <cellStyle name="输入 2 43 4" xfId="56051"/>
    <cellStyle name="输入 2 43 5" xfId="56052"/>
    <cellStyle name="输入 2 43 6" xfId="56053"/>
    <cellStyle name="输入 2 43 7" xfId="56054"/>
    <cellStyle name="输入 2 43 8" xfId="56055"/>
    <cellStyle name="输入 2 43 9" xfId="56056"/>
    <cellStyle name="输入 2 44" xfId="9796"/>
    <cellStyle name="输入 2 44 10" xfId="56057"/>
    <cellStyle name="输入 2 44 11" xfId="56058"/>
    <cellStyle name="输入 2 44 12" xfId="56059"/>
    <cellStyle name="输入 2 44 2" xfId="9797"/>
    <cellStyle name="输入 2 44 2 2" xfId="56060"/>
    <cellStyle name="输入 2 44 3" xfId="56061"/>
    <cellStyle name="输入 2 44 4" xfId="56062"/>
    <cellStyle name="输入 2 44 5" xfId="56063"/>
    <cellStyle name="输入 2 44 6" xfId="56064"/>
    <cellStyle name="输入 2 44 7" xfId="56065"/>
    <cellStyle name="输入 2 44 8" xfId="56066"/>
    <cellStyle name="输入 2 44 9" xfId="56067"/>
    <cellStyle name="输入 2 45" xfId="9798"/>
    <cellStyle name="输入 2 45 10" xfId="56068"/>
    <cellStyle name="输入 2 45 11" xfId="56069"/>
    <cellStyle name="输入 2 45 12" xfId="56070"/>
    <cellStyle name="输入 2 45 2" xfId="9799"/>
    <cellStyle name="输入 2 45 2 2" xfId="56071"/>
    <cellStyle name="输入 2 45 3" xfId="56072"/>
    <cellStyle name="输入 2 45 4" xfId="56073"/>
    <cellStyle name="输入 2 45 5" xfId="56074"/>
    <cellStyle name="输入 2 45 6" xfId="56075"/>
    <cellStyle name="输入 2 45 7" xfId="56076"/>
    <cellStyle name="输入 2 45 8" xfId="56077"/>
    <cellStyle name="输入 2 45 9" xfId="56078"/>
    <cellStyle name="输入 2 46" xfId="9800"/>
    <cellStyle name="输入 2 46 10" xfId="56079"/>
    <cellStyle name="输入 2 46 11" xfId="56080"/>
    <cellStyle name="输入 2 46 12" xfId="56081"/>
    <cellStyle name="输入 2 46 2" xfId="9801"/>
    <cellStyle name="输入 2 46 2 2" xfId="56082"/>
    <cellStyle name="输入 2 46 3" xfId="56083"/>
    <cellStyle name="输入 2 46 4" xfId="56084"/>
    <cellStyle name="输入 2 46 5" xfId="56085"/>
    <cellStyle name="输入 2 46 6" xfId="56086"/>
    <cellStyle name="输入 2 46 7" xfId="56087"/>
    <cellStyle name="输入 2 46 8" xfId="56088"/>
    <cellStyle name="输入 2 46 9" xfId="56089"/>
    <cellStyle name="输入 2 47" xfId="9802"/>
    <cellStyle name="输入 2 47 10" xfId="56090"/>
    <cellStyle name="输入 2 47 11" xfId="56091"/>
    <cellStyle name="输入 2 47 12" xfId="56092"/>
    <cellStyle name="输入 2 47 2" xfId="9803"/>
    <cellStyle name="输入 2 47 2 2" xfId="56093"/>
    <cellStyle name="输入 2 47 3" xfId="56094"/>
    <cellStyle name="输入 2 47 4" xfId="56095"/>
    <cellStyle name="输入 2 47 5" xfId="56096"/>
    <cellStyle name="输入 2 47 6" xfId="56097"/>
    <cellStyle name="输入 2 47 7" xfId="56098"/>
    <cellStyle name="输入 2 47 8" xfId="56099"/>
    <cellStyle name="输入 2 47 9" xfId="56100"/>
    <cellStyle name="输入 2 48" xfId="9804"/>
    <cellStyle name="输入 2 48 10" xfId="56101"/>
    <cellStyle name="输入 2 48 11" xfId="56102"/>
    <cellStyle name="输入 2 48 12" xfId="56103"/>
    <cellStyle name="输入 2 48 2" xfId="9805"/>
    <cellStyle name="输入 2 48 2 2" xfId="56104"/>
    <cellStyle name="输入 2 48 3" xfId="56105"/>
    <cellStyle name="输入 2 48 4" xfId="56106"/>
    <cellStyle name="输入 2 48 5" xfId="56107"/>
    <cellStyle name="输入 2 48 6" xfId="56108"/>
    <cellStyle name="输入 2 48 7" xfId="56109"/>
    <cellStyle name="输入 2 48 8" xfId="56110"/>
    <cellStyle name="输入 2 48 9" xfId="56111"/>
    <cellStyle name="输入 2 49" xfId="9806"/>
    <cellStyle name="输入 2 49 10" xfId="56112"/>
    <cellStyle name="输入 2 49 11" xfId="56113"/>
    <cellStyle name="输入 2 49 12" xfId="56114"/>
    <cellStyle name="输入 2 49 2" xfId="9807"/>
    <cellStyle name="输入 2 49 2 2" xfId="56115"/>
    <cellStyle name="输入 2 49 3" xfId="56116"/>
    <cellStyle name="输入 2 49 4" xfId="56117"/>
    <cellStyle name="输入 2 49 5" xfId="56118"/>
    <cellStyle name="输入 2 49 6" xfId="56119"/>
    <cellStyle name="输入 2 49 7" xfId="56120"/>
    <cellStyle name="输入 2 49 8" xfId="56121"/>
    <cellStyle name="输入 2 49 9" xfId="56122"/>
    <cellStyle name="输入 2 5" xfId="3281"/>
    <cellStyle name="输入 2 5 10" xfId="9808"/>
    <cellStyle name="输入 2 5 10 10" xfId="56123"/>
    <cellStyle name="输入 2 5 10 11" xfId="56124"/>
    <cellStyle name="输入 2 5 10 2" xfId="9809"/>
    <cellStyle name="输入 2 5 10 2 2" xfId="56125"/>
    <cellStyle name="输入 2 5 10 3" xfId="56126"/>
    <cellStyle name="输入 2 5 10 4" xfId="56127"/>
    <cellStyle name="输入 2 5 10 5" xfId="56128"/>
    <cellStyle name="输入 2 5 10 6" xfId="56129"/>
    <cellStyle name="输入 2 5 10 7" xfId="56130"/>
    <cellStyle name="输入 2 5 10 8" xfId="56131"/>
    <cellStyle name="输入 2 5 10 9" xfId="56132"/>
    <cellStyle name="输入 2 5 11" xfId="9810"/>
    <cellStyle name="输入 2 5 11 10" xfId="56133"/>
    <cellStyle name="输入 2 5 11 11" xfId="56134"/>
    <cellStyle name="输入 2 5 11 2" xfId="9811"/>
    <cellStyle name="输入 2 5 11 2 2" xfId="56135"/>
    <cellStyle name="输入 2 5 11 3" xfId="56136"/>
    <cellStyle name="输入 2 5 11 4" xfId="56137"/>
    <cellStyle name="输入 2 5 11 5" xfId="56138"/>
    <cellStyle name="输入 2 5 11 6" xfId="56139"/>
    <cellStyle name="输入 2 5 11 7" xfId="56140"/>
    <cellStyle name="输入 2 5 11 8" xfId="56141"/>
    <cellStyle name="输入 2 5 11 9" xfId="56142"/>
    <cellStyle name="输入 2 5 12" xfId="9812"/>
    <cellStyle name="输入 2 5 12 10" xfId="56143"/>
    <cellStyle name="输入 2 5 12 2" xfId="9813"/>
    <cellStyle name="输入 2 5 12 2 2" xfId="56144"/>
    <cellStyle name="输入 2 5 12 3" xfId="56145"/>
    <cellStyle name="输入 2 5 12 4" xfId="56146"/>
    <cellStyle name="输入 2 5 12 5" xfId="56147"/>
    <cellStyle name="输入 2 5 12 6" xfId="56148"/>
    <cellStyle name="输入 2 5 12 7" xfId="56149"/>
    <cellStyle name="输入 2 5 12 8" xfId="56150"/>
    <cellStyle name="输入 2 5 12 9" xfId="56151"/>
    <cellStyle name="输入 2 5 13" xfId="9814"/>
    <cellStyle name="输入 2 5 13 10" xfId="56152"/>
    <cellStyle name="输入 2 5 13 11" xfId="56153"/>
    <cellStyle name="输入 2 5 13 2" xfId="9815"/>
    <cellStyle name="输入 2 5 13 2 2" xfId="56154"/>
    <cellStyle name="输入 2 5 13 3" xfId="56155"/>
    <cellStyle name="输入 2 5 13 4" xfId="56156"/>
    <cellStyle name="输入 2 5 13 5" xfId="56157"/>
    <cellStyle name="输入 2 5 13 6" xfId="56158"/>
    <cellStyle name="输入 2 5 13 7" xfId="56159"/>
    <cellStyle name="输入 2 5 13 8" xfId="56160"/>
    <cellStyle name="输入 2 5 13 9" xfId="56161"/>
    <cellStyle name="输入 2 5 14" xfId="9816"/>
    <cellStyle name="输入 2 5 14 10" xfId="56162"/>
    <cellStyle name="输入 2 5 14 11" xfId="56163"/>
    <cellStyle name="输入 2 5 14 2" xfId="9817"/>
    <cellStyle name="输入 2 5 14 2 2" xfId="56164"/>
    <cellStyle name="输入 2 5 14 3" xfId="56165"/>
    <cellStyle name="输入 2 5 14 4" xfId="56166"/>
    <cellStyle name="输入 2 5 14 5" xfId="56167"/>
    <cellStyle name="输入 2 5 14 6" xfId="56168"/>
    <cellStyle name="输入 2 5 14 7" xfId="56169"/>
    <cellStyle name="输入 2 5 14 8" xfId="56170"/>
    <cellStyle name="输入 2 5 14 9" xfId="56171"/>
    <cellStyle name="输入 2 5 15" xfId="9818"/>
    <cellStyle name="输入 2 5 15 10" xfId="56172"/>
    <cellStyle name="输入 2 5 15 11" xfId="56173"/>
    <cellStyle name="输入 2 5 15 2" xfId="9819"/>
    <cellStyle name="输入 2 5 15 2 2" xfId="56174"/>
    <cellStyle name="输入 2 5 15 3" xfId="56175"/>
    <cellStyle name="输入 2 5 15 4" xfId="56176"/>
    <cellStyle name="输入 2 5 15 5" xfId="56177"/>
    <cellStyle name="输入 2 5 15 6" xfId="56178"/>
    <cellStyle name="输入 2 5 15 7" xfId="56179"/>
    <cellStyle name="输入 2 5 15 8" xfId="56180"/>
    <cellStyle name="输入 2 5 15 9" xfId="56181"/>
    <cellStyle name="输入 2 5 16" xfId="9820"/>
    <cellStyle name="输入 2 5 16 10" xfId="56182"/>
    <cellStyle name="输入 2 5 16 11" xfId="56183"/>
    <cellStyle name="输入 2 5 16 2" xfId="9821"/>
    <cellStyle name="输入 2 5 16 2 2" xfId="56184"/>
    <cellStyle name="输入 2 5 16 3" xfId="56185"/>
    <cellStyle name="输入 2 5 16 4" xfId="56186"/>
    <cellStyle name="输入 2 5 16 5" xfId="56187"/>
    <cellStyle name="输入 2 5 16 6" xfId="56188"/>
    <cellStyle name="输入 2 5 16 7" xfId="56189"/>
    <cellStyle name="输入 2 5 16 8" xfId="56190"/>
    <cellStyle name="输入 2 5 16 9" xfId="56191"/>
    <cellStyle name="输入 2 5 17" xfId="9822"/>
    <cellStyle name="输入 2 5 17 10" xfId="56192"/>
    <cellStyle name="输入 2 5 17 11" xfId="56193"/>
    <cellStyle name="输入 2 5 17 2" xfId="9823"/>
    <cellStyle name="输入 2 5 17 2 2" xfId="56194"/>
    <cellStyle name="输入 2 5 17 3" xfId="56195"/>
    <cellStyle name="输入 2 5 17 4" xfId="56196"/>
    <cellStyle name="输入 2 5 17 5" xfId="56197"/>
    <cellStyle name="输入 2 5 17 6" xfId="56198"/>
    <cellStyle name="输入 2 5 17 7" xfId="56199"/>
    <cellStyle name="输入 2 5 17 8" xfId="56200"/>
    <cellStyle name="输入 2 5 17 9" xfId="56201"/>
    <cellStyle name="输入 2 5 18" xfId="9824"/>
    <cellStyle name="输入 2 5 18 10" xfId="56202"/>
    <cellStyle name="输入 2 5 18 11" xfId="56203"/>
    <cellStyle name="输入 2 5 18 2" xfId="9825"/>
    <cellStyle name="输入 2 5 18 2 2" xfId="56204"/>
    <cellStyle name="输入 2 5 18 3" xfId="56205"/>
    <cellStyle name="输入 2 5 18 4" xfId="56206"/>
    <cellStyle name="输入 2 5 18 5" xfId="56207"/>
    <cellStyle name="输入 2 5 18 6" xfId="56208"/>
    <cellStyle name="输入 2 5 18 7" xfId="56209"/>
    <cellStyle name="输入 2 5 18 8" xfId="56210"/>
    <cellStyle name="输入 2 5 18 9" xfId="56211"/>
    <cellStyle name="输入 2 5 19" xfId="9826"/>
    <cellStyle name="输入 2 5 19 10" xfId="56212"/>
    <cellStyle name="输入 2 5 19 11" xfId="56213"/>
    <cellStyle name="输入 2 5 19 2" xfId="9827"/>
    <cellStyle name="输入 2 5 19 2 2" xfId="56214"/>
    <cellStyle name="输入 2 5 19 3" xfId="56215"/>
    <cellStyle name="输入 2 5 19 4" xfId="56216"/>
    <cellStyle name="输入 2 5 19 5" xfId="56217"/>
    <cellStyle name="输入 2 5 19 6" xfId="56218"/>
    <cellStyle name="输入 2 5 19 7" xfId="56219"/>
    <cellStyle name="输入 2 5 19 8" xfId="56220"/>
    <cellStyle name="输入 2 5 19 9" xfId="56221"/>
    <cellStyle name="输入 2 5 2" xfId="3282"/>
    <cellStyle name="输入 2 5 2 10" xfId="56222"/>
    <cellStyle name="输入 2 5 2 11" xfId="56223"/>
    <cellStyle name="输入 2 5 2 12" xfId="56224"/>
    <cellStyle name="输入 2 5 2 2" xfId="9828"/>
    <cellStyle name="输入 2 5 2 2 2" xfId="56225"/>
    <cellStyle name="输入 2 5 2 3" xfId="12809"/>
    <cellStyle name="输入 2 5 2 4" xfId="56226"/>
    <cellStyle name="输入 2 5 2 5" xfId="56227"/>
    <cellStyle name="输入 2 5 2 6" xfId="56228"/>
    <cellStyle name="输入 2 5 2 7" xfId="56229"/>
    <cellStyle name="输入 2 5 2 8" xfId="56230"/>
    <cellStyle name="输入 2 5 2 9" xfId="56231"/>
    <cellStyle name="输入 2 5 2_YL Capex Cashflow &amp; Dep" xfId="13928"/>
    <cellStyle name="输入 2 5 20" xfId="9829"/>
    <cellStyle name="输入 2 5 20 10" xfId="56232"/>
    <cellStyle name="输入 2 5 20 11" xfId="56233"/>
    <cellStyle name="输入 2 5 20 12" xfId="56234"/>
    <cellStyle name="输入 2 5 20 2" xfId="9830"/>
    <cellStyle name="输入 2 5 20 2 2" xfId="56235"/>
    <cellStyle name="输入 2 5 20 3" xfId="56236"/>
    <cellStyle name="输入 2 5 20 4" xfId="56237"/>
    <cellStyle name="输入 2 5 20 5" xfId="56238"/>
    <cellStyle name="输入 2 5 20 6" xfId="56239"/>
    <cellStyle name="输入 2 5 20 7" xfId="56240"/>
    <cellStyle name="输入 2 5 20 8" xfId="56241"/>
    <cellStyle name="输入 2 5 20 9" xfId="56242"/>
    <cellStyle name="输入 2 5 21" xfId="9831"/>
    <cellStyle name="输入 2 5 21 10" xfId="56243"/>
    <cellStyle name="输入 2 5 21 11" xfId="56244"/>
    <cellStyle name="输入 2 5 21 12" xfId="56245"/>
    <cellStyle name="输入 2 5 21 2" xfId="9832"/>
    <cellStyle name="输入 2 5 21 2 2" xfId="56246"/>
    <cellStyle name="输入 2 5 21 3" xfId="56247"/>
    <cellStyle name="输入 2 5 21 4" xfId="56248"/>
    <cellStyle name="输入 2 5 21 5" xfId="56249"/>
    <cellStyle name="输入 2 5 21 6" xfId="56250"/>
    <cellStyle name="输入 2 5 21 7" xfId="56251"/>
    <cellStyle name="输入 2 5 21 8" xfId="56252"/>
    <cellStyle name="输入 2 5 21 9" xfId="56253"/>
    <cellStyle name="输入 2 5 22" xfId="9833"/>
    <cellStyle name="输入 2 5 22 10" xfId="56254"/>
    <cellStyle name="输入 2 5 22 11" xfId="56255"/>
    <cellStyle name="输入 2 5 22 12" xfId="56256"/>
    <cellStyle name="输入 2 5 22 2" xfId="9834"/>
    <cellStyle name="输入 2 5 22 2 2" xfId="56257"/>
    <cellStyle name="输入 2 5 22 3" xfId="56258"/>
    <cellStyle name="输入 2 5 22 4" xfId="56259"/>
    <cellStyle name="输入 2 5 22 5" xfId="56260"/>
    <cellStyle name="输入 2 5 22 6" xfId="56261"/>
    <cellStyle name="输入 2 5 22 7" xfId="56262"/>
    <cellStyle name="输入 2 5 22 8" xfId="56263"/>
    <cellStyle name="输入 2 5 22 9" xfId="56264"/>
    <cellStyle name="输入 2 5 23" xfId="9835"/>
    <cellStyle name="输入 2 5 23 10" xfId="56265"/>
    <cellStyle name="输入 2 5 23 11" xfId="56266"/>
    <cellStyle name="输入 2 5 23 12" xfId="56267"/>
    <cellStyle name="输入 2 5 23 2" xfId="9836"/>
    <cellStyle name="输入 2 5 23 2 2" xfId="56268"/>
    <cellStyle name="输入 2 5 23 3" xfId="56269"/>
    <cellStyle name="输入 2 5 23 4" xfId="56270"/>
    <cellStyle name="输入 2 5 23 5" xfId="56271"/>
    <cellStyle name="输入 2 5 23 6" xfId="56272"/>
    <cellStyle name="输入 2 5 23 7" xfId="56273"/>
    <cellStyle name="输入 2 5 23 8" xfId="56274"/>
    <cellStyle name="输入 2 5 23 9" xfId="56275"/>
    <cellStyle name="输入 2 5 24" xfId="9837"/>
    <cellStyle name="输入 2 5 24 10" xfId="56276"/>
    <cellStyle name="输入 2 5 24 11" xfId="56277"/>
    <cellStyle name="输入 2 5 24 12" xfId="56278"/>
    <cellStyle name="输入 2 5 24 2" xfId="9838"/>
    <cellStyle name="输入 2 5 24 2 2" xfId="56279"/>
    <cellStyle name="输入 2 5 24 3" xfId="56280"/>
    <cellStyle name="输入 2 5 24 4" xfId="56281"/>
    <cellStyle name="输入 2 5 24 5" xfId="56282"/>
    <cellStyle name="输入 2 5 24 6" xfId="56283"/>
    <cellStyle name="输入 2 5 24 7" xfId="56284"/>
    <cellStyle name="输入 2 5 24 8" xfId="56285"/>
    <cellStyle name="输入 2 5 24 9" xfId="56286"/>
    <cellStyle name="输入 2 5 25" xfId="9839"/>
    <cellStyle name="输入 2 5 25 10" xfId="56287"/>
    <cellStyle name="输入 2 5 25 11" xfId="56288"/>
    <cellStyle name="输入 2 5 25 12" xfId="56289"/>
    <cellStyle name="输入 2 5 25 2" xfId="9840"/>
    <cellStyle name="输入 2 5 25 2 2" xfId="56290"/>
    <cellStyle name="输入 2 5 25 3" xfId="56291"/>
    <cellStyle name="输入 2 5 25 4" xfId="56292"/>
    <cellStyle name="输入 2 5 25 5" xfId="56293"/>
    <cellStyle name="输入 2 5 25 6" xfId="56294"/>
    <cellStyle name="输入 2 5 25 7" xfId="56295"/>
    <cellStyle name="输入 2 5 25 8" xfId="56296"/>
    <cellStyle name="输入 2 5 25 9" xfId="56297"/>
    <cellStyle name="输入 2 5 26" xfId="9841"/>
    <cellStyle name="输入 2 5 26 10" xfId="56298"/>
    <cellStyle name="输入 2 5 26 11" xfId="56299"/>
    <cellStyle name="输入 2 5 26 12" xfId="56300"/>
    <cellStyle name="输入 2 5 26 2" xfId="9842"/>
    <cellStyle name="输入 2 5 26 2 2" xfId="56301"/>
    <cellStyle name="输入 2 5 26 3" xfId="56302"/>
    <cellStyle name="输入 2 5 26 4" xfId="56303"/>
    <cellStyle name="输入 2 5 26 5" xfId="56304"/>
    <cellStyle name="输入 2 5 26 6" xfId="56305"/>
    <cellStyle name="输入 2 5 26 7" xfId="56306"/>
    <cellStyle name="输入 2 5 26 8" xfId="56307"/>
    <cellStyle name="输入 2 5 26 9" xfId="56308"/>
    <cellStyle name="输入 2 5 27" xfId="9843"/>
    <cellStyle name="输入 2 5 27 10" xfId="56309"/>
    <cellStyle name="输入 2 5 27 11" xfId="56310"/>
    <cellStyle name="输入 2 5 27 12" xfId="56311"/>
    <cellStyle name="输入 2 5 27 2" xfId="9844"/>
    <cellStyle name="输入 2 5 27 2 2" xfId="56312"/>
    <cellStyle name="输入 2 5 27 3" xfId="56313"/>
    <cellStyle name="输入 2 5 27 4" xfId="56314"/>
    <cellStyle name="输入 2 5 27 5" xfId="56315"/>
    <cellStyle name="输入 2 5 27 6" xfId="56316"/>
    <cellStyle name="输入 2 5 27 7" xfId="56317"/>
    <cellStyle name="输入 2 5 27 8" xfId="56318"/>
    <cellStyle name="输入 2 5 27 9" xfId="56319"/>
    <cellStyle name="输入 2 5 28" xfId="9845"/>
    <cellStyle name="输入 2 5 28 10" xfId="56320"/>
    <cellStyle name="输入 2 5 28 11" xfId="56321"/>
    <cellStyle name="输入 2 5 28 12" xfId="56322"/>
    <cellStyle name="输入 2 5 28 2" xfId="9846"/>
    <cellStyle name="输入 2 5 28 2 2" xfId="56323"/>
    <cellStyle name="输入 2 5 28 3" xfId="56324"/>
    <cellStyle name="输入 2 5 28 4" xfId="56325"/>
    <cellStyle name="输入 2 5 28 5" xfId="56326"/>
    <cellStyle name="输入 2 5 28 6" xfId="56327"/>
    <cellStyle name="输入 2 5 28 7" xfId="56328"/>
    <cellStyle name="输入 2 5 28 8" xfId="56329"/>
    <cellStyle name="输入 2 5 28 9" xfId="56330"/>
    <cellStyle name="输入 2 5 29" xfId="9847"/>
    <cellStyle name="输入 2 5 29 10" xfId="56331"/>
    <cellStyle name="输入 2 5 29 11" xfId="56332"/>
    <cellStyle name="输入 2 5 29 12" xfId="56333"/>
    <cellStyle name="输入 2 5 29 2" xfId="9848"/>
    <cellStyle name="输入 2 5 29 2 2" xfId="56334"/>
    <cellStyle name="输入 2 5 29 3" xfId="56335"/>
    <cellStyle name="输入 2 5 29 4" xfId="56336"/>
    <cellStyle name="输入 2 5 29 5" xfId="56337"/>
    <cellStyle name="输入 2 5 29 6" xfId="56338"/>
    <cellStyle name="输入 2 5 29 7" xfId="56339"/>
    <cellStyle name="输入 2 5 29 8" xfId="56340"/>
    <cellStyle name="输入 2 5 29 9" xfId="56341"/>
    <cellStyle name="输入 2 5 3" xfId="9849"/>
    <cellStyle name="输入 2 5 3 10" xfId="56342"/>
    <cellStyle name="输入 2 5 3 11" xfId="56343"/>
    <cellStyle name="输入 2 5 3 12" xfId="56344"/>
    <cellStyle name="输入 2 5 3 2" xfId="9850"/>
    <cellStyle name="输入 2 5 3 2 2" xfId="56345"/>
    <cellStyle name="输入 2 5 3 3" xfId="56346"/>
    <cellStyle name="输入 2 5 3 4" xfId="56347"/>
    <cellStyle name="输入 2 5 3 5" xfId="56348"/>
    <cellStyle name="输入 2 5 3 6" xfId="56349"/>
    <cellStyle name="输入 2 5 3 7" xfId="56350"/>
    <cellStyle name="输入 2 5 3 8" xfId="56351"/>
    <cellStyle name="输入 2 5 3 9" xfId="56352"/>
    <cellStyle name="输入 2 5 30" xfId="9851"/>
    <cellStyle name="输入 2 5 30 10" xfId="56353"/>
    <cellStyle name="输入 2 5 30 11" xfId="56354"/>
    <cellStyle name="输入 2 5 30 2" xfId="9852"/>
    <cellStyle name="输入 2 5 30 2 2" xfId="56355"/>
    <cellStyle name="输入 2 5 30 3" xfId="56356"/>
    <cellStyle name="输入 2 5 30 4" xfId="56357"/>
    <cellStyle name="输入 2 5 30 5" xfId="56358"/>
    <cellStyle name="输入 2 5 30 6" xfId="56359"/>
    <cellStyle name="输入 2 5 30 7" xfId="56360"/>
    <cellStyle name="输入 2 5 30 8" xfId="56361"/>
    <cellStyle name="输入 2 5 30 9" xfId="56362"/>
    <cellStyle name="输入 2 5 31" xfId="9853"/>
    <cellStyle name="输入 2 5 31 10" xfId="56363"/>
    <cellStyle name="输入 2 5 31 11" xfId="56364"/>
    <cellStyle name="输入 2 5 31 12" xfId="56365"/>
    <cellStyle name="输入 2 5 31 2" xfId="9854"/>
    <cellStyle name="输入 2 5 31 2 2" xfId="56366"/>
    <cellStyle name="输入 2 5 31 3" xfId="56367"/>
    <cellStyle name="输入 2 5 31 4" xfId="56368"/>
    <cellStyle name="输入 2 5 31 5" xfId="56369"/>
    <cellStyle name="输入 2 5 31 6" xfId="56370"/>
    <cellStyle name="输入 2 5 31 7" xfId="56371"/>
    <cellStyle name="输入 2 5 31 8" xfId="56372"/>
    <cellStyle name="输入 2 5 31 9" xfId="56373"/>
    <cellStyle name="输入 2 5 32" xfId="9855"/>
    <cellStyle name="输入 2 5 32 10" xfId="56374"/>
    <cellStyle name="输入 2 5 32 11" xfId="56375"/>
    <cellStyle name="输入 2 5 32 12" xfId="56376"/>
    <cellStyle name="输入 2 5 32 2" xfId="9856"/>
    <cellStyle name="输入 2 5 32 2 2" xfId="56377"/>
    <cellStyle name="输入 2 5 32 3" xfId="56378"/>
    <cellStyle name="输入 2 5 32 4" xfId="56379"/>
    <cellStyle name="输入 2 5 32 5" xfId="56380"/>
    <cellStyle name="输入 2 5 32 6" xfId="56381"/>
    <cellStyle name="输入 2 5 32 7" xfId="56382"/>
    <cellStyle name="输入 2 5 32 8" xfId="56383"/>
    <cellStyle name="输入 2 5 32 9" xfId="56384"/>
    <cellStyle name="输入 2 5 33" xfId="9857"/>
    <cellStyle name="输入 2 5 33 10" xfId="56385"/>
    <cellStyle name="输入 2 5 33 11" xfId="56386"/>
    <cellStyle name="输入 2 5 33 12" xfId="56387"/>
    <cellStyle name="输入 2 5 33 2" xfId="9858"/>
    <cellStyle name="输入 2 5 33 2 2" xfId="56388"/>
    <cellStyle name="输入 2 5 33 3" xfId="56389"/>
    <cellStyle name="输入 2 5 33 4" xfId="56390"/>
    <cellStyle name="输入 2 5 33 5" xfId="56391"/>
    <cellStyle name="输入 2 5 33 6" xfId="56392"/>
    <cellStyle name="输入 2 5 33 7" xfId="56393"/>
    <cellStyle name="输入 2 5 33 8" xfId="56394"/>
    <cellStyle name="输入 2 5 33 9" xfId="56395"/>
    <cellStyle name="输入 2 5 34" xfId="9859"/>
    <cellStyle name="输入 2 5 34 10" xfId="56396"/>
    <cellStyle name="输入 2 5 34 11" xfId="56397"/>
    <cellStyle name="输入 2 5 34 12" xfId="56398"/>
    <cellStyle name="输入 2 5 34 2" xfId="9860"/>
    <cellStyle name="输入 2 5 34 2 2" xfId="56399"/>
    <cellStyle name="输入 2 5 34 3" xfId="56400"/>
    <cellStyle name="输入 2 5 34 4" xfId="56401"/>
    <cellStyle name="输入 2 5 34 5" xfId="56402"/>
    <cellStyle name="输入 2 5 34 6" xfId="56403"/>
    <cellStyle name="输入 2 5 34 7" xfId="56404"/>
    <cellStyle name="输入 2 5 34 8" xfId="56405"/>
    <cellStyle name="输入 2 5 34 9" xfId="56406"/>
    <cellStyle name="输入 2 5 35" xfId="9861"/>
    <cellStyle name="输入 2 5 35 10" xfId="56407"/>
    <cellStyle name="输入 2 5 35 11" xfId="56408"/>
    <cellStyle name="输入 2 5 35 2" xfId="9862"/>
    <cellStyle name="输入 2 5 35 2 2" xfId="56409"/>
    <cellStyle name="输入 2 5 35 3" xfId="56410"/>
    <cellStyle name="输入 2 5 35 4" xfId="56411"/>
    <cellStyle name="输入 2 5 35 5" xfId="56412"/>
    <cellStyle name="输入 2 5 35 6" xfId="56413"/>
    <cellStyle name="输入 2 5 35 7" xfId="56414"/>
    <cellStyle name="输入 2 5 35 8" xfId="56415"/>
    <cellStyle name="输入 2 5 35 9" xfId="56416"/>
    <cellStyle name="输入 2 5 36" xfId="9863"/>
    <cellStyle name="输入 2 5 36 10" xfId="56417"/>
    <cellStyle name="输入 2 5 36 11" xfId="56418"/>
    <cellStyle name="输入 2 5 36 12" xfId="56419"/>
    <cellStyle name="输入 2 5 36 2" xfId="9864"/>
    <cellStyle name="输入 2 5 36 2 2" xfId="56420"/>
    <cellStyle name="输入 2 5 36 3" xfId="56421"/>
    <cellStyle name="输入 2 5 36 4" xfId="56422"/>
    <cellStyle name="输入 2 5 36 5" xfId="56423"/>
    <cellStyle name="输入 2 5 36 6" xfId="56424"/>
    <cellStyle name="输入 2 5 36 7" xfId="56425"/>
    <cellStyle name="输入 2 5 36 8" xfId="56426"/>
    <cellStyle name="输入 2 5 36 9" xfId="56427"/>
    <cellStyle name="输入 2 5 37" xfId="9865"/>
    <cellStyle name="输入 2 5 37 10" xfId="56428"/>
    <cellStyle name="输入 2 5 37 11" xfId="56429"/>
    <cellStyle name="输入 2 5 37 12" xfId="56430"/>
    <cellStyle name="输入 2 5 37 2" xfId="9866"/>
    <cellStyle name="输入 2 5 37 2 2" xfId="56431"/>
    <cellStyle name="输入 2 5 37 3" xfId="56432"/>
    <cellStyle name="输入 2 5 37 4" xfId="56433"/>
    <cellStyle name="输入 2 5 37 5" xfId="56434"/>
    <cellStyle name="输入 2 5 37 6" xfId="56435"/>
    <cellStyle name="输入 2 5 37 7" xfId="56436"/>
    <cellStyle name="输入 2 5 37 8" xfId="56437"/>
    <cellStyle name="输入 2 5 37 9" xfId="56438"/>
    <cellStyle name="输入 2 5 38" xfId="9867"/>
    <cellStyle name="输入 2 5 38 10" xfId="56439"/>
    <cellStyle name="输入 2 5 38 11" xfId="56440"/>
    <cellStyle name="输入 2 5 38 12" xfId="56441"/>
    <cellStyle name="输入 2 5 38 2" xfId="9868"/>
    <cellStyle name="输入 2 5 38 2 2" xfId="56442"/>
    <cellStyle name="输入 2 5 38 3" xfId="56443"/>
    <cellStyle name="输入 2 5 38 4" xfId="56444"/>
    <cellStyle name="输入 2 5 38 5" xfId="56445"/>
    <cellStyle name="输入 2 5 38 6" xfId="56446"/>
    <cellStyle name="输入 2 5 38 7" xfId="56447"/>
    <cellStyle name="输入 2 5 38 8" xfId="56448"/>
    <cellStyle name="输入 2 5 38 9" xfId="56449"/>
    <cellStyle name="输入 2 5 39" xfId="9869"/>
    <cellStyle name="输入 2 5 39 10" xfId="56450"/>
    <cellStyle name="输入 2 5 39 11" xfId="56451"/>
    <cellStyle name="输入 2 5 39 12" xfId="56452"/>
    <cellStyle name="输入 2 5 39 2" xfId="9870"/>
    <cellStyle name="输入 2 5 39 2 2" xfId="56453"/>
    <cellStyle name="输入 2 5 39 3" xfId="56454"/>
    <cellStyle name="输入 2 5 39 4" xfId="56455"/>
    <cellStyle name="输入 2 5 39 5" xfId="56456"/>
    <cellStyle name="输入 2 5 39 6" xfId="56457"/>
    <cellStyle name="输入 2 5 39 7" xfId="56458"/>
    <cellStyle name="输入 2 5 39 8" xfId="56459"/>
    <cellStyle name="输入 2 5 39 9" xfId="56460"/>
    <cellStyle name="输入 2 5 4" xfId="9871"/>
    <cellStyle name="输入 2 5 4 10" xfId="56461"/>
    <cellStyle name="输入 2 5 4 11" xfId="56462"/>
    <cellStyle name="输入 2 5 4 12" xfId="56463"/>
    <cellStyle name="输入 2 5 4 2" xfId="9872"/>
    <cellStyle name="输入 2 5 4 2 2" xfId="56464"/>
    <cellStyle name="输入 2 5 4 3" xfId="56465"/>
    <cellStyle name="输入 2 5 4 4" xfId="56466"/>
    <cellStyle name="输入 2 5 4 5" xfId="56467"/>
    <cellStyle name="输入 2 5 4 6" xfId="56468"/>
    <cellStyle name="输入 2 5 4 7" xfId="56469"/>
    <cellStyle name="输入 2 5 4 8" xfId="56470"/>
    <cellStyle name="输入 2 5 4 9" xfId="56471"/>
    <cellStyle name="输入 2 5 40" xfId="9873"/>
    <cellStyle name="输入 2 5 40 10" xfId="56472"/>
    <cellStyle name="输入 2 5 40 11" xfId="56473"/>
    <cellStyle name="输入 2 5 40 12" xfId="56474"/>
    <cellStyle name="输入 2 5 40 2" xfId="9874"/>
    <cellStyle name="输入 2 5 40 2 2" xfId="56475"/>
    <cellStyle name="输入 2 5 40 3" xfId="56476"/>
    <cellStyle name="输入 2 5 40 4" xfId="56477"/>
    <cellStyle name="输入 2 5 40 5" xfId="56478"/>
    <cellStyle name="输入 2 5 40 6" xfId="56479"/>
    <cellStyle name="输入 2 5 40 7" xfId="56480"/>
    <cellStyle name="输入 2 5 40 8" xfId="56481"/>
    <cellStyle name="输入 2 5 40 9" xfId="56482"/>
    <cellStyle name="输入 2 5 41" xfId="9875"/>
    <cellStyle name="输入 2 5 41 10" xfId="56483"/>
    <cellStyle name="输入 2 5 41 11" xfId="56484"/>
    <cellStyle name="输入 2 5 41 12" xfId="56485"/>
    <cellStyle name="输入 2 5 41 2" xfId="9876"/>
    <cellStyle name="输入 2 5 41 2 2" xfId="56486"/>
    <cellStyle name="输入 2 5 41 3" xfId="56487"/>
    <cellStyle name="输入 2 5 41 4" xfId="56488"/>
    <cellStyle name="输入 2 5 41 5" xfId="56489"/>
    <cellStyle name="输入 2 5 41 6" xfId="56490"/>
    <cellStyle name="输入 2 5 41 7" xfId="56491"/>
    <cellStyle name="输入 2 5 41 8" xfId="56492"/>
    <cellStyle name="输入 2 5 41 9" xfId="56493"/>
    <cellStyle name="输入 2 5 42" xfId="9877"/>
    <cellStyle name="输入 2 5 42 10" xfId="56494"/>
    <cellStyle name="输入 2 5 42 11" xfId="56495"/>
    <cellStyle name="输入 2 5 42 12" xfId="56496"/>
    <cellStyle name="输入 2 5 42 2" xfId="9878"/>
    <cellStyle name="输入 2 5 42 2 2" xfId="56497"/>
    <cellStyle name="输入 2 5 42 3" xfId="56498"/>
    <cellStyle name="输入 2 5 42 4" xfId="56499"/>
    <cellStyle name="输入 2 5 42 5" xfId="56500"/>
    <cellStyle name="输入 2 5 42 6" xfId="56501"/>
    <cellStyle name="输入 2 5 42 7" xfId="56502"/>
    <cellStyle name="输入 2 5 42 8" xfId="56503"/>
    <cellStyle name="输入 2 5 42 9" xfId="56504"/>
    <cellStyle name="输入 2 5 43" xfId="9879"/>
    <cellStyle name="输入 2 5 43 10" xfId="56505"/>
    <cellStyle name="输入 2 5 43 11" xfId="56506"/>
    <cellStyle name="输入 2 5 43 12" xfId="56507"/>
    <cellStyle name="输入 2 5 43 2" xfId="9880"/>
    <cellStyle name="输入 2 5 43 2 2" xfId="56508"/>
    <cellStyle name="输入 2 5 43 3" xfId="56509"/>
    <cellStyle name="输入 2 5 43 4" xfId="56510"/>
    <cellStyle name="输入 2 5 43 5" xfId="56511"/>
    <cellStyle name="输入 2 5 43 6" xfId="56512"/>
    <cellStyle name="输入 2 5 43 7" xfId="56513"/>
    <cellStyle name="输入 2 5 43 8" xfId="56514"/>
    <cellStyle name="输入 2 5 43 9" xfId="56515"/>
    <cellStyle name="输入 2 5 44" xfId="9881"/>
    <cellStyle name="输入 2 5 44 10" xfId="56516"/>
    <cellStyle name="输入 2 5 44 11" xfId="56517"/>
    <cellStyle name="输入 2 5 44 12" xfId="56518"/>
    <cellStyle name="输入 2 5 44 2" xfId="9882"/>
    <cellStyle name="输入 2 5 44 2 2" xfId="56519"/>
    <cellStyle name="输入 2 5 44 3" xfId="56520"/>
    <cellStyle name="输入 2 5 44 4" xfId="56521"/>
    <cellStyle name="输入 2 5 44 5" xfId="56522"/>
    <cellStyle name="输入 2 5 44 6" xfId="56523"/>
    <cellStyle name="输入 2 5 44 7" xfId="56524"/>
    <cellStyle name="输入 2 5 44 8" xfId="56525"/>
    <cellStyle name="输入 2 5 44 9" xfId="56526"/>
    <cellStyle name="输入 2 5 45" xfId="9883"/>
    <cellStyle name="输入 2 5 45 10" xfId="56527"/>
    <cellStyle name="输入 2 5 45 11" xfId="56528"/>
    <cellStyle name="输入 2 5 45 12" xfId="56529"/>
    <cellStyle name="输入 2 5 45 2" xfId="9884"/>
    <cellStyle name="输入 2 5 45 2 2" xfId="56530"/>
    <cellStyle name="输入 2 5 45 3" xfId="56531"/>
    <cellStyle name="输入 2 5 45 4" xfId="56532"/>
    <cellStyle name="输入 2 5 45 5" xfId="56533"/>
    <cellStyle name="输入 2 5 45 6" xfId="56534"/>
    <cellStyle name="输入 2 5 45 7" xfId="56535"/>
    <cellStyle name="输入 2 5 45 8" xfId="56536"/>
    <cellStyle name="输入 2 5 45 9" xfId="56537"/>
    <cellStyle name="输入 2 5 46" xfId="9885"/>
    <cellStyle name="输入 2 5 46 10" xfId="56538"/>
    <cellStyle name="输入 2 5 46 11" xfId="56539"/>
    <cellStyle name="输入 2 5 46 12" xfId="56540"/>
    <cellStyle name="输入 2 5 46 2" xfId="9886"/>
    <cellStyle name="输入 2 5 46 2 2" xfId="56541"/>
    <cellStyle name="输入 2 5 46 3" xfId="56542"/>
    <cellStyle name="输入 2 5 46 4" xfId="56543"/>
    <cellStyle name="输入 2 5 46 5" xfId="56544"/>
    <cellStyle name="输入 2 5 46 6" xfId="56545"/>
    <cellStyle name="输入 2 5 46 7" xfId="56546"/>
    <cellStyle name="输入 2 5 46 8" xfId="56547"/>
    <cellStyle name="输入 2 5 46 9" xfId="56548"/>
    <cellStyle name="输入 2 5 47" xfId="9887"/>
    <cellStyle name="输入 2 5 47 10" xfId="56549"/>
    <cellStyle name="输入 2 5 47 11" xfId="56550"/>
    <cellStyle name="输入 2 5 47 12" xfId="56551"/>
    <cellStyle name="输入 2 5 47 2" xfId="9888"/>
    <cellStyle name="输入 2 5 47 2 2" xfId="56552"/>
    <cellStyle name="输入 2 5 47 3" xfId="56553"/>
    <cellStyle name="输入 2 5 47 4" xfId="56554"/>
    <cellStyle name="输入 2 5 47 5" xfId="56555"/>
    <cellStyle name="输入 2 5 47 6" xfId="56556"/>
    <cellStyle name="输入 2 5 47 7" xfId="56557"/>
    <cellStyle name="输入 2 5 47 8" xfId="56558"/>
    <cellStyle name="输入 2 5 47 9" xfId="56559"/>
    <cellStyle name="输入 2 5 48" xfId="9889"/>
    <cellStyle name="输入 2 5 48 10" xfId="56560"/>
    <cellStyle name="输入 2 5 48 11" xfId="56561"/>
    <cellStyle name="输入 2 5 48 12" xfId="56562"/>
    <cellStyle name="输入 2 5 48 2" xfId="9890"/>
    <cellStyle name="输入 2 5 48 2 2" xfId="56563"/>
    <cellStyle name="输入 2 5 48 3" xfId="56564"/>
    <cellStyle name="输入 2 5 48 4" xfId="56565"/>
    <cellStyle name="输入 2 5 48 5" xfId="56566"/>
    <cellStyle name="输入 2 5 48 6" xfId="56567"/>
    <cellStyle name="输入 2 5 48 7" xfId="56568"/>
    <cellStyle name="输入 2 5 48 8" xfId="56569"/>
    <cellStyle name="输入 2 5 48 9" xfId="56570"/>
    <cellStyle name="输入 2 5 49" xfId="9891"/>
    <cellStyle name="输入 2 5 49 10" xfId="56571"/>
    <cellStyle name="输入 2 5 49 11" xfId="56572"/>
    <cellStyle name="输入 2 5 49 12" xfId="56573"/>
    <cellStyle name="输入 2 5 49 2" xfId="9892"/>
    <cellStyle name="输入 2 5 49 2 2" xfId="56574"/>
    <cellStyle name="输入 2 5 49 3" xfId="56575"/>
    <cellStyle name="输入 2 5 49 4" xfId="56576"/>
    <cellStyle name="输入 2 5 49 5" xfId="56577"/>
    <cellStyle name="输入 2 5 49 6" xfId="56578"/>
    <cellStyle name="输入 2 5 49 7" xfId="56579"/>
    <cellStyle name="输入 2 5 49 8" xfId="56580"/>
    <cellStyle name="输入 2 5 49 9" xfId="56581"/>
    <cellStyle name="输入 2 5 5" xfId="9893"/>
    <cellStyle name="输入 2 5 5 10" xfId="56582"/>
    <cellStyle name="输入 2 5 5 11" xfId="56583"/>
    <cellStyle name="输入 2 5 5 2" xfId="9894"/>
    <cellStyle name="输入 2 5 5 2 2" xfId="56584"/>
    <cellStyle name="输入 2 5 5 3" xfId="56585"/>
    <cellStyle name="输入 2 5 5 4" xfId="56586"/>
    <cellStyle name="输入 2 5 5 5" xfId="56587"/>
    <cellStyle name="输入 2 5 5 6" xfId="56588"/>
    <cellStyle name="输入 2 5 5 7" xfId="56589"/>
    <cellStyle name="输入 2 5 5 8" xfId="56590"/>
    <cellStyle name="输入 2 5 5 9" xfId="56591"/>
    <cellStyle name="输入 2 5 50" xfId="9895"/>
    <cellStyle name="输入 2 5 50 10" xfId="56592"/>
    <cellStyle name="输入 2 5 50 11" xfId="56593"/>
    <cellStyle name="输入 2 5 50 12" xfId="56594"/>
    <cellStyle name="输入 2 5 50 2" xfId="9896"/>
    <cellStyle name="输入 2 5 50 2 2" xfId="56595"/>
    <cellStyle name="输入 2 5 50 3" xfId="56596"/>
    <cellStyle name="输入 2 5 50 4" xfId="56597"/>
    <cellStyle name="输入 2 5 50 5" xfId="56598"/>
    <cellStyle name="输入 2 5 50 6" xfId="56599"/>
    <cellStyle name="输入 2 5 50 7" xfId="56600"/>
    <cellStyle name="输入 2 5 50 8" xfId="56601"/>
    <cellStyle name="输入 2 5 50 9" xfId="56602"/>
    <cellStyle name="输入 2 5 51" xfId="9897"/>
    <cellStyle name="输入 2 5 51 10" xfId="56603"/>
    <cellStyle name="输入 2 5 51 11" xfId="56604"/>
    <cellStyle name="输入 2 5 51 12" xfId="56605"/>
    <cellStyle name="输入 2 5 51 2" xfId="9898"/>
    <cellStyle name="输入 2 5 51 2 2" xfId="56606"/>
    <cellStyle name="输入 2 5 51 3" xfId="56607"/>
    <cellStyle name="输入 2 5 51 4" xfId="56608"/>
    <cellStyle name="输入 2 5 51 5" xfId="56609"/>
    <cellStyle name="输入 2 5 51 6" xfId="56610"/>
    <cellStyle name="输入 2 5 51 7" xfId="56611"/>
    <cellStyle name="输入 2 5 51 8" xfId="56612"/>
    <cellStyle name="输入 2 5 51 9" xfId="56613"/>
    <cellStyle name="输入 2 5 52" xfId="9899"/>
    <cellStyle name="输入 2 5 52 10" xfId="56614"/>
    <cellStyle name="输入 2 5 52 11" xfId="56615"/>
    <cellStyle name="输入 2 5 52 12" xfId="56616"/>
    <cellStyle name="输入 2 5 52 2" xfId="9900"/>
    <cellStyle name="输入 2 5 52 2 2" xfId="56617"/>
    <cellStyle name="输入 2 5 52 3" xfId="56618"/>
    <cellStyle name="输入 2 5 52 4" xfId="56619"/>
    <cellStyle name="输入 2 5 52 5" xfId="56620"/>
    <cellStyle name="输入 2 5 52 6" xfId="56621"/>
    <cellStyle name="输入 2 5 52 7" xfId="56622"/>
    <cellStyle name="输入 2 5 52 8" xfId="56623"/>
    <cellStyle name="输入 2 5 52 9" xfId="56624"/>
    <cellStyle name="输入 2 5 53" xfId="9901"/>
    <cellStyle name="输入 2 5 53 10" xfId="56625"/>
    <cellStyle name="输入 2 5 53 11" xfId="56626"/>
    <cellStyle name="输入 2 5 53 12" xfId="56627"/>
    <cellStyle name="输入 2 5 53 2" xfId="9902"/>
    <cellStyle name="输入 2 5 53 2 2" xfId="56628"/>
    <cellStyle name="输入 2 5 53 3" xfId="56629"/>
    <cellStyle name="输入 2 5 53 4" xfId="56630"/>
    <cellStyle name="输入 2 5 53 5" xfId="56631"/>
    <cellStyle name="输入 2 5 53 6" xfId="56632"/>
    <cellStyle name="输入 2 5 53 7" xfId="56633"/>
    <cellStyle name="输入 2 5 53 8" xfId="56634"/>
    <cellStyle name="输入 2 5 53 9" xfId="56635"/>
    <cellStyle name="输入 2 5 54" xfId="9903"/>
    <cellStyle name="输入 2 5 54 10" xfId="56636"/>
    <cellStyle name="输入 2 5 54 11" xfId="56637"/>
    <cellStyle name="输入 2 5 54 2" xfId="9904"/>
    <cellStyle name="输入 2 5 54 2 2" xfId="56638"/>
    <cellStyle name="输入 2 5 54 3" xfId="56639"/>
    <cellStyle name="输入 2 5 54 4" xfId="56640"/>
    <cellStyle name="输入 2 5 54 5" xfId="56641"/>
    <cellStyle name="输入 2 5 54 6" xfId="56642"/>
    <cellStyle name="输入 2 5 54 7" xfId="56643"/>
    <cellStyle name="输入 2 5 54 8" xfId="56644"/>
    <cellStyle name="输入 2 5 54 9" xfId="56645"/>
    <cellStyle name="输入 2 5 55" xfId="9905"/>
    <cellStyle name="输入 2 5 55 10" xfId="56646"/>
    <cellStyle name="输入 2 5 55 11" xfId="56647"/>
    <cellStyle name="输入 2 5 55 12" xfId="56648"/>
    <cellStyle name="输入 2 5 55 2" xfId="9906"/>
    <cellStyle name="输入 2 5 55 2 2" xfId="56649"/>
    <cellStyle name="输入 2 5 55 3" xfId="56650"/>
    <cellStyle name="输入 2 5 55 4" xfId="56651"/>
    <cellStyle name="输入 2 5 55 5" xfId="56652"/>
    <cellStyle name="输入 2 5 55 6" xfId="56653"/>
    <cellStyle name="输入 2 5 55 7" xfId="56654"/>
    <cellStyle name="输入 2 5 55 8" xfId="56655"/>
    <cellStyle name="输入 2 5 55 9" xfId="56656"/>
    <cellStyle name="输入 2 5 56" xfId="9907"/>
    <cellStyle name="输入 2 5 56 10" xfId="56657"/>
    <cellStyle name="输入 2 5 56 11" xfId="56658"/>
    <cellStyle name="输入 2 5 56 12" xfId="56659"/>
    <cellStyle name="输入 2 5 56 2" xfId="9908"/>
    <cellStyle name="输入 2 5 56 2 2" xfId="56660"/>
    <cellStyle name="输入 2 5 56 3" xfId="56661"/>
    <cellStyle name="输入 2 5 56 4" xfId="56662"/>
    <cellStyle name="输入 2 5 56 5" xfId="56663"/>
    <cellStyle name="输入 2 5 56 6" xfId="56664"/>
    <cellStyle name="输入 2 5 56 7" xfId="56665"/>
    <cellStyle name="输入 2 5 56 8" xfId="56666"/>
    <cellStyle name="输入 2 5 56 9" xfId="56667"/>
    <cellStyle name="输入 2 5 57" xfId="9909"/>
    <cellStyle name="输入 2 5 57 10" xfId="56668"/>
    <cellStyle name="输入 2 5 57 11" xfId="56669"/>
    <cellStyle name="输入 2 5 57 12" xfId="56670"/>
    <cellStyle name="输入 2 5 57 2" xfId="9910"/>
    <cellStyle name="输入 2 5 57 2 2" xfId="56671"/>
    <cellStyle name="输入 2 5 57 3" xfId="56672"/>
    <cellStyle name="输入 2 5 57 4" xfId="56673"/>
    <cellStyle name="输入 2 5 57 5" xfId="56674"/>
    <cellStyle name="输入 2 5 57 6" xfId="56675"/>
    <cellStyle name="输入 2 5 57 7" xfId="56676"/>
    <cellStyle name="输入 2 5 57 8" xfId="56677"/>
    <cellStyle name="输入 2 5 57 9" xfId="56678"/>
    <cellStyle name="输入 2 5 58" xfId="9911"/>
    <cellStyle name="输入 2 5 58 10" xfId="56679"/>
    <cellStyle name="输入 2 5 58 11" xfId="56680"/>
    <cellStyle name="输入 2 5 58 12" xfId="56681"/>
    <cellStyle name="输入 2 5 58 2" xfId="9912"/>
    <cellStyle name="输入 2 5 58 2 2" xfId="56682"/>
    <cellStyle name="输入 2 5 58 3" xfId="56683"/>
    <cellStyle name="输入 2 5 58 4" xfId="56684"/>
    <cellStyle name="输入 2 5 58 5" xfId="56685"/>
    <cellStyle name="输入 2 5 58 6" xfId="56686"/>
    <cellStyle name="输入 2 5 58 7" xfId="56687"/>
    <cellStyle name="输入 2 5 58 8" xfId="56688"/>
    <cellStyle name="输入 2 5 58 9" xfId="56689"/>
    <cellStyle name="输入 2 5 59" xfId="9913"/>
    <cellStyle name="输入 2 5 59 10" xfId="56690"/>
    <cellStyle name="输入 2 5 59 11" xfId="56691"/>
    <cellStyle name="输入 2 5 59 2" xfId="9914"/>
    <cellStyle name="输入 2 5 59 2 2" xfId="56692"/>
    <cellStyle name="输入 2 5 59 3" xfId="56693"/>
    <cellStyle name="输入 2 5 59 4" xfId="56694"/>
    <cellStyle name="输入 2 5 59 5" xfId="56695"/>
    <cellStyle name="输入 2 5 59 6" xfId="56696"/>
    <cellStyle name="输入 2 5 59 7" xfId="56697"/>
    <cellStyle name="输入 2 5 59 8" xfId="56698"/>
    <cellStyle name="输入 2 5 59 9" xfId="56699"/>
    <cellStyle name="输入 2 5 6" xfId="9915"/>
    <cellStyle name="输入 2 5 6 10" xfId="56700"/>
    <cellStyle name="输入 2 5 6 11" xfId="56701"/>
    <cellStyle name="输入 2 5 6 2" xfId="9916"/>
    <cellStyle name="输入 2 5 6 2 2" xfId="56702"/>
    <cellStyle name="输入 2 5 6 3" xfId="56703"/>
    <cellStyle name="输入 2 5 6 4" xfId="56704"/>
    <cellStyle name="输入 2 5 6 5" xfId="56705"/>
    <cellStyle name="输入 2 5 6 6" xfId="56706"/>
    <cellStyle name="输入 2 5 6 7" xfId="56707"/>
    <cellStyle name="输入 2 5 6 8" xfId="56708"/>
    <cellStyle name="输入 2 5 6 9" xfId="56709"/>
    <cellStyle name="输入 2 5 60" xfId="9917"/>
    <cellStyle name="输入 2 5 60 10" xfId="56710"/>
    <cellStyle name="输入 2 5 60 11" xfId="56711"/>
    <cellStyle name="输入 2 5 60 12" xfId="56712"/>
    <cellStyle name="输入 2 5 60 2" xfId="9918"/>
    <cellStyle name="输入 2 5 60 2 2" xfId="56713"/>
    <cellStyle name="输入 2 5 60 3" xfId="56714"/>
    <cellStyle name="输入 2 5 60 4" xfId="56715"/>
    <cellStyle name="输入 2 5 60 5" xfId="56716"/>
    <cellStyle name="输入 2 5 60 6" xfId="56717"/>
    <cellStyle name="输入 2 5 60 7" xfId="56718"/>
    <cellStyle name="输入 2 5 60 8" xfId="56719"/>
    <cellStyle name="输入 2 5 60 9" xfId="56720"/>
    <cellStyle name="输入 2 5 61" xfId="9919"/>
    <cellStyle name="输入 2 5 61 10" xfId="56721"/>
    <cellStyle name="输入 2 5 61 11" xfId="56722"/>
    <cellStyle name="输入 2 5 61 12" xfId="56723"/>
    <cellStyle name="输入 2 5 61 2" xfId="9920"/>
    <cellStyle name="输入 2 5 61 2 2" xfId="56724"/>
    <cellStyle name="输入 2 5 61 3" xfId="56725"/>
    <cellStyle name="输入 2 5 61 4" xfId="56726"/>
    <cellStyle name="输入 2 5 61 5" xfId="56727"/>
    <cellStyle name="输入 2 5 61 6" xfId="56728"/>
    <cellStyle name="输入 2 5 61 7" xfId="56729"/>
    <cellStyle name="输入 2 5 61 8" xfId="56730"/>
    <cellStyle name="输入 2 5 61 9" xfId="56731"/>
    <cellStyle name="输入 2 5 62" xfId="9921"/>
    <cellStyle name="输入 2 5 62 10" xfId="56732"/>
    <cellStyle name="输入 2 5 62 11" xfId="56733"/>
    <cellStyle name="输入 2 5 62 12" xfId="56734"/>
    <cellStyle name="输入 2 5 62 2" xfId="9922"/>
    <cellStyle name="输入 2 5 62 2 2" xfId="56735"/>
    <cellStyle name="输入 2 5 62 3" xfId="56736"/>
    <cellStyle name="输入 2 5 62 4" xfId="56737"/>
    <cellStyle name="输入 2 5 62 5" xfId="56738"/>
    <cellStyle name="输入 2 5 62 6" xfId="56739"/>
    <cellStyle name="输入 2 5 62 7" xfId="56740"/>
    <cellStyle name="输入 2 5 62 8" xfId="56741"/>
    <cellStyle name="输入 2 5 62 9" xfId="56742"/>
    <cellStyle name="输入 2 5 63" xfId="9923"/>
    <cellStyle name="输入 2 5 63 10" xfId="56743"/>
    <cellStyle name="输入 2 5 63 11" xfId="56744"/>
    <cellStyle name="输入 2 5 63 12" xfId="56745"/>
    <cellStyle name="输入 2 5 63 2" xfId="9924"/>
    <cellStyle name="输入 2 5 63 2 2" xfId="56746"/>
    <cellStyle name="输入 2 5 63 3" xfId="56747"/>
    <cellStyle name="输入 2 5 63 4" xfId="56748"/>
    <cellStyle name="输入 2 5 63 5" xfId="56749"/>
    <cellStyle name="输入 2 5 63 6" xfId="56750"/>
    <cellStyle name="输入 2 5 63 7" xfId="56751"/>
    <cellStyle name="输入 2 5 63 8" xfId="56752"/>
    <cellStyle name="输入 2 5 63 9" xfId="56753"/>
    <cellStyle name="输入 2 5 64" xfId="9925"/>
    <cellStyle name="输入 2 5 64 10" xfId="56754"/>
    <cellStyle name="输入 2 5 64 11" xfId="56755"/>
    <cellStyle name="输入 2 5 64 12" xfId="56756"/>
    <cellStyle name="输入 2 5 64 2" xfId="9926"/>
    <cellStyle name="输入 2 5 64 2 2" xfId="56757"/>
    <cellStyle name="输入 2 5 64 3" xfId="56758"/>
    <cellStyle name="输入 2 5 64 4" xfId="56759"/>
    <cellStyle name="输入 2 5 64 5" xfId="56760"/>
    <cellStyle name="输入 2 5 64 6" xfId="56761"/>
    <cellStyle name="输入 2 5 64 7" xfId="56762"/>
    <cellStyle name="输入 2 5 64 8" xfId="56763"/>
    <cellStyle name="输入 2 5 64 9" xfId="56764"/>
    <cellStyle name="输入 2 5 65" xfId="9927"/>
    <cellStyle name="输入 2 5 65 10" xfId="56765"/>
    <cellStyle name="输入 2 5 65 11" xfId="56766"/>
    <cellStyle name="输入 2 5 65 12" xfId="56767"/>
    <cellStyle name="输入 2 5 65 2" xfId="9928"/>
    <cellStyle name="输入 2 5 65 2 2" xfId="56768"/>
    <cellStyle name="输入 2 5 65 3" xfId="56769"/>
    <cellStyle name="输入 2 5 65 4" xfId="56770"/>
    <cellStyle name="输入 2 5 65 5" xfId="56771"/>
    <cellStyle name="输入 2 5 65 6" xfId="56772"/>
    <cellStyle name="输入 2 5 65 7" xfId="56773"/>
    <cellStyle name="输入 2 5 65 8" xfId="56774"/>
    <cellStyle name="输入 2 5 65 9" xfId="56775"/>
    <cellStyle name="输入 2 5 66" xfId="9929"/>
    <cellStyle name="输入 2 5 66 10" xfId="56776"/>
    <cellStyle name="输入 2 5 66 11" xfId="56777"/>
    <cellStyle name="输入 2 5 66 12" xfId="56778"/>
    <cellStyle name="输入 2 5 66 2" xfId="9930"/>
    <cellStyle name="输入 2 5 66 2 2" xfId="56779"/>
    <cellStyle name="输入 2 5 66 3" xfId="56780"/>
    <cellStyle name="输入 2 5 66 4" xfId="56781"/>
    <cellStyle name="输入 2 5 66 5" xfId="56782"/>
    <cellStyle name="输入 2 5 66 6" xfId="56783"/>
    <cellStyle name="输入 2 5 66 7" xfId="56784"/>
    <cellStyle name="输入 2 5 66 8" xfId="56785"/>
    <cellStyle name="输入 2 5 66 9" xfId="56786"/>
    <cellStyle name="输入 2 5 67" xfId="9931"/>
    <cellStyle name="输入 2 5 67 10" xfId="56787"/>
    <cellStyle name="输入 2 5 67 11" xfId="56788"/>
    <cellStyle name="输入 2 5 67 12" xfId="56789"/>
    <cellStyle name="输入 2 5 67 2" xfId="9932"/>
    <cellStyle name="输入 2 5 67 2 2" xfId="56790"/>
    <cellStyle name="输入 2 5 67 3" xfId="56791"/>
    <cellStyle name="输入 2 5 67 4" xfId="56792"/>
    <cellStyle name="输入 2 5 67 5" xfId="56793"/>
    <cellStyle name="输入 2 5 67 6" xfId="56794"/>
    <cellStyle name="输入 2 5 67 7" xfId="56795"/>
    <cellStyle name="输入 2 5 67 8" xfId="56796"/>
    <cellStyle name="输入 2 5 67 9" xfId="56797"/>
    <cellStyle name="输入 2 5 68" xfId="9933"/>
    <cellStyle name="输入 2 5 68 10" xfId="56798"/>
    <cellStyle name="输入 2 5 68 11" xfId="56799"/>
    <cellStyle name="输入 2 5 68 12" xfId="56800"/>
    <cellStyle name="输入 2 5 68 2" xfId="9934"/>
    <cellStyle name="输入 2 5 68 2 2" xfId="56801"/>
    <cellStyle name="输入 2 5 68 3" xfId="56802"/>
    <cellStyle name="输入 2 5 68 4" xfId="56803"/>
    <cellStyle name="输入 2 5 68 5" xfId="56804"/>
    <cellStyle name="输入 2 5 68 6" xfId="56805"/>
    <cellStyle name="输入 2 5 68 7" xfId="56806"/>
    <cellStyle name="输入 2 5 68 8" xfId="56807"/>
    <cellStyle name="输入 2 5 68 9" xfId="56808"/>
    <cellStyle name="输入 2 5 69" xfId="9935"/>
    <cellStyle name="输入 2 5 69 10" xfId="56809"/>
    <cellStyle name="输入 2 5 69 11" xfId="56810"/>
    <cellStyle name="输入 2 5 69 12" xfId="56811"/>
    <cellStyle name="输入 2 5 69 2" xfId="9936"/>
    <cellStyle name="输入 2 5 69 2 2" xfId="56812"/>
    <cellStyle name="输入 2 5 69 3" xfId="56813"/>
    <cellStyle name="输入 2 5 69 4" xfId="56814"/>
    <cellStyle name="输入 2 5 69 5" xfId="56815"/>
    <cellStyle name="输入 2 5 69 6" xfId="56816"/>
    <cellStyle name="输入 2 5 69 7" xfId="56817"/>
    <cellStyle name="输入 2 5 69 8" xfId="56818"/>
    <cellStyle name="输入 2 5 69 9" xfId="56819"/>
    <cellStyle name="输入 2 5 7" xfId="9937"/>
    <cellStyle name="输入 2 5 7 10" xfId="56820"/>
    <cellStyle name="输入 2 5 7 11" xfId="56821"/>
    <cellStyle name="输入 2 5 7 2" xfId="9938"/>
    <cellStyle name="输入 2 5 7 2 2" xfId="56822"/>
    <cellStyle name="输入 2 5 7 3" xfId="56823"/>
    <cellStyle name="输入 2 5 7 4" xfId="56824"/>
    <cellStyle name="输入 2 5 7 5" xfId="56825"/>
    <cellStyle name="输入 2 5 7 6" xfId="56826"/>
    <cellStyle name="输入 2 5 7 7" xfId="56827"/>
    <cellStyle name="输入 2 5 7 8" xfId="56828"/>
    <cellStyle name="输入 2 5 7 9" xfId="56829"/>
    <cellStyle name="输入 2 5 70" xfId="9939"/>
    <cellStyle name="输入 2 5 70 10" xfId="56830"/>
    <cellStyle name="输入 2 5 70 11" xfId="56831"/>
    <cellStyle name="输入 2 5 70 12" xfId="56832"/>
    <cellStyle name="输入 2 5 70 2" xfId="9940"/>
    <cellStyle name="输入 2 5 70 2 2" xfId="56833"/>
    <cellStyle name="输入 2 5 70 3" xfId="56834"/>
    <cellStyle name="输入 2 5 70 4" xfId="56835"/>
    <cellStyle name="输入 2 5 70 5" xfId="56836"/>
    <cellStyle name="输入 2 5 70 6" xfId="56837"/>
    <cellStyle name="输入 2 5 70 7" xfId="56838"/>
    <cellStyle name="输入 2 5 70 8" xfId="56839"/>
    <cellStyle name="输入 2 5 70 9" xfId="56840"/>
    <cellStyle name="输入 2 5 71" xfId="9941"/>
    <cellStyle name="输入 2 5 71 10" xfId="56841"/>
    <cellStyle name="输入 2 5 71 11" xfId="56842"/>
    <cellStyle name="输入 2 5 71 12" xfId="56843"/>
    <cellStyle name="输入 2 5 71 2" xfId="9942"/>
    <cellStyle name="输入 2 5 71 2 2" xfId="56844"/>
    <cellStyle name="输入 2 5 71 3" xfId="56845"/>
    <cellStyle name="输入 2 5 71 4" xfId="56846"/>
    <cellStyle name="输入 2 5 71 5" xfId="56847"/>
    <cellStyle name="输入 2 5 71 6" xfId="56848"/>
    <cellStyle name="输入 2 5 71 7" xfId="56849"/>
    <cellStyle name="输入 2 5 71 8" xfId="56850"/>
    <cellStyle name="输入 2 5 71 9" xfId="56851"/>
    <cellStyle name="输入 2 5 72" xfId="9943"/>
    <cellStyle name="输入 2 5 72 10" xfId="56852"/>
    <cellStyle name="输入 2 5 72 11" xfId="56853"/>
    <cellStyle name="输入 2 5 72 12" xfId="56854"/>
    <cellStyle name="输入 2 5 72 2" xfId="9944"/>
    <cellStyle name="输入 2 5 72 2 2" xfId="56855"/>
    <cellStyle name="输入 2 5 72 3" xfId="56856"/>
    <cellStyle name="输入 2 5 72 4" xfId="56857"/>
    <cellStyle name="输入 2 5 72 5" xfId="56858"/>
    <cellStyle name="输入 2 5 72 6" xfId="56859"/>
    <cellStyle name="输入 2 5 72 7" xfId="56860"/>
    <cellStyle name="输入 2 5 72 8" xfId="56861"/>
    <cellStyle name="输入 2 5 72 9" xfId="56862"/>
    <cellStyle name="输入 2 5 73" xfId="9945"/>
    <cellStyle name="输入 2 5 73 10" xfId="56863"/>
    <cellStyle name="输入 2 5 73 11" xfId="56864"/>
    <cellStyle name="输入 2 5 73 12" xfId="56865"/>
    <cellStyle name="输入 2 5 73 2" xfId="9946"/>
    <cellStyle name="输入 2 5 73 2 2" xfId="56866"/>
    <cellStyle name="输入 2 5 73 3" xfId="56867"/>
    <cellStyle name="输入 2 5 73 4" xfId="56868"/>
    <cellStyle name="输入 2 5 73 5" xfId="56869"/>
    <cellStyle name="输入 2 5 73 6" xfId="56870"/>
    <cellStyle name="输入 2 5 73 7" xfId="56871"/>
    <cellStyle name="输入 2 5 73 8" xfId="56872"/>
    <cellStyle name="输入 2 5 73 9" xfId="56873"/>
    <cellStyle name="输入 2 5 74" xfId="9947"/>
    <cellStyle name="输入 2 5 74 10" xfId="56874"/>
    <cellStyle name="输入 2 5 74 11" xfId="56875"/>
    <cellStyle name="输入 2 5 74 12" xfId="56876"/>
    <cellStyle name="输入 2 5 74 2" xfId="9948"/>
    <cellStyle name="输入 2 5 74 2 2" xfId="56877"/>
    <cellStyle name="输入 2 5 74 3" xfId="56878"/>
    <cellStyle name="输入 2 5 74 4" xfId="56879"/>
    <cellStyle name="输入 2 5 74 5" xfId="56880"/>
    <cellStyle name="输入 2 5 74 6" xfId="56881"/>
    <cellStyle name="输入 2 5 74 7" xfId="56882"/>
    <cellStyle name="输入 2 5 74 8" xfId="56883"/>
    <cellStyle name="输入 2 5 74 9" xfId="56884"/>
    <cellStyle name="输入 2 5 75" xfId="9949"/>
    <cellStyle name="输入 2 5 75 10" xfId="56885"/>
    <cellStyle name="输入 2 5 75 11" xfId="56886"/>
    <cellStyle name="输入 2 5 75 12" xfId="56887"/>
    <cellStyle name="输入 2 5 75 2" xfId="9950"/>
    <cellStyle name="输入 2 5 75 2 2" xfId="56888"/>
    <cellStyle name="输入 2 5 75 3" xfId="56889"/>
    <cellStyle name="输入 2 5 75 4" xfId="56890"/>
    <cellStyle name="输入 2 5 75 5" xfId="56891"/>
    <cellStyle name="输入 2 5 75 6" xfId="56892"/>
    <cellStyle name="输入 2 5 75 7" xfId="56893"/>
    <cellStyle name="输入 2 5 75 8" xfId="56894"/>
    <cellStyle name="输入 2 5 75 9" xfId="56895"/>
    <cellStyle name="输入 2 5 76" xfId="9951"/>
    <cellStyle name="输入 2 5 76 10" xfId="56896"/>
    <cellStyle name="输入 2 5 76 11" xfId="56897"/>
    <cellStyle name="输入 2 5 76 12" xfId="56898"/>
    <cellStyle name="输入 2 5 76 2" xfId="9952"/>
    <cellStyle name="输入 2 5 76 2 2" xfId="56899"/>
    <cellStyle name="输入 2 5 76 3" xfId="56900"/>
    <cellStyle name="输入 2 5 76 4" xfId="56901"/>
    <cellStyle name="输入 2 5 76 5" xfId="56902"/>
    <cellStyle name="输入 2 5 76 6" xfId="56903"/>
    <cellStyle name="输入 2 5 76 7" xfId="56904"/>
    <cellStyle name="输入 2 5 76 8" xfId="56905"/>
    <cellStyle name="输入 2 5 76 9" xfId="56906"/>
    <cellStyle name="输入 2 5 77" xfId="9953"/>
    <cellStyle name="输入 2 5 77 10" xfId="56907"/>
    <cellStyle name="输入 2 5 77 11" xfId="56908"/>
    <cellStyle name="输入 2 5 77 12" xfId="56909"/>
    <cellStyle name="输入 2 5 77 2" xfId="9954"/>
    <cellStyle name="输入 2 5 77 2 2" xfId="56910"/>
    <cellStyle name="输入 2 5 77 3" xfId="56911"/>
    <cellStyle name="输入 2 5 77 4" xfId="56912"/>
    <cellStyle name="输入 2 5 77 5" xfId="56913"/>
    <cellStyle name="输入 2 5 77 6" xfId="56914"/>
    <cellStyle name="输入 2 5 77 7" xfId="56915"/>
    <cellStyle name="输入 2 5 77 8" xfId="56916"/>
    <cellStyle name="输入 2 5 77 9" xfId="56917"/>
    <cellStyle name="输入 2 5 78" xfId="9955"/>
    <cellStyle name="输入 2 5 78 10" xfId="56918"/>
    <cellStyle name="输入 2 5 78 11" xfId="56919"/>
    <cellStyle name="输入 2 5 78 12" xfId="56920"/>
    <cellStyle name="输入 2 5 78 2" xfId="9956"/>
    <cellStyle name="输入 2 5 78 2 2" xfId="56921"/>
    <cellStyle name="输入 2 5 78 3" xfId="56922"/>
    <cellStyle name="输入 2 5 78 4" xfId="56923"/>
    <cellStyle name="输入 2 5 78 5" xfId="56924"/>
    <cellStyle name="输入 2 5 78 6" xfId="56925"/>
    <cellStyle name="输入 2 5 78 7" xfId="56926"/>
    <cellStyle name="输入 2 5 78 8" xfId="56927"/>
    <cellStyle name="输入 2 5 78 9" xfId="56928"/>
    <cellStyle name="输入 2 5 79" xfId="9957"/>
    <cellStyle name="输入 2 5 79 10" xfId="56929"/>
    <cellStyle name="输入 2 5 79 11" xfId="56930"/>
    <cellStyle name="输入 2 5 79 12" xfId="56931"/>
    <cellStyle name="输入 2 5 79 2" xfId="9958"/>
    <cellStyle name="输入 2 5 79 2 2" xfId="56932"/>
    <cellStyle name="输入 2 5 79 3" xfId="56933"/>
    <cellStyle name="输入 2 5 79 4" xfId="56934"/>
    <cellStyle name="输入 2 5 79 5" xfId="56935"/>
    <cellStyle name="输入 2 5 79 6" xfId="56936"/>
    <cellStyle name="输入 2 5 79 7" xfId="56937"/>
    <cellStyle name="输入 2 5 79 8" xfId="56938"/>
    <cellStyle name="输入 2 5 79 9" xfId="56939"/>
    <cellStyle name="输入 2 5 8" xfId="9959"/>
    <cellStyle name="输入 2 5 8 10" xfId="56940"/>
    <cellStyle name="输入 2 5 8 11" xfId="56941"/>
    <cellStyle name="输入 2 5 8 2" xfId="9960"/>
    <cellStyle name="输入 2 5 8 2 2" xfId="56942"/>
    <cellStyle name="输入 2 5 8 3" xfId="56943"/>
    <cellStyle name="输入 2 5 8 4" xfId="56944"/>
    <cellStyle name="输入 2 5 8 5" xfId="56945"/>
    <cellStyle name="输入 2 5 8 6" xfId="56946"/>
    <cellStyle name="输入 2 5 8 7" xfId="56947"/>
    <cellStyle name="输入 2 5 8 8" xfId="56948"/>
    <cellStyle name="输入 2 5 8 9" xfId="56949"/>
    <cellStyle name="输入 2 5 80" xfId="9961"/>
    <cellStyle name="输入 2 5 80 10" xfId="56950"/>
    <cellStyle name="输入 2 5 80 11" xfId="56951"/>
    <cellStyle name="输入 2 5 80 12" xfId="56952"/>
    <cellStyle name="输入 2 5 80 2" xfId="9962"/>
    <cellStyle name="输入 2 5 80 2 2" xfId="56953"/>
    <cellStyle name="输入 2 5 80 3" xfId="56954"/>
    <cellStyle name="输入 2 5 80 4" xfId="56955"/>
    <cellStyle name="输入 2 5 80 5" xfId="56956"/>
    <cellStyle name="输入 2 5 80 6" xfId="56957"/>
    <cellStyle name="输入 2 5 80 7" xfId="56958"/>
    <cellStyle name="输入 2 5 80 8" xfId="56959"/>
    <cellStyle name="输入 2 5 80 9" xfId="56960"/>
    <cellStyle name="输入 2 5 81" xfId="9963"/>
    <cellStyle name="输入 2 5 81 10" xfId="56961"/>
    <cellStyle name="输入 2 5 81 11" xfId="56962"/>
    <cellStyle name="输入 2 5 81 12" xfId="56963"/>
    <cellStyle name="输入 2 5 81 2" xfId="9964"/>
    <cellStyle name="输入 2 5 81 2 2" xfId="56964"/>
    <cellStyle name="输入 2 5 81 3" xfId="56965"/>
    <cellStyle name="输入 2 5 81 4" xfId="56966"/>
    <cellStyle name="输入 2 5 81 5" xfId="56967"/>
    <cellStyle name="输入 2 5 81 6" xfId="56968"/>
    <cellStyle name="输入 2 5 81 7" xfId="56969"/>
    <cellStyle name="输入 2 5 81 8" xfId="56970"/>
    <cellStyle name="输入 2 5 81 9" xfId="56971"/>
    <cellStyle name="输入 2 5 82" xfId="9965"/>
    <cellStyle name="输入 2 5 82 10" xfId="56972"/>
    <cellStyle name="输入 2 5 82 11" xfId="56973"/>
    <cellStyle name="输入 2 5 82 12" xfId="56974"/>
    <cellStyle name="输入 2 5 82 2" xfId="9966"/>
    <cellStyle name="输入 2 5 82 2 2" xfId="56975"/>
    <cellStyle name="输入 2 5 82 3" xfId="56976"/>
    <cellStyle name="输入 2 5 82 4" xfId="56977"/>
    <cellStyle name="输入 2 5 82 5" xfId="56978"/>
    <cellStyle name="输入 2 5 82 6" xfId="56979"/>
    <cellStyle name="输入 2 5 82 7" xfId="56980"/>
    <cellStyle name="输入 2 5 82 8" xfId="56981"/>
    <cellStyle name="输入 2 5 82 9" xfId="56982"/>
    <cellStyle name="输入 2 5 83" xfId="9967"/>
    <cellStyle name="输入 2 5 83 10" xfId="56983"/>
    <cellStyle name="输入 2 5 83 11" xfId="56984"/>
    <cellStyle name="输入 2 5 83 12" xfId="56985"/>
    <cellStyle name="输入 2 5 83 2" xfId="9968"/>
    <cellStyle name="输入 2 5 83 2 2" xfId="56986"/>
    <cellStyle name="输入 2 5 83 3" xfId="56987"/>
    <cellStyle name="输入 2 5 83 4" xfId="56988"/>
    <cellStyle name="输入 2 5 83 5" xfId="56989"/>
    <cellStyle name="输入 2 5 83 6" xfId="56990"/>
    <cellStyle name="输入 2 5 83 7" xfId="56991"/>
    <cellStyle name="输入 2 5 83 8" xfId="56992"/>
    <cellStyle name="输入 2 5 83 9" xfId="56993"/>
    <cellStyle name="输入 2 5 84" xfId="9969"/>
    <cellStyle name="输入 2 5 84 10" xfId="56994"/>
    <cellStyle name="输入 2 5 84 11" xfId="56995"/>
    <cellStyle name="输入 2 5 84 12" xfId="56996"/>
    <cellStyle name="输入 2 5 84 2" xfId="9970"/>
    <cellStyle name="输入 2 5 84 2 2" xfId="56997"/>
    <cellStyle name="输入 2 5 84 3" xfId="56998"/>
    <cellStyle name="输入 2 5 84 4" xfId="56999"/>
    <cellStyle name="输入 2 5 84 5" xfId="57000"/>
    <cellStyle name="输入 2 5 84 6" xfId="57001"/>
    <cellStyle name="输入 2 5 84 7" xfId="57002"/>
    <cellStyle name="输入 2 5 84 8" xfId="57003"/>
    <cellStyle name="输入 2 5 84 9" xfId="57004"/>
    <cellStyle name="输入 2 5 85" xfId="9971"/>
    <cellStyle name="输入 2 5 85 10" xfId="57005"/>
    <cellStyle name="输入 2 5 85 11" xfId="57006"/>
    <cellStyle name="输入 2 5 85 12" xfId="57007"/>
    <cellStyle name="输入 2 5 85 2" xfId="9972"/>
    <cellStyle name="输入 2 5 85 2 2" xfId="57008"/>
    <cellStyle name="输入 2 5 85 3" xfId="57009"/>
    <cellStyle name="输入 2 5 85 4" xfId="57010"/>
    <cellStyle name="输入 2 5 85 5" xfId="57011"/>
    <cellStyle name="输入 2 5 85 6" xfId="57012"/>
    <cellStyle name="输入 2 5 85 7" xfId="57013"/>
    <cellStyle name="输入 2 5 85 8" xfId="57014"/>
    <cellStyle name="输入 2 5 85 9" xfId="57015"/>
    <cellStyle name="输入 2 5 86" xfId="9973"/>
    <cellStyle name="输入 2 5 86 10" xfId="57016"/>
    <cellStyle name="输入 2 5 86 11" xfId="57017"/>
    <cellStyle name="输入 2 5 86 2" xfId="9974"/>
    <cellStyle name="输入 2 5 86 2 2" xfId="57018"/>
    <cellStyle name="输入 2 5 86 3" xfId="57019"/>
    <cellStyle name="输入 2 5 86 4" xfId="57020"/>
    <cellStyle name="输入 2 5 86 5" xfId="57021"/>
    <cellStyle name="输入 2 5 86 6" xfId="57022"/>
    <cellStyle name="输入 2 5 86 7" xfId="57023"/>
    <cellStyle name="输入 2 5 86 8" xfId="57024"/>
    <cellStyle name="输入 2 5 86 9" xfId="57025"/>
    <cellStyle name="输入 2 5 87" xfId="9975"/>
    <cellStyle name="输入 2 5 87 10" xfId="57026"/>
    <cellStyle name="输入 2 5 87 11" xfId="57027"/>
    <cellStyle name="输入 2 5 87 12" xfId="57028"/>
    <cellStyle name="输入 2 5 87 2" xfId="9976"/>
    <cellStyle name="输入 2 5 87 2 2" xfId="57029"/>
    <cellStyle name="输入 2 5 87 3" xfId="57030"/>
    <cellStyle name="输入 2 5 87 4" xfId="57031"/>
    <cellStyle name="输入 2 5 87 5" xfId="57032"/>
    <cellStyle name="输入 2 5 87 6" xfId="57033"/>
    <cellStyle name="输入 2 5 87 7" xfId="57034"/>
    <cellStyle name="输入 2 5 87 8" xfId="57035"/>
    <cellStyle name="输入 2 5 87 9" xfId="57036"/>
    <cellStyle name="输入 2 5 88" xfId="9977"/>
    <cellStyle name="输入 2 5 88 10" xfId="57037"/>
    <cellStyle name="输入 2 5 88 11" xfId="57038"/>
    <cellStyle name="输入 2 5 88 12" xfId="57039"/>
    <cellStyle name="输入 2 5 88 2" xfId="9978"/>
    <cellStyle name="输入 2 5 88 2 2" xfId="57040"/>
    <cellStyle name="输入 2 5 88 3" xfId="57041"/>
    <cellStyle name="输入 2 5 88 4" xfId="57042"/>
    <cellStyle name="输入 2 5 88 5" xfId="57043"/>
    <cellStyle name="输入 2 5 88 6" xfId="57044"/>
    <cellStyle name="输入 2 5 88 7" xfId="57045"/>
    <cellStyle name="输入 2 5 88 8" xfId="57046"/>
    <cellStyle name="输入 2 5 88 9" xfId="57047"/>
    <cellStyle name="输入 2 5 89" xfId="9979"/>
    <cellStyle name="输入 2 5 89 10" xfId="57048"/>
    <cellStyle name="输入 2 5 89 11" xfId="57049"/>
    <cellStyle name="输入 2 5 89 12" xfId="57050"/>
    <cellStyle name="输入 2 5 89 2" xfId="9980"/>
    <cellStyle name="输入 2 5 89 2 2" xfId="57051"/>
    <cellStyle name="输入 2 5 89 3" xfId="57052"/>
    <cellStyle name="输入 2 5 89 4" xfId="57053"/>
    <cellStyle name="输入 2 5 89 5" xfId="57054"/>
    <cellStyle name="输入 2 5 89 6" xfId="57055"/>
    <cellStyle name="输入 2 5 89 7" xfId="57056"/>
    <cellStyle name="输入 2 5 89 8" xfId="57057"/>
    <cellStyle name="输入 2 5 89 9" xfId="57058"/>
    <cellStyle name="输入 2 5 9" xfId="9981"/>
    <cellStyle name="输入 2 5 9 10" xfId="57059"/>
    <cellStyle name="输入 2 5 9 11" xfId="57060"/>
    <cellStyle name="输入 2 5 9 2" xfId="9982"/>
    <cellStyle name="输入 2 5 9 2 2" xfId="57061"/>
    <cellStyle name="输入 2 5 9 3" xfId="57062"/>
    <cellStyle name="输入 2 5 9 4" xfId="57063"/>
    <cellStyle name="输入 2 5 9 5" xfId="57064"/>
    <cellStyle name="输入 2 5 9 6" xfId="57065"/>
    <cellStyle name="输入 2 5 9 7" xfId="57066"/>
    <cellStyle name="输入 2 5 9 8" xfId="57067"/>
    <cellStyle name="输入 2 5 9 9" xfId="57068"/>
    <cellStyle name="输入 2 5 90" xfId="9983"/>
    <cellStyle name="输入 2 5 90 10" xfId="57069"/>
    <cellStyle name="输入 2 5 90 11" xfId="57070"/>
    <cellStyle name="输入 2 5 90 12" xfId="57071"/>
    <cellStyle name="输入 2 5 90 2" xfId="9984"/>
    <cellStyle name="输入 2 5 90 2 2" xfId="57072"/>
    <cellStyle name="输入 2 5 90 3" xfId="57073"/>
    <cellStyle name="输入 2 5 90 4" xfId="57074"/>
    <cellStyle name="输入 2 5 90 5" xfId="57075"/>
    <cellStyle name="输入 2 5 90 6" xfId="57076"/>
    <cellStyle name="输入 2 5 90 7" xfId="57077"/>
    <cellStyle name="输入 2 5 90 8" xfId="57078"/>
    <cellStyle name="输入 2 5 90 9" xfId="57079"/>
    <cellStyle name="输入 2 5 91" xfId="9985"/>
    <cellStyle name="输入 2 5 91 10" xfId="57080"/>
    <cellStyle name="输入 2 5 91 11" xfId="57081"/>
    <cellStyle name="输入 2 5 91 12" xfId="57082"/>
    <cellStyle name="输入 2 5 91 2" xfId="9986"/>
    <cellStyle name="输入 2 5 91 2 2" xfId="57083"/>
    <cellStyle name="输入 2 5 91 3" xfId="57084"/>
    <cellStyle name="输入 2 5 91 4" xfId="57085"/>
    <cellStyle name="输入 2 5 91 5" xfId="57086"/>
    <cellStyle name="输入 2 5 91 6" xfId="57087"/>
    <cellStyle name="输入 2 5 91 7" xfId="57088"/>
    <cellStyle name="输入 2 5 91 8" xfId="57089"/>
    <cellStyle name="输入 2 5 91 9" xfId="57090"/>
    <cellStyle name="输入 2 5 92" xfId="9987"/>
    <cellStyle name="输入 2 5 92 10" xfId="57091"/>
    <cellStyle name="输入 2 5 92 11" xfId="57092"/>
    <cellStyle name="输入 2 5 92 12" xfId="57093"/>
    <cellStyle name="输入 2 5 92 2" xfId="9988"/>
    <cellStyle name="输入 2 5 92 2 2" xfId="57094"/>
    <cellStyle name="输入 2 5 92 3" xfId="57095"/>
    <cellStyle name="输入 2 5 92 4" xfId="57096"/>
    <cellStyle name="输入 2 5 92 5" xfId="57097"/>
    <cellStyle name="输入 2 5 92 6" xfId="57098"/>
    <cellStyle name="输入 2 5 92 7" xfId="57099"/>
    <cellStyle name="输入 2 5 92 8" xfId="57100"/>
    <cellStyle name="输入 2 5 92 9" xfId="57101"/>
    <cellStyle name="输入 2 5 93" xfId="9989"/>
    <cellStyle name="输入 2 5 93 10" xfId="57102"/>
    <cellStyle name="输入 2 5 93 11" xfId="57103"/>
    <cellStyle name="输入 2 5 93 2" xfId="9990"/>
    <cellStyle name="输入 2 5 93 2 2" xfId="57104"/>
    <cellStyle name="输入 2 5 93 3" xfId="57105"/>
    <cellStyle name="输入 2 5 93 4" xfId="57106"/>
    <cellStyle name="输入 2 5 93 5" xfId="57107"/>
    <cellStyle name="输入 2 5 93 6" xfId="57108"/>
    <cellStyle name="输入 2 5 93 7" xfId="57109"/>
    <cellStyle name="输入 2 5 93 8" xfId="57110"/>
    <cellStyle name="输入 2 5 93 9" xfId="57111"/>
    <cellStyle name="输入 2 5 94" xfId="9991"/>
    <cellStyle name="输入 2 5 94 2" xfId="57112"/>
    <cellStyle name="输入 2 5 95" xfId="11531"/>
    <cellStyle name="输入 2 5_YL Capex Cashflow &amp; Dep" xfId="13927"/>
    <cellStyle name="输入 2 50" xfId="9992"/>
    <cellStyle name="输入 2 50 10" xfId="57113"/>
    <cellStyle name="输入 2 50 11" xfId="57114"/>
    <cellStyle name="输入 2 50 12" xfId="57115"/>
    <cellStyle name="输入 2 50 2" xfId="9993"/>
    <cellStyle name="输入 2 50 2 2" xfId="57116"/>
    <cellStyle name="输入 2 50 3" xfId="57117"/>
    <cellStyle name="输入 2 50 4" xfId="57118"/>
    <cellStyle name="输入 2 50 5" xfId="57119"/>
    <cellStyle name="输入 2 50 6" xfId="57120"/>
    <cellStyle name="输入 2 50 7" xfId="57121"/>
    <cellStyle name="输入 2 50 8" xfId="57122"/>
    <cellStyle name="输入 2 50 9" xfId="57123"/>
    <cellStyle name="输入 2 51" xfId="9994"/>
    <cellStyle name="输入 2 51 10" xfId="57124"/>
    <cellStyle name="输入 2 51 11" xfId="57125"/>
    <cellStyle name="输入 2 51 12" xfId="57126"/>
    <cellStyle name="输入 2 51 2" xfId="9995"/>
    <cellStyle name="输入 2 51 2 2" xfId="57127"/>
    <cellStyle name="输入 2 51 3" xfId="57128"/>
    <cellStyle name="输入 2 51 4" xfId="57129"/>
    <cellStyle name="输入 2 51 5" xfId="57130"/>
    <cellStyle name="输入 2 51 6" xfId="57131"/>
    <cellStyle name="输入 2 51 7" xfId="57132"/>
    <cellStyle name="输入 2 51 8" xfId="57133"/>
    <cellStyle name="输入 2 51 9" xfId="57134"/>
    <cellStyle name="输入 2 52" xfId="9996"/>
    <cellStyle name="输入 2 52 10" xfId="57135"/>
    <cellStyle name="输入 2 52 11" xfId="57136"/>
    <cellStyle name="输入 2 52 12" xfId="57137"/>
    <cellStyle name="输入 2 52 2" xfId="9997"/>
    <cellStyle name="输入 2 52 2 2" xfId="57138"/>
    <cellStyle name="输入 2 52 3" xfId="57139"/>
    <cellStyle name="输入 2 52 4" xfId="57140"/>
    <cellStyle name="输入 2 52 5" xfId="57141"/>
    <cellStyle name="输入 2 52 6" xfId="57142"/>
    <cellStyle name="输入 2 52 7" xfId="57143"/>
    <cellStyle name="输入 2 52 8" xfId="57144"/>
    <cellStyle name="输入 2 52 9" xfId="57145"/>
    <cellStyle name="输入 2 53" xfId="9998"/>
    <cellStyle name="输入 2 53 10" xfId="57146"/>
    <cellStyle name="输入 2 53 11" xfId="57147"/>
    <cellStyle name="输入 2 53 12" xfId="57148"/>
    <cellStyle name="输入 2 53 2" xfId="9999"/>
    <cellStyle name="输入 2 53 2 2" xfId="57149"/>
    <cellStyle name="输入 2 53 3" xfId="57150"/>
    <cellStyle name="输入 2 53 4" xfId="57151"/>
    <cellStyle name="输入 2 53 5" xfId="57152"/>
    <cellStyle name="输入 2 53 6" xfId="57153"/>
    <cellStyle name="输入 2 53 7" xfId="57154"/>
    <cellStyle name="输入 2 53 8" xfId="57155"/>
    <cellStyle name="输入 2 53 9" xfId="57156"/>
    <cellStyle name="输入 2 54" xfId="10000"/>
    <cellStyle name="输入 2 54 10" xfId="57157"/>
    <cellStyle name="输入 2 54 11" xfId="57158"/>
    <cellStyle name="输入 2 54 12" xfId="57159"/>
    <cellStyle name="输入 2 54 2" xfId="10001"/>
    <cellStyle name="输入 2 54 2 2" xfId="57160"/>
    <cellStyle name="输入 2 54 3" xfId="57161"/>
    <cellStyle name="输入 2 54 4" xfId="57162"/>
    <cellStyle name="输入 2 54 5" xfId="57163"/>
    <cellStyle name="输入 2 54 6" xfId="57164"/>
    <cellStyle name="输入 2 54 7" xfId="57165"/>
    <cellStyle name="输入 2 54 8" xfId="57166"/>
    <cellStyle name="输入 2 54 9" xfId="57167"/>
    <cellStyle name="输入 2 55" xfId="10002"/>
    <cellStyle name="输入 2 55 10" xfId="57168"/>
    <cellStyle name="输入 2 55 11" xfId="57169"/>
    <cellStyle name="输入 2 55 12" xfId="57170"/>
    <cellStyle name="输入 2 55 2" xfId="10003"/>
    <cellStyle name="输入 2 55 2 2" xfId="57171"/>
    <cellStyle name="输入 2 55 3" xfId="57172"/>
    <cellStyle name="输入 2 55 4" xfId="57173"/>
    <cellStyle name="输入 2 55 5" xfId="57174"/>
    <cellStyle name="输入 2 55 6" xfId="57175"/>
    <cellStyle name="输入 2 55 7" xfId="57176"/>
    <cellStyle name="输入 2 55 8" xfId="57177"/>
    <cellStyle name="输入 2 55 9" xfId="57178"/>
    <cellStyle name="输入 2 56" xfId="10004"/>
    <cellStyle name="输入 2 56 10" xfId="57179"/>
    <cellStyle name="输入 2 56 11" xfId="57180"/>
    <cellStyle name="输入 2 56 12" xfId="57181"/>
    <cellStyle name="输入 2 56 2" xfId="10005"/>
    <cellStyle name="输入 2 56 2 2" xfId="57182"/>
    <cellStyle name="输入 2 56 3" xfId="57183"/>
    <cellStyle name="输入 2 56 4" xfId="57184"/>
    <cellStyle name="输入 2 56 5" xfId="57185"/>
    <cellStyle name="输入 2 56 6" xfId="57186"/>
    <cellStyle name="输入 2 56 7" xfId="57187"/>
    <cellStyle name="输入 2 56 8" xfId="57188"/>
    <cellStyle name="输入 2 56 9" xfId="57189"/>
    <cellStyle name="输入 2 57" xfId="10006"/>
    <cellStyle name="输入 2 57 10" xfId="57190"/>
    <cellStyle name="输入 2 57 11" xfId="57191"/>
    <cellStyle name="输入 2 57 12" xfId="57192"/>
    <cellStyle name="输入 2 57 2" xfId="10007"/>
    <cellStyle name="输入 2 57 2 2" xfId="57193"/>
    <cellStyle name="输入 2 57 3" xfId="57194"/>
    <cellStyle name="输入 2 57 4" xfId="57195"/>
    <cellStyle name="输入 2 57 5" xfId="57196"/>
    <cellStyle name="输入 2 57 6" xfId="57197"/>
    <cellStyle name="输入 2 57 7" xfId="57198"/>
    <cellStyle name="输入 2 57 8" xfId="57199"/>
    <cellStyle name="输入 2 57 9" xfId="57200"/>
    <cellStyle name="输入 2 58" xfId="10008"/>
    <cellStyle name="输入 2 58 10" xfId="57201"/>
    <cellStyle name="输入 2 58 11" xfId="57202"/>
    <cellStyle name="输入 2 58 12" xfId="57203"/>
    <cellStyle name="输入 2 58 2" xfId="10009"/>
    <cellStyle name="输入 2 58 2 2" xfId="57204"/>
    <cellStyle name="输入 2 58 3" xfId="57205"/>
    <cellStyle name="输入 2 58 4" xfId="57206"/>
    <cellStyle name="输入 2 58 5" xfId="57207"/>
    <cellStyle name="输入 2 58 6" xfId="57208"/>
    <cellStyle name="输入 2 58 7" xfId="57209"/>
    <cellStyle name="输入 2 58 8" xfId="57210"/>
    <cellStyle name="输入 2 58 9" xfId="57211"/>
    <cellStyle name="输入 2 59" xfId="10010"/>
    <cellStyle name="输入 2 59 10" xfId="57212"/>
    <cellStyle name="输入 2 59 11" xfId="57213"/>
    <cellStyle name="输入 2 59 12" xfId="57214"/>
    <cellStyle name="输入 2 59 2" xfId="10011"/>
    <cellStyle name="输入 2 59 2 2" xfId="57215"/>
    <cellStyle name="输入 2 59 3" xfId="57216"/>
    <cellStyle name="输入 2 59 4" xfId="57217"/>
    <cellStyle name="输入 2 59 5" xfId="57218"/>
    <cellStyle name="输入 2 59 6" xfId="57219"/>
    <cellStyle name="输入 2 59 7" xfId="57220"/>
    <cellStyle name="输入 2 59 8" xfId="57221"/>
    <cellStyle name="输入 2 59 9" xfId="57222"/>
    <cellStyle name="输入 2 6" xfId="3283"/>
    <cellStyle name="输入 2 6 10" xfId="57223"/>
    <cellStyle name="输入 2 6 2" xfId="3284"/>
    <cellStyle name="输入 2 6 2 2" xfId="12950"/>
    <cellStyle name="输入 2 6 2_YL Capex Cashflow &amp; Dep" xfId="13930"/>
    <cellStyle name="输入 2 6 3" xfId="12260"/>
    <cellStyle name="输入 2 6 4" xfId="57224"/>
    <cellStyle name="输入 2 6 5" xfId="57225"/>
    <cellStyle name="输入 2 6 6" xfId="57226"/>
    <cellStyle name="输入 2 6 7" xfId="57227"/>
    <cellStyle name="输入 2 6 8" xfId="57228"/>
    <cellStyle name="输入 2 6 9" xfId="57229"/>
    <cellStyle name="输入 2 6_YL Capex Cashflow &amp; Dep" xfId="13929"/>
    <cellStyle name="输入 2 60" xfId="10012"/>
    <cellStyle name="输入 2 60 10" xfId="57230"/>
    <cellStyle name="输入 2 60 11" xfId="57231"/>
    <cellStyle name="输入 2 60 12" xfId="57232"/>
    <cellStyle name="输入 2 60 2" xfId="10013"/>
    <cellStyle name="输入 2 60 2 2" xfId="57233"/>
    <cellStyle name="输入 2 60 3" xfId="57234"/>
    <cellStyle name="输入 2 60 4" xfId="57235"/>
    <cellStyle name="输入 2 60 5" xfId="57236"/>
    <cellStyle name="输入 2 60 6" xfId="57237"/>
    <cellStyle name="输入 2 60 7" xfId="57238"/>
    <cellStyle name="输入 2 60 8" xfId="57239"/>
    <cellStyle name="输入 2 60 9" xfId="57240"/>
    <cellStyle name="输入 2 61" xfId="10014"/>
    <cellStyle name="输入 2 61 10" xfId="57241"/>
    <cellStyle name="输入 2 61 11" xfId="57242"/>
    <cellStyle name="输入 2 61 12" xfId="57243"/>
    <cellStyle name="输入 2 61 2" xfId="10015"/>
    <cellStyle name="输入 2 61 2 2" xfId="57244"/>
    <cellStyle name="输入 2 61 3" xfId="57245"/>
    <cellStyle name="输入 2 61 4" xfId="57246"/>
    <cellStyle name="输入 2 61 5" xfId="57247"/>
    <cellStyle name="输入 2 61 6" xfId="57248"/>
    <cellStyle name="输入 2 61 7" xfId="57249"/>
    <cellStyle name="输入 2 61 8" xfId="57250"/>
    <cellStyle name="输入 2 61 9" xfId="57251"/>
    <cellStyle name="输入 2 62" xfId="10016"/>
    <cellStyle name="输入 2 62 10" xfId="57252"/>
    <cellStyle name="输入 2 62 11" xfId="57253"/>
    <cellStyle name="输入 2 62 12" xfId="57254"/>
    <cellStyle name="输入 2 62 2" xfId="10017"/>
    <cellStyle name="输入 2 62 2 2" xfId="57255"/>
    <cellStyle name="输入 2 62 3" xfId="57256"/>
    <cellStyle name="输入 2 62 4" xfId="57257"/>
    <cellStyle name="输入 2 62 5" xfId="57258"/>
    <cellStyle name="输入 2 62 6" xfId="57259"/>
    <cellStyle name="输入 2 62 7" xfId="57260"/>
    <cellStyle name="输入 2 62 8" xfId="57261"/>
    <cellStyle name="输入 2 62 9" xfId="57262"/>
    <cellStyle name="输入 2 63" xfId="10018"/>
    <cellStyle name="输入 2 63 10" xfId="57263"/>
    <cellStyle name="输入 2 63 11" xfId="57264"/>
    <cellStyle name="输入 2 63 12" xfId="57265"/>
    <cellStyle name="输入 2 63 2" xfId="10019"/>
    <cellStyle name="输入 2 63 2 2" xfId="57266"/>
    <cellStyle name="输入 2 63 3" xfId="57267"/>
    <cellStyle name="输入 2 63 4" xfId="57268"/>
    <cellStyle name="输入 2 63 5" xfId="57269"/>
    <cellStyle name="输入 2 63 6" xfId="57270"/>
    <cellStyle name="输入 2 63 7" xfId="57271"/>
    <cellStyle name="输入 2 63 8" xfId="57272"/>
    <cellStyle name="输入 2 63 9" xfId="57273"/>
    <cellStyle name="输入 2 64" xfId="10020"/>
    <cellStyle name="输入 2 64 10" xfId="57274"/>
    <cellStyle name="输入 2 64 11" xfId="57275"/>
    <cellStyle name="输入 2 64 12" xfId="57276"/>
    <cellStyle name="输入 2 64 2" xfId="10021"/>
    <cellStyle name="输入 2 64 2 2" xfId="57277"/>
    <cellStyle name="输入 2 64 3" xfId="57278"/>
    <cellStyle name="输入 2 64 4" xfId="57279"/>
    <cellStyle name="输入 2 64 5" xfId="57280"/>
    <cellStyle name="输入 2 64 6" xfId="57281"/>
    <cellStyle name="输入 2 64 7" xfId="57282"/>
    <cellStyle name="输入 2 64 8" xfId="57283"/>
    <cellStyle name="输入 2 64 9" xfId="57284"/>
    <cellStyle name="输入 2 65" xfId="10022"/>
    <cellStyle name="输入 2 65 10" xfId="57285"/>
    <cellStyle name="输入 2 65 11" xfId="57286"/>
    <cellStyle name="输入 2 65 12" xfId="57287"/>
    <cellStyle name="输入 2 65 2" xfId="10023"/>
    <cellStyle name="输入 2 65 2 2" xfId="57288"/>
    <cellStyle name="输入 2 65 3" xfId="57289"/>
    <cellStyle name="输入 2 65 4" xfId="57290"/>
    <cellStyle name="输入 2 65 5" xfId="57291"/>
    <cellStyle name="输入 2 65 6" xfId="57292"/>
    <cellStyle name="输入 2 65 7" xfId="57293"/>
    <cellStyle name="输入 2 65 8" xfId="57294"/>
    <cellStyle name="输入 2 65 9" xfId="57295"/>
    <cellStyle name="输入 2 66" xfId="10024"/>
    <cellStyle name="输入 2 66 10" xfId="57296"/>
    <cellStyle name="输入 2 66 11" xfId="57297"/>
    <cellStyle name="输入 2 66 12" xfId="57298"/>
    <cellStyle name="输入 2 66 2" xfId="10025"/>
    <cellStyle name="输入 2 66 2 2" xfId="57299"/>
    <cellStyle name="输入 2 66 3" xfId="57300"/>
    <cellStyle name="输入 2 66 4" xfId="57301"/>
    <cellStyle name="输入 2 66 5" xfId="57302"/>
    <cellStyle name="输入 2 66 6" xfId="57303"/>
    <cellStyle name="输入 2 66 7" xfId="57304"/>
    <cellStyle name="输入 2 66 8" xfId="57305"/>
    <cellStyle name="输入 2 66 9" xfId="57306"/>
    <cellStyle name="输入 2 67" xfId="10026"/>
    <cellStyle name="输入 2 67 10" xfId="57307"/>
    <cellStyle name="输入 2 67 11" xfId="57308"/>
    <cellStyle name="输入 2 67 12" xfId="57309"/>
    <cellStyle name="输入 2 67 2" xfId="10027"/>
    <cellStyle name="输入 2 67 2 2" xfId="57310"/>
    <cellStyle name="输入 2 67 3" xfId="57311"/>
    <cellStyle name="输入 2 67 4" xfId="57312"/>
    <cellStyle name="输入 2 67 5" xfId="57313"/>
    <cellStyle name="输入 2 67 6" xfId="57314"/>
    <cellStyle name="输入 2 67 7" xfId="57315"/>
    <cellStyle name="输入 2 67 8" xfId="57316"/>
    <cellStyle name="输入 2 67 9" xfId="57317"/>
    <cellStyle name="输入 2 68" xfId="10028"/>
    <cellStyle name="输入 2 68 10" xfId="57318"/>
    <cellStyle name="输入 2 68 11" xfId="57319"/>
    <cellStyle name="输入 2 68 12" xfId="57320"/>
    <cellStyle name="输入 2 68 2" xfId="10029"/>
    <cellStyle name="输入 2 68 2 2" xfId="57321"/>
    <cellStyle name="输入 2 68 3" xfId="57322"/>
    <cellStyle name="输入 2 68 4" xfId="57323"/>
    <cellStyle name="输入 2 68 5" xfId="57324"/>
    <cellStyle name="输入 2 68 6" xfId="57325"/>
    <cellStyle name="输入 2 68 7" xfId="57326"/>
    <cellStyle name="输入 2 68 8" xfId="57327"/>
    <cellStyle name="输入 2 68 9" xfId="57328"/>
    <cellStyle name="输入 2 69" xfId="10030"/>
    <cellStyle name="输入 2 69 10" xfId="57329"/>
    <cellStyle name="输入 2 69 11" xfId="57330"/>
    <cellStyle name="输入 2 69 12" xfId="57331"/>
    <cellStyle name="输入 2 69 2" xfId="10031"/>
    <cellStyle name="输入 2 69 2 2" xfId="57332"/>
    <cellStyle name="输入 2 69 3" xfId="57333"/>
    <cellStyle name="输入 2 69 4" xfId="57334"/>
    <cellStyle name="输入 2 69 5" xfId="57335"/>
    <cellStyle name="输入 2 69 6" xfId="57336"/>
    <cellStyle name="输入 2 69 7" xfId="57337"/>
    <cellStyle name="输入 2 69 8" xfId="57338"/>
    <cellStyle name="输入 2 69 9" xfId="57339"/>
    <cellStyle name="输入 2 7" xfId="3285"/>
    <cellStyle name="输入 2 7 10" xfId="57340"/>
    <cellStyle name="输入 2 7 11" xfId="57341"/>
    <cellStyle name="输入 2 7 12" xfId="57342"/>
    <cellStyle name="输入 2 7 2" xfId="10032"/>
    <cellStyle name="输入 2 7 2 2" xfId="57343"/>
    <cellStyle name="输入 2 7 3" xfId="12918"/>
    <cellStyle name="输入 2 7 4" xfId="57344"/>
    <cellStyle name="输入 2 7 5" xfId="57345"/>
    <cellStyle name="输入 2 7 6" xfId="57346"/>
    <cellStyle name="输入 2 7 7" xfId="57347"/>
    <cellStyle name="输入 2 7 8" xfId="57348"/>
    <cellStyle name="输入 2 7 9" xfId="57349"/>
    <cellStyle name="输入 2 7_YL Capex Cashflow &amp; Dep" xfId="13931"/>
    <cellStyle name="输入 2 70" xfId="10033"/>
    <cellStyle name="输入 2 70 10" xfId="57350"/>
    <cellStyle name="输入 2 70 11" xfId="57351"/>
    <cellStyle name="输入 2 70 12" xfId="57352"/>
    <cellStyle name="输入 2 70 2" xfId="10034"/>
    <cellStyle name="输入 2 70 2 2" xfId="57353"/>
    <cellStyle name="输入 2 70 3" xfId="57354"/>
    <cellStyle name="输入 2 70 4" xfId="57355"/>
    <cellStyle name="输入 2 70 5" xfId="57356"/>
    <cellStyle name="输入 2 70 6" xfId="57357"/>
    <cellStyle name="输入 2 70 7" xfId="57358"/>
    <cellStyle name="输入 2 70 8" xfId="57359"/>
    <cellStyle name="输入 2 70 9" xfId="57360"/>
    <cellStyle name="输入 2 71" xfId="10035"/>
    <cellStyle name="输入 2 71 10" xfId="57361"/>
    <cellStyle name="输入 2 71 11" xfId="57362"/>
    <cellStyle name="输入 2 71 12" xfId="57363"/>
    <cellStyle name="输入 2 71 2" xfId="10036"/>
    <cellStyle name="输入 2 71 2 2" xfId="57364"/>
    <cellStyle name="输入 2 71 3" xfId="57365"/>
    <cellStyle name="输入 2 71 4" xfId="57366"/>
    <cellStyle name="输入 2 71 5" xfId="57367"/>
    <cellStyle name="输入 2 71 6" xfId="57368"/>
    <cellStyle name="输入 2 71 7" xfId="57369"/>
    <cellStyle name="输入 2 71 8" xfId="57370"/>
    <cellStyle name="输入 2 71 9" xfId="57371"/>
    <cellStyle name="输入 2 72" xfId="10037"/>
    <cellStyle name="输入 2 72 10" xfId="57372"/>
    <cellStyle name="输入 2 72 11" xfId="57373"/>
    <cellStyle name="输入 2 72 12" xfId="57374"/>
    <cellStyle name="输入 2 72 2" xfId="10038"/>
    <cellStyle name="输入 2 72 2 2" xfId="57375"/>
    <cellStyle name="输入 2 72 3" xfId="57376"/>
    <cellStyle name="输入 2 72 4" xfId="57377"/>
    <cellStyle name="输入 2 72 5" xfId="57378"/>
    <cellStyle name="输入 2 72 6" xfId="57379"/>
    <cellStyle name="输入 2 72 7" xfId="57380"/>
    <cellStyle name="输入 2 72 8" xfId="57381"/>
    <cellStyle name="输入 2 72 9" xfId="57382"/>
    <cellStyle name="输入 2 73" xfId="10039"/>
    <cellStyle name="输入 2 73 10" xfId="57383"/>
    <cellStyle name="输入 2 73 11" xfId="57384"/>
    <cellStyle name="输入 2 73 12" xfId="57385"/>
    <cellStyle name="输入 2 73 2" xfId="10040"/>
    <cellStyle name="输入 2 73 2 2" xfId="57386"/>
    <cellStyle name="输入 2 73 3" xfId="57387"/>
    <cellStyle name="输入 2 73 4" xfId="57388"/>
    <cellStyle name="输入 2 73 5" xfId="57389"/>
    <cellStyle name="输入 2 73 6" xfId="57390"/>
    <cellStyle name="输入 2 73 7" xfId="57391"/>
    <cellStyle name="输入 2 73 8" xfId="57392"/>
    <cellStyle name="输入 2 73 9" xfId="57393"/>
    <cellStyle name="输入 2 74" xfId="10041"/>
    <cellStyle name="输入 2 74 10" xfId="57394"/>
    <cellStyle name="输入 2 74 11" xfId="57395"/>
    <cellStyle name="输入 2 74 12" xfId="57396"/>
    <cellStyle name="输入 2 74 2" xfId="10042"/>
    <cellStyle name="输入 2 74 2 2" xfId="57397"/>
    <cellStyle name="输入 2 74 3" xfId="57398"/>
    <cellStyle name="输入 2 74 4" xfId="57399"/>
    <cellStyle name="输入 2 74 5" xfId="57400"/>
    <cellStyle name="输入 2 74 6" xfId="57401"/>
    <cellStyle name="输入 2 74 7" xfId="57402"/>
    <cellStyle name="输入 2 74 8" xfId="57403"/>
    <cellStyle name="输入 2 74 9" xfId="57404"/>
    <cellStyle name="输入 2 75" xfId="10043"/>
    <cellStyle name="输入 2 75 10" xfId="57405"/>
    <cellStyle name="输入 2 75 11" xfId="57406"/>
    <cellStyle name="输入 2 75 12" xfId="57407"/>
    <cellStyle name="输入 2 75 2" xfId="10044"/>
    <cellStyle name="输入 2 75 2 2" xfId="57408"/>
    <cellStyle name="输入 2 75 3" xfId="57409"/>
    <cellStyle name="输入 2 75 4" xfId="57410"/>
    <cellStyle name="输入 2 75 5" xfId="57411"/>
    <cellStyle name="输入 2 75 6" xfId="57412"/>
    <cellStyle name="输入 2 75 7" xfId="57413"/>
    <cellStyle name="输入 2 75 8" xfId="57414"/>
    <cellStyle name="输入 2 75 9" xfId="57415"/>
    <cellStyle name="输入 2 76" xfId="10045"/>
    <cellStyle name="输入 2 76 10" xfId="57416"/>
    <cellStyle name="输入 2 76 11" xfId="57417"/>
    <cellStyle name="输入 2 76 12" xfId="57418"/>
    <cellStyle name="输入 2 76 2" xfId="10046"/>
    <cellStyle name="输入 2 76 2 2" xfId="57419"/>
    <cellStyle name="输入 2 76 3" xfId="57420"/>
    <cellStyle name="输入 2 76 4" xfId="57421"/>
    <cellStyle name="输入 2 76 5" xfId="57422"/>
    <cellStyle name="输入 2 76 6" xfId="57423"/>
    <cellStyle name="输入 2 76 7" xfId="57424"/>
    <cellStyle name="输入 2 76 8" xfId="57425"/>
    <cellStyle name="输入 2 76 9" xfId="57426"/>
    <cellStyle name="输入 2 77" xfId="10047"/>
    <cellStyle name="输入 2 77 10" xfId="57427"/>
    <cellStyle name="输入 2 77 11" xfId="57428"/>
    <cellStyle name="输入 2 77 12" xfId="57429"/>
    <cellStyle name="输入 2 77 2" xfId="10048"/>
    <cellStyle name="输入 2 77 2 2" xfId="57430"/>
    <cellStyle name="输入 2 77 3" xfId="57431"/>
    <cellStyle name="输入 2 77 4" xfId="57432"/>
    <cellStyle name="输入 2 77 5" xfId="57433"/>
    <cellStyle name="输入 2 77 6" xfId="57434"/>
    <cellStyle name="输入 2 77 7" xfId="57435"/>
    <cellStyle name="输入 2 77 8" xfId="57436"/>
    <cellStyle name="输入 2 77 9" xfId="57437"/>
    <cellStyle name="输入 2 78" xfId="10049"/>
    <cellStyle name="输入 2 78 10" xfId="57438"/>
    <cellStyle name="输入 2 78 11" xfId="57439"/>
    <cellStyle name="输入 2 78 12" xfId="57440"/>
    <cellStyle name="输入 2 78 2" xfId="10050"/>
    <cellStyle name="输入 2 78 2 2" xfId="57441"/>
    <cellStyle name="输入 2 78 3" xfId="57442"/>
    <cellStyle name="输入 2 78 4" xfId="57443"/>
    <cellStyle name="输入 2 78 5" xfId="57444"/>
    <cellStyle name="输入 2 78 6" xfId="57445"/>
    <cellStyle name="输入 2 78 7" xfId="57446"/>
    <cellStyle name="输入 2 78 8" xfId="57447"/>
    <cellStyle name="输入 2 78 9" xfId="57448"/>
    <cellStyle name="输入 2 79" xfId="10051"/>
    <cellStyle name="输入 2 79 10" xfId="57449"/>
    <cellStyle name="输入 2 79 11" xfId="57450"/>
    <cellStyle name="输入 2 79 12" xfId="57451"/>
    <cellStyle name="输入 2 79 2" xfId="10052"/>
    <cellStyle name="输入 2 79 2 2" xfId="57452"/>
    <cellStyle name="输入 2 79 3" xfId="57453"/>
    <cellStyle name="输入 2 79 4" xfId="57454"/>
    <cellStyle name="输入 2 79 5" xfId="57455"/>
    <cellStyle name="输入 2 79 6" xfId="57456"/>
    <cellStyle name="输入 2 79 7" xfId="57457"/>
    <cellStyle name="输入 2 79 8" xfId="57458"/>
    <cellStyle name="输入 2 79 9" xfId="57459"/>
    <cellStyle name="输入 2 8" xfId="10053"/>
    <cellStyle name="输入 2 8 10" xfId="57460"/>
    <cellStyle name="输入 2 8 11" xfId="57461"/>
    <cellStyle name="输入 2 8 12" xfId="57462"/>
    <cellStyle name="输入 2 8 2" xfId="10054"/>
    <cellStyle name="输入 2 8 2 2" xfId="57463"/>
    <cellStyle name="输入 2 8 3" xfId="57464"/>
    <cellStyle name="输入 2 8 4" xfId="57465"/>
    <cellStyle name="输入 2 8 5" xfId="57466"/>
    <cellStyle name="输入 2 8 6" xfId="57467"/>
    <cellStyle name="输入 2 8 7" xfId="57468"/>
    <cellStyle name="输入 2 8 8" xfId="57469"/>
    <cellStyle name="输入 2 8 9" xfId="57470"/>
    <cellStyle name="输入 2 80" xfId="10055"/>
    <cellStyle name="输入 2 80 10" xfId="57471"/>
    <cellStyle name="输入 2 80 11" xfId="57472"/>
    <cellStyle name="输入 2 80 12" xfId="57473"/>
    <cellStyle name="输入 2 80 2" xfId="10056"/>
    <cellStyle name="输入 2 80 2 2" xfId="57474"/>
    <cellStyle name="输入 2 80 3" xfId="57475"/>
    <cellStyle name="输入 2 80 4" xfId="57476"/>
    <cellStyle name="输入 2 80 5" xfId="57477"/>
    <cellStyle name="输入 2 80 6" xfId="57478"/>
    <cellStyle name="输入 2 80 7" xfId="57479"/>
    <cellStyle name="输入 2 80 8" xfId="57480"/>
    <cellStyle name="输入 2 80 9" xfId="57481"/>
    <cellStyle name="输入 2 81" xfId="10057"/>
    <cellStyle name="输入 2 81 10" xfId="57482"/>
    <cellStyle name="输入 2 81 11" xfId="57483"/>
    <cellStyle name="输入 2 81 12" xfId="57484"/>
    <cellStyle name="输入 2 81 2" xfId="10058"/>
    <cellStyle name="输入 2 81 2 2" xfId="57485"/>
    <cellStyle name="输入 2 81 3" xfId="57486"/>
    <cellStyle name="输入 2 81 4" xfId="57487"/>
    <cellStyle name="输入 2 81 5" xfId="57488"/>
    <cellStyle name="输入 2 81 6" xfId="57489"/>
    <cellStyle name="输入 2 81 7" xfId="57490"/>
    <cellStyle name="输入 2 81 8" xfId="57491"/>
    <cellStyle name="输入 2 81 9" xfId="57492"/>
    <cellStyle name="输入 2 82" xfId="10059"/>
    <cellStyle name="输入 2 82 10" xfId="57493"/>
    <cellStyle name="输入 2 82 11" xfId="57494"/>
    <cellStyle name="输入 2 82 12" xfId="57495"/>
    <cellStyle name="输入 2 82 2" xfId="10060"/>
    <cellStyle name="输入 2 82 2 2" xfId="57496"/>
    <cellStyle name="输入 2 82 3" xfId="57497"/>
    <cellStyle name="输入 2 82 4" xfId="57498"/>
    <cellStyle name="输入 2 82 5" xfId="57499"/>
    <cellStyle name="输入 2 82 6" xfId="57500"/>
    <cellStyle name="输入 2 82 7" xfId="57501"/>
    <cellStyle name="输入 2 82 8" xfId="57502"/>
    <cellStyle name="输入 2 82 9" xfId="57503"/>
    <cellStyle name="输入 2 83" xfId="10061"/>
    <cellStyle name="输入 2 83 10" xfId="57504"/>
    <cellStyle name="输入 2 83 11" xfId="57505"/>
    <cellStyle name="输入 2 83 12" xfId="57506"/>
    <cellStyle name="输入 2 83 2" xfId="10062"/>
    <cellStyle name="输入 2 83 2 2" xfId="57507"/>
    <cellStyle name="输入 2 83 3" xfId="57508"/>
    <cellStyle name="输入 2 83 4" xfId="57509"/>
    <cellStyle name="输入 2 83 5" xfId="57510"/>
    <cellStyle name="输入 2 83 6" xfId="57511"/>
    <cellStyle name="输入 2 83 7" xfId="57512"/>
    <cellStyle name="输入 2 83 8" xfId="57513"/>
    <cellStyle name="输入 2 83 9" xfId="57514"/>
    <cellStyle name="输入 2 84" xfId="10063"/>
    <cellStyle name="输入 2 84 10" xfId="57515"/>
    <cellStyle name="输入 2 84 11" xfId="57516"/>
    <cellStyle name="输入 2 84 12" xfId="57517"/>
    <cellStyle name="输入 2 84 2" xfId="10064"/>
    <cellStyle name="输入 2 84 2 2" xfId="57518"/>
    <cellStyle name="输入 2 84 3" xfId="57519"/>
    <cellStyle name="输入 2 84 4" xfId="57520"/>
    <cellStyle name="输入 2 84 5" xfId="57521"/>
    <cellStyle name="输入 2 84 6" xfId="57522"/>
    <cellStyle name="输入 2 84 7" xfId="57523"/>
    <cellStyle name="输入 2 84 8" xfId="57524"/>
    <cellStyle name="输入 2 84 9" xfId="57525"/>
    <cellStyle name="输入 2 85" xfId="10065"/>
    <cellStyle name="输入 2 85 10" xfId="57526"/>
    <cellStyle name="输入 2 85 11" xfId="57527"/>
    <cellStyle name="输入 2 85 12" xfId="57528"/>
    <cellStyle name="输入 2 85 2" xfId="10066"/>
    <cellStyle name="输入 2 85 2 2" xfId="57529"/>
    <cellStyle name="输入 2 85 3" xfId="57530"/>
    <cellStyle name="输入 2 85 4" xfId="57531"/>
    <cellStyle name="输入 2 85 5" xfId="57532"/>
    <cellStyle name="输入 2 85 6" xfId="57533"/>
    <cellStyle name="输入 2 85 7" xfId="57534"/>
    <cellStyle name="输入 2 85 8" xfId="57535"/>
    <cellStyle name="输入 2 85 9" xfId="57536"/>
    <cellStyle name="输入 2 86" xfId="10067"/>
    <cellStyle name="输入 2 86 10" xfId="57537"/>
    <cellStyle name="输入 2 86 11" xfId="57538"/>
    <cellStyle name="输入 2 86 12" xfId="57539"/>
    <cellStyle name="输入 2 86 2" xfId="10068"/>
    <cellStyle name="输入 2 86 2 2" xfId="57540"/>
    <cellStyle name="输入 2 86 3" xfId="57541"/>
    <cellStyle name="输入 2 86 4" xfId="57542"/>
    <cellStyle name="输入 2 86 5" xfId="57543"/>
    <cellStyle name="输入 2 86 6" xfId="57544"/>
    <cellStyle name="输入 2 86 7" xfId="57545"/>
    <cellStyle name="输入 2 86 8" xfId="57546"/>
    <cellStyle name="输入 2 86 9" xfId="57547"/>
    <cellStyle name="输入 2 87" xfId="10069"/>
    <cellStyle name="输入 2 87 10" xfId="57548"/>
    <cellStyle name="输入 2 87 11" xfId="57549"/>
    <cellStyle name="输入 2 87 12" xfId="57550"/>
    <cellStyle name="输入 2 87 2" xfId="10070"/>
    <cellStyle name="输入 2 87 2 2" xfId="57551"/>
    <cellStyle name="输入 2 87 3" xfId="57552"/>
    <cellStyle name="输入 2 87 4" xfId="57553"/>
    <cellStyle name="输入 2 87 5" xfId="57554"/>
    <cellStyle name="输入 2 87 6" xfId="57555"/>
    <cellStyle name="输入 2 87 7" xfId="57556"/>
    <cellStyle name="输入 2 87 8" xfId="57557"/>
    <cellStyle name="输入 2 87 9" xfId="57558"/>
    <cellStyle name="输入 2 88" xfId="10071"/>
    <cellStyle name="输入 2 88 10" xfId="57559"/>
    <cellStyle name="输入 2 88 11" xfId="57560"/>
    <cellStyle name="输入 2 88 12" xfId="57561"/>
    <cellStyle name="输入 2 88 2" xfId="10072"/>
    <cellStyle name="输入 2 88 2 2" xfId="57562"/>
    <cellStyle name="输入 2 88 3" xfId="57563"/>
    <cellStyle name="输入 2 88 4" xfId="57564"/>
    <cellStyle name="输入 2 88 5" xfId="57565"/>
    <cellStyle name="输入 2 88 6" xfId="57566"/>
    <cellStyle name="输入 2 88 7" xfId="57567"/>
    <cellStyle name="输入 2 88 8" xfId="57568"/>
    <cellStyle name="输入 2 88 9" xfId="57569"/>
    <cellStyle name="输入 2 89" xfId="10073"/>
    <cellStyle name="输入 2 89 10" xfId="57570"/>
    <cellStyle name="输入 2 89 11" xfId="57571"/>
    <cellStyle name="输入 2 89 12" xfId="57572"/>
    <cellStyle name="输入 2 89 2" xfId="10074"/>
    <cellStyle name="输入 2 89 2 2" xfId="57573"/>
    <cellStyle name="输入 2 89 3" xfId="57574"/>
    <cellStyle name="输入 2 89 4" xfId="57575"/>
    <cellStyle name="输入 2 89 5" xfId="57576"/>
    <cellStyle name="输入 2 89 6" xfId="57577"/>
    <cellStyle name="输入 2 89 7" xfId="57578"/>
    <cellStyle name="输入 2 89 8" xfId="57579"/>
    <cellStyle name="输入 2 89 9" xfId="57580"/>
    <cellStyle name="输入 2 9" xfId="10075"/>
    <cellStyle name="输入 2 9 10" xfId="57581"/>
    <cellStyle name="输入 2 9 11" xfId="57582"/>
    <cellStyle name="输入 2 9 2" xfId="10076"/>
    <cellStyle name="输入 2 9 2 2" xfId="57583"/>
    <cellStyle name="输入 2 9 3" xfId="57584"/>
    <cellStyle name="输入 2 9 4" xfId="57585"/>
    <cellStyle name="输入 2 9 5" xfId="57586"/>
    <cellStyle name="输入 2 9 6" xfId="57587"/>
    <cellStyle name="输入 2 9 7" xfId="57588"/>
    <cellStyle name="输入 2 9 8" xfId="57589"/>
    <cellStyle name="输入 2 9 9" xfId="57590"/>
    <cellStyle name="输入 2 90" xfId="10077"/>
    <cellStyle name="输入 2 90 10" xfId="57591"/>
    <cellStyle name="输入 2 90 11" xfId="57592"/>
    <cellStyle name="输入 2 90 12" xfId="57593"/>
    <cellStyle name="输入 2 90 2" xfId="10078"/>
    <cellStyle name="输入 2 90 2 2" xfId="57594"/>
    <cellStyle name="输入 2 90 3" xfId="57595"/>
    <cellStyle name="输入 2 90 4" xfId="57596"/>
    <cellStyle name="输入 2 90 5" xfId="57597"/>
    <cellStyle name="输入 2 90 6" xfId="57598"/>
    <cellStyle name="输入 2 90 7" xfId="57599"/>
    <cellStyle name="输入 2 90 8" xfId="57600"/>
    <cellStyle name="输入 2 90 9" xfId="57601"/>
    <cellStyle name="输入 2 91" xfId="10079"/>
    <cellStyle name="输入 2 91 10" xfId="57602"/>
    <cellStyle name="输入 2 91 11" xfId="57603"/>
    <cellStyle name="输入 2 91 12" xfId="57604"/>
    <cellStyle name="输入 2 91 2" xfId="10080"/>
    <cellStyle name="输入 2 91 2 2" xfId="57605"/>
    <cellStyle name="输入 2 91 3" xfId="57606"/>
    <cellStyle name="输入 2 91 4" xfId="57607"/>
    <cellStyle name="输入 2 91 5" xfId="57608"/>
    <cellStyle name="输入 2 91 6" xfId="57609"/>
    <cellStyle name="输入 2 91 7" xfId="57610"/>
    <cellStyle name="输入 2 91 8" xfId="57611"/>
    <cellStyle name="输入 2 91 9" xfId="57612"/>
    <cellStyle name="输入 2 92" xfId="10081"/>
    <cellStyle name="输入 2 92 10" xfId="57613"/>
    <cellStyle name="输入 2 92 11" xfId="57614"/>
    <cellStyle name="输入 2 92 12" xfId="57615"/>
    <cellStyle name="输入 2 92 2" xfId="10082"/>
    <cellStyle name="输入 2 92 2 2" xfId="57616"/>
    <cellStyle name="输入 2 92 3" xfId="57617"/>
    <cellStyle name="输入 2 92 4" xfId="57618"/>
    <cellStyle name="输入 2 92 5" xfId="57619"/>
    <cellStyle name="输入 2 92 6" xfId="57620"/>
    <cellStyle name="输入 2 92 7" xfId="57621"/>
    <cellStyle name="输入 2 92 8" xfId="57622"/>
    <cellStyle name="输入 2 92 9" xfId="57623"/>
    <cellStyle name="输入 2 93" xfId="10083"/>
    <cellStyle name="输入 2 93 10" xfId="57624"/>
    <cellStyle name="输入 2 93 11" xfId="57625"/>
    <cellStyle name="输入 2 93 12" xfId="57626"/>
    <cellStyle name="输入 2 93 2" xfId="10084"/>
    <cellStyle name="输入 2 93 2 2" xfId="57627"/>
    <cellStyle name="输入 2 93 3" xfId="57628"/>
    <cellStyle name="输入 2 93 4" xfId="57629"/>
    <cellStyle name="输入 2 93 5" xfId="57630"/>
    <cellStyle name="输入 2 93 6" xfId="57631"/>
    <cellStyle name="输入 2 93 7" xfId="57632"/>
    <cellStyle name="输入 2 93 8" xfId="57633"/>
    <cellStyle name="输入 2 93 9" xfId="57634"/>
    <cellStyle name="输入 2 94" xfId="10085"/>
    <cellStyle name="输入 2 94 10" xfId="57635"/>
    <cellStyle name="输入 2 94 11" xfId="57636"/>
    <cellStyle name="输入 2 94 12" xfId="57637"/>
    <cellStyle name="输入 2 94 2" xfId="10086"/>
    <cellStyle name="输入 2 94 2 2" xfId="57638"/>
    <cellStyle name="输入 2 94 3" xfId="57639"/>
    <cellStyle name="输入 2 94 4" xfId="57640"/>
    <cellStyle name="输入 2 94 5" xfId="57641"/>
    <cellStyle name="输入 2 94 6" xfId="57642"/>
    <cellStyle name="输入 2 94 7" xfId="57643"/>
    <cellStyle name="输入 2 94 8" xfId="57644"/>
    <cellStyle name="输入 2 94 9" xfId="57645"/>
    <cellStyle name="输入 2 95" xfId="10087"/>
    <cellStyle name="输入 2 95 2" xfId="57646"/>
    <cellStyle name="输入 2 96" xfId="11398"/>
    <cellStyle name="输入 2_YL Capex Cashflow &amp; Dep" xfId="13900"/>
    <cellStyle name="输入 20" xfId="10088"/>
    <cellStyle name="输入 20 10" xfId="57647"/>
    <cellStyle name="输入 20 11" xfId="57648"/>
    <cellStyle name="输入 20 12" xfId="57649"/>
    <cellStyle name="输入 20 2" xfId="10089"/>
    <cellStyle name="输入 20 2 2" xfId="57650"/>
    <cellStyle name="输入 20 3" xfId="57651"/>
    <cellStyle name="输入 20 4" xfId="57652"/>
    <cellStyle name="输入 20 5" xfId="57653"/>
    <cellStyle name="输入 20 6" xfId="57654"/>
    <cellStyle name="输入 20 7" xfId="57655"/>
    <cellStyle name="输入 20 8" xfId="57656"/>
    <cellStyle name="输入 20 9" xfId="57657"/>
    <cellStyle name="输入 21" xfId="10090"/>
    <cellStyle name="输入 21 10" xfId="57658"/>
    <cellStyle name="输入 21 11" xfId="57659"/>
    <cellStyle name="输入 21 12" xfId="57660"/>
    <cellStyle name="输入 21 2" xfId="10091"/>
    <cellStyle name="输入 21 2 2" xfId="57661"/>
    <cellStyle name="输入 21 3" xfId="57662"/>
    <cellStyle name="输入 21 4" xfId="57663"/>
    <cellStyle name="输入 21 5" xfId="57664"/>
    <cellStyle name="输入 21 6" xfId="57665"/>
    <cellStyle name="输入 21 7" xfId="57666"/>
    <cellStyle name="输入 21 8" xfId="57667"/>
    <cellStyle name="输入 21 9" xfId="57668"/>
    <cellStyle name="输入 22" xfId="10092"/>
    <cellStyle name="输入 22 10" xfId="57669"/>
    <cellStyle name="输入 22 11" xfId="57670"/>
    <cellStyle name="输入 22 12" xfId="57671"/>
    <cellStyle name="输入 22 2" xfId="10093"/>
    <cellStyle name="输入 22 2 2" xfId="57672"/>
    <cellStyle name="输入 22 3" xfId="57673"/>
    <cellStyle name="输入 22 4" xfId="57674"/>
    <cellStyle name="输入 22 5" xfId="57675"/>
    <cellStyle name="输入 22 6" xfId="57676"/>
    <cellStyle name="输入 22 7" xfId="57677"/>
    <cellStyle name="输入 22 8" xfId="57678"/>
    <cellStyle name="输入 22 9" xfId="57679"/>
    <cellStyle name="输入 23" xfId="10094"/>
    <cellStyle name="输入 23 10" xfId="57680"/>
    <cellStyle name="输入 23 11" xfId="57681"/>
    <cellStyle name="输入 23 12" xfId="57682"/>
    <cellStyle name="输入 23 2" xfId="10095"/>
    <cellStyle name="输入 23 2 2" xfId="57683"/>
    <cellStyle name="输入 23 3" xfId="57684"/>
    <cellStyle name="输入 23 4" xfId="57685"/>
    <cellStyle name="输入 23 5" xfId="57686"/>
    <cellStyle name="输入 23 6" xfId="57687"/>
    <cellStyle name="输入 23 7" xfId="57688"/>
    <cellStyle name="输入 23 8" xfId="57689"/>
    <cellStyle name="输入 23 9" xfId="57690"/>
    <cellStyle name="输入 24" xfId="10096"/>
    <cellStyle name="输入 24 10" xfId="57691"/>
    <cellStyle name="输入 24 11" xfId="57692"/>
    <cellStyle name="输入 24 12" xfId="57693"/>
    <cellStyle name="输入 24 2" xfId="10097"/>
    <cellStyle name="输入 24 2 2" xfId="57694"/>
    <cellStyle name="输入 24 3" xfId="57695"/>
    <cellStyle name="输入 24 4" xfId="57696"/>
    <cellStyle name="输入 24 5" xfId="57697"/>
    <cellStyle name="输入 24 6" xfId="57698"/>
    <cellStyle name="输入 24 7" xfId="57699"/>
    <cellStyle name="输入 24 8" xfId="57700"/>
    <cellStyle name="输入 24 9" xfId="57701"/>
    <cellStyle name="输入 25" xfId="10098"/>
    <cellStyle name="输入 25 10" xfId="57702"/>
    <cellStyle name="输入 25 11" xfId="57703"/>
    <cellStyle name="输入 25 12" xfId="57704"/>
    <cellStyle name="输入 25 2" xfId="10099"/>
    <cellStyle name="输入 25 2 2" xfId="57705"/>
    <cellStyle name="输入 25 3" xfId="57706"/>
    <cellStyle name="输入 25 4" xfId="57707"/>
    <cellStyle name="输入 25 5" xfId="57708"/>
    <cellStyle name="输入 25 6" xfId="57709"/>
    <cellStyle name="输入 25 7" xfId="57710"/>
    <cellStyle name="输入 25 8" xfId="57711"/>
    <cellStyle name="输入 25 9" xfId="57712"/>
    <cellStyle name="输入 26" xfId="10100"/>
    <cellStyle name="输入 26 10" xfId="57713"/>
    <cellStyle name="输入 26 11" xfId="57714"/>
    <cellStyle name="输入 26 12" xfId="57715"/>
    <cellStyle name="输入 26 2" xfId="10101"/>
    <cellStyle name="输入 26 2 2" xfId="57716"/>
    <cellStyle name="输入 26 3" xfId="57717"/>
    <cellStyle name="输入 26 4" xfId="57718"/>
    <cellStyle name="输入 26 5" xfId="57719"/>
    <cellStyle name="输入 26 6" xfId="57720"/>
    <cellStyle name="输入 26 7" xfId="57721"/>
    <cellStyle name="输入 26 8" xfId="57722"/>
    <cellStyle name="输入 26 9" xfId="57723"/>
    <cellStyle name="输入 27" xfId="10102"/>
    <cellStyle name="输入 27 10" xfId="57724"/>
    <cellStyle name="输入 27 11" xfId="57725"/>
    <cellStyle name="输入 27 12" xfId="57726"/>
    <cellStyle name="输入 27 2" xfId="10103"/>
    <cellStyle name="输入 27 2 2" xfId="57727"/>
    <cellStyle name="输入 27 3" xfId="57728"/>
    <cellStyle name="输入 27 4" xfId="57729"/>
    <cellStyle name="输入 27 5" xfId="57730"/>
    <cellStyle name="输入 27 6" xfId="57731"/>
    <cellStyle name="输入 27 7" xfId="57732"/>
    <cellStyle name="输入 27 8" xfId="57733"/>
    <cellStyle name="输入 27 9" xfId="57734"/>
    <cellStyle name="输入 28" xfId="10104"/>
    <cellStyle name="输入 28 10" xfId="57735"/>
    <cellStyle name="输入 28 11" xfId="57736"/>
    <cellStyle name="输入 28 12" xfId="57737"/>
    <cellStyle name="输入 28 2" xfId="10105"/>
    <cellStyle name="输入 28 2 2" xfId="57738"/>
    <cellStyle name="输入 28 3" xfId="57739"/>
    <cellStyle name="输入 28 4" xfId="57740"/>
    <cellStyle name="输入 28 5" xfId="57741"/>
    <cellStyle name="输入 28 6" xfId="57742"/>
    <cellStyle name="输入 28 7" xfId="57743"/>
    <cellStyle name="输入 28 8" xfId="57744"/>
    <cellStyle name="输入 28 9" xfId="57745"/>
    <cellStyle name="输入 29" xfId="10106"/>
    <cellStyle name="输入 29 10" xfId="57746"/>
    <cellStyle name="输入 29 11" xfId="57747"/>
    <cellStyle name="输入 29 12" xfId="57748"/>
    <cellStyle name="输入 29 2" xfId="10107"/>
    <cellStyle name="输入 29 2 2" xfId="57749"/>
    <cellStyle name="输入 29 3" xfId="57750"/>
    <cellStyle name="输入 29 4" xfId="57751"/>
    <cellStyle name="输入 29 5" xfId="57752"/>
    <cellStyle name="输入 29 6" xfId="57753"/>
    <cellStyle name="输入 29 7" xfId="57754"/>
    <cellStyle name="输入 29 8" xfId="57755"/>
    <cellStyle name="输入 29 9" xfId="57756"/>
    <cellStyle name="输入 3" xfId="3286"/>
    <cellStyle name="输入 3 10" xfId="10108"/>
    <cellStyle name="输入 3 10 10" xfId="57757"/>
    <cellStyle name="输入 3 10 11" xfId="57758"/>
    <cellStyle name="输入 3 10 2" xfId="10109"/>
    <cellStyle name="输入 3 10 2 2" xfId="57759"/>
    <cellStyle name="输入 3 10 3" xfId="57760"/>
    <cellStyle name="输入 3 10 4" xfId="57761"/>
    <cellStyle name="输入 3 10 5" xfId="57762"/>
    <cellStyle name="输入 3 10 6" xfId="57763"/>
    <cellStyle name="输入 3 10 7" xfId="57764"/>
    <cellStyle name="输入 3 10 8" xfId="57765"/>
    <cellStyle name="输入 3 10 9" xfId="57766"/>
    <cellStyle name="输入 3 11" xfId="10110"/>
    <cellStyle name="输入 3 11 10" xfId="57767"/>
    <cellStyle name="输入 3 11 11" xfId="57768"/>
    <cellStyle name="输入 3 11 2" xfId="10111"/>
    <cellStyle name="输入 3 11 2 2" xfId="57769"/>
    <cellStyle name="输入 3 11 3" xfId="57770"/>
    <cellStyle name="输入 3 11 4" xfId="57771"/>
    <cellStyle name="输入 3 11 5" xfId="57772"/>
    <cellStyle name="输入 3 11 6" xfId="57773"/>
    <cellStyle name="输入 3 11 7" xfId="57774"/>
    <cellStyle name="输入 3 11 8" xfId="57775"/>
    <cellStyle name="输入 3 11 9" xfId="57776"/>
    <cellStyle name="输入 3 12" xfId="10112"/>
    <cellStyle name="输入 3 12 10" xfId="57777"/>
    <cellStyle name="输入 3 12 2" xfId="10113"/>
    <cellStyle name="输入 3 12 2 2" xfId="57778"/>
    <cellStyle name="输入 3 12 3" xfId="57779"/>
    <cellStyle name="输入 3 12 4" xfId="57780"/>
    <cellStyle name="输入 3 12 5" xfId="57781"/>
    <cellStyle name="输入 3 12 6" xfId="57782"/>
    <cellStyle name="输入 3 12 7" xfId="57783"/>
    <cellStyle name="输入 3 12 8" xfId="57784"/>
    <cellStyle name="输入 3 12 9" xfId="57785"/>
    <cellStyle name="输入 3 13" xfId="10114"/>
    <cellStyle name="输入 3 13 10" xfId="57786"/>
    <cellStyle name="输入 3 13 11" xfId="57787"/>
    <cellStyle name="输入 3 13 2" xfId="10115"/>
    <cellStyle name="输入 3 13 2 2" xfId="57788"/>
    <cellStyle name="输入 3 13 3" xfId="57789"/>
    <cellStyle name="输入 3 13 4" xfId="57790"/>
    <cellStyle name="输入 3 13 5" xfId="57791"/>
    <cellStyle name="输入 3 13 6" xfId="57792"/>
    <cellStyle name="输入 3 13 7" xfId="57793"/>
    <cellStyle name="输入 3 13 8" xfId="57794"/>
    <cellStyle name="输入 3 13 9" xfId="57795"/>
    <cellStyle name="输入 3 14" xfId="10116"/>
    <cellStyle name="输入 3 14 10" xfId="57796"/>
    <cellStyle name="输入 3 14 11" xfId="57797"/>
    <cellStyle name="输入 3 14 2" xfId="10117"/>
    <cellStyle name="输入 3 14 2 2" xfId="57798"/>
    <cellStyle name="输入 3 14 3" xfId="57799"/>
    <cellStyle name="输入 3 14 4" xfId="57800"/>
    <cellStyle name="输入 3 14 5" xfId="57801"/>
    <cellStyle name="输入 3 14 6" xfId="57802"/>
    <cellStyle name="输入 3 14 7" xfId="57803"/>
    <cellStyle name="输入 3 14 8" xfId="57804"/>
    <cellStyle name="输入 3 14 9" xfId="57805"/>
    <cellStyle name="输入 3 15" xfId="10118"/>
    <cellStyle name="输入 3 15 10" xfId="57806"/>
    <cellStyle name="输入 3 15 11" xfId="57807"/>
    <cellStyle name="输入 3 15 2" xfId="10119"/>
    <cellStyle name="输入 3 15 2 2" xfId="57808"/>
    <cellStyle name="输入 3 15 3" xfId="57809"/>
    <cellStyle name="输入 3 15 4" xfId="57810"/>
    <cellStyle name="输入 3 15 5" xfId="57811"/>
    <cellStyle name="输入 3 15 6" xfId="57812"/>
    <cellStyle name="输入 3 15 7" xfId="57813"/>
    <cellStyle name="输入 3 15 8" xfId="57814"/>
    <cellStyle name="输入 3 15 9" xfId="57815"/>
    <cellStyle name="输入 3 16" xfId="10120"/>
    <cellStyle name="输入 3 16 10" xfId="57816"/>
    <cellStyle name="输入 3 16 11" xfId="57817"/>
    <cellStyle name="输入 3 16 2" xfId="10121"/>
    <cellStyle name="输入 3 16 2 2" xfId="57818"/>
    <cellStyle name="输入 3 16 3" xfId="57819"/>
    <cellStyle name="输入 3 16 4" xfId="57820"/>
    <cellStyle name="输入 3 16 5" xfId="57821"/>
    <cellStyle name="输入 3 16 6" xfId="57822"/>
    <cellStyle name="输入 3 16 7" xfId="57823"/>
    <cellStyle name="输入 3 16 8" xfId="57824"/>
    <cellStyle name="输入 3 16 9" xfId="57825"/>
    <cellStyle name="输入 3 17" xfId="10122"/>
    <cellStyle name="输入 3 17 10" xfId="57826"/>
    <cellStyle name="输入 3 17 11" xfId="57827"/>
    <cellStyle name="输入 3 17 2" xfId="10123"/>
    <cellStyle name="输入 3 17 2 2" xfId="57828"/>
    <cellStyle name="输入 3 17 3" xfId="57829"/>
    <cellStyle name="输入 3 17 4" xfId="57830"/>
    <cellStyle name="输入 3 17 5" xfId="57831"/>
    <cellStyle name="输入 3 17 6" xfId="57832"/>
    <cellStyle name="输入 3 17 7" xfId="57833"/>
    <cellStyle name="输入 3 17 8" xfId="57834"/>
    <cellStyle name="输入 3 17 9" xfId="57835"/>
    <cellStyle name="输入 3 18" xfId="10124"/>
    <cellStyle name="输入 3 18 10" xfId="57836"/>
    <cellStyle name="输入 3 18 11" xfId="57837"/>
    <cellStyle name="输入 3 18 2" xfId="10125"/>
    <cellStyle name="输入 3 18 2 2" xfId="57838"/>
    <cellStyle name="输入 3 18 3" xfId="57839"/>
    <cellStyle name="输入 3 18 4" xfId="57840"/>
    <cellStyle name="输入 3 18 5" xfId="57841"/>
    <cellStyle name="输入 3 18 6" xfId="57842"/>
    <cellStyle name="输入 3 18 7" xfId="57843"/>
    <cellStyle name="输入 3 18 8" xfId="57844"/>
    <cellStyle name="输入 3 18 9" xfId="57845"/>
    <cellStyle name="输入 3 19" xfId="10126"/>
    <cellStyle name="输入 3 19 10" xfId="57846"/>
    <cellStyle name="输入 3 19 11" xfId="57847"/>
    <cellStyle name="输入 3 19 2" xfId="10127"/>
    <cellStyle name="输入 3 19 2 2" xfId="57848"/>
    <cellStyle name="输入 3 19 3" xfId="57849"/>
    <cellStyle name="输入 3 19 4" xfId="57850"/>
    <cellStyle name="输入 3 19 5" xfId="57851"/>
    <cellStyle name="输入 3 19 6" xfId="57852"/>
    <cellStyle name="输入 3 19 7" xfId="57853"/>
    <cellStyle name="输入 3 19 8" xfId="57854"/>
    <cellStyle name="输入 3 19 9" xfId="57855"/>
    <cellStyle name="输入 3 2" xfId="3287"/>
    <cellStyle name="输入 3 2 10" xfId="57856"/>
    <cellStyle name="输入 3 2 11" xfId="57857"/>
    <cellStyle name="输入 3 2 12" xfId="57858"/>
    <cellStyle name="输入 3 2 2" xfId="3288"/>
    <cellStyle name="输入 3 2 2 2" xfId="3289"/>
    <cellStyle name="输入 3 2 2 2 2" xfId="12911"/>
    <cellStyle name="输入 3 2 2 2_YL Capex Cashflow &amp; Dep" xfId="13935"/>
    <cellStyle name="输入 3 2 2 3" xfId="12166"/>
    <cellStyle name="输入 3 2 2_YL Capex Cashflow &amp; Dep" xfId="13934"/>
    <cellStyle name="输入 3 2 3" xfId="3290"/>
    <cellStyle name="输入 3 2 3 2" xfId="3291"/>
    <cellStyle name="输入 3 2 3 2 2" xfId="13142"/>
    <cellStyle name="输入 3 2 3 2_YL Capex Cashflow &amp; Dep" xfId="13937"/>
    <cellStyle name="输入 3 2 3 3" xfId="12567"/>
    <cellStyle name="输入 3 2 3_YL Capex Cashflow &amp; Dep" xfId="13936"/>
    <cellStyle name="输入 3 2 4" xfId="11872"/>
    <cellStyle name="输入 3 2 5" xfId="57859"/>
    <cellStyle name="输入 3 2 6" xfId="57860"/>
    <cellStyle name="输入 3 2 7" xfId="57861"/>
    <cellStyle name="输入 3 2 8" xfId="57862"/>
    <cellStyle name="输入 3 2 9" xfId="57863"/>
    <cellStyle name="输入 3 2_YL Capex Cashflow &amp; Dep" xfId="13933"/>
    <cellStyle name="输入 3 20" xfId="10128"/>
    <cellStyle name="输入 3 20 10" xfId="57864"/>
    <cellStyle name="输入 3 20 11" xfId="57865"/>
    <cellStyle name="输入 3 20 12" xfId="57866"/>
    <cellStyle name="输入 3 20 2" xfId="10129"/>
    <cellStyle name="输入 3 20 2 2" xfId="57867"/>
    <cellStyle name="输入 3 20 3" xfId="57868"/>
    <cellStyle name="输入 3 20 4" xfId="57869"/>
    <cellStyle name="输入 3 20 5" xfId="57870"/>
    <cellStyle name="输入 3 20 6" xfId="57871"/>
    <cellStyle name="输入 3 20 7" xfId="57872"/>
    <cellStyle name="输入 3 20 8" xfId="57873"/>
    <cellStyle name="输入 3 20 9" xfId="57874"/>
    <cellStyle name="输入 3 21" xfId="10130"/>
    <cellStyle name="输入 3 21 10" xfId="57875"/>
    <cellStyle name="输入 3 21 11" xfId="57876"/>
    <cellStyle name="输入 3 21 12" xfId="57877"/>
    <cellStyle name="输入 3 21 2" xfId="10131"/>
    <cellStyle name="输入 3 21 2 2" xfId="57878"/>
    <cellStyle name="输入 3 21 3" xfId="57879"/>
    <cellStyle name="输入 3 21 4" xfId="57880"/>
    <cellStyle name="输入 3 21 5" xfId="57881"/>
    <cellStyle name="输入 3 21 6" xfId="57882"/>
    <cellStyle name="输入 3 21 7" xfId="57883"/>
    <cellStyle name="输入 3 21 8" xfId="57884"/>
    <cellStyle name="输入 3 21 9" xfId="57885"/>
    <cellStyle name="输入 3 22" xfId="10132"/>
    <cellStyle name="输入 3 22 10" xfId="57886"/>
    <cellStyle name="输入 3 22 11" xfId="57887"/>
    <cellStyle name="输入 3 22 12" xfId="57888"/>
    <cellStyle name="输入 3 22 2" xfId="10133"/>
    <cellStyle name="输入 3 22 2 2" xfId="57889"/>
    <cellStyle name="输入 3 22 3" xfId="57890"/>
    <cellStyle name="输入 3 22 4" xfId="57891"/>
    <cellStyle name="输入 3 22 5" xfId="57892"/>
    <cellStyle name="输入 3 22 6" xfId="57893"/>
    <cellStyle name="输入 3 22 7" xfId="57894"/>
    <cellStyle name="输入 3 22 8" xfId="57895"/>
    <cellStyle name="输入 3 22 9" xfId="57896"/>
    <cellStyle name="输入 3 23" xfId="10134"/>
    <cellStyle name="输入 3 23 10" xfId="57897"/>
    <cellStyle name="输入 3 23 11" xfId="57898"/>
    <cellStyle name="输入 3 23 12" xfId="57899"/>
    <cellStyle name="输入 3 23 2" xfId="10135"/>
    <cellStyle name="输入 3 23 2 2" xfId="57900"/>
    <cellStyle name="输入 3 23 3" xfId="57901"/>
    <cellStyle name="输入 3 23 4" xfId="57902"/>
    <cellStyle name="输入 3 23 5" xfId="57903"/>
    <cellStyle name="输入 3 23 6" xfId="57904"/>
    <cellStyle name="输入 3 23 7" xfId="57905"/>
    <cellStyle name="输入 3 23 8" xfId="57906"/>
    <cellStyle name="输入 3 23 9" xfId="57907"/>
    <cellStyle name="输入 3 24" xfId="10136"/>
    <cellStyle name="输入 3 24 10" xfId="57908"/>
    <cellStyle name="输入 3 24 11" xfId="57909"/>
    <cellStyle name="输入 3 24 12" xfId="57910"/>
    <cellStyle name="输入 3 24 2" xfId="10137"/>
    <cellStyle name="输入 3 24 2 2" xfId="57911"/>
    <cellStyle name="输入 3 24 3" xfId="57912"/>
    <cellStyle name="输入 3 24 4" xfId="57913"/>
    <cellStyle name="输入 3 24 5" xfId="57914"/>
    <cellStyle name="输入 3 24 6" xfId="57915"/>
    <cellStyle name="输入 3 24 7" xfId="57916"/>
    <cellStyle name="输入 3 24 8" xfId="57917"/>
    <cellStyle name="输入 3 24 9" xfId="57918"/>
    <cellStyle name="输入 3 25" xfId="10138"/>
    <cellStyle name="输入 3 25 10" xfId="57919"/>
    <cellStyle name="输入 3 25 11" xfId="57920"/>
    <cellStyle name="输入 3 25 12" xfId="57921"/>
    <cellStyle name="输入 3 25 2" xfId="10139"/>
    <cellStyle name="输入 3 25 2 2" xfId="57922"/>
    <cellStyle name="输入 3 25 3" xfId="57923"/>
    <cellStyle name="输入 3 25 4" xfId="57924"/>
    <cellStyle name="输入 3 25 5" xfId="57925"/>
    <cellStyle name="输入 3 25 6" xfId="57926"/>
    <cellStyle name="输入 3 25 7" xfId="57927"/>
    <cellStyle name="输入 3 25 8" xfId="57928"/>
    <cellStyle name="输入 3 25 9" xfId="57929"/>
    <cellStyle name="输入 3 26" xfId="10140"/>
    <cellStyle name="输入 3 26 10" xfId="57930"/>
    <cellStyle name="输入 3 26 11" xfId="57931"/>
    <cellStyle name="输入 3 26 12" xfId="57932"/>
    <cellStyle name="输入 3 26 2" xfId="10141"/>
    <cellStyle name="输入 3 26 2 2" xfId="57933"/>
    <cellStyle name="输入 3 26 3" xfId="57934"/>
    <cellStyle name="输入 3 26 4" xfId="57935"/>
    <cellStyle name="输入 3 26 5" xfId="57936"/>
    <cellStyle name="输入 3 26 6" xfId="57937"/>
    <cellStyle name="输入 3 26 7" xfId="57938"/>
    <cellStyle name="输入 3 26 8" xfId="57939"/>
    <cellStyle name="输入 3 26 9" xfId="57940"/>
    <cellStyle name="输入 3 27" xfId="10142"/>
    <cellStyle name="输入 3 27 10" xfId="57941"/>
    <cellStyle name="输入 3 27 11" xfId="57942"/>
    <cellStyle name="输入 3 27 12" xfId="57943"/>
    <cellStyle name="输入 3 27 2" xfId="10143"/>
    <cellStyle name="输入 3 27 2 2" xfId="57944"/>
    <cellStyle name="输入 3 27 3" xfId="57945"/>
    <cellStyle name="输入 3 27 4" xfId="57946"/>
    <cellStyle name="输入 3 27 5" xfId="57947"/>
    <cellStyle name="输入 3 27 6" xfId="57948"/>
    <cellStyle name="输入 3 27 7" xfId="57949"/>
    <cellStyle name="输入 3 27 8" xfId="57950"/>
    <cellStyle name="输入 3 27 9" xfId="57951"/>
    <cellStyle name="输入 3 28" xfId="10144"/>
    <cellStyle name="输入 3 28 10" xfId="57952"/>
    <cellStyle name="输入 3 28 11" xfId="57953"/>
    <cellStyle name="输入 3 28 12" xfId="57954"/>
    <cellStyle name="输入 3 28 2" xfId="10145"/>
    <cellStyle name="输入 3 28 2 2" xfId="57955"/>
    <cellStyle name="输入 3 28 3" xfId="57956"/>
    <cellStyle name="输入 3 28 4" xfId="57957"/>
    <cellStyle name="输入 3 28 5" xfId="57958"/>
    <cellStyle name="输入 3 28 6" xfId="57959"/>
    <cellStyle name="输入 3 28 7" xfId="57960"/>
    <cellStyle name="输入 3 28 8" xfId="57961"/>
    <cellStyle name="输入 3 28 9" xfId="57962"/>
    <cellStyle name="输入 3 29" xfId="10146"/>
    <cellStyle name="输入 3 29 10" xfId="57963"/>
    <cellStyle name="输入 3 29 11" xfId="57964"/>
    <cellStyle name="输入 3 29 12" xfId="57965"/>
    <cellStyle name="输入 3 29 2" xfId="10147"/>
    <cellStyle name="输入 3 29 2 2" xfId="57966"/>
    <cellStyle name="输入 3 29 3" xfId="57967"/>
    <cellStyle name="输入 3 29 4" xfId="57968"/>
    <cellStyle name="输入 3 29 5" xfId="57969"/>
    <cellStyle name="输入 3 29 6" xfId="57970"/>
    <cellStyle name="输入 3 29 7" xfId="57971"/>
    <cellStyle name="输入 3 29 8" xfId="57972"/>
    <cellStyle name="输入 3 29 9" xfId="57973"/>
    <cellStyle name="输入 3 3" xfId="3292"/>
    <cellStyle name="输入 3 3 10" xfId="57974"/>
    <cellStyle name="输入 3 3 11" xfId="57975"/>
    <cellStyle name="输入 3 3 12" xfId="57976"/>
    <cellStyle name="输入 3 3 2" xfId="3293"/>
    <cellStyle name="输入 3 3 2 2" xfId="12937"/>
    <cellStyle name="输入 3 3 2_YL Capex Cashflow &amp; Dep" xfId="13939"/>
    <cellStyle name="输入 3 3 3" xfId="12069"/>
    <cellStyle name="输入 3 3 4" xfId="57977"/>
    <cellStyle name="输入 3 3 5" xfId="57978"/>
    <cellStyle name="输入 3 3 6" xfId="57979"/>
    <cellStyle name="输入 3 3 7" xfId="57980"/>
    <cellStyle name="输入 3 3 8" xfId="57981"/>
    <cellStyle name="输入 3 3 9" xfId="57982"/>
    <cellStyle name="输入 3 3_YL Capex Cashflow &amp; Dep" xfId="13938"/>
    <cellStyle name="输入 3 30" xfId="10148"/>
    <cellStyle name="输入 3 30 10" xfId="57983"/>
    <cellStyle name="输入 3 30 11" xfId="57984"/>
    <cellStyle name="输入 3 30 2" xfId="10149"/>
    <cellStyle name="输入 3 30 2 2" xfId="57985"/>
    <cellStyle name="输入 3 30 3" xfId="57986"/>
    <cellStyle name="输入 3 30 4" xfId="57987"/>
    <cellStyle name="输入 3 30 5" xfId="57988"/>
    <cellStyle name="输入 3 30 6" xfId="57989"/>
    <cellStyle name="输入 3 30 7" xfId="57990"/>
    <cellStyle name="输入 3 30 8" xfId="57991"/>
    <cellStyle name="输入 3 30 9" xfId="57992"/>
    <cellStyle name="输入 3 31" xfId="10150"/>
    <cellStyle name="输入 3 31 10" xfId="57993"/>
    <cellStyle name="输入 3 31 11" xfId="57994"/>
    <cellStyle name="输入 3 31 12" xfId="57995"/>
    <cellStyle name="输入 3 31 2" xfId="10151"/>
    <cellStyle name="输入 3 31 2 2" xfId="57996"/>
    <cellStyle name="输入 3 31 3" xfId="57997"/>
    <cellStyle name="输入 3 31 4" xfId="57998"/>
    <cellStyle name="输入 3 31 5" xfId="57999"/>
    <cellStyle name="输入 3 31 6" xfId="58000"/>
    <cellStyle name="输入 3 31 7" xfId="58001"/>
    <cellStyle name="输入 3 31 8" xfId="58002"/>
    <cellStyle name="输入 3 31 9" xfId="58003"/>
    <cellStyle name="输入 3 32" xfId="10152"/>
    <cellStyle name="输入 3 32 10" xfId="58004"/>
    <cellStyle name="输入 3 32 11" xfId="58005"/>
    <cellStyle name="输入 3 32 12" xfId="58006"/>
    <cellStyle name="输入 3 32 2" xfId="10153"/>
    <cellStyle name="输入 3 32 2 2" xfId="58007"/>
    <cellStyle name="输入 3 32 3" xfId="58008"/>
    <cellStyle name="输入 3 32 4" xfId="58009"/>
    <cellStyle name="输入 3 32 5" xfId="58010"/>
    <cellStyle name="输入 3 32 6" xfId="58011"/>
    <cellStyle name="输入 3 32 7" xfId="58012"/>
    <cellStyle name="输入 3 32 8" xfId="58013"/>
    <cellStyle name="输入 3 32 9" xfId="58014"/>
    <cellStyle name="输入 3 33" xfId="10154"/>
    <cellStyle name="输入 3 33 10" xfId="58015"/>
    <cellStyle name="输入 3 33 11" xfId="58016"/>
    <cellStyle name="输入 3 33 12" xfId="58017"/>
    <cellStyle name="输入 3 33 2" xfId="10155"/>
    <cellStyle name="输入 3 33 2 2" xfId="58018"/>
    <cellStyle name="输入 3 33 3" xfId="58019"/>
    <cellStyle name="输入 3 33 4" xfId="58020"/>
    <cellStyle name="输入 3 33 5" xfId="58021"/>
    <cellStyle name="输入 3 33 6" xfId="58022"/>
    <cellStyle name="输入 3 33 7" xfId="58023"/>
    <cellStyle name="输入 3 33 8" xfId="58024"/>
    <cellStyle name="输入 3 33 9" xfId="58025"/>
    <cellStyle name="输入 3 34" xfId="10156"/>
    <cellStyle name="输入 3 34 10" xfId="58026"/>
    <cellStyle name="输入 3 34 11" xfId="58027"/>
    <cellStyle name="输入 3 34 12" xfId="58028"/>
    <cellStyle name="输入 3 34 2" xfId="10157"/>
    <cellStyle name="输入 3 34 2 2" xfId="58029"/>
    <cellStyle name="输入 3 34 3" xfId="58030"/>
    <cellStyle name="输入 3 34 4" xfId="58031"/>
    <cellStyle name="输入 3 34 5" xfId="58032"/>
    <cellStyle name="输入 3 34 6" xfId="58033"/>
    <cellStyle name="输入 3 34 7" xfId="58034"/>
    <cellStyle name="输入 3 34 8" xfId="58035"/>
    <cellStyle name="输入 3 34 9" xfId="58036"/>
    <cellStyle name="输入 3 35" xfId="10158"/>
    <cellStyle name="输入 3 35 10" xfId="58037"/>
    <cellStyle name="输入 3 35 11" xfId="58038"/>
    <cellStyle name="输入 3 35 2" xfId="10159"/>
    <cellStyle name="输入 3 35 2 2" xfId="58039"/>
    <cellStyle name="输入 3 35 3" xfId="58040"/>
    <cellStyle name="输入 3 35 4" xfId="58041"/>
    <cellStyle name="输入 3 35 5" xfId="58042"/>
    <cellStyle name="输入 3 35 6" xfId="58043"/>
    <cellStyle name="输入 3 35 7" xfId="58044"/>
    <cellStyle name="输入 3 35 8" xfId="58045"/>
    <cellStyle name="输入 3 35 9" xfId="58046"/>
    <cellStyle name="输入 3 36" xfId="10160"/>
    <cellStyle name="输入 3 36 10" xfId="58047"/>
    <cellStyle name="输入 3 36 11" xfId="58048"/>
    <cellStyle name="输入 3 36 12" xfId="58049"/>
    <cellStyle name="输入 3 36 2" xfId="10161"/>
    <cellStyle name="输入 3 36 2 2" xfId="58050"/>
    <cellStyle name="输入 3 36 3" xfId="58051"/>
    <cellStyle name="输入 3 36 4" xfId="58052"/>
    <cellStyle name="输入 3 36 5" xfId="58053"/>
    <cellStyle name="输入 3 36 6" xfId="58054"/>
    <cellStyle name="输入 3 36 7" xfId="58055"/>
    <cellStyle name="输入 3 36 8" xfId="58056"/>
    <cellStyle name="输入 3 36 9" xfId="58057"/>
    <cellStyle name="输入 3 37" xfId="10162"/>
    <cellStyle name="输入 3 37 10" xfId="58058"/>
    <cellStyle name="输入 3 37 11" xfId="58059"/>
    <cellStyle name="输入 3 37 12" xfId="58060"/>
    <cellStyle name="输入 3 37 2" xfId="10163"/>
    <cellStyle name="输入 3 37 2 2" xfId="58061"/>
    <cellStyle name="输入 3 37 3" xfId="58062"/>
    <cellStyle name="输入 3 37 4" xfId="58063"/>
    <cellStyle name="输入 3 37 5" xfId="58064"/>
    <cellStyle name="输入 3 37 6" xfId="58065"/>
    <cellStyle name="输入 3 37 7" xfId="58066"/>
    <cellStyle name="输入 3 37 8" xfId="58067"/>
    <cellStyle name="输入 3 37 9" xfId="58068"/>
    <cellStyle name="输入 3 38" xfId="10164"/>
    <cellStyle name="输入 3 38 10" xfId="58069"/>
    <cellStyle name="输入 3 38 11" xfId="58070"/>
    <cellStyle name="输入 3 38 12" xfId="58071"/>
    <cellStyle name="输入 3 38 2" xfId="10165"/>
    <cellStyle name="输入 3 38 2 2" xfId="58072"/>
    <cellStyle name="输入 3 38 3" xfId="58073"/>
    <cellStyle name="输入 3 38 4" xfId="58074"/>
    <cellStyle name="输入 3 38 5" xfId="58075"/>
    <cellStyle name="输入 3 38 6" xfId="58076"/>
    <cellStyle name="输入 3 38 7" xfId="58077"/>
    <cellStyle name="输入 3 38 8" xfId="58078"/>
    <cellStyle name="输入 3 38 9" xfId="58079"/>
    <cellStyle name="输入 3 39" xfId="10166"/>
    <cellStyle name="输入 3 39 10" xfId="58080"/>
    <cellStyle name="输入 3 39 11" xfId="58081"/>
    <cellStyle name="输入 3 39 12" xfId="58082"/>
    <cellStyle name="输入 3 39 2" xfId="10167"/>
    <cellStyle name="输入 3 39 2 2" xfId="58083"/>
    <cellStyle name="输入 3 39 3" xfId="58084"/>
    <cellStyle name="输入 3 39 4" xfId="58085"/>
    <cellStyle name="输入 3 39 5" xfId="58086"/>
    <cellStyle name="输入 3 39 6" xfId="58087"/>
    <cellStyle name="输入 3 39 7" xfId="58088"/>
    <cellStyle name="输入 3 39 8" xfId="58089"/>
    <cellStyle name="输入 3 39 9" xfId="58090"/>
    <cellStyle name="输入 3 4" xfId="3294"/>
    <cellStyle name="输入 3 4 10" xfId="58091"/>
    <cellStyle name="输入 3 4 11" xfId="58092"/>
    <cellStyle name="输入 3 4 12" xfId="58093"/>
    <cellStyle name="输入 3 4 2" xfId="3295"/>
    <cellStyle name="输入 3 4 2 2" xfId="12981"/>
    <cellStyle name="输入 3 4 2_YL Capex Cashflow &amp; Dep" xfId="13941"/>
    <cellStyle name="输入 3 4 3" xfId="12299"/>
    <cellStyle name="输入 3 4 4" xfId="58094"/>
    <cellStyle name="输入 3 4 5" xfId="58095"/>
    <cellStyle name="输入 3 4 6" xfId="58096"/>
    <cellStyle name="输入 3 4 7" xfId="58097"/>
    <cellStyle name="输入 3 4 8" xfId="58098"/>
    <cellStyle name="输入 3 4 9" xfId="58099"/>
    <cellStyle name="输入 3 4_YL Capex Cashflow &amp; Dep" xfId="13940"/>
    <cellStyle name="输入 3 40" xfId="10168"/>
    <cellStyle name="输入 3 40 10" xfId="58100"/>
    <cellStyle name="输入 3 40 11" xfId="58101"/>
    <cellStyle name="输入 3 40 12" xfId="58102"/>
    <cellStyle name="输入 3 40 2" xfId="10169"/>
    <cellStyle name="输入 3 40 2 2" xfId="58103"/>
    <cellStyle name="输入 3 40 3" xfId="58104"/>
    <cellStyle name="输入 3 40 4" xfId="58105"/>
    <cellStyle name="输入 3 40 5" xfId="58106"/>
    <cellStyle name="输入 3 40 6" xfId="58107"/>
    <cellStyle name="输入 3 40 7" xfId="58108"/>
    <cellStyle name="输入 3 40 8" xfId="58109"/>
    <cellStyle name="输入 3 40 9" xfId="58110"/>
    <cellStyle name="输入 3 41" xfId="10170"/>
    <cellStyle name="输入 3 41 10" xfId="58111"/>
    <cellStyle name="输入 3 41 11" xfId="58112"/>
    <cellStyle name="输入 3 41 12" xfId="58113"/>
    <cellStyle name="输入 3 41 2" xfId="10171"/>
    <cellStyle name="输入 3 41 2 2" xfId="58114"/>
    <cellStyle name="输入 3 41 3" xfId="58115"/>
    <cellStyle name="输入 3 41 4" xfId="58116"/>
    <cellStyle name="输入 3 41 5" xfId="58117"/>
    <cellStyle name="输入 3 41 6" xfId="58118"/>
    <cellStyle name="输入 3 41 7" xfId="58119"/>
    <cellStyle name="输入 3 41 8" xfId="58120"/>
    <cellStyle name="输入 3 41 9" xfId="58121"/>
    <cellStyle name="输入 3 42" xfId="10172"/>
    <cellStyle name="输入 3 42 10" xfId="58122"/>
    <cellStyle name="输入 3 42 11" xfId="58123"/>
    <cellStyle name="输入 3 42 12" xfId="58124"/>
    <cellStyle name="输入 3 42 2" xfId="10173"/>
    <cellStyle name="输入 3 42 2 2" xfId="58125"/>
    <cellStyle name="输入 3 42 3" xfId="58126"/>
    <cellStyle name="输入 3 42 4" xfId="58127"/>
    <cellStyle name="输入 3 42 5" xfId="58128"/>
    <cellStyle name="输入 3 42 6" xfId="58129"/>
    <cellStyle name="输入 3 42 7" xfId="58130"/>
    <cellStyle name="输入 3 42 8" xfId="58131"/>
    <cellStyle name="输入 3 42 9" xfId="58132"/>
    <cellStyle name="输入 3 43" xfId="10174"/>
    <cellStyle name="输入 3 43 10" xfId="58133"/>
    <cellStyle name="输入 3 43 11" xfId="58134"/>
    <cellStyle name="输入 3 43 12" xfId="58135"/>
    <cellStyle name="输入 3 43 2" xfId="10175"/>
    <cellStyle name="输入 3 43 2 2" xfId="58136"/>
    <cellStyle name="输入 3 43 3" xfId="58137"/>
    <cellStyle name="输入 3 43 4" xfId="58138"/>
    <cellStyle name="输入 3 43 5" xfId="58139"/>
    <cellStyle name="输入 3 43 6" xfId="58140"/>
    <cellStyle name="输入 3 43 7" xfId="58141"/>
    <cellStyle name="输入 3 43 8" xfId="58142"/>
    <cellStyle name="输入 3 43 9" xfId="58143"/>
    <cellStyle name="输入 3 44" xfId="10176"/>
    <cellStyle name="输入 3 44 10" xfId="58144"/>
    <cellStyle name="输入 3 44 11" xfId="58145"/>
    <cellStyle name="输入 3 44 12" xfId="58146"/>
    <cellStyle name="输入 3 44 2" xfId="10177"/>
    <cellStyle name="输入 3 44 2 2" xfId="58147"/>
    <cellStyle name="输入 3 44 3" xfId="58148"/>
    <cellStyle name="输入 3 44 4" xfId="58149"/>
    <cellStyle name="输入 3 44 5" xfId="58150"/>
    <cellStyle name="输入 3 44 6" xfId="58151"/>
    <cellStyle name="输入 3 44 7" xfId="58152"/>
    <cellStyle name="输入 3 44 8" xfId="58153"/>
    <cellStyle name="输入 3 44 9" xfId="58154"/>
    <cellStyle name="输入 3 45" xfId="10178"/>
    <cellStyle name="输入 3 45 10" xfId="58155"/>
    <cellStyle name="输入 3 45 11" xfId="58156"/>
    <cellStyle name="输入 3 45 12" xfId="58157"/>
    <cellStyle name="输入 3 45 2" xfId="10179"/>
    <cellStyle name="输入 3 45 2 2" xfId="58158"/>
    <cellStyle name="输入 3 45 3" xfId="58159"/>
    <cellStyle name="输入 3 45 4" xfId="58160"/>
    <cellStyle name="输入 3 45 5" xfId="58161"/>
    <cellStyle name="输入 3 45 6" xfId="58162"/>
    <cellStyle name="输入 3 45 7" xfId="58163"/>
    <cellStyle name="输入 3 45 8" xfId="58164"/>
    <cellStyle name="输入 3 45 9" xfId="58165"/>
    <cellStyle name="输入 3 46" xfId="10180"/>
    <cellStyle name="输入 3 46 10" xfId="58166"/>
    <cellStyle name="输入 3 46 11" xfId="58167"/>
    <cellStyle name="输入 3 46 12" xfId="58168"/>
    <cellStyle name="输入 3 46 2" xfId="10181"/>
    <cellStyle name="输入 3 46 2 2" xfId="58169"/>
    <cellStyle name="输入 3 46 3" xfId="58170"/>
    <cellStyle name="输入 3 46 4" xfId="58171"/>
    <cellStyle name="输入 3 46 5" xfId="58172"/>
    <cellStyle name="输入 3 46 6" xfId="58173"/>
    <cellStyle name="输入 3 46 7" xfId="58174"/>
    <cellStyle name="输入 3 46 8" xfId="58175"/>
    <cellStyle name="输入 3 46 9" xfId="58176"/>
    <cellStyle name="输入 3 47" xfId="10182"/>
    <cellStyle name="输入 3 47 10" xfId="58177"/>
    <cellStyle name="输入 3 47 11" xfId="58178"/>
    <cellStyle name="输入 3 47 12" xfId="58179"/>
    <cellStyle name="输入 3 47 2" xfId="10183"/>
    <cellStyle name="输入 3 47 2 2" xfId="58180"/>
    <cellStyle name="输入 3 47 3" xfId="58181"/>
    <cellStyle name="输入 3 47 4" xfId="58182"/>
    <cellStyle name="输入 3 47 5" xfId="58183"/>
    <cellStyle name="输入 3 47 6" xfId="58184"/>
    <cellStyle name="输入 3 47 7" xfId="58185"/>
    <cellStyle name="输入 3 47 8" xfId="58186"/>
    <cellStyle name="输入 3 47 9" xfId="58187"/>
    <cellStyle name="输入 3 48" xfId="10184"/>
    <cellStyle name="输入 3 48 10" xfId="58188"/>
    <cellStyle name="输入 3 48 11" xfId="58189"/>
    <cellStyle name="输入 3 48 12" xfId="58190"/>
    <cellStyle name="输入 3 48 2" xfId="10185"/>
    <cellStyle name="输入 3 48 2 2" xfId="58191"/>
    <cellStyle name="输入 3 48 3" xfId="58192"/>
    <cellStyle name="输入 3 48 4" xfId="58193"/>
    <cellStyle name="输入 3 48 5" xfId="58194"/>
    <cellStyle name="输入 3 48 6" xfId="58195"/>
    <cellStyle name="输入 3 48 7" xfId="58196"/>
    <cellStyle name="输入 3 48 8" xfId="58197"/>
    <cellStyle name="输入 3 48 9" xfId="58198"/>
    <cellStyle name="输入 3 49" xfId="10186"/>
    <cellStyle name="输入 3 49 10" xfId="58199"/>
    <cellStyle name="输入 3 49 11" xfId="58200"/>
    <cellStyle name="输入 3 49 12" xfId="58201"/>
    <cellStyle name="输入 3 49 2" xfId="10187"/>
    <cellStyle name="输入 3 49 2 2" xfId="58202"/>
    <cellStyle name="输入 3 49 3" xfId="58203"/>
    <cellStyle name="输入 3 49 4" xfId="58204"/>
    <cellStyle name="输入 3 49 5" xfId="58205"/>
    <cellStyle name="输入 3 49 6" xfId="58206"/>
    <cellStyle name="输入 3 49 7" xfId="58207"/>
    <cellStyle name="输入 3 49 8" xfId="58208"/>
    <cellStyle name="输入 3 49 9" xfId="58209"/>
    <cellStyle name="输入 3 5" xfId="3296"/>
    <cellStyle name="输入 3 5 10" xfId="58210"/>
    <cellStyle name="输入 3 5 11" xfId="58211"/>
    <cellStyle name="输入 3 5 2" xfId="10188"/>
    <cellStyle name="输入 3 5 2 2" xfId="58212"/>
    <cellStyle name="输入 3 5 3" xfId="13281"/>
    <cellStyle name="输入 3 5 4" xfId="58213"/>
    <cellStyle name="输入 3 5 5" xfId="58214"/>
    <cellStyle name="输入 3 5 6" xfId="58215"/>
    <cellStyle name="输入 3 5 7" xfId="58216"/>
    <cellStyle name="输入 3 5 8" xfId="58217"/>
    <cellStyle name="输入 3 5 9" xfId="58218"/>
    <cellStyle name="输入 3 5_YL Capex Cashflow &amp; Dep" xfId="13942"/>
    <cellStyle name="输入 3 50" xfId="10189"/>
    <cellStyle name="输入 3 50 10" xfId="58219"/>
    <cellStyle name="输入 3 50 11" xfId="58220"/>
    <cellStyle name="输入 3 50 12" xfId="58221"/>
    <cellStyle name="输入 3 50 2" xfId="10190"/>
    <cellStyle name="输入 3 50 2 2" xfId="58222"/>
    <cellStyle name="输入 3 50 3" xfId="58223"/>
    <cellStyle name="输入 3 50 4" xfId="58224"/>
    <cellStyle name="输入 3 50 5" xfId="58225"/>
    <cellStyle name="输入 3 50 6" xfId="58226"/>
    <cellStyle name="输入 3 50 7" xfId="58227"/>
    <cellStyle name="输入 3 50 8" xfId="58228"/>
    <cellStyle name="输入 3 50 9" xfId="58229"/>
    <cellStyle name="输入 3 51" xfId="10191"/>
    <cellStyle name="输入 3 51 10" xfId="58230"/>
    <cellStyle name="输入 3 51 11" xfId="58231"/>
    <cellStyle name="输入 3 51 12" xfId="58232"/>
    <cellStyle name="输入 3 51 2" xfId="10192"/>
    <cellStyle name="输入 3 51 2 2" xfId="58233"/>
    <cellStyle name="输入 3 51 3" xfId="58234"/>
    <cellStyle name="输入 3 51 4" xfId="58235"/>
    <cellStyle name="输入 3 51 5" xfId="58236"/>
    <cellStyle name="输入 3 51 6" xfId="58237"/>
    <cellStyle name="输入 3 51 7" xfId="58238"/>
    <cellStyle name="输入 3 51 8" xfId="58239"/>
    <cellStyle name="输入 3 51 9" xfId="58240"/>
    <cellStyle name="输入 3 52" xfId="10193"/>
    <cellStyle name="输入 3 52 10" xfId="58241"/>
    <cellStyle name="输入 3 52 11" xfId="58242"/>
    <cellStyle name="输入 3 52 12" xfId="58243"/>
    <cellStyle name="输入 3 52 2" xfId="10194"/>
    <cellStyle name="输入 3 52 2 2" xfId="58244"/>
    <cellStyle name="输入 3 52 3" xfId="58245"/>
    <cellStyle name="输入 3 52 4" xfId="58246"/>
    <cellStyle name="输入 3 52 5" xfId="58247"/>
    <cellStyle name="输入 3 52 6" xfId="58248"/>
    <cellStyle name="输入 3 52 7" xfId="58249"/>
    <cellStyle name="输入 3 52 8" xfId="58250"/>
    <cellStyle name="输入 3 52 9" xfId="58251"/>
    <cellStyle name="输入 3 53" xfId="10195"/>
    <cellStyle name="输入 3 53 10" xfId="58252"/>
    <cellStyle name="输入 3 53 11" xfId="58253"/>
    <cellStyle name="输入 3 53 12" xfId="58254"/>
    <cellStyle name="输入 3 53 2" xfId="10196"/>
    <cellStyle name="输入 3 53 2 2" xfId="58255"/>
    <cellStyle name="输入 3 53 3" xfId="58256"/>
    <cellStyle name="输入 3 53 4" xfId="58257"/>
    <cellStyle name="输入 3 53 5" xfId="58258"/>
    <cellStyle name="输入 3 53 6" xfId="58259"/>
    <cellStyle name="输入 3 53 7" xfId="58260"/>
    <cellStyle name="输入 3 53 8" xfId="58261"/>
    <cellStyle name="输入 3 53 9" xfId="58262"/>
    <cellStyle name="输入 3 54" xfId="10197"/>
    <cellStyle name="输入 3 54 10" xfId="58263"/>
    <cellStyle name="输入 3 54 11" xfId="58264"/>
    <cellStyle name="输入 3 54 2" xfId="10198"/>
    <cellStyle name="输入 3 54 2 2" xfId="58265"/>
    <cellStyle name="输入 3 54 3" xfId="58266"/>
    <cellStyle name="输入 3 54 4" xfId="58267"/>
    <cellStyle name="输入 3 54 5" xfId="58268"/>
    <cellStyle name="输入 3 54 6" xfId="58269"/>
    <cellStyle name="输入 3 54 7" xfId="58270"/>
    <cellStyle name="输入 3 54 8" xfId="58271"/>
    <cellStyle name="输入 3 54 9" xfId="58272"/>
    <cellStyle name="输入 3 55" xfId="10199"/>
    <cellStyle name="输入 3 55 10" xfId="58273"/>
    <cellStyle name="输入 3 55 11" xfId="58274"/>
    <cellStyle name="输入 3 55 12" xfId="58275"/>
    <cellStyle name="输入 3 55 2" xfId="10200"/>
    <cellStyle name="输入 3 55 2 2" xfId="58276"/>
    <cellStyle name="输入 3 55 3" xfId="58277"/>
    <cellStyle name="输入 3 55 4" xfId="58278"/>
    <cellStyle name="输入 3 55 5" xfId="58279"/>
    <cellStyle name="输入 3 55 6" xfId="58280"/>
    <cellStyle name="输入 3 55 7" xfId="58281"/>
    <cellStyle name="输入 3 55 8" xfId="58282"/>
    <cellStyle name="输入 3 55 9" xfId="58283"/>
    <cellStyle name="输入 3 56" xfId="10201"/>
    <cellStyle name="输入 3 56 10" xfId="58284"/>
    <cellStyle name="输入 3 56 11" xfId="58285"/>
    <cellStyle name="输入 3 56 12" xfId="58286"/>
    <cellStyle name="输入 3 56 2" xfId="10202"/>
    <cellStyle name="输入 3 56 2 2" xfId="58287"/>
    <cellStyle name="输入 3 56 3" xfId="58288"/>
    <cellStyle name="输入 3 56 4" xfId="58289"/>
    <cellStyle name="输入 3 56 5" xfId="58290"/>
    <cellStyle name="输入 3 56 6" xfId="58291"/>
    <cellStyle name="输入 3 56 7" xfId="58292"/>
    <cellStyle name="输入 3 56 8" xfId="58293"/>
    <cellStyle name="输入 3 56 9" xfId="58294"/>
    <cellStyle name="输入 3 57" xfId="10203"/>
    <cellStyle name="输入 3 57 10" xfId="58295"/>
    <cellStyle name="输入 3 57 11" xfId="58296"/>
    <cellStyle name="输入 3 57 12" xfId="58297"/>
    <cellStyle name="输入 3 57 2" xfId="10204"/>
    <cellStyle name="输入 3 57 2 2" xfId="58298"/>
    <cellStyle name="输入 3 57 3" xfId="58299"/>
    <cellStyle name="输入 3 57 4" xfId="58300"/>
    <cellStyle name="输入 3 57 5" xfId="58301"/>
    <cellStyle name="输入 3 57 6" xfId="58302"/>
    <cellStyle name="输入 3 57 7" xfId="58303"/>
    <cellStyle name="输入 3 57 8" xfId="58304"/>
    <cellStyle name="输入 3 57 9" xfId="58305"/>
    <cellStyle name="输入 3 58" xfId="10205"/>
    <cellStyle name="输入 3 58 10" xfId="58306"/>
    <cellStyle name="输入 3 58 11" xfId="58307"/>
    <cellStyle name="输入 3 58 12" xfId="58308"/>
    <cellStyle name="输入 3 58 2" xfId="10206"/>
    <cellStyle name="输入 3 58 2 2" xfId="58309"/>
    <cellStyle name="输入 3 58 3" xfId="58310"/>
    <cellStyle name="输入 3 58 4" xfId="58311"/>
    <cellStyle name="输入 3 58 5" xfId="58312"/>
    <cellStyle name="输入 3 58 6" xfId="58313"/>
    <cellStyle name="输入 3 58 7" xfId="58314"/>
    <cellStyle name="输入 3 58 8" xfId="58315"/>
    <cellStyle name="输入 3 58 9" xfId="58316"/>
    <cellStyle name="输入 3 59" xfId="10207"/>
    <cellStyle name="输入 3 59 10" xfId="58317"/>
    <cellStyle name="输入 3 59 11" xfId="58318"/>
    <cellStyle name="输入 3 59 2" xfId="10208"/>
    <cellStyle name="输入 3 59 2 2" xfId="58319"/>
    <cellStyle name="输入 3 59 3" xfId="58320"/>
    <cellStyle name="输入 3 59 4" xfId="58321"/>
    <cellStyle name="输入 3 59 5" xfId="58322"/>
    <cellStyle name="输入 3 59 6" xfId="58323"/>
    <cellStyle name="输入 3 59 7" xfId="58324"/>
    <cellStyle name="输入 3 59 8" xfId="58325"/>
    <cellStyle name="输入 3 59 9" xfId="58326"/>
    <cellStyle name="输入 3 6" xfId="10209"/>
    <cellStyle name="输入 3 6 10" xfId="58327"/>
    <cellStyle name="输入 3 6 11" xfId="58328"/>
    <cellStyle name="输入 3 6 2" xfId="10210"/>
    <cellStyle name="输入 3 6 2 2" xfId="58329"/>
    <cellStyle name="输入 3 6 3" xfId="58330"/>
    <cellStyle name="输入 3 6 4" xfId="58331"/>
    <cellStyle name="输入 3 6 5" xfId="58332"/>
    <cellStyle name="输入 3 6 6" xfId="58333"/>
    <cellStyle name="输入 3 6 7" xfId="58334"/>
    <cellStyle name="输入 3 6 8" xfId="58335"/>
    <cellStyle name="输入 3 6 9" xfId="58336"/>
    <cellStyle name="输入 3 60" xfId="10211"/>
    <cellStyle name="输入 3 60 10" xfId="58337"/>
    <cellStyle name="输入 3 60 11" xfId="58338"/>
    <cellStyle name="输入 3 60 12" xfId="58339"/>
    <cellStyle name="输入 3 60 2" xfId="10212"/>
    <cellStyle name="输入 3 60 2 2" xfId="58340"/>
    <cellStyle name="输入 3 60 3" xfId="58341"/>
    <cellStyle name="输入 3 60 4" xfId="58342"/>
    <cellStyle name="输入 3 60 5" xfId="58343"/>
    <cellStyle name="输入 3 60 6" xfId="58344"/>
    <cellStyle name="输入 3 60 7" xfId="58345"/>
    <cellStyle name="输入 3 60 8" xfId="58346"/>
    <cellStyle name="输入 3 60 9" xfId="58347"/>
    <cellStyle name="输入 3 61" xfId="10213"/>
    <cellStyle name="输入 3 61 10" xfId="58348"/>
    <cellStyle name="输入 3 61 11" xfId="58349"/>
    <cellStyle name="输入 3 61 12" xfId="58350"/>
    <cellStyle name="输入 3 61 2" xfId="10214"/>
    <cellStyle name="输入 3 61 2 2" xfId="58351"/>
    <cellStyle name="输入 3 61 3" xfId="58352"/>
    <cellStyle name="输入 3 61 4" xfId="58353"/>
    <cellStyle name="输入 3 61 5" xfId="58354"/>
    <cellStyle name="输入 3 61 6" xfId="58355"/>
    <cellStyle name="输入 3 61 7" xfId="58356"/>
    <cellStyle name="输入 3 61 8" xfId="58357"/>
    <cellStyle name="输入 3 61 9" xfId="58358"/>
    <cellStyle name="输入 3 62" xfId="10215"/>
    <cellStyle name="输入 3 62 10" xfId="58359"/>
    <cellStyle name="输入 3 62 11" xfId="58360"/>
    <cellStyle name="输入 3 62 12" xfId="58361"/>
    <cellStyle name="输入 3 62 2" xfId="10216"/>
    <cellStyle name="输入 3 62 2 2" xfId="58362"/>
    <cellStyle name="输入 3 62 3" xfId="58363"/>
    <cellStyle name="输入 3 62 4" xfId="58364"/>
    <cellStyle name="输入 3 62 5" xfId="58365"/>
    <cellStyle name="输入 3 62 6" xfId="58366"/>
    <cellStyle name="输入 3 62 7" xfId="58367"/>
    <cellStyle name="输入 3 62 8" xfId="58368"/>
    <cellStyle name="输入 3 62 9" xfId="58369"/>
    <cellStyle name="输入 3 63" xfId="10217"/>
    <cellStyle name="输入 3 63 10" xfId="58370"/>
    <cellStyle name="输入 3 63 11" xfId="58371"/>
    <cellStyle name="输入 3 63 12" xfId="58372"/>
    <cellStyle name="输入 3 63 2" xfId="10218"/>
    <cellStyle name="输入 3 63 2 2" xfId="58373"/>
    <cellStyle name="输入 3 63 3" xfId="58374"/>
    <cellStyle name="输入 3 63 4" xfId="58375"/>
    <cellStyle name="输入 3 63 5" xfId="58376"/>
    <cellStyle name="输入 3 63 6" xfId="58377"/>
    <cellStyle name="输入 3 63 7" xfId="58378"/>
    <cellStyle name="输入 3 63 8" xfId="58379"/>
    <cellStyle name="输入 3 63 9" xfId="58380"/>
    <cellStyle name="输入 3 64" xfId="10219"/>
    <cellStyle name="输入 3 64 10" xfId="58381"/>
    <cellStyle name="输入 3 64 11" xfId="58382"/>
    <cellStyle name="输入 3 64 12" xfId="58383"/>
    <cellStyle name="输入 3 64 2" xfId="10220"/>
    <cellStyle name="输入 3 64 2 2" xfId="58384"/>
    <cellStyle name="输入 3 64 3" xfId="58385"/>
    <cellStyle name="输入 3 64 4" xfId="58386"/>
    <cellStyle name="输入 3 64 5" xfId="58387"/>
    <cellStyle name="输入 3 64 6" xfId="58388"/>
    <cellStyle name="输入 3 64 7" xfId="58389"/>
    <cellStyle name="输入 3 64 8" xfId="58390"/>
    <cellStyle name="输入 3 64 9" xfId="58391"/>
    <cellStyle name="输入 3 65" xfId="10221"/>
    <cellStyle name="输入 3 65 10" xfId="58392"/>
    <cellStyle name="输入 3 65 11" xfId="58393"/>
    <cellStyle name="输入 3 65 12" xfId="58394"/>
    <cellStyle name="输入 3 65 2" xfId="10222"/>
    <cellStyle name="输入 3 65 2 2" xfId="58395"/>
    <cellStyle name="输入 3 65 3" xfId="58396"/>
    <cellStyle name="输入 3 65 4" xfId="58397"/>
    <cellStyle name="输入 3 65 5" xfId="58398"/>
    <cellStyle name="输入 3 65 6" xfId="58399"/>
    <cellStyle name="输入 3 65 7" xfId="58400"/>
    <cellStyle name="输入 3 65 8" xfId="58401"/>
    <cellStyle name="输入 3 65 9" xfId="58402"/>
    <cellStyle name="输入 3 66" xfId="10223"/>
    <cellStyle name="输入 3 66 10" xfId="58403"/>
    <cellStyle name="输入 3 66 11" xfId="58404"/>
    <cellStyle name="输入 3 66 12" xfId="58405"/>
    <cellStyle name="输入 3 66 2" xfId="10224"/>
    <cellStyle name="输入 3 66 2 2" xfId="58406"/>
    <cellStyle name="输入 3 66 3" xfId="58407"/>
    <cellStyle name="输入 3 66 4" xfId="58408"/>
    <cellStyle name="输入 3 66 5" xfId="58409"/>
    <cellStyle name="输入 3 66 6" xfId="58410"/>
    <cellStyle name="输入 3 66 7" xfId="58411"/>
    <cellStyle name="输入 3 66 8" xfId="58412"/>
    <cellStyle name="输入 3 66 9" xfId="58413"/>
    <cellStyle name="输入 3 67" xfId="10225"/>
    <cellStyle name="输入 3 67 10" xfId="58414"/>
    <cellStyle name="输入 3 67 11" xfId="58415"/>
    <cellStyle name="输入 3 67 12" xfId="58416"/>
    <cellStyle name="输入 3 67 2" xfId="10226"/>
    <cellStyle name="输入 3 67 2 2" xfId="58417"/>
    <cellStyle name="输入 3 67 3" xfId="58418"/>
    <cellStyle name="输入 3 67 4" xfId="58419"/>
    <cellStyle name="输入 3 67 5" xfId="58420"/>
    <cellStyle name="输入 3 67 6" xfId="58421"/>
    <cellStyle name="输入 3 67 7" xfId="58422"/>
    <cellStyle name="输入 3 67 8" xfId="58423"/>
    <cellStyle name="输入 3 67 9" xfId="58424"/>
    <cellStyle name="输入 3 68" xfId="10227"/>
    <cellStyle name="输入 3 68 10" xfId="58425"/>
    <cellStyle name="输入 3 68 11" xfId="58426"/>
    <cellStyle name="输入 3 68 12" xfId="58427"/>
    <cellStyle name="输入 3 68 2" xfId="10228"/>
    <cellStyle name="输入 3 68 2 2" xfId="58428"/>
    <cellStyle name="输入 3 68 3" xfId="58429"/>
    <cellStyle name="输入 3 68 4" xfId="58430"/>
    <cellStyle name="输入 3 68 5" xfId="58431"/>
    <cellStyle name="输入 3 68 6" xfId="58432"/>
    <cellStyle name="输入 3 68 7" xfId="58433"/>
    <cellStyle name="输入 3 68 8" xfId="58434"/>
    <cellStyle name="输入 3 68 9" xfId="58435"/>
    <cellStyle name="输入 3 69" xfId="10229"/>
    <cellStyle name="输入 3 69 10" xfId="58436"/>
    <cellStyle name="输入 3 69 11" xfId="58437"/>
    <cellStyle name="输入 3 69 12" xfId="58438"/>
    <cellStyle name="输入 3 69 2" xfId="10230"/>
    <cellStyle name="输入 3 69 2 2" xfId="58439"/>
    <cellStyle name="输入 3 69 3" xfId="58440"/>
    <cellStyle name="输入 3 69 4" xfId="58441"/>
    <cellStyle name="输入 3 69 5" xfId="58442"/>
    <cellStyle name="输入 3 69 6" xfId="58443"/>
    <cellStyle name="输入 3 69 7" xfId="58444"/>
    <cellStyle name="输入 3 69 8" xfId="58445"/>
    <cellStyle name="输入 3 69 9" xfId="58446"/>
    <cellStyle name="输入 3 7" xfId="10231"/>
    <cellStyle name="输入 3 7 10" xfId="58447"/>
    <cellStyle name="输入 3 7 11" xfId="58448"/>
    <cellStyle name="输入 3 7 2" xfId="10232"/>
    <cellStyle name="输入 3 7 2 2" xfId="58449"/>
    <cellStyle name="输入 3 7 3" xfId="58450"/>
    <cellStyle name="输入 3 7 4" xfId="58451"/>
    <cellStyle name="输入 3 7 5" xfId="58452"/>
    <cellStyle name="输入 3 7 6" xfId="58453"/>
    <cellStyle name="输入 3 7 7" xfId="58454"/>
    <cellStyle name="输入 3 7 8" xfId="58455"/>
    <cellStyle name="输入 3 7 9" xfId="58456"/>
    <cellStyle name="输入 3 70" xfId="10233"/>
    <cellStyle name="输入 3 70 10" xfId="58457"/>
    <cellStyle name="输入 3 70 11" xfId="58458"/>
    <cellStyle name="输入 3 70 12" xfId="58459"/>
    <cellStyle name="输入 3 70 2" xfId="10234"/>
    <cellStyle name="输入 3 70 2 2" xfId="58460"/>
    <cellStyle name="输入 3 70 3" xfId="58461"/>
    <cellStyle name="输入 3 70 4" xfId="58462"/>
    <cellStyle name="输入 3 70 5" xfId="58463"/>
    <cellStyle name="输入 3 70 6" xfId="58464"/>
    <cellStyle name="输入 3 70 7" xfId="58465"/>
    <cellStyle name="输入 3 70 8" xfId="58466"/>
    <cellStyle name="输入 3 70 9" xfId="58467"/>
    <cellStyle name="输入 3 71" xfId="10235"/>
    <cellStyle name="输入 3 71 10" xfId="58468"/>
    <cellStyle name="输入 3 71 11" xfId="58469"/>
    <cellStyle name="输入 3 71 12" xfId="58470"/>
    <cellStyle name="输入 3 71 2" xfId="10236"/>
    <cellStyle name="输入 3 71 2 2" xfId="58471"/>
    <cellStyle name="输入 3 71 3" xfId="58472"/>
    <cellStyle name="输入 3 71 4" xfId="58473"/>
    <cellStyle name="输入 3 71 5" xfId="58474"/>
    <cellStyle name="输入 3 71 6" xfId="58475"/>
    <cellStyle name="输入 3 71 7" xfId="58476"/>
    <cellStyle name="输入 3 71 8" xfId="58477"/>
    <cellStyle name="输入 3 71 9" xfId="58478"/>
    <cellStyle name="输入 3 72" xfId="10237"/>
    <cellStyle name="输入 3 72 10" xfId="58479"/>
    <cellStyle name="输入 3 72 11" xfId="58480"/>
    <cellStyle name="输入 3 72 12" xfId="58481"/>
    <cellStyle name="输入 3 72 2" xfId="10238"/>
    <cellStyle name="输入 3 72 2 2" xfId="58482"/>
    <cellStyle name="输入 3 72 3" xfId="58483"/>
    <cellStyle name="输入 3 72 4" xfId="58484"/>
    <cellStyle name="输入 3 72 5" xfId="58485"/>
    <cellStyle name="输入 3 72 6" xfId="58486"/>
    <cellStyle name="输入 3 72 7" xfId="58487"/>
    <cellStyle name="输入 3 72 8" xfId="58488"/>
    <cellStyle name="输入 3 72 9" xfId="58489"/>
    <cellStyle name="输入 3 73" xfId="10239"/>
    <cellStyle name="输入 3 73 10" xfId="58490"/>
    <cellStyle name="输入 3 73 11" xfId="58491"/>
    <cellStyle name="输入 3 73 12" xfId="58492"/>
    <cellStyle name="输入 3 73 2" xfId="10240"/>
    <cellStyle name="输入 3 73 2 2" xfId="58493"/>
    <cellStyle name="输入 3 73 3" xfId="58494"/>
    <cellStyle name="输入 3 73 4" xfId="58495"/>
    <cellStyle name="输入 3 73 5" xfId="58496"/>
    <cellStyle name="输入 3 73 6" xfId="58497"/>
    <cellStyle name="输入 3 73 7" xfId="58498"/>
    <cellStyle name="输入 3 73 8" xfId="58499"/>
    <cellStyle name="输入 3 73 9" xfId="58500"/>
    <cellStyle name="输入 3 74" xfId="10241"/>
    <cellStyle name="输入 3 74 10" xfId="58501"/>
    <cellStyle name="输入 3 74 11" xfId="58502"/>
    <cellStyle name="输入 3 74 12" xfId="58503"/>
    <cellStyle name="输入 3 74 2" xfId="10242"/>
    <cellStyle name="输入 3 74 2 2" xfId="58504"/>
    <cellStyle name="输入 3 74 3" xfId="58505"/>
    <cellStyle name="输入 3 74 4" xfId="58506"/>
    <cellStyle name="输入 3 74 5" xfId="58507"/>
    <cellStyle name="输入 3 74 6" xfId="58508"/>
    <cellStyle name="输入 3 74 7" xfId="58509"/>
    <cellStyle name="输入 3 74 8" xfId="58510"/>
    <cellStyle name="输入 3 74 9" xfId="58511"/>
    <cellStyle name="输入 3 75" xfId="10243"/>
    <cellStyle name="输入 3 75 10" xfId="58512"/>
    <cellStyle name="输入 3 75 11" xfId="58513"/>
    <cellStyle name="输入 3 75 12" xfId="58514"/>
    <cellStyle name="输入 3 75 2" xfId="10244"/>
    <cellStyle name="输入 3 75 2 2" xfId="58515"/>
    <cellStyle name="输入 3 75 3" xfId="58516"/>
    <cellStyle name="输入 3 75 4" xfId="58517"/>
    <cellStyle name="输入 3 75 5" xfId="58518"/>
    <cellStyle name="输入 3 75 6" xfId="58519"/>
    <cellStyle name="输入 3 75 7" xfId="58520"/>
    <cellStyle name="输入 3 75 8" xfId="58521"/>
    <cellStyle name="输入 3 75 9" xfId="58522"/>
    <cellStyle name="输入 3 76" xfId="10245"/>
    <cellStyle name="输入 3 76 10" xfId="58523"/>
    <cellStyle name="输入 3 76 11" xfId="58524"/>
    <cellStyle name="输入 3 76 12" xfId="58525"/>
    <cellStyle name="输入 3 76 2" xfId="10246"/>
    <cellStyle name="输入 3 76 2 2" xfId="58526"/>
    <cellStyle name="输入 3 76 3" xfId="58527"/>
    <cellStyle name="输入 3 76 4" xfId="58528"/>
    <cellStyle name="输入 3 76 5" xfId="58529"/>
    <cellStyle name="输入 3 76 6" xfId="58530"/>
    <cellStyle name="输入 3 76 7" xfId="58531"/>
    <cellStyle name="输入 3 76 8" xfId="58532"/>
    <cellStyle name="输入 3 76 9" xfId="58533"/>
    <cellStyle name="输入 3 77" xfId="10247"/>
    <cellStyle name="输入 3 77 10" xfId="58534"/>
    <cellStyle name="输入 3 77 11" xfId="58535"/>
    <cellStyle name="输入 3 77 12" xfId="58536"/>
    <cellStyle name="输入 3 77 2" xfId="10248"/>
    <cellStyle name="输入 3 77 2 2" xfId="58537"/>
    <cellStyle name="输入 3 77 3" xfId="58538"/>
    <cellStyle name="输入 3 77 4" xfId="58539"/>
    <cellStyle name="输入 3 77 5" xfId="58540"/>
    <cellStyle name="输入 3 77 6" xfId="58541"/>
    <cellStyle name="输入 3 77 7" xfId="58542"/>
    <cellStyle name="输入 3 77 8" xfId="58543"/>
    <cellStyle name="输入 3 77 9" xfId="58544"/>
    <cellStyle name="输入 3 78" xfId="10249"/>
    <cellStyle name="输入 3 78 10" xfId="58545"/>
    <cellStyle name="输入 3 78 11" xfId="58546"/>
    <cellStyle name="输入 3 78 12" xfId="58547"/>
    <cellStyle name="输入 3 78 2" xfId="10250"/>
    <cellStyle name="输入 3 78 2 2" xfId="58548"/>
    <cellStyle name="输入 3 78 3" xfId="58549"/>
    <cellStyle name="输入 3 78 4" xfId="58550"/>
    <cellStyle name="输入 3 78 5" xfId="58551"/>
    <cellStyle name="输入 3 78 6" xfId="58552"/>
    <cellStyle name="输入 3 78 7" xfId="58553"/>
    <cellStyle name="输入 3 78 8" xfId="58554"/>
    <cellStyle name="输入 3 78 9" xfId="58555"/>
    <cellStyle name="输入 3 79" xfId="10251"/>
    <cellStyle name="输入 3 79 10" xfId="58556"/>
    <cellStyle name="输入 3 79 11" xfId="58557"/>
    <cellStyle name="输入 3 79 12" xfId="58558"/>
    <cellStyle name="输入 3 79 2" xfId="10252"/>
    <cellStyle name="输入 3 79 2 2" xfId="58559"/>
    <cellStyle name="输入 3 79 3" xfId="58560"/>
    <cellStyle name="输入 3 79 4" xfId="58561"/>
    <cellStyle name="输入 3 79 5" xfId="58562"/>
    <cellStyle name="输入 3 79 6" xfId="58563"/>
    <cellStyle name="输入 3 79 7" xfId="58564"/>
    <cellStyle name="输入 3 79 8" xfId="58565"/>
    <cellStyle name="输入 3 79 9" xfId="58566"/>
    <cellStyle name="输入 3 8" xfId="10253"/>
    <cellStyle name="输入 3 8 10" xfId="58567"/>
    <cellStyle name="输入 3 8 11" xfId="58568"/>
    <cellStyle name="输入 3 8 2" xfId="10254"/>
    <cellStyle name="输入 3 8 2 2" xfId="58569"/>
    <cellStyle name="输入 3 8 3" xfId="58570"/>
    <cellStyle name="输入 3 8 4" xfId="58571"/>
    <cellStyle name="输入 3 8 5" xfId="58572"/>
    <cellStyle name="输入 3 8 6" xfId="58573"/>
    <cellStyle name="输入 3 8 7" xfId="58574"/>
    <cellStyle name="输入 3 8 8" xfId="58575"/>
    <cellStyle name="输入 3 8 9" xfId="58576"/>
    <cellStyle name="输入 3 80" xfId="10255"/>
    <cellStyle name="输入 3 80 10" xfId="58577"/>
    <cellStyle name="输入 3 80 11" xfId="58578"/>
    <cellStyle name="输入 3 80 12" xfId="58579"/>
    <cellStyle name="输入 3 80 2" xfId="10256"/>
    <cellStyle name="输入 3 80 2 2" xfId="58580"/>
    <cellStyle name="输入 3 80 3" xfId="58581"/>
    <cellStyle name="输入 3 80 4" xfId="58582"/>
    <cellStyle name="输入 3 80 5" xfId="58583"/>
    <cellStyle name="输入 3 80 6" xfId="58584"/>
    <cellStyle name="输入 3 80 7" xfId="58585"/>
    <cellStyle name="输入 3 80 8" xfId="58586"/>
    <cellStyle name="输入 3 80 9" xfId="58587"/>
    <cellStyle name="输入 3 81" xfId="10257"/>
    <cellStyle name="输入 3 81 10" xfId="58588"/>
    <cellStyle name="输入 3 81 11" xfId="58589"/>
    <cellStyle name="输入 3 81 12" xfId="58590"/>
    <cellStyle name="输入 3 81 2" xfId="10258"/>
    <cellStyle name="输入 3 81 2 2" xfId="58591"/>
    <cellStyle name="输入 3 81 3" xfId="58592"/>
    <cellStyle name="输入 3 81 4" xfId="58593"/>
    <cellStyle name="输入 3 81 5" xfId="58594"/>
    <cellStyle name="输入 3 81 6" xfId="58595"/>
    <cellStyle name="输入 3 81 7" xfId="58596"/>
    <cellStyle name="输入 3 81 8" xfId="58597"/>
    <cellStyle name="输入 3 81 9" xfId="58598"/>
    <cellStyle name="输入 3 82" xfId="10259"/>
    <cellStyle name="输入 3 82 10" xfId="58599"/>
    <cellStyle name="输入 3 82 11" xfId="58600"/>
    <cellStyle name="输入 3 82 12" xfId="58601"/>
    <cellStyle name="输入 3 82 2" xfId="10260"/>
    <cellStyle name="输入 3 82 2 2" xfId="58602"/>
    <cellStyle name="输入 3 82 3" xfId="58603"/>
    <cellStyle name="输入 3 82 4" xfId="58604"/>
    <cellStyle name="输入 3 82 5" xfId="58605"/>
    <cellStyle name="输入 3 82 6" xfId="58606"/>
    <cellStyle name="输入 3 82 7" xfId="58607"/>
    <cellStyle name="输入 3 82 8" xfId="58608"/>
    <cellStyle name="输入 3 82 9" xfId="58609"/>
    <cellStyle name="输入 3 83" xfId="10261"/>
    <cellStyle name="输入 3 83 10" xfId="58610"/>
    <cellStyle name="输入 3 83 11" xfId="58611"/>
    <cellStyle name="输入 3 83 12" xfId="58612"/>
    <cellStyle name="输入 3 83 2" xfId="10262"/>
    <cellStyle name="输入 3 83 2 2" xfId="58613"/>
    <cellStyle name="输入 3 83 3" xfId="58614"/>
    <cellStyle name="输入 3 83 4" xfId="58615"/>
    <cellStyle name="输入 3 83 5" xfId="58616"/>
    <cellStyle name="输入 3 83 6" xfId="58617"/>
    <cellStyle name="输入 3 83 7" xfId="58618"/>
    <cellStyle name="输入 3 83 8" xfId="58619"/>
    <cellStyle name="输入 3 83 9" xfId="58620"/>
    <cellStyle name="输入 3 84" xfId="10263"/>
    <cellStyle name="输入 3 84 10" xfId="58621"/>
    <cellStyle name="输入 3 84 11" xfId="58622"/>
    <cellStyle name="输入 3 84 12" xfId="58623"/>
    <cellStyle name="输入 3 84 2" xfId="10264"/>
    <cellStyle name="输入 3 84 2 2" xfId="58624"/>
    <cellStyle name="输入 3 84 3" xfId="58625"/>
    <cellStyle name="输入 3 84 4" xfId="58626"/>
    <cellStyle name="输入 3 84 5" xfId="58627"/>
    <cellStyle name="输入 3 84 6" xfId="58628"/>
    <cellStyle name="输入 3 84 7" xfId="58629"/>
    <cellStyle name="输入 3 84 8" xfId="58630"/>
    <cellStyle name="输入 3 84 9" xfId="58631"/>
    <cellStyle name="输入 3 85" xfId="10265"/>
    <cellStyle name="输入 3 85 10" xfId="58632"/>
    <cellStyle name="输入 3 85 11" xfId="58633"/>
    <cellStyle name="输入 3 85 12" xfId="58634"/>
    <cellStyle name="输入 3 85 2" xfId="10266"/>
    <cellStyle name="输入 3 85 2 2" xfId="58635"/>
    <cellStyle name="输入 3 85 3" xfId="58636"/>
    <cellStyle name="输入 3 85 4" xfId="58637"/>
    <cellStyle name="输入 3 85 5" xfId="58638"/>
    <cellStyle name="输入 3 85 6" xfId="58639"/>
    <cellStyle name="输入 3 85 7" xfId="58640"/>
    <cellStyle name="输入 3 85 8" xfId="58641"/>
    <cellStyle name="输入 3 85 9" xfId="58642"/>
    <cellStyle name="输入 3 86" xfId="10267"/>
    <cellStyle name="输入 3 86 10" xfId="58643"/>
    <cellStyle name="输入 3 86 11" xfId="58644"/>
    <cellStyle name="输入 3 86 2" xfId="10268"/>
    <cellStyle name="输入 3 86 2 2" xfId="58645"/>
    <cellStyle name="输入 3 86 3" xfId="58646"/>
    <cellStyle name="输入 3 86 4" xfId="58647"/>
    <cellStyle name="输入 3 86 5" xfId="58648"/>
    <cellStyle name="输入 3 86 6" xfId="58649"/>
    <cellStyle name="输入 3 86 7" xfId="58650"/>
    <cellStyle name="输入 3 86 8" xfId="58651"/>
    <cellStyle name="输入 3 86 9" xfId="58652"/>
    <cellStyle name="输入 3 87" xfId="10269"/>
    <cellStyle name="输入 3 87 10" xfId="58653"/>
    <cellStyle name="输入 3 87 11" xfId="58654"/>
    <cellStyle name="输入 3 87 12" xfId="58655"/>
    <cellStyle name="输入 3 87 2" xfId="10270"/>
    <cellStyle name="输入 3 87 2 2" xfId="58656"/>
    <cellStyle name="输入 3 87 3" xfId="58657"/>
    <cellStyle name="输入 3 87 4" xfId="58658"/>
    <cellStyle name="输入 3 87 5" xfId="58659"/>
    <cellStyle name="输入 3 87 6" xfId="58660"/>
    <cellStyle name="输入 3 87 7" xfId="58661"/>
    <cellStyle name="输入 3 87 8" xfId="58662"/>
    <cellStyle name="输入 3 87 9" xfId="58663"/>
    <cellStyle name="输入 3 88" xfId="10271"/>
    <cellStyle name="输入 3 88 10" xfId="58664"/>
    <cellStyle name="输入 3 88 11" xfId="58665"/>
    <cellStyle name="输入 3 88 12" xfId="58666"/>
    <cellStyle name="输入 3 88 2" xfId="10272"/>
    <cellStyle name="输入 3 88 2 2" xfId="58667"/>
    <cellStyle name="输入 3 88 3" xfId="58668"/>
    <cellStyle name="输入 3 88 4" xfId="58669"/>
    <cellStyle name="输入 3 88 5" xfId="58670"/>
    <cellStyle name="输入 3 88 6" xfId="58671"/>
    <cellStyle name="输入 3 88 7" xfId="58672"/>
    <cellStyle name="输入 3 88 8" xfId="58673"/>
    <cellStyle name="输入 3 88 9" xfId="58674"/>
    <cellStyle name="输入 3 89" xfId="10273"/>
    <cellStyle name="输入 3 89 10" xfId="58675"/>
    <cellStyle name="输入 3 89 11" xfId="58676"/>
    <cellStyle name="输入 3 89 12" xfId="58677"/>
    <cellStyle name="输入 3 89 2" xfId="10274"/>
    <cellStyle name="输入 3 89 2 2" xfId="58678"/>
    <cellStyle name="输入 3 89 3" xfId="58679"/>
    <cellStyle name="输入 3 89 4" xfId="58680"/>
    <cellStyle name="输入 3 89 5" xfId="58681"/>
    <cellStyle name="输入 3 89 6" xfId="58682"/>
    <cellStyle name="输入 3 89 7" xfId="58683"/>
    <cellStyle name="输入 3 89 8" xfId="58684"/>
    <cellStyle name="输入 3 89 9" xfId="58685"/>
    <cellStyle name="输入 3 9" xfId="10275"/>
    <cellStyle name="输入 3 9 10" xfId="58686"/>
    <cellStyle name="输入 3 9 11" xfId="58687"/>
    <cellStyle name="输入 3 9 2" xfId="10276"/>
    <cellStyle name="输入 3 9 2 2" xfId="58688"/>
    <cellStyle name="输入 3 9 3" xfId="58689"/>
    <cellStyle name="输入 3 9 4" xfId="58690"/>
    <cellStyle name="输入 3 9 5" xfId="58691"/>
    <cellStyle name="输入 3 9 6" xfId="58692"/>
    <cellStyle name="输入 3 9 7" xfId="58693"/>
    <cellStyle name="输入 3 9 8" xfId="58694"/>
    <cellStyle name="输入 3 9 9" xfId="58695"/>
    <cellStyle name="输入 3 90" xfId="10277"/>
    <cellStyle name="输入 3 90 10" xfId="58696"/>
    <cellStyle name="输入 3 90 11" xfId="58697"/>
    <cellStyle name="输入 3 90 12" xfId="58698"/>
    <cellStyle name="输入 3 90 2" xfId="10278"/>
    <cellStyle name="输入 3 90 2 2" xfId="58699"/>
    <cellStyle name="输入 3 90 3" xfId="58700"/>
    <cellStyle name="输入 3 90 4" xfId="58701"/>
    <cellStyle name="输入 3 90 5" xfId="58702"/>
    <cellStyle name="输入 3 90 6" xfId="58703"/>
    <cellStyle name="输入 3 90 7" xfId="58704"/>
    <cellStyle name="输入 3 90 8" xfId="58705"/>
    <cellStyle name="输入 3 90 9" xfId="58706"/>
    <cellStyle name="输入 3 91" xfId="10279"/>
    <cellStyle name="输入 3 91 10" xfId="58707"/>
    <cellStyle name="输入 3 91 11" xfId="58708"/>
    <cellStyle name="输入 3 91 12" xfId="58709"/>
    <cellStyle name="输入 3 91 2" xfId="10280"/>
    <cellStyle name="输入 3 91 2 2" xfId="58710"/>
    <cellStyle name="输入 3 91 3" xfId="58711"/>
    <cellStyle name="输入 3 91 4" xfId="58712"/>
    <cellStyle name="输入 3 91 5" xfId="58713"/>
    <cellStyle name="输入 3 91 6" xfId="58714"/>
    <cellStyle name="输入 3 91 7" xfId="58715"/>
    <cellStyle name="输入 3 91 8" xfId="58716"/>
    <cellStyle name="输入 3 91 9" xfId="58717"/>
    <cellStyle name="输入 3 92" xfId="10281"/>
    <cellStyle name="输入 3 92 10" xfId="58718"/>
    <cellStyle name="输入 3 92 11" xfId="58719"/>
    <cellStyle name="输入 3 92 12" xfId="58720"/>
    <cellStyle name="输入 3 92 2" xfId="10282"/>
    <cellStyle name="输入 3 92 2 2" xfId="58721"/>
    <cellStyle name="输入 3 92 3" xfId="58722"/>
    <cellStyle name="输入 3 92 4" xfId="58723"/>
    <cellStyle name="输入 3 92 5" xfId="58724"/>
    <cellStyle name="输入 3 92 6" xfId="58725"/>
    <cellStyle name="输入 3 92 7" xfId="58726"/>
    <cellStyle name="输入 3 92 8" xfId="58727"/>
    <cellStyle name="输入 3 92 9" xfId="58728"/>
    <cellStyle name="输入 3 93" xfId="10283"/>
    <cellStyle name="输入 3 93 10" xfId="58729"/>
    <cellStyle name="输入 3 93 11" xfId="58730"/>
    <cellStyle name="输入 3 93 2" xfId="10284"/>
    <cellStyle name="输入 3 93 2 2" xfId="58731"/>
    <cellStyle name="输入 3 93 3" xfId="58732"/>
    <cellStyle name="输入 3 93 4" xfId="58733"/>
    <cellStyle name="输入 3 93 5" xfId="58734"/>
    <cellStyle name="输入 3 93 6" xfId="58735"/>
    <cellStyle name="输入 3 93 7" xfId="58736"/>
    <cellStyle name="输入 3 93 8" xfId="58737"/>
    <cellStyle name="输入 3 93 9" xfId="58738"/>
    <cellStyle name="输入 3 94" xfId="11438"/>
    <cellStyle name="输入 3 95" xfId="58739"/>
    <cellStyle name="输入 3_YL Capex Cashflow &amp; Dep" xfId="13932"/>
    <cellStyle name="输入 30" xfId="10285"/>
    <cellStyle name="输入 30 10" xfId="58740"/>
    <cellStyle name="输入 30 11" xfId="58741"/>
    <cellStyle name="输入 30 12" xfId="58742"/>
    <cellStyle name="输入 30 2" xfId="10286"/>
    <cellStyle name="输入 30 2 2" xfId="58743"/>
    <cellStyle name="输入 30 3" xfId="58744"/>
    <cellStyle name="输入 30 4" xfId="58745"/>
    <cellStyle name="输入 30 5" xfId="58746"/>
    <cellStyle name="输入 30 6" xfId="58747"/>
    <cellStyle name="输入 30 7" xfId="58748"/>
    <cellStyle name="输入 30 8" xfId="58749"/>
    <cellStyle name="输入 30 9" xfId="58750"/>
    <cellStyle name="输入 31" xfId="10287"/>
    <cellStyle name="输入 31 10" xfId="58751"/>
    <cellStyle name="输入 31 11" xfId="58752"/>
    <cellStyle name="输入 31 12" xfId="58753"/>
    <cellStyle name="输入 31 2" xfId="10288"/>
    <cellStyle name="输入 31 2 2" xfId="58754"/>
    <cellStyle name="输入 31 3" xfId="58755"/>
    <cellStyle name="输入 31 4" xfId="58756"/>
    <cellStyle name="输入 31 5" xfId="58757"/>
    <cellStyle name="输入 31 6" xfId="58758"/>
    <cellStyle name="输入 31 7" xfId="58759"/>
    <cellStyle name="输入 31 8" xfId="58760"/>
    <cellStyle name="输入 31 9" xfId="58761"/>
    <cellStyle name="输入 32" xfId="10289"/>
    <cellStyle name="输入 32 10" xfId="58762"/>
    <cellStyle name="输入 32 11" xfId="58763"/>
    <cellStyle name="输入 32 12" xfId="58764"/>
    <cellStyle name="输入 32 2" xfId="10290"/>
    <cellStyle name="输入 32 2 2" xfId="58765"/>
    <cellStyle name="输入 32 3" xfId="58766"/>
    <cellStyle name="输入 32 4" xfId="58767"/>
    <cellStyle name="输入 32 5" xfId="58768"/>
    <cellStyle name="输入 32 6" xfId="58769"/>
    <cellStyle name="输入 32 7" xfId="58770"/>
    <cellStyle name="输入 32 8" xfId="58771"/>
    <cellStyle name="输入 32 9" xfId="58772"/>
    <cellStyle name="输入 33" xfId="10291"/>
    <cellStyle name="输入 33 10" xfId="58773"/>
    <cellStyle name="输入 33 11" xfId="58774"/>
    <cellStyle name="输入 33 12" xfId="58775"/>
    <cellStyle name="输入 33 2" xfId="10292"/>
    <cellStyle name="输入 33 2 2" xfId="58776"/>
    <cellStyle name="输入 33 3" xfId="58777"/>
    <cellStyle name="输入 33 4" xfId="58778"/>
    <cellStyle name="输入 33 5" xfId="58779"/>
    <cellStyle name="输入 33 6" xfId="58780"/>
    <cellStyle name="输入 33 7" xfId="58781"/>
    <cellStyle name="输入 33 8" xfId="58782"/>
    <cellStyle name="输入 33 9" xfId="58783"/>
    <cellStyle name="输入 34" xfId="10293"/>
    <cellStyle name="输入 34 10" xfId="58784"/>
    <cellStyle name="输入 34 11" xfId="58785"/>
    <cellStyle name="输入 34 12" xfId="58786"/>
    <cellStyle name="输入 34 2" xfId="10294"/>
    <cellStyle name="输入 34 2 2" xfId="58787"/>
    <cellStyle name="输入 34 3" xfId="58788"/>
    <cellStyle name="输入 34 4" xfId="58789"/>
    <cellStyle name="输入 34 5" xfId="58790"/>
    <cellStyle name="输入 34 6" xfId="58791"/>
    <cellStyle name="输入 34 7" xfId="58792"/>
    <cellStyle name="输入 34 8" xfId="58793"/>
    <cellStyle name="输入 34 9" xfId="58794"/>
    <cellStyle name="输入 35" xfId="10295"/>
    <cellStyle name="输入 35 10" xfId="58795"/>
    <cellStyle name="输入 35 11" xfId="58796"/>
    <cellStyle name="输入 35 12" xfId="58797"/>
    <cellStyle name="输入 35 2" xfId="10296"/>
    <cellStyle name="输入 35 2 2" xfId="58798"/>
    <cellStyle name="输入 35 3" xfId="58799"/>
    <cellStyle name="输入 35 4" xfId="58800"/>
    <cellStyle name="输入 35 5" xfId="58801"/>
    <cellStyle name="输入 35 6" xfId="58802"/>
    <cellStyle name="输入 35 7" xfId="58803"/>
    <cellStyle name="输入 35 8" xfId="58804"/>
    <cellStyle name="输入 35 9" xfId="58805"/>
    <cellStyle name="输入 36" xfId="10297"/>
    <cellStyle name="输入 36 10" xfId="58806"/>
    <cellStyle name="输入 36 11" xfId="58807"/>
    <cellStyle name="输入 36 12" xfId="58808"/>
    <cellStyle name="输入 36 2" xfId="10298"/>
    <cellStyle name="输入 36 2 2" xfId="58809"/>
    <cellStyle name="输入 36 3" xfId="58810"/>
    <cellStyle name="输入 36 4" xfId="58811"/>
    <cellStyle name="输入 36 5" xfId="58812"/>
    <cellStyle name="输入 36 6" xfId="58813"/>
    <cellStyle name="输入 36 7" xfId="58814"/>
    <cellStyle name="输入 36 8" xfId="58815"/>
    <cellStyle name="输入 36 9" xfId="58816"/>
    <cellStyle name="输入 37" xfId="10299"/>
    <cellStyle name="输入 37 10" xfId="58817"/>
    <cellStyle name="输入 37 11" xfId="58818"/>
    <cellStyle name="输入 37 12" xfId="58819"/>
    <cellStyle name="输入 37 2" xfId="10300"/>
    <cellStyle name="输入 37 2 2" xfId="58820"/>
    <cellStyle name="输入 37 3" xfId="58821"/>
    <cellStyle name="输入 37 4" xfId="58822"/>
    <cellStyle name="输入 37 5" xfId="58823"/>
    <cellStyle name="输入 37 6" xfId="58824"/>
    <cellStyle name="输入 37 7" xfId="58825"/>
    <cellStyle name="输入 37 8" xfId="58826"/>
    <cellStyle name="输入 37 9" xfId="58827"/>
    <cellStyle name="输入 38" xfId="10301"/>
    <cellStyle name="输入 38 10" xfId="58828"/>
    <cellStyle name="输入 38 11" xfId="58829"/>
    <cellStyle name="输入 38 12" xfId="58830"/>
    <cellStyle name="输入 38 2" xfId="10302"/>
    <cellStyle name="输入 38 2 2" xfId="58831"/>
    <cellStyle name="输入 38 3" xfId="58832"/>
    <cellStyle name="输入 38 4" xfId="58833"/>
    <cellStyle name="输入 38 5" xfId="58834"/>
    <cellStyle name="输入 38 6" xfId="58835"/>
    <cellStyle name="输入 38 7" xfId="58836"/>
    <cellStyle name="输入 38 8" xfId="58837"/>
    <cellStyle name="输入 38 9" xfId="58838"/>
    <cellStyle name="输入 39" xfId="10303"/>
    <cellStyle name="输入 39 10" xfId="58839"/>
    <cellStyle name="输入 39 11" xfId="58840"/>
    <cellStyle name="输入 39 12" xfId="58841"/>
    <cellStyle name="输入 39 2" xfId="10304"/>
    <cellStyle name="输入 39 2 2" xfId="58842"/>
    <cellStyle name="输入 39 3" xfId="58843"/>
    <cellStyle name="输入 39 4" xfId="58844"/>
    <cellStyle name="输入 39 5" xfId="58845"/>
    <cellStyle name="输入 39 6" xfId="58846"/>
    <cellStyle name="输入 39 7" xfId="58847"/>
    <cellStyle name="输入 39 8" xfId="58848"/>
    <cellStyle name="输入 39 9" xfId="58849"/>
    <cellStyle name="输入 4" xfId="3297"/>
    <cellStyle name="输入 4 10" xfId="10305"/>
    <cellStyle name="输入 4 10 10" xfId="58850"/>
    <cellStyle name="输入 4 10 11" xfId="58851"/>
    <cellStyle name="输入 4 10 2" xfId="10306"/>
    <cellStyle name="输入 4 10 2 2" xfId="58852"/>
    <cellStyle name="输入 4 10 3" xfId="58853"/>
    <cellStyle name="输入 4 10 4" xfId="58854"/>
    <cellStyle name="输入 4 10 5" xfId="58855"/>
    <cellStyle name="输入 4 10 6" xfId="58856"/>
    <cellStyle name="输入 4 10 7" xfId="58857"/>
    <cellStyle name="输入 4 10 8" xfId="58858"/>
    <cellStyle name="输入 4 10 9" xfId="58859"/>
    <cellStyle name="输入 4 11" xfId="10307"/>
    <cellStyle name="输入 4 11 10" xfId="58860"/>
    <cellStyle name="输入 4 11 11" xfId="58861"/>
    <cellStyle name="输入 4 11 2" xfId="10308"/>
    <cellStyle name="输入 4 11 2 2" xfId="58862"/>
    <cellStyle name="输入 4 11 3" xfId="58863"/>
    <cellStyle name="输入 4 11 4" xfId="58864"/>
    <cellStyle name="输入 4 11 5" xfId="58865"/>
    <cellStyle name="输入 4 11 6" xfId="58866"/>
    <cellStyle name="输入 4 11 7" xfId="58867"/>
    <cellStyle name="输入 4 11 8" xfId="58868"/>
    <cellStyle name="输入 4 11 9" xfId="58869"/>
    <cellStyle name="输入 4 12" xfId="10309"/>
    <cellStyle name="输入 4 12 10" xfId="58870"/>
    <cellStyle name="输入 4 12 2" xfId="10310"/>
    <cellStyle name="输入 4 12 2 2" xfId="58871"/>
    <cellStyle name="输入 4 12 3" xfId="58872"/>
    <cellStyle name="输入 4 12 4" xfId="58873"/>
    <cellStyle name="输入 4 12 5" xfId="58874"/>
    <cellStyle name="输入 4 12 6" xfId="58875"/>
    <cellStyle name="输入 4 12 7" xfId="58876"/>
    <cellStyle name="输入 4 12 8" xfId="58877"/>
    <cellStyle name="输入 4 12 9" xfId="58878"/>
    <cellStyle name="输入 4 13" xfId="10311"/>
    <cellStyle name="输入 4 13 10" xfId="58879"/>
    <cellStyle name="输入 4 13 11" xfId="58880"/>
    <cellStyle name="输入 4 13 2" xfId="10312"/>
    <cellStyle name="输入 4 13 2 2" xfId="58881"/>
    <cellStyle name="输入 4 13 3" xfId="58882"/>
    <cellStyle name="输入 4 13 4" xfId="58883"/>
    <cellStyle name="输入 4 13 5" xfId="58884"/>
    <cellStyle name="输入 4 13 6" xfId="58885"/>
    <cellStyle name="输入 4 13 7" xfId="58886"/>
    <cellStyle name="输入 4 13 8" xfId="58887"/>
    <cellStyle name="输入 4 13 9" xfId="58888"/>
    <cellStyle name="输入 4 14" xfId="10313"/>
    <cellStyle name="输入 4 14 10" xfId="58889"/>
    <cellStyle name="输入 4 14 11" xfId="58890"/>
    <cellStyle name="输入 4 14 2" xfId="10314"/>
    <cellStyle name="输入 4 14 2 2" xfId="58891"/>
    <cellStyle name="输入 4 14 3" xfId="58892"/>
    <cellStyle name="输入 4 14 4" xfId="58893"/>
    <cellStyle name="输入 4 14 5" xfId="58894"/>
    <cellStyle name="输入 4 14 6" xfId="58895"/>
    <cellStyle name="输入 4 14 7" xfId="58896"/>
    <cellStyle name="输入 4 14 8" xfId="58897"/>
    <cellStyle name="输入 4 14 9" xfId="58898"/>
    <cellStyle name="输入 4 15" xfId="10315"/>
    <cellStyle name="输入 4 15 10" xfId="58899"/>
    <cellStyle name="输入 4 15 11" xfId="58900"/>
    <cellStyle name="输入 4 15 2" xfId="10316"/>
    <cellStyle name="输入 4 15 2 2" xfId="58901"/>
    <cellStyle name="输入 4 15 3" xfId="58902"/>
    <cellStyle name="输入 4 15 4" xfId="58903"/>
    <cellStyle name="输入 4 15 5" xfId="58904"/>
    <cellStyle name="输入 4 15 6" xfId="58905"/>
    <cellStyle name="输入 4 15 7" xfId="58906"/>
    <cellStyle name="输入 4 15 8" xfId="58907"/>
    <cellStyle name="输入 4 15 9" xfId="58908"/>
    <cellStyle name="输入 4 16" xfId="10317"/>
    <cellStyle name="输入 4 16 10" xfId="58909"/>
    <cellStyle name="输入 4 16 11" xfId="58910"/>
    <cellStyle name="输入 4 16 2" xfId="10318"/>
    <cellStyle name="输入 4 16 2 2" xfId="58911"/>
    <cellStyle name="输入 4 16 3" xfId="58912"/>
    <cellStyle name="输入 4 16 4" xfId="58913"/>
    <cellStyle name="输入 4 16 5" xfId="58914"/>
    <cellStyle name="输入 4 16 6" xfId="58915"/>
    <cellStyle name="输入 4 16 7" xfId="58916"/>
    <cellStyle name="输入 4 16 8" xfId="58917"/>
    <cellStyle name="输入 4 16 9" xfId="58918"/>
    <cellStyle name="输入 4 17" xfId="10319"/>
    <cellStyle name="输入 4 17 10" xfId="58919"/>
    <cellStyle name="输入 4 17 11" xfId="58920"/>
    <cellStyle name="输入 4 17 2" xfId="10320"/>
    <cellStyle name="输入 4 17 2 2" xfId="58921"/>
    <cellStyle name="输入 4 17 3" xfId="58922"/>
    <cellStyle name="输入 4 17 4" xfId="58923"/>
    <cellStyle name="输入 4 17 5" xfId="58924"/>
    <cellStyle name="输入 4 17 6" xfId="58925"/>
    <cellStyle name="输入 4 17 7" xfId="58926"/>
    <cellStyle name="输入 4 17 8" xfId="58927"/>
    <cellStyle name="输入 4 17 9" xfId="58928"/>
    <cellStyle name="输入 4 18" xfId="10321"/>
    <cellStyle name="输入 4 18 10" xfId="58929"/>
    <cellStyle name="输入 4 18 11" xfId="58930"/>
    <cellStyle name="输入 4 18 2" xfId="10322"/>
    <cellStyle name="输入 4 18 2 2" xfId="58931"/>
    <cellStyle name="输入 4 18 3" xfId="58932"/>
    <cellStyle name="输入 4 18 4" xfId="58933"/>
    <cellStyle name="输入 4 18 5" xfId="58934"/>
    <cellStyle name="输入 4 18 6" xfId="58935"/>
    <cellStyle name="输入 4 18 7" xfId="58936"/>
    <cellStyle name="输入 4 18 8" xfId="58937"/>
    <cellStyle name="输入 4 18 9" xfId="58938"/>
    <cellStyle name="输入 4 19" xfId="10323"/>
    <cellStyle name="输入 4 19 10" xfId="58939"/>
    <cellStyle name="输入 4 19 11" xfId="58940"/>
    <cellStyle name="输入 4 19 2" xfId="10324"/>
    <cellStyle name="输入 4 19 2 2" xfId="58941"/>
    <cellStyle name="输入 4 19 3" xfId="58942"/>
    <cellStyle name="输入 4 19 4" xfId="58943"/>
    <cellStyle name="输入 4 19 5" xfId="58944"/>
    <cellStyle name="输入 4 19 6" xfId="58945"/>
    <cellStyle name="输入 4 19 7" xfId="58946"/>
    <cellStyle name="输入 4 19 8" xfId="58947"/>
    <cellStyle name="输入 4 19 9" xfId="58948"/>
    <cellStyle name="输入 4 2" xfId="3298"/>
    <cellStyle name="输入 4 2 10" xfId="58949"/>
    <cellStyle name="输入 4 2 11" xfId="58950"/>
    <cellStyle name="输入 4 2 12" xfId="58951"/>
    <cellStyle name="输入 4 2 2" xfId="3299"/>
    <cellStyle name="输入 4 2 2 2" xfId="3300"/>
    <cellStyle name="输入 4 2 2 2 2" xfId="12990"/>
    <cellStyle name="输入 4 2 2 2_YL Capex Cashflow &amp; Dep" xfId="13946"/>
    <cellStyle name="输入 4 2 2 3" xfId="12189"/>
    <cellStyle name="输入 4 2 2_YL Capex Cashflow &amp; Dep" xfId="13945"/>
    <cellStyle name="输入 4 2 3" xfId="3301"/>
    <cellStyle name="输入 4 2 3 2" xfId="3302"/>
    <cellStyle name="输入 4 2 3 2 2" xfId="13202"/>
    <cellStyle name="输入 4 2 3 2_YL Capex Cashflow &amp; Dep" xfId="13948"/>
    <cellStyle name="输入 4 2 3 3" xfId="12717"/>
    <cellStyle name="输入 4 2 3_YL Capex Cashflow &amp; Dep" xfId="13947"/>
    <cellStyle name="输入 4 2 4" xfId="12019"/>
    <cellStyle name="输入 4 2 5" xfId="58952"/>
    <cellStyle name="输入 4 2 6" xfId="58953"/>
    <cellStyle name="输入 4 2 7" xfId="58954"/>
    <cellStyle name="输入 4 2 8" xfId="58955"/>
    <cellStyle name="输入 4 2 9" xfId="58956"/>
    <cellStyle name="输入 4 2_YL Capex Cashflow &amp; Dep" xfId="13944"/>
    <cellStyle name="输入 4 20" xfId="10325"/>
    <cellStyle name="输入 4 20 10" xfId="58957"/>
    <cellStyle name="输入 4 20 11" xfId="58958"/>
    <cellStyle name="输入 4 20 12" xfId="58959"/>
    <cellStyle name="输入 4 20 2" xfId="10326"/>
    <cellStyle name="输入 4 20 2 2" xfId="58960"/>
    <cellStyle name="输入 4 20 3" xfId="58961"/>
    <cellStyle name="输入 4 20 4" xfId="58962"/>
    <cellStyle name="输入 4 20 5" xfId="58963"/>
    <cellStyle name="输入 4 20 6" xfId="58964"/>
    <cellStyle name="输入 4 20 7" xfId="58965"/>
    <cellStyle name="输入 4 20 8" xfId="58966"/>
    <cellStyle name="输入 4 20 9" xfId="58967"/>
    <cellStyle name="输入 4 21" xfId="10327"/>
    <cellStyle name="输入 4 21 10" xfId="58968"/>
    <cellStyle name="输入 4 21 11" xfId="58969"/>
    <cellStyle name="输入 4 21 12" xfId="58970"/>
    <cellStyle name="输入 4 21 2" xfId="10328"/>
    <cellStyle name="输入 4 21 2 2" xfId="58971"/>
    <cellStyle name="输入 4 21 3" xfId="58972"/>
    <cellStyle name="输入 4 21 4" xfId="58973"/>
    <cellStyle name="输入 4 21 5" xfId="58974"/>
    <cellStyle name="输入 4 21 6" xfId="58975"/>
    <cellStyle name="输入 4 21 7" xfId="58976"/>
    <cellStyle name="输入 4 21 8" xfId="58977"/>
    <cellStyle name="输入 4 21 9" xfId="58978"/>
    <cellStyle name="输入 4 22" xfId="10329"/>
    <cellStyle name="输入 4 22 10" xfId="58979"/>
    <cellStyle name="输入 4 22 11" xfId="58980"/>
    <cellStyle name="输入 4 22 12" xfId="58981"/>
    <cellStyle name="输入 4 22 2" xfId="10330"/>
    <cellStyle name="输入 4 22 2 2" xfId="58982"/>
    <cellStyle name="输入 4 22 3" xfId="58983"/>
    <cellStyle name="输入 4 22 4" xfId="58984"/>
    <cellStyle name="输入 4 22 5" xfId="58985"/>
    <cellStyle name="输入 4 22 6" xfId="58986"/>
    <cellStyle name="输入 4 22 7" xfId="58987"/>
    <cellStyle name="输入 4 22 8" xfId="58988"/>
    <cellStyle name="输入 4 22 9" xfId="58989"/>
    <cellStyle name="输入 4 23" xfId="10331"/>
    <cellStyle name="输入 4 23 10" xfId="58990"/>
    <cellStyle name="输入 4 23 11" xfId="58991"/>
    <cellStyle name="输入 4 23 12" xfId="58992"/>
    <cellStyle name="输入 4 23 2" xfId="10332"/>
    <cellStyle name="输入 4 23 2 2" xfId="58993"/>
    <cellStyle name="输入 4 23 3" xfId="58994"/>
    <cellStyle name="输入 4 23 4" xfId="58995"/>
    <cellStyle name="输入 4 23 5" xfId="58996"/>
    <cellStyle name="输入 4 23 6" xfId="58997"/>
    <cellStyle name="输入 4 23 7" xfId="58998"/>
    <cellStyle name="输入 4 23 8" xfId="58999"/>
    <cellStyle name="输入 4 23 9" xfId="59000"/>
    <cellStyle name="输入 4 24" xfId="10333"/>
    <cellStyle name="输入 4 24 10" xfId="59001"/>
    <cellStyle name="输入 4 24 11" xfId="59002"/>
    <cellStyle name="输入 4 24 12" xfId="59003"/>
    <cellStyle name="输入 4 24 2" xfId="10334"/>
    <cellStyle name="输入 4 24 2 2" xfId="59004"/>
    <cellStyle name="输入 4 24 3" xfId="59005"/>
    <cellStyle name="输入 4 24 4" xfId="59006"/>
    <cellStyle name="输入 4 24 5" xfId="59007"/>
    <cellStyle name="输入 4 24 6" xfId="59008"/>
    <cellStyle name="输入 4 24 7" xfId="59009"/>
    <cellStyle name="输入 4 24 8" xfId="59010"/>
    <cellStyle name="输入 4 24 9" xfId="59011"/>
    <cellStyle name="输入 4 25" xfId="10335"/>
    <cellStyle name="输入 4 25 10" xfId="59012"/>
    <cellStyle name="输入 4 25 11" xfId="59013"/>
    <cellStyle name="输入 4 25 12" xfId="59014"/>
    <cellStyle name="输入 4 25 2" xfId="10336"/>
    <cellStyle name="输入 4 25 2 2" xfId="59015"/>
    <cellStyle name="输入 4 25 3" xfId="59016"/>
    <cellStyle name="输入 4 25 4" xfId="59017"/>
    <cellStyle name="输入 4 25 5" xfId="59018"/>
    <cellStyle name="输入 4 25 6" xfId="59019"/>
    <cellStyle name="输入 4 25 7" xfId="59020"/>
    <cellStyle name="输入 4 25 8" xfId="59021"/>
    <cellStyle name="输入 4 25 9" xfId="59022"/>
    <cellStyle name="输入 4 26" xfId="10337"/>
    <cellStyle name="输入 4 26 10" xfId="59023"/>
    <cellStyle name="输入 4 26 11" xfId="59024"/>
    <cellStyle name="输入 4 26 12" xfId="59025"/>
    <cellStyle name="输入 4 26 2" xfId="10338"/>
    <cellStyle name="输入 4 26 2 2" xfId="59026"/>
    <cellStyle name="输入 4 26 3" xfId="59027"/>
    <cellStyle name="输入 4 26 4" xfId="59028"/>
    <cellStyle name="输入 4 26 5" xfId="59029"/>
    <cellStyle name="输入 4 26 6" xfId="59030"/>
    <cellStyle name="输入 4 26 7" xfId="59031"/>
    <cellStyle name="输入 4 26 8" xfId="59032"/>
    <cellStyle name="输入 4 26 9" xfId="59033"/>
    <cellStyle name="输入 4 27" xfId="10339"/>
    <cellStyle name="输入 4 27 10" xfId="59034"/>
    <cellStyle name="输入 4 27 11" xfId="59035"/>
    <cellStyle name="输入 4 27 12" xfId="59036"/>
    <cellStyle name="输入 4 27 2" xfId="10340"/>
    <cellStyle name="输入 4 27 2 2" xfId="59037"/>
    <cellStyle name="输入 4 27 3" xfId="59038"/>
    <cellStyle name="输入 4 27 4" xfId="59039"/>
    <cellStyle name="输入 4 27 5" xfId="59040"/>
    <cellStyle name="输入 4 27 6" xfId="59041"/>
    <cellStyle name="输入 4 27 7" xfId="59042"/>
    <cellStyle name="输入 4 27 8" xfId="59043"/>
    <cellStyle name="输入 4 27 9" xfId="59044"/>
    <cellStyle name="输入 4 28" xfId="10341"/>
    <cellStyle name="输入 4 28 10" xfId="59045"/>
    <cellStyle name="输入 4 28 11" xfId="59046"/>
    <cellStyle name="输入 4 28 12" xfId="59047"/>
    <cellStyle name="输入 4 28 2" xfId="10342"/>
    <cellStyle name="输入 4 28 2 2" xfId="59048"/>
    <cellStyle name="输入 4 28 3" xfId="59049"/>
    <cellStyle name="输入 4 28 4" xfId="59050"/>
    <cellStyle name="输入 4 28 5" xfId="59051"/>
    <cellStyle name="输入 4 28 6" xfId="59052"/>
    <cellStyle name="输入 4 28 7" xfId="59053"/>
    <cellStyle name="输入 4 28 8" xfId="59054"/>
    <cellStyle name="输入 4 28 9" xfId="59055"/>
    <cellStyle name="输入 4 29" xfId="10343"/>
    <cellStyle name="输入 4 29 10" xfId="59056"/>
    <cellStyle name="输入 4 29 11" xfId="59057"/>
    <cellStyle name="输入 4 29 12" xfId="59058"/>
    <cellStyle name="输入 4 29 2" xfId="10344"/>
    <cellStyle name="输入 4 29 2 2" xfId="59059"/>
    <cellStyle name="输入 4 29 3" xfId="59060"/>
    <cellStyle name="输入 4 29 4" xfId="59061"/>
    <cellStyle name="输入 4 29 5" xfId="59062"/>
    <cellStyle name="输入 4 29 6" xfId="59063"/>
    <cellStyle name="输入 4 29 7" xfId="59064"/>
    <cellStyle name="输入 4 29 8" xfId="59065"/>
    <cellStyle name="输入 4 29 9" xfId="59066"/>
    <cellStyle name="输入 4 3" xfId="3303"/>
    <cellStyle name="输入 4 3 10" xfId="59067"/>
    <cellStyle name="输入 4 3 11" xfId="59068"/>
    <cellStyle name="输入 4 3 12" xfId="59069"/>
    <cellStyle name="输入 4 3 2" xfId="3304"/>
    <cellStyle name="输入 4 3 2 2" xfId="12910"/>
    <cellStyle name="输入 4 3 2_YL Capex Cashflow &amp; Dep" xfId="13950"/>
    <cellStyle name="输入 4 3 3" xfId="12111"/>
    <cellStyle name="输入 4 3 4" xfId="59070"/>
    <cellStyle name="输入 4 3 5" xfId="59071"/>
    <cellStyle name="输入 4 3 6" xfId="59072"/>
    <cellStyle name="输入 4 3 7" xfId="59073"/>
    <cellStyle name="输入 4 3 8" xfId="59074"/>
    <cellStyle name="输入 4 3 9" xfId="59075"/>
    <cellStyle name="输入 4 3_YL Capex Cashflow &amp; Dep" xfId="13949"/>
    <cellStyle name="输入 4 30" xfId="10345"/>
    <cellStyle name="输入 4 30 10" xfId="59076"/>
    <cellStyle name="输入 4 30 11" xfId="59077"/>
    <cellStyle name="输入 4 30 2" xfId="10346"/>
    <cellStyle name="输入 4 30 2 2" xfId="59078"/>
    <cellStyle name="输入 4 30 3" xfId="59079"/>
    <cellStyle name="输入 4 30 4" xfId="59080"/>
    <cellStyle name="输入 4 30 5" xfId="59081"/>
    <cellStyle name="输入 4 30 6" xfId="59082"/>
    <cellStyle name="输入 4 30 7" xfId="59083"/>
    <cellStyle name="输入 4 30 8" xfId="59084"/>
    <cellStyle name="输入 4 30 9" xfId="59085"/>
    <cellStyle name="输入 4 31" xfId="10347"/>
    <cellStyle name="输入 4 31 10" xfId="59086"/>
    <cellStyle name="输入 4 31 11" xfId="59087"/>
    <cellStyle name="输入 4 31 12" xfId="59088"/>
    <cellStyle name="输入 4 31 2" xfId="10348"/>
    <cellStyle name="输入 4 31 2 2" xfId="59089"/>
    <cellStyle name="输入 4 31 3" xfId="59090"/>
    <cellStyle name="输入 4 31 4" xfId="59091"/>
    <cellStyle name="输入 4 31 5" xfId="59092"/>
    <cellStyle name="输入 4 31 6" xfId="59093"/>
    <cellStyle name="输入 4 31 7" xfId="59094"/>
    <cellStyle name="输入 4 31 8" xfId="59095"/>
    <cellStyle name="输入 4 31 9" xfId="59096"/>
    <cellStyle name="输入 4 32" xfId="10349"/>
    <cellStyle name="输入 4 32 10" xfId="59097"/>
    <cellStyle name="输入 4 32 11" xfId="59098"/>
    <cellStyle name="输入 4 32 12" xfId="59099"/>
    <cellStyle name="输入 4 32 2" xfId="10350"/>
    <cellStyle name="输入 4 32 2 2" xfId="59100"/>
    <cellStyle name="输入 4 32 3" xfId="59101"/>
    <cellStyle name="输入 4 32 4" xfId="59102"/>
    <cellStyle name="输入 4 32 5" xfId="59103"/>
    <cellStyle name="输入 4 32 6" xfId="59104"/>
    <cellStyle name="输入 4 32 7" xfId="59105"/>
    <cellStyle name="输入 4 32 8" xfId="59106"/>
    <cellStyle name="输入 4 32 9" xfId="59107"/>
    <cellStyle name="输入 4 33" xfId="10351"/>
    <cellStyle name="输入 4 33 10" xfId="59108"/>
    <cellStyle name="输入 4 33 11" xfId="59109"/>
    <cellStyle name="输入 4 33 12" xfId="59110"/>
    <cellStyle name="输入 4 33 2" xfId="10352"/>
    <cellStyle name="输入 4 33 2 2" xfId="59111"/>
    <cellStyle name="输入 4 33 3" xfId="59112"/>
    <cellStyle name="输入 4 33 4" xfId="59113"/>
    <cellStyle name="输入 4 33 5" xfId="59114"/>
    <cellStyle name="输入 4 33 6" xfId="59115"/>
    <cellStyle name="输入 4 33 7" xfId="59116"/>
    <cellStyle name="输入 4 33 8" xfId="59117"/>
    <cellStyle name="输入 4 33 9" xfId="59118"/>
    <cellStyle name="输入 4 34" xfId="10353"/>
    <cellStyle name="输入 4 34 10" xfId="59119"/>
    <cellStyle name="输入 4 34 11" xfId="59120"/>
    <cellStyle name="输入 4 34 12" xfId="59121"/>
    <cellStyle name="输入 4 34 2" xfId="10354"/>
    <cellStyle name="输入 4 34 2 2" xfId="59122"/>
    <cellStyle name="输入 4 34 3" xfId="59123"/>
    <cellStyle name="输入 4 34 4" xfId="59124"/>
    <cellStyle name="输入 4 34 5" xfId="59125"/>
    <cellStyle name="输入 4 34 6" xfId="59126"/>
    <cellStyle name="输入 4 34 7" xfId="59127"/>
    <cellStyle name="输入 4 34 8" xfId="59128"/>
    <cellStyle name="输入 4 34 9" xfId="59129"/>
    <cellStyle name="输入 4 35" xfId="10355"/>
    <cellStyle name="输入 4 35 10" xfId="59130"/>
    <cellStyle name="输入 4 35 11" xfId="59131"/>
    <cellStyle name="输入 4 35 2" xfId="10356"/>
    <cellStyle name="输入 4 35 2 2" xfId="59132"/>
    <cellStyle name="输入 4 35 3" xfId="59133"/>
    <cellStyle name="输入 4 35 4" xfId="59134"/>
    <cellStyle name="输入 4 35 5" xfId="59135"/>
    <cellStyle name="输入 4 35 6" xfId="59136"/>
    <cellStyle name="输入 4 35 7" xfId="59137"/>
    <cellStyle name="输入 4 35 8" xfId="59138"/>
    <cellStyle name="输入 4 35 9" xfId="59139"/>
    <cellStyle name="输入 4 36" xfId="10357"/>
    <cellStyle name="输入 4 36 10" xfId="59140"/>
    <cellStyle name="输入 4 36 11" xfId="59141"/>
    <cellStyle name="输入 4 36 12" xfId="59142"/>
    <cellStyle name="输入 4 36 2" xfId="10358"/>
    <cellStyle name="输入 4 36 2 2" xfId="59143"/>
    <cellStyle name="输入 4 36 3" xfId="59144"/>
    <cellStyle name="输入 4 36 4" xfId="59145"/>
    <cellStyle name="输入 4 36 5" xfId="59146"/>
    <cellStyle name="输入 4 36 6" xfId="59147"/>
    <cellStyle name="输入 4 36 7" xfId="59148"/>
    <cellStyle name="输入 4 36 8" xfId="59149"/>
    <cellStyle name="输入 4 36 9" xfId="59150"/>
    <cellStyle name="输入 4 37" xfId="10359"/>
    <cellStyle name="输入 4 37 10" xfId="59151"/>
    <cellStyle name="输入 4 37 11" xfId="59152"/>
    <cellStyle name="输入 4 37 12" xfId="59153"/>
    <cellStyle name="输入 4 37 2" xfId="10360"/>
    <cellStyle name="输入 4 37 2 2" xfId="59154"/>
    <cellStyle name="输入 4 37 3" xfId="59155"/>
    <cellStyle name="输入 4 37 4" xfId="59156"/>
    <cellStyle name="输入 4 37 5" xfId="59157"/>
    <cellStyle name="输入 4 37 6" xfId="59158"/>
    <cellStyle name="输入 4 37 7" xfId="59159"/>
    <cellStyle name="输入 4 37 8" xfId="59160"/>
    <cellStyle name="输入 4 37 9" xfId="59161"/>
    <cellStyle name="输入 4 38" xfId="10361"/>
    <cellStyle name="输入 4 38 10" xfId="59162"/>
    <cellStyle name="输入 4 38 11" xfId="59163"/>
    <cellStyle name="输入 4 38 12" xfId="59164"/>
    <cellStyle name="输入 4 38 2" xfId="10362"/>
    <cellStyle name="输入 4 38 2 2" xfId="59165"/>
    <cellStyle name="输入 4 38 3" xfId="59166"/>
    <cellStyle name="输入 4 38 4" xfId="59167"/>
    <cellStyle name="输入 4 38 5" xfId="59168"/>
    <cellStyle name="输入 4 38 6" xfId="59169"/>
    <cellStyle name="输入 4 38 7" xfId="59170"/>
    <cellStyle name="输入 4 38 8" xfId="59171"/>
    <cellStyle name="输入 4 38 9" xfId="59172"/>
    <cellStyle name="输入 4 39" xfId="10363"/>
    <cellStyle name="输入 4 39 10" xfId="59173"/>
    <cellStyle name="输入 4 39 11" xfId="59174"/>
    <cellStyle name="输入 4 39 12" xfId="59175"/>
    <cellStyle name="输入 4 39 2" xfId="10364"/>
    <cellStyle name="输入 4 39 2 2" xfId="59176"/>
    <cellStyle name="输入 4 39 3" xfId="59177"/>
    <cellStyle name="输入 4 39 4" xfId="59178"/>
    <cellStyle name="输入 4 39 5" xfId="59179"/>
    <cellStyle name="输入 4 39 6" xfId="59180"/>
    <cellStyle name="输入 4 39 7" xfId="59181"/>
    <cellStyle name="输入 4 39 8" xfId="59182"/>
    <cellStyle name="输入 4 39 9" xfId="59183"/>
    <cellStyle name="输入 4 4" xfId="3305"/>
    <cellStyle name="输入 4 4 10" xfId="59184"/>
    <cellStyle name="输入 4 4 11" xfId="59185"/>
    <cellStyle name="输入 4 4 12" xfId="59186"/>
    <cellStyle name="输入 4 4 2" xfId="3306"/>
    <cellStyle name="输入 4 4 2 2" xfId="13067"/>
    <cellStyle name="输入 4 4 2_YL Capex Cashflow &amp; Dep" xfId="13952"/>
    <cellStyle name="输入 4 4 3" xfId="12486"/>
    <cellStyle name="输入 4 4 4" xfId="59187"/>
    <cellStyle name="输入 4 4 5" xfId="59188"/>
    <cellStyle name="输入 4 4 6" xfId="59189"/>
    <cellStyle name="输入 4 4 7" xfId="59190"/>
    <cellStyle name="输入 4 4 8" xfId="59191"/>
    <cellStyle name="输入 4 4 9" xfId="59192"/>
    <cellStyle name="输入 4 4_YL Capex Cashflow &amp; Dep" xfId="13951"/>
    <cellStyle name="输入 4 40" xfId="10365"/>
    <cellStyle name="输入 4 40 10" xfId="59193"/>
    <cellStyle name="输入 4 40 11" xfId="59194"/>
    <cellStyle name="输入 4 40 12" xfId="59195"/>
    <cellStyle name="输入 4 40 2" xfId="10366"/>
    <cellStyle name="输入 4 40 2 2" xfId="59196"/>
    <cellStyle name="输入 4 40 3" xfId="59197"/>
    <cellStyle name="输入 4 40 4" xfId="59198"/>
    <cellStyle name="输入 4 40 5" xfId="59199"/>
    <cellStyle name="输入 4 40 6" xfId="59200"/>
    <cellStyle name="输入 4 40 7" xfId="59201"/>
    <cellStyle name="输入 4 40 8" xfId="59202"/>
    <cellStyle name="输入 4 40 9" xfId="59203"/>
    <cellStyle name="输入 4 41" xfId="10367"/>
    <cellStyle name="输入 4 41 10" xfId="59204"/>
    <cellStyle name="输入 4 41 11" xfId="59205"/>
    <cellStyle name="输入 4 41 12" xfId="59206"/>
    <cellStyle name="输入 4 41 2" xfId="10368"/>
    <cellStyle name="输入 4 41 2 2" xfId="59207"/>
    <cellStyle name="输入 4 41 3" xfId="59208"/>
    <cellStyle name="输入 4 41 4" xfId="59209"/>
    <cellStyle name="输入 4 41 5" xfId="59210"/>
    <cellStyle name="输入 4 41 6" xfId="59211"/>
    <cellStyle name="输入 4 41 7" xfId="59212"/>
    <cellStyle name="输入 4 41 8" xfId="59213"/>
    <cellStyle name="输入 4 41 9" xfId="59214"/>
    <cellStyle name="输入 4 42" xfId="10369"/>
    <cellStyle name="输入 4 42 10" xfId="59215"/>
    <cellStyle name="输入 4 42 11" xfId="59216"/>
    <cellStyle name="输入 4 42 12" xfId="59217"/>
    <cellStyle name="输入 4 42 2" xfId="10370"/>
    <cellStyle name="输入 4 42 2 2" xfId="59218"/>
    <cellStyle name="输入 4 42 3" xfId="59219"/>
    <cellStyle name="输入 4 42 4" xfId="59220"/>
    <cellStyle name="输入 4 42 5" xfId="59221"/>
    <cellStyle name="输入 4 42 6" xfId="59222"/>
    <cellStyle name="输入 4 42 7" xfId="59223"/>
    <cellStyle name="输入 4 42 8" xfId="59224"/>
    <cellStyle name="输入 4 42 9" xfId="59225"/>
    <cellStyle name="输入 4 43" xfId="10371"/>
    <cellStyle name="输入 4 43 10" xfId="59226"/>
    <cellStyle name="输入 4 43 11" xfId="59227"/>
    <cellStyle name="输入 4 43 12" xfId="59228"/>
    <cellStyle name="输入 4 43 2" xfId="10372"/>
    <cellStyle name="输入 4 43 2 2" xfId="59229"/>
    <cellStyle name="输入 4 43 3" xfId="59230"/>
    <cellStyle name="输入 4 43 4" xfId="59231"/>
    <cellStyle name="输入 4 43 5" xfId="59232"/>
    <cellStyle name="输入 4 43 6" xfId="59233"/>
    <cellStyle name="输入 4 43 7" xfId="59234"/>
    <cellStyle name="输入 4 43 8" xfId="59235"/>
    <cellStyle name="输入 4 43 9" xfId="59236"/>
    <cellStyle name="输入 4 44" xfId="10373"/>
    <cellStyle name="输入 4 44 10" xfId="59237"/>
    <cellStyle name="输入 4 44 11" xfId="59238"/>
    <cellStyle name="输入 4 44 12" xfId="59239"/>
    <cellStyle name="输入 4 44 2" xfId="10374"/>
    <cellStyle name="输入 4 44 2 2" xfId="59240"/>
    <cellStyle name="输入 4 44 3" xfId="59241"/>
    <cellStyle name="输入 4 44 4" xfId="59242"/>
    <cellStyle name="输入 4 44 5" xfId="59243"/>
    <cellStyle name="输入 4 44 6" xfId="59244"/>
    <cellStyle name="输入 4 44 7" xfId="59245"/>
    <cellStyle name="输入 4 44 8" xfId="59246"/>
    <cellStyle name="输入 4 44 9" xfId="59247"/>
    <cellStyle name="输入 4 45" xfId="10375"/>
    <cellStyle name="输入 4 45 10" xfId="59248"/>
    <cellStyle name="输入 4 45 11" xfId="59249"/>
    <cellStyle name="输入 4 45 12" xfId="59250"/>
    <cellStyle name="输入 4 45 2" xfId="10376"/>
    <cellStyle name="输入 4 45 2 2" xfId="59251"/>
    <cellStyle name="输入 4 45 3" xfId="59252"/>
    <cellStyle name="输入 4 45 4" xfId="59253"/>
    <cellStyle name="输入 4 45 5" xfId="59254"/>
    <cellStyle name="输入 4 45 6" xfId="59255"/>
    <cellStyle name="输入 4 45 7" xfId="59256"/>
    <cellStyle name="输入 4 45 8" xfId="59257"/>
    <cellStyle name="输入 4 45 9" xfId="59258"/>
    <cellStyle name="输入 4 46" xfId="10377"/>
    <cellStyle name="输入 4 46 10" xfId="59259"/>
    <cellStyle name="输入 4 46 11" xfId="59260"/>
    <cellStyle name="输入 4 46 12" xfId="59261"/>
    <cellStyle name="输入 4 46 2" xfId="10378"/>
    <cellStyle name="输入 4 46 2 2" xfId="59262"/>
    <cellStyle name="输入 4 46 3" xfId="59263"/>
    <cellStyle name="输入 4 46 4" xfId="59264"/>
    <cellStyle name="输入 4 46 5" xfId="59265"/>
    <cellStyle name="输入 4 46 6" xfId="59266"/>
    <cellStyle name="输入 4 46 7" xfId="59267"/>
    <cellStyle name="输入 4 46 8" xfId="59268"/>
    <cellStyle name="输入 4 46 9" xfId="59269"/>
    <cellStyle name="输入 4 47" xfId="10379"/>
    <cellStyle name="输入 4 47 10" xfId="59270"/>
    <cellStyle name="输入 4 47 11" xfId="59271"/>
    <cellStyle name="输入 4 47 12" xfId="59272"/>
    <cellStyle name="输入 4 47 2" xfId="10380"/>
    <cellStyle name="输入 4 47 2 2" xfId="59273"/>
    <cellStyle name="输入 4 47 3" xfId="59274"/>
    <cellStyle name="输入 4 47 4" xfId="59275"/>
    <cellStyle name="输入 4 47 5" xfId="59276"/>
    <cellStyle name="输入 4 47 6" xfId="59277"/>
    <cellStyle name="输入 4 47 7" xfId="59278"/>
    <cellStyle name="输入 4 47 8" xfId="59279"/>
    <cellStyle name="输入 4 47 9" xfId="59280"/>
    <cellStyle name="输入 4 48" xfId="10381"/>
    <cellStyle name="输入 4 48 10" xfId="59281"/>
    <cellStyle name="输入 4 48 11" xfId="59282"/>
    <cellStyle name="输入 4 48 12" xfId="59283"/>
    <cellStyle name="输入 4 48 2" xfId="10382"/>
    <cellStyle name="输入 4 48 2 2" xfId="59284"/>
    <cellStyle name="输入 4 48 3" xfId="59285"/>
    <cellStyle name="输入 4 48 4" xfId="59286"/>
    <cellStyle name="输入 4 48 5" xfId="59287"/>
    <cellStyle name="输入 4 48 6" xfId="59288"/>
    <cellStyle name="输入 4 48 7" xfId="59289"/>
    <cellStyle name="输入 4 48 8" xfId="59290"/>
    <cellStyle name="输入 4 48 9" xfId="59291"/>
    <cellStyle name="输入 4 49" xfId="10383"/>
    <cellStyle name="输入 4 49 10" xfId="59292"/>
    <cellStyle name="输入 4 49 11" xfId="59293"/>
    <cellStyle name="输入 4 49 12" xfId="59294"/>
    <cellStyle name="输入 4 49 2" xfId="10384"/>
    <cellStyle name="输入 4 49 2 2" xfId="59295"/>
    <cellStyle name="输入 4 49 3" xfId="59296"/>
    <cellStyle name="输入 4 49 4" xfId="59297"/>
    <cellStyle name="输入 4 49 5" xfId="59298"/>
    <cellStyle name="输入 4 49 6" xfId="59299"/>
    <cellStyle name="输入 4 49 7" xfId="59300"/>
    <cellStyle name="输入 4 49 8" xfId="59301"/>
    <cellStyle name="输入 4 49 9" xfId="59302"/>
    <cellStyle name="输入 4 5" xfId="10385"/>
    <cellStyle name="输入 4 5 10" xfId="59303"/>
    <cellStyle name="输入 4 5 11" xfId="59304"/>
    <cellStyle name="输入 4 5 2" xfId="10386"/>
    <cellStyle name="输入 4 5 2 2" xfId="59305"/>
    <cellStyle name="输入 4 5 3" xfId="59306"/>
    <cellStyle name="输入 4 5 4" xfId="59307"/>
    <cellStyle name="输入 4 5 5" xfId="59308"/>
    <cellStyle name="输入 4 5 6" xfId="59309"/>
    <cellStyle name="输入 4 5 7" xfId="59310"/>
    <cellStyle name="输入 4 5 8" xfId="59311"/>
    <cellStyle name="输入 4 5 9" xfId="59312"/>
    <cellStyle name="输入 4 50" xfId="10387"/>
    <cellStyle name="输入 4 50 10" xfId="59313"/>
    <cellStyle name="输入 4 50 11" xfId="59314"/>
    <cellStyle name="输入 4 50 12" xfId="59315"/>
    <cellStyle name="输入 4 50 2" xfId="10388"/>
    <cellStyle name="输入 4 50 2 2" xfId="59316"/>
    <cellStyle name="输入 4 50 3" xfId="59317"/>
    <cellStyle name="输入 4 50 4" xfId="59318"/>
    <cellStyle name="输入 4 50 5" xfId="59319"/>
    <cellStyle name="输入 4 50 6" xfId="59320"/>
    <cellStyle name="输入 4 50 7" xfId="59321"/>
    <cellStyle name="输入 4 50 8" xfId="59322"/>
    <cellStyle name="输入 4 50 9" xfId="59323"/>
    <cellStyle name="输入 4 51" xfId="10389"/>
    <cellStyle name="输入 4 51 10" xfId="59324"/>
    <cellStyle name="输入 4 51 11" xfId="59325"/>
    <cellStyle name="输入 4 51 12" xfId="59326"/>
    <cellStyle name="输入 4 51 2" xfId="10390"/>
    <cellStyle name="输入 4 51 2 2" xfId="59327"/>
    <cellStyle name="输入 4 51 3" xfId="59328"/>
    <cellStyle name="输入 4 51 4" xfId="59329"/>
    <cellStyle name="输入 4 51 5" xfId="59330"/>
    <cellStyle name="输入 4 51 6" xfId="59331"/>
    <cellStyle name="输入 4 51 7" xfId="59332"/>
    <cellStyle name="输入 4 51 8" xfId="59333"/>
    <cellStyle name="输入 4 51 9" xfId="59334"/>
    <cellStyle name="输入 4 52" xfId="10391"/>
    <cellStyle name="输入 4 52 10" xfId="59335"/>
    <cellStyle name="输入 4 52 11" xfId="59336"/>
    <cellStyle name="输入 4 52 12" xfId="59337"/>
    <cellStyle name="输入 4 52 2" xfId="10392"/>
    <cellStyle name="输入 4 52 2 2" xfId="59338"/>
    <cellStyle name="输入 4 52 3" xfId="59339"/>
    <cellStyle name="输入 4 52 4" xfId="59340"/>
    <cellStyle name="输入 4 52 5" xfId="59341"/>
    <cellStyle name="输入 4 52 6" xfId="59342"/>
    <cellStyle name="输入 4 52 7" xfId="59343"/>
    <cellStyle name="输入 4 52 8" xfId="59344"/>
    <cellStyle name="输入 4 52 9" xfId="59345"/>
    <cellStyle name="输入 4 53" xfId="10393"/>
    <cellStyle name="输入 4 53 10" xfId="59346"/>
    <cellStyle name="输入 4 53 11" xfId="59347"/>
    <cellStyle name="输入 4 53 12" xfId="59348"/>
    <cellStyle name="输入 4 53 2" xfId="10394"/>
    <cellStyle name="输入 4 53 2 2" xfId="59349"/>
    <cellStyle name="输入 4 53 3" xfId="59350"/>
    <cellStyle name="输入 4 53 4" xfId="59351"/>
    <cellStyle name="输入 4 53 5" xfId="59352"/>
    <cellStyle name="输入 4 53 6" xfId="59353"/>
    <cellStyle name="输入 4 53 7" xfId="59354"/>
    <cellStyle name="输入 4 53 8" xfId="59355"/>
    <cellStyle name="输入 4 53 9" xfId="59356"/>
    <cellStyle name="输入 4 54" xfId="10395"/>
    <cellStyle name="输入 4 54 10" xfId="59357"/>
    <cellStyle name="输入 4 54 11" xfId="59358"/>
    <cellStyle name="输入 4 54 2" xfId="10396"/>
    <cellStyle name="输入 4 54 2 2" xfId="59359"/>
    <cellStyle name="输入 4 54 3" xfId="59360"/>
    <cellStyle name="输入 4 54 4" xfId="59361"/>
    <cellStyle name="输入 4 54 5" xfId="59362"/>
    <cellStyle name="输入 4 54 6" xfId="59363"/>
    <cellStyle name="输入 4 54 7" xfId="59364"/>
    <cellStyle name="输入 4 54 8" xfId="59365"/>
    <cellStyle name="输入 4 54 9" xfId="59366"/>
    <cellStyle name="输入 4 55" xfId="10397"/>
    <cellStyle name="输入 4 55 10" xfId="59367"/>
    <cellStyle name="输入 4 55 11" xfId="59368"/>
    <cellStyle name="输入 4 55 12" xfId="59369"/>
    <cellStyle name="输入 4 55 2" xfId="10398"/>
    <cellStyle name="输入 4 55 2 2" xfId="59370"/>
    <cellStyle name="输入 4 55 3" xfId="59371"/>
    <cellStyle name="输入 4 55 4" xfId="59372"/>
    <cellStyle name="输入 4 55 5" xfId="59373"/>
    <cellStyle name="输入 4 55 6" xfId="59374"/>
    <cellStyle name="输入 4 55 7" xfId="59375"/>
    <cellStyle name="输入 4 55 8" xfId="59376"/>
    <cellStyle name="输入 4 55 9" xfId="59377"/>
    <cellStyle name="输入 4 56" xfId="10399"/>
    <cellStyle name="输入 4 56 10" xfId="59378"/>
    <cellStyle name="输入 4 56 11" xfId="59379"/>
    <cellStyle name="输入 4 56 12" xfId="59380"/>
    <cellStyle name="输入 4 56 2" xfId="10400"/>
    <cellStyle name="输入 4 56 2 2" xfId="59381"/>
    <cellStyle name="输入 4 56 3" xfId="59382"/>
    <cellStyle name="输入 4 56 4" xfId="59383"/>
    <cellStyle name="输入 4 56 5" xfId="59384"/>
    <cellStyle name="输入 4 56 6" xfId="59385"/>
    <cellStyle name="输入 4 56 7" xfId="59386"/>
    <cellStyle name="输入 4 56 8" xfId="59387"/>
    <cellStyle name="输入 4 56 9" xfId="59388"/>
    <cellStyle name="输入 4 57" xfId="10401"/>
    <cellStyle name="输入 4 57 10" xfId="59389"/>
    <cellStyle name="输入 4 57 11" xfId="59390"/>
    <cellStyle name="输入 4 57 12" xfId="59391"/>
    <cellStyle name="输入 4 57 2" xfId="10402"/>
    <cellStyle name="输入 4 57 2 2" xfId="59392"/>
    <cellStyle name="输入 4 57 3" xfId="59393"/>
    <cellStyle name="输入 4 57 4" xfId="59394"/>
    <cellStyle name="输入 4 57 5" xfId="59395"/>
    <cellStyle name="输入 4 57 6" xfId="59396"/>
    <cellStyle name="输入 4 57 7" xfId="59397"/>
    <cellStyle name="输入 4 57 8" xfId="59398"/>
    <cellStyle name="输入 4 57 9" xfId="59399"/>
    <cellStyle name="输入 4 58" xfId="10403"/>
    <cellStyle name="输入 4 58 10" xfId="59400"/>
    <cellStyle name="输入 4 58 11" xfId="59401"/>
    <cellStyle name="输入 4 58 12" xfId="59402"/>
    <cellStyle name="输入 4 58 2" xfId="10404"/>
    <cellStyle name="输入 4 58 2 2" xfId="59403"/>
    <cellStyle name="输入 4 58 3" xfId="59404"/>
    <cellStyle name="输入 4 58 4" xfId="59405"/>
    <cellStyle name="输入 4 58 5" xfId="59406"/>
    <cellStyle name="输入 4 58 6" xfId="59407"/>
    <cellStyle name="输入 4 58 7" xfId="59408"/>
    <cellStyle name="输入 4 58 8" xfId="59409"/>
    <cellStyle name="输入 4 58 9" xfId="59410"/>
    <cellStyle name="输入 4 59" xfId="10405"/>
    <cellStyle name="输入 4 59 10" xfId="59411"/>
    <cellStyle name="输入 4 59 11" xfId="59412"/>
    <cellStyle name="输入 4 59 2" xfId="10406"/>
    <cellStyle name="输入 4 59 2 2" xfId="59413"/>
    <cellStyle name="输入 4 59 3" xfId="59414"/>
    <cellStyle name="输入 4 59 4" xfId="59415"/>
    <cellStyle name="输入 4 59 5" xfId="59416"/>
    <cellStyle name="输入 4 59 6" xfId="59417"/>
    <cellStyle name="输入 4 59 7" xfId="59418"/>
    <cellStyle name="输入 4 59 8" xfId="59419"/>
    <cellStyle name="输入 4 59 9" xfId="59420"/>
    <cellStyle name="输入 4 6" xfId="10407"/>
    <cellStyle name="输入 4 6 10" xfId="59421"/>
    <cellStyle name="输入 4 6 11" xfId="59422"/>
    <cellStyle name="输入 4 6 2" xfId="10408"/>
    <cellStyle name="输入 4 6 2 2" xfId="59423"/>
    <cellStyle name="输入 4 6 3" xfId="59424"/>
    <cellStyle name="输入 4 6 4" xfId="59425"/>
    <cellStyle name="输入 4 6 5" xfId="59426"/>
    <cellStyle name="输入 4 6 6" xfId="59427"/>
    <cellStyle name="输入 4 6 7" xfId="59428"/>
    <cellStyle name="输入 4 6 8" xfId="59429"/>
    <cellStyle name="输入 4 6 9" xfId="59430"/>
    <cellStyle name="输入 4 60" xfId="10409"/>
    <cellStyle name="输入 4 60 10" xfId="59431"/>
    <cellStyle name="输入 4 60 11" xfId="59432"/>
    <cellStyle name="输入 4 60 12" xfId="59433"/>
    <cellStyle name="输入 4 60 2" xfId="10410"/>
    <cellStyle name="输入 4 60 2 2" xfId="59434"/>
    <cellStyle name="输入 4 60 3" xfId="59435"/>
    <cellStyle name="输入 4 60 4" xfId="59436"/>
    <cellStyle name="输入 4 60 5" xfId="59437"/>
    <cellStyle name="输入 4 60 6" xfId="59438"/>
    <cellStyle name="输入 4 60 7" xfId="59439"/>
    <cellStyle name="输入 4 60 8" xfId="59440"/>
    <cellStyle name="输入 4 60 9" xfId="59441"/>
    <cellStyle name="输入 4 61" xfId="10411"/>
    <cellStyle name="输入 4 61 10" xfId="59442"/>
    <cellStyle name="输入 4 61 11" xfId="59443"/>
    <cellStyle name="输入 4 61 12" xfId="59444"/>
    <cellStyle name="输入 4 61 2" xfId="10412"/>
    <cellStyle name="输入 4 61 2 2" xfId="59445"/>
    <cellStyle name="输入 4 61 3" xfId="59446"/>
    <cellStyle name="输入 4 61 4" xfId="59447"/>
    <cellStyle name="输入 4 61 5" xfId="59448"/>
    <cellStyle name="输入 4 61 6" xfId="59449"/>
    <cellStyle name="输入 4 61 7" xfId="59450"/>
    <cellStyle name="输入 4 61 8" xfId="59451"/>
    <cellStyle name="输入 4 61 9" xfId="59452"/>
    <cellStyle name="输入 4 62" xfId="10413"/>
    <cellStyle name="输入 4 62 10" xfId="59453"/>
    <cellStyle name="输入 4 62 11" xfId="59454"/>
    <cellStyle name="输入 4 62 12" xfId="59455"/>
    <cellStyle name="输入 4 62 2" xfId="10414"/>
    <cellStyle name="输入 4 62 2 2" xfId="59456"/>
    <cellStyle name="输入 4 62 3" xfId="59457"/>
    <cellStyle name="输入 4 62 4" xfId="59458"/>
    <cellStyle name="输入 4 62 5" xfId="59459"/>
    <cellStyle name="输入 4 62 6" xfId="59460"/>
    <cellStyle name="输入 4 62 7" xfId="59461"/>
    <cellStyle name="输入 4 62 8" xfId="59462"/>
    <cellStyle name="输入 4 62 9" xfId="59463"/>
    <cellStyle name="输入 4 63" xfId="10415"/>
    <cellStyle name="输入 4 63 10" xfId="59464"/>
    <cellStyle name="输入 4 63 11" xfId="59465"/>
    <cellStyle name="输入 4 63 12" xfId="59466"/>
    <cellStyle name="输入 4 63 2" xfId="10416"/>
    <cellStyle name="输入 4 63 2 2" xfId="59467"/>
    <cellStyle name="输入 4 63 3" xfId="59468"/>
    <cellStyle name="输入 4 63 4" xfId="59469"/>
    <cellStyle name="输入 4 63 5" xfId="59470"/>
    <cellStyle name="输入 4 63 6" xfId="59471"/>
    <cellStyle name="输入 4 63 7" xfId="59472"/>
    <cellStyle name="输入 4 63 8" xfId="59473"/>
    <cellStyle name="输入 4 63 9" xfId="59474"/>
    <cellStyle name="输入 4 64" xfId="10417"/>
    <cellStyle name="输入 4 64 10" xfId="59475"/>
    <cellStyle name="输入 4 64 11" xfId="59476"/>
    <cellStyle name="输入 4 64 12" xfId="59477"/>
    <cellStyle name="输入 4 64 2" xfId="10418"/>
    <cellStyle name="输入 4 64 2 2" xfId="59478"/>
    <cellStyle name="输入 4 64 3" xfId="59479"/>
    <cellStyle name="输入 4 64 4" xfId="59480"/>
    <cellStyle name="输入 4 64 5" xfId="59481"/>
    <cellStyle name="输入 4 64 6" xfId="59482"/>
    <cellStyle name="输入 4 64 7" xfId="59483"/>
    <cellStyle name="输入 4 64 8" xfId="59484"/>
    <cellStyle name="输入 4 64 9" xfId="59485"/>
    <cellStyle name="输入 4 65" xfId="10419"/>
    <cellStyle name="输入 4 65 10" xfId="59486"/>
    <cellStyle name="输入 4 65 11" xfId="59487"/>
    <cellStyle name="输入 4 65 12" xfId="59488"/>
    <cellStyle name="输入 4 65 2" xfId="10420"/>
    <cellStyle name="输入 4 65 2 2" xfId="59489"/>
    <cellStyle name="输入 4 65 3" xfId="59490"/>
    <cellStyle name="输入 4 65 4" xfId="59491"/>
    <cellStyle name="输入 4 65 5" xfId="59492"/>
    <cellStyle name="输入 4 65 6" xfId="59493"/>
    <cellStyle name="输入 4 65 7" xfId="59494"/>
    <cellStyle name="输入 4 65 8" xfId="59495"/>
    <cellStyle name="输入 4 65 9" xfId="59496"/>
    <cellStyle name="输入 4 66" xfId="10421"/>
    <cellStyle name="输入 4 66 10" xfId="59497"/>
    <cellStyle name="输入 4 66 11" xfId="59498"/>
    <cellStyle name="输入 4 66 12" xfId="59499"/>
    <cellStyle name="输入 4 66 2" xfId="10422"/>
    <cellStyle name="输入 4 66 2 2" xfId="59500"/>
    <cellStyle name="输入 4 66 3" xfId="59501"/>
    <cellStyle name="输入 4 66 4" xfId="59502"/>
    <cellStyle name="输入 4 66 5" xfId="59503"/>
    <cellStyle name="输入 4 66 6" xfId="59504"/>
    <cellStyle name="输入 4 66 7" xfId="59505"/>
    <cellStyle name="输入 4 66 8" xfId="59506"/>
    <cellStyle name="输入 4 66 9" xfId="59507"/>
    <cellStyle name="输入 4 67" xfId="10423"/>
    <cellStyle name="输入 4 67 10" xfId="59508"/>
    <cellStyle name="输入 4 67 11" xfId="59509"/>
    <cellStyle name="输入 4 67 12" xfId="59510"/>
    <cellStyle name="输入 4 67 2" xfId="10424"/>
    <cellStyle name="输入 4 67 2 2" xfId="59511"/>
    <cellStyle name="输入 4 67 3" xfId="59512"/>
    <cellStyle name="输入 4 67 4" xfId="59513"/>
    <cellStyle name="输入 4 67 5" xfId="59514"/>
    <cellStyle name="输入 4 67 6" xfId="59515"/>
    <cellStyle name="输入 4 67 7" xfId="59516"/>
    <cellStyle name="输入 4 67 8" xfId="59517"/>
    <cellStyle name="输入 4 67 9" xfId="59518"/>
    <cellStyle name="输入 4 68" xfId="10425"/>
    <cellStyle name="输入 4 68 10" xfId="59519"/>
    <cellStyle name="输入 4 68 11" xfId="59520"/>
    <cellStyle name="输入 4 68 12" xfId="59521"/>
    <cellStyle name="输入 4 68 2" xfId="10426"/>
    <cellStyle name="输入 4 68 2 2" xfId="59522"/>
    <cellStyle name="输入 4 68 3" xfId="59523"/>
    <cellStyle name="输入 4 68 4" xfId="59524"/>
    <cellStyle name="输入 4 68 5" xfId="59525"/>
    <cellStyle name="输入 4 68 6" xfId="59526"/>
    <cellStyle name="输入 4 68 7" xfId="59527"/>
    <cellStyle name="输入 4 68 8" xfId="59528"/>
    <cellStyle name="输入 4 68 9" xfId="59529"/>
    <cellStyle name="输入 4 69" xfId="10427"/>
    <cellStyle name="输入 4 69 10" xfId="59530"/>
    <cellStyle name="输入 4 69 11" xfId="59531"/>
    <cellStyle name="输入 4 69 12" xfId="59532"/>
    <cellStyle name="输入 4 69 2" xfId="10428"/>
    <cellStyle name="输入 4 69 2 2" xfId="59533"/>
    <cellStyle name="输入 4 69 3" xfId="59534"/>
    <cellStyle name="输入 4 69 4" xfId="59535"/>
    <cellStyle name="输入 4 69 5" xfId="59536"/>
    <cellStyle name="输入 4 69 6" xfId="59537"/>
    <cellStyle name="输入 4 69 7" xfId="59538"/>
    <cellStyle name="输入 4 69 8" xfId="59539"/>
    <cellStyle name="输入 4 69 9" xfId="59540"/>
    <cellStyle name="输入 4 7" xfId="10429"/>
    <cellStyle name="输入 4 7 10" xfId="59541"/>
    <cellStyle name="输入 4 7 11" xfId="59542"/>
    <cellStyle name="输入 4 7 2" xfId="10430"/>
    <cellStyle name="输入 4 7 2 2" xfId="59543"/>
    <cellStyle name="输入 4 7 3" xfId="59544"/>
    <cellStyle name="输入 4 7 4" xfId="59545"/>
    <cellStyle name="输入 4 7 5" xfId="59546"/>
    <cellStyle name="输入 4 7 6" xfId="59547"/>
    <cellStyle name="输入 4 7 7" xfId="59548"/>
    <cellStyle name="输入 4 7 8" xfId="59549"/>
    <cellStyle name="输入 4 7 9" xfId="59550"/>
    <cellStyle name="输入 4 70" xfId="10431"/>
    <cellStyle name="输入 4 70 10" xfId="59551"/>
    <cellStyle name="输入 4 70 11" xfId="59552"/>
    <cellStyle name="输入 4 70 12" xfId="59553"/>
    <cellStyle name="输入 4 70 2" xfId="10432"/>
    <cellStyle name="输入 4 70 2 2" xfId="59554"/>
    <cellStyle name="输入 4 70 3" xfId="59555"/>
    <cellStyle name="输入 4 70 4" xfId="59556"/>
    <cellStyle name="输入 4 70 5" xfId="59557"/>
    <cellStyle name="输入 4 70 6" xfId="59558"/>
    <cellStyle name="输入 4 70 7" xfId="59559"/>
    <cellStyle name="输入 4 70 8" xfId="59560"/>
    <cellStyle name="输入 4 70 9" xfId="59561"/>
    <cellStyle name="输入 4 71" xfId="10433"/>
    <cellStyle name="输入 4 71 10" xfId="59562"/>
    <cellStyle name="输入 4 71 11" xfId="59563"/>
    <cellStyle name="输入 4 71 12" xfId="59564"/>
    <cellStyle name="输入 4 71 2" xfId="10434"/>
    <cellStyle name="输入 4 71 2 2" xfId="59565"/>
    <cellStyle name="输入 4 71 3" xfId="59566"/>
    <cellStyle name="输入 4 71 4" xfId="59567"/>
    <cellStyle name="输入 4 71 5" xfId="59568"/>
    <cellStyle name="输入 4 71 6" xfId="59569"/>
    <cellStyle name="输入 4 71 7" xfId="59570"/>
    <cellStyle name="输入 4 71 8" xfId="59571"/>
    <cellStyle name="输入 4 71 9" xfId="59572"/>
    <cellStyle name="输入 4 72" xfId="10435"/>
    <cellStyle name="输入 4 72 10" xfId="59573"/>
    <cellStyle name="输入 4 72 11" xfId="59574"/>
    <cellStyle name="输入 4 72 12" xfId="59575"/>
    <cellStyle name="输入 4 72 2" xfId="10436"/>
    <cellStyle name="输入 4 72 2 2" xfId="59576"/>
    <cellStyle name="输入 4 72 3" xfId="59577"/>
    <cellStyle name="输入 4 72 4" xfId="59578"/>
    <cellStyle name="输入 4 72 5" xfId="59579"/>
    <cellStyle name="输入 4 72 6" xfId="59580"/>
    <cellStyle name="输入 4 72 7" xfId="59581"/>
    <cellStyle name="输入 4 72 8" xfId="59582"/>
    <cellStyle name="输入 4 72 9" xfId="59583"/>
    <cellStyle name="输入 4 73" xfId="10437"/>
    <cellStyle name="输入 4 73 10" xfId="59584"/>
    <cellStyle name="输入 4 73 11" xfId="59585"/>
    <cellStyle name="输入 4 73 12" xfId="59586"/>
    <cellStyle name="输入 4 73 2" xfId="10438"/>
    <cellStyle name="输入 4 73 2 2" xfId="59587"/>
    <cellStyle name="输入 4 73 3" xfId="59588"/>
    <cellStyle name="输入 4 73 4" xfId="59589"/>
    <cellStyle name="输入 4 73 5" xfId="59590"/>
    <cellStyle name="输入 4 73 6" xfId="59591"/>
    <cellStyle name="输入 4 73 7" xfId="59592"/>
    <cellStyle name="输入 4 73 8" xfId="59593"/>
    <cellStyle name="输入 4 73 9" xfId="59594"/>
    <cellStyle name="输入 4 74" xfId="10439"/>
    <cellStyle name="输入 4 74 10" xfId="59595"/>
    <cellStyle name="输入 4 74 11" xfId="59596"/>
    <cellStyle name="输入 4 74 12" xfId="59597"/>
    <cellStyle name="输入 4 74 2" xfId="10440"/>
    <cellStyle name="输入 4 74 2 2" xfId="59598"/>
    <cellStyle name="输入 4 74 3" xfId="59599"/>
    <cellStyle name="输入 4 74 4" xfId="59600"/>
    <cellStyle name="输入 4 74 5" xfId="59601"/>
    <cellStyle name="输入 4 74 6" xfId="59602"/>
    <cellStyle name="输入 4 74 7" xfId="59603"/>
    <cellStyle name="输入 4 74 8" xfId="59604"/>
    <cellStyle name="输入 4 74 9" xfId="59605"/>
    <cellStyle name="输入 4 75" xfId="10441"/>
    <cellStyle name="输入 4 75 10" xfId="59606"/>
    <cellStyle name="输入 4 75 11" xfId="59607"/>
    <cellStyle name="输入 4 75 12" xfId="59608"/>
    <cellStyle name="输入 4 75 2" xfId="10442"/>
    <cellStyle name="输入 4 75 2 2" xfId="59609"/>
    <cellStyle name="输入 4 75 3" xfId="59610"/>
    <cellStyle name="输入 4 75 4" xfId="59611"/>
    <cellStyle name="输入 4 75 5" xfId="59612"/>
    <cellStyle name="输入 4 75 6" xfId="59613"/>
    <cellStyle name="输入 4 75 7" xfId="59614"/>
    <cellStyle name="输入 4 75 8" xfId="59615"/>
    <cellStyle name="输入 4 75 9" xfId="59616"/>
    <cellStyle name="输入 4 76" xfId="10443"/>
    <cellStyle name="输入 4 76 10" xfId="59617"/>
    <cellStyle name="输入 4 76 11" xfId="59618"/>
    <cellStyle name="输入 4 76 12" xfId="59619"/>
    <cellStyle name="输入 4 76 2" xfId="10444"/>
    <cellStyle name="输入 4 76 2 2" xfId="59620"/>
    <cellStyle name="输入 4 76 3" xfId="59621"/>
    <cellStyle name="输入 4 76 4" xfId="59622"/>
    <cellStyle name="输入 4 76 5" xfId="59623"/>
    <cellStyle name="输入 4 76 6" xfId="59624"/>
    <cellStyle name="输入 4 76 7" xfId="59625"/>
    <cellStyle name="输入 4 76 8" xfId="59626"/>
    <cellStyle name="输入 4 76 9" xfId="59627"/>
    <cellStyle name="输入 4 77" xfId="10445"/>
    <cellStyle name="输入 4 77 10" xfId="59628"/>
    <cellStyle name="输入 4 77 11" xfId="59629"/>
    <cellStyle name="输入 4 77 12" xfId="59630"/>
    <cellStyle name="输入 4 77 2" xfId="10446"/>
    <cellStyle name="输入 4 77 2 2" xfId="59631"/>
    <cellStyle name="输入 4 77 3" xfId="59632"/>
    <cellStyle name="输入 4 77 4" xfId="59633"/>
    <cellStyle name="输入 4 77 5" xfId="59634"/>
    <cellStyle name="输入 4 77 6" xfId="59635"/>
    <cellStyle name="输入 4 77 7" xfId="59636"/>
    <cellStyle name="输入 4 77 8" xfId="59637"/>
    <cellStyle name="输入 4 77 9" xfId="59638"/>
    <cellStyle name="输入 4 78" xfId="10447"/>
    <cellStyle name="输入 4 78 10" xfId="59639"/>
    <cellStyle name="输入 4 78 11" xfId="59640"/>
    <cellStyle name="输入 4 78 12" xfId="59641"/>
    <cellStyle name="输入 4 78 2" xfId="10448"/>
    <cellStyle name="输入 4 78 2 2" xfId="59642"/>
    <cellStyle name="输入 4 78 3" xfId="59643"/>
    <cellStyle name="输入 4 78 4" xfId="59644"/>
    <cellStyle name="输入 4 78 5" xfId="59645"/>
    <cellStyle name="输入 4 78 6" xfId="59646"/>
    <cellStyle name="输入 4 78 7" xfId="59647"/>
    <cellStyle name="输入 4 78 8" xfId="59648"/>
    <cellStyle name="输入 4 78 9" xfId="59649"/>
    <cellStyle name="输入 4 79" xfId="10449"/>
    <cellStyle name="输入 4 79 10" xfId="59650"/>
    <cellStyle name="输入 4 79 11" xfId="59651"/>
    <cellStyle name="输入 4 79 12" xfId="59652"/>
    <cellStyle name="输入 4 79 2" xfId="10450"/>
    <cellStyle name="输入 4 79 2 2" xfId="59653"/>
    <cellStyle name="输入 4 79 3" xfId="59654"/>
    <cellStyle name="输入 4 79 4" xfId="59655"/>
    <cellStyle name="输入 4 79 5" xfId="59656"/>
    <cellStyle name="输入 4 79 6" xfId="59657"/>
    <cellStyle name="输入 4 79 7" xfId="59658"/>
    <cellStyle name="输入 4 79 8" xfId="59659"/>
    <cellStyle name="输入 4 79 9" xfId="59660"/>
    <cellStyle name="输入 4 8" xfId="10451"/>
    <cellStyle name="输入 4 8 10" xfId="59661"/>
    <cellStyle name="输入 4 8 11" xfId="59662"/>
    <cellStyle name="输入 4 8 2" xfId="10452"/>
    <cellStyle name="输入 4 8 2 2" xfId="59663"/>
    <cellStyle name="输入 4 8 3" xfId="59664"/>
    <cellStyle name="输入 4 8 4" xfId="59665"/>
    <cellStyle name="输入 4 8 5" xfId="59666"/>
    <cellStyle name="输入 4 8 6" xfId="59667"/>
    <cellStyle name="输入 4 8 7" xfId="59668"/>
    <cellStyle name="输入 4 8 8" xfId="59669"/>
    <cellStyle name="输入 4 8 9" xfId="59670"/>
    <cellStyle name="输入 4 80" xfId="10453"/>
    <cellStyle name="输入 4 80 10" xfId="59671"/>
    <cellStyle name="输入 4 80 11" xfId="59672"/>
    <cellStyle name="输入 4 80 12" xfId="59673"/>
    <cellStyle name="输入 4 80 2" xfId="10454"/>
    <cellStyle name="输入 4 80 2 2" xfId="59674"/>
    <cellStyle name="输入 4 80 3" xfId="59675"/>
    <cellStyle name="输入 4 80 4" xfId="59676"/>
    <cellStyle name="输入 4 80 5" xfId="59677"/>
    <cellStyle name="输入 4 80 6" xfId="59678"/>
    <cellStyle name="输入 4 80 7" xfId="59679"/>
    <cellStyle name="输入 4 80 8" xfId="59680"/>
    <cellStyle name="输入 4 80 9" xfId="59681"/>
    <cellStyle name="输入 4 81" xfId="10455"/>
    <cellStyle name="输入 4 81 10" xfId="59682"/>
    <cellStyle name="输入 4 81 11" xfId="59683"/>
    <cellStyle name="输入 4 81 12" xfId="59684"/>
    <cellStyle name="输入 4 81 2" xfId="10456"/>
    <cellStyle name="输入 4 81 2 2" xfId="59685"/>
    <cellStyle name="输入 4 81 3" xfId="59686"/>
    <cellStyle name="输入 4 81 4" xfId="59687"/>
    <cellStyle name="输入 4 81 5" xfId="59688"/>
    <cellStyle name="输入 4 81 6" xfId="59689"/>
    <cellStyle name="输入 4 81 7" xfId="59690"/>
    <cellStyle name="输入 4 81 8" xfId="59691"/>
    <cellStyle name="输入 4 81 9" xfId="59692"/>
    <cellStyle name="输入 4 82" xfId="10457"/>
    <cellStyle name="输入 4 82 10" xfId="59693"/>
    <cellStyle name="输入 4 82 11" xfId="59694"/>
    <cellStyle name="输入 4 82 12" xfId="59695"/>
    <cellStyle name="输入 4 82 2" xfId="10458"/>
    <cellStyle name="输入 4 82 2 2" xfId="59696"/>
    <cellStyle name="输入 4 82 3" xfId="59697"/>
    <cellStyle name="输入 4 82 4" xfId="59698"/>
    <cellStyle name="输入 4 82 5" xfId="59699"/>
    <cellStyle name="输入 4 82 6" xfId="59700"/>
    <cellStyle name="输入 4 82 7" xfId="59701"/>
    <cellStyle name="输入 4 82 8" xfId="59702"/>
    <cellStyle name="输入 4 82 9" xfId="59703"/>
    <cellStyle name="输入 4 83" xfId="10459"/>
    <cellStyle name="输入 4 83 10" xfId="59704"/>
    <cellStyle name="输入 4 83 11" xfId="59705"/>
    <cellStyle name="输入 4 83 12" xfId="59706"/>
    <cellStyle name="输入 4 83 2" xfId="10460"/>
    <cellStyle name="输入 4 83 2 2" xfId="59707"/>
    <cellStyle name="输入 4 83 3" xfId="59708"/>
    <cellStyle name="输入 4 83 4" xfId="59709"/>
    <cellStyle name="输入 4 83 5" xfId="59710"/>
    <cellStyle name="输入 4 83 6" xfId="59711"/>
    <cellStyle name="输入 4 83 7" xfId="59712"/>
    <cellStyle name="输入 4 83 8" xfId="59713"/>
    <cellStyle name="输入 4 83 9" xfId="59714"/>
    <cellStyle name="输入 4 84" xfId="10461"/>
    <cellStyle name="输入 4 84 10" xfId="59715"/>
    <cellStyle name="输入 4 84 11" xfId="59716"/>
    <cellStyle name="输入 4 84 12" xfId="59717"/>
    <cellStyle name="输入 4 84 2" xfId="10462"/>
    <cellStyle name="输入 4 84 2 2" xfId="59718"/>
    <cellStyle name="输入 4 84 3" xfId="59719"/>
    <cellStyle name="输入 4 84 4" xfId="59720"/>
    <cellStyle name="输入 4 84 5" xfId="59721"/>
    <cellStyle name="输入 4 84 6" xfId="59722"/>
    <cellStyle name="输入 4 84 7" xfId="59723"/>
    <cellStyle name="输入 4 84 8" xfId="59724"/>
    <cellStyle name="输入 4 84 9" xfId="59725"/>
    <cellStyle name="输入 4 85" xfId="10463"/>
    <cellStyle name="输入 4 85 10" xfId="59726"/>
    <cellStyle name="输入 4 85 11" xfId="59727"/>
    <cellStyle name="输入 4 85 12" xfId="59728"/>
    <cellStyle name="输入 4 85 2" xfId="10464"/>
    <cellStyle name="输入 4 85 2 2" xfId="59729"/>
    <cellStyle name="输入 4 85 3" xfId="59730"/>
    <cellStyle name="输入 4 85 4" xfId="59731"/>
    <cellStyle name="输入 4 85 5" xfId="59732"/>
    <cellStyle name="输入 4 85 6" xfId="59733"/>
    <cellStyle name="输入 4 85 7" xfId="59734"/>
    <cellStyle name="输入 4 85 8" xfId="59735"/>
    <cellStyle name="输入 4 85 9" xfId="59736"/>
    <cellStyle name="输入 4 86" xfId="10465"/>
    <cellStyle name="输入 4 86 10" xfId="59737"/>
    <cellStyle name="输入 4 86 11" xfId="59738"/>
    <cellStyle name="输入 4 86 2" xfId="10466"/>
    <cellStyle name="输入 4 86 2 2" xfId="59739"/>
    <cellStyle name="输入 4 86 3" xfId="59740"/>
    <cellStyle name="输入 4 86 4" xfId="59741"/>
    <cellStyle name="输入 4 86 5" xfId="59742"/>
    <cellStyle name="输入 4 86 6" xfId="59743"/>
    <cellStyle name="输入 4 86 7" xfId="59744"/>
    <cellStyle name="输入 4 86 8" xfId="59745"/>
    <cellStyle name="输入 4 86 9" xfId="59746"/>
    <cellStyle name="输入 4 87" xfId="10467"/>
    <cellStyle name="输入 4 87 10" xfId="59747"/>
    <cellStyle name="输入 4 87 11" xfId="59748"/>
    <cellStyle name="输入 4 87 12" xfId="59749"/>
    <cellStyle name="输入 4 87 2" xfId="10468"/>
    <cellStyle name="输入 4 87 2 2" xfId="59750"/>
    <cellStyle name="输入 4 87 3" xfId="59751"/>
    <cellStyle name="输入 4 87 4" xfId="59752"/>
    <cellStyle name="输入 4 87 5" xfId="59753"/>
    <cellStyle name="输入 4 87 6" xfId="59754"/>
    <cellStyle name="输入 4 87 7" xfId="59755"/>
    <cellStyle name="输入 4 87 8" xfId="59756"/>
    <cellStyle name="输入 4 87 9" xfId="59757"/>
    <cellStyle name="输入 4 88" xfId="10469"/>
    <cellStyle name="输入 4 88 10" xfId="59758"/>
    <cellStyle name="输入 4 88 11" xfId="59759"/>
    <cellStyle name="输入 4 88 12" xfId="59760"/>
    <cellStyle name="输入 4 88 2" xfId="10470"/>
    <cellStyle name="输入 4 88 2 2" xfId="59761"/>
    <cellStyle name="输入 4 88 3" xfId="59762"/>
    <cellStyle name="输入 4 88 4" xfId="59763"/>
    <cellStyle name="输入 4 88 5" xfId="59764"/>
    <cellStyle name="输入 4 88 6" xfId="59765"/>
    <cellStyle name="输入 4 88 7" xfId="59766"/>
    <cellStyle name="输入 4 88 8" xfId="59767"/>
    <cellStyle name="输入 4 88 9" xfId="59768"/>
    <cellStyle name="输入 4 89" xfId="10471"/>
    <cellStyle name="输入 4 89 10" xfId="59769"/>
    <cellStyle name="输入 4 89 11" xfId="59770"/>
    <cellStyle name="输入 4 89 12" xfId="59771"/>
    <cellStyle name="输入 4 89 2" xfId="10472"/>
    <cellStyle name="输入 4 89 2 2" xfId="59772"/>
    <cellStyle name="输入 4 89 3" xfId="59773"/>
    <cellStyle name="输入 4 89 4" xfId="59774"/>
    <cellStyle name="输入 4 89 5" xfId="59775"/>
    <cellStyle name="输入 4 89 6" xfId="59776"/>
    <cellStyle name="输入 4 89 7" xfId="59777"/>
    <cellStyle name="输入 4 89 8" xfId="59778"/>
    <cellStyle name="输入 4 89 9" xfId="59779"/>
    <cellStyle name="输入 4 9" xfId="10473"/>
    <cellStyle name="输入 4 9 10" xfId="59780"/>
    <cellStyle name="输入 4 9 11" xfId="59781"/>
    <cellStyle name="输入 4 9 2" xfId="10474"/>
    <cellStyle name="输入 4 9 2 2" xfId="59782"/>
    <cellStyle name="输入 4 9 3" xfId="59783"/>
    <cellStyle name="输入 4 9 4" xfId="59784"/>
    <cellStyle name="输入 4 9 5" xfId="59785"/>
    <cellStyle name="输入 4 9 6" xfId="59786"/>
    <cellStyle name="输入 4 9 7" xfId="59787"/>
    <cellStyle name="输入 4 9 8" xfId="59788"/>
    <cellStyle name="输入 4 9 9" xfId="59789"/>
    <cellStyle name="输入 4 90" xfId="10475"/>
    <cellStyle name="输入 4 90 10" xfId="59790"/>
    <cellStyle name="输入 4 90 11" xfId="59791"/>
    <cellStyle name="输入 4 90 12" xfId="59792"/>
    <cellStyle name="输入 4 90 2" xfId="10476"/>
    <cellStyle name="输入 4 90 2 2" xfId="59793"/>
    <cellStyle name="输入 4 90 3" xfId="59794"/>
    <cellStyle name="输入 4 90 4" xfId="59795"/>
    <cellStyle name="输入 4 90 5" xfId="59796"/>
    <cellStyle name="输入 4 90 6" xfId="59797"/>
    <cellStyle name="输入 4 90 7" xfId="59798"/>
    <cellStyle name="输入 4 90 8" xfId="59799"/>
    <cellStyle name="输入 4 90 9" xfId="59800"/>
    <cellStyle name="输入 4 91" xfId="10477"/>
    <cellStyle name="输入 4 91 10" xfId="59801"/>
    <cellStyle name="输入 4 91 11" xfId="59802"/>
    <cellStyle name="输入 4 91 12" xfId="59803"/>
    <cellStyle name="输入 4 91 2" xfId="10478"/>
    <cellStyle name="输入 4 91 2 2" xfId="59804"/>
    <cellStyle name="输入 4 91 3" xfId="59805"/>
    <cellStyle name="输入 4 91 4" xfId="59806"/>
    <cellStyle name="输入 4 91 5" xfId="59807"/>
    <cellStyle name="输入 4 91 6" xfId="59808"/>
    <cellStyle name="输入 4 91 7" xfId="59809"/>
    <cellStyle name="输入 4 91 8" xfId="59810"/>
    <cellStyle name="输入 4 91 9" xfId="59811"/>
    <cellStyle name="输入 4 92" xfId="10479"/>
    <cellStyle name="输入 4 92 10" xfId="59812"/>
    <cellStyle name="输入 4 92 11" xfId="59813"/>
    <cellStyle name="输入 4 92 12" xfId="59814"/>
    <cellStyle name="输入 4 92 2" xfId="10480"/>
    <cellStyle name="输入 4 92 2 2" xfId="59815"/>
    <cellStyle name="输入 4 92 3" xfId="59816"/>
    <cellStyle name="输入 4 92 4" xfId="59817"/>
    <cellStyle name="输入 4 92 5" xfId="59818"/>
    <cellStyle name="输入 4 92 6" xfId="59819"/>
    <cellStyle name="输入 4 92 7" xfId="59820"/>
    <cellStyle name="输入 4 92 8" xfId="59821"/>
    <cellStyle name="输入 4 92 9" xfId="59822"/>
    <cellStyle name="输入 4 93" xfId="10481"/>
    <cellStyle name="输入 4 93 10" xfId="59823"/>
    <cellStyle name="输入 4 93 11" xfId="59824"/>
    <cellStyle name="输入 4 93 2" xfId="10482"/>
    <cellStyle name="输入 4 93 2 2" xfId="59825"/>
    <cellStyle name="输入 4 93 3" xfId="59826"/>
    <cellStyle name="输入 4 93 4" xfId="59827"/>
    <cellStyle name="输入 4 93 5" xfId="59828"/>
    <cellStyle name="输入 4 93 6" xfId="59829"/>
    <cellStyle name="输入 4 93 7" xfId="59830"/>
    <cellStyle name="输入 4 93 8" xfId="59831"/>
    <cellStyle name="输入 4 93 9" xfId="59832"/>
    <cellStyle name="输入 4 94" xfId="10483"/>
    <cellStyle name="输入 4 94 2" xfId="59833"/>
    <cellStyle name="输入 4 95" xfId="11774"/>
    <cellStyle name="输入 4_YL Capex Cashflow &amp; Dep" xfId="13943"/>
    <cellStyle name="输入 40" xfId="10484"/>
    <cellStyle name="输入 40 10" xfId="59834"/>
    <cellStyle name="输入 40 11" xfId="59835"/>
    <cellStyle name="输入 40 12" xfId="59836"/>
    <cellStyle name="输入 40 2" xfId="10485"/>
    <cellStyle name="输入 40 2 2" xfId="59837"/>
    <cellStyle name="输入 40 3" xfId="59838"/>
    <cellStyle name="输入 40 4" xfId="59839"/>
    <cellStyle name="输入 40 5" xfId="59840"/>
    <cellStyle name="输入 40 6" xfId="59841"/>
    <cellStyle name="输入 40 7" xfId="59842"/>
    <cellStyle name="输入 40 8" xfId="59843"/>
    <cellStyle name="输入 40 9" xfId="59844"/>
    <cellStyle name="输入 41" xfId="10486"/>
    <cellStyle name="输入 41 10" xfId="59845"/>
    <cellStyle name="输入 41 11" xfId="59846"/>
    <cellStyle name="输入 41 12" xfId="59847"/>
    <cellStyle name="输入 41 2" xfId="10487"/>
    <cellStyle name="输入 41 2 2" xfId="59848"/>
    <cellStyle name="输入 41 3" xfId="59849"/>
    <cellStyle name="输入 41 4" xfId="59850"/>
    <cellStyle name="输入 41 5" xfId="59851"/>
    <cellStyle name="输入 41 6" xfId="59852"/>
    <cellStyle name="输入 41 7" xfId="59853"/>
    <cellStyle name="输入 41 8" xfId="59854"/>
    <cellStyle name="输入 41 9" xfId="59855"/>
    <cellStyle name="输入 42" xfId="10488"/>
    <cellStyle name="输入 42 10" xfId="59856"/>
    <cellStyle name="输入 42 11" xfId="59857"/>
    <cellStyle name="输入 42 12" xfId="59858"/>
    <cellStyle name="输入 42 2" xfId="10489"/>
    <cellStyle name="输入 42 2 2" xfId="59859"/>
    <cellStyle name="输入 42 3" xfId="59860"/>
    <cellStyle name="输入 42 4" xfId="59861"/>
    <cellStyle name="输入 42 5" xfId="59862"/>
    <cellStyle name="输入 42 6" xfId="59863"/>
    <cellStyle name="输入 42 7" xfId="59864"/>
    <cellStyle name="输入 42 8" xfId="59865"/>
    <cellStyle name="输入 42 9" xfId="59866"/>
    <cellStyle name="输入 43" xfId="10490"/>
    <cellStyle name="输入 43 10" xfId="59867"/>
    <cellStyle name="输入 43 11" xfId="59868"/>
    <cellStyle name="输入 43 12" xfId="59869"/>
    <cellStyle name="输入 43 2" xfId="10491"/>
    <cellStyle name="输入 43 2 2" xfId="59870"/>
    <cellStyle name="输入 43 3" xfId="59871"/>
    <cellStyle name="输入 43 4" xfId="59872"/>
    <cellStyle name="输入 43 5" xfId="59873"/>
    <cellStyle name="输入 43 6" xfId="59874"/>
    <cellStyle name="输入 43 7" xfId="59875"/>
    <cellStyle name="输入 43 8" xfId="59876"/>
    <cellStyle name="输入 43 9" xfId="59877"/>
    <cellStyle name="输入 44" xfId="10492"/>
    <cellStyle name="输入 44 10" xfId="59878"/>
    <cellStyle name="输入 44 11" xfId="59879"/>
    <cellStyle name="输入 44 12" xfId="59880"/>
    <cellStyle name="输入 44 2" xfId="10493"/>
    <cellStyle name="输入 44 2 2" xfId="59881"/>
    <cellStyle name="输入 44 3" xfId="59882"/>
    <cellStyle name="输入 44 4" xfId="59883"/>
    <cellStyle name="输入 44 5" xfId="59884"/>
    <cellStyle name="输入 44 6" xfId="59885"/>
    <cellStyle name="输入 44 7" xfId="59886"/>
    <cellStyle name="输入 44 8" xfId="59887"/>
    <cellStyle name="输入 44 9" xfId="59888"/>
    <cellStyle name="输入 45" xfId="10494"/>
    <cellStyle name="输入 45 10" xfId="59889"/>
    <cellStyle name="输入 45 11" xfId="59890"/>
    <cellStyle name="输入 45 12" xfId="59891"/>
    <cellStyle name="输入 45 2" xfId="10495"/>
    <cellStyle name="输入 45 2 2" xfId="59892"/>
    <cellStyle name="输入 45 3" xfId="59893"/>
    <cellStyle name="输入 45 4" xfId="59894"/>
    <cellStyle name="输入 45 5" xfId="59895"/>
    <cellStyle name="输入 45 6" xfId="59896"/>
    <cellStyle name="输入 45 7" xfId="59897"/>
    <cellStyle name="输入 45 8" xfId="59898"/>
    <cellStyle name="输入 45 9" xfId="59899"/>
    <cellStyle name="输入 46" xfId="10496"/>
    <cellStyle name="输入 46 10" xfId="59900"/>
    <cellStyle name="输入 46 11" xfId="59901"/>
    <cellStyle name="输入 46 12" xfId="59902"/>
    <cellStyle name="输入 46 2" xfId="10497"/>
    <cellStyle name="输入 46 2 2" xfId="59903"/>
    <cellStyle name="输入 46 3" xfId="59904"/>
    <cellStyle name="输入 46 4" xfId="59905"/>
    <cellStyle name="输入 46 5" xfId="59906"/>
    <cellStyle name="输入 46 6" xfId="59907"/>
    <cellStyle name="输入 46 7" xfId="59908"/>
    <cellStyle name="输入 46 8" xfId="59909"/>
    <cellStyle name="输入 46 9" xfId="59910"/>
    <cellStyle name="输入 47" xfId="10498"/>
    <cellStyle name="输入 47 10" xfId="59911"/>
    <cellStyle name="输入 47 11" xfId="59912"/>
    <cellStyle name="输入 47 12" xfId="59913"/>
    <cellStyle name="输入 47 2" xfId="10499"/>
    <cellStyle name="输入 47 2 2" xfId="59914"/>
    <cellStyle name="输入 47 3" xfId="59915"/>
    <cellStyle name="输入 47 4" xfId="59916"/>
    <cellStyle name="输入 47 5" xfId="59917"/>
    <cellStyle name="输入 47 6" xfId="59918"/>
    <cellStyle name="输入 47 7" xfId="59919"/>
    <cellStyle name="输入 47 8" xfId="59920"/>
    <cellStyle name="输入 47 9" xfId="59921"/>
    <cellStyle name="输入 48" xfId="10500"/>
    <cellStyle name="输入 48 10" xfId="59922"/>
    <cellStyle name="输入 48 11" xfId="59923"/>
    <cellStyle name="输入 48 12" xfId="59924"/>
    <cellStyle name="输入 48 2" xfId="10501"/>
    <cellStyle name="输入 48 2 2" xfId="59925"/>
    <cellStyle name="输入 48 3" xfId="59926"/>
    <cellStyle name="输入 48 4" xfId="59927"/>
    <cellStyle name="输入 48 5" xfId="59928"/>
    <cellStyle name="输入 48 6" xfId="59929"/>
    <cellStyle name="输入 48 7" xfId="59930"/>
    <cellStyle name="输入 48 8" xfId="59931"/>
    <cellStyle name="输入 48 9" xfId="59932"/>
    <cellStyle name="输入 49" xfId="10502"/>
    <cellStyle name="输入 49 10" xfId="59933"/>
    <cellStyle name="输入 49 11" xfId="59934"/>
    <cellStyle name="输入 49 12" xfId="59935"/>
    <cellStyle name="输入 49 2" xfId="10503"/>
    <cellStyle name="输入 49 2 2" xfId="59936"/>
    <cellStyle name="输入 49 3" xfId="59937"/>
    <cellStyle name="输入 49 4" xfId="59938"/>
    <cellStyle name="输入 49 5" xfId="59939"/>
    <cellStyle name="输入 49 6" xfId="59940"/>
    <cellStyle name="输入 49 7" xfId="59941"/>
    <cellStyle name="输入 49 8" xfId="59942"/>
    <cellStyle name="输入 49 9" xfId="59943"/>
    <cellStyle name="输入 5" xfId="3307"/>
    <cellStyle name="输入 5 10" xfId="10504"/>
    <cellStyle name="输入 5 10 10" xfId="59944"/>
    <cellStyle name="输入 5 10 11" xfId="59945"/>
    <cellStyle name="输入 5 10 2" xfId="10505"/>
    <cellStyle name="输入 5 10 2 2" xfId="59946"/>
    <cellStyle name="输入 5 10 3" xfId="59947"/>
    <cellStyle name="输入 5 10 4" xfId="59948"/>
    <cellStyle name="输入 5 10 5" xfId="59949"/>
    <cellStyle name="输入 5 10 6" xfId="59950"/>
    <cellStyle name="输入 5 10 7" xfId="59951"/>
    <cellStyle name="输入 5 10 8" xfId="59952"/>
    <cellStyle name="输入 5 10 9" xfId="59953"/>
    <cellStyle name="输入 5 11" xfId="10506"/>
    <cellStyle name="输入 5 11 10" xfId="59954"/>
    <cellStyle name="输入 5 11 11" xfId="59955"/>
    <cellStyle name="输入 5 11 2" xfId="10507"/>
    <cellStyle name="输入 5 11 2 2" xfId="59956"/>
    <cellStyle name="输入 5 11 3" xfId="59957"/>
    <cellStyle name="输入 5 11 4" xfId="59958"/>
    <cellStyle name="输入 5 11 5" xfId="59959"/>
    <cellStyle name="输入 5 11 6" xfId="59960"/>
    <cellStyle name="输入 5 11 7" xfId="59961"/>
    <cellStyle name="输入 5 11 8" xfId="59962"/>
    <cellStyle name="输入 5 11 9" xfId="59963"/>
    <cellStyle name="输入 5 12" xfId="10508"/>
    <cellStyle name="输入 5 12 10" xfId="59964"/>
    <cellStyle name="输入 5 12 2" xfId="10509"/>
    <cellStyle name="输入 5 12 2 2" xfId="59965"/>
    <cellStyle name="输入 5 12 3" xfId="59966"/>
    <cellStyle name="输入 5 12 4" xfId="59967"/>
    <cellStyle name="输入 5 12 5" xfId="59968"/>
    <cellStyle name="输入 5 12 6" xfId="59969"/>
    <cellStyle name="输入 5 12 7" xfId="59970"/>
    <cellStyle name="输入 5 12 8" xfId="59971"/>
    <cellStyle name="输入 5 12 9" xfId="59972"/>
    <cellStyle name="输入 5 13" xfId="10510"/>
    <cellStyle name="输入 5 13 10" xfId="59973"/>
    <cellStyle name="输入 5 13 11" xfId="59974"/>
    <cellStyle name="输入 5 13 2" xfId="10511"/>
    <cellStyle name="输入 5 13 2 2" xfId="59975"/>
    <cellStyle name="输入 5 13 3" xfId="59976"/>
    <cellStyle name="输入 5 13 4" xfId="59977"/>
    <cellStyle name="输入 5 13 5" xfId="59978"/>
    <cellStyle name="输入 5 13 6" xfId="59979"/>
    <cellStyle name="输入 5 13 7" xfId="59980"/>
    <cellStyle name="输入 5 13 8" xfId="59981"/>
    <cellStyle name="输入 5 13 9" xfId="59982"/>
    <cellStyle name="输入 5 14" xfId="10512"/>
    <cellStyle name="输入 5 14 10" xfId="59983"/>
    <cellStyle name="输入 5 14 11" xfId="59984"/>
    <cellStyle name="输入 5 14 2" xfId="10513"/>
    <cellStyle name="输入 5 14 2 2" xfId="59985"/>
    <cellStyle name="输入 5 14 3" xfId="59986"/>
    <cellStyle name="输入 5 14 4" xfId="59987"/>
    <cellStyle name="输入 5 14 5" xfId="59988"/>
    <cellStyle name="输入 5 14 6" xfId="59989"/>
    <cellStyle name="输入 5 14 7" xfId="59990"/>
    <cellStyle name="输入 5 14 8" xfId="59991"/>
    <cellStyle name="输入 5 14 9" xfId="59992"/>
    <cellStyle name="输入 5 15" xfId="10514"/>
    <cellStyle name="输入 5 15 10" xfId="59993"/>
    <cellStyle name="输入 5 15 11" xfId="59994"/>
    <cellStyle name="输入 5 15 2" xfId="10515"/>
    <cellStyle name="输入 5 15 2 2" xfId="59995"/>
    <cellStyle name="输入 5 15 3" xfId="59996"/>
    <cellStyle name="输入 5 15 4" xfId="59997"/>
    <cellStyle name="输入 5 15 5" xfId="59998"/>
    <cellStyle name="输入 5 15 6" xfId="59999"/>
    <cellStyle name="输入 5 15 7" xfId="60000"/>
    <cellStyle name="输入 5 15 8" xfId="60001"/>
    <cellStyle name="输入 5 15 9" xfId="60002"/>
    <cellStyle name="输入 5 16" xfId="10516"/>
    <cellStyle name="输入 5 16 10" xfId="60003"/>
    <cellStyle name="输入 5 16 11" xfId="60004"/>
    <cellStyle name="输入 5 16 2" xfId="10517"/>
    <cellStyle name="输入 5 16 2 2" xfId="60005"/>
    <cellStyle name="输入 5 16 3" xfId="60006"/>
    <cellStyle name="输入 5 16 4" xfId="60007"/>
    <cellStyle name="输入 5 16 5" xfId="60008"/>
    <cellStyle name="输入 5 16 6" xfId="60009"/>
    <cellStyle name="输入 5 16 7" xfId="60010"/>
    <cellStyle name="输入 5 16 8" xfId="60011"/>
    <cellStyle name="输入 5 16 9" xfId="60012"/>
    <cellStyle name="输入 5 17" xfId="10518"/>
    <cellStyle name="输入 5 17 10" xfId="60013"/>
    <cellStyle name="输入 5 17 11" xfId="60014"/>
    <cellStyle name="输入 5 17 2" xfId="10519"/>
    <cellStyle name="输入 5 17 2 2" xfId="60015"/>
    <cellStyle name="输入 5 17 3" xfId="60016"/>
    <cellStyle name="输入 5 17 4" xfId="60017"/>
    <cellStyle name="输入 5 17 5" xfId="60018"/>
    <cellStyle name="输入 5 17 6" xfId="60019"/>
    <cellStyle name="输入 5 17 7" xfId="60020"/>
    <cellStyle name="输入 5 17 8" xfId="60021"/>
    <cellStyle name="输入 5 17 9" xfId="60022"/>
    <cellStyle name="输入 5 18" xfId="10520"/>
    <cellStyle name="输入 5 18 10" xfId="60023"/>
    <cellStyle name="输入 5 18 11" xfId="60024"/>
    <cellStyle name="输入 5 18 2" xfId="10521"/>
    <cellStyle name="输入 5 18 2 2" xfId="60025"/>
    <cellStyle name="输入 5 18 3" xfId="60026"/>
    <cellStyle name="输入 5 18 4" xfId="60027"/>
    <cellStyle name="输入 5 18 5" xfId="60028"/>
    <cellStyle name="输入 5 18 6" xfId="60029"/>
    <cellStyle name="输入 5 18 7" xfId="60030"/>
    <cellStyle name="输入 5 18 8" xfId="60031"/>
    <cellStyle name="输入 5 18 9" xfId="60032"/>
    <cellStyle name="输入 5 19" xfId="10522"/>
    <cellStyle name="输入 5 19 10" xfId="60033"/>
    <cellStyle name="输入 5 19 11" xfId="60034"/>
    <cellStyle name="输入 5 19 2" xfId="10523"/>
    <cellStyle name="输入 5 19 2 2" xfId="60035"/>
    <cellStyle name="输入 5 19 3" xfId="60036"/>
    <cellStyle name="输入 5 19 4" xfId="60037"/>
    <cellStyle name="输入 5 19 5" xfId="60038"/>
    <cellStyle name="输入 5 19 6" xfId="60039"/>
    <cellStyle name="输入 5 19 7" xfId="60040"/>
    <cellStyle name="输入 5 19 8" xfId="60041"/>
    <cellStyle name="输入 5 19 9" xfId="60042"/>
    <cellStyle name="输入 5 2" xfId="3308"/>
    <cellStyle name="输入 5 2 10" xfId="60043"/>
    <cellStyle name="输入 5 2 11" xfId="60044"/>
    <cellStyle name="输入 5 2 12" xfId="60045"/>
    <cellStyle name="输入 5 2 2" xfId="3309"/>
    <cellStyle name="输入 5 2 2 2" xfId="12859"/>
    <cellStyle name="输入 5 2 2_YL Capex Cashflow &amp; Dep" xfId="13955"/>
    <cellStyle name="输入 5 2 3" xfId="12143"/>
    <cellStyle name="输入 5 2 4" xfId="60046"/>
    <cellStyle name="输入 5 2 5" xfId="60047"/>
    <cellStyle name="输入 5 2 6" xfId="60048"/>
    <cellStyle name="输入 5 2 7" xfId="60049"/>
    <cellStyle name="输入 5 2 8" xfId="60050"/>
    <cellStyle name="输入 5 2 9" xfId="60051"/>
    <cellStyle name="输入 5 2_YL Capex Cashflow &amp; Dep" xfId="13954"/>
    <cellStyle name="输入 5 20" xfId="10524"/>
    <cellStyle name="输入 5 20 10" xfId="60052"/>
    <cellStyle name="输入 5 20 11" xfId="60053"/>
    <cellStyle name="输入 5 20 12" xfId="60054"/>
    <cellStyle name="输入 5 20 2" xfId="10525"/>
    <cellStyle name="输入 5 20 2 2" xfId="60055"/>
    <cellStyle name="输入 5 20 3" xfId="60056"/>
    <cellStyle name="输入 5 20 4" xfId="60057"/>
    <cellStyle name="输入 5 20 5" xfId="60058"/>
    <cellStyle name="输入 5 20 6" xfId="60059"/>
    <cellStyle name="输入 5 20 7" xfId="60060"/>
    <cellStyle name="输入 5 20 8" xfId="60061"/>
    <cellStyle name="输入 5 20 9" xfId="60062"/>
    <cellStyle name="输入 5 21" xfId="10526"/>
    <cellStyle name="输入 5 21 10" xfId="60063"/>
    <cellStyle name="输入 5 21 11" xfId="60064"/>
    <cellStyle name="输入 5 21 12" xfId="60065"/>
    <cellStyle name="输入 5 21 2" xfId="10527"/>
    <cellStyle name="输入 5 21 2 2" xfId="60066"/>
    <cellStyle name="输入 5 21 3" xfId="60067"/>
    <cellStyle name="输入 5 21 4" xfId="60068"/>
    <cellStyle name="输入 5 21 5" xfId="60069"/>
    <cellStyle name="输入 5 21 6" xfId="60070"/>
    <cellStyle name="输入 5 21 7" xfId="60071"/>
    <cellStyle name="输入 5 21 8" xfId="60072"/>
    <cellStyle name="输入 5 21 9" xfId="60073"/>
    <cellStyle name="输入 5 22" xfId="10528"/>
    <cellStyle name="输入 5 22 10" xfId="60074"/>
    <cellStyle name="输入 5 22 11" xfId="60075"/>
    <cellStyle name="输入 5 22 12" xfId="60076"/>
    <cellStyle name="输入 5 22 2" xfId="10529"/>
    <cellStyle name="输入 5 22 2 2" xfId="60077"/>
    <cellStyle name="输入 5 22 3" xfId="60078"/>
    <cellStyle name="输入 5 22 4" xfId="60079"/>
    <cellStyle name="输入 5 22 5" xfId="60080"/>
    <cellStyle name="输入 5 22 6" xfId="60081"/>
    <cellStyle name="输入 5 22 7" xfId="60082"/>
    <cellStyle name="输入 5 22 8" xfId="60083"/>
    <cellStyle name="输入 5 22 9" xfId="60084"/>
    <cellStyle name="输入 5 23" xfId="10530"/>
    <cellStyle name="输入 5 23 10" xfId="60085"/>
    <cellStyle name="输入 5 23 11" xfId="60086"/>
    <cellStyle name="输入 5 23 12" xfId="60087"/>
    <cellStyle name="输入 5 23 2" xfId="10531"/>
    <cellStyle name="输入 5 23 2 2" xfId="60088"/>
    <cellStyle name="输入 5 23 3" xfId="60089"/>
    <cellStyle name="输入 5 23 4" xfId="60090"/>
    <cellStyle name="输入 5 23 5" xfId="60091"/>
    <cellStyle name="输入 5 23 6" xfId="60092"/>
    <cellStyle name="输入 5 23 7" xfId="60093"/>
    <cellStyle name="输入 5 23 8" xfId="60094"/>
    <cellStyle name="输入 5 23 9" xfId="60095"/>
    <cellStyle name="输入 5 24" xfId="10532"/>
    <cellStyle name="输入 5 24 10" xfId="60096"/>
    <cellStyle name="输入 5 24 11" xfId="60097"/>
    <cellStyle name="输入 5 24 12" xfId="60098"/>
    <cellStyle name="输入 5 24 2" xfId="10533"/>
    <cellStyle name="输入 5 24 2 2" xfId="60099"/>
    <cellStyle name="输入 5 24 3" xfId="60100"/>
    <cellStyle name="输入 5 24 4" xfId="60101"/>
    <cellStyle name="输入 5 24 5" xfId="60102"/>
    <cellStyle name="输入 5 24 6" xfId="60103"/>
    <cellStyle name="输入 5 24 7" xfId="60104"/>
    <cellStyle name="输入 5 24 8" xfId="60105"/>
    <cellStyle name="输入 5 24 9" xfId="60106"/>
    <cellStyle name="输入 5 25" xfId="10534"/>
    <cellStyle name="输入 5 25 10" xfId="60107"/>
    <cellStyle name="输入 5 25 11" xfId="60108"/>
    <cellStyle name="输入 5 25 12" xfId="60109"/>
    <cellStyle name="输入 5 25 2" xfId="10535"/>
    <cellStyle name="输入 5 25 2 2" xfId="60110"/>
    <cellStyle name="输入 5 25 3" xfId="60111"/>
    <cellStyle name="输入 5 25 4" xfId="60112"/>
    <cellStyle name="输入 5 25 5" xfId="60113"/>
    <cellStyle name="输入 5 25 6" xfId="60114"/>
    <cellStyle name="输入 5 25 7" xfId="60115"/>
    <cellStyle name="输入 5 25 8" xfId="60116"/>
    <cellStyle name="输入 5 25 9" xfId="60117"/>
    <cellStyle name="输入 5 26" xfId="10536"/>
    <cellStyle name="输入 5 26 10" xfId="60118"/>
    <cellStyle name="输入 5 26 11" xfId="60119"/>
    <cellStyle name="输入 5 26 12" xfId="60120"/>
    <cellStyle name="输入 5 26 2" xfId="10537"/>
    <cellStyle name="输入 5 26 2 2" xfId="60121"/>
    <cellStyle name="输入 5 26 3" xfId="60122"/>
    <cellStyle name="输入 5 26 4" xfId="60123"/>
    <cellStyle name="输入 5 26 5" xfId="60124"/>
    <cellStyle name="输入 5 26 6" xfId="60125"/>
    <cellStyle name="输入 5 26 7" xfId="60126"/>
    <cellStyle name="输入 5 26 8" xfId="60127"/>
    <cellStyle name="输入 5 26 9" xfId="60128"/>
    <cellStyle name="输入 5 27" xfId="10538"/>
    <cellStyle name="输入 5 27 10" xfId="60129"/>
    <cellStyle name="输入 5 27 11" xfId="60130"/>
    <cellStyle name="输入 5 27 12" xfId="60131"/>
    <cellStyle name="输入 5 27 2" xfId="10539"/>
    <cellStyle name="输入 5 27 2 2" xfId="60132"/>
    <cellStyle name="输入 5 27 3" xfId="60133"/>
    <cellStyle name="输入 5 27 4" xfId="60134"/>
    <cellStyle name="输入 5 27 5" xfId="60135"/>
    <cellStyle name="输入 5 27 6" xfId="60136"/>
    <cellStyle name="输入 5 27 7" xfId="60137"/>
    <cellStyle name="输入 5 27 8" xfId="60138"/>
    <cellStyle name="输入 5 27 9" xfId="60139"/>
    <cellStyle name="输入 5 28" xfId="10540"/>
    <cellStyle name="输入 5 28 10" xfId="60140"/>
    <cellStyle name="输入 5 28 11" xfId="60141"/>
    <cellStyle name="输入 5 28 12" xfId="60142"/>
    <cellStyle name="输入 5 28 2" xfId="10541"/>
    <cellStyle name="输入 5 28 2 2" xfId="60143"/>
    <cellStyle name="输入 5 28 3" xfId="60144"/>
    <cellStyle name="输入 5 28 4" xfId="60145"/>
    <cellStyle name="输入 5 28 5" xfId="60146"/>
    <cellStyle name="输入 5 28 6" xfId="60147"/>
    <cellStyle name="输入 5 28 7" xfId="60148"/>
    <cellStyle name="输入 5 28 8" xfId="60149"/>
    <cellStyle name="输入 5 28 9" xfId="60150"/>
    <cellStyle name="输入 5 29" xfId="10542"/>
    <cellStyle name="输入 5 29 10" xfId="60151"/>
    <cellStyle name="输入 5 29 11" xfId="60152"/>
    <cellStyle name="输入 5 29 12" xfId="60153"/>
    <cellStyle name="输入 5 29 2" xfId="10543"/>
    <cellStyle name="输入 5 29 2 2" xfId="60154"/>
    <cellStyle name="输入 5 29 3" xfId="60155"/>
    <cellStyle name="输入 5 29 4" xfId="60156"/>
    <cellStyle name="输入 5 29 5" xfId="60157"/>
    <cellStyle name="输入 5 29 6" xfId="60158"/>
    <cellStyle name="输入 5 29 7" xfId="60159"/>
    <cellStyle name="输入 5 29 8" xfId="60160"/>
    <cellStyle name="输入 5 29 9" xfId="60161"/>
    <cellStyle name="输入 5 3" xfId="3310"/>
    <cellStyle name="输入 5 3 10" xfId="60162"/>
    <cellStyle name="输入 5 3 11" xfId="60163"/>
    <cellStyle name="输入 5 3 12" xfId="60164"/>
    <cellStyle name="输入 5 3 2" xfId="3311"/>
    <cellStyle name="输入 5 3 2 2" xfId="13106"/>
    <cellStyle name="输入 5 3 2_YL Capex Cashflow &amp; Dep" xfId="13957"/>
    <cellStyle name="输入 5 3 3" xfId="12520"/>
    <cellStyle name="输入 5 3 4" xfId="60165"/>
    <cellStyle name="输入 5 3 5" xfId="60166"/>
    <cellStyle name="输入 5 3 6" xfId="60167"/>
    <cellStyle name="输入 5 3 7" xfId="60168"/>
    <cellStyle name="输入 5 3 8" xfId="60169"/>
    <cellStyle name="输入 5 3 9" xfId="60170"/>
    <cellStyle name="输入 5 3_YL Capex Cashflow &amp; Dep" xfId="13956"/>
    <cellStyle name="输入 5 30" xfId="10544"/>
    <cellStyle name="输入 5 30 10" xfId="60171"/>
    <cellStyle name="输入 5 30 11" xfId="60172"/>
    <cellStyle name="输入 5 30 2" xfId="10545"/>
    <cellStyle name="输入 5 30 2 2" xfId="60173"/>
    <cellStyle name="输入 5 30 3" xfId="60174"/>
    <cellStyle name="输入 5 30 4" xfId="60175"/>
    <cellStyle name="输入 5 30 5" xfId="60176"/>
    <cellStyle name="输入 5 30 6" xfId="60177"/>
    <cellStyle name="输入 5 30 7" xfId="60178"/>
    <cellStyle name="输入 5 30 8" xfId="60179"/>
    <cellStyle name="输入 5 30 9" xfId="60180"/>
    <cellStyle name="输入 5 31" xfId="10546"/>
    <cellStyle name="输入 5 31 10" xfId="60181"/>
    <cellStyle name="输入 5 31 11" xfId="60182"/>
    <cellStyle name="输入 5 31 12" xfId="60183"/>
    <cellStyle name="输入 5 31 2" xfId="10547"/>
    <cellStyle name="输入 5 31 2 2" xfId="60184"/>
    <cellStyle name="输入 5 31 3" xfId="60185"/>
    <cellStyle name="输入 5 31 4" xfId="60186"/>
    <cellStyle name="输入 5 31 5" xfId="60187"/>
    <cellStyle name="输入 5 31 6" xfId="60188"/>
    <cellStyle name="输入 5 31 7" xfId="60189"/>
    <cellStyle name="输入 5 31 8" xfId="60190"/>
    <cellStyle name="输入 5 31 9" xfId="60191"/>
    <cellStyle name="输入 5 32" xfId="10548"/>
    <cellStyle name="输入 5 32 10" xfId="60192"/>
    <cellStyle name="输入 5 32 11" xfId="60193"/>
    <cellStyle name="输入 5 32 12" xfId="60194"/>
    <cellStyle name="输入 5 32 2" xfId="10549"/>
    <cellStyle name="输入 5 32 2 2" xfId="60195"/>
    <cellStyle name="输入 5 32 3" xfId="60196"/>
    <cellStyle name="输入 5 32 4" xfId="60197"/>
    <cellStyle name="输入 5 32 5" xfId="60198"/>
    <cellStyle name="输入 5 32 6" xfId="60199"/>
    <cellStyle name="输入 5 32 7" xfId="60200"/>
    <cellStyle name="输入 5 32 8" xfId="60201"/>
    <cellStyle name="输入 5 32 9" xfId="60202"/>
    <cellStyle name="输入 5 33" xfId="10550"/>
    <cellStyle name="输入 5 33 10" xfId="60203"/>
    <cellStyle name="输入 5 33 11" xfId="60204"/>
    <cellStyle name="输入 5 33 12" xfId="60205"/>
    <cellStyle name="输入 5 33 2" xfId="10551"/>
    <cellStyle name="输入 5 33 2 2" xfId="60206"/>
    <cellStyle name="输入 5 33 3" xfId="60207"/>
    <cellStyle name="输入 5 33 4" xfId="60208"/>
    <cellStyle name="输入 5 33 5" xfId="60209"/>
    <cellStyle name="输入 5 33 6" xfId="60210"/>
    <cellStyle name="输入 5 33 7" xfId="60211"/>
    <cellStyle name="输入 5 33 8" xfId="60212"/>
    <cellStyle name="输入 5 33 9" xfId="60213"/>
    <cellStyle name="输入 5 34" xfId="10552"/>
    <cellStyle name="输入 5 34 10" xfId="60214"/>
    <cellStyle name="输入 5 34 11" xfId="60215"/>
    <cellStyle name="输入 5 34 12" xfId="60216"/>
    <cellStyle name="输入 5 34 2" xfId="10553"/>
    <cellStyle name="输入 5 34 2 2" xfId="60217"/>
    <cellStyle name="输入 5 34 3" xfId="60218"/>
    <cellStyle name="输入 5 34 4" xfId="60219"/>
    <cellStyle name="输入 5 34 5" xfId="60220"/>
    <cellStyle name="输入 5 34 6" xfId="60221"/>
    <cellStyle name="输入 5 34 7" xfId="60222"/>
    <cellStyle name="输入 5 34 8" xfId="60223"/>
    <cellStyle name="输入 5 34 9" xfId="60224"/>
    <cellStyle name="输入 5 35" xfId="10554"/>
    <cellStyle name="输入 5 35 10" xfId="60225"/>
    <cellStyle name="输入 5 35 11" xfId="60226"/>
    <cellStyle name="输入 5 35 2" xfId="10555"/>
    <cellStyle name="输入 5 35 2 2" xfId="60227"/>
    <cellStyle name="输入 5 35 3" xfId="60228"/>
    <cellStyle name="输入 5 35 4" xfId="60229"/>
    <cellStyle name="输入 5 35 5" xfId="60230"/>
    <cellStyle name="输入 5 35 6" xfId="60231"/>
    <cellStyle name="输入 5 35 7" xfId="60232"/>
    <cellStyle name="输入 5 35 8" xfId="60233"/>
    <cellStyle name="输入 5 35 9" xfId="60234"/>
    <cellStyle name="输入 5 36" xfId="10556"/>
    <cellStyle name="输入 5 36 10" xfId="60235"/>
    <cellStyle name="输入 5 36 11" xfId="60236"/>
    <cellStyle name="输入 5 36 12" xfId="60237"/>
    <cellStyle name="输入 5 36 2" xfId="10557"/>
    <cellStyle name="输入 5 36 2 2" xfId="60238"/>
    <cellStyle name="输入 5 36 3" xfId="60239"/>
    <cellStyle name="输入 5 36 4" xfId="60240"/>
    <cellStyle name="输入 5 36 5" xfId="60241"/>
    <cellStyle name="输入 5 36 6" xfId="60242"/>
    <cellStyle name="输入 5 36 7" xfId="60243"/>
    <cellStyle name="输入 5 36 8" xfId="60244"/>
    <cellStyle name="输入 5 36 9" xfId="60245"/>
    <cellStyle name="输入 5 37" xfId="10558"/>
    <cellStyle name="输入 5 37 10" xfId="60246"/>
    <cellStyle name="输入 5 37 11" xfId="60247"/>
    <cellStyle name="输入 5 37 12" xfId="60248"/>
    <cellStyle name="输入 5 37 2" xfId="10559"/>
    <cellStyle name="输入 5 37 2 2" xfId="60249"/>
    <cellStyle name="输入 5 37 3" xfId="60250"/>
    <cellStyle name="输入 5 37 4" xfId="60251"/>
    <cellStyle name="输入 5 37 5" xfId="60252"/>
    <cellStyle name="输入 5 37 6" xfId="60253"/>
    <cellStyle name="输入 5 37 7" xfId="60254"/>
    <cellStyle name="输入 5 37 8" xfId="60255"/>
    <cellStyle name="输入 5 37 9" xfId="60256"/>
    <cellStyle name="输入 5 38" xfId="10560"/>
    <cellStyle name="输入 5 38 10" xfId="60257"/>
    <cellStyle name="输入 5 38 11" xfId="60258"/>
    <cellStyle name="输入 5 38 12" xfId="60259"/>
    <cellStyle name="输入 5 38 2" xfId="10561"/>
    <cellStyle name="输入 5 38 2 2" xfId="60260"/>
    <cellStyle name="输入 5 38 3" xfId="60261"/>
    <cellStyle name="输入 5 38 4" xfId="60262"/>
    <cellStyle name="输入 5 38 5" xfId="60263"/>
    <cellStyle name="输入 5 38 6" xfId="60264"/>
    <cellStyle name="输入 5 38 7" xfId="60265"/>
    <cellStyle name="输入 5 38 8" xfId="60266"/>
    <cellStyle name="输入 5 38 9" xfId="60267"/>
    <cellStyle name="输入 5 39" xfId="10562"/>
    <cellStyle name="输入 5 39 10" xfId="60268"/>
    <cellStyle name="输入 5 39 11" xfId="60269"/>
    <cellStyle name="输入 5 39 12" xfId="60270"/>
    <cellStyle name="输入 5 39 2" xfId="10563"/>
    <cellStyle name="输入 5 39 2 2" xfId="60271"/>
    <cellStyle name="输入 5 39 3" xfId="60272"/>
    <cellStyle name="输入 5 39 4" xfId="60273"/>
    <cellStyle name="输入 5 39 5" xfId="60274"/>
    <cellStyle name="输入 5 39 6" xfId="60275"/>
    <cellStyle name="输入 5 39 7" xfId="60276"/>
    <cellStyle name="输入 5 39 8" xfId="60277"/>
    <cellStyle name="输入 5 39 9" xfId="60278"/>
    <cellStyle name="输入 5 4" xfId="10564"/>
    <cellStyle name="输入 5 4 10" xfId="60279"/>
    <cellStyle name="输入 5 4 11" xfId="60280"/>
    <cellStyle name="输入 5 4 12" xfId="60281"/>
    <cellStyle name="输入 5 4 2" xfId="10565"/>
    <cellStyle name="输入 5 4 2 2" xfId="60282"/>
    <cellStyle name="输入 5 4 3" xfId="60283"/>
    <cellStyle name="输入 5 4 4" xfId="60284"/>
    <cellStyle name="输入 5 4 5" xfId="60285"/>
    <cellStyle name="输入 5 4 6" xfId="60286"/>
    <cellStyle name="输入 5 4 7" xfId="60287"/>
    <cellStyle name="输入 5 4 8" xfId="60288"/>
    <cellStyle name="输入 5 4 9" xfId="60289"/>
    <cellStyle name="输入 5 40" xfId="10566"/>
    <cellStyle name="输入 5 40 10" xfId="60290"/>
    <cellStyle name="输入 5 40 11" xfId="60291"/>
    <cellStyle name="输入 5 40 12" xfId="60292"/>
    <cellStyle name="输入 5 40 2" xfId="10567"/>
    <cellStyle name="输入 5 40 2 2" xfId="60293"/>
    <cellStyle name="输入 5 40 3" xfId="60294"/>
    <cellStyle name="输入 5 40 4" xfId="60295"/>
    <cellStyle name="输入 5 40 5" xfId="60296"/>
    <cellStyle name="输入 5 40 6" xfId="60297"/>
    <cellStyle name="输入 5 40 7" xfId="60298"/>
    <cellStyle name="输入 5 40 8" xfId="60299"/>
    <cellStyle name="输入 5 40 9" xfId="60300"/>
    <cellStyle name="输入 5 41" xfId="10568"/>
    <cellStyle name="输入 5 41 10" xfId="60301"/>
    <cellStyle name="输入 5 41 11" xfId="60302"/>
    <cellStyle name="输入 5 41 12" xfId="60303"/>
    <cellStyle name="输入 5 41 2" xfId="10569"/>
    <cellStyle name="输入 5 41 2 2" xfId="60304"/>
    <cellStyle name="输入 5 41 3" xfId="60305"/>
    <cellStyle name="输入 5 41 4" xfId="60306"/>
    <cellStyle name="输入 5 41 5" xfId="60307"/>
    <cellStyle name="输入 5 41 6" xfId="60308"/>
    <cellStyle name="输入 5 41 7" xfId="60309"/>
    <cellStyle name="输入 5 41 8" xfId="60310"/>
    <cellStyle name="输入 5 41 9" xfId="60311"/>
    <cellStyle name="输入 5 42" xfId="10570"/>
    <cellStyle name="输入 5 42 10" xfId="60312"/>
    <cellStyle name="输入 5 42 11" xfId="60313"/>
    <cellStyle name="输入 5 42 12" xfId="60314"/>
    <cellStyle name="输入 5 42 2" xfId="10571"/>
    <cellStyle name="输入 5 42 2 2" xfId="60315"/>
    <cellStyle name="输入 5 42 3" xfId="60316"/>
    <cellStyle name="输入 5 42 4" xfId="60317"/>
    <cellStyle name="输入 5 42 5" xfId="60318"/>
    <cellStyle name="输入 5 42 6" xfId="60319"/>
    <cellStyle name="输入 5 42 7" xfId="60320"/>
    <cellStyle name="输入 5 42 8" xfId="60321"/>
    <cellStyle name="输入 5 42 9" xfId="60322"/>
    <cellStyle name="输入 5 43" xfId="10572"/>
    <cellStyle name="输入 5 43 10" xfId="60323"/>
    <cellStyle name="输入 5 43 11" xfId="60324"/>
    <cellStyle name="输入 5 43 12" xfId="60325"/>
    <cellStyle name="输入 5 43 2" xfId="10573"/>
    <cellStyle name="输入 5 43 2 2" xfId="60326"/>
    <cellStyle name="输入 5 43 3" xfId="60327"/>
    <cellStyle name="输入 5 43 4" xfId="60328"/>
    <cellStyle name="输入 5 43 5" xfId="60329"/>
    <cellStyle name="输入 5 43 6" xfId="60330"/>
    <cellStyle name="输入 5 43 7" xfId="60331"/>
    <cellStyle name="输入 5 43 8" xfId="60332"/>
    <cellStyle name="输入 5 43 9" xfId="60333"/>
    <cellStyle name="输入 5 44" xfId="10574"/>
    <cellStyle name="输入 5 44 10" xfId="60334"/>
    <cellStyle name="输入 5 44 11" xfId="60335"/>
    <cellStyle name="输入 5 44 12" xfId="60336"/>
    <cellStyle name="输入 5 44 2" xfId="10575"/>
    <cellStyle name="输入 5 44 2 2" xfId="60337"/>
    <cellStyle name="输入 5 44 3" xfId="60338"/>
    <cellStyle name="输入 5 44 4" xfId="60339"/>
    <cellStyle name="输入 5 44 5" xfId="60340"/>
    <cellStyle name="输入 5 44 6" xfId="60341"/>
    <cellStyle name="输入 5 44 7" xfId="60342"/>
    <cellStyle name="输入 5 44 8" xfId="60343"/>
    <cellStyle name="输入 5 44 9" xfId="60344"/>
    <cellStyle name="输入 5 45" xfId="10576"/>
    <cellStyle name="输入 5 45 10" xfId="60345"/>
    <cellStyle name="输入 5 45 11" xfId="60346"/>
    <cellStyle name="输入 5 45 12" xfId="60347"/>
    <cellStyle name="输入 5 45 2" xfId="10577"/>
    <cellStyle name="输入 5 45 2 2" xfId="60348"/>
    <cellStyle name="输入 5 45 3" xfId="60349"/>
    <cellStyle name="输入 5 45 4" xfId="60350"/>
    <cellStyle name="输入 5 45 5" xfId="60351"/>
    <cellStyle name="输入 5 45 6" xfId="60352"/>
    <cellStyle name="输入 5 45 7" xfId="60353"/>
    <cellStyle name="输入 5 45 8" xfId="60354"/>
    <cellStyle name="输入 5 45 9" xfId="60355"/>
    <cellStyle name="输入 5 46" xfId="10578"/>
    <cellStyle name="输入 5 46 10" xfId="60356"/>
    <cellStyle name="输入 5 46 11" xfId="60357"/>
    <cellStyle name="输入 5 46 12" xfId="60358"/>
    <cellStyle name="输入 5 46 2" xfId="10579"/>
    <cellStyle name="输入 5 46 2 2" xfId="60359"/>
    <cellStyle name="输入 5 46 3" xfId="60360"/>
    <cellStyle name="输入 5 46 4" xfId="60361"/>
    <cellStyle name="输入 5 46 5" xfId="60362"/>
    <cellStyle name="输入 5 46 6" xfId="60363"/>
    <cellStyle name="输入 5 46 7" xfId="60364"/>
    <cellStyle name="输入 5 46 8" xfId="60365"/>
    <cellStyle name="输入 5 46 9" xfId="60366"/>
    <cellStyle name="输入 5 47" xfId="10580"/>
    <cellStyle name="输入 5 47 10" xfId="60367"/>
    <cellStyle name="输入 5 47 11" xfId="60368"/>
    <cellStyle name="输入 5 47 12" xfId="60369"/>
    <cellStyle name="输入 5 47 2" xfId="10581"/>
    <cellStyle name="输入 5 47 2 2" xfId="60370"/>
    <cellStyle name="输入 5 47 3" xfId="60371"/>
    <cellStyle name="输入 5 47 4" xfId="60372"/>
    <cellStyle name="输入 5 47 5" xfId="60373"/>
    <cellStyle name="输入 5 47 6" xfId="60374"/>
    <cellStyle name="输入 5 47 7" xfId="60375"/>
    <cellStyle name="输入 5 47 8" xfId="60376"/>
    <cellStyle name="输入 5 47 9" xfId="60377"/>
    <cellStyle name="输入 5 48" xfId="10582"/>
    <cellStyle name="输入 5 48 10" xfId="60378"/>
    <cellStyle name="输入 5 48 11" xfId="60379"/>
    <cellStyle name="输入 5 48 12" xfId="60380"/>
    <cellStyle name="输入 5 48 2" xfId="10583"/>
    <cellStyle name="输入 5 48 2 2" xfId="60381"/>
    <cellStyle name="输入 5 48 3" xfId="60382"/>
    <cellStyle name="输入 5 48 4" xfId="60383"/>
    <cellStyle name="输入 5 48 5" xfId="60384"/>
    <cellStyle name="输入 5 48 6" xfId="60385"/>
    <cellStyle name="输入 5 48 7" xfId="60386"/>
    <cellStyle name="输入 5 48 8" xfId="60387"/>
    <cellStyle name="输入 5 48 9" xfId="60388"/>
    <cellStyle name="输入 5 49" xfId="10584"/>
    <cellStyle name="输入 5 49 10" xfId="60389"/>
    <cellStyle name="输入 5 49 11" xfId="60390"/>
    <cellStyle name="输入 5 49 12" xfId="60391"/>
    <cellStyle name="输入 5 49 2" xfId="10585"/>
    <cellStyle name="输入 5 49 2 2" xfId="60392"/>
    <cellStyle name="输入 5 49 3" xfId="60393"/>
    <cellStyle name="输入 5 49 4" xfId="60394"/>
    <cellStyle name="输入 5 49 5" xfId="60395"/>
    <cellStyle name="输入 5 49 6" xfId="60396"/>
    <cellStyle name="输入 5 49 7" xfId="60397"/>
    <cellStyle name="输入 5 49 8" xfId="60398"/>
    <cellStyle name="输入 5 49 9" xfId="60399"/>
    <cellStyle name="输入 5 5" xfId="10586"/>
    <cellStyle name="输入 5 5 10" xfId="60400"/>
    <cellStyle name="输入 5 5 11" xfId="60401"/>
    <cellStyle name="输入 5 5 2" xfId="10587"/>
    <cellStyle name="输入 5 5 2 2" xfId="60402"/>
    <cellStyle name="输入 5 5 3" xfId="60403"/>
    <cellStyle name="输入 5 5 4" xfId="60404"/>
    <cellStyle name="输入 5 5 5" xfId="60405"/>
    <cellStyle name="输入 5 5 6" xfId="60406"/>
    <cellStyle name="输入 5 5 7" xfId="60407"/>
    <cellStyle name="输入 5 5 8" xfId="60408"/>
    <cellStyle name="输入 5 5 9" xfId="60409"/>
    <cellStyle name="输入 5 50" xfId="10588"/>
    <cellStyle name="输入 5 50 10" xfId="60410"/>
    <cellStyle name="输入 5 50 11" xfId="60411"/>
    <cellStyle name="输入 5 50 12" xfId="60412"/>
    <cellStyle name="输入 5 50 2" xfId="10589"/>
    <cellStyle name="输入 5 50 2 2" xfId="60413"/>
    <cellStyle name="输入 5 50 3" xfId="60414"/>
    <cellStyle name="输入 5 50 4" xfId="60415"/>
    <cellStyle name="输入 5 50 5" xfId="60416"/>
    <cellStyle name="输入 5 50 6" xfId="60417"/>
    <cellStyle name="输入 5 50 7" xfId="60418"/>
    <cellStyle name="输入 5 50 8" xfId="60419"/>
    <cellStyle name="输入 5 50 9" xfId="60420"/>
    <cellStyle name="输入 5 51" xfId="10590"/>
    <cellStyle name="输入 5 51 10" xfId="60421"/>
    <cellStyle name="输入 5 51 11" xfId="60422"/>
    <cellStyle name="输入 5 51 12" xfId="60423"/>
    <cellStyle name="输入 5 51 2" xfId="10591"/>
    <cellStyle name="输入 5 51 2 2" xfId="60424"/>
    <cellStyle name="输入 5 51 3" xfId="60425"/>
    <cellStyle name="输入 5 51 4" xfId="60426"/>
    <cellStyle name="输入 5 51 5" xfId="60427"/>
    <cellStyle name="输入 5 51 6" xfId="60428"/>
    <cellStyle name="输入 5 51 7" xfId="60429"/>
    <cellStyle name="输入 5 51 8" xfId="60430"/>
    <cellStyle name="输入 5 51 9" xfId="60431"/>
    <cellStyle name="输入 5 52" xfId="10592"/>
    <cellStyle name="输入 5 52 10" xfId="60432"/>
    <cellStyle name="输入 5 52 11" xfId="60433"/>
    <cellStyle name="输入 5 52 12" xfId="60434"/>
    <cellStyle name="输入 5 52 2" xfId="10593"/>
    <cellStyle name="输入 5 52 2 2" xfId="60435"/>
    <cellStyle name="输入 5 52 3" xfId="60436"/>
    <cellStyle name="输入 5 52 4" xfId="60437"/>
    <cellStyle name="输入 5 52 5" xfId="60438"/>
    <cellStyle name="输入 5 52 6" xfId="60439"/>
    <cellStyle name="输入 5 52 7" xfId="60440"/>
    <cellStyle name="输入 5 52 8" xfId="60441"/>
    <cellStyle name="输入 5 52 9" xfId="60442"/>
    <cellStyle name="输入 5 53" xfId="10594"/>
    <cellStyle name="输入 5 53 10" xfId="60443"/>
    <cellStyle name="输入 5 53 11" xfId="60444"/>
    <cellStyle name="输入 5 53 12" xfId="60445"/>
    <cellStyle name="输入 5 53 2" xfId="10595"/>
    <cellStyle name="输入 5 53 2 2" xfId="60446"/>
    <cellStyle name="输入 5 53 3" xfId="60447"/>
    <cellStyle name="输入 5 53 4" xfId="60448"/>
    <cellStyle name="输入 5 53 5" xfId="60449"/>
    <cellStyle name="输入 5 53 6" xfId="60450"/>
    <cellStyle name="输入 5 53 7" xfId="60451"/>
    <cellStyle name="输入 5 53 8" xfId="60452"/>
    <cellStyle name="输入 5 53 9" xfId="60453"/>
    <cellStyle name="输入 5 54" xfId="10596"/>
    <cellStyle name="输入 5 54 10" xfId="60454"/>
    <cellStyle name="输入 5 54 11" xfId="60455"/>
    <cellStyle name="输入 5 54 2" xfId="10597"/>
    <cellStyle name="输入 5 54 2 2" xfId="60456"/>
    <cellStyle name="输入 5 54 3" xfId="60457"/>
    <cellStyle name="输入 5 54 4" xfId="60458"/>
    <cellStyle name="输入 5 54 5" xfId="60459"/>
    <cellStyle name="输入 5 54 6" xfId="60460"/>
    <cellStyle name="输入 5 54 7" xfId="60461"/>
    <cellStyle name="输入 5 54 8" xfId="60462"/>
    <cellStyle name="输入 5 54 9" xfId="60463"/>
    <cellStyle name="输入 5 55" xfId="10598"/>
    <cellStyle name="输入 5 55 10" xfId="60464"/>
    <cellStyle name="输入 5 55 11" xfId="60465"/>
    <cellStyle name="输入 5 55 12" xfId="60466"/>
    <cellStyle name="输入 5 55 2" xfId="10599"/>
    <cellStyle name="输入 5 55 2 2" xfId="60467"/>
    <cellStyle name="输入 5 55 3" xfId="60468"/>
    <cellStyle name="输入 5 55 4" xfId="60469"/>
    <cellStyle name="输入 5 55 5" xfId="60470"/>
    <cellStyle name="输入 5 55 6" xfId="60471"/>
    <cellStyle name="输入 5 55 7" xfId="60472"/>
    <cellStyle name="输入 5 55 8" xfId="60473"/>
    <cellStyle name="输入 5 55 9" xfId="60474"/>
    <cellStyle name="输入 5 56" xfId="10600"/>
    <cellStyle name="输入 5 56 10" xfId="60475"/>
    <cellStyle name="输入 5 56 11" xfId="60476"/>
    <cellStyle name="输入 5 56 12" xfId="60477"/>
    <cellStyle name="输入 5 56 2" xfId="10601"/>
    <cellStyle name="输入 5 56 2 2" xfId="60478"/>
    <cellStyle name="输入 5 56 3" xfId="60479"/>
    <cellStyle name="输入 5 56 4" xfId="60480"/>
    <cellStyle name="输入 5 56 5" xfId="60481"/>
    <cellStyle name="输入 5 56 6" xfId="60482"/>
    <cellStyle name="输入 5 56 7" xfId="60483"/>
    <cellStyle name="输入 5 56 8" xfId="60484"/>
    <cellStyle name="输入 5 56 9" xfId="60485"/>
    <cellStyle name="输入 5 57" xfId="10602"/>
    <cellStyle name="输入 5 57 10" xfId="60486"/>
    <cellStyle name="输入 5 57 11" xfId="60487"/>
    <cellStyle name="输入 5 57 12" xfId="60488"/>
    <cellStyle name="输入 5 57 2" xfId="10603"/>
    <cellStyle name="输入 5 57 2 2" xfId="60489"/>
    <cellStyle name="输入 5 57 3" xfId="60490"/>
    <cellStyle name="输入 5 57 4" xfId="60491"/>
    <cellStyle name="输入 5 57 5" xfId="60492"/>
    <cellStyle name="输入 5 57 6" xfId="60493"/>
    <cellStyle name="输入 5 57 7" xfId="60494"/>
    <cellStyle name="输入 5 57 8" xfId="60495"/>
    <cellStyle name="输入 5 57 9" xfId="60496"/>
    <cellStyle name="输入 5 58" xfId="10604"/>
    <cellStyle name="输入 5 58 10" xfId="60497"/>
    <cellStyle name="输入 5 58 11" xfId="60498"/>
    <cellStyle name="输入 5 58 12" xfId="60499"/>
    <cellStyle name="输入 5 58 2" xfId="10605"/>
    <cellStyle name="输入 5 58 2 2" xfId="60500"/>
    <cellStyle name="输入 5 58 3" xfId="60501"/>
    <cellStyle name="输入 5 58 4" xfId="60502"/>
    <cellStyle name="输入 5 58 5" xfId="60503"/>
    <cellStyle name="输入 5 58 6" xfId="60504"/>
    <cellStyle name="输入 5 58 7" xfId="60505"/>
    <cellStyle name="输入 5 58 8" xfId="60506"/>
    <cellStyle name="输入 5 58 9" xfId="60507"/>
    <cellStyle name="输入 5 59" xfId="10606"/>
    <cellStyle name="输入 5 59 10" xfId="60508"/>
    <cellStyle name="输入 5 59 11" xfId="60509"/>
    <cellStyle name="输入 5 59 2" xfId="10607"/>
    <cellStyle name="输入 5 59 2 2" xfId="60510"/>
    <cellStyle name="输入 5 59 3" xfId="60511"/>
    <cellStyle name="输入 5 59 4" xfId="60512"/>
    <cellStyle name="输入 5 59 5" xfId="60513"/>
    <cellStyle name="输入 5 59 6" xfId="60514"/>
    <cellStyle name="输入 5 59 7" xfId="60515"/>
    <cellStyle name="输入 5 59 8" xfId="60516"/>
    <cellStyle name="输入 5 59 9" xfId="60517"/>
    <cellStyle name="输入 5 6" xfId="10608"/>
    <cellStyle name="输入 5 6 10" xfId="60518"/>
    <cellStyle name="输入 5 6 11" xfId="60519"/>
    <cellStyle name="输入 5 6 2" xfId="10609"/>
    <cellStyle name="输入 5 6 2 2" xfId="60520"/>
    <cellStyle name="输入 5 6 3" xfId="60521"/>
    <cellStyle name="输入 5 6 4" xfId="60522"/>
    <cellStyle name="输入 5 6 5" xfId="60523"/>
    <cellStyle name="输入 5 6 6" xfId="60524"/>
    <cellStyle name="输入 5 6 7" xfId="60525"/>
    <cellStyle name="输入 5 6 8" xfId="60526"/>
    <cellStyle name="输入 5 6 9" xfId="60527"/>
    <cellStyle name="输入 5 60" xfId="10610"/>
    <cellStyle name="输入 5 60 10" xfId="60528"/>
    <cellStyle name="输入 5 60 11" xfId="60529"/>
    <cellStyle name="输入 5 60 12" xfId="60530"/>
    <cellStyle name="输入 5 60 2" xfId="10611"/>
    <cellStyle name="输入 5 60 2 2" xfId="60531"/>
    <cellStyle name="输入 5 60 3" xfId="60532"/>
    <cellStyle name="输入 5 60 4" xfId="60533"/>
    <cellStyle name="输入 5 60 5" xfId="60534"/>
    <cellStyle name="输入 5 60 6" xfId="60535"/>
    <cellStyle name="输入 5 60 7" xfId="60536"/>
    <cellStyle name="输入 5 60 8" xfId="60537"/>
    <cellStyle name="输入 5 60 9" xfId="60538"/>
    <cellStyle name="输入 5 61" xfId="10612"/>
    <cellStyle name="输入 5 61 10" xfId="60539"/>
    <cellStyle name="输入 5 61 11" xfId="60540"/>
    <cellStyle name="输入 5 61 12" xfId="60541"/>
    <cellStyle name="输入 5 61 2" xfId="10613"/>
    <cellStyle name="输入 5 61 2 2" xfId="60542"/>
    <cellStyle name="输入 5 61 3" xfId="60543"/>
    <cellStyle name="输入 5 61 4" xfId="60544"/>
    <cellStyle name="输入 5 61 5" xfId="60545"/>
    <cellStyle name="输入 5 61 6" xfId="60546"/>
    <cellStyle name="输入 5 61 7" xfId="60547"/>
    <cellStyle name="输入 5 61 8" xfId="60548"/>
    <cellStyle name="输入 5 61 9" xfId="60549"/>
    <cellStyle name="输入 5 62" xfId="10614"/>
    <cellStyle name="输入 5 62 10" xfId="60550"/>
    <cellStyle name="输入 5 62 11" xfId="60551"/>
    <cellStyle name="输入 5 62 12" xfId="60552"/>
    <cellStyle name="输入 5 62 2" xfId="10615"/>
    <cellStyle name="输入 5 62 2 2" xfId="60553"/>
    <cellStyle name="输入 5 62 3" xfId="60554"/>
    <cellStyle name="输入 5 62 4" xfId="60555"/>
    <cellStyle name="输入 5 62 5" xfId="60556"/>
    <cellStyle name="输入 5 62 6" xfId="60557"/>
    <cellStyle name="输入 5 62 7" xfId="60558"/>
    <cellStyle name="输入 5 62 8" xfId="60559"/>
    <cellStyle name="输入 5 62 9" xfId="60560"/>
    <cellStyle name="输入 5 63" xfId="10616"/>
    <cellStyle name="输入 5 63 10" xfId="60561"/>
    <cellStyle name="输入 5 63 11" xfId="60562"/>
    <cellStyle name="输入 5 63 12" xfId="60563"/>
    <cellStyle name="输入 5 63 2" xfId="10617"/>
    <cellStyle name="输入 5 63 2 2" xfId="60564"/>
    <cellStyle name="输入 5 63 3" xfId="60565"/>
    <cellStyle name="输入 5 63 4" xfId="60566"/>
    <cellStyle name="输入 5 63 5" xfId="60567"/>
    <cellStyle name="输入 5 63 6" xfId="60568"/>
    <cellStyle name="输入 5 63 7" xfId="60569"/>
    <cellStyle name="输入 5 63 8" xfId="60570"/>
    <cellStyle name="输入 5 63 9" xfId="60571"/>
    <cellStyle name="输入 5 64" xfId="10618"/>
    <cellStyle name="输入 5 64 10" xfId="60572"/>
    <cellStyle name="输入 5 64 11" xfId="60573"/>
    <cellStyle name="输入 5 64 12" xfId="60574"/>
    <cellStyle name="输入 5 64 2" xfId="10619"/>
    <cellStyle name="输入 5 64 2 2" xfId="60575"/>
    <cellStyle name="输入 5 64 3" xfId="60576"/>
    <cellStyle name="输入 5 64 4" xfId="60577"/>
    <cellStyle name="输入 5 64 5" xfId="60578"/>
    <cellStyle name="输入 5 64 6" xfId="60579"/>
    <cellStyle name="输入 5 64 7" xfId="60580"/>
    <cellStyle name="输入 5 64 8" xfId="60581"/>
    <cellStyle name="输入 5 64 9" xfId="60582"/>
    <cellStyle name="输入 5 65" xfId="10620"/>
    <cellStyle name="输入 5 65 10" xfId="60583"/>
    <cellStyle name="输入 5 65 11" xfId="60584"/>
    <cellStyle name="输入 5 65 12" xfId="60585"/>
    <cellStyle name="输入 5 65 2" xfId="10621"/>
    <cellStyle name="输入 5 65 2 2" xfId="60586"/>
    <cellStyle name="输入 5 65 3" xfId="60587"/>
    <cellStyle name="输入 5 65 4" xfId="60588"/>
    <cellStyle name="输入 5 65 5" xfId="60589"/>
    <cellStyle name="输入 5 65 6" xfId="60590"/>
    <cellStyle name="输入 5 65 7" xfId="60591"/>
    <cellStyle name="输入 5 65 8" xfId="60592"/>
    <cellStyle name="输入 5 65 9" xfId="60593"/>
    <cellStyle name="输入 5 66" xfId="10622"/>
    <cellStyle name="输入 5 66 10" xfId="60594"/>
    <cellStyle name="输入 5 66 11" xfId="60595"/>
    <cellStyle name="输入 5 66 12" xfId="60596"/>
    <cellStyle name="输入 5 66 2" xfId="10623"/>
    <cellStyle name="输入 5 66 2 2" xfId="60597"/>
    <cellStyle name="输入 5 66 3" xfId="60598"/>
    <cellStyle name="输入 5 66 4" xfId="60599"/>
    <cellStyle name="输入 5 66 5" xfId="60600"/>
    <cellStyle name="输入 5 66 6" xfId="60601"/>
    <cellStyle name="输入 5 66 7" xfId="60602"/>
    <cellStyle name="输入 5 66 8" xfId="60603"/>
    <cellStyle name="输入 5 66 9" xfId="60604"/>
    <cellStyle name="输入 5 67" xfId="10624"/>
    <cellStyle name="输入 5 67 10" xfId="60605"/>
    <cellStyle name="输入 5 67 11" xfId="60606"/>
    <cellStyle name="输入 5 67 12" xfId="60607"/>
    <cellStyle name="输入 5 67 2" xfId="10625"/>
    <cellStyle name="输入 5 67 2 2" xfId="60608"/>
    <cellStyle name="输入 5 67 3" xfId="60609"/>
    <cellStyle name="输入 5 67 4" xfId="60610"/>
    <cellStyle name="输入 5 67 5" xfId="60611"/>
    <cellStyle name="输入 5 67 6" xfId="60612"/>
    <cellStyle name="输入 5 67 7" xfId="60613"/>
    <cellStyle name="输入 5 67 8" xfId="60614"/>
    <cellStyle name="输入 5 67 9" xfId="60615"/>
    <cellStyle name="输入 5 68" xfId="10626"/>
    <cellStyle name="输入 5 68 10" xfId="60616"/>
    <cellStyle name="输入 5 68 11" xfId="60617"/>
    <cellStyle name="输入 5 68 12" xfId="60618"/>
    <cellStyle name="输入 5 68 2" xfId="10627"/>
    <cellStyle name="输入 5 68 2 2" xfId="60619"/>
    <cellStyle name="输入 5 68 3" xfId="60620"/>
    <cellStyle name="输入 5 68 4" xfId="60621"/>
    <cellStyle name="输入 5 68 5" xfId="60622"/>
    <cellStyle name="输入 5 68 6" xfId="60623"/>
    <cellStyle name="输入 5 68 7" xfId="60624"/>
    <cellStyle name="输入 5 68 8" xfId="60625"/>
    <cellStyle name="输入 5 68 9" xfId="60626"/>
    <cellStyle name="输入 5 69" xfId="10628"/>
    <cellStyle name="输入 5 69 10" xfId="60627"/>
    <cellStyle name="输入 5 69 11" xfId="60628"/>
    <cellStyle name="输入 5 69 12" xfId="60629"/>
    <cellStyle name="输入 5 69 2" xfId="10629"/>
    <cellStyle name="输入 5 69 2 2" xfId="60630"/>
    <cellStyle name="输入 5 69 3" xfId="60631"/>
    <cellStyle name="输入 5 69 4" xfId="60632"/>
    <cellStyle name="输入 5 69 5" xfId="60633"/>
    <cellStyle name="输入 5 69 6" xfId="60634"/>
    <cellStyle name="输入 5 69 7" xfId="60635"/>
    <cellStyle name="输入 5 69 8" xfId="60636"/>
    <cellStyle name="输入 5 69 9" xfId="60637"/>
    <cellStyle name="输入 5 7" xfId="10630"/>
    <cellStyle name="输入 5 7 10" xfId="60638"/>
    <cellStyle name="输入 5 7 11" xfId="60639"/>
    <cellStyle name="输入 5 7 2" xfId="10631"/>
    <cellStyle name="输入 5 7 2 2" xfId="60640"/>
    <cellStyle name="输入 5 7 3" xfId="60641"/>
    <cellStyle name="输入 5 7 4" xfId="60642"/>
    <cellStyle name="输入 5 7 5" xfId="60643"/>
    <cellStyle name="输入 5 7 6" xfId="60644"/>
    <cellStyle name="输入 5 7 7" xfId="60645"/>
    <cellStyle name="输入 5 7 8" xfId="60646"/>
    <cellStyle name="输入 5 7 9" xfId="60647"/>
    <cellStyle name="输入 5 70" xfId="10632"/>
    <cellStyle name="输入 5 70 10" xfId="60648"/>
    <cellStyle name="输入 5 70 11" xfId="60649"/>
    <cellStyle name="输入 5 70 12" xfId="60650"/>
    <cellStyle name="输入 5 70 2" xfId="10633"/>
    <cellStyle name="输入 5 70 2 2" xfId="60651"/>
    <cellStyle name="输入 5 70 3" xfId="60652"/>
    <cellStyle name="输入 5 70 4" xfId="60653"/>
    <cellStyle name="输入 5 70 5" xfId="60654"/>
    <cellStyle name="输入 5 70 6" xfId="60655"/>
    <cellStyle name="输入 5 70 7" xfId="60656"/>
    <cellStyle name="输入 5 70 8" xfId="60657"/>
    <cellStyle name="输入 5 70 9" xfId="60658"/>
    <cellStyle name="输入 5 71" xfId="10634"/>
    <cellStyle name="输入 5 71 10" xfId="60659"/>
    <cellStyle name="输入 5 71 11" xfId="60660"/>
    <cellStyle name="输入 5 71 12" xfId="60661"/>
    <cellStyle name="输入 5 71 2" xfId="10635"/>
    <cellStyle name="输入 5 71 2 2" xfId="60662"/>
    <cellStyle name="输入 5 71 3" xfId="60663"/>
    <cellStyle name="输入 5 71 4" xfId="60664"/>
    <cellStyle name="输入 5 71 5" xfId="60665"/>
    <cellStyle name="输入 5 71 6" xfId="60666"/>
    <cellStyle name="输入 5 71 7" xfId="60667"/>
    <cellStyle name="输入 5 71 8" xfId="60668"/>
    <cellStyle name="输入 5 71 9" xfId="60669"/>
    <cellStyle name="输入 5 72" xfId="10636"/>
    <cellStyle name="输入 5 72 10" xfId="60670"/>
    <cellStyle name="输入 5 72 11" xfId="60671"/>
    <cellStyle name="输入 5 72 12" xfId="60672"/>
    <cellStyle name="输入 5 72 2" xfId="10637"/>
    <cellStyle name="输入 5 72 2 2" xfId="60673"/>
    <cellStyle name="输入 5 72 3" xfId="60674"/>
    <cellStyle name="输入 5 72 4" xfId="60675"/>
    <cellStyle name="输入 5 72 5" xfId="60676"/>
    <cellStyle name="输入 5 72 6" xfId="60677"/>
    <cellStyle name="输入 5 72 7" xfId="60678"/>
    <cellStyle name="输入 5 72 8" xfId="60679"/>
    <cellStyle name="输入 5 72 9" xfId="60680"/>
    <cellStyle name="输入 5 73" xfId="10638"/>
    <cellStyle name="输入 5 73 10" xfId="60681"/>
    <cellStyle name="输入 5 73 11" xfId="60682"/>
    <cellStyle name="输入 5 73 12" xfId="60683"/>
    <cellStyle name="输入 5 73 2" xfId="10639"/>
    <cellStyle name="输入 5 73 2 2" xfId="60684"/>
    <cellStyle name="输入 5 73 3" xfId="60685"/>
    <cellStyle name="输入 5 73 4" xfId="60686"/>
    <cellStyle name="输入 5 73 5" xfId="60687"/>
    <cellStyle name="输入 5 73 6" xfId="60688"/>
    <cellStyle name="输入 5 73 7" xfId="60689"/>
    <cellStyle name="输入 5 73 8" xfId="60690"/>
    <cellStyle name="输入 5 73 9" xfId="60691"/>
    <cellStyle name="输入 5 74" xfId="10640"/>
    <cellStyle name="输入 5 74 10" xfId="60692"/>
    <cellStyle name="输入 5 74 11" xfId="60693"/>
    <cellStyle name="输入 5 74 12" xfId="60694"/>
    <cellStyle name="输入 5 74 2" xfId="10641"/>
    <cellStyle name="输入 5 74 2 2" xfId="60695"/>
    <cellStyle name="输入 5 74 3" xfId="60696"/>
    <cellStyle name="输入 5 74 4" xfId="60697"/>
    <cellStyle name="输入 5 74 5" xfId="60698"/>
    <cellStyle name="输入 5 74 6" xfId="60699"/>
    <cellStyle name="输入 5 74 7" xfId="60700"/>
    <cellStyle name="输入 5 74 8" xfId="60701"/>
    <cellStyle name="输入 5 74 9" xfId="60702"/>
    <cellStyle name="输入 5 75" xfId="10642"/>
    <cellStyle name="输入 5 75 10" xfId="60703"/>
    <cellStyle name="输入 5 75 11" xfId="60704"/>
    <cellStyle name="输入 5 75 12" xfId="60705"/>
    <cellStyle name="输入 5 75 2" xfId="10643"/>
    <cellStyle name="输入 5 75 2 2" xfId="60706"/>
    <cellStyle name="输入 5 75 3" xfId="60707"/>
    <cellStyle name="输入 5 75 4" xfId="60708"/>
    <cellStyle name="输入 5 75 5" xfId="60709"/>
    <cellStyle name="输入 5 75 6" xfId="60710"/>
    <cellStyle name="输入 5 75 7" xfId="60711"/>
    <cellStyle name="输入 5 75 8" xfId="60712"/>
    <cellStyle name="输入 5 75 9" xfId="60713"/>
    <cellStyle name="输入 5 76" xfId="10644"/>
    <cellStyle name="输入 5 76 10" xfId="60714"/>
    <cellStyle name="输入 5 76 11" xfId="60715"/>
    <cellStyle name="输入 5 76 12" xfId="60716"/>
    <cellStyle name="输入 5 76 2" xfId="10645"/>
    <cellStyle name="输入 5 76 2 2" xfId="60717"/>
    <cellStyle name="输入 5 76 3" xfId="60718"/>
    <cellStyle name="输入 5 76 4" xfId="60719"/>
    <cellStyle name="输入 5 76 5" xfId="60720"/>
    <cellStyle name="输入 5 76 6" xfId="60721"/>
    <cellStyle name="输入 5 76 7" xfId="60722"/>
    <cellStyle name="输入 5 76 8" xfId="60723"/>
    <cellStyle name="输入 5 76 9" xfId="60724"/>
    <cellStyle name="输入 5 77" xfId="10646"/>
    <cellStyle name="输入 5 77 10" xfId="60725"/>
    <cellStyle name="输入 5 77 11" xfId="60726"/>
    <cellStyle name="输入 5 77 12" xfId="60727"/>
    <cellStyle name="输入 5 77 2" xfId="10647"/>
    <cellStyle name="输入 5 77 2 2" xfId="60728"/>
    <cellStyle name="输入 5 77 3" xfId="60729"/>
    <cellStyle name="输入 5 77 4" xfId="60730"/>
    <cellStyle name="输入 5 77 5" xfId="60731"/>
    <cellStyle name="输入 5 77 6" xfId="60732"/>
    <cellStyle name="输入 5 77 7" xfId="60733"/>
    <cellStyle name="输入 5 77 8" xfId="60734"/>
    <cellStyle name="输入 5 77 9" xfId="60735"/>
    <cellStyle name="输入 5 78" xfId="10648"/>
    <cellStyle name="输入 5 78 10" xfId="60736"/>
    <cellStyle name="输入 5 78 11" xfId="60737"/>
    <cellStyle name="输入 5 78 12" xfId="60738"/>
    <cellStyle name="输入 5 78 2" xfId="10649"/>
    <cellStyle name="输入 5 78 2 2" xfId="60739"/>
    <cellStyle name="输入 5 78 3" xfId="60740"/>
    <cellStyle name="输入 5 78 4" xfId="60741"/>
    <cellStyle name="输入 5 78 5" xfId="60742"/>
    <cellStyle name="输入 5 78 6" xfId="60743"/>
    <cellStyle name="输入 5 78 7" xfId="60744"/>
    <cellStyle name="输入 5 78 8" xfId="60745"/>
    <cellStyle name="输入 5 78 9" xfId="60746"/>
    <cellStyle name="输入 5 79" xfId="10650"/>
    <cellStyle name="输入 5 79 10" xfId="60747"/>
    <cellStyle name="输入 5 79 11" xfId="60748"/>
    <cellStyle name="输入 5 79 12" xfId="60749"/>
    <cellStyle name="输入 5 79 2" xfId="10651"/>
    <cellStyle name="输入 5 79 2 2" xfId="60750"/>
    <cellStyle name="输入 5 79 3" xfId="60751"/>
    <cellStyle name="输入 5 79 4" xfId="60752"/>
    <cellStyle name="输入 5 79 5" xfId="60753"/>
    <cellStyle name="输入 5 79 6" xfId="60754"/>
    <cellStyle name="输入 5 79 7" xfId="60755"/>
    <cellStyle name="输入 5 79 8" xfId="60756"/>
    <cellStyle name="输入 5 79 9" xfId="60757"/>
    <cellStyle name="输入 5 8" xfId="10652"/>
    <cellStyle name="输入 5 8 10" xfId="60758"/>
    <cellStyle name="输入 5 8 11" xfId="60759"/>
    <cellStyle name="输入 5 8 2" xfId="10653"/>
    <cellStyle name="输入 5 8 2 2" xfId="60760"/>
    <cellStyle name="输入 5 8 3" xfId="60761"/>
    <cellStyle name="输入 5 8 4" xfId="60762"/>
    <cellStyle name="输入 5 8 5" xfId="60763"/>
    <cellStyle name="输入 5 8 6" xfId="60764"/>
    <cellStyle name="输入 5 8 7" xfId="60765"/>
    <cellStyle name="输入 5 8 8" xfId="60766"/>
    <cellStyle name="输入 5 8 9" xfId="60767"/>
    <cellStyle name="输入 5 80" xfId="10654"/>
    <cellStyle name="输入 5 80 10" xfId="60768"/>
    <cellStyle name="输入 5 80 11" xfId="60769"/>
    <cellStyle name="输入 5 80 12" xfId="60770"/>
    <cellStyle name="输入 5 80 2" xfId="10655"/>
    <cellStyle name="输入 5 80 2 2" xfId="60771"/>
    <cellStyle name="输入 5 80 3" xfId="60772"/>
    <cellStyle name="输入 5 80 4" xfId="60773"/>
    <cellStyle name="输入 5 80 5" xfId="60774"/>
    <cellStyle name="输入 5 80 6" xfId="60775"/>
    <cellStyle name="输入 5 80 7" xfId="60776"/>
    <cellStyle name="输入 5 80 8" xfId="60777"/>
    <cellStyle name="输入 5 80 9" xfId="60778"/>
    <cellStyle name="输入 5 81" xfId="10656"/>
    <cellStyle name="输入 5 81 10" xfId="60779"/>
    <cellStyle name="输入 5 81 11" xfId="60780"/>
    <cellStyle name="输入 5 81 12" xfId="60781"/>
    <cellStyle name="输入 5 81 2" xfId="10657"/>
    <cellStyle name="输入 5 81 2 2" xfId="60782"/>
    <cellStyle name="输入 5 81 3" xfId="60783"/>
    <cellStyle name="输入 5 81 4" xfId="60784"/>
    <cellStyle name="输入 5 81 5" xfId="60785"/>
    <cellStyle name="输入 5 81 6" xfId="60786"/>
    <cellStyle name="输入 5 81 7" xfId="60787"/>
    <cellStyle name="输入 5 81 8" xfId="60788"/>
    <cellStyle name="输入 5 81 9" xfId="60789"/>
    <cellStyle name="输入 5 82" xfId="10658"/>
    <cellStyle name="输入 5 82 10" xfId="60790"/>
    <cellStyle name="输入 5 82 11" xfId="60791"/>
    <cellStyle name="输入 5 82 12" xfId="60792"/>
    <cellStyle name="输入 5 82 2" xfId="10659"/>
    <cellStyle name="输入 5 82 2 2" xfId="60793"/>
    <cellStyle name="输入 5 82 3" xfId="60794"/>
    <cellStyle name="输入 5 82 4" xfId="60795"/>
    <cellStyle name="输入 5 82 5" xfId="60796"/>
    <cellStyle name="输入 5 82 6" xfId="60797"/>
    <cellStyle name="输入 5 82 7" xfId="60798"/>
    <cellStyle name="输入 5 82 8" xfId="60799"/>
    <cellStyle name="输入 5 82 9" xfId="60800"/>
    <cellStyle name="输入 5 83" xfId="10660"/>
    <cellStyle name="输入 5 83 10" xfId="60801"/>
    <cellStyle name="输入 5 83 11" xfId="60802"/>
    <cellStyle name="输入 5 83 12" xfId="60803"/>
    <cellStyle name="输入 5 83 2" xfId="10661"/>
    <cellStyle name="输入 5 83 2 2" xfId="60804"/>
    <cellStyle name="输入 5 83 3" xfId="60805"/>
    <cellStyle name="输入 5 83 4" xfId="60806"/>
    <cellStyle name="输入 5 83 5" xfId="60807"/>
    <cellStyle name="输入 5 83 6" xfId="60808"/>
    <cellStyle name="输入 5 83 7" xfId="60809"/>
    <cellStyle name="输入 5 83 8" xfId="60810"/>
    <cellStyle name="输入 5 83 9" xfId="60811"/>
    <cellStyle name="输入 5 84" xfId="10662"/>
    <cellStyle name="输入 5 84 10" xfId="60812"/>
    <cellStyle name="输入 5 84 11" xfId="60813"/>
    <cellStyle name="输入 5 84 12" xfId="60814"/>
    <cellStyle name="输入 5 84 2" xfId="10663"/>
    <cellStyle name="输入 5 84 2 2" xfId="60815"/>
    <cellStyle name="输入 5 84 3" xfId="60816"/>
    <cellStyle name="输入 5 84 4" xfId="60817"/>
    <cellStyle name="输入 5 84 5" xfId="60818"/>
    <cellStyle name="输入 5 84 6" xfId="60819"/>
    <cellStyle name="输入 5 84 7" xfId="60820"/>
    <cellStyle name="输入 5 84 8" xfId="60821"/>
    <cellStyle name="输入 5 84 9" xfId="60822"/>
    <cellStyle name="输入 5 85" xfId="10664"/>
    <cellStyle name="输入 5 85 10" xfId="60823"/>
    <cellStyle name="输入 5 85 11" xfId="60824"/>
    <cellStyle name="输入 5 85 12" xfId="60825"/>
    <cellStyle name="输入 5 85 2" xfId="10665"/>
    <cellStyle name="输入 5 85 2 2" xfId="60826"/>
    <cellStyle name="输入 5 85 3" xfId="60827"/>
    <cellStyle name="输入 5 85 4" xfId="60828"/>
    <cellStyle name="输入 5 85 5" xfId="60829"/>
    <cellStyle name="输入 5 85 6" xfId="60830"/>
    <cellStyle name="输入 5 85 7" xfId="60831"/>
    <cellStyle name="输入 5 85 8" xfId="60832"/>
    <cellStyle name="输入 5 85 9" xfId="60833"/>
    <cellStyle name="输入 5 86" xfId="10666"/>
    <cellStyle name="输入 5 86 10" xfId="60834"/>
    <cellStyle name="输入 5 86 11" xfId="60835"/>
    <cellStyle name="输入 5 86 2" xfId="10667"/>
    <cellStyle name="输入 5 86 2 2" xfId="60836"/>
    <cellStyle name="输入 5 86 3" xfId="60837"/>
    <cellStyle name="输入 5 86 4" xfId="60838"/>
    <cellStyle name="输入 5 86 5" xfId="60839"/>
    <cellStyle name="输入 5 86 6" xfId="60840"/>
    <cellStyle name="输入 5 86 7" xfId="60841"/>
    <cellStyle name="输入 5 86 8" xfId="60842"/>
    <cellStyle name="输入 5 86 9" xfId="60843"/>
    <cellStyle name="输入 5 87" xfId="10668"/>
    <cellStyle name="输入 5 87 10" xfId="60844"/>
    <cellStyle name="输入 5 87 11" xfId="60845"/>
    <cellStyle name="输入 5 87 12" xfId="60846"/>
    <cellStyle name="输入 5 87 2" xfId="10669"/>
    <cellStyle name="输入 5 87 2 2" xfId="60847"/>
    <cellStyle name="输入 5 87 3" xfId="60848"/>
    <cellStyle name="输入 5 87 4" xfId="60849"/>
    <cellStyle name="输入 5 87 5" xfId="60850"/>
    <cellStyle name="输入 5 87 6" xfId="60851"/>
    <cellStyle name="输入 5 87 7" xfId="60852"/>
    <cellStyle name="输入 5 87 8" xfId="60853"/>
    <cellStyle name="输入 5 87 9" xfId="60854"/>
    <cellStyle name="输入 5 88" xfId="10670"/>
    <cellStyle name="输入 5 88 10" xfId="60855"/>
    <cellStyle name="输入 5 88 11" xfId="60856"/>
    <cellStyle name="输入 5 88 12" xfId="60857"/>
    <cellStyle name="输入 5 88 2" xfId="10671"/>
    <cellStyle name="输入 5 88 2 2" xfId="60858"/>
    <cellStyle name="输入 5 88 3" xfId="60859"/>
    <cellStyle name="输入 5 88 4" xfId="60860"/>
    <cellStyle name="输入 5 88 5" xfId="60861"/>
    <cellStyle name="输入 5 88 6" xfId="60862"/>
    <cellStyle name="输入 5 88 7" xfId="60863"/>
    <cellStyle name="输入 5 88 8" xfId="60864"/>
    <cellStyle name="输入 5 88 9" xfId="60865"/>
    <cellStyle name="输入 5 89" xfId="10672"/>
    <cellStyle name="输入 5 89 10" xfId="60866"/>
    <cellStyle name="输入 5 89 11" xfId="60867"/>
    <cellStyle name="输入 5 89 12" xfId="60868"/>
    <cellStyle name="输入 5 89 2" xfId="10673"/>
    <cellStyle name="输入 5 89 2 2" xfId="60869"/>
    <cellStyle name="输入 5 89 3" xfId="60870"/>
    <cellStyle name="输入 5 89 4" xfId="60871"/>
    <cellStyle name="输入 5 89 5" xfId="60872"/>
    <cellStyle name="输入 5 89 6" xfId="60873"/>
    <cellStyle name="输入 5 89 7" xfId="60874"/>
    <cellStyle name="输入 5 89 8" xfId="60875"/>
    <cellStyle name="输入 5 89 9" xfId="60876"/>
    <cellStyle name="输入 5 9" xfId="10674"/>
    <cellStyle name="输入 5 9 10" xfId="60877"/>
    <cellStyle name="输入 5 9 11" xfId="60878"/>
    <cellStyle name="输入 5 9 2" xfId="10675"/>
    <cellStyle name="输入 5 9 2 2" xfId="60879"/>
    <cellStyle name="输入 5 9 3" xfId="60880"/>
    <cellStyle name="输入 5 9 4" xfId="60881"/>
    <cellStyle name="输入 5 9 5" xfId="60882"/>
    <cellStyle name="输入 5 9 6" xfId="60883"/>
    <cellStyle name="输入 5 9 7" xfId="60884"/>
    <cellStyle name="输入 5 9 8" xfId="60885"/>
    <cellStyle name="输入 5 9 9" xfId="60886"/>
    <cellStyle name="输入 5 90" xfId="10676"/>
    <cellStyle name="输入 5 90 10" xfId="60887"/>
    <cellStyle name="输入 5 90 11" xfId="60888"/>
    <cellStyle name="输入 5 90 12" xfId="60889"/>
    <cellStyle name="输入 5 90 2" xfId="10677"/>
    <cellStyle name="输入 5 90 2 2" xfId="60890"/>
    <cellStyle name="输入 5 90 3" xfId="60891"/>
    <cellStyle name="输入 5 90 4" xfId="60892"/>
    <cellStyle name="输入 5 90 5" xfId="60893"/>
    <cellStyle name="输入 5 90 6" xfId="60894"/>
    <cellStyle name="输入 5 90 7" xfId="60895"/>
    <cellStyle name="输入 5 90 8" xfId="60896"/>
    <cellStyle name="输入 5 90 9" xfId="60897"/>
    <cellStyle name="输入 5 91" xfId="10678"/>
    <cellStyle name="输入 5 91 10" xfId="60898"/>
    <cellStyle name="输入 5 91 11" xfId="60899"/>
    <cellStyle name="输入 5 91 12" xfId="60900"/>
    <cellStyle name="输入 5 91 2" xfId="10679"/>
    <cellStyle name="输入 5 91 2 2" xfId="60901"/>
    <cellStyle name="输入 5 91 3" xfId="60902"/>
    <cellStyle name="输入 5 91 4" xfId="60903"/>
    <cellStyle name="输入 5 91 5" xfId="60904"/>
    <cellStyle name="输入 5 91 6" xfId="60905"/>
    <cellStyle name="输入 5 91 7" xfId="60906"/>
    <cellStyle name="输入 5 91 8" xfId="60907"/>
    <cellStyle name="输入 5 91 9" xfId="60908"/>
    <cellStyle name="输入 5 92" xfId="10680"/>
    <cellStyle name="输入 5 92 10" xfId="60909"/>
    <cellStyle name="输入 5 92 11" xfId="60910"/>
    <cellStyle name="输入 5 92 12" xfId="60911"/>
    <cellStyle name="输入 5 92 2" xfId="10681"/>
    <cellStyle name="输入 5 92 2 2" xfId="60912"/>
    <cellStyle name="输入 5 92 3" xfId="60913"/>
    <cellStyle name="输入 5 92 4" xfId="60914"/>
    <cellStyle name="输入 5 92 5" xfId="60915"/>
    <cellStyle name="输入 5 92 6" xfId="60916"/>
    <cellStyle name="输入 5 92 7" xfId="60917"/>
    <cellStyle name="输入 5 92 8" xfId="60918"/>
    <cellStyle name="输入 5 92 9" xfId="60919"/>
    <cellStyle name="输入 5 93" xfId="10682"/>
    <cellStyle name="输入 5 93 10" xfId="60920"/>
    <cellStyle name="输入 5 93 11" xfId="60921"/>
    <cellStyle name="输入 5 93 2" xfId="10683"/>
    <cellStyle name="输入 5 93 2 2" xfId="60922"/>
    <cellStyle name="输入 5 93 3" xfId="60923"/>
    <cellStyle name="输入 5 93 4" xfId="60924"/>
    <cellStyle name="输入 5 93 5" xfId="60925"/>
    <cellStyle name="输入 5 93 6" xfId="60926"/>
    <cellStyle name="输入 5 93 7" xfId="60927"/>
    <cellStyle name="输入 5 93 8" xfId="60928"/>
    <cellStyle name="输入 5 93 9" xfId="60929"/>
    <cellStyle name="输入 5 94" xfId="10684"/>
    <cellStyle name="输入 5 94 2" xfId="60930"/>
    <cellStyle name="输入 5 95" xfId="11819"/>
    <cellStyle name="输入 5_YL Capex Cashflow &amp; Dep" xfId="13953"/>
    <cellStyle name="输入 50" xfId="10685"/>
    <cellStyle name="输入 50 10" xfId="60931"/>
    <cellStyle name="输入 50 11" xfId="60932"/>
    <cellStyle name="输入 50 12" xfId="60933"/>
    <cellStyle name="输入 50 2" xfId="10686"/>
    <cellStyle name="输入 50 2 2" xfId="60934"/>
    <cellStyle name="输入 50 3" xfId="60935"/>
    <cellStyle name="输入 50 4" xfId="60936"/>
    <cellStyle name="输入 50 5" xfId="60937"/>
    <cellStyle name="输入 50 6" xfId="60938"/>
    <cellStyle name="输入 50 7" xfId="60939"/>
    <cellStyle name="输入 50 8" xfId="60940"/>
    <cellStyle name="输入 50 9" xfId="60941"/>
    <cellStyle name="输入 51" xfId="10687"/>
    <cellStyle name="输入 51 10" xfId="60942"/>
    <cellStyle name="输入 51 11" xfId="60943"/>
    <cellStyle name="输入 51 12" xfId="60944"/>
    <cellStyle name="输入 51 2" xfId="10688"/>
    <cellStyle name="输入 51 2 2" xfId="60945"/>
    <cellStyle name="输入 51 3" xfId="60946"/>
    <cellStyle name="输入 51 4" xfId="60947"/>
    <cellStyle name="输入 51 5" xfId="60948"/>
    <cellStyle name="输入 51 6" xfId="60949"/>
    <cellStyle name="输入 51 7" xfId="60950"/>
    <cellStyle name="输入 51 8" xfId="60951"/>
    <cellStyle name="输入 51 9" xfId="60952"/>
    <cellStyle name="输入 52" xfId="10689"/>
    <cellStyle name="输入 52 10" xfId="60953"/>
    <cellStyle name="输入 52 11" xfId="60954"/>
    <cellStyle name="输入 52 12" xfId="60955"/>
    <cellStyle name="输入 52 2" xfId="10690"/>
    <cellStyle name="输入 52 2 2" xfId="60956"/>
    <cellStyle name="输入 52 3" xfId="60957"/>
    <cellStyle name="输入 52 4" xfId="60958"/>
    <cellStyle name="输入 52 5" xfId="60959"/>
    <cellStyle name="输入 52 6" xfId="60960"/>
    <cellStyle name="输入 52 7" xfId="60961"/>
    <cellStyle name="输入 52 8" xfId="60962"/>
    <cellStyle name="输入 52 9" xfId="60963"/>
    <cellStyle name="输入 53" xfId="10691"/>
    <cellStyle name="输入 53 10" xfId="60964"/>
    <cellStyle name="输入 53 11" xfId="60965"/>
    <cellStyle name="输入 53 12" xfId="60966"/>
    <cellStyle name="输入 53 2" xfId="10692"/>
    <cellStyle name="输入 53 2 2" xfId="60967"/>
    <cellStyle name="输入 53 3" xfId="60968"/>
    <cellStyle name="输入 53 4" xfId="60969"/>
    <cellStyle name="输入 53 5" xfId="60970"/>
    <cellStyle name="输入 53 6" xfId="60971"/>
    <cellStyle name="输入 53 7" xfId="60972"/>
    <cellStyle name="输入 53 8" xfId="60973"/>
    <cellStyle name="输入 53 9" xfId="60974"/>
    <cellStyle name="输入 54" xfId="10693"/>
    <cellStyle name="输入 54 2" xfId="60975"/>
    <cellStyle name="输入 55" xfId="11354"/>
    <cellStyle name="输入 56" xfId="60976"/>
    <cellStyle name="输入 6" xfId="3312"/>
    <cellStyle name="输入 6 10" xfId="10694"/>
    <cellStyle name="输入 6 10 10" xfId="60977"/>
    <cellStyle name="输入 6 10 11" xfId="60978"/>
    <cellStyle name="输入 6 10 2" xfId="10695"/>
    <cellStyle name="输入 6 10 2 2" xfId="60979"/>
    <cellStyle name="输入 6 10 3" xfId="60980"/>
    <cellStyle name="输入 6 10 4" xfId="60981"/>
    <cellStyle name="输入 6 10 5" xfId="60982"/>
    <cellStyle name="输入 6 10 6" xfId="60983"/>
    <cellStyle name="输入 6 10 7" xfId="60984"/>
    <cellStyle name="输入 6 10 8" xfId="60985"/>
    <cellStyle name="输入 6 10 9" xfId="60986"/>
    <cellStyle name="输入 6 11" xfId="10696"/>
    <cellStyle name="输入 6 11 10" xfId="60987"/>
    <cellStyle name="输入 6 11 11" xfId="60988"/>
    <cellStyle name="输入 6 11 2" xfId="10697"/>
    <cellStyle name="输入 6 11 2 2" xfId="60989"/>
    <cellStyle name="输入 6 11 3" xfId="60990"/>
    <cellStyle name="输入 6 11 4" xfId="60991"/>
    <cellStyle name="输入 6 11 5" xfId="60992"/>
    <cellStyle name="输入 6 11 6" xfId="60993"/>
    <cellStyle name="输入 6 11 7" xfId="60994"/>
    <cellStyle name="输入 6 11 8" xfId="60995"/>
    <cellStyle name="输入 6 11 9" xfId="60996"/>
    <cellStyle name="输入 6 12" xfId="10698"/>
    <cellStyle name="输入 6 12 10" xfId="60997"/>
    <cellStyle name="输入 6 12 2" xfId="10699"/>
    <cellStyle name="输入 6 12 2 2" xfId="60998"/>
    <cellStyle name="输入 6 12 3" xfId="60999"/>
    <cellStyle name="输入 6 12 4" xfId="61000"/>
    <cellStyle name="输入 6 12 5" xfId="61001"/>
    <cellStyle name="输入 6 12 6" xfId="61002"/>
    <cellStyle name="输入 6 12 7" xfId="61003"/>
    <cellStyle name="输入 6 12 8" xfId="61004"/>
    <cellStyle name="输入 6 12 9" xfId="61005"/>
    <cellStyle name="输入 6 13" xfId="10700"/>
    <cellStyle name="输入 6 13 10" xfId="61006"/>
    <cellStyle name="输入 6 13 11" xfId="61007"/>
    <cellStyle name="输入 6 13 2" xfId="10701"/>
    <cellStyle name="输入 6 13 2 2" xfId="61008"/>
    <cellStyle name="输入 6 13 3" xfId="61009"/>
    <cellStyle name="输入 6 13 4" xfId="61010"/>
    <cellStyle name="输入 6 13 5" xfId="61011"/>
    <cellStyle name="输入 6 13 6" xfId="61012"/>
    <cellStyle name="输入 6 13 7" xfId="61013"/>
    <cellStyle name="输入 6 13 8" xfId="61014"/>
    <cellStyle name="输入 6 13 9" xfId="61015"/>
    <cellStyle name="输入 6 14" xfId="10702"/>
    <cellStyle name="输入 6 14 10" xfId="61016"/>
    <cellStyle name="输入 6 14 11" xfId="61017"/>
    <cellStyle name="输入 6 14 2" xfId="10703"/>
    <cellStyle name="输入 6 14 2 2" xfId="61018"/>
    <cellStyle name="输入 6 14 3" xfId="61019"/>
    <cellStyle name="输入 6 14 4" xfId="61020"/>
    <cellStyle name="输入 6 14 5" xfId="61021"/>
    <cellStyle name="输入 6 14 6" xfId="61022"/>
    <cellStyle name="输入 6 14 7" xfId="61023"/>
    <cellStyle name="输入 6 14 8" xfId="61024"/>
    <cellStyle name="输入 6 14 9" xfId="61025"/>
    <cellStyle name="输入 6 15" xfId="10704"/>
    <cellStyle name="输入 6 15 10" xfId="61026"/>
    <cellStyle name="输入 6 15 11" xfId="61027"/>
    <cellStyle name="输入 6 15 2" xfId="10705"/>
    <cellStyle name="输入 6 15 2 2" xfId="61028"/>
    <cellStyle name="输入 6 15 3" xfId="61029"/>
    <cellStyle name="输入 6 15 4" xfId="61030"/>
    <cellStyle name="输入 6 15 5" xfId="61031"/>
    <cellStyle name="输入 6 15 6" xfId="61032"/>
    <cellStyle name="输入 6 15 7" xfId="61033"/>
    <cellStyle name="输入 6 15 8" xfId="61034"/>
    <cellStyle name="输入 6 15 9" xfId="61035"/>
    <cellStyle name="输入 6 16" xfId="10706"/>
    <cellStyle name="输入 6 16 10" xfId="61036"/>
    <cellStyle name="输入 6 16 11" xfId="61037"/>
    <cellStyle name="输入 6 16 2" xfId="10707"/>
    <cellStyle name="输入 6 16 2 2" xfId="61038"/>
    <cellStyle name="输入 6 16 3" xfId="61039"/>
    <cellStyle name="输入 6 16 4" xfId="61040"/>
    <cellStyle name="输入 6 16 5" xfId="61041"/>
    <cellStyle name="输入 6 16 6" xfId="61042"/>
    <cellStyle name="输入 6 16 7" xfId="61043"/>
    <cellStyle name="输入 6 16 8" xfId="61044"/>
    <cellStyle name="输入 6 16 9" xfId="61045"/>
    <cellStyle name="输入 6 17" xfId="10708"/>
    <cellStyle name="输入 6 17 10" xfId="61046"/>
    <cellStyle name="输入 6 17 11" xfId="61047"/>
    <cellStyle name="输入 6 17 2" xfId="10709"/>
    <cellStyle name="输入 6 17 2 2" xfId="61048"/>
    <cellStyle name="输入 6 17 3" xfId="61049"/>
    <cellStyle name="输入 6 17 4" xfId="61050"/>
    <cellStyle name="输入 6 17 5" xfId="61051"/>
    <cellStyle name="输入 6 17 6" xfId="61052"/>
    <cellStyle name="输入 6 17 7" xfId="61053"/>
    <cellStyle name="输入 6 17 8" xfId="61054"/>
    <cellStyle name="输入 6 17 9" xfId="61055"/>
    <cellStyle name="输入 6 18" xfId="10710"/>
    <cellStyle name="输入 6 18 10" xfId="61056"/>
    <cellStyle name="输入 6 18 11" xfId="61057"/>
    <cellStyle name="输入 6 18 2" xfId="10711"/>
    <cellStyle name="输入 6 18 2 2" xfId="61058"/>
    <cellStyle name="输入 6 18 3" xfId="61059"/>
    <cellStyle name="输入 6 18 4" xfId="61060"/>
    <cellStyle name="输入 6 18 5" xfId="61061"/>
    <cellStyle name="输入 6 18 6" xfId="61062"/>
    <cellStyle name="输入 6 18 7" xfId="61063"/>
    <cellStyle name="输入 6 18 8" xfId="61064"/>
    <cellStyle name="输入 6 18 9" xfId="61065"/>
    <cellStyle name="输入 6 19" xfId="10712"/>
    <cellStyle name="输入 6 19 10" xfId="61066"/>
    <cellStyle name="输入 6 19 11" xfId="61067"/>
    <cellStyle name="输入 6 19 2" xfId="10713"/>
    <cellStyle name="输入 6 19 2 2" xfId="61068"/>
    <cellStyle name="输入 6 19 3" xfId="61069"/>
    <cellStyle name="输入 6 19 4" xfId="61070"/>
    <cellStyle name="输入 6 19 5" xfId="61071"/>
    <cellStyle name="输入 6 19 6" xfId="61072"/>
    <cellStyle name="输入 6 19 7" xfId="61073"/>
    <cellStyle name="输入 6 19 8" xfId="61074"/>
    <cellStyle name="输入 6 19 9" xfId="61075"/>
    <cellStyle name="输入 6 2" xfId="3313"/>
    <cellStyle name="输入 6 2 10" xfId="61076"/>
    <cellStyle name="输入 6 2 11" xfId="61077"/>
    <cellStyle name="输入 6 2 12" xfId="61078"/>
    <cellStyle name="输入 6 2 2" xfId="10714"/>
    <cellStyle name="输入 6 2 2 2" xfId="61079"/>
    <cellStyle name="输入 6 2 3" xfId="12987"/>
    <cellStyle name="输入 6 2 4" xfId="61080"/>
    <cellStyle name="输入 6 2 5" xfId="61081"/>
    <cellStyle name="输入 6 2 6" xfId="61082"/>
    <cellStyle name="输入 6 2 7" xfId="61083"/>
    <cellStyle name="输入 6 2 8" xfId="61084"/>
    <cellStyle name="输入 6 2 9" xfId="61085"/>
    <cellStyle name="输入 6 2_YL Capex Cashflow &amp; Dep" xfId="13959"/>
    <cellStyle name="输入 6 20" xfId="10715"/>
    <cellStyle name="输入 6 20 10" xfId="61086"/>
    <cellStyle name="输入 6 20 11" xfId="61087"/>
    <cellStyle name="输入 6 20 12" xfId="61088"/>
    <cellStyle name="输入 6 20 2" xfId="10716"/>
    <cellStyle name="输入 6 20 2 2" xfId="61089"/>
    <cellStyle name="输入 6 20 3" xfId="61090"/>
    <cellStyle name="输入 6 20 4" xfId="61091"/>
    <cellStyle name="输入 6 20 5" xfId="61092"/>
    <cellStyle name="输入 6 20 6" xfId="61093"/>
    <cellStyle name="输入 6 20 7" xfId="61094"/>
    <cellStyle name="输入 6 20 8" xfId="61095"/>
    <cellStyle name="输入 6 20 9" xfId="61096"/>
    <cellStyle name="输入 6 21" xfId="10717"/>
    <cellStyle name="输入 6 21 10" xfId="61097"/>
    <cellStyle name="输入 6 21 11" xfId="61098"/>
    <cellStyle name="输入 6 21 12" xfId="61099"/>
    <cellStyle name="输入 6 21 2" xfId="10718"/>
    <cellStyle name="输入 6 21 2 2" xfId="61100"/>
    <cellStyle name="输入 6 21 3" xfId="61101"/>
    <cellStyle name="输入 6 21 4" xfId="61102"/>
    <cellStyle name="输入 6 21 5" xfId="61103"/>
    <cellStyle name="输入 6 21 6" xfId="61104"/>
    <cellStyle name="输入 6 21 7" xfId="61105"/>
    <cellStyle name="输入 6 21 8" xfId="61106"/>
    <cellStyle name="输入 6 21 9" xfId="61107"/>
    <cellStyle name="输入 6 22" xfId="10719"/>
    <cellStyle name="输入 6 22 10" xfId="61108"/>
    <cellStyle name="输入 6 22 11" xfId="61109"/>
    <cellStyle name="输入 6 22 12" xfId="61110"/>
    <cellStyle name="输入 6 22 2" xfId="10720"/>
    <cellStyle name="输入 6 22 2 2" xfId="61111"/>
    <cellStyle name="输入 6 22 3" xfId="61112"/>
    <cellStyle name="输入 6 22 4" xfId="61113"/>
    <cellStyle name="输入 6 22 5" xfId="61114"/>
    <cellStyle name="输入 6 22 6" xfId="61115"/>
    <cellStyle name="输入 6 22 7" xfId="61116"/>
    <cellStyle name="输入 6 22 8" xfId="61117"/>
    <cellStyle name="输入 6 22 9" xfId="61118"/>
    <cellStyle name="输入 6 23" xfId="10721"/>
    <cellStyle name="输入 6 23 10" xfId="61119"/>
    <cellStyle name="输入 6 23 11" xfId="61120"/>
    <cellStyle name="输入 6 23 12" xfId="61121"/>
    <cellStyle name="输入 6 23 2" xfId="10722"/>
    <cellStyle name="输入 6 23 2 2" xfId="61122"/>
    <cellStyle name="输入 6 23 3" xfId="61123"/>
    <cellStyle name="输入 6 23 4" xfId="61124"/>
    <cellStyle name="输入 6 23 5" xfId="61125"/>
    <cellStyle name="输入 6 23 6" xfId="61126"/>
    <cellStyle name="输入 6 23 7" xfId="61127"/>
    <cellStyle name="输入 6 23 8" xfId="61128"/>
    <cellStyle name="输入 6 23 9" xfId="61129"/>
    <cellStyle name="输入 6 24" xfId="10723"/>
    <cellStyle name="输入 6 24 10" xfId="61130"/>
    <cellStyle name="输入 6 24 11" xfId="61131"/>
    <cellStyle name="输入 6 24 12" xfId="61132"/>
    <cellStyle name="输入 6 24 2" xfId="10724"/>
    <cellStyle name="输入 6 24 2 2" xfId="61133"/>
    <cellStyle name="输入 6 24 3" xfId="61134"/>
    <cellStyle name="输入 6 24 4" xfId="61135"/>
    <cellStyle name="输入 6 24 5" xfId="61136"/>
    <cellStyle name="输入 6 24 6" xfId="61137"/>
    <cellStyle name="输入 6 24 7" xfId="61138"/>
    <cellStyle name="输入 6 24 8" xfId="61139"/>
    <cellStyle name="输入 6 24 9" xfId="61140"/>
    <cellStyle name="输入 6 25" xfId="10725"/>
    <cellStyle name="输入 6 25 10" xfId="61141"/>
    <cellStyle name="输入 6 25 11" xfId="61142"/>
    <cellStyle name="输入 6 25 12" xfId="61143"/>
    <cellStyle name="输入 6 25 2" xfId="10726"/>
    <cellStyle name="输入 6 25 2 2" xfId="61144"/>
    <cellStyle name="输入 6 25 3" xfId="61145"/>
    <cellStyle name="输入 6 25 4" xfId="61146"/>
    <cellStyle name="输入 6 25 5" xfId="61147"/>
    <cellStyle name="输入 6 25 6" xfId="61148"/>
    <cellStyle name="输入 6 25 7" xfId="61149"/>
    <cellStyle name="输入 6 25 8" xfId="61150"/>
    <cellStyle name="输入 6 25 9" xfId="61151"/>
    <cellStyle name="输入 6 26" xfId="10727"/>
    <cellStyle name="输入 6 26 10" xfId="61152"/>
    <cellStyle name="输入 6 26 11" xfId="61153"/>
    <cellStyle name="输入 6 26 12" xfId="61154"/>
    <cellStyle name="输入 6 26 2" xfId="10728"/>
    <cellStyle name="输入 6 26 2 2" xfId="61155"/>
    <cellStyle name="输入 6 26 3" xfId="61156"/>
    <cellStyle name="输入 6 26 4" xfId="61157"/>
    <cellStyle name="输入 6 26 5" xfId="61158"/>
    <cellStyle name="输入 6 26 6" xfId="61159"/>
    <cellStyle name="输入 6 26 7" xfId="61160"/>
    <cellStyle name="输入 6 26 8" xfId="61161"/>
    <cellStyle name="输入 6 26 9" xfId="61162"/>
    <cellStyle name="输入 6 27" xfId="10729"/>
    <cellStyle name="输入 6 27 10" xfId="61163"/>
    <cellStyle name="输入 6 27 11" xfId="61164"/>
    <cellStyle name="输入 6 27 12" xfId="61165"/>
    <cellStyle name="输入 6 27 2" xfId="10730"/>
    <cellStyle name="输入 6 27 2 2" xfId="61166"/>
    <cellStyle name="输入 6 27 3" xfId="61167"/>
    <cellStyle name="输入 6 27 4" xfId="61168"/>
    <cellStyle name="输入 6 27 5" xfId="61169"/>
    <cellStyle name="输入 6 27 6" xfId="61170"/>
    <cellStyle name="输入 6 27 7" xfId="61171"/>
    <cellStyle name="输入 6 27 8" xfId="61172"/>
    <cellStyle name="输入 6 27 9" xfId="61173"/>
    <cellStyle name="输入 6 28" xfId="10731"/>
    <cellStyle name="输入 6 28 10" xfId="61174"/>
    <cellStyle name="输入 6 28 11" xfId="61175"/>
    <cellStyle name="输入 6 28 12" xfId="61176"/>
    <cellStyle name="输入 6 28 2" xfId="10732"/>
    <cellStyle name="输入 6 28 2 2" xfId="61177"/>
    <cellStyle name="输入 6 28 3" xfId="61178"/>
    <cellStyle name="输入 6 28 4" xfId="61179"/>
    <cellStyle name="输入 6 28 5" xfId="61180"/>
    <cellStyle name="输入 6 28 6" xfId="61181"/>
    <cellStyle name="输入 6 28 7" xfId="61182"/>
    <cellStyle name="输入 6 28 8" xfId="61183"/>
    <cellStyle name="输入 6 28 9" xfId="61184"/>
    <cellStyle name="输入 6 29" xfId="10733"/>
    <cellStyle name="输入 6 29 10" xfId="61185"/>
    <cellStyle name="输入 6 29 11" xfId="61186"/>
    <cellStyle name="输入 6 29 12" xfId="61187"/>
    <cellStyle name="输入 6 29 2" xfId="10734"/>
    <cellStyle name="输入 6 29 2 2" xfId="61188"/>
    <cellStyle name="输入 6 29 3" xfId="61189"/>
    <cellStyle name="输入 6 29 4" xfId="61190"/>
    <cellStyle name="输入 6 29 5" xfId="61191"/>
    <cellStyle name="输入 6 29 6" xfId="61192"/>
    <cellStyle name="输入 6 29 7" xfId="61193"/>
    <cellStyle name="输入 6 29 8" xfId="61194"/>
    <cellStyle name="输入 6 29 9" xfId="61195"/>
    <cellStyle name="输入 6 3" xfId="10735"/>
    <cellStyle name="输入 6 3 10" xfId="61196"/>
    <cellStyle name="输入 6 3 11" xfId="61197"/>
    <cellStyle name="输入 6 3 12" xfId="61198"/>
    <cellStyle name="输入 6 3 2" xfId="10736"/>
    <cellStyle name="输入 6 3 2 2" xfId="61199"/>
    <cellStyle name="输入 6 3 3" xfId="61200"/>
    <cellStyle name="输入 6 3 4" xfId="61201"/>
    <cellStyle name="输入 6 3 5" xfId="61202"/>
    <cellStyle name="输入 6 3 6" xfId="61203"/>
    <cellStyle name="输入 6 3 7" xfId="61204"/>
    <cellStyle name="输入 6 3 8" xfId="61205"/>
    <cellStyle name="输入 6 3 9" xfId="61206"/>
    <cellStyle name="输入 6 30" xfId="10737"/>
    <cellStyle name="输入 6 30 10" xfId="61207"/>
    <cellStyle name="输入 6 30 11" xfId="61208"/>
    <cellStyle name="输入 6 30 2" xfId="10738"/>
    <cellStyle name="输入 6 30 2 2" xfId="61209"/>
    <cellStyle name="输入 6 30 3" xfId="61210"/>
    <cellStyle name="输入 6 30 4" xfId="61211"/>
    <cellStyle name="输入 6 30 5" xfId="61212"/>
    <cellStyle name="输入 6 30 6" xfId="61213"/>
    <cellStyle name="输入 6 30 7" xfId="61214"/>
    <cellStyle name="输入 6 30 8" xfId="61215"/>
    <cellStyle name="输入 6 30 9" xfId="61216"/>
    <cellStyle name="输入 6 31" xfId="10739"/>
    <cellStyle name="输入 6 31 10" xfId="61217"/>
    <cellStyle name="输入 6 31 11" xfId="61218"/>
    <cellStyle name="输入 6 31 12" xfId="61219"/>
    <cellStyle name="输入 6 31 2" xfId="10740"/>
    <cellStyle name="输入 6 31 2 2" xfId="61220"/>
    <cellStyle name="输入 6 31 3" xfId="61221"/>
    <cellStyle name="输入 6 31 4" xfId="61222"/>
    <cellStyle name="输入 6 31 5" xfId="61223"/>
    <cellStyle name="输入 6 31 6" xfId="61224"/>
    <cellStyle name="输入 6 31 7" xfId="61225"/>
    <cellStyle name="输入 6 31 8" xfId="61226"/>
    <cellStyle name="输入 6 31 9" xfId="61227"/>
    <cellStyle name="输入 6 32" xfId="10741"/>
    <cellStyle name="输入 6 32 10" xfId="61228"/>
    <cellStyle name="输入 6 32 11" xfId="61229"/>
    <cellStyle name="输入 6 32 12" xfId="61230"/>
    <cellStyle name="输入 6 32 2" xfId="10742"/>
    <cellStyle name="输入 6 32 2 2" xfId="61231"/>
    <cellStyle name="输入 6 32 3" xfId="61232"/>
    <cellStyle name="输入 6 32 4" xfId="61233"/>
    <cellStyle name="输入 6 32 5" xfId="61234"/>
    <cellStyle name="输入 6 32 6" xfId="61235"/>
    <cellStyle name="输入 6 32 7" xfId="61236"/>
    <cellStyle name="输入 6 32 8" xfId="61237"/>
    <cellStyle name="输入 6 32 9" xfId="61238"/>
    <cellStyle name="输入 6 33" xfId="10743"/>
    <cellStyle name="输入 6 33 10" xfId="61239"/>
    <cellStyle name="输入 6 33 11" xfId="61240"/>
    <cellStyle name="输入 6 33 12" xfId="61241"/>
    <cellStyle name="输入 6 33 2" xfId="10744"/>
    <cellStyle name="输入 6 33 2 2" xfId="61242"/>
    <cellStyle name="输入 6 33 3" xfId="61243"/>
    <cellStyle name="输入 6 33 4" xfId="61244"/>
    <cellStyle name="输入 6 33 5" xfId="61245"/>
    <cellStyle name="输入 6 33 6" xfId="61246"/>
    <cellStyle name="输入 6 33 7" xfId="61247"/>
    <cellStyle name="输入 6 33 8" xfId="61248"/>
    <cellStyle name="输入 6 33 9" xfId="61249"/>
    <cellStyle name="输入 6 34" xfId="10745"/>
    <cellStyle name="输入 6 34 10" xfId="61250"/>
    <cellStyle name="输入 6 34 11" xfId="61251"/>
    <cellStyle name="输入 6 34 12" xfId="61252"/>
    <cellStyle name="输入 6 34 2" xfId="10746"/>
    <cellStyle name="输入 6 34 2 2" xfId="61253"/>
    <cellStyle name="输入 6 34 3" xfId="61254"/>
    <cellStyle name="输入 6 34 4" xfId="61255"/>
    <cellStyle name="输入 6 34 5" xfId="61256"/>
    <cellStyle name="输入 6 34 6" xfId="61257"/>
    <cellStyle name="输入 6 34 7" xfId="61258"/>
    <cellStyle name="输入 6 34 8" xfId="61259"/>
    <cellStyle name="输入 6 34 9" xfId="61260"/>
    <cellStyle name="输入 6 35" xfId="10747"/>
    <cellStyle name="输入 6 35 10" xfId="61261"/>
    <cellStyle name="输入 6 35 11" xfId="61262"/>
    <cellStyle name="输入 6 35 2" xfId="10748"/>
    <cellStyle name="输入 6 35 2 2" xfId="61263"/>
    <cellStyle name="输入 6 35 3" xfId="61264"/>
    <cellStyle name="输入 6 35 4" xfId="61265"/>
    <cellStyle name="输入 6 35 5" xfId="61266"/>
    <cellStyle name="输入 6 35 6" xfId="61267"/>
    <cellStyle name="输入 6 35 7" xfId="61268"/>
    <cellStyle name="输入 6 35 8" xfId="61269"/>
    <cellStyle name="输入 6 35 9" xfId="61270"/>
    <cellStyle name="输入 6 36" xfId="10749"/>
    <cellStyle name="输入 6 36 10" xfId="61271"/>
    <cellStyle name="输入 6 36 11" xfId="61272"/>
    <cellStyle name="输入 6 36 12" xfId="61273"/>
    <cellStyle name="输入 6 36 2" xfId="10750"/>
    <cellStyle name="输入 6 36 2 2" xfId="61274"/>
    <cellStyle name="输入 6 36 3" xfId="61275"/>
    <cellStyle name="输入 6 36 4" xfId="61276"/>
    <cellStyle name="输入 6 36 5" xfId="61277"/>
    <cellStyle name="输入 6 36 6" xfId="61278"/>
    <cellStyle name="输入 6 36 7" xfId="61279"/>
    <cellStyle name="输入 6 36 8" xfId="61280"/>
    <cellStyle name="输入 6 36 9" xfId="61281"/>
    <cellStyle name="输入 6 37" xfId="10751"/>
    <cellStyle name="输入 6 37 10" xfId="61282"/>
    <cellStyle name="输入 6 37 11" xfId="61283"/>
    <cellStyle name="输入 6 37 12" xfId="61284"/>
    <cellStyle name="输入 6 37 2" xfId="10752"/>
    <cellStyle name="输入 6 37 2 2" xfId="61285"/>
    <cellStyle name="输入 6 37 3" xfId="61286"/>
    <cellStyle name="输入 6 37 4" xfId="61287"/>
    <cellStyle name="输入 6 37 5" xfId="61288"/>
    <cellStyle name="输入 6 37 6" xfId="61289"/>
    <cellStyle name="输入 6 37 7" xfId="61290"/>
    <cellStyle name="输入 6 37 8" xfId="61291"/>
    <cellStyle name="输入 6 37 9" xfId="61292"/>
    <cellStyle name="输入 6 38" xfId="10753"/>
    <cellStyle name="输入 6 38 10" xfId="61293"/>
    <cellStyle name="输入 6 38 11" xfId="61294"/>
    <cellStyle name="输入 6 38 12" xfId="61295"/>
    <cellStyle name="输入 6 38 2" xfId="10754"/>
    <cellStyle name="输入 6 38 2 2" xfId="61296"/>
    <cellStyle name="输入 6 38 3" xfId="61297"/>
    <cellStyle name="输入 6 38 4" xfId="61298"/>
    <cellStyle name="输入 6 38 5" xfId="61299"/>
    <cellStyle name="输入 6 38 6" xfId="61300"/>
    <cellStyle name="输入 6 38 7" xfId="61301"/>
    <cellStyle name="输入 6 38 8" xfId="61302"/>
    <cellStyle name="输入 6 38 9" xfId="61303"/>
    <cellStyle name="输入 6 39" xfId="10755"/>
    <cellStyle name="输入 6 39 10" xfId="61304"/>
    <cellStyle name="输入 6 39 11" xfId="61305"/>
    <cellStyle name="输入 6 39 12" xfId="61306"/>
    <cellStyle name="输入 6 39 2" xfId="10756"/>
    <cellStyle name="输入 6 39 2 2" xfId="61307"/>
    <cellStyle name="输入 6 39 3" xfId="61308"/>
    <cellStyle name="输入 6 39 4" xfId="61309"/>
    <cellStyle name="输入 6 39 5" xfId="61310"/>
    <cellStyle name="输入 6 39 6" xfId="61311"/>
    <cellStyle name="输入 6 39 7" xfId="61312"/>
    <cellStyle name="输入 6 39 8" xfId="61313"/>
    <cellStyle name="输入 6 39 9" xfId="61314"/>
    <cellStyle name="输入 6 4" xfId="10757"/>
    <cellStyle name="输入 6 4 10" xfId="61315"/>
    <cellStyle name="输入 6 4 11" xfId="61316"/>
    <cellStyle name="输入 6 4 12" xfId="61317"/>
    <cellStyle name="输入 6 4 2" xfId="10758"/>
    <cellStyle name="输入 6 4 2 2" xfId="61318"/>
    <cellStyle name="输入 6 4 3" xfId="61319"/>
    <cellStyle name="输入 6 4 4" xfId="61320"/>
    <cellStyle name="输入 6 4 5" xfId="61321"/>
    <cellStyle name="输入 6 4 6" xfId="61322"/>
    <cellStyle name="输入 6 4 7" xfId="61323"/>
    <cellStyle name="输入 6 4 8" xfId="61324"/>
    <cellStyle name="输入 6 4 9" xfId="61325"/>
    <cellStyle name="输入 6 40" xfId="10759"/>
    <cellStyle name="输入 6 40 10" xfId="61326"/>
    <cellStyle name="输入 6 40 11" xfId="61327"/>
    <cellStyle name="输入 6 40 12" xfId="61328"/>
    <cellStyle name="输入 6 40 2" xfId="10760"/>
    <cellStyle name="输入 6 40 2 2" xfId="61329"/>
    <cellStyle name="输入 6 40 3" xfId="61330"/>
    <cellStyle name="输入 6 40 4" xfId="61331"/>
    <cellStyle name="输入 6 40 5" xfId="61332"/>
    <cellStyle name="输入 6 40 6" xfId="61333"/>
    <cellStyle name="输入 6 40 7" xfId="61334"/>
    <cellStyle name="输入 6 40 8" xfId="61335"/>
    <cellStyle name="输入 6 40 9" xfId="61336"/>
    <cellStyle name="输入 6 41" xfId="10761"/>
    <cellStyle name="输入 6 41 10" xfId="61337"/>
    <cellStyle name="输入 6 41 11" xfId="61338"/>
    <cellStyle name="输入 6 41 12" xfId="61339"/>
    <cellStyle name="输入 6 41 2" xfId="10762"/>
    <cellStyle name="输入 6 41 2 2" xfId="61340"/>
    <cellStyle name="输入 6 41 3" xfId="61341"/>
    <cellStyle name="输入 6 41 4" xfId="61342"/>
    <cellStyle name="输入 6 41 5" xfId="61343"/>
    <cellStyle name="输入 6 41 6" xfId="61344"/>
    <cellStyle name="输入 6 41 7" xfId="61345"/>
    <cellStyle name="输入 6 41 8" xfId="61346"/>
    <cellStyle name="输入 6 41 9" xfId="61347"/>
    <cellStyle name="输入 6 42" xfId="10763"/>
    <cellStyle name="输入 6 42 10" xfId="61348"/>
    <cellStyle name="输入 6 42 11" xfId="61349"/>
    <cellStyle name="输入 6 42 12" xfId="61350"/>
    <cellStyle name="输入 6 42 2" xfId="10764"/>
    <cellStyle name="输入 6 42 2 2" xfId="61351"/>
    <cellStyle name="输入 6 42 3" xfId="61352"/>
    <cellStyle name="输入 6 42 4" xfId="61353"/>
    <cellStyle name="输入 6 42 5" xfId="61354"/>
    <cellStyle name="输入 6 42 6" xfId="61355"/>
    <cellStyle name="输入 6 42 7" xfId="61356"/>
    <cellStyle name="输入 6 42 8" xfId="61357"/>
    <cellStyle name="输入 6 42 9" xfId="61358"/>
    <cellStyle name="输入 6 43" xfId="10765"/>
    <cellStyle name="输入 6 43 10" xfId="61359"/>
    <cellStyle name="输入 6 43 11" xfId="61360"/>
    <cellStyle name="输入 6 43 12" xfId="61361"/>
    <cellStyle name="输入 6 43 2" xfId="10766"/>
    <cellStyle name="输入 6 43 2 2" xfId="61362"/>
    <cellStyle name="输入 6 43 3" xfId="61363"/>
    <cellStyle name="输入 6 43 4" xfId="61364"/>
    <cellStyle name="输入 6 43 5" xfId="61365"/>
    <cellStyle name="输入 6 43 6" xfId="61366"/>
    <cellStyle name="输入 6 43 7" xfId="61367"/>
    <cellStyle name="输入 6 43 8" xfId="61368"/>
    <cellStyle name="输入 6 43 9" xfId="61369"/>
    <cellStyle name="输入 6 44" xfId="10767"/>
    <cellStyle name="输入 6 44 10" xfId="61370"/>
    <cellStyle name="输入 6 44 11" xfId="61371"/>
    <cellStyle name="输入 6 44 12" xfId="61372"/>
    <cellStyle name="输入 6 44 2" xfId="10768"/>
    <cellStyle name="输入 6 44 2 2" xfId="61373"/>
    <cellStyle name="输入 6 44 3" xfId="61374"/>
    <cellStyle name="输入 6 44 4" xfId="61375"/>
    <cellStyle name="输入 6 44 5" xfId="61376"/>
    <cellStyle name="输入 6 44 6" xfId="61377"/>
    <cellStyle name="输入 6 44 7" xfId="61378"/>
    <cellStyle name="输入 6 44 8" xfId="61379"/>
    <cellStyle name="输入 6 44 9" xfId="61380"/>
    <cellStyle name="输入 6 45" xfId="10769"/>
    <cellStyle name="输入 6 45 10" xfId="61381"/>
    <cellStyle name="输入 6 45 11" xfId="61382"/>
    <cellStyle name="输入 6 45 12" xfId="61383"/>
    <cellStyle name="输入 6 45 2" xfId="10770"/>
    <cellStyle name="输入 6 45 2 2" xfId="61384"/>
    <cellStyle name="输入 6 45 3" xfId="61385"/>
    <cellStyle name="输入 6 45 4" xfId="61386"/>
    <cellStyle name="输入 6 45 5" xfId="61387"/>
    <cellStyle name="输入 6 45 6" xfId="61388"/>
    <cellStyle name="输入 6 45 7" xfId="61389"/>
    <cellStyle name="输入 6 45 8" xfId="61390"/>
    <cellStyle name="输入 6 45 9" xfId="61391"/>
    <cellStyle name="输入 6 46" xfId="10771"/>
    <cellStyle name="输入 6 46 10" xfId="61392"/>
    <cellStyle name="输入 6 46 11" xfId="61393"/>
    <cellStyle name="输入 6 46 12" xfId="61394"/>
    <cellStyle name="输入 6 46 2" xfId="10772"/>
    <cellStyle name="输入 6 46 2 2" xfId="61395"/>
    <cellStyle name="输入 6 46 3" xfId="61396"/>
    <cellStyle name="输入 6 46 4" xfId="61397"/>
    <cellStyle name="输入 6 46 5" xfId="61398"/>
    <cellStyle name="输入 6 46 6" xfId="61399"/>
    <cellStyle name="输入 6 46 7" xfId="61400"/>
    <cellStyle name="输入 6 46 8" xfId="61401"/>
    <cellStyle name="输入 6 46 9" xfId="61402"/>
    <cellStyle name="输入 6 47" xfId="10773"/>
    <cellStyle name="输入 6 47 10" xfId="61403"/>
    <cellStyle name="输入 6 47 11" xfId="61404"/>
    <cellStyle name="输入 6 47 12" xfId="61405"/>
    <cellStyle name="输入 6 47 2" xfId="10774"/>
    <cellStyle name="输入 6 47 2 2" xfId="61406"/>
    <cellStyle name="输入 6 47 3" xfId="61407"/>
    <cellStyle name="输入 6 47 4" xfId="61408"/>
    <cellStyle name="输入 6 47 5" xfId="61409"/>
    <cellStyle name="输入 6 47 6" xfId="61410"/>
    <cellStyle name="输入 6 47 7" xfId="61411"/>
    <cellStyle name="输入 6 47 8" xfId="61412"/>
    <cellStyle name="输入 6 47 9" xfId="61413"/>
    <cellStyle name="输入 6 48" xfId="10775"/>
    <cellStyle name="输入 6 48 10" xfId="61414"/>
    <cellStyle name="输入 6 48 11" xfId="61415"/>
    <cellStyle name="输入 6 48 12" xfId="61416"/>
    <cellStyle name="输入 6 48 2" xfId="10776"/>
    <cellStyle name="输入 6 48 2 2" xfId="61417"/>
    <cellStyle name="输入 6 48 3" xfId="61418"/>
    <cellStyle name="输入 6 48 4" xfId="61419"/>
    <cellStyle name="输入 6 48 5" xfId="61420"/>
    <cellStyle name="输入 6 48 6" xfId="61421"/>
    <cellStyle name="输入 6 48 7" xfId="61422"/>
    <cellStyle name="输入 6 48 8" xfId="61423"/>
    <cellStyle name="输入 6 48 9" xfId="61424"/>
    <cellStyle name="输入 6 49" xfId="10777"/>
    <cellStyle name="输入 6 49 10" xfId="61425"/>
    <cellStyle name="输入 6 49 11" xfId="61426"/>
    <cellStyle name="输入 6 49 12" xfId="61427"/>
    <cellStyle name="输入 6 49 2" xfId="10778"/>
    <cellStyle name="输入 6 49 2 2" xfId="61428"/>
    <cellStyle name="输入 6 49 3" xfId="61429"/>
    <cellStyle name="输入 6 49 4" xfId="61430"/>
    <cellStyle name="输入 6 49 5" xfId="61431"/>
    <cellStyle name="输入 6 49 6" xfId="61432"/>
    <cellStyle name="输入 6 49 7" xfId="61433"/>
    <cellStyle name="输入 6 49 8" xfId="61434"/>
    <cellStyle name="输入 6 49 9" xfId="61435"/>
    <cellStyle name="输入 6 5" xfId="10779"/>
    <cellStyle name="输入 6 5 10" xfId="61436"/>
    <cellStyle name="输入 6 5 11" xfId="61437"/>
    <cellStyle name="输入 6 5 2" xfId="10780"/>
    <cellStyle name="输入 6 5 2 2" xfId="61438"/>
    <cellStyle name="输入 6 5 3" xfId="61439"/>
    <cellStyle name="输入 6 5 4" xfId="61440"/>
    <cellStyle name="输入 6 5 5" xfId="61441"/>
    <cellStyle name="输入 6 5 6" xfId="61442"/>
    <cellStyle name="输入 6 5 7" xfId="61443"/>
    <cellStyle name="输入 6 5 8" xfId="61444"/>
    <cellStyle name="输入 6 5 9" xfId="61445"/>
    <cellStyle name="输入 6 50" xfId="10781"/>
    <cellStyle name="输入 6 50 10" xfId="61446"/>
    <cellStyle name="输入 6 50 11" xfId="61447"/>
    <cellStyle name="输入 6 50 12" xfId="61448"/>
    <cellStyle name="输入 6 50 2" xfId="10782"/>
    <cellStyle name="输入 6 50 2 2" xfId="61449"/>
    <cellStyle name="输入 6 50 3" xfId="61450"/>
    <cellStyle name="输入 6 50 4" xfId="61451"/>
    <cellStyle name="输入 6 50 5" xfId="61452"/>
    <cellStyle name="输入 6 50 6" xfId="61453"/>
    <cellStyle name="输入 6 50 7" xfId="61454"/>
    <cellStyle name="输入 6 50 8" xfId="61455"/>
    <cellStyle name="输入 6 50 9" xfId="61456"/>
    <cellStyle name="输入 6 51" xfId="10783"/>
    <cellStyle name="输入 6 51 10" xfId="61457"/>
    <cellStyle name="输入 6 51 11" xfId="61458"/>
    <cellStyle name="输入 6 51 12" xfId="61459"/>
    <cellStyle name="输入 6 51 2" xfId="10784"/>
    <cellStyle name="输入 6 51 2 2" xfId="61460"/>
    <cellStyle name="输入 6 51 3" xfId="61461"/>
    <cellStyle name="输入 6 51 4" xfId="61462"/>
    <cellStyle name="输入 6 51 5" xfId="61463"/>
    <cellStyle name="输入 6 51 6" xfId="61464"/>
    <cellStyle name="输入 6 51 7" xfId="61465"/>
    <cellStyle name="输入 6 51 8" xfId="61466"/>
    <cellStyle name="输入 6 51 9" xfId="61467"/>
    <cellStyle name="输入 6 52" xfId="10785"/>
    <cellStyle name="输入 6 52 10" xfId="61468"/>
    <cellStyle name="输入 6 52 11" xfId="61469"/>
    <cellStyle name="输入 6 52 12" xfId="61470"/>
    <cellStyle name="输入 6 52 2" xfId="10786"/>
    <cellStyle name="输入 6 52 2 2" xfId="61471"/>
    <cellStyle name="输入 6 52 3" xfId="61472"/>
    <cellStyle name="输入 6 52 4" xfId="61473"/>
    <cellStyle name="输入 6 52 5" xfId="61474"/>
    <cellStyle name="输入 6 52 6" xfId="61475"/>
    <cellStyle name="输入 6 52 7" xfId="61476"/>
    <cellStyle name="输入 6 52 8" xfId="61477"/>
    <cellStyle name="输入 6 52 9" xfId="61478"/>
    <cellStyle name="输入 6 53" xfId="10787"/>
    <cellStyle name="输入 6 53 10" xfId="61479"/>
    <cellStyle name="输入 6 53 11" xfId="61480"/>
    <cellStyle name="输入 6 53 12" xfId="61481"/>
    <cellStyle name="输入 6 53 2" xfId="10788"/>
    <cellStyle name="输入 6 53 2 2" xfId="61482"/>
    <cellStyle name="输入 6 53 3" xfId="61483"/>
    <cellStyle name="输入 6 53 4" xfId="61484"/>
    <cellStyle name="输入 6 53 5" xfId="61485"/>
    <cellStyle name="输入 6 53 6" xfId="61486"/>
    <cellStyle name="输入 6 53 7" xfId="61487"/>
    <cellStyle name="输入 6 53 8" xfId="61488"/>
    <cellStyle name="输入 6 53 9" xfId="61489"/>
    <cellStyle name="输入 6 54" xfId="10789"/>
    <cellStyle name="输入 6 54 10" xfId="61490"/>
    <cellStyle name="输入 6 54 11" xfId="61491"/>
    <cellStyle name="输入 6 54 2" xfId="10790"/>
    <cellStyle name="输入 6 54 2 2" xfId="61492"/>
    <cellStyle name="输入 6 54 3" xfId="61493"/>
    <cellStyle name="输入 6 54 4" xfId="61494"/>
    <cellStyle name="输入 6 54 5" xfId="61495"/>
    <cellStyle name="输入 6 54 6" xfId="61496"/>
    <cellStyle name="输入 6 54 7" xfId="61497"/>
    <cellStyle name="输入 6 54 8" xfId="61498"/>
    <cellStyle name="输入 6 54 9" xfId="61499"/>
    <cellStyle name="输入 6 55" xfId="10791"/>
    <cellStyle name="输入 6 55 10" xfId="61500"/>
    <cellStyle name="输入 6 55 11" xfId="61501"/>
    <cellStyle name="输入 6 55 12" xfId="61502"/>
    <cellStyle name="输入 6 55 2" xfId="10792"/>
    <cellStyle name="输入 6 55 2 2" xfId="61503"/>
    <cellStyle name="输入 6 55 3" xfId="61504"/>
    <cellStyle name="输入 6 55 4" xfId="61505"/>
    <cellStyle name="输入 6 55 5" xfId="61506"/>
    <cellStyle name="输入 6 55 6" xfId="61507"/>
    <cellStyle name="输入 6 55 7" xfId="61508"/>
    <cellStyle name="输入 6 55 8" xfId="61509"/>
    <cellStyle name="输入 6 55 9" xfId="61510"/>
    <cellStyle name="输入 6 56" xfId="10793"/>
    <cellStyle name="输入 6 56 10" xfId="61511"/>
    <cellStyle name="输入 6 56 11" xfId="61512"/>
    <cellStyle name="输入 6 56 12" xfId="61513"/>
    <cellStyle name="输入 6 56 2" xfId="10794"/>
    <cellStyle name="输入 6 56 2 2" xfId="61514"/>
    <cellStyle name="输入 6 56 3" xfId="61515"/>
    <cellStyle name="输入 6 56 4" xfId="61516"/>
    <cellStyle name="输入 6 56 5" xfId="61517"/>
    <cellStyle name="输入 6 56 6" xfId="61518"/>
    <cellStyle name="输入 6 56 7" xfId="61519"/>
    <cellStyle name="输入 6 56 8" xfId="61520"/>
    <cellStyle name="输入 6 56 9" xfId="61521"/>
    <cellStyle name="输入 6 57" xfId="10795"/>
    <cellStyle name="输入 6 57 10" xfId="61522"/>
    <cellStyle name="输入 6 57 11" xfId="61523"/>
    <cellStyle name="输入 6 57 12" xfId="61524"/>
    <cellStyle name="输入 6 57 2" xfId="10796"/>
    <cellStyle name="输入 6 57 2 2" xfId="61525"/>
    <cellStyle name="输入 6 57 3" xfId="61526"/>
    <cellStyle name="输入 6 57 4" xfId="61527"/>
    <cellStyle name="输入 6 57 5" xfId="61528"/>
    <cellStyle name="输入 6 57 6" xfId="61529"/>
    <cellStyle name="输入 6 57 7" xfId="61530"/>
    <cellStyle name="输入 6 57 8" xfId="61531"/>
    <cellStyle name="输入 6 57 9" xfId="61532"/>
    <cellStyle name="输入 6 58" xfId="10797"/>
    <cellStyle name="输入 6 58 10" xfId="61533"/>
    <cellStyle name="输入 6 58 11" xfId="61534"/>
    <cellStyle name="输入 6 58 12" xfId="61535"/>
    <cellStyle name="输入 6 58 2" xfId="10798"/>
    <cellStyle name="输入 6 58 2 2" xfId="61536"/>
    <cellStyle name="输入 6 58 3" xfId="61537"/>
    <cellStyle name="输入 6 58 4" xfId="61538"/>
    <cellStyle name="输入 6 58 5" xfId="61539"/>
    <cellStyle name="输入 6 58 6" xfId="61540"/>
    <cellStyle name="输入 6 58 7" xfId="61541"/>
    <cellStyle name="输入 6 58 8" xfId="61542"/>
    <cellStyle name="输入 6 58 9" xfId="61543"/>
    <cellStyle name="输入 6 59" xfId="10799"/>
    <cellStyle name="输入 6 59 10" xfId="61544"/>
    <cellStyle name="输入 6 59 11" xfId="61545"/>
    <cellStyle name="输入 6 59 2" xfId="10800"/>
    <cellStyle name="输入 6 59 2 2" xfId="61546"/>
    <cellStyle name="输入 6 59 3" xfId="61547"/>
    <cellStyle name="输入 6 59 4" xfId="61548"/>
    <cellStyle name="输入 6 59 5" xfId="61549"/>
    <cellStyle name="输入 6 59 6" xfId="61550"/>
    <cellStyle name="输入 6 59 7" xfId="61551"/>
    <cellStyle name="输入 6 59 8" xfId="61552"/>
    <cellStyle name="输入 6 59 9" xfId="61553"/>
    <cellStyle name="输入 6 6" xfId="10801"/>
    <cellStyle name="输入 6 6 10" xfId="61554"/>
    <cellStyle name="输入 6 6 11" xfId="61555"/>
    <cellStyle name="输入 6 6 2" xfId="10802"/>
    <cellStyle name="输入 6 6 2 2" xfId="61556"/>
    <cellStyle name="输入 6 6 3" xfId="61557"/>
    <cellStyle name="输入 6 6 4" xfId="61558"/>
    <cellStyle name="输入 6 6 5" xfId="61559"/>
    <cellStyle name="输入 6 6 6" xfId="61560"/>
    <cellStyle name="输入 6 6 7" xfId="61561"/>
    <cellStyle name="输入 6 6 8" xfId="61562"/>
    <cellStyle name="输入 6 6 9" xfId="61563"/>
    <cellStyle name="输入 6 60" xfId="10803"/>
    <cellStyle name="输入 6 60 10" xfId="61564"/>
    <cellStyle name="输入 6 60 11" xfId="61565"/>
    <cellStyle name="输入 6 60 12" xfId="61566"/>
    <cellStyle name="输入 6 60 2" xfId="10804"/>
    <cellStyle name="输入 6 60 2 2" xfId="61567"/>
    <cellStyle name="输入 6 60 3" xfId="61568"/>
    <cellStyle name="输入 6 60 4" xfId="61569"/>
    <cellStyle name="输入 6 60 5" xfId="61570"/>
    <cellStyle name="输入 6 60 6" xfId="61571"/>
    <cellStyle name="输入 6 60 7" xfId="61572"/>
    <cellStyle name="输入 6 60 8" xfId="61573"/>
    <cellStyle name="输入 6 60 9" xfId="61574"/>
    <cellStyle name="输入 6 61" xfId="10805"/>
    <cellStyle name="输入 6 61 10" xfId="61575"/>
    <cellStyle name="输入 6 61 11" xfId="61576"/>
    <cellStyle name="输入 6 61 12" xfId="61577"/>
    <cellStyle name="输入 6 61 2" xfId="10806"/>
    <cellStyle name="输入 6 61 2 2" xfId="61578"/>
    <cellStyle name="输入 6 61 3" xfId="61579"/>
    <cellStyle name="输入 6 61 4" xfId="61580"/>
    <cellStyle name="输入 6 61 5" xfId="61581"/>
    <cellStyle name="输入 6 61 6" xfId="61582"/>
    <cellStyle name="输入 6 61 7" xfId="61583"/>
    <cellStyle name="输入 6 61 8" xfId="61584"/>
    <cellStyle name="输入 6 61 9" xfId="61585"/>
    <cellStyle name="输入 6 62" xfId="10807"/>
    <cellStyle name="输入 6 62 10" xfId="61586"/>
    <cellStyle name="输入 6 62 11" xfId="61587"/>
    <cellStyle name="输入 6 62 12" xfId="61588"/>
    <cellStyle name="输入 6 62 2" xfId="10808"/>
    <cellStyle name="输入 6 62 2 2" xfId="61589"/>
    <cellStyle name="输入 6 62 3" xfId="61590"/>
    <cellStyle name="输入 6 62 4" xfId="61591"/>
    <cellStyle name="输入 6 62 5" xfId="61592"/>
    <cellStyle name="输入 6 62 6" xfId="61593"/>
    <cellStyle name="输入 6 62 7" xfId="61594"/>
    <cellStyle name="输入 6 62 8" xfId="61595"/>
    <cellStyle name="输入 6 62 9" xfId="61596"/>
    <cellStyle name="输入 6 63" xfId="10809"/>
    <cellStyle name="输入 6 63 10" xfId="61597"/>
    <cellStyle name="输入 6 63 11" xfId="61598"/>
    <cellStyle name="输入 6 63 12" xfId="61599"/>
    <cellStyle name="输入 6 63 2" xfId="10810"/>
    <cellStyle name="输入 6 63 2 2" xfId="61600"/>
    <cellStyle name="输入 6 63 3" xfId="61601"/>
    <cellStyle name="输入 6 63 4" xfId="61602"/>
    <cellStyle name="输入 6 63 5" xfId="61603"/>
    <cellStyle name="输入 6 63 6" xfId="61604"/>
    <cellStyle name="输入 6 63 7" xfId="61605"/>
    <cellStyle name="输入 6 63 8" xfId="61606"/>
    <cellStyle name="输入 6 63 9" xfId="61607"/>
    <cellStyle name="输入 6 64" xfId="10811"/>
    <cellStyle name="输入 6 64 10" xfId="61608"/>
    <cellStyle name="输入 6 64 11" xfId="61609"/>
    <cellStyle name="输入 6 64 12" xfId="61610"/>
    <cellStyle name="输入 6 64 2" xfId="10812"/>
    <cellStyle name="输入 6 64 2 2" xfId="61611"/>
    <cellStyle name="输入 6 64 3" xfId="61612"/>
    <cellStyle name="输入 6 64 4" xfId="61613"/>
    <cellStyle name="输入 6 64 5" xfId="61614"/>
    <cellStyle name="输入 6 64 6" xfId="61615"/>
    <cellStyle name="输入 6 64 7" xfId="61616"/>
    <cellStyle name="输入 6 64 8" xfId="61617"/>
    <cellStyle name="输入 6 64 9" xfId="61618"/>
    <cellStyle name="输入 6 65" xfId="10813"/>
    <cellStyle name="输入 6 65 10" xfId="61619"/>
    <cellStyle name="输入 6 65 11" xfId="61620"/>
    <cellStyle name="输入 6 65 12" xfId="61621"/>
    <cellStyle name="输入 6 65 2" xfId="10814"/>
    <cellStyle name="输入 6 65 2 2" xfId="61622"/>
    <cellStyle name="输入 6 65 3" xfId="61623"/>
    <cellStyle name="输入 6 65 4" xfId="61624"/>
    <cellStyle name="输入 6 65 5" xfId="61625"/>
    <cellStyle name="输入 6 65 6" xfId="61626"/>
    <cellStyle name="输入 6 65 7" xfId="61627"/>
    <cellStyle name="输入 6 65 8" xfId="61628"/>
    <cellStyle name="输入 6 65 9" xfId="61629"/>
    <cellStyle name="输入 6 66" xfId="10815"/>
    <cellStyle name="输入 6 66 10" xfId="61630"/>
    <cellStyle name="输入 6 66 11" xfId="61631"/>
    <cellStyle name="输入 6 66 12" xfId="61632"/>
    <cellStyle name="输入 6 66 2" xfId="10816"/>
    <cellStyle name="输入 6 66 2 2" xfId="61633"/>
    <cellStyle name="输入 6 66 3" xfId="61634"/>
    <cellStyle name="输入 6 66 4" xfId="61635"/>
    <cellStyle name="输入 6 66 5" xfId="61636"/>
    <cellStyle name="输入 6 66 6" xfId="61637"/>
    <cellStyle name="输入 6 66 7" xfId="61638"/>
    <cellStyle name="输入 6 66 8" xfId="61639"/>
    <cellStyle name="输入 6 66 9" xfId="61640"/>
    <cellStyle name="输入 6 67" xfId="10817"/>
    <cellStyle name="输入 6 67 10" xfId="61641"/>
    <cellStyle name="输入 6 67 11" xfId="61642"/>
    <cellStyle name="输入 6 67 12" xfId="61643"/>
    <cellStyle name="输入 6 67 2" xfId="10818"/>
    <cellStyle name="输入 6 67 2 2" xfId="61644"/>
    <cellStyle name="输入 6 67 3" xfId="61645"/>
    <cellStyle name="输入 6 67 4" xfId="61646"/>
    <cellStyle name="输入 6 67 5" xfId="61647"/>
    <cellStyle name="输入 6 67 6" xfId="61648"/>
    <cellStyle name="输入 6 67 7" xfId="61649"/>
    <cellStyle name="输入 6 67 8" xfId="61650"/>
    <cellStyle name="输入 6 67 9" xfId="61651"/>
    <cellStyle name="输入 6 68" xfId="10819"/>
    <cellStyle name="输入 6 68 10" xfId="61652"/>
    <cellStyle name="输入 6 68 11" xfId="61653"/>
    <cellStyle name="输入 6 68 12" xfId="61654"/>
    <cellStyle name="输入 6 68 2" xfId="10820"/>
    <cellStyle name="输入 6 68 2 2" xfId="61655"/>
    <cellStyle name="输入 6 68 3" xfId="61656"/>
    <cellStyle name="输入 6 68 4" xfId="61657"/>
    <cellStyle name="输入 6 68 5" xfId="61658"/>
    <cellStyle name="输入 6 68 6" xfId="61659"/>
    <cellStyle name="输入 6 68 7" xfId="61660"/>
    <cellStyle name="输入 6 68 8" xfId="61661"/>
    <cellStyle name="输入 6 68 9" xfId="61662"/>
    <cellStyle name="输入 6 69" xfId="10821"/>
    <cellStyle name="输入 6 69 10" xfId="61663"/>
    <cellStyle name="输入 6 69 11" xfId="61664"/>
    <cellStyle name="输入 6 69 12" xfId="61665"/>
    <cellStyle name="输入 6 69 2" xfId="10822"/>
    <cellStyle name="输入 6 69 2 2" xfId="61666"/>
    <cellStyle name="输入 6 69 3" xfId="61667"/>
    <cellStyle name="输入 6 69 4" xfId="61668"/>
    <cellStyle name="输入 6 69 5" xfId="61669"/>
    <cellStyle name="输入 6 69 6" xfId="61670"/>
    <cellStyle name="输入 6 69 7" xfId="61671"/>
    <cellStyle name="输入 6 69 8" xfId="61672"/>
    <cellStyle name="输入 6 69 9" xfId="61673"/>
    <cellStyle name="输入 6 7" xfId="10823"/>
    <cellStyle name="输入 6 7 10" xfId="61674"/>
    <cellStyle name="输入 6 7 11" xfId="61675"/>
    <cellStyle name="输入 6 7 2" xfId="10824"/>
    <cellStyle name="输入 6 7 2 2" xfId="61676"/>
    <cellStyle name="输入 6 7 3" xfId="61677"/>
    <cellStyle name="输入 6 7 4" xfId="61678"/>
    <cellStyle name="输入 6 7 5" xfId="61679"/>
    <cellStyle name="输入 6 7 6" xfId="61680"/>
    <cellStyle name="输入 6 7 7" xfId="61681"/>
    <cellStyle name="输入 6 7 8" xfId="61682"/>
    <cellStyle name="输入 6 7 9" xfId="61683"/>
    <cellStyle name="输入 6 70" xfId="10825"/>
    <cellStyle name="输入 6 70 10" xfId="61684"/>
    <cellStyle name="输入 6 70 11" xfId="61685"/>
    <cellStyle name="输入 6 70 12" xfId="61686"/>
    <cellStyle name="输入 6 70 2" xfId="10826"/>
    <cellStyle name="输入 6 70 2 2" xfId="61687"/>
    <cellStyle name="输入 6 70 3" xfId="61688"/>
    <cellStyle name="输入 6 70 4" xfId="61689"/>
    <cellStyle name="输入 6 70 5" xfId="61690"/>
    <cellStyle name="输入 6 70 6" xfId="61691"/>
    <cellStyle name="输入 6 70 7" xfId="61692"/>
    <cellStyle name="输入 6 70 8" xfId="61693"/>
    <cellStyle name="输入 6 70 9" xfId="61694"/>
    <cellStyle name="输入 6 71" xfId="10827"/>
    <cellStyle name="输入 6 71 10" xfId="61695"/>
    <cellStyle name="输入 6 71 11" xfId="61696"/>
    <cellStyle name="输入 6 71 12" xfId="61697"/>
    <cellStyle name="输入 6 71 2" xfId="10828"/>
    <cellStyle name="输入 6 71 2 2" xfId="61698"/>
    <cellStyle name="输入 6 71 3" xfId="61699"/>
    <cellStyle name="输入 6 71 4" xfId="61700"/>
    <cellStyle name="输入 6 71 5" xfId="61701"/>
    <cellStyle name="输入 6 71 6" xfId="61702"/>
    <cellStyle name="输入 6 71 7" xfId="61703"/>
    <cellStyle name="输入 6 71 8" xfId="61704"/>
    <cellStyle name="输入 6 71 9" xfId="61705"/>
    <cellStyle name="输入 6 72" xfId="10829"/>
    <cellStyle name="输入 6 72 10" xfId="61706"/>
    <cellStyle name="输入 6 72 11" xfId="61707"/>
    <cellStyle name="输入 6 72 12" xfId="61708"/>
    <cellStyle name="输入 6 72 2" xfId="10830"/>
    <cellStyle name="输入 6 72 2 2" xfId="61709"/>
    <cellStyle name="输入 6 72 3" xfId="61710"/>
    <cellStyle name="输入 6 72 4" xfId="61711"/>
    <cellStyle name="输入 6 72 5" xfId="61712"/>
    <cellStyle name="输入 6 72 6" xfId="61713"/>
    <cellStyle name="输入 6 72 7" xfId="61714"/>
    <cellStyle name="输入 6 72 8" xfId="61715"/>
    <cellStyle name="输入 6 72 9" xfId="61716"/>
    <cellStyle name="输入 6 73" xfId="10831"/>
    <cellStyle name="输入 6 73 10" xfId="61717"/>
    <cellStyle name="输入 6 73 11" xfId="61718"/>
    <cellStyle name="输入 6 73 12" xfId="61719"/>
    <cellStyle name="输入 6 73 2" xfId="10832"/>
    <cellStyle name="输入 6 73 2 2" xfId="61720"/>
    <cellStyle name="输入 6 73 3" xfId="61721"/>
    <cellStyle name="输入 6 73 4" xfId="61722"/>
    <cellStyle name="输入 6 73 5" xfId="61723"/>
    <cellStyle name="输入 6 73 6" xfId="61724"/>
    <cellStyle name="输入 6 73 7" xfId="61725"/>
    <cellStyle name="输入 6 73 8" xfId="61726"/>
    <cellStyle name="输入 6 73 9" xfId="61727"/>
    <cellStyle name="输入 6 74" xfId="10833"/>
    <cellStyle name="输入 6 74 10" xfId="61728"/>
    <cellStyle name="输入 6 74 11" xfId="61729"/>
    <cellStyle name="输入 6 74 12" xfId="61730"/>
    <cellStyle name="输入 6 74 2" xfId="10834"/>
    <cellStyle name="输入 6 74 2 2" xfId="61731"/>
    <cellStyle name="输入 6 74 3" xfId="61732"/>
    <cellStyle name="输入 6 74 4" xfId="61733"/>
    <cellStyle name="输入 6 74 5" xfId="61734"/>
    <cellStyle name="输入 6 74 6" xfId="61735"/>
    <cellStyle name="输入 6 74 7" xfId="61736"/>
    <cellStyle name="输入 6 74 8" xfId="61737"/>
    <cellStyle name="输入 6 74 9" xfId="61738"/>
    <cellStyle name="输入 6 75" xfId="10835"/>
    <cellStyle name="输入 6 75 10" xfId="61739"/>
    <cellStyle name="输入 6 75 11" xfId="61740"/>
    <cellStyle name="输入 6 75 12" xfId="61741"/>
    <cellStyle name="输入 6 75 2" xfId="10836"/>
    <cellStyle name="输入 6 75 2 2" xfId="61742"/>
    <cellStyle name="输入 6 75 3" xfId="61743"/>
    <cellStyle name="输入 6 75 4" xfId="61744"/>
    <cellStyle name="输入 6 75 5" xfId="61745"/>
    <cellStyle name="输入 6 75 6" xfId="61746"/>
    <cellStyle name="输入 6 75 7" xfId="61747"/>
    <cellStyle name="输入 6 75 8" xfId="61748"/>
    <cellStyle name="输入 6 75 9" xfId="61749"/>
    <cellStyle name="输入 6 76" xfId="10837"/>
    <cellStyle name="输入 6 76 10" xfId="61750"/>
    <cellStyle name="输入 6 76 11" xfId="61751"/>
    <cellStyle name="输入 6 76 12" xfId="61752"/>
    <cellStyle name="输入 6 76 2" xfId="10838"/>
    <cellStyle name="输入 6 76 2 2" xfId="61753"/>
    <cellStyle name="输入 6 76 3" xfId="61754"/>
    <cellStyle name="输入 6 76 4" xfId="61755"/>
    <cellStyle name="输入 6 76 5" xfId="61756"/>
    <cellStyle name="输入 6 76 6" xfId="61757"/>
    <cellStyle name="输入 6 76 7" xfId="61758"/>
    <cellStyle name="输入 6 76 8" xfId="61759"/>
    <cellStyle name="输入 6 76 9" xfId="61760"/>
    <cellStyle name="输入 6 77" xfId="10839"/>
    <cellStyle name="输入 6 77 10" xfId="61761"/>
    <cellStyle name="输入 6 77 11" xfId="61762"/>
    <cellStyle name="输入 6 77 12" xfId="61763"/>
    <cellStyle name="输入 6 77 2" xfId="10840"/>
    <cellStyle name="输入 6 77 2 2" xfId="61764"/>
    <cellStyle name="输入 6 77 3" xfId="61765"/>
    <cellStyle name="输入 6 77 4" xfId="61766"/>
    <cellStyle name="输入 6 77 5" xfId="61767"/>
    <cellStyle name="输入 6 77 6" xfId="61768"/>
    <cellStyle name="输入 6 77 7" xfId="61769"/>
    <cellStyle name="输入 6 77 8" xfId="61770"/>
    <cellStyle name="输入 6 77 9" xfId="61771"/>
    <cellStyle name="输入 6 78" xfId="10841"/>
    <cellStyle name="输入 6 78 10" xfId="61772"/>
    <cellStyle name="输入 6 78 11" xfId="61773"/>
    <cellStyle name="输入 6 78 12" xfId="61774"/>
    <cellStyle name="输入 6 78 2" xfId="10842"/>
    <cellStyle name="输入 6 78 2 2" xfId="61775"/>
    <cellStyle name="输入 6 78 3" xfId="61776"/>
    <cellStyle name="输入 6 78 4" xfId="61777"/>
    <cellStyle name="输入 6 78 5" xfId="61778"/>
    <cellStyle name="输入 6 78 6" xfId="61779"/>
    <cellStyle name="输入 6 78 7" xfId="61780"/>
    <cellStyle name="输入 6 78 8" xfId="61781"/>
    <cellStyle name="输入 6 78 9" xfId="61782"/>
    <cellStyle name="输入 6 79" xfId="10843"/>
    <cellStyle name="输入 6 79 10" xfId="61783"/>
    <cellStyle name="输入 6 79 11" xfId="61784"/>
    <cellStyle name="输入 6 79 12" xfId="61785"/>
    <cellStyle name="输入 6 79 2" xfId="10844"/>
    <cellStyle name="输入 6 79 2 2" xfId="61786"/>
    <cellStyle name="输入 6 79 3" xfId="61787"/>
    <cellStyle name="输入 6 79 4" xfId="61788"/>
    <cellStyle name="输入 6 79 5" xfId="61789"/>
    <cellStyle name="输入 6 79 6" xfId="61790"/>
    <cellStyle name="输入 6 79 7" xfId="61791"/>
    <cellStyle name="输入 6 79 8" xfId="61792"/>
    <cellStyle name="输入 6 79 9" xfId="61793"/>
    <cellStyle name="输入 6 8" xfId="10845"/>
    <cellStyle name="输入 6 8 10" xfId="61794"/>
    <cellStyle name="输入 6 8 11" xfId="61795"/>
    <cellStyle name="输入 6 8 2" xfId="10846"/>
    <cellStyle name="输入 6 8 2 2" xfId="61796"/>
    <cellStyle name="输入 6 8 3" xfId="61797"/>
    <cellStyle name="输入 6 8 4" xfId="61798"/>
    <cellStyle name="输入 6 8 5" xfId="61799"/>
    <cellStyle name="输入 6 8 6" xfId="61800"/>
    <cellStyle name="输入 6 8 7" xfId="61801"/>
    <cellStyle name="输入 6 8 8" xfId="61802"/>
    <cellStyle name="输入 6 8 9" xfId="61803"/>
    <cellStyle name="输入 6 80" xfId="10847"/>
    <cellStyle name="输入 6 80 10" xfId="61804"/>
    <cellStyle name="输入 6 80 11" xfId="61805"/>
    <cellStyle name="输入 6 80 12" xfId="61806"/>
    <cellStyle name="输入 6 80 2" xfId="10848"/>
    <cellStyle name="输入 6 80 2 2" xfId="61807"/>
    <cellStyle name="输入 6 80 3" xfId="61808"/>
    <cellStyle name="输入 6 80 4" xfId="61809"/>
    <cellStyle name="输入 6 80 5" xfId="61810"/>
    <cellStyle name="输入 6 80 6" xfId="61811"/>
    <cellStyle name="输入 6 80 7" xfId="61812"/>
    <cellStyle name="输入 6 80 8" xfId="61813"/>
    <cellStyle name="输入 6 80 9" xfId="61814"/>
    <cellStyle name="输入 6 81" xfId="10849"/>
    <cellStyle name="输入 6 81 10" xfId="61815"/>
    <cellStyle name="输入 6 81 11" xfId="61816"/>
    <cellStyle name="输入 6 81 12" xfId="61817"/>
    <cellStyle name="输入 6 81 2" xfId="10850"/>
    <cellStyle name="输入 6 81 2 2" xfId="61818"/>
    <cellStyle name="输入 6 81 3" xfId="61819"/>
    <cellStyle name="输入 6 81 4" xfId="61820"/>
    <cellStyle name="输入 6 81 5" xfId="61821"/>
    <cellStyle name="输入 6 81 6" xfId="61822"/>
    <cellStyle name="输入 6 81 7" xfId="61823"/>
    <cellStyle name="输入 6 81 8" xfId="61824"/>
    <cellStyle name="输入 6 81 9" xfId="61825"/>
    <cellStyle name="输入 6 82" xfId="10851"/>
    <cellStyle name="输入 6 82 10" xfId="61826"/>
    <cellStyle name="输入 6 82 11" xfId="61827"/>
    <cellStyle name="输入 6 82 12" xfId="61828"/>
    <cellStyle name="输入 6 82 2" xfId="10852"/>
    <cellStyle name="输入 6 82 2 2" xfId="61829"/>
    <cellStyle name="输入 6 82 3" xfId="61830"/>
    <cellStyle name="输入 6 82 4" xfId="61831"/>
    <cellStyle name="输入 6 82 5" xfId="61832"/>
    <cellStyle name="输入 6 82 6" xfId="61833"/>
    <cellStyle name="输入 6 82 7" xfId="61834"/>
    <cellStyle name="输入 6 82 8" xfId="61835"/>
    <cellStyle name="输入 6 82 9" xfId="61836"/>
    <cellStyle name="输入 6 83" xfId="10853"/>
    <cellStyle name="输入 6 83 10" xfId="61837"/>
    <cellStyle name="输入 6 83 11" xfId="61838"/>
    <cellStyle name="输入 6 83 12" xfId="61839"/>
    <cellStyle name="输入 6 83 2" xfId="10854"/>
    <cellStyle name="输入 6 83 2 2" xfId="61840"/>
    <cellStyle name="输入 6 83 3" xfId="61841"/>
    <cellStyle name="输入 6 83 4" xfId="61842"/>
    <cellStyle name="输入 6 83 5" xfId="61843"/>
    <cellStyle name="输入 6 83 6" xfId="61844"/>
    <cellStyle name="输入 6 83 7" xfId="61845"/>
    <cellStyle name="输入 6 83 8" xfId="61846"/>
    <cellStyle name="输入 6 83 9" xfId="61847"/>
    <cellStyle name="输入 6 84" xfId="10855"/>
    <cellStyle name="输入 6 84 10" xfId="61848"/>
    <cellStyle name="输入 6 84 11" xfId="61849"/>
    <cellStyle name="输入 6 84 12" xfId="61850"/>
    <cellStyle name="输入 6 84 2" xfId="10856"/>
    <cellStyle name="输入 6 84 2 2" xfId="61851"/>
    <cellStyle name="输入 6 84 3" xfId="61852"/>
    <cellStyle name="输入 6 84 4" xfId="61853"/>
    <cellStyle name="输入 6 84 5" xfId="61854"/>
    <cellStyle name="输入 6 84 6" xfId="61855"/>
    <cellStyle name="输入 6 84 7" xfId="61856"/>
    <cellStyle name="输入 6 84 8" xfId="61857"/>
    <cellStyle name="输入 6 84 9" xfId="61858"/>
    <cellStyle name="输入 6 85" xfId="10857"/>
    <cellStyle name="输入 6 85 10" xfId="61859"/>
    <cellStyle name="输入 6 85 11" xfId="61860"/>
    <cellStyle name="输入 6 85 12" xfId="61861"/>
    <cellStyle name="输入 6 85 2" xfId="10858"/>
    <cellStyle name="输入 6 85 2 2" xfId="61862"/>
    <cellStyle name="输入 6 85 3" xfId="61863"/>
    <cellStyle name="输入 6 85 4" xfId="61864"/>
    <cellStyle name="输入 6 85 5" xfId="61865"/>
    <cellStyle name="输入 6 85 6" xfId="61866"/>
    <cellStyle name="输入 6 85 7" xfId="61867"/>
    <cellStyle name="输入 6 85 8" xfId="61868"/>
    <cellStyle name="输入 6 85 9" xfId="61869"/>
    <cellStyle name="输入 6 86" xfId="10859"/>
    <cellStyle name="输入 6 86 10" xfId="61870"/>
    <cellStyle name="输入 6 86 11" xfId="61871"/>
    <cellStyle name="输入 6 86 2" xfId="10860"/>
    <cellStyle name="输入 6 86 2 2" xfId="61872"/>
    <cellStyle name="输入 6 86 3" xfId="61873"/>
    <cellStyle name="输入 6 86 4" xfId="61874"/>
    <cellStyle name="输入 6 86 5" xfId="61875"/>
    <cellStyle name="输入 6 86 6" xfId="61876"/>
    <cellStyle name="输入 6 86 7" xfId="61877"/>
    <cellStyle name="输入 6 86 8" xfId="61878"/>
    <cellStyle name="输入 6 86 9" xfId="61879"/>
    <cellStyle name="输入 6 87" xfId="10861"/>
    <cellStyle name="输入 6 87 10" xfId="61880"/>
    <cellStyle name="输入 6 87 11" xfId="61881"/>
    <cellStyle name="输入 6 87 12" xfId="61882"/>
    <cellStyle name="输入 6 87 2" xfId="10862"/>
    <cellStyle name="输入 6 87 2 2" xfId="61883"/>
    <cellStyle name="输入 6 87 3" xfId="61884"/>
    <cellStyle name="输入 6 87 4" xfId="61885"/>
    <cellStyle name="输入 6 87 5" xfId="61886"/>
    <cellStyle name="输入 6 87 6" xfId="61887"/>
    <cellStyle name="输入 6 87 7" xfId="61888"/>
    <cellStyle name="输入 6 87 8" xfId="61889"/>
    <cellStyle name="输入 6 87 9" xfId="61890"/>
    <cellStyle name="输入 6 88" xfId="10863"/>
    <cellStyle name="输入 6 88 10" xfId="61891"/>
    <cellStyle name="输入 6 88 11" xfId="61892"/>
    <cellStyle name="输入 6 88 12" xfId="61893"/>
    <cellStyle name="输入 6 88 2" xfId="10864"/>
    <cellStyle name="输入 6 88 2 2" xfId="61894"/>
    <cellStyle name="输入 6 88 3" xfId="61895"/>
    <cellStyle name="输入 6 88 4" xfId="61896"/>
    <cellStyle name="输入 6 88 5" xfId="61897"/>
    <cellStyle name="输入 6 88 6" xfId="61898"/>
    <cellStyle name="输入 6 88 7" xfId="61899"/>
    <cellStyle name="输入 6 88 8" xfId="61900"/>
    <cellStyle name="输入 6 88 9" xfId="61901"/>
    <cellStyle name="输入 6 89" xfId="10865"/>
    <cellStyle name="输入 6 89 10" xfId="61902"/>
    <cellStyle name="输入 6 89 11" xfId="61903"/>
    <cellStyle name="输入 6 89 12" xfId="61904"/>
    <cellStyle name="输入 6 89 2" xfId="10866"/>
    <cellStyle name="输入 6 89 2 2" xfId="61905"/>
    <cellStyle name="输入 6 89 3" xfId="61906"/>
    <cellStyle name="输入 6 89 4" xfId="61907"/>
    <cellStyle name="输入 6 89 5" xfId="61908"/>
    <cellStyle name="输入 6 89 6" xfId="61909"/>
    <cellStyle name="输入 6 89 7" xfId="61910"/>
    <cellStyle name="输入 6 89 8" xfId="61911"/>
    <cellStyle name="输入 6 89 9" xfId="61912"/>
    <cellStyle name="输入 6 9" xfId="10867"/>
    <cellStyle name="输入 6 9 10" xfId="61913"/>
    <cellStyle name="输入 6 9 11" xfId="61914"/>
    <cellStyle name="输入 6 9 2" xfId="10868"/>
    <cellStyle name="输入 6 9 2 2" xfId="61915"/>
    <cellStyle name="输入 6 9 3" xfId="61916"/>
    <cellStyle name="输入 6 9 4" xfId="61917"/>
    <cellStyle name="输入 6 9 5" xfId="61918"/>
    <cellStyle name="输入 6 9 6" xfId="61919"/>
    <cellStyle name="输入 6 9 7" xfId="61920"/>
    <cellStyle name="输入 6 9 8" xfId="61921"/>
    <cellStyle name="输入 6 9 9" xfId="61922"/>
    <cellStyle name="输入 6 90" xfId="10869"/>
    <cellStyle name="输入 6 90 10" xfId="61923"/>
    <cellStyle name="输入 6 90 11" xfId="61924"/>
    <cellStyle name="输入 6 90 12" xfId="61925"/>
    <cellStyle name="输入 6 90 2" xfId="10870"/>
    <cellStyle name="输入 6 90 2 2" xfId="61926"/>
    <cellStyle name="输入 6 90 3" xfId="61927"/>
    <cellStyle name="输入 6 90 4" xfId="61928"/>
    <cellStyle name="输入 6 90 5" xfId="61929"/>
    <cellStyle name="输入 6 90 6" xfId="61930"/>
    <cellStyle name="输入 6 90 7" xfId="61931"/>
    <cellStyle name="输入 6 90 8" xfId="61932"/>
    <cellStyle name="输入 6 90 9" xfId="61933"/>
    <cellStyle name="输入 6 91" xfId="10871"/>
    <cellStyle name="输入 6 91 10" xfId="61934"/>
    <cellStyle name="输入 6 91 11" xfId="61935"/>
    <cellStyle name="输入 6 91 12" xfId="61936"/>
    <cellStyle name="输入 6 91 2" xfId="10872"/>
    <cellStyle name="输入 6 91 2 2" xfId="61937"/>
    <cellStyle name="输入 6 91 3" xfId="61938"/>
    <cellStyle name="输入 6 91 4" xfId="61939"/>
    <cellStyle name="输入 6 91 5" xfId="61940"/>
    <cellStyle name="输入 6 91 6" xfId="61941"/>
    <cellStyle name="输入 6 91 7" xfId="61942"/>
    <cellStyle name="输入 6 91 8" xfId="61943"/>
    <cellStyle name="输入 6 91 9" xfId="61944"/>
    <cellStyle name="输入 6 92" xfId="10873"/>
    <cellStyle name="输入 6 92 10" xfId="61945"/>
    <cellStyle name="输入 6 92 11" xfId="61946"/>
    <cellStyle name="输入 6 92 12" xfId="61947"/>
    <cellStyle name="输入 6 92 2" xfId="10874"/>
    <cellStyle name="输入 6 92 2 2" xfId="61948"/>
    <cellStyle name="输入 6 92 3" xfId="61949"/>
    <cellStyle name="输入 6 92 4" xfId="61950"/>
    <cellStyle name="输入 6 92 5" xfId="61951"/>
    <cellStyle name="输入 6 92 6" xfId="61952"/>
    <cellStyle name="输入 6 92 7" xfId="61953"/>
    <cellStyle name="输入 6 92 8" xfId="61954"/>
    <cellStyle name="输入 6 92 9" xfId="61955"/>
    <cellStyle name="输入 6 93" xfId="10875"/>
    <cellStyle name="输入 6 93 10" xfId="61956"/>
    <cellStyle name="输入 6 93 11" xfId="61957"/>
    <cellStyle name="输入 6 93 2" xfId="10876"/>
    <cellStyle name="输入 6 93 2 2" xfId="61958"/>
    <cellStyle name="输入 6 93 3" xfId="61959"/>
    <cellStyle name="输入 6 93 4" xfId="61960"/>
    <cellStyle name="输入 6 93 5" xfId="61961"/>
    <cellStyle name="输入 6 93 6" xfId="61962"/>
    <cellStyle name="输入 6 93 7" xfId="61963"/>
    <cellStyle name="输入 6 93 8" xfId="61964"/>
    <cellStyle name="输入 6 93 9" xfId="61965"/>
    <cellStyle name="输入 6 94" xfId="10877"/>
    <cellStyle name="输入 6 94 2" xfId="61966"/>
    <cellStyle name="输入 6 95" xfId="11505"/>
    <cellStyle name="输入 6_YL Capex Cashflow &amp; Dep" xfId="13958"/>
    <cellStyle name="输入 7" xfId="3314"/>
    <cellStyle name="输入 7 10" xfId="61967"/>
    <cellStyle name="输入 7 2" xfId="3315"/>
    <cellStyle name="输入 7 2 2" xfId="12944"/>
    <cellStyle name="输入 7 2_YL Capex Cashflow &amp; Dep" xfId="13961"/>
    <cellStyle name="输入 7 3" xfId="12254"/>
    <cellStyle name="输入 7 4" xfId="61968"/>
    <cellStyle name="输入 7 5" xfId="61969"/>
    <cellStyle name="输入 7 6" xfId="61970"/>
    <cellStyle name="输入 7 7" xfId="61971"/>
    <cellStyle name="输入 7 8" xfId="61972"/>
    <cellStyle name="输入 7 9" xfId="61973"/>
    <cellStyle name="输入 7_YL Capex Cashflow &amp; Dep" xfId="13960"/>
    <cellStyle name="输入 8" xfId="3316"/>
    <cellStyle name="输入 8 10" xfId="61974"/>
    <cellStyle name="输入 8 11" xfId="61975"/>
    <cellStyle name="输入 8 12" xfId="61976"/>
    <cellStyle name="输入 8 2" xfId="10878"/>
    <cellStyle name="输入 8 2 2" xfId="61977"/>
    <cellStyle name="输入 8 3" xfId="12920"/>
    <cellStyle name="输入 8 4" xfId="61978"/>
    <cellStyle name="输入 8 5" xfId="61979"/>
    <cellStyle name="输入 8 6" xfId="61980"/>
    <cellStyle name="输入 8 7" xfId="61981"/>
    <cellStyle name="输入 8 8" xfId="61982"/>
    <cellStyle name="输入 8 9" xfId="61983"/>
    <cellStyle name="输入 8_YL Capex Cashflow &amp; Dep" xfId="13962"/>
    <cellStyle name="输入 9" xfId="10879"/>
    <cellStyle name="输入 9 10" xfId="61984"/>
    <cellStyle name="输入 9 11" xfId="61985"/>
    <cellStyle name="输入 9 2" xfId="10880"/>
    <cellStyle name="输入 9 2 2" xfId="61986"/>
    <cellStyle name="输入 9 3" xfId="61987"/>
    <cellStyle name="输入 9 4" xfId="61988"/>
    <cellStyle name="输入 9 5" xfId="61989"/>
    <cellStyle name="输入 9 6" xfId="61990"/>
    <cellStyle name="输入 9 7" xfId="61991"/>
    <cellStyle name="输入 9 8" xfId="61992"/>
    <cellStyle name="输入 9 9" xfId="61993"/>
    <cellStyle name="输入_YL Capex Cashflow &amp; Dep" xfId="13899"/>
    <cellStyle name="通貨 [0.00]_１１月価格表" xfId="3317"/>
    <cellStyle name="通貨_１１月価格表" xfId="3318"/>
    <cellStyle name="钎霖_(沥焊何巩)岿喊牢盔拌裙" xfId="3319"/>
    <cellStyle name="閉撰蟈諉" xfId="3320"/>
    <cellStyle name="閉窣磐_Book1" xfId="3321"/>
    <cellStyle name="隨後的超耣結" xfId="3322"/>
    <cellStyle name="隨後的超連結" xfId="3323"/>
    <cellStyle name="霓付 [0]_1202" xfId="3324"/>
    <cellStyle name="霓付_1202" xfId="3325"/>
    <cellStyle name="鱔 [0]_95" xfId="3326"/>
    <cellStyle name="鱔_95" xfId="3327"/>
  </cellStyles>
  <dxfs count="12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FCC"/>
      <color rgb="FFFFCCFF"/>
      <color rgb="FFCCECFF"/>
      <color rgb="FFCCFFCC"/>
      <color rgb="FF66CCFF"/>
      <color rgb="FFCCFF99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9" Type="http://schemas.openxmlformats.org/officeDocument/2006/relationships/externalLink" Target="externalLinks/externalLink14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9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7.xml"/><Relationship Id="rId37" Type="http://schemas.openxmlformats.org/officeDocument/2006/relationships/externalLink" Target="externalLinks/externalLink12.xml"/><Relationship Id="rId40" Type="http://schemas.openxmlformats.org/officeDocument/2006/relationships/externalLink" Target="externalLinks/externalLink1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externalLink" Target="externalLinks/externalLink1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6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Relationship Id="rId35" Type="http://schemas.openxmlformats.org/officeDocument/2006/relationships/externalLink" Target="externalLinks/externalLink10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8.xml"/><Relationship Id="rId38" Type="http://schemas.openxmlformats.org/officeDocument/2006/relationships/externalLink" Target="externalLinks/externalLink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Cashflow,</a:t>
            </a:r>
            <a:r>
              <a:rPr lang="en-US" baseline="0"/>
              <a:t> bank &amp; loan balances W/O refinancing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7013512046530304E-2"/>
          <c:y val="0.10951008213995519"/>
          <c:w val="0.59432194994000809"/>
          <c:h val="0.87547426097285286"/>
        </c:manualLayout>
      </c:layout>
      <c:lineChart>
        <c:grouping val="standard"/>
        <c:varyColors val="0"/>
        <c:ser>
          <c:idx val="0"/>
          <c:order val="0"/>
          <c:tx>
            <c:strRef>
              <c:f>'Cashflow trend'!$A$16</c:f>
              <c:strCache>
                <c:ptCount val="1"/>
                <c:pt idx="0">
                  <c:v>Net cash inflow from core operation</c:v>
                </c:pt>
              </c:strCache>
            </c:strRef>
          </c:tx>
          <c:marker>
            <c:symbol val="none"/>
          </c:marker>
          <c:cat>
            <c:strRef>
              <c:f>'Cashflow trend'!$B$15:$P$15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trend'!$B$16:$P$16</c:f>
              <c:numCache>
                <c:formatCode>#,##0;\-#,##0;\ \ \-\ \ </c:formatCode>
                <c:ptCount val="15"/>
                <c:pt idx="0">
                  <c:v>85661.724840835101</c:v>
                </c:pt>
                <c:pt idx="1">
                  <c:v>143874.33549196983</c:v>
                </c:pt>
                <c:pt idx="2">
                  <c:v>118185.01404212714</c:v>
                </c:pt>
                <c:pt idx="3">
                  <c:v>109649.5917626797</c:v>
                </c:pt>
                <c:pt idx="4">
                  <c:v>91174.151340035984</c:v>
                </c:pt>
                <c:pt idx="5">
                  <c:v>55727.6668187018</c:v>
                </c:pt>
                <c:pt idx="6">
                  <c:v>109764.01433718709</c:v>
                </c:pt>
                <c:pt idx="7">
                  <c:v>-27268.559578092987</c:v>
                </c:pt>
                <c:pt idx="8">
                  <c:v>-2551.9462607385012</c:v>
                </c:pt>
                <c:pt idx="9">
                  <c:v>61564.807859375811</c:v>
                </c:pt>
                <c:pt idx="10">
                  <c:v>108500.76872648575</c:v>
                </c:pt>
                <c:pt idx="11">
                  <c:v>119539.57948550134</c:v>
                </c:pt>
                <c:pt idx="12">
                  <c:v>138817.69740324651</c:v>
                </c:pt>
                <c:pt idx="13">
                  <c:v>168335.48200252643</c:v>
                </c:pt>
                <c:pt idx="14">
                  <c:v>190757.73388502031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0D-4455-B36A-BB4072CD95B7}"/>
            </c:ext>
          </c:extLst>
        </c:ser>
        <c:ser>
          <c:idx val="1"/>
          <c:order val="1"/>
          <c:tx>
            <c:strRef>
              <c:f>'Cashflow trend'!$A$17</c:f>
              <c:strCache>
                <c:ptCount val="1"/>
                <c:pt idx="0">
                  <c:v>Cashflow for non-operating &amp; project opex</c:v>
                </c:pt>
              </c:strCache>
            </c:strRef>
          </c:tx>
          <c:marker>
            <c:symbol val="none"/>
          </c:marker>
          <c:cat>
            <c:strRef>
              <c:f>'Cashflow trend'!$B$15:$P$15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trend'!$B$17:$P$17</c:f>
              <c:numCache>
                <c:formatCode>#,##0;\-#,##0;\ \ \-\ \ </c:formatCode>
                <c:ptCount val="15"/>
                <c:pt idx="0">
                  <c:v>-28473.514999999999</c:v>
                </c:pt>
                <c:pt idx="1">
                  <c:v>-18495.899229999999</c:v>
                </c:pt>
                <c:pt idx="2">
                  <c:v>-38035.709919999994</c:v>
                </c:pt>
                <c:pt idx="3">
                  <c:v>-52130.141510000001</c:v>
                </c:pt>
                <c:pt idx="4">
                  <c:v>-66451.063559999995</c:v>
                </c:pt>
                <c:pt idx="5">
                  <c:v>-54651.130427603064</c:v>
                </c:pt>
                <c:pt idx="6">
                  <c:v>-59505.343550000005</c:v>
                </c:pt>
                <c:pt idx="7">
                  <c:v>-730</c:v>
                </c:pt>
                <c:pt idx="8">
                  <c:v>-5475</c:v>
                </c:pt>
                <c:pt idx="9">
                  <c:v>-6784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0D-4455-B36A-BB4072CD95B7}"/>
            </c:ext>
          </c:extLst>
        </c:ser>
        <c:ser>
          <c:idx val="2"/>
          <c:order val="2"/>
          <c:tx>
            <c:strRef>
              <c:f>'Cashflow trend'!$A$18</c:f>
              <c:strCache>
                <c:ptCount val="1"/>
                <c:pt idx="0">
                  <c:v>Net cash inflow from inorganic businesses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strRef>
              <c:f>'Cashflow trend'!$B$15:$P$15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trend'!$B$18:$P$18</c:f>
              <c:numCache>
                <c:formatCode>#,##0;\-#,##0;\ \ \-\ \ 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0D-4455-B36A-BB4072CD95B7}"/>
            </c:ext>
          </c:extLst>
        </c:ser>
        <c:ser>
          <c:idx val="3"/>
          <c:order val="3"/>
          <c:tx>
            <c:strRef>
              <c:f>'Cashflow trend'!$A$19</c:f>
              <c:strCache>
                <c:ptCount val="1"/>
                <c:pt idx="0">
                  <c:v>Payment for Yuen Long Capex</c:v>
                </c:pt>
              </c:strCache>
            </c:strRef>
          </c:tx>
          <c:marker>
            <c:symbol val="none"/>
          </c:marker>
          <c:cat>
            <c:strRef>
              <c:f>'Cashflow trend'!$B$15:$P$15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trend'!$B$19:$P$19</c:f>
              <c:numCache>
                <c:formatCode>#,##0;\-#,##0;\ \ \-\ \ </c:formatCode>
                <c:ptCount val="15"/>
                <c:pt idx="0">
                  <c:v>-44256.369029999973</c:v>
                </c:pt>
                <c:pt idx="1">
                  <c:v>-317743.71015000006</c:v>
                </c:pt>
                <c:pt idx="2">
                  <c:v>-390056.06186000002</c:v>
                </c:pt>
                <c:pt idx="3">
                  <c:v>-315927.02423000004</c:v>
                </c:pt>
                <c:pt idx="4">
                  <c:v>-151883.40371999997</c:v>
                </c:pt>
                <c:pt idx="5">
                  <c:v>-77663.557990000016</c:v>
                </c:pt>
                <c:pt idx="6">
                  <c:v>-82747.448000000004</c:v>
                </c:pt>
                <c:pt idx="7">
                  <c:v>-30414.409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0D-4455-B36A-BB4072CD95B7}"/>
            </c:ext>
          </c:extLst>
        </c:ser>
        <c:ser>
          <c:idx val="4"/>
          <c:order val="4"/>
          <c:tx>
            <c:strRef>
              <c:f>'Cashflow trend'!$A$20</c:f>
              <c:strCache>
                <c:ptCount val="1"/>
                <c:pt idx="0">
                  <c:v>Net banking financing w/o Shareholder Loan</c:v>
                </c:pt>
              </c:strCache>
            </c:strRef>
          </c:tx>
          <c:marker>
            <c:symbol val="none"/>
          </c:marker>
          <c:cat>
            <c:strRef>
              <c:f>'Cashflow trend'!$B$15:$P$15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trend'!$B$20:$P$20</c:f>
            </c:numRef>
          </c:val>
          <c:smooth val="0"/>
          <c:extLst>
            <c:ext xmlns:c16="http://schemas.microsoft.com/office/drawing/2014/chart" uri="{C3380CC4-5D6E-409C-BE32-E72D297353CC}">
              <c16:uniqueId val="{00000004-6C0D-4455-B36A-BB4072CD95B7}"/>
            </c:ext>
          </c:extLst>
        </c:ser>
        <c:ser>
          <c:idx val="5"/>
          <c:order val="5"/>
          <c:tx>
            <c:strRef>
              <c:f>'Cashflow trend'!$A$21</c:f>
              <c:strCache>
                <c:ptCount val="1"/>
                <c:pt idx="0">
                  <c:v>Bank balance w/o Shareholder Loan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'Cashflow trend'!$B$15:$P$15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trend'!$B$21:$P$21</c:f>
            </c:numRef>
          </c:val>
          <c:smooth val="0"/>
          <c:extLst>
            <c:ext xmlns:c16="http://schemas.microsoft.com/office/drawing/2014/chart" uri="{C3380CC4-5D6E-409C-BE32-E72D297353CC}">
              <c16:uniqueId val="{00000005-6C0D-4455-B36A-BB4072CD95B7}"/>
            </c:ext>
          </c:extLst>
        </c:ser>
        <c:ser>
          <c:idx val="6"/>
          <c:order val="6"/>
          <c:tx>
            <c:strRef>
              <c:f>'Cashflow trend'!$A$25</c:f>
              <c:strCache>
                <c:ptCount val="1"/>
                <c:pt idx="0">
                  <c:v>Club Loan balance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strRef>
              <c:f>'Cashflow trend'!$B$15:$P$15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trend'!$B$25:$P$25</c:f>
              <c:numCache>
                <c:formatCode>#,##0;\-#,##0;\ \ \-\ \ </c:formatCode>
                <c:ptCount val="15"/>
                <c:pt idx="0">
                  <c:v>0</c:v>
                </c:pt>
                <c:pt idx="1">
                  <c:v>-156873.302</c:v>
                </c:pt>
                <c:pt idx="2">
                  <c:v>-458691.30200000003</c:v>
                </c:pt>
                <c:pt idx="3">
                  <c:v>-684331.30200000003</c:v>
                </c:pt>
                <c:pt idx="4">
                  <c:v>-794608.30200000003</c:v>
                </c:pt>
                <c:pt idx="5">
                  <c:v>-921500</c:v>
                </c:pt>
                <c:pt idx="6">
                  <c:v>-824500</c:v>
                </c:pt>
                <c:pt idx="7">
                  <c:v>-630500</c:v>
                </c:pt>
                <c:pt idx="8">
                  <c:v>-400125</c:v>
                </c:pt>
                <c:pt idx="9">
                  <c:v>-133374.99999999997</c:v>
                </c:pt>
                <c:pt idx="10">
                  <c:v>4.470348358154297E-11</c:v>
                </c:pt>
                <c:pt idx="11">
                  <c:v>4.470348358154297E-11</c:v>
                </c:pt>
                <c:pt idx="12">
                  <c:v>4.470348358154297E-11</c:v>
                </c:pt>
                <c:pt idx="13">
                  <c:v>4.470348358154297E-11</c:v>
                </c:pt>
                <c:pt idx="14">
                  <c:v>4.470348358154297E-11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0D-4455-B36A-BB4072CD95B7}"/>
            </c:ext>
          </c:extLst>
        </c:ser>
        <c:ser>
          <c:idx val="7"/>
          <c:order val="7"/>
          <c:tx>
            <c:strRef>
              <c:f>'Cashflow trend'!$A$26</c:f>
              <c:strCache>
                <c:ptCount val="1"/>
                <c:pt idx="0">
                  <c:v>New Bank Loan Balance</c:v>
                </c:pt>
              </c:strCache>
            </c:strRef>
          </c:tx>
          <c:marker>
            <c:symbol val="none"/>
          </c:marker>
          <c:cat>
            <c:strRef>
              <c:f>'Cashflow trend'!$B$15:$P$15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trend'!$B$26:$P$26</c:f>
              <c:numCache>
                <c:formatCode>#,##0;\-#,##0;\ \ \-\ \ </c:formatCode>
                <c:ptCount val="15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E7-48C5-BFCC-105BE38F1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896752"/>
        <c:axId val="205896192"/>
      </c:lineChart>
      <c:catAx>
        <c:axId val="2058967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05896192"/>
        <c:crosses val="autoZero"/>
        <c:auto val="1"/>
        <c:lblAlgn val="ctr"/>
        <c:lblOffset val="100"/>
        <c:noMultiLvlLbl val="0"/>
      </c:catAx>
      <c:valAx>
        <c:axId val="205896192"/>
        <c:scaling>
          <c:orientation val="minMax"/>
          <c:max val="1000000"/>
          <c:min val="-1000000"/>
        </c:scaling>
        <c:delete val="0"/>
        <c:axPos val="l"/>
        <c:majorGridlines/>
        <c:numFmt formatCode="#,##0;\-#,##0;\ \ \-\ \ " sourceLinked="1"/>
        <c:majorTickMark val="none"/>
        <c:minorTickMark val="none"/>
        <c:tickLblPos val="nextTo"/>
        <c:crossAx val="2058967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129283457152835"/>
          <c:y val="0.2036431212521792"/>
          <c:w val="0.30870720849290462"/>
          <c:h val="0.7065410147393824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Cashflow, bank &amp; loan balances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'Cashflow trend'!$A$111</c:f>
              <c:strCache>
                <c:ptCount val="1"/>
                <c:pt idx="0">
                  <c:v>Net cash inflow from core operation</c:v>
                </c:pt>
              </c:strCache>
            </c:strRef>
          </c:tx>
          <c:marker>
            <c:symbol val="none"/>
          </c:marker>
          <c:val>
            <c:numRef>
              <c:f>'Cashflow trend'!$B$111:$P$111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'Cashflow trend'!$B$110:$P$110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4DF4-4C7A-B5DC-335F5A07FDC0}"/>
            </c:ext>
          </c:extLst>
        </c:ser>
        <c:ser>
          <c:idx val="1"/>
          <c:order val="1"/>
          <c:tx>
            <c:strRef>
              <c:f>'Cashflow trend'!$A$112</c:f>
              <c:strCache>
                <c:ptCount val="1"/>
                <c:pt idx="0">
                  <c:v>Cashflow for non-operating &amp; project opex</c:v>
                </c:pt>
              </c:strCache>
            </c:strRef>
          </c:tx>
          <c:marker>
            <c:symbol val="none"/>
          </c:marker>
          <c:val>
            <c:numRef>
              <c:f>'Cashflow trend'!$B$112:$P$112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'Cashflow trend'!$B$110:$P$110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4DF4-4C7A-B5DC-335F5A07FDC0}"/>
            </c:ext>
          </c:extLst>
        </c:ser>
        <c:ser>
          <c:idx val="2"/>
          <c:order val="2"/>
          <c:tx>
            <c:strRef>
              <c:f>'Cashflow trend'!$A$113</c:f>
              <c:strCache>
                <c:ptCount val="1"/>
                <c:pt idx="0">
                  <c:v>Net cash inflow from inorganic businesses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val>
            <c:numRef>
              <c:f>'Cashflow trend'!$B$113:$P$113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'Cashflow trend'!$B$110:$P$110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4DF4-4C7A-B5DC-335F5A07FDC0}"/>
            </c:ext>
          </c:extLst>
        </c:ser>
        <c:ser>
          <c:idx val="3"/>
          <c:order val="3"/>
          <c:tx>
            <c:strRef>
              <c:f>'Cashflow trend'!$A$114</c:f>
              <c:strCache>
                <c:ptCount val="1"/>
                <c:pt idx="0">
                  <c:v>Payment for Yuen Long Capex</c:v>
                </c:pt>
              </c:strCache>
            </c:strRef>
          </c:tx>
          <c:marker>
            <c:symbol val="none"/>
          </c:marker>
          <c:val>
            <c:numRef>
              <c:f>'Cashflow trend'!$B$114:$P$114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'Cashflow trend'!$B$110:$P$110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4DF4-4C7A-B5DC-335F5A07FDC0}"/>
            </c:ext>
          </c:extLst>
        </c:ser>
        <c:ser>
          <c:idx val="4"/>
          <c:order val="4"/>
          <c:tx>
            <c:strRef>
              <c:f>'Cashflow trend'!$A$115</c:f>
              <c:strCache>
                <c:ptCount val="1"/>
                <c:pt idx="0">
                  <c:v>Net banking financing</c:v>
                </c:pt>
              </c:strCache>
            </c:strRef>
          </c:tx>
          <c:marker>
            <c:symbol val="none"/>
          </c:marker>
          <c:val>
            <c:numRef>
              <c:f>'Cashflow trend'!$B$115:$P$115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'Cashflow trend'!$B$110:$P$110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4DF4-4C7A-B5DC-335F5A07FDC0}"/>
            </c:ext>
          </c:extLst>
        </c:ser>
        <c:ser>
          <c:idx val="5"/>
          <c:order val="5"/>
          <c:tx>
            <c:strRef>
              <c:f>'Cashflow trend'!$A$116</c:f>
              <c:strCache>
                <c:ptCount val="1"/>
                <c:pt idx="0">
                  <c:v>Bank balance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'Cashflow trend'!$B$116:$P$116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'Cashflow trend'!$B$110:$P$110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4DF4-4C7A-B5DC-335F5A07FDC0}"/>
            </c:ext>
          </c:extLst>
        </c:ser>
        <c:ser>
          <c:idx val="6"/>
          <c:order val="6"/>
          <c:tx>
            <c:strRef>
              <c:f>'Cashflow trend'!$A$117</c:f>
              <c:strCache>
                <c:ptCount val="1"/>
                <c:pt idx="0">
                  <c:v>Loan balance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val>
            <c:numRef>
              <c:f>'Cashflow trend'!$B$117:$P$117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'Cashflow trend'!$B$110:$P$110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4DF4-4C7A-B5DC-335F5A07F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471792"/>
        <c:axId val="337472352"/>
      </c:lineChart>
      <c:catAx>
        <c:axId val="33747179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337472352"/>
        <c:crosses val="autoZero"/>
        <c:auto val="1"/>
        <c:lblAlgn val="ctr"/>
        <c:lblOffset val="100"/>
        <c:noMultiLvlLbl val="0"/>
      </c:catAx>
      <c:valAx>
        <c:axId val="337472352"/>
        <c:scaling>
          <c:orientation val="minMax"/>
          <c:max val="1000000"/>
          <c:min val="-1000000"/>
        </c:scaling>
        <c:delete val="0"/>
        <c:axPos val="l"/>
        <c:majorGridlines/>
        <c:numFmt formatCode="#,##0;\-#,##0;\ \ \-\ \ " sourceLinked="1"/>
        <c:majorTickMark val="none"/>
        <c:minorTickMark val="none"/>
        <c:tickLblPos val="nextTo"/>
        <c:crossAx val="3374717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112044539808452"/>
          <c:y val="0.1922869946525049"/>
          <c:w val="0.2535014313443571"/>
          <c:h val="0.562215316709049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Cashflow, bank &amp; loan balances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'Cashflow trend'!$A$148</c:f>
              <c:strCache>
                <c:ptCount val="1"/>
                <c:pt idx="0">
                  <c:v>Net cash inflow from core operation</c:v>
                </c:pt>
              </c:strCache>
            </c:strRef>
          </c:tx>
          <c:marker>
            <c:symbol val="none"/>
          </c:marker>
          <c:val>
            <c:numRef>
              <c:f>'Cashflow trend'!$B$148:$P$148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'Cashflow trend'!$B$147:$P$147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E78F-4F21-9D20-F1FDBDC9ECF3}"/>
            </c:ext>
          </c:extLst>
        </c:ser>
        <c:ser>
          <c:idx val="1"/>
          <c:order val="1"/>
          <c:tx>
            <c:strRef>
              <c:f>'Cashflow trend'!$A$149</c:f>
              <c:strCache>
                <c:ptCount val="1"/>
                <c:pt idx="0">
                  <c:v>Cashflow for non-operating &amp; project opex</c:v>
                </c:pt>
              </c:strCache>
            </c:strRef>
          </c:tx>
          <c:marker>
            <c:symbol val="none"/>
          </c:marker>
          <c:val>
            <c:numRef>
              <c:f>'Cashflow trend'!$B$149:$P$149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'Cashflow trend'!$B$147:$P$147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E78F-4F21-9D20-F1FDBDC9ECF3}"/>
            </c:ext>
          </c:extLst>
        </c:ser>
        <c:ser>
          <c:idx val="2"/>
          <c:order val="2"/>
          <c:tx>
            <c:strRef>
              <c:f>'Cashflow trend'!$A$150</c:f>
              <c:strCache>
                <c:ptCount val="1"/>
                <c:pt idx="0">
                  <c:v>Net cash inflow from inorganic businesses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val>
            <c:numRef>
              <c:f>'Cashflow trend'!$B$150:$P$150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'Cashflow trend'!$B$147:$P$147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E78F-4F21-9D20-F1FDBDC9ECF3}"/>
            </c:ext>
          </c:extLst>
        </c:ser>
        <c:ser>
          <c:idx val="3"/>
          <c:order val="3"/>
          <c:tx>
            <c:strRef>
              <c:f>'Cashflow trend'!$A$151</c:f>
              <c:strCache>
                <c:ptCount val="1"/>
                <c:pt idx="0">
                  <c:v>Payment for Yuen Long Capex</c:v>
                </c:pt>
              </c:strCache>
            </c:strRef>
          </c:tx>
          <c:marker>
            <c:symbol val="none"/>
          </c:marker>
          <c:val>
            <c:numRef>
              <c:f>'Cashflow trend'!$B$151:$P$151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'Cashflow trend'!$B$147:$P$147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E78F-4F21-9D20-F1FDBDC9ECF3}"/>
            </c:ext>
          </c:extLst>
        </c:ser>
        <c:ser>
          <c:idx val="4"/>
          <c:order val="4"/>
          <c:tx>
            <c:strRef>
              <c:f>'Cashflow trend'!$A$152</c:f>
              <c:strCache>
                <c:ptCount val="1"/>
                <c:pt idx="0">
                  <c:v>Net banking financing</c:v>
                </c:pt>
              </c:strCache>
            </c:strRef>
          </c:tx>
          <c:marker>
            <c:symbol val="none"/>
          </c:marker>
          <c:val>
            <c:numRef>
              <c:f>'Cashflow trend'!$B$152:$P$152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'Cashflow trend'!$B$147:$P$147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E78F-4F21-9D20-F1FDBDC9ECF3}"/>
            </c:ext>
          </c:extLst>
        </c:ser>
        <c:ser>
          <c:idx val="5"/>
          <c:order val="5"/>
          <c:tx>
            <c:strRef>
              <c:f>'Cashflow trend'!$A$153</c:f>
              <c:strCache>
                <c:ptCount val="1"/>
                <c:pt idx="0">
                  <c:v>Bank balance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'Cashflow trend'!$B$153:$P$153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'Cashflow trend'!$B$147:$P$147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E78F-4F21-9D20-F1FDBDC9ECF3}"/>
            </c:ext>
          </c:extLst>
        </c:ser>
        <c:ser>
          <c:idx val="6"/>
          <c:order val="6"/>
          <c:tx>
            <c:strRef>
              <c:f>'Cashflow trend'!$A$154</c:f>
              <c:strCache>
                <c:ptCount val="1"/>
                <c:pt idx="0">
                  <c:v>Loan balance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val>
            <c:numRef>
              <c:f>'Cashflow trend'!$B$154:$P$154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'Cashflow trend'!$B$147:$P$147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E78F-4F21-9D20-F1FDBDC9E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118400"/>
        <c:axId val="337118960"/>
      </c:lineChart>
      <c:catAx>
        <c:axId val="3371184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337118960"/>
        <c:crosses val="autoZero"/>
        <c:auto val="1"/>
        <c:lblAlgn val="ctr"/>
        <c:lblOffset val="100"/>
        <c:noMultiLvlLbl val="0"/>
      </c:catAx>
      <c:valAx>
        <c:axId val="337118960"/>
        <c:scaling>
          <c:orientation val="minMax"/>
          <c:max val="1000000"/>
          <c:min val="-1000000"/>
        </c:scaling>
        <c:delete val="0"/>
        <c:axPos val="l"/>
        <c:majorGridlines/>
        <c:numFmt formatCode="#,##0;\-#,##0;\ \ \-\ \ " sourceLinked="1"/>
        <c:majorTickMark val="none"/>
        <c:minorTickMark val="none"/>
        <c:tickLblPos val="nextTo"/>
        <c:crossAx val="3371184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546306955209181"/>
          <c:y val="0.331600334699307"/>
          <c:w val="0.26909117019978268"/>
          <c:h val="0.5329166040893389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Cashflow, bank &amp; loan balances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'Cashflow trend'!$A$192</c:f>
              <c:strCache>
                <c:ptCount val="1"/>
                <c:pt idx="0">
                  <c:v>Net cash inflow from core operation</c:v>
                </c:pt>
              </c:strCache>
            </c:strRef>
          </c:tx>
          <c:marker>
            <c:symbol val="none"/>
          </c:marker>
          <c:cat>
            <c:strRef>
              <c:f>'Cashflow trend'!$B$191:$P$191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trend'!$B$192:$P$192</c:f>
              <c:numCache>
                <c:formatCode>#,##0;\-#,##0;\ \ \-\ \ </c:formatCode>
                <c:ptCount val="15"/>
                <c:pt idx="0">
                  <c:v>85661.724840835101</c:v>
                </c:pt>
                <c:pt idx="1">
                  <c:v>143874.33549196983</c:v>
                </c:pt>
                <c:pt idx="2">
                  <c:v>118185.01404212714</c:v>
                </c:pt>
                <c:pt idx="3">
                  <c:v>109649.5917626797</c:v>
                </c:pt>
                <c:pt idx="4">
                  <c:v>91174.151340035984</c:v>
                </c:pt>
                <c:pt idx="5">
                  <c:v>27863.8334093509</c:v>
                </c:pt>
                <c:pt idx="6">
                  <c:v>82323.010752890317</c:v>
                </c:pt>
                <c:pt idx="7">
                  <c:v>-24541.70362028369</c:v>
                </c:pt>
                <c:pt idx="8">
                  <c:v>-2296.7516346646512</c:v>
                </c:pt>
                <c:pt idx="9">
                  <c:v>55408.327073438231</c:v>
                </c:pt>
                <c:pt idx="10">
                  <c:v>97650.691853837168</c:v>
                </c:pt>
                <c:pt idx="11">
                  <c:v>107585.62153695121</c:v>
                </c:pt>
                <c:pt idx="12">
                  <c:v>124935.92766292185</c:v>
                </c:pt>
                <c:pt idx="13">
                  <c:v>151501.93380227379</c:v>
                </c:pt>
                <c:pt idx="14">
                  <c:v>171681.96049651827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1D-465B-B3FC-169B229EF5EC}"/>
            </c:ext>
          </c:extLst>
        </c:ser>
        <c:ser>
          <c:idx val="1"/>
          <c:order val="1"/>
          <c:tx>
            <c:strRef>
              <c:f>'Cashflow trend'!$A$193</c:f>
              <c:strCache>
                <c:ptCount val="1"/>
                <c:pt idx="0">
                  <c:v>Cashflow for non-operating &amp; project opex</c:v>
                </c:pt>
              </c:strCache>
            </c:strRef>
          </c:tx>
          <c:marker>
            <c:symbol val="none"/>
          </c:marker>
          <c:cat>
            <c:strRef>
              <c:f>'Cashflow trend'!$B$191:$P$191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trend'!$B$193:$P$193</c:f>
              <c:numCache>
                <c:formatCode>#,##0;\-#,##0;\ \ \-\ \ </c:formatCode>
                <c:ptCount val="15"/>
                <c:pt idx="0">
                  <c:v>-28473.514999999999</c:v>
                </c:pt>
                <c:pt idx="1">
                  <c:v>-18495.899229999999</c:v>
                </c:pt>
                <c:pt idx="2">
                  <c:v>-38035.709919999994</c:v>
                </c:pt>
                <c:pt idx="3">
                  <c:v>-52130.141510000001</c:v>
                </c:pt>
                <c:pt idx="4">
                  <c:v>-66451.063559999995</c:v>
                </c:pt>
                <c:pt idx="5">
                  <c:v>-54651.130427603064</c:v>
                </c:pt>
                <c:pt idx="6">
                  <c:v>-59505.343550000005</c:v>
                </c:pt>
                <c:pt idx="7">
                  <c:v>-730</c:v>
                </c:pt>
                <c:pt idx="8">
                  <c:v>-5475</c:v>
                </c:pt>
                <c:pt idx="9">
                  <c:v>-6784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D-465B-B3FC-169B229EF5EC}"/>
            </c:ext>
          </c:extLst>
        </c:ser>
        <c:ser>
          <c:idx val="2"/>
          <c:order val="2"/>
          <c:tx>
            <c:strRef>
              <c:f>'Cashflow trend'!$A$194</c:f>
              <c:strCache>
                <c:ptCount val="1"/>
                <c:pt idx="0">
                  <c:v>Net cash inflow from inorganic businesses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strRef>
              <c:f>'Cashflow trend'!$B$191:$P$191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trend'!$B$194:$P$194</c:f>
              <c:numCache>
                <c:formatCode>#,##0;\-#,##0;\ \ \-\ \ 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1D-465B-B3FC-169B229EF5EC}"/>
            </c:ext>
          </c:extLst>
        </c:ser>
        <c:ser>
          <c:idx val="3"/>
          <c:order val="3"/>
          <c:tx>
            <c:strRef>
              <c:f>'Cashflow trend'!$A$195</c:f>
              <c:strCache>
                <c:ptCount val="1"/>
                <c:pt idx="0">
                  <c:v>Payment for Yuen Long Capex</c:v>
                </c:pt>
              </c:strCache>
            </c:strRef>
          </c:tx>
          <c:marker>
            <c:symbol val="none"/>
          </c:marker>
          <c:cat>
            <c:strRef>
              <c:f>'Cashflow trend'!$B$191:$P$191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trend'!$B$195:$P$195</c:f>
              <c:numCache>
                <c:formatCode>#,##0;\-#,##0;\ \ \-\ \ </c:formatCode>
                <c:ptCount val="15"/>
                <c:pt idx="0">
                  <c:v>-44256.369029999973</c:v>
                </c:pt>
                <c:pt idx="1">
                  <c:v>-317743.71015000006</c:v>
                </c:pt>
                <c:pt idx="2">
                  <c:v>-390056.06186000002</c:v>
                </c:pt>
                <c:pt idx="3">
                  <c:v>-315927.02423000004</c:v>
                </c:pt>
                <c:pt idx="4">
                  <c:v>-151883.40371999997</c:v>
                </c:pt>
                <c:pt idx="5">
                  <c:v>-77663.557990000016</c:v>
                </c:pt>
                <c:pt idx="6">
                  <c:v>-82747.448000000004</c:v>
                </c:pt>
                <c:pt idx="7">
                  <c:v>-30414.409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D-465B-B3FC-169B229EF5EC}"/>
            </c:ext>
          </c:extLst>
        </c:ser>
        <c:ser>
          <c:idx val="4"/>
          <c:order val="4"/>
          <c:tx>
            <c:strRef>
              <c:f>'Cashflow trend'!$A$196</c:f>
              <c:strCache>
                <c:ptCount val="1"/>
                <c:pt idx="0">
                  <c:v>Net banking financing</c:v>
                </c:pt>
              </c:strCache>
            </c:strRef>
          </c:tx>
          <c:marker>
            <c:symbol val="none"/>
          </c:marker>
          <c:cat>
            <c:strRef>
              <c:f>'Cashflow trend'!$B$191:$P$191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trend'!$B$196:$P$196</c:f>
              <c:numCache>
                <c:formatCode>#,##0;\-#,##0;\ \ \-\ \ </c:formatCode>
                <c:ptCount val="15"/>
                <c:pt idx="0">
                  <c:v>0</c:v>
                </c:pt>
                <c:pt idx="1">
                  <c:v>156061.61255000002</c:v>
                </c:pt>
                <c:pt idx="2">
                  <c:v>296716.64623000001</c:v>
                </c:pt>
                <c:pt idx="3">
                  <c:v>211570.93927</c:v>
                </c:pt>
                <c:pt idx="4">
                  <c:v>86613.554000000004</c:v>
                </c:pt>
                <c:pt idx="5">
                  <c:v>109523.5082116667</c:v>
                </c:pt>
                <c:pt idx="6">
                  <c:v>4753.946352191776</c:v>
                </c:pt>
                <c:pt idx="7">
                  <c:v>-569.82714360731836</c:v>
                </c:pt>
                <c:pt idx="8">
                  <c:v>-200476.79657135275</c:v>
                </c:pt>
                <c:pt idx="9">
                  <c:v>-280416.42149400688</c:v>
                </c:pt>
                <c:pt idx="10">
                  <c:v>-140681.23960416098</c:v>
                </c:pt>
                <c:pt idx="11">
                  <c:v>-4417.2243221917806</c:v>
                </c:pt>
                <c:pt idx="12">
                  <c:v>-1659.7676832876714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1D-465B-B3FC-169B229EF5EC}"/>
            </c:ext>
          </c:extLst>
        </c:ser>
        <c:ser>
          <c:idx val="5"/>
          <c:order val="5"/>
          <c:tx>
            <c:strRef>
              <c:f>'Cashflow trend'!$A$197</c:f>
              <c:strCache>
                <c:ptCount val="1"/>
                <c:pt idx="0">
                  <c:v>Bank balance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'Cashflow trend'!$B$191:$P$191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trend'!$B$197:$P$197</c:f>
              <c:numCache>
                <c:formatCode>#,##0;\-#,##0;\ \ \-\ \ </c:formatCode>
                <c:ptCount val="15"/>
                <c:pt idx="0">
                  <c:v>269617.25481083512</c:v>
                </c:pt>
                <c:pt idx="1">
                  <c:v>233313.59347280493</c:v>
                </c:pt>
                <c:pt idx="2">
                  <c:v>220123.48196493206</c:v>
                </c:pt>
                <c:pt idx="3">
                  <c:v>173286.84725761172</c:v>
                </c:pt>
                <c:pt idx="4">
                  <c:v>132740.08531764772</c:v>
                </c:pt>
                <c:pt idx="5">
                  <c:v>137812.73852106225</c:v>
                </c:pt>
                <c:pt idx="6">
                  <c:v>82636.904076144332</c:v>
                </c:pt>
                <c:pt idx="7">
                  <c:v>26380.964312253323</c:v>
                </c:pt>
                <c:pt idx="8">
                  <c:v>-181867.58389376409</c:v>
                </c:pt>
                <c:pt idx="9">
                  <c:v>-413659.67831433273</c:v>
                </c:pt>
                <c:pt idx="10">
                  <c:v>-456690.22606465651</c:v>
                </c:pt>
                <c:pt idx="11">
                  <c:v>-353521.82884989708</c:v>
                </c:pt>
                <c:pt idx="12">
                  <c:v>-230245.66887026292</c:v>
                </c:pt>
                <c:pt idx="13">
                  <c:v>-78743.735067989124</c:v>
                </c:pt>
                <c:pt idx="14">
                  <c:v>92938.225428529142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1D-465B-B3FC-169B229EF5EC}"/>
            </c:ext>
          </c:extLst>
        </c:ser>
        <c:ser>
          <c:idx val="6"/>
          <c:order val="6"/>
          <c:tx>
            <c:strRef>
              <c:f>'Cashflow trend'!$A$198</c:f>
              <c:strCache>
                <c:ptCount val="1"/>
                <c:pt idx="0">
                  <c:v>Loan balance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strRef>
              <c:f>'Cashflow trend'!$B$191:$P$191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trend'!$B$198:$P$198</c:f>
              <c:numCache>
                <c:formatCode>#,##0;\-#,##0;\ \ \-\ \ </c:formatCode>
                <c:ptCount val="15"/>
                <c:pt idx="0">
                  <c:v>0</c:v>
                </c:pt>
                <c:pt idx="1">
                  <c:v>-156873.302</c:v>
                </c:pt>
                <c:pt idx="2">
                  <c:v>-458691.30200000003</c:v>
                </c:pt>
                <c:pt idx="3">
                  <c:v>-684331.30200000003</c:v>
                </c:pt>
                <c:pt idx="4">
                  <c:v>-794608.30200000003</c:v>
                </c:pt>
                <c:pt idx="5">
                  <c:v>-921500</c:v>
                </c:pt>
                <c:pt idx="6">
                  <c:v>-824500</c:v>
                </c:pt>
                <c:pt idx="7">
                  <c:v>-630500</c:v>
                </c:pt>
                <c:pt idx="8">
                  <c:v>-400125</c:v>
                </c:pt>
                <c:pt idx="9">
                  <c:v>-133374.99999999997</c:v>
                </c:pt>
                <c:pt idx="10">
                  <c:v>4.470348358154297E-11</c:v>
                </c:pt>
                <c:pt idx="11">
                  <c:v>4.470348358154297E-11</c:v>
                </c:pt>
                <c:pt idx="12">
                  <c:v>4.470348358154297E-11</c:v>
                </c:pt>
                <c:pt idx="13">
                  <c:v>4.470348358154297E-11</c:v>
                </c:pt>
                <c:pt idx="14">
                  <c:v>4.470348358154297E-11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1D-465B-B3FC-169B229EF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7236064"/>
        <c:axId val="337236624"/>
      </c:lineChart>
      <c:catAx>
        <c:axId val="3372360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337236624"/>
        <c:crosses val="autoZero"/>
        <c:auto val="1"/>
        <c:lblAlgn val="ctr"/>
        <c:lblOffset val="100"/>
        <c:noMultiLvlLbl val="0"/>
      </c:catAx>
      <c:valAx>
        <c:axId val="337236624"/>
        <c:scaling>
          <c:orientation val="minMax"/>
          <c:max val="1000000"/>
          <c:min val="-1000000"/>
        </c:scaling>
        <c:delete val="0"/>
        <c:axPos val="l"/>
        <c:majorGridlines/>
        <c:numFmt formatCode="#,##0;\-#,##0;\ \ \-\ \ " sourceLinked="1"/>
        <c:majorTickMark val="none"/>
        <c:minorTickMark val="none"/>
        <c:tickLblPos val="nextTo"/>
        <c:crossAx val="3372360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965871241661026"/>
          <c:y val="0.3346047657961137"/>
          <c:w val="0.259245393762634"/>
          <c:h val="0.5287611635788017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Cashflow, bank &amp; loan balances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'Cashflow trend'!$A$229</c:f>
              <c:strCache>
                <c:ptCount val="1"/>
                <c:pt idx="0">
                  <c:v>Net cash inflow from core operation</c:v>
                </c:pt>
              </c:strCache>
            </c:strRef>
          </c:tx>
          <c:marker>
            <c:symbol val="none"/>
          </c:marker>
          <c:cat>
            <c:strRef>
              <c:f>'Cashflow trend'!$B$228:$P$228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trend'!$B$229:$P$229</c:f>
              <c:numCache>
                <c:formatCode>#,##0;\-#,##0;\ \ \-\ \ </c:formatCode>
                <c:ptCount val="15"/>
                <c:pt idx="0">
                  <c:v>85661.724840835101</c:v>
                </c:pt>
                <c:pt idx="1">
                  <c:v>136680.61871737134</c:v>
                </c:pt>
                <c:pt idx="2">
                  <c:v>112275.76334002077</c:v>
                </c:pt>
                <c:pt idx="3">
                  <c:v>104167.11217454571</c:v>
                </c:pt>
                <c:pt idx="4">
                  <c:v>86615.443773034174</c:v>
                </c:pt>
                <c:pt idx="5">
                  <c:v>52941.283477766709</c:v>
                </c:pt>
                <c:pt idx="6">
                  <c:v>104275.81362032774</c:v>
                </c:pt>
                <c:pt idx="7">
                  <c:v>-25905.131599188335</c:v>
                </c:pt>
                <c:pt idx="8">
                  <c:v>-2424.348947701576</c:v>
                </c:pt>
                <c:pt idx="9">
                  <c:v>58486.567466407017</c:v>
                </c:pt>
                <c:pt idx="10">
                  <c:v>103075.73029016146</c:v>
                </c:pt>
                <c:pt idx="11">
                  <c:v>113562.60051122626</c:v>
                </c:pt>
                <c:pt idx="12">
                  <c:v>131876.81253308419</c:v>
                </c:pt>
                <c:pt idx="13">
                  <c:v>159918.70790240011</c:v>
                </c:pt>
                <c:pt idx="14">
                  <c:v>181219.84719076927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FD-4EFE-A210-A74A99FEA3A2}"/>
            </c:ext>
          </c:extLst>
        </c:ser>
        <c:ser>
          <c:idx val="1"/>
          <c:order val="1"/>
          <c:tx>
            <c:strRef>
              <c:f>'Cashflow trend'!$A$230</c:f>
              <c:strCache>
                <c:ptCount val="1"/>
                <c:pt idx="0">
                  <c:v>Cashflow for non-operating &amp; project opex</c:v>
                </c:pt>
              </c:strCache>
            </c:strRef>
          </c:tx>
          <c:marker>
            <c:symbol val="none"/>
          </c:marker>
          <c:cat>
            <c:strRef>
              <c:f>'Cashflow trend'!$B$228:$P$228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trend'!$B$230:$P$230</c:f>
              <c:numCache>
                <c:formatCode>#,##0;\-#,##0;\ \ \-\ \ </c:formatCode>
                <c:ptCount val="15"/>
                <c:pt idx="0">
                  <c:v>-28473.514999999999</c:v>
                </c:pt>
                <c:pt idx="1">
                  <c:v>-18495.899229999999</c:v>
                </c:pt>
                <c:pt idx="2">
                  <c:v>-38035.709919999994</c:v>
                </c:pt>
                <c:pt idx="3">
                  <c:v>-52130.141510000001</c:v>
                </c:pt>
                <c:pt idx="4">
                  <c:v>-66451.063559999995</c:v>
                </c:pt>
                <c:pt idx="5">
                  <c:v>-54651.130427603064</c:v>
                </c:pt>
                <c:pt idx="6">
                  <c:v>-59505.343550000005</c:v>
                </c:pt>
                <c:pt idx="7">
                  <c:v>-730</c:v>
                </c:pt>
                <c:pt idx="8">
                  <c:v>-5475</c:v>
                </c:pt>
                <c:pt idx="9">
                  <c:v>-6784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FD-4EFE-A210-A74A99FEA3A2}"/>
            </c:ext>
          </c:extLst>
        </c:ser>
        <c:ser>
          <c:idx val="2"/>
          <c:order val="2"/>
          <c:tx>
            <c:strRef>
              <c:f>'Cashflow trend'!$A$231</c:f>
              <c:strCache>
                <c:ptCount val="1"/>
                <c:pt idx="0">
                  <c:v>Net cash inflow from inorganic businesses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strRef>
              <c:f>'Cashflow trend'!$B$228:$P$228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trend'!$B$231:$P$231</c:f>
              <c:numCache>
                <c:formatCode>#,##0;\-#,##0;\ \ \-\ \ 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FD-4EFE-A210-A74A99FEA3A2}"/>
            </c:ext>
          </c:extLst>
        </c:ser>
        <c:ser>
          <c:idx val="3"/>
          <c:order val="3"/>
          <c:tx>
            <c:strRef>
              <c:f>'Cashflow trend'!$A$232</c:f>
              <c:strCache>
                <c:ptCount val="1"/>
                <c:pt idx="0">
                  <c:v>Payment for Yuen Long Capex</c:v>
                </c:pt>
              </c:strCache>
            </c:strRef>
          </c:tx>
          <c:marker>
            <c:symbol val="none"/>
          </c:marker>
          <c:cat>
            <c:strRef>
              <c:f>'Cashflow trend'!$B$228:$P$228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trend'!$B$232:$P$232</c:f>
              <c:numCache>
                <c:formatCode>#,##0;\-#,##0;\ \ \-\ \ </c:formatCode>
                <c:ptCount val="15"/>
                <c:pt idx="0">
                  <c:v>-44256.369029999973</c:v>
                </c:pt>
                <c:pt idx="1">
                  <c:v>-317743.71015000006</c:v>
                </c:pt>
                <c:pt idx="2">
                  <c:v>-390056.06186000002</c:v>
                </c:pt>
                <c:pt idx="3">
                  <c:v>-315927.02423000004</c:v>
                </c:pt>
                <c:pt idx="4">
                  <c:v>-151883.40371999997</c:v>
                </c:pt>
                <c:pt idx="5">
                  <c:v>-77663.557990000016</c:v>
                </c:pt>
                <c:pt idx="6">
                  <c:v>-82747.448000000004</c:v>
                </c:pt>
                <c:pt idx="7">
                  <c:v>-30414.409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FD-4EFE-A210-A74A99FEA3A2}"/>
            </c:ext>
          </c:extLst>
        </c:ser>
        <c:ser>
          <c:idx val="4"/>
          <c:order val="4"/>
          <c:tx>
            <c:strRef>
              <c:f>'Cashflow trend'!$A$233</c:f>
              <c:strCache>
                <c:ptCount val="1"/>
                <c:pt idx="0">
                  <c:v>Net banking financing</c:v>
                </c:pt>
              </c:strCache>
            </c:strRef>
          </c:tx>
          <c:marker>
            <c:symbol val="none"/>
          </c:marker>
          <c:cat>
            <c:strRef>
              <c:f>'Cashflow trend'!$B$228:$P$228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trend'!$B$233:$P$233</c:f>
              <c:numCache>
                <c:formatCode>#,##0;\-#,##0;\ \ \-\ \ </c:formatCode>
                <c:ptCount val="15"/>
                <c:pt idx="0">
                  <c:v>0</c:v>
                </c:pt>
                <c:pt idx="1">
                  <c:v>156061.61255000002</c:v>
                </c:pt>
                <c:pt idx="2">
                  <c:v>296716.64623000001</c:v>
                </c:pt>
                <c:pt idx="3">
                  <c:v>211570.93927</c:v>
                </c:pt>
                <c:pt idx="4">
                  <c:v>86613.554000000004</c:v>
                </c:pt>
                <c:pt idx="5">
                  <c:v>100988.54419000003</c:v>
                </c:pt>
                <c:pt idx="6">
                  <c:v>-4464.803647808224</c:v>
                </c:pt>
                <c:pt idx="7">
                  <c:v>-9837.3271436073173</c:v>
                </c:pt>
                <c:pt idx="8">
                  <c:v>-209383.82782135275</c:v>
                </c:pt>
                <c:pt idx="9">
                  <c:v>-286917.35899400688</c:v>
                </c:pt>
                <c:pt idx="10">
                  <c:v>-144681.39585416098</c:v>
                </c:pt>
                <c:pt idx="11">
                  <c:v>-7917.2243221917797</c:v>
                </c:pt>
                <c:pt idx="12">
                  <c:v>-5159.7676832876714</c:v>
                </c:pt>
                <c:pt idx="13">
                  <c:v>-3499.9999999999995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FD-4EFE-A210-A74A99FEA3A2}"/>
            </c:ext>
          </c:extLst>
        </c:ser>
        <c:ser>
          <c:idx val="5"/>
          <c:order val="5"/>
          <c:tx>
            <c:strRef>
              <c:f>'Cashflow trend'!$A$234</c:f>
              <c:strCache>
                <c:ptCount val="1"/>
                <c:pt idx="0">
                  <c:v>Bank balance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'Cashflow trend'!$B$228:$P$228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trend'!$B$234:$P$234</c:f>
              <c:numCache>
                <c:formatCode>#,##0;\-#,##0;\ \ \-\ \ </c:formatCode>
                <c:ptCount val="15"/>
                <c:pt idx="0">
                  <c:v>269617.25481083512</c:v>
                </c:pt>
                <c:pt idx="1">
                  <c:v>226119.87669820641</c:v>
                </c:pt>
                <c:pt idx="2">
                  <c:v>207020.5144882272</c:v>
                </c:pt>
                <c:pt idx="3">
                  <c:v>154701.40019277288</c:v>
                </c:pt>
                <c:pt idx="4">
                  <c:v>109595.93068580711</c:v>
                </c:pt>
                <c:pt idx="5">
                  <c:v>131211.06993597077</c:v>
                </c:pt>
                <c:pt idx="6">
                  <c:v>88769.288358490274</c:v>
                </c:pt>
                <c:pt idx="7">
                  <c:v>21882.420615694631</c:v>
                </c:pt>
                <c:pt idx="8">
                  <c:v>-195400.75615335969</c:v>
                </c:pt>
                <c:pt idx="9">
                  <c:v>-430615.54768095957</c:v>
                </c:pt>
                <c:pt idx="10">
                  <c:v>-472221.21324495907</c:v>
                </c:pt>
                <c:pt idx="11">
                  <c:v>-366575.83705592458</c:v>
                </c:pt>
                <c:pt idx="12">
                  <c:v>-239858.79220612807</c:v>
                </c:pt>
                <c:pt idx="13">
                  <c:v>-83440.084303727956</c:v>
                </c:pt>
                <c:pt idx="14">
                  <c:v>97779.762887041317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FD-4EFE-A210-A74A99FEA3A2}"/>
            </c:ext>
          </c:extLst>
        </c:ser>
        <c:ser>
          <c:idx val="6"/>
          <c:order val="6"/>
          <c:tx>
            <c:strRef>
              <c:f>'Cashflow trend'!$A$235</c:f>
              <c:strCache>
                <c:ptCount val="1"/>
                <c:pt idx="0">
                  <c:v>Loan balance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strRef>
              <c:f>'Cashflow trend'!$B$228:$P$228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trend'!$B$235:$P$235</c:f>
              <c:numCache>
                <c:formatCode>#,##0;\-#,##0;\ \ \-\ \ </c:formatCode>
                <c:ptCount val="15"/>
                <c:pt idx="0">
                  <c:v>0</c:v>
                </c:pt>
                <c:pt idx="1">
                  <c:v>-156873.302</c:v>
                </c:pt>
                <c:pt idx="2">
                  <c:v>-458691.30200000003</c:v>
                </c:pt>
                <c:pt idx="3">
                  <c:v>-684331.30200000003</c:v>
                </c:pt>
                <c:pt idx="4">
                  <c:v>-794608.30200000003</c:v>
                </c:pt>
                <c:pt idx="5">
                  <c:v>-921500</c:v>
                </c:pt>
                <c:pt idx="6">
                  <c:v>-824500</c:v>
                </c:pt>
                <c:pt idx="7">
                  <c:v>-630500</c:v>
                </c:pt>
                <c:pt idx="8">
                  <c:v>-400125</c:v>
                </c:pt>
                <c:pt idx="9">
                  <c:v>-133374.99999999997</c:v>
                </c:pt>
                <c:pt idx="10">
                  <c:v>4.470348358154297E-11</c:v>
                </c:pt>
                <c:pt idx="11">
                  <c:v>4.470348358154297E-11</c:v>
                </c:pt>
                <c:pt idx="12">
                  <c:v>4.470348358154297E-11</c:v>
                </c:pt>
                <c:pt idx="13">
                  <c:v>4.470348358154297E-11</c:v>
                </c:pt>
                <c:pt idx="14">
                  <c:v>4.470348358154297E-11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FD-4EFE-A210-A74A99FEA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7242784"/>
        <c:axId val="337243344"/>
      </c:lineChart>
      <c:catAx>
        <c:axId val="33724278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337243344"/>
        <c:crosses val="autoZero"/>
        <c:auto val="1"/>
        <c:lblAlgn val="ctr"/>
        <c:lblOffset val="100"/>
        <c:noMultiLvlLbl val="0"/>
      </c:catAx>
      <c:valAx>
        <c:axId val="337243344"/>
        <c:scaling>
          <c:orientation val="minMax"/>
          <c:max val="1000000"/>
          <c:min val="-1000000"/>
        </c:scaling>
        <c:delete val="0"/>
        <c:axPos val="l"/>
        <c:majorGridlines/>
        <c:numFmt formatCode="#,##0;\-#,##0;\ \ \-\ \ " sourceLinked="1"/>
        <c:majorTickMark val="none"/>
        <c:minorTickMark val="none"/>
        <c:tickLblPos val="nextTo"/>
        <c:crossAx val="3372427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1318594967615467"/>
          <c:y val="0.30627806524184475"/>
          <c:w val="0.24653477731461196"/>
          <c:h val="0.5902296962879639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ysClr val="windowText" lastClr="000000"/>
                </a:solidFill>
              </a:rPr>
              <a:t>Cashflow,</a:t>
            </a:r>
            <a:r>
              <a:rPr lang="en-US" sz="2000" b="1" baseline="0">
                <a:solidFill>
                  <a:sysClr val="windowText" lastClr="000000"/>
                </a:solidFill>
              </a:rPr>
              <a:t> bank &amp; loan balances</a:t>
            </a:r>
            <a:endParaRPr lang="en-US" sz="2000" b="1">
              <a:solidFill>
                <a:sysClr val="windowText" lastClr="00000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547931186799739E-2"/>
          <c:y val="0.10457708314739848"/>
          <c:w val="0.56829433227087522"/>
          <c:h val="0.81119681580704073"/>
        </c:manualLayout>
      </c:layout>
      <c:lineChart>
        <c:grouping val="standard"/>
        <c:varyColors val="0"/>
        <c:ser>
          <c:idx val="0"/>
          <c:order val="0"/>
          <c:tx>
            <c:strRef>
              <c:f>'Cashflow trend'!$A$16</c:f>
              <c:strCache>
                <c:ptCount val="1"/>
                <c:pt idx="0">
                  <c:v>Net cash inflow from core operation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'Cashflow trend'!$B$15:$P$15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trend'!$B$16:$P$16</c:f>
              <c:numCache>
                <c:formatCode>#,##0;\-#,##0;\ \ \-\ \ </c:formatCode>
                <c:ptCount val="15"/>
                <c:pt idx="0">
                  <c:v>85661.724840835101</c:v>
                </c:pt>
                <c:pt idx="1">
                  <c:v>143874.33549196983</c:v>
                </c:pt>
                <c:pt idx="2">
                  <c:v>118185.01404212714</c:v>
                </c:pt>
                <c:pt idx="3">
                  <c:v>109649.5917626797</c:v>
                </c:pt>
                <c:pt idx="4">
                  <c:v>91174.151340035984</c:v>
                </c:pt>
                <c:pt idx="5">
                  <c:v>55727.6668187018</c:v>
                </c:pt>
                <c:pt idx="6">
                  <c:v>109764.01433718709</c:v>
                </c:pt>
                <c:pt idx="7">
                  <c:v>-27268.559578092987</c:v>
                </c:pt>
                <c:pt idx="8">
                  <c:v>-2551.9462607385012</c:v>
                </c:pt>
                <c:pt idx="9">
                  <c:v>61564.807859375811</c:v>
                </c:pt>
                <c:pt idx="10">
                  <c:v>108500.76872648575</c:v>
                </c:pt>
                <c:pt idx="11">
                  <c:v>119539.57948550134</c:v>
                </c:pt>
                <c:pt idx="12">
                  <c:v>138817.69740324651</c:v>
                </c:pt>
                <c:pt idx="13">
                  <c:v>168335.48200252643</c:v>
                </c:pt>
                <c:pt idx="14">
                  <c:v>190757.73388502031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9E-431F-AC30-9EA4F221E14A}"/>
            </c:ext>
          </c:extLst>
        </c:ser>
        <c:ser>
          <c:idx val="1"/>
          <c:order val="1"/>
          <c:tx>
            <c:strRef>
              <c:f>'Cashflow trend'!$A$17</c:f>
              <c:strCache>
                <c:ptCount val="1"/>
                <c:pt idx="0">
                  <c:v>Cashflow for non-operating &amp; project opex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'Cashflow trend'!$B$15:$P$15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trend'!$B$17:$P$17</c:f>
              <c:numCache>
                <c:formatCode>#,##0;\-#,##0;\ \ \-\ \ </c:formatCode>
                <c:ptCount val="15"/>
                <c:pt idx="0">
                  <c:v>-28473.514999999999</c:v>
                </c:pt>
                <c:pt idx="1">
                  <c:v>-18495.899229999999</c:v>
                </c:pt>
                <c:pt idx="2">
                  <c:v>-38035.709919999994</c:v>
                </c:pt>
                <c:pt idx="3">
                  <c:v>-52130.141510000001</c:v>
                </c:pt>
                <c:pt idx="4">
                  <c:v>-66451.063559999995</c:v>
                </c:pt>
                <c:pt idx="5">
                  <c:v>-54651.130427603064</c:v>
                </c:pt>
                <c:pt idx="6">
                  <c:v>-59505.343550000005</c:v>
                </c:pt>
                <c:pt idx="7">
                  <c:v>-730</c:v>
                </c:pt>
                <c:pt idx="8">
                  <c:v>-5475</c:v>
                </c:pt>
                <c:pt idx="9">
                  <c:v>-6784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9E-431F-AC30-9EA4F221E14A}"/>
            </c:ext>
          </c:extLst>
        </c:ser>
        <c:ser>
          <c:idx val="2"/>
          <c:order val="2"/>
          <c:tx>
            <c:strRef>
              <c:f>'Cashflow trend'!$A$18</c:f>
              <c:strCache>
                <c:ptCount val="1"/>
                <c:pt idx="0">
                  <c:v>Net cash inflow from inorganic businesses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'Cashflow trend'!$B$15:$P$15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trend'!$B$18:$P$18</c:f>
              <c:numCache>
                <c:formatCode>#,##0;\-#,##0;\ \ \-\ \ 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9E-431F-AC30-9EA4F221E14A}"/>
            </c:ext>
          </c:extLst>
        </c:ser>
        <c:ser>
          <c:idx val="3"/>
          <c:order val="3"/>
          <c:tx>
            <c:strRef>
              <c:f>'Cashflow trend'!$A$19</c:f>
              <c:strCache>
                <c:ptCount val="1"/>
                <c:pt idx="0">
                  <c:v>Payment for Yuen Long Capex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'Cashflow trend'!$B$15:$P$15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trend'!$B$19:$P$19</c:f>
              <c:numCache>
                <c:formatCode>#,##0;\-#,##0;\ \ \-\ \ </c:formatCode>
                <c:ptCount val="15"/>
                <c:pt idx="0">
                  <c:v>-44256.369029999973</c:v>
                </c:pt>
                <c:pt idx="1">
                  <c:v>-317743.71015000006</c:v>
                </c:pt>
                <c:pt idx="2">
                  <c:v>-390056.06186000002</c:v>
                </c:pt>
                <c:pt idx="3">
                  <c:v>-315927.02423000004</c:v>
                </c:pt>
                <c:pt idx="4">
                  <c:v>-151883.40371999997</c:v>
                </c:pt>
                <c:pt idx="5">
                  <c:v>-77663.557990000016</c:v>
                </c:pt>
                <c:pt idx="6">
                  <c:v>-82747.448000000004</c:v>
                </c:pt>
                <c:pt idx="7">
                  <c:v>-30414.409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9E-431F-AC30-9EA4F221E14A}"/>
            </c:ext>
          </c:extLst>
        </c:ser>
        <c:ser>
          <c:idx val="4"/>
          <c:order val="4"/>
          <c:tx>
            <c:strRef>
              <c:f>'Cashflow trend'!$A$22</c:f>
              <c:strCache>
                <c:ptCount val="1"/>
                <c:pt idx="0">
                  <c:v>Net banking financing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'Cashflow trend'!$B$15:$P$15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trend'!$B$22:$P$22</c:f>
              <c:numCache>
                <c:formatCode>#,##0;\-#,##0;\ \ \-\ \ </c:formatCode>
                <c:ptCount val="15"/>
                <c:pt idx="0">
                  <c:v>0</c:v>
                </c:pt>
                <c:pt idx="1">
                  <c:v>156061.61255000002</c:v>
                </c:pt>
                <c:pt idx="2">
                  <c:v>296716.64623000001</c:v>
                </c:pt>
                <c:pt idx="3">
                  <c:v>211570.93927</c:v>
                </c:pt>
                <c:pt idx="4">
                  <c:v>86613.554000000004</c:v>
                </c:pt>
                <c:pt idx="5">
                  <c:v>109523.5082116667</c:v>
                </c:pt>
                <c:pt idx="6">
                  <c:v>4753.946352191776</c:v>
                </c:pt>
                <c:pt idx="7">
                  <c:v>-569.82714360731836</c:v>
                </c:pt>
                <c:pt idx="8">
                  <c:v>-200476.79657135275</c:v>
                </c:pt>
                <c:pt idx="9">
                  <c:v>-280416.42149400688</c:v>
                </c:pt>
                <c:pt idx="10">
                  <c:v>-140681.23960416098</c:v>
                </c:pt>
                <c:pt idx="11">
                  <c:v>-4417.2243221917806</c:v>
                </c:pt>
                <c:pt idx="12">
                  <c:v>-1659.7676832876714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9E-431F-AC30-9EA4F221E14A}"/>
            </c:ext>
          </c:extLst>
        </c:ser>
        <c:ser>
          <c:idx val="5"/>
          <c:order val="5"/>
          <c:tx>
            <c:strRef>
              <c:f>'Cashflow trend'!$A$23</c:f>
              <c:strCache>
                <c:ptCount val="1"/>
                <c:pt idx="0">
                  <c:v>Bank balance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'Cashflow trend'!$B$15:$P$15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trend'!$B$23:$P$23</c:f>
              <c:numCache>
                <c:formatCode>#,##0;\-#,##0;\ \ \-\ \ </c:formatCode>
                <c:ptCount val="15"/>
                <c:pt idx="0">
                  <c:v>269617.25481083512</c:v>
                </c:pt>
                <c:pt idx="1">
                  <c:v>233313.59366196979</c:v>
                </c:pt>
                <c:pt idx="2">
                  <c:v>220123.48249212719</c:v>
                </c:pt>
                <c:pt idx="3">
                  <c:v>173286.84778480689</c:v>
                </c:pt>
                <c:pt idx="4">
                  <c:v>132740.08584484292</c:v>
                </c:pt>
                <c:pt idx="5">
                  <c:v>165676.57245760833</c:v>
                </c:pt>
                <c:pt idx="6">
                  <c:v>139044.44913937888</c:v>
                </c:pt>
                <c:pt idx="7">
                  <c:v>80061.653417678564</c:v>
                </c:pt>
                <c:pt idx="8">
                  <c:v>-128442.08941441268</c:v>
                </c:pt>
                <c:pt idx="9">
                  <c:v>-354077.70304904378</c:v>
                </c:pt>
                <c:pt idx="10">
                  <c:v>-386258.17392671894</c:v>
                </c:pt>
                <c:pt idx="11">
                  <c:v>-271135.81876340939</c:v>
                </c:pt>
                <c:pt idx="12">
                  <c:v>-133977.88904345053</c:v>
                </c:pt>
                <c:pt idx="13">
                  <c:v>34357.592959075897</c:v>
                </c:pt>
                <c:pt idx="14">
                  <c:v>225115.32684409621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9E-431F-AC30-9EA4F221E14A}"/>
            </c:ext>
          </c:extLst>
        </c:ser>
        <c:ser>
          <c:idx val="6"/>
          <c:order val="6"/>
          <c:tx>
            <c:strRef>
              <c:f>'Cashflow trend'!$A$24</c:f>
              <c:strCache>
                <c:ptCount val="1"/>
                <c:pt idx="0">
                  <c:v>Shareholder Loan Balance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'Cashflow trend'!$B$15:$P$15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trend'!$B$24:$P$24</c:f>
              <c:numCache>
                <c:formatCode>#,##0;\-#,##0;\ \ \-\ \ 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-100000</c:v>
                </c:pt>
                <c:pt idx="7">
                  <c:v>-300000</c:v>
                </c:pt>
                <c:pt idx="8">
                  <c:v>-350000</c:v>
                </c:pt>
                <c:pt idx="9">
                  <c:v>-350000</c:v>
                </c:pt>
                <c:pt idx="10">
                  <c:v>-350000</c:v>
                </c:pt>
                <c:pt idx="11">
                  <c:v>-350000</c:v>
                </c:pt>
                <c:pt idx="12">
                  <c:v>-350000</c:v>
                </c:pt>
                <c:pt idx="13">
                  <c:v>-350000</c:v>
                </c:pt>
                <c:pt idx="14">
                  <c:v>-350000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9E-431F-AC30-9EA4F221E14A}"/>
            </c:ext>
          </c:extLst>
        </c:ser>
        <c:ser>
          <c:idx val="7"/>
          <c:order val="7"/>
          <c:tx>
            <c:strRef>
              <c:f>'Cashflow trend'!$A$25</c:f>
              <c:strCache>
                <c:ptCount val="1"/>
                <c:pt idx="0">
                  <c:v>Club Loan balance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'Cashflow trend'!$B$15:$P$15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trend'!$B$25:$P$25</c:f>
              <c:numCache>
                <c:formatCode>#,##0;\-#,##0;\ \ \-\ \ </c:formatCode>
                <c:ptCount val="15"/>
                <c:pt idx="0">
                  <c:v>0</c:v>
                </c:pt>
                <c:pt idx="1">
                  <c:v>-156873.302</c:v>
                </c:pt>
                <c:pt idx="2">
                  <c:v>-458691.30200000003</c:v>
                </c:pt>
                <c:pt idx="3">
                  <c:v>-684331.30200000003</c:v>
                </c:pt>
                <c:pt idx="4">
                  <c:v>-794608.30200000003</c:v>
                </c:pt>
                <c:pt idx="5">
                  <c:v>-921500</c:v>
                </c:pt>
                <c:pt idx="6">
                  <c:v>-824500</c:v>
                </c:pt>
                <c:pt idx="7">
                  <c:v>-630500</c:v>
                </c:pt>
                <c:pt idx="8">
                  <c:v>-400125</c:v>
                </c:pt>
                <c:pt idx="9">
                  <c:v>-133374.99999999997</c:v>
                </c:pt>
                <c:pt idx="10">
                  <c:v>4.470348358154297E-11</c:v>
                </c:pt>
                <c:pt idx="11">
                  <c:v>4.470348358154297E-11</c:v>
                </c:pt>
                <c:pt idx="12">
                  <c:v>4.470348358154297E-11</c:v>
                </c:pt>
                <c:pt idx="13">
                  <c:v>4.470348358154297E-11</c:v>
                </c:pt>
                <c:pt idx="14">
                  <c:v>4.470348358154297E-11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9E-431F-AC30-9EA4F221E14A}"/>
            </c:ext>
          </c:extLst>
        </c:ser>
        <c:ser>
          <c:idx val="8"/>
          <c:order val="8"/>
          <c:tx>
            <c:strRef>
              <c:f>'Cashflow trend'!$A$26</c:f>
              <c:strCache>
                <c:ptCount val="1"/>
                <c:pt idx="0">
                  <c:v>New Bank Loan Balance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'Cashflow trend'!$B$15:$P$15</c:f>
              <c:strCache>
                <c:ptCount val="15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  <c:pt idx="6">
                  <c:v>2021-22</c:v>
                </c:pt>
                <c:pt idx="7">
                  <c:v>2022-23</c:v>
                </c:pt>
                <c:pt idx="8">
                  <c:v>2023-24</c:v>
                </c:pt>
                <c:pt idx="9">
                  <c:v>2024-25</c:v>
                </c:pt>
                <c:pt idx="10">
                  <c:v>2025-26</c:v>
                </c:pt>
                <c:pt idx="11">
                  <c:v>2026-27</c:v>
                </c:pt>
                <c:pt idx="12">
                  <c:v>2027-28</c:v>
                </c:pt>
                <c:pt idx="13">
                  <c:v>2028-29</c:v>
                </c:pt>
                <c:pt idx="14">
                  <c:v>2029-30</c:v>
                </c:pt>
              </c:strCache>
            </c:strRef>
          </c:cat>
          <c:val>
            <c:numRef>
              <c:f>'Cashflow trend'!$B$26:$P$26</c:f>
              <c:numCache>
                <c:formatCode>#,##0;\-#,##0;\ \ \-\ \ </c:formatCode>
                <c:ptCount val="15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36-4EE5-94B2-0DE1669D0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7250416"/>
        <c:axId val="337250976"/>
      </c:lineChart>
      <c:catAx>
        <c:axId val="33725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250976"/>
        <c:crosses val="autoZero"/>
        <c:auto val="1"/>
        <c:lblAlgn val="ctr"/>
        <c:lblOffset val="100"/>
        <c:noMultiLvlLbl val="0"/>
      </c:catAx>
      <c:valAx>
        <c:axId val="337250976"/>
        <c:scaling>
          <c:orientation val="minMax"/>
          <c:max val="800000"/>
          <c:min val="-1000000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numFmt formatCode="#,##0;\-#,##0;\ \ \-\ 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25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757742291461456"/>
          <c:y val="0.17165153003507255"/>
          <c:w val="0.28351861389030275"/>
          <c:h val="0.728151179546101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ysClr val="windowText" lastClr="000000"/>
                </a:solidFill>
              </a:rPr>
              <a:t>Cashflow,</a:t>
            </a:r>
            <a:r>
              <a:rPr lang="en-US" sz="2000" b="1" baseline="0">
                <a:solidFill>
                  <a:sysClr val="windowText" lastClr="000000"/>
                </a:solidFill>
              </a:rPr>
              <a:t> bank &amp; loan balances</a:t>
            </a:r>
            <a:endParaRPr lang="en-US" sz="20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547931186799739E-2"/>
          <c:y val="0.10457708314739848"/>
          <c:w val="0.56829433227087522"/>
          <c:h val="0.81119681580704073"/>
        </c:manualLayout>
      </c:layout>
      <c:lineChart>
        <c:grouping val="standard"/>
        <c:varyColors val="0"/>
        <c:ser>
          <c:idx val="0"/>
          <c:order val="0"/>
          <c:tx>
            <c:strRef>
              <c:f>'Cashflow trend'!$A$71</c:f>
              <c:strCache>
                <c:ptCount val="1"/>
                <c:pt idx="0">
                  <c:v>Net cash inflow from core operation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'Cashflow trend'!$B$71:$P$71</c:f>
              <c:numCache>
                <c:formatCode>#,##0;\-#,##0;\ \ \-\ \ </c:formatCode>
                <c:ptCount val="15"/>
                <c:pt idx="0">
                  <c:v>85661.724840835101</c:v>
                </c:pt>
                <c:pt idx="1">
                  <c:v>143874.33549196983</c:v>
                </c:pt>
                <c:pt idx="2">
                  <c:v>118185.01404212714</c:v>
                </c:pt>
                <c:pt idx="3">
                  <c:v>109649.5917626797</c:v>
                </c:pt>
                <c:pt idx="4">
                  <c:v>91174.151340035984</c:v>
                </c:pt>
                <c:pt idx="5">
                  <c:v>55727.6668187018</c:v>
                </c:pt>
                <c:pt idx="6">
                  <c:v>65566.079819716644</c:v>
                </c:pt>
                <c:pt idx="7">
                  <c:v>-11304.272406977412</c:v>
                </c:pt>
                <c:pt idx="8">
                  <c:v>40762.119977462571</c:v>
                </c:pt>
                <c:pt idx="9">
                  <c:v>122731.19766247548</c:v>
                </c:pt>
                <c:pt idx="10">
                  <c:v>152257.28962708364</c:v>
                </c:pt>
                <c:pt idx="11">
                  <c:v>157293.92603041063</c:v>
                </c:pt>
                <c:pt idx="12">
                  <c:v>180146.44064321485</c:v>
                </c:pt>
                <c:pt idx="13">
                  <c:v>195135.06806236494</c:v>
                </c:pt>
                <c:pt idx="14">
                  <c:v>215917.08307774315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3F-4D04-BC54-958D19701F4B}"/>
            </c:ext>
          </c:extLst>
        </c:ser>
        <c:ser>
          <c:idx val="1"/>
          <c:order val="1"/>
          <c:tx>
            <c:strRef>
              <c:f>'Cashflow trend'!$A$72</c:f>
              <c:strCache>
                <c:ptCount val="1"/>
                <c:pt idx="0">
                  <c:v>Cashflow for non-operating &amp; project opex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'Cashflow trend'!$B$72:$P$72</c:f>
              <c:numCache>
                <c:formatCode>#,##0;\-#,##0;\ \ \-\ \ </c:formatCode>
                <c:ptCount val="15"/>
                <c:pt idx="0">
                  <c:v>-28473.514999999999</c:v>
                </c:pt>
                <c:pt idx="1">
                  <c:v>-18495.899229999999</c:v>
                </c:pt>
                <c:pt idx="2">
                  <c:v>-38035.709919999994</c:v>
                </c:pt>
                <c:pt idx="3">
                  <c:v>-52130.141510000001</c:v>
                </c:pt>
                <c:pt idx="4">
                  <c:v>-66451.063559999995</c:v>
                </c:pt>
                <c:pt idx="5">
                  <c:v>-54651.130427603064</c:v>
                </c:pt>
                <c:pt idx="6">
                  <c:v>-59505.343550000005</c:v>
                </c:pt>
                <c:pt idx="7">
                  <c:v>-730</c:v>
                </c:pt>
                <c:pt idx="8">
                  <c:v>-5475</c:v>
                </c:pt>
                <c:pt idx="9">
                  <c:v>-6784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3F-4D04-BC54-958D19701F4B}"/>
            </c:ext>
          </c:extLst>
        </c:ser>
        <c:ser>
          <c:idx val="2"/>
          <c:order val="2"/>
          <c:tx>
            <c:strRef>
              <c:f>'Cashflow trend'!$A$73</c:f>
              <c:strCache>
                <c:ptCount val="1"/>
                <c:pt idx="0">
                  <c:v>Net cash inflow from inorganic businesses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'Cashflow trend'!$B$73:$P$73</c:f>
              <c:numCache>
                <c:formatCode>#,##0;\-#,##0;\ \ \-\ \ 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3F-4D04-BC54-958D19701F4B}"/>
            </c:ext>
          </c:extLst>
        </c:ser>
        <c:ser>
          <c:idx val="3"/>
          <c:order val="3"/>
          <c:tx>
            <c:strRef>
              <c:f>'Cashflow trend'!$A$74</c:f>
              <c:strCache>
                <c:ptCount val="1"/>
                <c:pt idx="0">
                  <c:v>Payment for Yuen Long Capex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'Cashflow trend'!$B$74:$P$74</c:f>
              <c:numCache>
                <c:formatCode>#,##0;\-#,##0;\ \ \-\ \ </c:formatCode>
                <c:ptCount val="15"/>
                <c:pt idx="0">
                  <c:v>-44256.369029999973</c:v>
                </c:pt>
                <c:pt idx="1">
                  <c:v>-317743.71015000006</c:v>
                </c:pt>
                <c:pt idx="2">
                  <c:v>-390056.06186000002</c:v>
                </c:pt>
                <c:pt idx="3">
                  <c:v>-315927.02423000004</c:v>
                </c:pt>
                <c:pt idx="4">
                  <c:v>-151883.40371999997</c:v>
                </c:pt>
                <c:pt idx="5">
                  <c:v>-77663.557990000016</c:v>
                </c:pt>
                <c:pt idx="6">
                  <c:v>-82747.448000000004</c:v>
                </c:pt>
                <c:pt idx="7">
                  <c:v>-30414.409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3F-4D04-BC54-958D19701F4B}"/>
            </c:ext>
          </c:extLst>
        </c:ser>
        <c:ser>
          <c:idx val="4"/>
          <c:order val="4"/>
          <c:tx>
            <c:strRef>
              <c:f>'Cashflow trend'!$A$75</c:f>
              <c:strCache>
                <c:ptCount val="1"/>
                <c:pt idx="0">
                  <c:v>Net banking financing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'Cashflow trend'!$B$75:$P$75</c:f>
              <c:numCache>
                <c:formatCode>#,##0;\-#,##0;\ \ \-\ \ </c:formatCode>
                <c:ptCount val="15"/>
                <c:pt idx="0">
                  <c:v>0</c:v>
                </c:pt>
                <c:pt idx="1">
                  <c:v>156061.61255000002</c:v>
                </c:pt>
                <c:pt idx="2">
                  <c:v>296716.64623000001</c:v>
                </c:pt>
                <c:pt idx="3">
                  <c:v>211570.93927</c:v>
                </c:pt>
                <c:pt idx="4">
                  <c:v>86613.554000000004</c:v>
                </c:pt>
                <c:pt idx="5">
                  <c:v>109523.5082116667</c:v>
                </c:pt>
                <c:pt idx="6">
                  <c:v>4753.946352191776</c:v>
                </c:pt>
                <c:pt idx="7">
                  <c:v>-569.82714360731836</c:v>
                </c:pt>
                <c:pt idx="8">
                  <c:v>-200476.79657135275</c:v>
                </c:pt>
                <c:pt idx="9">
                  <c:v>-280416.42149400688</c:v>
                </c:pt>
                <c:pt idx="10">
                  <c:v>-140681.23960416098</c:v>
                </c:pt>
                <c:pt idx="11">
                  <c:v>-4417.2243221917806</c:v>
                </c:pt>
                <c:pt idx="12">
                  <c:v>-1659.7676832876714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3F-4D04-BC54-958D19701F4B}"/>
            </c:ext>
          </c:extLst>
        </c:ser>
        <c:ser>
          <c:idx val="5"/>
          <c:order val="5"/>
          <c:tx>
            <c:strRef>
              <c:f>'Cashflow trend'!$A$76</c:f>
              <c:strCache>
                <c:ptCount val="1"/>
                <c:pt idx="0">
                  <c:v>Bank balance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'Cashflow trend'!$B$76:$P$76</c:f>
              <c:numCache>
                <c:formatCode>#,##0_ ;\-#,##0\ </c:formatCode>
                <c:ptCount val="15"/>
                <c:pt idx="0" formatCode="#,##0;\-#,##0;\ \ \-\ \ ">
                  <c:v>269617.25481083512</c:v>
                </c:pt>
                <c:pt idx="1">
                  <c:v>233313.59347280493</c:v>
                </c:pt>
                <c:pt idx="2">
                  <c:v>220123.48196493206</c:v>
                </c:pt>
                <c:pt idx="3">
                  <c:v>173286.84725761172</c:v>
                </c:pt>
                <c:pt idx="4">
                  <c:v>132740.08531764772</c:v>
                </c:pt>
                <c:pt idx="5">
                  <c:v>165676.57193041313</c:v>
                </c:pt>
                <c:pt idx="6">
                  <c:v>93743.806552321548</c:v>
                </c:pt>
                <c:pt idx="7">
                  <c:v>50725.298001736817</c:v>
                </c:pt>
                <c:pt idx="8">
                  <c:v>-114464.37859215337</c:v>
                </c:pt>
                <c:pt idx="9">
                  <c:v>-278933.60242368479</c:v>
                </c:pt>
                <c:pt idx="10">
                  <c:v>-267357.5524007621</c:v>
                </c:pt>
                <c:pt idx="11">
                  <c:v>-114480.85069254326</c:v>
                </c:pt>
                <c:pt idx="12">
                  <c:v>64005.822267383919</c:v>
                </c:pt>
                <c:pt idx="13">
                  <c:v>259140.89032974886</c:v>
                </c:pt>
                <c:pt idx="14">
                  <c:v>475057.97340749204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3F-4D04-BC54-958D19701F4B}"/>
            </c:ext>
          </c:extLst>
        </c:ser>
        <c:ser>
          <c:idx val="6"/>
          <c:order val="6"/>
          <c:tx>
            <c:strRef>
              <c:f>'Cashflow trend'!$A$77</c:f>
              <c:strCache>
                <c:ptCount val="1"/>
                <c:pt idx="0">
                  <c:v>Shareholder Loan Blance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'Cashflow trend'!$B$77:$P$77</c:f>
              <c:numCache>
                <c:formatCode>#,##0;\-#,##0;\ \ \-\ \ 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-100000</c:v>
                </c:pt>
                <c:pt idx="7">
                  <c:v>-300000</c:v>
                </c:pt>
                <c:pt idx="8">
                  <c:v>-350000</c:v>
                </c:pt>
                <c:pt idx="9">
                  <c:v>-350000</c:v>
                </c:pt>
                <c:pt idx="10">
                  <c:v>-350000</c:v>
                </c:pt>
                <c:pt idx="11">
                  <c:v>-350000</c:v>
                </c:pt>
                <c:pt idx="12">
                  <c:v>-350000</c:v>
                </c:pt>
                <c:pt idx="13">
                  <c:v>-350000</c:v>
                </c:pt>
                <c:pt idx="14">
                  <c:v>-350000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3F-4D04-BC54-958D19701F4B}"/>
            </c:ext>
          </c:extLst>
        </c:ser>
        <c:ser>
          <c:idx val="7"/>
          <c:order val="7"/>
          <c:tx>
            <c:strRef>
              <c:f>'Cashflow trend'!$A$78</c:f>
              <c:strCache>
                <c:ptCount val="1"/>
                <c:pt idx="0">
                  <c:v>Club Loan balance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'Cashflow trend'!$B$78:$P$78</c:f>
              <c:numCache>
                <c:formatCode>#,##0;\-#,##0;\ \ \-\ \ </c:formatCode>
                <c:ptCount val="15"/>
                <c:pt idx="0">
                  <c:v>0</c:v>
                </c:pt>
                <c:pt idx="1">
                  <c:v>-156873.302</c:v>
                </c:pt>
                <c:pt idx="2">
                  <c:v>-458691.30200000003</c:v>
                </c:pt>
                <c:pt idx="3">
                  <c:v>-684331.30200000003</c:v>
                </c:pt>
                <c:pt idx="4">
                  <c:v>-794608.30200000003</c:v>
                </c:pt>
                <c:pt idx="5">
                  <c:v>-921500</c:v>
                </c:pt>
                <c:pt idx="6">
                  <c:v>-824500</c:v>
                </c:pt>
                <c:pt idx="7">
                  <c:v>-630500</c:v>
                </c:pt>
                <c:pt idx="8">
                  <c:v>-400125</c:v>
                </c:pt>
                <c:pt idx="9">
                  <c:v>-133374.99999999997</c:v>
                </c:pt>
                <c:pt idx="10">
                  <c:v>4.470348358154297E-11</c:v>
                </c:pt>
                <c:pt idx="11">
                  <c:v>4.470348358154297E-11</c:v>
                </c:pt>
                <c:pt idx="12">
                  <c:v>4.470348358154297E-11</c:v>
                </c:pt>
                <c:pt idx="13">
                  <c:v>4.470348358154297E-11</c:v>
                </c:pt>
                <c:pt idx="14">
                  <c:v>4.470348358154297E-11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3F-4D04-BC54-958D19701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010928"/>
        <c:axId val="253011488"/>
      </c:lineChart>
      <c:catAx>
        <c:axId val="25301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11488"/>
        <c:crosses val="autoZero"/>
        <c:auto val="1"/>
        <c:lblAlgn val="ctr"/>
        <c:lblOffset val="100"/>
        <c:noMultiLvlLbl val="0"/>
      </c:catAx>
      <c:valAx>
        <c:axId val="253011488"/>
        <c:scaling>
          <c:orientation val="minMax"/>
          <c:max val="800000"/>
          <c:min val="-1000000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numFmt formatCode="#,##0;\-#,##0;\ \ \-\ 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1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648142081285127"/>
          <c:y val="0.17915771404264311"/>
          <c:w val="0.26211894614200437"/>
          <c:h val="0.629112934271643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OTC</a:t>
            </a:r>
            <a:r>
              <a:rPr lang="en-US" baseline="0"/>
              <a:t> Sales in Tablet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Analysis'!$A$4</c:f>
              <c:strCache>
                <c:ptCount val="1"/>
                <c:pt idx="0">
                  <c:v>HK OTC sales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strRef>
              <c:f>'Sales Analysis'!$B$3:$O$3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Analysis'!$B$4:$O$4</c:f>
              <c:numCache>
                <c:formatCode>#,##0;\(#,##0\);\ \ \-\ \ </c:formatCode>
                <c:ptCount val="14"/>
                <c:pt idx="0">
                  <c:v>132553.78400000001</c:v>
                </c:pt>
                <c:pt idx="1">
                  <c:v>133080.92600000001</c:v>
                </c:pt>
                <c:pt idx="2">
                  <c:v>134920.79800000001</c:v>
                </c:pt>
                <c:pt idx="3">
                  <c:v>109952.232</c:v>
                </c:pt>
                <c:pt idx="4">
                  <c:v>49797.021999999997</c:v>
                </c:pt>
                <c:pt idx="5">
                  <c:v>95677.933000000005</c:v>
                </c:pt>
                <c:pt idx="6">
                  <c:v>78208.396999999997</c:v>
                </c:pt>
                <c:pt idx="7">
                  <c:v>81501.747000000003</c:v>
                </c:pt>
                <c:pt idx="8">
                  <c:v>99473.879000000001</c:v>
                </c:pt>
                <c:pt idx="9">
                  <c:v>112646.69500000001</c:v>
                </c:pt>
                <c:pt idx="10">
                  <c:v>120156.93399999999</c:v>
                </c:pt>
                <c:pt idx="11">
                  <c:v>126824.552</c:v>
                </c:pt>
                <c:pt idx="12">
                  <c:v>134648.14300000001</c:v>
                </c:pt>
                <c:pt idx="13">
                  <c:v>136550.06100000002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9F-4C4D-B763-8CEBD0D3D897}"/>
            </c:ext>
          </c:extLst>
        </c:ser>
        <c:ser>
          <c:idx val="1"/>
          <c:order val="1"/>
          <c:tx>
            <c:strRef>
              <c:f>'Sales Analysis'!$A$5</c:f>
              <c:strCache>
                <c:ptCount val="1"/>
                <c:pt idx="0">
                  <c:v>CN OTC sales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strRef>
              <c:f>'Sales Analysis'!$B$3:$O$3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Analysis'!$B$5:$O$5</c:f>
              <c:numCache>
                <c:formatCode>#,##0;\(#,##0\);\ \ \-\ \ </c:formatCode>
                <c:ptCount val="14"/>
                <c:pt idx="0">
                  <c:v>89348.58</c:v>
                </c:pt>
                <c:pt idx="1">
                  <c:v>103416.03</c:v>
                </c:pt>
                <c:pt idx="2">
                  <c:v>128636.772</c:v>
                </c:pt>
                <c:pt idx="3">
                  <c:v>157218.96</c:v>
                </c:pt>
                <c:pt idx="4">
                  <c:v>93666.384000000005</c:v>
                </c:pt>
                <c:pt idx="5">
                  <c:v>85719.732000000004</c:v>
                </c:pt>
                <c:pt idx="6">
                  <c:v>134046.27600000001</c:v>
                </c:pt>
                <c:pt idx="7">
                  <c:v>137267.136</c:v>
                </c:pt>
                <c:pt idx="8">
                  <c:v>133278.04800000001</c:v>
                </c:pt>
                <c:pt idx="9">
                  <c:v>158321.95199999999</c:v>
                </c:pt>
                <c:pt idx="10">
                  <c:v>170566.50650631488</c:v>
                </c:pt>
                <c:pt idx="11">
                  <c:v>164447.57262953103</c:v>
                </c:pt>
                <c:pt idx="12">
                  <c:v>193473.9868798586</c:v>
                </c:pt>
                <c:pt idx="13">
                  <c:v>228079.40556351977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9F-4C4D-B763-8CEBD0D3D897}"/>
            </c:ext>
          </c:extLst>
        </c:ser>
        <c:ser>
          <c:idx val="2"/>
          <c:order val="2"/>
          <c:tx>
            <c:strRef>
              <c:f>'Sales Analysis'!$A$6</c:f>
              <c:strCache>
                <c:ptCount val="1"/>
                <c:pt idx="0">
                  <c:v>Total OTC sales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strRef>
              <c:f>'Sales Analysis'!$B$3:$O$3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Analysis'!$B$6:$O$6</c:f>
              <c:numCache>
                <c:formatCode>#,##0;\(#,##0\);\ \ \-\ \ </c:formatCode>
                <c:ptCount val="14"/>
                <c:pt idx="0">
                  <c:v>225615.872</c:v>
                </c:pt>
                <c:pt idx="1">
                  <c:v>239630.9</c:v>
                </c:pt>
                <c:pt idx="2">
                  <c:v>269981.45799999998</c:v>
                </c:pt>
                <c:pt idx="3">
                  <c:v>270712.87199999997</c:v>
                </c:pt>
                <c:pt idx="4">
                  <c:v>145973.66200000001</c:v>
                </c:pt>
                <c:pt idx="5">
                  <c:v>181397.66500000001</c:v>
                </c:pt>
                <c:pt idx="6">
                  <c:v>213772.25025994921</c:v>
                </c:pt>
                <c:pt idx="7">
                  <c:v>220286.46025994921</c:v>
                </c:pt>
                <c:pt idx="8">
                  <c:v>235262.18299999999</c:v>
                </c:pt>
                <c:pt idx="9">
                  <c:v>274510.32699999999</c:v>
                </c:pt>
                <c:pt idx="10">
                  <c:v>294265.12050631485</c:v>
                </c:pt>
                <c:pt idx="11">
                  <c:v>294813.80462953105</c:v>
                </c:pt>
                <c:pt idx="12">
                  <c:v>334546.01787985861</c:v>
                </c:pt>
                <c:pt idx="13">
                  <c:v>371053.35456351982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9F-4C4D-B763-8CEBD0D3D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969168"/>
        <c:axId val="333969728"/>
      </c:lineChart>
      <c:catAx>
        <c:axId val="3339691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333969728"/>
        <c:crosses val="autoZero"/>
        <c:auto val="1"/>
        <c:lblAlgn val="ctr"/>
        <c:lblOffset val="100"/>
        <c:noMultiLvlLbl val="0"/>
      </c:catAx>
      <c:valAx>
        <c:axId val="3339697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Tablet'000</a:t>
                </a:r>
              </a:p>
            </c:rich>
          </c:tx>
          <c:overlay val="0"/>
        </c:title>
        <c:numFmt formatCode="#,##0;\(#,##0\);\ \ \-\ \ " sourceLinked="1"/>
        <c:majorTickMark val="none"/>
        <c:minorTickMark val="none"/>
        <c:tickLblPos val="nextTo"/>
        <c:crossAx val="3339691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OTC</a:t>
            </a:r>
            <a:r>
              <a:rPr lang="en-US" baseline="0"/>
              <a:t> Net Sales by Market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Analysis'!$A$9</c:f>
              <c:strCache>
                <c:ptCount val="1"/>
                <c:pt idx="0">
                  <c:v>HK OTC sales</c:v>
                </c:pt>
              </c:strCache>
            </c:strRef>
          </c:tx>
          <c:marker>
            <c:symbol val="none"/>
          </c:marker>
          <c:cat>
            <c:strRef>
              <c:f>'Sales Analysis'!$B$8:$O$8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Analysis'!$B$9:$O$9</c:f>
              <c:numCache>
                <c:formatCode>#,##0;\(#,##0\);\ \ \-\ \ </c:formatCode>
                <c:ptCount val="14"/>
                <c:pt idx="0">
                  <c:v>295395.48197999998</c:v>
                </c:pt>
                <c:pt idx="1">
                  <c:v>315896.07718000002</c:v>
                </c:pt>
                <c:pt idx="2">
                  <c:v>319787.66125999996</c:v>
                </c:pt>
                <c:pt idx="3">
                  <c:v>268809.81451999996</c:v>
                </c:pt>
                <c:pt idx="4">
                  <c:v>113620.32733</c:v>
                </c:pt>
                <c:pt idx="5">
                  <c:v>223205.41331</c:v>
                </c:pt>
                <c:pt idx="6">
                  <c:v>186643.64892051477</c:v>
                </c:pt>
                <c:pt idx="7">
                  <c:v>197031.74121279854</c:v>
                </c:pt>
                <c:pt idx="8">
                  <c:v>243605.88534575253</c:v>
                </c:pt>
                <c:pt idx="9">
                  <c:v>279451.61401633563</c:v>
                </c:pt>
                <c:pt idx="10">
                  <c:v>301957.93831673905</c:v>
                </c:pt>
                <c:pt idx="11">
                  <c:v>322857.14025552856</c:v>
                </c:pt>
                <c:pt idx="12">
                  <c:v>347229.70578097156</c:v>
                </c:pt>
                <c:pt idx="13">
                  <c:v>356712.1055132114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38-4D51-A2A9-3F3BA9810695}"/>
            </c:ext>
          </c:extLst>
        </c:ser>
        <c:ser>
          <c:idx val="1"/>
          <c:order val="1"/>
          <c:tx>
            <c:strRef>
              <c:f>'Sales Analysis'!$A$10</c:f>
              <c:strCache>
                <c:ptCount val="1"/>
                <c:pt idx="0">
                  <c:v>CN OTC sales</c:v>
                </c:pt>
              </c:strCache>
            </c:strRef>
          </c:tx>
          <c:marker>
            <c:symbol val="none"/>
          </c:marker>
          <c:cat>
            <c:strRef>
              <c:f>'Sales Analysis'!$B$8:$O$8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Analysis'!$B$10:$O$10</c:f>
              <c:numCache>
                <c:formatCode>#,##0;\(#,##0\);\ \ \-\ \ </c:formatCode>
                <c:ptCount val="14"/>
                <c:pt idx="0">
                  <c:v>122008.67404000001</c:v>
                </c:pt>
                <c:pt idx="1">
                  <c:v>145329.01465999999</c:v>
                </c:pt>
                <c:pt idx="2">
                  <c:v>174894.84694000002</c:v>
                </c:pt>
                <c:pt idx="3">
                  <c:v>215975.64095999999</c:v>
                </c:pt>
                <c:pt idx="4">
                  <c:v>149369.22343000001</c:v>
                </c:pt>
                <c:pt idx="5">
                  <c:v>144055.70144999999</c:v>
                </c:pt>
                <c:pt idx="6">
                  <c:v>217007.52347903993</c:v>
                </c:pt>
                <c:pt idx="7">
                  <c:v>222221.77390754642</c:v>
                </c:pt>
                <c:pt idx="8">
                  <c:v>248128.41499744981</c:v>
                </c:pt>
                <c:pt idx="9">
                  <c:v>294753.52917130309</c:v>
                </c:pt>
                <c:pt idx="10">
                  <c:v>317549.64561803994</c:v>
                </c:pt>
                <c:pt idx="11">
                  <c:v>352081.48365704663</c:v>
                </c:pt>
                <c:pt idx="12">
                  <c:v>414226.90077136498</c:v>
                </c:pt>
                <c:pt idx="13">
                  <c:v>488316.94027693296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38-4D51-A2A9-3F3BA9810695}"/>
            </c:ext>
          </c:extLst>
        </c:ser>
        <c:ser>
          <c:idx val="2"/>
          <c:order val="2"/>
          <c:tx>
            <c:strRef>
              <c:f>'Sales Analysis'!$A$11</c:f>
              <c:strCache>
                <c:ptCount val="1"/>
                <c:pt idx="0">
                  <c:v>Total OTC sales</c:v>
                </c:pt>
              </c:strCache>
            </c:strRef>
          </c:tx>
          <c:marker>
            <c:symbol val="none"/>
          </c:marker>
          <c:cat>
            <c:strRef>
              <c:f>'Sales Analysis'!$B$8:$O$8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Analysis'!$B$11:$O$11</c:f>
              <c:numCache>
                <c:formatCode>#,##0;\(#,##0\);\ \ \-\ \ </c:formatCode>
                <c:ptCount val="14"/>
                <c:pt idx="0">
                  <c:v>421097.37263999996</c:v>
                </c:pt>
                <c:pt idx="1">
                  <c:v>464620.75196000002</c:v>
                </c:pt>
                <c:pt idx="2">
                  <c:v>500370.91712000006</c:v>
                </c:pt>
                <c:pt idx="3">
                  <c:v>489010.86896999995</c:v>
                </c:pt>
                <c:pt idx="4">
                  <c:v>265470.73184999998</c:v>
                </c:pt>
                <c:pt idx="5">
                  <c:v>367261.11475999997</c:v>
                </c:pt>
                <c:pt idx="6">
                  <c:v>405151.17239955475</c:v>
                </c:pt>
                <c:pt idx="7">
                  <c:v>420783.51512034499</c:v>
                </c:pt>
                <c:pt idx="8">
                  <c:v>494315.72114923835</c:v>
                </c:pt>
                <c:pt idx="9">
                  <c:v>577920.07017880143</c:v>
                </c:pt>
                <c:pt idx="10">
                  <c:v>623296.80946576491</c:v>
                </c:pt>
                <c:pt idx="11">
                  <c:v>678803.63395418087</c:v>
                </c:pt>
                <c:pt idx="12">
                  <c:v>768607.15642095066</c:v>
                </c:pt>
                <c:pt idx="13">
                  <c:v>852322.60665613064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38-4D51-A2A9-3F3BA9810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973648"/>
        <c:axId val="333974208"/>
      </c:lineChart>
      <c:catAx>
        <c:axId val="3339736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333974208"/>
        <c:crosses val="autoZero"/>
        <c:auto val="1"/>
        <c:lblAlgn val="ctr"/>
        <c:lblOffset val="100"/>
        <c:noMultiLvlLbl val="0"/>
      </c:catAx>
      <c:valAx>
        <c:axId val="333974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HK$'000</a:t>
                </a:r>
              </a:p>
            </c:rich>
          </c:tx>
          <c:overlay val="0"/>
        </c:title>
        <c:numFmt formatCode="#,##0;\(#,##0\);\ \ \-\ \ " sourceLinked="1"/>
        <c:majorTickMark val="none"/>
        <c:minorTickMark val="none"/>
        <c:tickLblPos val="nextTo"/>
        <c:crossAx val="3339736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OTC</a:t>
            </a:r>
            <a:r>
              <a:rPr lang="en-US" baseline="0"/>
              <a:t> Gross Profit by Market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Analysis'!$A$14</c:f>
              <c:strCache>
                <c:ptCount val="1"/>
                <c:pt idx="0">
                  <c:v>HK OTC sales</c:v>
                </c:pt>
              </c:strCache>
            </c:strRef>
          </c:tx>
          <c:marker>
            <c:symbol val="none"/>
          </c:marker>
          <c:cat>
            <c:strRef>
              <c:f>'Sales Analysis'!$B$13:$O$13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Analysis'!$B$14:$O$14</c:f>
              <c:numCache>
                <c:formatCode>#,##0;\(#,##0\);\ \ \-\ \ </c:formatCode>
                <c:ptCount val="14"/>
                <c:pt idx="0">
                  <c:v>247975.44214501645</c:v>
                </c:pt>
                <c:pt idx="1">
                  <c:v>268294.5307757234</c:v>
                </c:pt>
                <c:pt idx="2">
                  <c:v>276034.79687827209</c:v>
                </c:pt>
                <c:pt idx="3">
                  <c:v>224236.16197760834</c:v>
                </c:pt>
                <c:pt idx="4">
                  <c:v>85479.896315931896</c:v>
                </c:pt>
                <c:pt idx="5">
                  <c:v>175056.61611458962</c:v>
                </c:pt>
                <c:pt idx="6">
                  <c:v>154115.02992865699</c:v>
                </c:pt>
                <c:pt idx="7">
                  <c:v>146670.86632893753</c:v>
                </c:pt>
                <c:pt idx="8">
                  <c:v>170728.68387440973</c:v>
                </c:pt>
                <c:pt idx="9">
                  <c:v>201317.3552445822</c:v>
                </c:pt>
                <c:pt idx="10">
                  <c:v>216731.83039711899</c:v>
                </c:pt>
                <c:pt idx="11">
                  <c:v>230814.33479316908</c:v>
                </c:pt>
                <c:pt idx="12">
                  <c:v>254675.87542440146</c:v>
                </c:pt>
                <c:pt idx="13">
                  <c:v>267372.06064058439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A-4BA5-8B5A-FD9E596B7B47}"/>
            </c:ext>
          </c:extLst>
        </c:ser>
        <c:ser>
          <c:idx val="1"/>
          <c:order val="1"/>
          <c:tx>
            <c:strRef>
              <c:f>'Sales Analysis'!$A$15</c:f>
              <c:strCache>
                <c:ptCount val="1"/>
                <c:pt idx="0">
                  <c:v>CN OTC sales</c:v>
                </c:pt>
              </c:strCache>
            </c:strRef>
          </c:tx>
          <c:marker>
            <c:symbol val="none"/>
          </c:marker>
          <c:cat>
            <c:strRef>
              <c:f>'Sales Analysis'!$B$13:$O$13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Analysis'!$B$15:$O$15</c:f>
              <c:numCache>
                <c:formatCode>#,##0;\(#,##0\);\ \ \-\ \ </c:formatCode>
                <c:ptCount val="14"/>
                <c:pt idx="0">
                  <c:v>97858.321593514396</c:v>
                </c:pt>
                <c:pt idx="1">
                  <c:v>115815.73615814644</c:v>
                </c:pt>
                <c:pt idx="2">
                  <c:v>142451.5548009022</c:v>
                </c:pt>
                <c:pt idx="3">
                  <c:v>180837.59877999997</c:v>
                </c:pt>
                <c:pt idx="4">
                  <c:v>127583.16761000002</c:v>
                </c:pt>
                <c:pt idx="5">
                  <c:v>119809.44779999998</c:v>
                </c:pt>
                <c:pt idx="6">
                  <c:v>181790.22578809605</c:v>
                </c:pt>
                <c:pt idx="7">
                  <c:v>178958.73205796388</c:v>
                </c:pt>
                <c:pt idx="8">
                  <c:v>208897.19373724848</c:v>
                </c:pt>
                <c:pt idx="9">
                  <c:v>203453.34340967925</c:v>
                </c:pt>
                <c:pt idx="10">
                  <c:v>201632.95905840839</c:v>
                </c:pt>
                <c:pt idx="11">
                  <c:v>234985.97228825151</c:v>
                </c:pt>
                <c:pt idx="12">
                  <c:v>283086.15326139401</c:v>
                </c:pt>
                <c:pt idx="13">
                  <c:v>341405.052411857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2A-4BA5-8B5A-FD9E596B7B47}"/>
            </c:ext>
          </c:extLst>
        </c:ser>
        <c:ser>
          <c:idx val="2"/>
          <c:order val="2"/>
          <c:tx>
            <c:strRef>
              <c:f>'Sales Analysis'!$A$16</c:f>
              <c:strCache>
                <c:ptCount val="1"/>
                <c:pt idx="0">
                  <c:v>Total OTC sales</c:v>
                </c:pt>
              </c:strCache>
            </c:strRef>
          </c:tx>
          <c:marker>
            <c:symbol val="none"/>
          </c:marker>
          <c:cat>
            <c:strRef>
              <c:f>'Sales Analysis'!$B$13:$O$13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Analysis'!$B$16:$O$16</c:f>
              <c:numCache>
                <c:formatCode>#,##0;\(#,##0\);\ \ \-\ \ </c:formatCode>
                <c:ptCount val="14"/>
                <c:pt idx="0">
                  <c:v>348391.18214378366</c:v>
                </c:pt>
                <c:pt idx="1">
                  <c:v>386425.18450840004</c:v>
                </c:pt>
                <c:pt idx="2">
                  <c:v>422940.25470917422</c:v>
                </c:pt>
                <c:pt idx="3">
                  <c:v>408048.02422760834</c:v>
                </c:pt>
                <c:pt idx="4">
                  <c:v>213943.59776593195</c:v>
                </c:pt>
                <c:pt idx="5">
                  <c:v>294866.06391458964</c:v>
                </c:pt>
                <c:pt idx="6">
                  <c:v>336774.06144128926</c:v>
                </c:pt>
                <c:pt idx="7">
                  <c:v>326221.86979422602</c:v>
                </c:pt>
                <c:pt idx="8">
                  <c:v>380368.21830846625</c:v>
                </c:pt>
                <c:pt idx="9">
                  <c:v>406029.03744630527</c:v>
                </c:pt>
                <c:pt idx="10">
                  <c:v>419641.93689123861</c:v>
                </c:pt>
                <c:pt idx="11">
                  <c:v>467094.94602287892</c:v>
                </c:pt>
                <c:pt idx="12">
                  <c:v>540496.9555318061</c:v>
                </c:pt>
                <c:pt idx="13">
                  <c:v>611867.74322785309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2A-4BA5-8B5A-FD9E596B7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978128"/>
        <c:axId val="333978688"/>
      </c:lineChart>
      <c:catAx>
        <c:axId val="33397812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333978688"/>
        <c:crosses val="autoZero"/>
        <c:auto val="1"/>
        <c:lblAlgn val="ctr"/>
        <c:lblOffset val="100"/>
        <c:noMultiLvlLbl val="0"/>
      </c:catAx>
      <c:valAx>
        <c:axId val="333978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HK$'000</a:t>
                </a:r>
              </a:p>
            </c:rich>
          </c:tx>
          <c:overlay val="0"/>
        </c:title>
        <c:numFmt formatCode="#,##0;\(#,##0\);\ \ \-\ \ " sourceLinked="1"/>
        <c:majorTickMark val="none"/>
        <c:minorTickMark val="none"/>
        <c:tickLblPos val="nextTo"/>
        <c:crossAx val="3339781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OTC</a:t>
            </a:r>
            <a:r>
              <a:rPr lang="en-US" baseline="0"/>
              <a:t> GP less Marketing Cost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Analysis'!$A$19</c:f>
              <c:strCache>
                <c:ptCount val="1"/>
                <c:pt idx="0">
                  <c:v>HK OTC sales</c:v>
                </c:pt>
              </c:strCache>
            </c:strRef>
          </c:tx>
          <c:marker>
            <c:symbol val="none"/>
          </c:marker>
          <c:cat>
            <c:strRef>
              <c:f>'Sales Analysis'!$B$18:$O$18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Analysis'!$B$19:$O$19</c:f>
              <c:numCache>
                <c:formatCode>#,##0;\(#,##0\);\ \ \-\ \ </c:formatCode>
                <c:ptCount val="14"/>
                <c:pt idx="0">
                  <c:v>192625.92814501646</c:v>
                </c:pt>
                <c:pt idx="1">
                  <c:v>208790.86482572337</c:v>
                </c:pt>
                <c:pt idx="2">
                  <c:v>215307.19846827205</c:v>
                </c:pt>
                <c:pt idx="3">
                  <c:v>176574.44103760834</c:v>
                </c:pt>
                <c:pt idx="4">
                  <c:v>63594.904025931901</c:v>
                </c:pt>
                <c:pt idx="5">
                  <c:v>134133.53318458961</c:v>
                </c:pt>
                <c:pt idx="6">
                  <c:v>116974.06740314218</c:v>
                </c:pt>
                <c:pt idx="7">
                  <c:v>109496.52395277083</c:v>
                </c:pt>
                <c:pt idx="8">
                  <c:v>129566.03672628188</c:v>
                </c:pt>
                <c:pt idx="9">
                  <c:v>156982.30974381274</c:v>
                </c:pt>
                <c:pt idx="10">
                  <c:v>170527.21116143724</c:v>
                </c:pt>
                <c:pt idx="11">
                  <c:v>181716.79834606289</c:v>
                </c:pt>
                <c:pt idx="12">
                  <c:v>202865.03578616332</c:v>
                </c:pt>
                <c:pt idx="13">
                  <c:v>220544.13407175941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41-4682-AEE0-03470DFCA949}"/>
            </c:ext>
          </c:extLst>
        </c:ser>
        <c:ser>
          <c:idx val="1"/>
          <c:order val="1"/>
          <c:tx>
            <c:strRef>
              <c:f>'Sales Analysis'!$A$20</c:f>
              <c:strCache>
                <c:ptCount val="1"/>
                <c:pt idx="0">
                  <c:v>CN OTC sales</c:v>
                </c:pt>
              </c:strCache>
            </c:strRef>
          </c:tx>
          <c:marker>
            <c:symbol val="none"/>
          </c:marker>
          <c:cat>
            <c:strRef>
              <c:f>'Sales Analysis'!$B$18:$O$18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Analysis'!$B$20:$O$20</c:f>
              <c:numCache>
                <c:formatCode>#,##0;\(#,##0\);\ \ \-\ \ </c:formatCode>
                <c:ptCount val="14"/>
                <c:pt idx="0">
                  <c:v>13239.314593514398</c:v>
                </c:pt>
                <c:pt idx="1">
                  <c:v>23081.156288146438</c:v>
                </c:pt>
                <c:pt idx="2">
                  <c:v>25659.415310902194</c:v>
                </c:pt>
                <c:pt idx="3">
                  <c:v>37673.772499999941</c:v>
                </c:pt>
                <c:pt idx="4">
                  <c:v>27497.200670000002</c:v>
                </c:pt>
                <c:pt idx="5">
                  <c:v>23830.075449999975</c:v>
                </c:pt>
                <c:pt idx="6">
                  <c:v>37914.237721492587</c:v>
                </c:pt>
                <c:pt idx="7">
                  <c:v>31625.695957260577</c:v>
                </c:pt>
                <c:pt idx="8">
                  <c:v>44388.054593939247</c:v>
                </c:pt>
                <c:pt idx="9">
                  <c:v>8031.7535691052672</c:v>
                </c:pt>
                <c:pt idx="10">
                  <c:v>-8902.4559863521154</c:v>
                </c:pt>
                <c:pt idx="11">
                  <c:v>1555.9486236295998</c:v>
                </c:pt>
                <c:pt idx="12">
                  <c:v>8453.7180499790302</c:v>
                </c:pt>
                <c:pt idx="13">
                  <c:v>17650.921008250414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1-4682-AEE0-03470DFCA949}"/>
            </c:ext>
          </c:extLst>
        </c:ser>
        <c:ser>
          <c:idx val="2"/>
          <c:order val="2"/>
          <c:tx>
            <c:strRef>
              <c:f>'Sales Analysis'!$A$21</c:f>
              <c:strCache>
                <c:ptCount val="1"/>
                <c:pt idx="0">
                  <c:v>Total OTC sales</c:v>
                </c:pt>
              </c:strCache>
            </c:strRef>
          </c:tx>
          <c:marker>
            <c:symbol val="none"/>
          </c:marker>
          <c:cat>
            <c:strRef>
              <c:f>'Sales Analysis'!$B$18:$O$18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Analysis'!$B$21:$O$21</c:f>
              <c:numCache>
                <c:formatCode>#,##0;\(#,##0\);\ \ \-\ \ </c:formatCode>
                <c:ptCount val="14"/>
                <c:pt idx="0">
                  <c:v>207846.86289378372</c:v>
                </c:pt>
                <c:pt idx="1">
                  <c:v>234074.26322840003</c:v>
                </c:pt>
                <c:pt idx="2">
                  <c:v>245018.32447917425</c:v>
                </c:pt>
                <c:pt idx="3">
                  <c:v>216468.39526760826</c:v>
                </c:pt>
                <c:pt idx="4">
                  <c:v>91407.087105931903</c:v>
                </c:pt>
                <c:pt idx="5">
                  <c:v>157840.25563458962</c:v>
                </c:pt>
                <c:pt idx="6">
                  <c:v>155657.11084917103</c:v>
                </c:pt>
                <c:pt idx="7">
                  <c:v>141496.31267832388</c:v>
                </c:pt>
                <c:pt idx="8">
                  <c:v>174328.32033191144</c:v>
                </c:pt>
                <c:pt idx="9">
                  <c:v>165742.65196441568</c:v>
                </c:pt>
                <c:pt idx="10">
                  <c:v>162361.55746743936</c:v>
                </c:pt>
                <c:pt idx="11">
                  <c:v>184016.23386492665</c:v>
                </c:pt>
                <c:pt idx="12">
                  <c:v>213034.00928433231</c:v>
                </c:pt>
                <c:pt idx="13">
                  <c:v>240245.62042964454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41-4682-AEE0-03470DFCA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982608"/>
        <c:axId val="339521744"/>
      </c:lineChart>
      <c:catAx>
        <c:axId val="33398260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339521744"/>
        <c:crosses val="autoZero"/>
        <c:auto val="1"/>
        <c:lblAlgn val="ctr"/>
        <c:lblOffset val="100"/>
        <c:noMultiLvlLbl val="0"/>
      </c:catAx>
      <c:valAx>
        <c:axId val="339521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HK$'000</a:t>
                </a:r>
              </a:p>
            </c:rich>
          </c:tx>
          <c:overlay val="0"/>
        </c:title>
        <c:numFmt formatCode="#,##0;\(#,##0\);\ \ \-\ \ " sourceLinked="1"/>
        <c:majorTickMark val="none"/>
        <c:minorTickMark val="none"/>
        <c:tickLblPos val="nextTo"/>
        <c:crossAx val="3339826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OTC</a:t>
            </a:r>
            <a:r>
              <a:rPr lang="en-US" baseline="0"/>
              <a:t> Cash GP less Marketing Cost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Analysis'!$A$24</c:f>
              <c:strCache>
                <c:ptCount val="1"/>
                <c:pt idx="0">
                  <c:v>HK OTC sales</c:v>
                </c:pt>
              </c:strCache>
            </c:strRef>
          </c:tx>
          <c:marker>
            <c:symbol val="none"/>
          </c:marker>
          <c:cat>
            <c:strRef>
              <c:f>'Sales Analysis'!$B$23:$O$23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Analysis'!$B$24:$O$24</c:f>
              <c:numCache>
                <c:formatCode>#,##0;\(#,##0\);\ \ \-\ \ </c:formatCode>
                <c:ptCount val="14"/>
                <c:pt idx="0">
                  <c:v>196685.66492276511</c:v>
                </c:pt>
                <c:pt idx="1">
                  <c:v>212810.38278838852</c:v>
                </c:pt>
                <c:pt idx="2">
                  <c:v>218052.92478843327</c:v>
                </c:pt>
                <c:pt idx="3">
                  <c:v>179588.64223160801</c:v>
                </c:pt>
                <c:pt idx="4">
                  <c:v>66562.139770501453</c:v>
                </c:pt>
                <c:pt idx="5">
                  <c:v>176445.98226265796</c:v>
                </c:pt>
                <c:pt idx="6">
                  <c:v>146322.85242134638</c:v>
                </c:pt>
                <c:pt idx="7">
                  <c:v>139176.7486854741</c:v>
                </c:pt>
                <c:pt idx="8">
                  <c:v>163485.19001093452</c:v>
                </c:pt>
                <c:pt idx="9">
                  <c:v>189901.40105215175</c:v>
                </c:pt>
                <c:pt idx="10">
                  <c:v>203283.75867827807</c:v>
                </c:pt>
                <c:pt idx="11">
                  <c:v>216226.68976304331</c:v>
                </c:pt>
                <c:pt idx="12">
                  <c:v>235152.39866693164</c:v>
                </c:pt>
                <c:pt idx="13">
                  <c:v>250065.98668071022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52-410E-B122-52EBAA6EBA50}"/>
            </c:ext>
          </c:extLst>
        </c:ser>
        <c:ser>
          <c:idx val="1"/>
          <c:order val="1"/>
          <c:tx>
            <c:strRef>
              <c:f>'Sales Analysis'!$A$25</c:f>
              <c:strCache>
                <c:ptCount val="1"/>
                <c:pt idx="0">
                  <c:v>CN OTC sales</c:v>
                </c:pt>
              </c:strCache>
            </c:strRef>
          </c:tx>
          <c:marker>
            <c:symbol val="none"/>
          </c:marker>
          <c:cat>
            <c:strRef>
              <c:f>'Sales Analysis'!$B$23:$O$23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Analysis'!$B$25:$O$25</c:f>
              <c:numCache>
                <c:formatCode>#,##0;\(#,##0\);\ \ \-\ \ </c:formatCode>
                <c:ptCount val="14"/>
                <c:pt idx="0">
                  <c:v>15975.801665551635</c:v>
                </c:pt>
                <c:pt idx="1">
                  <c:v>26204.688733453571</c:v>
                </c:pt>
                <c:pt idx="2">
                  <c:v>28277.257599538658</c:v>
                </c:pt>
                <c:pt idx="3">
                  <c:v>41983.731182342897</c:v>
                </c:pt>
                <c:pt idx="4">
                  <c:v>33078.462992662142</c:v>
                </c:pt>
                <c:pt idx="5">
                  <c:v>61738.626371931634</c:v>
                </c:pt>
                <c:pt idx="6">
                  <c:v>88216.960801405192</c:v>
                </c:pt>
                <c:pt idx="7">
                  <c:v>81613.820075563737</c:v>
                </c:pt>
                <c:pt idx="8">
                  <c:v>89833.940338389744</c:v>
                </c:pt>
                <c:pt idx="9">
                  <c:v>54298.666184716989</c:v>
                </c:pt>
                <c:pt idx="10">
                  <c:v>37596.482436591061</c:v>
                </c:pt>
                <c:pt idx="11">
                  <c:v>46303.340084796517</c:v>
                </c:pt>
                <c:pt idx="12">
                  <c:v>54846.967026156912</c:v>
                </c:pt>
                <c:pt idx="13">
                  <c:v>66961.236542883154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2-410E-B122-52EBAA6EBA50}"/>
            </c:ext>
          </c:extLst>
        </c:ser>
        <c:ser>
          <c:idx val="2"/>
          <c:order val="2"/>
          <c:tx>
            <c:strRef>
              <c:f>'Sales Analysis'!$A$26</c:f>
              <c:strCache>
                <c:ptCount val="1"/>
                <c:pt idx="0">
                  <c:v>Total OTC sales</c:v>
                </c:pt>
              </c:strCache>
            </c:strRef>
          </c:tx>
          <c:marker>
            <c:symbol val="none"/>
          </c:marker>
          <c:cat>
            <c:strRef>
              <c:f>'Sales Analysis'!$B$23:$O$23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Analysis'!$B$26:$O$26</c:f>
              <c:numCache>
                <c:formatCode>#,##0;\(#,##0\);\ \ \-\ \ </c:formatCode>
                <c:ptCount val="14"/>
                <c:pt idx="0">
                  <c:v>214756.82069025244</c:v>
                </c:pt>
                <c:pt idx="1">
                  <c:v>241311.9699074144</c:v>
                </c:pt>
                <c:pt idx="2">
                  <c:v>250512.62340250332</c:v>
                </c:pt>
                <c:pt idx="3">
                  <c:v>223889.64581587797</c:v>
                </c:pt>
                <c:pt idx="4">
                  <c:v>100105.16281921681</c:v>
                </c:pt>
                <c:pt idx="5">
                  <c:v>238061.25563458962</c:v>
                </c:pt>
                <c:pt idx="6">
                  <c:v>235878.11084917103</c:v>
                </c:pt>
                <c:pt idx="7">
                  <c:v>221717.31267832388</c:v>
                </c:pt>
                <c:pt idx="8">
                  <c:v>254549.32033191144</c:v>
                </c:pt>
                <c:pt idx="9">
                  <c:v>245963.65196441568</c:v>
                </c:pt>
                <c:pt idx="10">
                  <c:v>242582.55746743936</c:v>
                </c:pt>
                <c:pt idx="11">
                  <c:v>264237.23386492662</c:v>
                </c:pt>
                <c:pt idx="12">
                  <c:v>293255.00928433228</c:v>
                </c:pt>
                <c:pt idx="13">
                  <c:v>320466.62042964454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2-410E-B122-52EBAA6EB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525664"/>
        <c:axId val="339526224"/>
      </c:lineChart>
      <c:catAx>
        <c:axId val="3395256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339526224"/>
        <c:crosses val="autoZero"/>
        <c:auto val="1"/>
        <c:lblAlgn val="ctr"/>
        <c:lblOffset val="100"/>
        <c:noMultiLvlLbl val="0"/>
      </c:catAx>
      <c:valAx>
        <c:axId val="339526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HK$'000</a:t>
                </a:r>
              </a:p>
            </c:rich>
          </c:tx>
          <c:overlay val="0"/>
        </c:title>
        <c:numFmt formatCode="#,##0;\(#,##0\);\ \ \-\ \ " sourceLinked="1"/>
        <c:majorTickMark val="none"/>
        <c:minorTickMark val="none"/>
        <c:tickLblPos val="nextTo"/>
        <c:crossAx val="339525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OTC</a:t>
            </a:r>
            <a:r>
              <a:rPr lang="en-US" baseline="0"/>
              <a:t> HK Market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973415919411101"/>
          <c:y val="0.16797428764518207"/>
          <c:w val="0.60595257373034017"/>
          <c:h val="0.66305719270121177"/>
        </c:manualLayout>
      </c:layout>
      <c:lineChart>
        <c:grouping val="standard"/>
        <c:varyColors val="0"/>
        <c:ser>
          <c:idx val="0"/>
          <c:order val="0"/>
          <c:tx>
            <c:strRef>
              <c:f>'Sales Analysis'!$A$29</c:f>
              <c:strCache>
                <c:ptCount val="1"/>
                <c:pt idx="0">
                  <c:v>Net Sales</c:v>
                </c:pt>
              </c:strCache>
            </c:strRef>
          </c:tx>
          <c:marker>
            <c:symbol val="none"/>
          </c:marker>
          <c:cat>
            <c:strRef>
              <c:f>'Sales Analysis'!$B$28:$O$28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Analysis'!$B$29:$O$29</c:f>
              <c:numCache>
                <c:formatCode>#,##0;\(#,##0\);\ \ \-\ \ </c:formatCode>
                <c:ptCount val="14"/>
                <c:pt idx="0">
                  <c:v>295395.48197999998</c:v>
                </c:pt>
                <c:pt idx="1">
                  <c:v>315896.07718000002</c:v>
                </c:pt>
                <c:pt idx="2">
                  <c:v>319787.66125999996</c:v>
                </c:pt>
                <c:pt idx="3">
                  <c:v>268809.81451999996</c:v>
                </c:pt>
                <c:pt idx="4">
                  <c:v>113620.32733</c:v>
                </c:pt>
                <c:pt idx="5">
                  <c:v>223205.41331</c:v>
                </c:pt>
                <c:pt idx="6">
                  <c:v>186643.64892051477</c:v>
                </c:pt>
                <c:pt idx="7">
                  <c:v>197031.74121279854</c:v>
                </c:pt>
                <c:pt idx="8">
                  <c:v>243605.88534575253</c:v>
                </c:pt>
                <c:pt idx="9">
                  <c:v>279451.61401633563</c:v>
                </c:pt>
                <c:pt idx="10">
                  <c:v>301957.93831673905</c:v>
                </c:pt>
                <c:pt idx="11">
                  <c:v>322857.14025552856</c:v>
                </c:pt>
                <c:pt idx="12">
                  <c:v>347229.70578097156</c:v>
                </c:pt>
                <c:pt idx="13">
                  <c:v>356712.1055132114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9-4A19-8209-A67EAEFB1D48}"/>
            </c:ext>
          </c:extLst>
        </c:ser>
        <c:ser>
          <c:idx val="1"/>
          <c:order val="1"/>
          <c:tx>
            <c:strRef>
              <c:f>'Sales Analysis'!$A$30</c:f>
              <c:strCache>
                <c:ptCount val="1"/>
                <c:pt idx="0">
                  <c:v>Gross Profit</c:v>
                </c:pt>
              </c:strCache>
            </c:strRef>
          </c:tx>
          <c:marker>
            <c:symbol val="none"/>
          </c:marker>
          <c:cat>
            <c:strRef>
              <c:f>'Sales Analysis'!$B$28:$O$28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Analysis'!$B$30:$O$30</c:f>
              <c:numCache>
                <c:formatCode>#,##0;\(#,##0\);\ \ \-\ \ </c:formatCode>
                <c:ptCount val="14"/>
                <c:pt idx="0">
                  <c:v>247975.44214501645</c:v>
                </c:pt>
                <c:pt idx="1">
                  <c:v>268294.5307757234</c:v>
                </c:pt>
                <c:pt idx="2">
                  <c:v>276034.79687827209</c:v>
                </c:pt>
                <c:pt idx="3">
                  <c:v>224236.16197760834</c:v>
                </c:pt>
                <c:pt idx="4">
                  <c:v>85479.896315931896</c:v>
                </c:pt>
                <c:pt idx="5">
                  <c:v>175056.61611458962</c:v>
                </c:pt>
                <c:pt idx="6">
                  <c:v>154115.02992865699</c:v>
                </c:pt>
                <c:pt idx="7">
                  <c:v>146670.86632893753</c:v>
                </c:pt>
                <c:pt idx="8">
                  <c:v>170728.68387440973</c:v>
                </c:pt>
                <c:pt idx="9">
                  <c:v>201317.3552445822</c:v>
                </c:pt>
                <c:pt idx="10">
                  <c:v>216731.83039711899</c:v>
                </c:pt>
                <c:pt idx="11">
                  <c:v>230814.33479316908</c:v>
                </c:pt>
                <c:pt idx="12">
                  <c:v>254675.87542440146</c:v>
                </c:pt>
                <c:pt idx="13">
                  <c:v>267372.06064058439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59-4A19-8209-A67EAEFB1D48}"/>
            </c:ext>
          </c:extLst>
        </c:ser>
        <c:ser>
          <c:idx val="2"/>
          <c:order val="2"/>
          <c:tx>
            <c:strRef>
              <c:f>'Sales Analysis'!$A$31</c:f>
              <c:strCache>
                <c:ptCount val="1"/>
                <c:pt idx="0">
                  <c:v>Marketing cost</c:v>
                </c:pt>
              </c:strCache>
            </c:strRef>
          </c:tx>
          <c:marker>
            <c:symbol val="none"/>
          </c:marker>
          <c:cat>
            <c:strRef>
              <c:f>'Sales Analysis'!$B$28:$O$28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Analysis'!$B$31:$O$31</c:f>
              <c:numCache>
                <c:formatCode>#,##0;\(#,##0\);\ \ \-\ \ </c:formatCode>
                <c:ptCount val="14"/>
                <c:pt idx="0">
                  <c:v>55349.514000000003</c:v>
                </c:pt>
                <c:pt idx="1">
                  <c:v>59503.665949999995</c:v>
                </c:pt>
                <c:pt idx="2">
                  <c:v>60727.598410000006</c:v>
                </c:pt>
                <c:pt idx="3">
                  <c:v>47661.720940000014</c:v>
                </c:pt>
                <c:pt idx="4">
                  <c:v>21884.992289999998</c:v>
                </c:pt>
                <c:pt idx="5">
                  <c:v>40923.082930000004</c:v>
                </c:pt>
                <c:pt idx="6">
                  <c:v>37140.962525514806</c:v>
                </c:pt>
                <c:pt idx="7">
                  <c:v>37174.3423761667</c:v>
                </c:pt>
                <c:pt idx="8">
                  <c:v>41162.647148127857</c:v>
                </c:pt>
                <c:pt idx="9">
                  <c:v>44335.045500769455</c:v>
                </c:pt>
                <c:pt idx="10">
                  <c:v>46204.619235681734</c:v>
                </c:pt>
                <c:pt idx="11">
                  <c:v>49097.536447106198</c:v>
                </c:pt>
                <c:pt idx="12">
                  <c:v>51810.839638238132</c:v>
                </c:pt>
                <c:pt idx="13">
                  <c:v>46827.926568825023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59-4A19-8209-A67EAEFB1D48}"/>
            </c:ext>
          </c:extLst>
        </c:ser>
        <c:ser>
          <c:idx val="3"/>
          <c:order val="3"/>
          <c:tx>
            <c:strRef>
              <c:f>'Sales Analysis'!$A$32</c:f>
              <c:strCache>
                <c:ptCount val="1"/>
                <c:pt idx="0">
                  <c:v>GP less marketing cost</c:v>
                </c:pt>
              </c:strCache>
            </c:strRef>
          </c:tx>
          <c:marker>
            <c:symbol val="none"/>
          </c:marker>
          <c:cat>
            <c:strRef>
              <c:f>'Sales Analysis'!$B$28:$O$28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Analysis'!$B$32:$O$32</c:f>
              <c:numCache>
                <c:formatCode>#,##0;\(#,##0\);\ \ \-\ \ </c:formatCode>
                <c:ptCount val="14"/>
                <c:pt idx="0">
                  <c:v>192625.92814501646</c:v>
                </c:pt>
                <c:pt idx="1">
                  <c:v>208790.86482572337</c:v>
                </c:pt>
                <c:pt idx="2">
                  <c:v>215307.19846827205</c:v>
                </c:pt>
                <c:pt idx="3">
                  <c:v>176574.44103760834</c:v>
                </c:pt>
                <c:pt idx="4">
                  <c:v>63594.904025931901</c:v>
                </c:pt>
                <c:pt idx="5">
                  <c:v>134133.53318458961</c:v>
                </c:pt>
                <c:pt idx="6">
                  <c:v>116974.06740314218</c:v>
                </c:pt>
                <c:pt idx="7">
                  <c:v>109496.52395277083</c:v>
                </c:pt>
                <c:pt idx="8">
                  <c:v>129566.03672628188</c:v>
                </c:pt>
                <c:pt idx="9">
                  <c:v>156982.30974381274</c:v>
                </c:pt>
                <c:pt idx="10">
                  <c:v>170527.21116143724</c:v>
                </c:pt>
                <c:pt idx="11">
                  <c:v>181716.79834606289</c:v>
                </c:pt>
                <c:pt idx="12">
                  <c:v>202865.03578616332</c:v>
                </c:pt>
                <c:pt idx="13">
                  <c:v>220544.13407175941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59-4A19-8209-A67EAEFB1D48}"/>
            </c:ext>
          </c:extLst>
        </c:ser>
        <c:ser>
          <c:idx val="4"/>
          <c:order val="4"/>
          <c:tx>
            <c:strRef>
              <c:f>'Sales Analysis'!$A$33</c:f>
              <c:strCache>
                <c:ptCount val="1"/>
                <c:pt idx="0">
                  <c:v>Cash GP less marketing cost</c:v>
                </c:pt>
              </c:strCache>
            </c:strRef>
          </c:tx>
          <c:marker>
            <c:symbol val="none"/>
          </c:marker>
          <c:cat>
            <c:strRef>
              <c:f>'Sales Analysis'!$B$28:$O$28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Analysis'!$B$33:$O$33</c:f>
              <c:numCache>
                <c:formatCode>#,##0;\(#,##0\);\ \ \-\ \ </c:formatCode>
                <c:ptCount val="14"/>
                <c:pt idx="0">
                  <c:v>196685.66492276511</c:v>
                </c:pt>
                <c:pt idx="1">
                  <c:v>212810.38278838852</c:v>
                </c:pt>
                <c:pt idx="2">
                  <c:v>218052.92478843327</c:v>
                </c:pt>
                <c:pt idx="3">
                  <c:v>179588.64223160801</c:v>
                </c:pt>
                <c:pt idx="4">
                  <c:v>66562.139770501453</c:v>
                </c:pt>
                <c:pt idx="5">
                  <c:v>176445.98226265796</c:v>
                </c:pt>
                <c:pt idx="6">
                  <c:v>146322.85242134638</c:v>
                </c:pt>
                <c:pt idx="7">
                  <c:v>139176.7486854741</c:v>
                </c:pt>
                <c:pt idx="8">
                  <c:v>163485.19001093452</c:v>
                </c:pt>
                <c:pt idx="9">
                  <c:v>189901.40105215175</c:v>
                </c:pt>
                <c:pt idx="10">
                  <c:v>203283.75867827807</c:v>
                </c:pt>
                <c:pt idx="11">
                  <c:v>216226.68976304331</c:v>
                </c:pt>
                <c:pt idx="12">
                  <c:v>235152.39866693164</c:v>
                </c:pt>
                <c:pt idx="13">
                  <c:v>250065.98668071022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59-4A19-8209-A67EAEFB1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531264"/>
        <c:axId val="339531824"/>
      </c:lineChart>
      <c:catAx>
        <c:axId val="3395312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339531824"/>
        <c:crosses val="autoZero"/>
        <c:auto val="1"/>
        <c:lblAlgn val="ctr"/>
        <c:lblOffset val="100"/>
        <c:noMultiLvlLbl val="0"/>
      </c:catAx>
      <c:valAx>
        <c:axId val="339531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HK$'000</a:t>
                </a:r>
              </a:p>
            </c:rich>
          </c:tx>
          <c:overlay val="0"/>
        </c:title>
        <c:numFmt formatCode="#,##0;\(#,##0\);\ \ \-\ \ " sourceLinked="1"/>
        <c:majorTickMark val="none"/>
        <c:minorTickMark val="none"/>
        <c:tickLblPos val="nextTo"/>
        <c:crossAx val="3395312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6425571321579666"/>
          <c:y val="0.19772549389410157"/>
          <c:w val="0.22503306142002172"/>
          <c:h val="0.5246090496173008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OTC</a:t>
            </a:r>
            <a:r>
              <a:rPr lang="en-US" baseline="0"/>
              <a:t> China Market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00493897131753"/>
          <c:y val="0.16878282813926238"/>
          <c:w val="0.59297056858895214"/>
          <c:h val="0.78668239574746301"/>
        </c:manualLayout>
      </c:layout>
      <c:lineChart>
        <c:grouping val="standard"/>
        <c:varyColors val="0"/>
        <c:ser>
          <c:idx val="0"/>
          <c:order val="0"/>
          <c:tx>
            <c:strRef>
              <c:f>'Sales Analysis'!$A$36</c:f>
              <c:strCache>
                <c:ptCount val="1"/>
                <c:pt idx="0">
                  <c:v>Net Sales</c:v>
                </c:pt>
              </c:strCache>
            </c:strRef>
          </c:tx>
          <c:marker>
            <c:symbol val="none"/>
          </c:marker>
          <c:cat>
            <c:strRef>
              <c:f>'Sales Analysis'!$B$35:$O$35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Analysis'!$B$36:$O$36</c:f>
              <c:numCache>
                <c:formatCode>#,##0;\(#,##0\);\ \ \-\ \ </c:formatCode>
                <c:ptCount val="14"/>
                <c:pt idx="0">
                  <c:v>122008.67404000001</c:v>
                </c:pt>
                <c:pt idx="1">
                  <c:v>145329.01465999999</c:v>
                </c:pt>
                <c:pt idx="2">
                  <c:v>174894.84694000002</c:v>
                </c:pt>
                <c:pt idx="3">
                  <c:v>215975.64095999999</c:v>
                </c:pt>
                <c:pt idx="4">
                  <c:v>149369.22343000001</c:v>
                </c:pt>
                <c:pt idx="5">
                  <c:v>144055.70144999999</c:v>
                </c:pt>
                <c:pt idx="6">
                  <c:v>217007.52347903993</c:v>
                </c:pt>
                <c:pt idx="7">
                  <c:v>222221.77390754642</c:v>
                </c:pt>
                <c:pt idx="8">
                  <c:v>248128.41499744981</c:v>
                </c:pt>
                <c:pt idx="9">
                  <c:v>294753.52917130309</c:v>
                </c:pt>
                <c:pt idx="10">
                  <c:v>317549.64561803994</c:v>
                </c:pt>
                <c:pt idx="11">
                  <c:v>352081.48365704663</c:v>
                </c:pt>
                <c:pt idx="12">
                  <c:v>414226.90077136498</c:v>
                </c:pt>
                <c:pt idx="13">
                  <c:v>488316.94027693296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31-4398-BDAC-DE40DBEB7496}"/>
            </c:ext>
          </c:extLst>
        </c:ser>
        <c:ser>
          <c:idx val="1"/>
          <c:order val="1"/>
          <c:tx>
            <c:strRef>
              <c:f>'Sales Analysis'!$A$37</c:f>
              <c:strCache>
                <c:ptCount val="1"/>
                <c:pt idx="0">
                  <c:v>Gross Profit</c:v>
                </c:pt>
              </c:strCache>
            </c:strRef>
          </c:tx>
          <c:marker>
            <c:symbol val="none"/>
          </c:marker>
          <c:cat>
            <c:strRef>
              <c:f>'Sales Analysis'!$B$35:$O$35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Analysis'!$B$37:$O$37</c:f>
              <c:numCache>
                <c:formatCode>#,##0;\(#,##0\);\ \ \-\ \ </c:formatCode>
                <c:ptCount val="14"/>
                <c:pt idx="0">
                  <c:v>97858.321593514396</c:v>
                </c:pt>
                <c:pt idx="1">
                  <c:v>115815.73615814644</c:v>
                </c:pt>
                <c:pt idx="2">
                  <c:v>142451.5548009022</c:v>
                </c:pt>
                <c:pt idx="3">
                  <c:v>180837.59877999997</c:v>
                </c:pt>
                <c:pt idx="4">
                  <c:v>127583.16761000002</c:v>
                </c:pt>
                <c:pt idx="5">
                  <c:v>119809.44779999998</c:v>
                </c:pt>
                <c:pt idx="6">
                  <c:v>181790.22578809605</c:v>
                </c:pt>
                <c:pt idx="7">
                  <c:v>178958.73205796388</c:v>
                </c:pt>
                <c:pt idx="8">
                  <c:v>208897.19373724848</c:v>
                </c:pt>
                <c:pt idx="9">
                  <c:v>203453.34340967925</c:v>
                </c:pt>
                <c:pt idx="10">
                  <c:v>201632.95905840839</c:v>
                </c:pt>
                <c:pt idx="11">
                  <c:v>234985.97228825151</c:v>
                </c:pt>
                <c:pt idx="12">
                  <c:v>283086.15326139401</c:v>
                </c:pt>
                <c:pt idx="13">
                  <c:v>341405.052411857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31-4398-BDAC-DE40DBEB7496}"/>
            </c:ext>
          </c:extLst>
        </c:ser>
        <c:ser>
          <c:idx val="2"/>
          <c:order val="2"/>
          <c:tx>
            <c:strRef>
              <c:f>'Sales Analysis'!$A$38</c:f>
              <c:strCache>
                <c:ptCount val="1"/>
                <c:pt idx="0">
                  <c:v>Marketing cost</c:v>
                </c:pt>
              </c:strCache>
            </c:strRef>
          </c:tx>
          <c:marker>
            <c:symbol val="none"/>
          </c:marker>
          <c:cat>
            <c:strRef>
              <c:f>'Sales Analysis'!$B$35:$O$35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Analysis'!$B$38:$O$38</c:f>
              <c:numCache>
                <c:formatCode>#,##0;\(#,##0\);\ \ \-\ \ </c:formatCode>
                <c:ptCount val="14"/>
                <c:pt idx="0">
                  <c:v>84619.006999999998</c:v>
                </c:pt>
                <c:pt idx="1">
                  <c:v>92734.579870000001</c:v>
                </c:pt>
                <c:pt idx="2">
                  <c:v>116792.13949</c:v>
                </c:pt>
                <c:pt idx="3">
                  <c:v>143163.82628000004</c:v>
                </c:pt>
                <c:pt idx="4">
                  <c:v>100085.96694000001</c:v>
                </c:pt>
                <c:pt idx="5">
                  <c:v>95979.372350000005</c:v>
                </c:pt>
                <c:pt idx="6">
                  <c:v>143875.98806660346</c:v>
                </c:pt>
                <c:pt idx="7">
                  <c:v>147333.03610070329</c:v>
                </c:pt>
                <c:pt idx="8">
                  <c:v>164509.13914330924</c:v>
                </c:pt>
                <c:pt idx="9">
                  <c:v>195421.58984057396</c:v>
                </c:pt>
                <c:pt idx="10">
                  <c:v>210535.41504476051</c:v>
                </c:pt>
                <c:pt idx="11">
                  <c:v>233430.02366462193</c:v>
                </c:pt>
                <c:pt idx="12">
                  <c:v>274632.435211415</c:v>
                </c:pt>
                <c:pt idx="13">
                  <c:v>323754.13140360662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31-4398-BDAC-DE40DBEB7496}"/>
            </c:ext>
          </c:extLst>
        </c:ser>
        <c:ser>
          <c:idx val="3"/>
          <c:order val="3"/>
          <c:tx>
            <c:strRef>
              <c:f>'Sales Analysis'!$A$39</c:f>
              <c:strCache>
                <c:ptCount val="1"/>
                <c:pt idx="0">
                  <c:v>GP less marketing cost</c:v>
                </c:pt>
              </c:strCache>
            </c:strRef>
          </c:tx>
          <c:marker>
            <c:symbol val="none"/>
          </c:marker>
          <c:cat>
            <c:strRef>
              <c:f>'Sales Analysis'!$B$35:$O$35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Analysis'!$B$39:$O$39</c:f>
              <c:numCache>
                <c:formatCode>#,##0;\(#,##0\);\ \ \-\ \ </c:formatCode>
                <c:ptCount val="14"/>
                <c:pt idx="0">
                  <c:v>13239.314593514398</c:v>
                </c:pt>
                <c:pt idx="1">
                  <c:v>23081.156288146438</c:v>
                </c:pt>
                <c:pt idx="2">
                  <c:v>25659.415310902194</c:v>
                </c:pt>
                <c:pt idx="3">
                  <c:v>37673.772499999941</c:v>
                </c:pt>
                <c:pt idx="4">
                  <c:v>27497.200670000002</c:v>
                </c:pt>
                <c:pt idx="5">
                  <c:v>23830.075449999975</c:v>
                </c:pt>
                <c:pt idx="6">
                  <c:v>37914.237721492587</c:v>
                </c:pt>
                <c:pt idx="7">
                  <c:v>31625.695957260577</c:v>
                </c:pt>
                <c:pt idx="8">
                  <c:v>44388.054593939247</c:v>
                </c:pt>
                <c:pt idx="9">
                  <c:v>8031.7535691052672</c:v>
                </c:pt>
                <c:pt idx="10">
                  <c:v>-8902.4559863521154</c:v>
                </c:pt>
                <c:pt idx="11">
                  <c:v>1555.9486236295998</c:v>
                </c:pt>
                <c:pt idx="12">
                  <c:v>8453.7180499790302</c:v>
                </c:pt>
                <c:pt idx="13">
                  <c:v>17650.921008250414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31-4398-BDAC-DE40DBEB7496}"/>
            </c:ext>
          </c:extLst>
        </c:ser>
        <c:ser>
          <c:idx val="4"/>
          <c:order val="4"/>
          <c:tx>
            <c:strRef>
              <c:f>'Sales Analysis'!$A$40</c:f>
              <c:strCache>
                <c:ptCount val="1"/>
                <c:pt idx="0">
                  <c:v>Cash GP less marketing cost</c:v>
                </c:pt>
              </c:strCache>
            </c:strRef>
          </c:tx>
          <c:marker>
            <c:symbol val="none"/>
          </c:marker>
          <c:cat>
            <c:strRef>
              <c:f>'Sales Analysis'!$B$35:$O$35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Analysis'!$B$40:$O$40</c:f>
              <c:numCache>
                <c:formatCode>#,##0;\(#,##0\);\ \ \-\ \ </c:formatCode>
                <c:ptCount val="14"/>
                <c:pt idx="0">
                  <c:v>15975.801665551635</c:v>
                </c:pt>
                <c:pt idx="1">
                  <c:v>26204.688733453571</c:v>
                </c:pt>
                <c:pt idx="2">
                  <c:v>28277.257599538658</c:v>
                </c:pt>
                <c:pt idx="3">
                  <c:v>41983.731182342897</c:v>
                </c:pt>
                <c:pt idx="4">
                  <c:v>33078.462992662142</c:v>
                </c:pt>
                <c:pt idx="5">
                  <c:v>61738.626371931634</c:v>
                </c:pt>
                <c:pt idx="6">
                  <c:v>88216.960801405192</c:v>
                </c:pt>
                <c:pt idx="7">
                  <c:v>81613.820075563737</c:v>
                </c:pt>
                <c:pt idx="8">
                  <c:v>89833.940338389744</c:v>
                </c:pt>
                <c:pt idx="9">
                  <c:v>54298.666184716989</c:v>
                </c:pt>
                <c:pt idx="10">
                  <c:v>37596.482436591061</c:v>
                </c:pt>
                <c:pt idx="11">
                  <c:v>46303.340084796517</c:v>
                </c:pt>
                <c:pt idx="12">
                  <c:v>54846.967026156912</c:v>
                </c:pt>
                <c:pt idx="13">
                  <c:v>66961.236542883154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31-4398-BDAC-DE40DBEB7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536864"/>
        <c:axId val="339537424"/>
      </c:lineChart>
      <c:catAx>
        <c:axId val="3395368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339537424"/>
        <c:crosses val="autoZero"/>
        <c:auto val="1"/>
        <c:lblAlgn val="ctr"/>
        <c:lblOffset val="100"/>
        <c:noMultiLvlLbl val="0"/>
      </c:catAx>
      <c:valAx>
        <c:axId val="339537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HK$'000</a:t>
                </a:r>
              </a:p>
            </c:rich>
          </c:tx>
          <c:overlay val="0"/>
        </c:title>
        <c:numFmt formatCode="#,##0;\(#,##0\);\ \ \-\ \ " sourceLinked="1"/>
        <c:majorTickMark val="none"/>
        <c:minorTickMark val="none"/>
        <c:tickLblPos val="nextTo"/>
        <c:crossAx val="3395368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5782897799728766"/>
          <c:y val="0.12406833622331503"/>
          <c:w val="0.22074857127434905"/>
          <c:h val="0.7557744361377211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</a:t>
            </a:r>
            <a:r>
              <a:rPr lang="en-US" baseline="0"/>
              <a:t> OTC Market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636800876694538"/>
          <c:y val="0.16066269207757966"/>
          <c:w val="0.56506362123548992"/>
          <c:h val="0.65930375541545283"/>
        </c:manualLayout>
      </c:layout>
      <c:lineChart>
        <c:grouping val="standard"/>
        <c:varyColors val="0"/>
        <c:ser>
          <c:idx val="0"/>
          <c:order val="0"/>
          <c:tx>
            <c:strRef>
              <c:f>'Sales Analysis'!$A$43</c:f>
              <c:strCache>
                <c:ptCount val="1"/>
                <c:pt idx="0">
                  <c:v>Net Sales</c:v>
                </c:pt>
              </c:strCache>
            </c:strRef>
          </c:tx>
          <c:marker>
            <c:symbol val="none"/>
          </c:marker>
          <c:cat>
            <c:strRef>
              <c:f>'Sales Analysis'!$B$42:$O$42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Analysis'!$B$43:$O$43</c:f>
              <c:numCache>
                <c:formatCode>#,##0;\(#,##0\);\ \ \-\ \ </c:formatCode>
                <c:ptCount val="14"/>
                <c:pt idx="0">
                  <c:v>421097.37263999996</c:v>
                </c:pt>
                <c:pt idx="1">
                  <c:v>464620.75196000002</c:v>
                </c:pt>
                <c:pt idx="2">
                  <c:v>500370.91712000006</c:v>
                </c:pt>
                <c:pt idx="3">
                  <c:v>489010.86896999995</c:v>
                </c:pt>
                <c:pt idx="4">
                  <c:v>265470.73184999998</c:v>
                </c:pt>
                <c:pt idx="5">
                  <c:v>367261.11475999997</c:v>
                </c:pt>
                <c:pt idx="6">
                  <c:v>405151.17239955475</c:v>
                </c:pt>
                <c:pt idx="7">
                  <c:v>420783.51512034499</c:v>
                </c:pt>
                <c:pt idx="8">
                  <c:v>494315.72114923835</c:v>
                </c:pt>
                <c:pt idx="9">
                  <c:v>577920.07017880143</c:v>
                </c:pt>
                <c:pt idx="10">
                  <c:v>623296.80946576491</c:v>
                </c:pt>
                <c:pt idx="11">
                  <c:v>678803.63395418087</c:v>
                </c:pt>
                <c:pt idx="12">
                  <c:v>768607.15642095066</c:v>
                </c:pt>
                <c:pt idx="13">
                  <c:v>852322.60665613064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4F-417F-82F0-21DCFCC439D0}"/>
            </c:ext>
          </c:extLst>
        </c:ser>
        <c:ser>
          <c:idx val="1"/>
          <c:order val="1"/>
          <c:tx>
            <c:strRef>
              <c:f>'Sales Analysis'!$A$44</c:f>
              <c:strCache>
                <c:ptCount val="1"/>
                <c:pt idx="0">
                  <c:v>Gross Profit</c:v>
                </c:pt>
              </c:strCache>
            </c:strRef>
          </c:tx>
          <c:marker>
            <c:symbol val="none"/>
          </c:marker>
          <c:cat>
            <c:strRef>
              <c:f>'Sales Analysis'!$B$42:$O$42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Analysis'!$B$44:$O$44</c:f>
              <c:numCache>
                <c:formatCode>#,##0;\(#,##0\);\ \ \-\ \ </c:formatCode>
                <c:ptCount val="14"/>
                <c:pt idx="0">
                  <c:v>348391.18214378366</c:v>
                </c:pt>
                <c:pt idx="1">
                  <c:v>386425.18450840004</c:v>
                </c:pt>
                <c:pt idx="2">
                  <c:v>422940.25470917422</c:v>
                </c:pt>
                <c:pt idx="3">
                  <c:v>408048.02422760834</c:v>
                </c:pt>
                <c:pt idx="4">
                  <c:v>213943.59776593195</c:v>
                </c:pt>
                <c:pt idx="5">
                  <c:v>294866.06391458964</c:v>
                </c:pt>
                <c:pt idx="6">
                  <c:v>336774.06144128926</c:v>
                </c:pt>
                <c:pt idx="7">
                  <c:v>326221.86979422602</c:v>
                </c:pt>
                <c:pt idx="8">
                  <c:v>380368.21830846625</c:v>
                </c:pt>
                <c:pt idx="9">
                  <c:v>406029.03744630527</c:v>
                </c:pt>
                <c:pt idx="10">
                  <c:v>419641.93689123861</c:v>
                </c:pt>
                <c:pt idx="11">
                  <c:v>467094.94602287892</c:v>
                </c:pt>
                <c:pt idx="12">
                  <c:v>540496.9555318061</c:v>
                </c:pt>
                <c:pt idx="13">
                  <c:v>611867.74322785309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4F-417F-82F0-21DCFCC439D0}"/>
            </c:ext>
          </c:extLst>
        </c:ser>
        <c:ser>
          <c:idx val="2"/>
          <c:order val="2"/>
          <c:tx>
            <c:strRef>
              <c:f>'Sales Analysis'!$A$45</c:f>
              <c:strCache>
                <c:ptCount val="1"/>
                <c:pt idx="0">
                  <c:v>Marketing cost</c:v>
                </c:pt>
              </c:strCache>
            </c:strRef>
          </c:tx>
          <c:marker>
            <c:symbol val="none"/>
          </c:marker>
          <c:cat>
            <c:strRef>
              <c:f>'Sales Analysis'!$B$42:$O$42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Analysis'!$B$45:$O$45</c:f>
              <c:numCache>
                <c:formatCode>#,##0;\(#,##0\);\ \ \-\ \ </c:formatCode>
                <c:ptCount val="14"/>
                <c:pt idx="0">
                  <c:v>140544.31925</c:v>
                </c:pt>
                <c:pt idx="1">
                  <c:v>152350.92128000001</c:v>
                </c:pt>
                <c:pt idx="2">
                  <c:v>177921.93023</c:v>
                </c:pt>
                <c:pt idx="3">
                  <c:v>191579.62896000006</c:v>
                </c:pt>
                <c:pt idx="4">
                  <c:v>122536.51066000001</c:v>
                </c:pt>
                <c:pt idx="5">
                  <c:v>137025.80828</c:v>
                </c:pt>
                <c:pt idx="6">
                  <c:v>181116.95059211826</c:v>
                </c:pt>
                <c:pt idx="7">
                  <c:v>184725.55711590211</c:v>
                </c:pt>
                <c:pt idx="8">
                  <c:v>206039.89797655484</c:v>
                </c:pt>
                <c:pt idx="9">
                  <c:v>240286.38548188953</c:v>
                </c:pt>
                <c:pt idx="10">
                  <c:v>257280.37942379926</c:v>
                </c:pt>
                <c:pt idx="11">
                  <c:v>283078.71215795231</c:v>
                </c:pt>
                <c:pt idx="12">
                  <c:v>327462.94624747371</c:v>
                </c:pt>
                <c:pt idx="13">
                  <c:v>371622.12279820867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4F-417F-82F0-21DCFCC439D0}"/>
            </c:ext>
          </c:extLst>
        </c:ser>
        <c:ser>
          <c:idx val="3"/>
          <c:order val="3"/>
          <c:tx>
            <c:strRef>
              <c:f>'Sales Analysis'!$A$46</c:f>
              <c:strCache>
                <c:ptCount val="1"/>
                <c:pt idx="0">
                  <c:v>GP less marketing cost</c:v>
                </c:pt>
              </c:strCache>
            </c:strRef>
          </c:tx>
          <c:marker>
            <c:symbol val="none"/>
          </c:marker>
          <c:cat>
            <c:strRef>
              <c:f>'Sales Analysis'!$B$42:$O$42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Analysis'!$B$46:$O$46</c:f>
              <c:numCache>
                <c:formatCode>#,##0;\(#,##0\);\ \ \-\ \ </c:formatCode>
                <c:ptCount val="14"/>
                <c:pt idx="0">
                  <c:v>207846.86289378372</c:v>
                </c:pt>
                <c:pt idx="1">
                  <c:v>234074.26322840003</c:v>
                </c:pt>
                <c:pt idx="2">
                  <c:v>245018.32447917425</c:v>
                </c:pt>
                <c:pt idx="3">
                  <c:v>216468.39526760826</c:v>
                </c:pt>
                <c:pt idx="4">
                  <c:v>91407.087105931903</c:v>
                </c:pt>
                <c:pt idx="5">
                  <c:v>157840.25563458962</c:v>
                </c:pt>
                <c:pt idx="6">
                  <c:v>155657.11084917103</c:v>
                </c:pt>
                <c:pt idx="7">
                  <c:v>141496.31267832388</c:v>
                </c:pt>
                <c:pt idx="8">
                  <c:v>174328.32033191144</c:v>
                </c:pt>
                <c:pt idx="9">
                  <c:v>165742.65196441568</c:v>
                </c:pt>
                <c:pt idx="10">
                  <c:v>162361.55746743936</c:v>
                </c:pt>
                <c:pt idx="11">
                  <c:v>184016.23386492665</c:v>
                </c:pt>
                <c:pt idx="12">
                  <c:v>213034.00928433231</c:v>
                </c:pt>
                <c:pt idx="13">
                  <c:v>240245.62042964454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4F-417F-82F0-21DCFCC439D0}"/>
            </c:ext>
          </c:extLst>
        </c:ser>
        <c:ser>
          <c:idx val="4"/>
          <c:order val="4"/>
          <c:tx>
            <c:strRef>
              <c:f>'Sales Analysis'!$A$47</c:f>
              <c:strCache>
                <c:ptCount val="1"/>
                <c:pt idx="0">
                  <c:v>Cash GP less marketing cost</c:v>
                </c:pt>
              </c:strCache>
            </c:strRef>
          </c:tx>
          <c:marker>
            <c:symbol val="none"/>
          </c:marker>
          <c:cat>
            <c:strRef>
              <c:f>'Sales Analysis'!$B$42:$O$42</c:f>
              <c:strCache>
                <c:ptCount val="14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  <c:pt idx="5">
                  <c:v>2021-22</c:v>
                </c:pt>
                <c:pt idx="6">
                  <c:v>2022-23</c:v>
                </c:pt>
                <c:pt idx="7">
                  <c:v>2023-24</c:v>
                </c:pt>
                <c:pt idx="8">
                  <c:v>2024-25</c:v>
                </c:pt>
                <c:pt idx="9">
                  <c:v>2025-26</c:v>
                </c:pt>
                <c:pt idx="10">
                  <c:v>2026-27</c:v>
                </c:pt>
                <c:pt idx="11">
                  <c:v>2027-28</c:v>
                </c:pt>
                <c:pt idx="12">
                  <c:v>2028-29</c:v>
                </c:pt>
                <c:pt idx="13">
                  <c:v>2029-30</c:v>
                </c:pt>
              </c:strCache>
            </c:strRef>
          </c:cat>
          <c:val>
            <c:numRef>
              <c:f>'Sales Analysis'!$B$47:$O$47</c:f>
              <c:numCache>
                <c:formatCode>#,##0;\(#,##0\);\ \ \-\ \ </c:formatCode>
                <c:ptCount val="14"/>
                <c:pt idx="0">
                  <c:v>214756.82069025244</c:v>
                </c:pt>
                <c:pt idx="1">
                  <c:v>241311.9699074144</c:v>
                </c:pt>
                <c:pt idx="2">
                  <c:v>250512.62340250332</c:v>
                </c:pt>
                <c:pt idx="3">
                  <c:v>223889.64581587797</c:v>
                </c:pt>
                <c:pt idx="4">
                  <c:v>100105.16281921681</c:v>
                </c:pt>
                <c:pt idx="5">
                  <c:v>238061.25563458962</c:v>
                </c:pt>
                <c:pt idx="6">
                  <c:v>235878.11084917103</c:v>
                </c:pt>
                <c:pt idx="7">
                  <c:v>221717.31267832388</c:v>
                </c:pt>
                <c:pt idx="8">
                  <c:v>254549.32033191144</c:v>
                </c:pt>
                <c:pt idx="9">
                  <c:v>245963.65196441568</c:v>
                </c:pt>
                <c:pt idx="10">
                  <c:v>242582.55746743936</c:v>
                </c:pt>
                <c:pt idx="11">
                  <c:v>264237.23386492662</c:v>
                </c:pt>
                <c:pt idx="12">
                  <c:v>293255.00928433228</c:v>
                </c:pt>
                <c:pt idx="13">
                  <c:v>320466.62042964454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4F-417F-82F0-21DCFCC43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7666016"/>
        <c:axId val="337666576"/>
      </c:lineChart>
      <c:catAx>
        <c:axId val="33766601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337666576"/>
        <c:crosses val="autoZero"/>
        <c:auto val="1"/>
        <c:lblAlgn val="ctr"/>
        <c:lblOffset val="100"/>
        <c:noMultiLvlLbl val="0"/>
      </c:catAx>
      <c:valAx>
        <c:axId val="337666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HK$'000</a:t>
                </a:r>
              </a:p>
            </c:rich>
          </c:tx>
          <c:overlay val="0"/>
        </c:title>
        <c:numFmt formatCode="#,##0;\(#,##0\);\ \ \-\ \ " sourceLinked="1"/>
        <c:majorTickMark val="none"/>
        <c:minorTickMark val="none"/>
        <c:tickLblPos val="nextTo"/>
        <c:crossAx val="3376660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421704616175554"/>
          <c:y val="0.13069964192620248"/>
          <c:w val="0.23205634250615581"/>
          <c:h val="0.5743206068313625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067994954096893E-2"/>
          <c:y val="2.2590432142428573E-2"/>
          <c:w val="0.71941532114234252"/>
          <c:h val="0.95481913571514287"/>
        </c:manualLayout>
      </c:layout>
      <c:lineChart>
        <c:grouping val="standard"/>
        <c:varyColors val="0"/>
        <c:ser>
          <c:idx val="0"/>
          <c:order val="0"/>
          <c:tx>
            <c:strRef>
              <c:f>'Bank-Cashflow Summary'!$Q$6</c:f>
              <c:strCache>
                <c:ptCount val="1"/>
                <c:pt idx="0">
                  <c:v>Net cash inflow from core operation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'Bank-Cashflow Summary'!$S$5:$AA$5</c:f>
              <c:strCache>
                <c:ptCount val="9"/>
                <c:pt idx="0">
                  <c:v>2021-22</c:v>
                </c:pt>
                <c:pt idx="1">
                  <c:v>2022-23</c:v>
                </c:pt>
                <c:pt idx="2">
                  <c:v>2023-24</c:v>
                </c:pt>
                <c:pt idx="3">
                  <c:v>2024-25</c:v>
                </c:pt>
                <c:pt idx="4">
                  <c:v>2025-26</c:v>
                </c:pt>
                <c:pt idx="5">
                  <c:v>2026-27</c:v>
                </c:pt>
                <c:pt idx="6">
                  <c:v>2027-28</c:v>
                </c:pt>
                <c:pt idx="7">
                  <c:v>2028-29</c:v>
                </c:pt>
                <c:pt idx="8">
                  <c:v>2029-30</c:v>
                </c:pt>
              </c:strCache>
            </c:strRef>
          </c:cat>
          <c:val>
            <c:numRef>
              <c:f>'Bank-Cashflow Summary'!$S$6:$AA$6</c:f>
              <c:numCache>
                <c:formatCode>_(* #,##0_);_(* \(#,##0\);_(* "-"??_);_(@_)</c:formatCode>
                <c:ptCount val="9"/>
                <c:pt idx="0">
                  <c:v>107815.04379718711</c:v>
                </c:pt>
                <c:pt idx="1">
                  <c:v>-38432.28231040806</c:v>
                </c:pt>
                <c:pt idx="2">
                  <c:v>-16833.74283209124</c:v>
                </c:pt>
                <c:pt idx="3">
                  <c:v>53718.386365368948</c:v>
                </c:pt>
                <c:pt idx="4">
                  <c:v>107014.52912232481</c:v>
                </c:pt>
                <c:pt idx="5">
                  <c:v>119442.35516330956</c:v>
                </c:pt>
                <c:pt idx="6">
                  <c:v>138802.92971995889</c:v>
                </c:pt>
                <c:pt idx="7">
                  <c:v>168335.48200252643</c:v>
                </c:pt>
                <c:pt idx="8">
                  <c:v>190757.73388502028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0E-416E-99FB-5C7ED4673074}"/>
            </c:ext>
          </c:extLst>
        </c:ser>
        <c:ser>
          <c:idx val="1"/>
          <c:order val="1"/>
          <c:tx>
            <c:strRef>
              <c:f>'Bank-Cashflow Summary'!$Q$7</c:f>
              <c:strCache>
                <c:ptCount val="1"/>
                <c:pt idx="0">
                  <c:v>Cashflow for non-operating &amp; project opex</c:v>
                </c:pt>
              </c:strCache>
            </c:strRef>
          </c:tx>
          <c:marker>
            <c:symbol val="none"/>
          </c:marker>
          <c:cat>
            <c:strRef>
              <c:f>'Bank-Cashflow Summary'!$S$5:$AA$5</c:f>
              <c:strCache>
                <c:ptCount val="9"/>
                <c:pt idx="0">
                  <c:v>2021-22</c:v>
                </c:pt>
                <c:pt idx="1">
                  <c:v>2022-23</c:v>
                </c:pt>
                <c:pt idx="2">
                  <c:v>2023-24</c:v>
                </c:pt>
                <c:pt idx="3">
                  <c:v>2024-25</c:v>
                </c:pt>
                <c:pt idx="4">
                  <c:v>2025-26</c:v>
                </c:pt>
                <c:pt idx="5">
                  <c:v>2026-27</c:v>
                </c:pt>
                <c:pt idx="6">
                  <c:v>2027-28</c:v>
                </c:pt>
                <c:pt idx="7">
                  <c:v>2028-29</c:v>
                </c:pt>
                <c:pt idx="8">
                  <c:v>2029-30</c:v>
                </c:pt>
              </c:strCache>
            </c:strRef>
          </c:cat>
          <c:val>
            <c:numRef>
              <c:f>'Bank-Cashflow Summary'!$S$7:$AA$7</c:f>
              <c:numCache>
                <c:formatCode>_(* #,##0_);_(* \(#,##0\);_(* "-"??_);_(@_)</c:formatCode>
                <c:ptCount val="9"/>
                <c:pt idx="0">
                  <c:v>-59505.343550000005</c:v>
                </c:pt>
                <c:pt idx="1">
                  <c:v>-730</c:v>
                </c:pt>
                <c:pt idx="2">
                  <c:v>-5475</c:v>
                </c:pt>
                <c:pt idx="3">
                  <c:v>-6784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0E-416E-99FB-5C7ED4673074}"/>
            </c:ext>
          </c:extLst>
        </c:ser>
        <c:ser>
          <c:idx val="2"/>
          <c:order val="2"/>
          <c:tx>
            <c:strRef>
              <c:f>'Bank-Cashflow Summary'!$Q$8</c:f>
              <c:strCache>
                <c:ptCount val="1"/>
                <c:pt idx="0">
                  <c:v>Payment for Yuen Long Capex</c:v>
                </c:pt>
              </c:strCache>
            </c:strRef>
          </c:tx>
          <c:marker>
            <c:symbol val="none"/>
          </c:marker>
          <c:cat>
            <c:strRef>
              <c:f>'Bank-Cashflow Summary'!$S$5:$AA$5</c:f>
              <c:strCache>
                <c:ptCount val="9"/>
                <c:pt idx="0">
                  <c:v>2021-22</c:v>
                </c:pt>
                <c:pt idx="1">
                  <c:v>2022-23</c:v>
                </c:pt>
                <c:pt idx="2">
                  <c:v>2023-24</c:v>
                </c:pt>
                <c:pt idx="3">
                  <c:v>2024-25</c:v>
                </c:pt>
                <c:pt idx="4">
                  <c:v>2025-26</c:v>
                </c:pt>
                <c:pt idx="5">
                  <c:v>2026-27</c:v>
                </c:pt>
                <c:pt idx="6">
                  <c:v>2027-28</c:v>
                </c:pt>
                <c:pt idx="7">
                  <c:v>2028-29</c:v>
                </c:pt>
                <c:pt idx="8">
                  <c:v>2029-30</c:v>
                </c:pt>
              </c:strCache>
            </c:strRef>
          </c:cat>
          <c:val>
            <c:numRef>
              <c:f>'Bank-Cashflow Summary'!$S$8:$AA$8</c:f>
              <c:numCache>
                <c:formatCode>_(* #,##0_);_(* \(#,##0\);_(* "-"??_);_(@_)</c:formatCode>
                <c:ptCount val="9"/>
                <c:pt idx="0">
                  <c:v>-82747.448000000004</c:v>
                </c:pt>
                <c:pt idx="1">
                  <c:v>-30414.409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0E-416E-99FB-5C7ED4673074}"/>
            </c:ext>
          </c:extLst>
        </c:ser>
        <c:ser>
          <c:idx val="3"/>
          <c:order val="3"/>
          <c:tx>
            <c:strRef>
              <c:f>'Bank-Cashflow Summary'!$Q$9</c:f>
              <c:strCache>
                <c:ptCount val="1"/>
                <c:pt idx="0">
                  <c:v>Net banking financing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'Bank-Cashflow Summary'!$S$5:$AA$5</c:f>
              <c:strCache>
                <c:ptCount val="9"/>
                <c:pt idx="0">
                  <c:v>2021-22</c:v>
                </c:pt>
                <c:pt idx="1">
                  <c:v>2022-23</c:v>
                </c:pt>
                <c:pt idx="2">
                  <c:v>2023-24</c:v>
                </c:pt>
                <c:pt idx="3">
                  <c:v>2024-25</c:v>
                </c:pt>
                <c:pt idx="4">
                  <c:v>2025-26</c:v>
                </c:pt>
                <c:pt idx="5">
                  <c:v>2026-27</c:v>
                </c:pt>
                <c:pt idx="6">
                  <c:v>2027-28</c:v>
                </c:pt>
                <c:pt idx="7">
                  <c:v>2028-29</c:v>
                </c:pt>
                <c:pt idx="8">
                  <c:v>2029-30</c:v>
                </c:pt>
              </c:strCache>
            </c:strRef>
          </c:cat>
          <c:val>
            <c:numRef>
              <c:f>'Bank-Cashflow Summary'!$S$9:$AA$9</c:f>
              <c:numCache>
                <c:formatCode>_(* #,##0_);_(* \(#,##0\);_(* "-"??_);_(@_)</c:formatCode>
                <c:ptCount val="9"/>
                <c:pt idx="0">
                  <c:v>4753.9463521917787</c:v>
                </c:pt>
                <c:pt idx="1">
                  <c:v>-569.82714360731188</c:v>
                </c:pt>
                <c:pt idx="2">
                  <c:v>-200476.79657135275</c:v>
                </c:pt>
                <c:pt idx="3">
                  <c:v>-280416.42149400682</c:v>
                </c:pt>
                <c:pt idx="4">
                  <c:v>-140681.23960416095</c:v>
                </c:pt>
                <c:pt idx="5">
                  <c:v>-4417.2243221917806</c:v>
                </c:pt>
                <c:pt idx="6">
                  <c:v>-1659.7676832876714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0E-416E-99FB-5C7ED4673074}"/>
            </c:ext>
          </c:extLst>
        </c:ser>
        <c:ser>
          <c:idx val="4"/>
          <c:order val="4"/>
          <c:tx>
            <c:strRef>
              <c:f>'Bank-Cashflow Summary'!$Q$10</c:f>
              <c:strCache>
                <c:ptCount val="1"/>
                <c:pt idx="0">
                  <c:v>Bank balance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'Bank-Cashflow Summary'!$S$5:$AA$5</c:f>
              <c:strCache>
                <c:ptCount val="9"/>
                <c:pt idx="0">
                  <c:v>2021-22</c:v>
                </c:pt>
                <c:pt idx="1">
                  <c:v>2022-23</c:v>
                </c:pt>
                <c:pt idx="2">
                  <c:v>2023-24</c:v>
                </c:pt>
                <c:pt idx="3">
                  <c:v>2024-25</c:v>
                </c:pt>
                <c:pt idx="4">
                  <c:v>2025-26</c:v>
                </c:pt>
                <c:pt idx="5">
                  <c:v>2026-27</c:v>
                </c:pt>
                <c:pt idx="6">
                  <c:v>2027-28</c:v>
                </c:pt>
                <c:pt idx="7">
                  <c:v>2028-29</c:v>
                </c:pt>
                <c:pt idx="8">
                  <c:v>2029-30</c:v>
                </c:pt>
              </c:strCache>
            </c:strRef>
          </c:cat>
          <c:val>
            <c:numRef>
              <c:f>'Bank-Cashflow Summary'!$S$10:$AA$10</c:f>
              <c:numCache>
                <c:formatCode>_(* #,##0_);_(* \(#,##0\);_(* "-"??_);_(@_)</c:formatCode>
                <c:ptCount val="9"/>
                <c:pt idx="0">
                  <c:v>135992.77105698726</c:v>
                </c:pt>
                <c:pt idx="1">
                  <c:v>65846.252602971887</c:v>
                </c:pt>
                <c:pt idx="2">
                  <c:v>-156939.28680047209</c:v>
                </c:pt>
                <c:pt idx="3">
                  <c:v>-390421.32192910998</c:v>
                </c:pt>
                <c:pt idx="4">
                  <c:v>-424088.03241094609</c:v>
                </c:pt>
                <c:pt idx="5">
                  <c:v>-309062.90156982827</c:v>
                </c:pt>
                <c:pt idx="6">
                  <c:v>-171919.73953315706</c:v>
                </c:pt>
                <c:pt idx="7">
                  <c:v>-3584.2575306306244</c:v>
                </c:pt>
                <c:pt idx="8">
                  <c:v>187173.47635438966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0E-416E-99FB-5C7ED4673074}"/>
            </c:ext>
          </c:extLst>
        </c:ser>
        <c:ser>
          <c:idx val="5"/>
          <c:order val="5"/>
          <c:tx>
            <c:strRef>
              <c:f>'Bank-Cashflow Summary'!$Q$11</c:f>
              <c:strCache>
                <c:ptCount val="1"/>
                <c:pt idx="0">
                  <c:v>Shareholder Loan Balance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strRef>
              <c:f>'Bank-Cashflow Summary'!$S$5:$AA$5</c:f>
              <c:strCache>
                <c:ptCount val="9"/>
                <c:pt idx="0">
                  <c:v>2021-22</c:v>
                </c:pt>
                <c:pt idx="1">
                  <c:v>2022-23</c:v>
                </c:pt>
                <c:pt idx="2">
                  <c:v>2023-24</c:v>
                </c:pt>
                <c:pt idx="3">
                  <c:v>2024-25</c:v>
                </c:pt>
                <c:pt idx="4">
                  <c:v>2025-26</c:v>
                </c:pt>
                <c:pt idx="5">
                  <c:v>2026-27</c:v>
                </c:pt>
                <c:pt idx="6">
                  <c:v>2027-28</c:v>
                </c:pt>
                <c:pt idx="7">
                  <c:v>2028-29</c:v>
                </c:pt>
                <c:pt idx="8">
                  <c:v>2029-30</c:v>
                </c:pt>
              </c:strCache>
            </c:strRef>
          </c:cat>
          <c:val>
            <c:numRef>
              <c:f>'Bank-Cashflow Summary'!$S$11:$AA$11</c:f>
              <c:numCache>
                <c:formatCode>_(* #,##0_);_(* \(#,##0\);_(* "-"??_);_(@_)</c:formatCode>
                <c:ptCount val="9"/>
                <c:pt idx="0">
                  <c:v>-100000</c:v>
                </c:pt>
                <c:pt idx="1">
                  <c:v>-300000</c:v>
                </c:pt>
                <c:pt idx="2">
                  <c:v>-350000</c:v>
                </c:pt>
                <c:pt idx="3">
                  <c:v>-350000</c:v>
                </c:pt>
                <c:pt idx="4">
                  <c:v>-350000</c:v>
                </c:pt>
                <c:pt idx="5">
                  <c:v>-350000</c:v>
                </c:pt>
                <c:pt idx="6">
                  <c:v>-350000</c:v>
                </c:pt>
                <c:pt idx="7">
                  <c:v>-350000</c:v>
                </c:pt>
                <c:pt idx="8">
                  <c:v>-350000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0E-416E-99FB-5C7ED4673074}"/>
            </c:ext>
          </c:extLst>
        </c:ser>
        <c:ser>
          <c:idx val="6"/>
          <c:order val="6"/>
          <c:tx>
            <c:strRef>
              <c:f>'Bank-Cashflow Summary'!$Q$12</c:f>
              <c:strCache>
                <c:ptCount val="1"/>
                <c:pt idx="0">
                  <c:v>Club Loan balance</c:v>
                </c:pt>
              </c:strCache>
            </c:strRef>
          </c:tx>
          <c:marker>
            <c:symbol val="none"/>
          </c:marker>
          <c:cat>
            <c:strRef>
              <c:f>'Bank-Cashflow Summary'!$S$5:$AA$5</c:f>
              <c:strCache>
                <c:ptCount val="9"/>
                <c:pt idx="0">
                  <c:v>2021-22</c:v>
                </c:pt>
                <c:pt idx="1">
                  <c:v>2022-23</c:v>
                </c:pt>
                <c:pt idx="2">
                  <c:v>2023-24</c:v>
                </c:pt>
                <c:pt idx="3">
                  <c:v>2024-25</c:v>
                </c:pt>
                <c:pt idx="4">
                  <c:v>2025-26</c:v>
                </c:pt>
                <c:pt idx="5">
                  <c:v>2026-27</c:v>
                </c:pt>
                <c:pt idx="6">
                  <c:v>2027-28</c:v>
                </c:pt>
                <c:pt idx="7">
                  <c:v>2028-29</c:v>
                </c:pt>
                <c:pt idx="8">
                  <c:v>2029-30</c:v>
                </c:pt>
              </c:strCache>
            </c:strRef>
          </c:cat>
          <c:val>
            <c:numRef>
              <c:f>'Bank-Cashflow Summary'!$S$12:$AA$12</c:f>
              <c:numCache>
                <c:formatCode>_(* #,##0_);_(* \(#,##0\);_(* "-"??_);_(@_)</c:formatCode>
                <c:ptCount val="9"/>
                <c:pt idx="0">
                  <c:v>-824500</c:v>
                </c:pt>
                <c:pt idx="1">
                  <c:v>-630500</c:v>
                </c:pt>
                <c:pt idx="2">
                  <c:v>-400125</c:v>
                </c:pt>
                <c:pt idx="3">
                  <c:v>-133374.99999999997</c:v>
                </c:pt>
                <c:pt idx="4">
                  <c:v>4.470348358154297E-11</c:v>
                </c:pt>
                <c:pt idx="5">
                  <c:v>4.470348358154297E-11</c:v>
                </c:pt>
                <c:pt idx="6">
                  <c:v>4.470348358154297E-11</c:v>
                </c:pt>
                <c:pt idx="7">
                  <c:v>4.470348358154297E-11</c:v>
                </c:pt>
                <c:pt idx="8">
                  <c:v>4.470348358154297E-11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B2-4388-B7F4-E432B4248A7A}"/>
            </c:ext>
          </c:extLst>
        </c:ser>
        <c:ser>
          <c:idx val="7"/>
          <c:order val="7"/>
          <c:tx>
            <c:strRef>
              <c:f>'Bank-Cashflow Summary'!$Q$13</c:f>
              <c:strCache>
                <c:ptCount val="1"/>
                <c:pt idx="0">
                  <c:v>New Bank Loan Balance</c:v>
                </c:pt>
              </c:strCache>
            </c:strRef>
          </c:tx>
          <c:marker>
            <c:symbol val="none"/>
          </c:marker>
          <c:cat>
            <c:strRef>
              <c:f>'Bank-Cashflow Summary'!$S$5:$AA$5</c:f>
              <c:strCache>
                <c:ptCount val="9"/>
                <c:pt idx="0">
                  <c:v>2021-22</c:v>
                </c:pt>
                <c:pt idx="1">
                  <c:v>2022-23</c:v>
                </c:pt>
                <c:pt idx="2">
                  <c:v>2023-24</c:v>
                </c:pt>
                <c:pt idx="3">
                  <c:v>2024-25</c:v>
                </c:pt>
                <c:pt idx="4">
                  <c:v>2025-26</c:v>
                </c:pt>
                <c:pt idx="5">
                  <c:v>2026-27</c:v>
                </c:pt>
                <c:pt idx="6">
                  <c:v>2027-28</c:v>
                </c:pt>
                <c:pt idx="7">
                  <c:v>2028-29</c:v>
                </c:pt>
                <c:pt idx="8">
                  <c:v>2029-30</c:v>
                </c:pt>
              </c:strCache>
            </c:strRef>
          </c:cat>
          <c:val>
            <c:numRef>
              <c:f>'Bank-Cashflow Summary'!$S$13:$AA$13</c:f>
              <c:numCache>
                <c:formatCode>_(* #,##0_);_(* \(#,##0\);_(*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B2-4388-B7F4-E432B4248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7672176"/>
        <c:axId val="337672736"/>
      </c:lineChart>
      <c:catAx>
        <c:axId val="3376721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37672736"/>
        <c:crosses val="autoZero"/>
        <c:auto val="1"/>
        <c:lblAlgn val="ctr"/>
        <c:lblOffset val="100"/>
        <c:noMultiLvlLbl val="0"/>
      </c:catAx>
      <c:valAx>
        <c:axId val="337672736"/>
        <c:scaling>
          <c:orientation val="minMax"/>
          <c:max val="950000"/>
          <c:min val="-1000000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337672176"/>
        <c:crosses val="autoZero"/>
        <c:crossBetween val="between"/>
        <c:majorUnit val="400000"/>
        <c:minorUnit val="100000"/>
      </c:valAx>
    </c:plotArea>
    <c:legend>
      <c:legendPos val="r"/>
      <c:layout>
        <c:manualLayout>
          <c:xMode val="edge"/>
          <c:yMode val="edge"/>
          <c:x val="0.8426506968019688"/>
          <c:y val="0.27567546436698259"/>
          <c:w val="0.157349352310966"/>
          <c:h val="0.2908881107133679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067994954096893E-2"/>
          <c:y val="2.2590432142428573E-2"/>
          <c:w val="0.71941532114234252"/>
          <c:h val="0.95481913571514287"/>
        </c:manualLayout>
      </c:layout>
      <c:lineChart>
        <c:grouping val="standard"/>
        <c:varyColors val="0"/>
        <c:ser>
          <c:idx val="0"/>
          <c:order val="0"/>
          <c:tx>
            <c:strRef>
              <c:f>'Bank-Cashflow Summary'!$Q$64</c:f>
              <c:strCache>
                <c:ptCount val="1"/>
                <c:pt idx="0">
                  <c:v>Net cash inflow from core operation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'Bank-Cashflow Summary'!$R$63:$AA$63</c:f>
              <c:strCache>
                <c:ptCount val="10"/>
                <c:pt idx="0">
                  <c:v>2020-21</c:v>
                </c:pt>
                <c:pt idx="1">
                  <c:v>2021-22</c:v>
                </c:pt>
                <c:pt idx="2">
                  <c:v>2022-23</c:v>
                </c:pt>
                <c:pt idx="3">
                  <c:v>2023-24</c:v>
                </c:pt>
                <c:pt idx="4">
                  <c:v>2024-25</c:v>
                </c:pt>
                <c:pt idx="5">
                  <c:v>2025-26</c:v>
                </c:pt>
                <c:pt idx="6">
                  <c:v>2026-27</c:v>
                </c:pt>
                <c:pt idx="7">
                  <c:v>2027-28</c:v>
                </c:pt>
                <c:pt idx="8">
                  <c:v>2028-29</c:v>
                </c:pt>
                <c:pt idx="9">
                  <c:v>2029-30</c:v>
                </c:pt>
              </c:strCache>
            </c:strRef>
          </c:cat>
          <c:val>
            <c:numRef>
              <c:f>'Bank-Cashflow Summary'!$R$64:$AA$64</c:f>
              <c:numCache>
                <c:formatCode>_(* #,##0_);_(* \(#,##0\);_(* "-"??_);_(@_)</c:formatCode>
                <c:ptCount val="10"/>
                <c:pt idx="0">
                  <c:v>27863.8334093509</c:v>
                </c:pt>
                <c:pt idx="1">
                  <c:v>80861.282847890339</c:v>
                </c:pt>
                <c:pt idx="2">
                  <c:v>-34589.054079367255</c:v>
                </c:pt>
                <c:pt idx="3">
                  <c:v>-15150.368548882116</c:v>
                </c:pt>
                <c:pt idx="4">
                  <c:v>48346.547728832054</c:v>
                </c:pt>
                <c:pt idx="5">
                  <c:v>96313.076210092317</c:v>
                </c:pt>
                <c:pt idx="6">
                  <c:v>107498.11964697861</c:v>
                </c:pt>
                <c:pt idx="7">
                  <c:v>124922.636747963</c:v>
                </c:pt>
                <c:pt idx="8">
                  <c:v>151501.93380227379</c:v>
                </c:pt>
                <c:pt idx="9">
                  <c:v>171681.96049651824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51-4815-A849-3009909E47F0}"/>
            </c:ext>
          </c:extLst>
        </c:ser>
        <c:ser>
          <c:idx val="1"/>
          <c:order val="1"/>
          <c:tx>
            <c:strRef>
              <c:f>'Bank-Cashflow Summary'!$Q$65</c:f>
              <c:strCache>
                <c:ptCount val="1"/>
                <c:pt idx="0">
                  <c:v>Cashflow for non-operating &amp; project opex</c:v>
                </c:pt>
              </c:strCache>
            </c:strRef>
          </c:tx>
          <c:marker>
            <c:symbol val="none"/>
          </c:marker>
          <c:cat>
            <c:strRef>
              <c:f>'Bank-Cashflow Summary'!$R$63:$AA$63</c:f>
              <c:strCache>
                <c:ptCount val="10"/>
                <c:pt idx="0">
                  <c:v>2020-21</c:v>
                </c:pt>
                <c:pt idx="1">
                  <c:v>2021-22</c:v>
                </c:pt>
                <c:pt idx="2">
                  <c:v>2022-23</c:v>
                </c:pt>
                <c:pt idx="3">
                  <c:v>2023-24</c:v>
                </c:pt>
                <c:pt idx="4">
                  <c:v>2024-25</c:v>
                </c:pt>
                <c:pt idx="5">
                  <c:v>2025-26</c:v>
                </c:pt>
                <c:pt idx="6">
                  <c:v>2026-27</c:v>
                </c:pt>
                <c:pt idx="7">
                  <c:v>2027-28</c:v>
                </c:pt>
                <c:pt idx="8">
                  <c:v>2028-29</c:v>
                </c:pt>
                <c:pt idx="9">
                  <c:v>2029-30</c:v>
                </c:pt>
              </c:strCache>
            </c:strRef>
          </c:cat>
          <c:val>
            <c:numRef>
              <c:f>'Bank-Cashflow Summary'!$R$65:$AA$65</c:f>
              <c:numCache>
                <c:formatCode>_(* #,##0_);_(* \(#,##0\);_(* "-"??_);_(@_)</c:formatCode>
                <c:ptCount val="10"/>
                <c:pt idx="0">
                  <c:v>-54651.130427603064</c:v>
                </c:pt>
                <c:pt idx="1">
                  <c:v>-59505.343550000005</c:v>
                </c:pt>
                <c:pt idx="2">
                  <c:v>-730</c:v>
                </c:pt>
                <c:pt idx="3">
                  <c:v>-5475</c:v>
                </c:pt>
                <c:pt idx="4">
                  <c:v>-6784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51-4815-A849-3009909E47F0}"/>
            </c:ext>
          </c:extLst>
        </c:ser>
        <c:ser>
          <c:idx val="2"/>
          <c:order val="2"/>
          <c:tx>
            <c:strRef>
              <c:f>'Bank-Cashflow Summary'!$Q$66</c:f>
              <c:strCache>
                <c:ptCount val="1"/>
                <c:pt idx="0">
                  <c:v>Payment for Yuen Long Capex</c:v>
                </c:pt>
              </c:strCache>
            </c:strRef>
          </c:tx>
          <c:marker>
            <c:symbol val="none"/>
          </c:marker>
          <c:cat>
            <c:strRef>
              <c:f>'Bank-Cashflow Summary'!$R$63:$AA$63</c:f>
              <c:strCache>
                <c:ptCount val="10"/>
                <c:pt idx="0">
                  <c:v>2020-21</c:v>
                </c:pt>
                <c:pt idx="1">
                  <c:v>2021-22</c:v>
                </c:pt>
                <c:pt idx="2">
                  <c:v>2022-23</c:v>
                </c:pt>
                <c:pt idx="3">
                  <c:v>2023-24</c:v>
                </c:pt>
                <c:pt idx="4">
                  <c:v>2024-25</c:v>
                </c:pt>
                <c:pt idx="5">
                  <c:v>2025-26</c:v>
                </c:pt>
                <c:pt idx="6">
                  <c:v>2026-27</c:v>
                </c:pt>
                <c:pt idx="7">
                  <c:v>2027-28</c:v>
                </c:pt>
                <c:pt idx="8">
                  <c:v>2028-29</c:v>
                </c:pt>
                <c:pt idx="9">
                  <c:v>2029-30</c:v>
                </c:pt>
              </c:strCache>
            </c:strRef>
          </c:cat>
          <c:val>
            <c:numRef>
              <c:f>'Bank-Cashflow Summary'!$R$66:$AA$66</c:f>
              <c:numCache>
                <c:formatCode>_(* #,##0_);_(* \(#,##0\);_(* "-"??_);_(@_)</c:formatCode>
                <c:ptCount val="10"/>
                <c:pt idx="0">
                  <c:v>-77663.557990000016</c:v>
                </c:pt>
                <c:pt idx="1">
                  <c:v>-82747.448000000004</c:v>
                </c:pt>
                <c:pt idx="2">
                  <c:v>-30414.409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51-4815-A849-3009909E47F0}"/>
            </c:ext>
          </c:extLst>
        </c:ser>
        <c:ser>
          <c:idx val="3"/>
          <c:order val="3"/>
          <c:tx>
            <c:strRef>
              <c:f>'Bank-Cashflow Summary'!$Q$67</c:f>
              <c:strCache>
                <c:ptCount val="1"/>
                <c:pt idx="0">
                  <c:v>Net banking financing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'Bank-Cashflow Summary'!$R$63:$AA$63</c:f>
              <c:strCache>
                <c:ptCount val="10"/>
                <c:pt idx="0">
                  <c:v>2020-21</c:v>
                </c:pt>
                <c:pt idx="1">
                  <c:v>2021-22</c:v>
                </c:pt>
                <c:pt idx="2">
                  <c:v>2022-23</c:v>
                </c:pt>
                <c:pt idx="3">
                  <c:v>2023-24</c:v>
                </c:pt>
                <c:pt idx="4">
                  <c:v>2024-25</c:v>
                </c:pt>
                <c:pt idx="5">
                  <c:v>2025-26</c:v>
                </c:pt>
                <c:pt idx="6">
                  <c:v>2026-27</c:v>
                </c:pt>
                <c:pt idx="7">
                  <c:v>2027-28</c:v>
                </c:pt>
                <c:pt idx="8">
                  <c:v>2028-29</c:v>
                </c:pt>
                <c:pt idx="9">
                  <c:v>2029-30</c:v>
                </c:pt>
              </c:strCache>
            </c:strRef>
          </c:cat>
          <c:val>
            <c:numRef>
              <c:f>'Bank-Cashflow Summary'!$R$67:$AA$67</c:f>
              <c:numCache>
                <c:formatCode>_(* #,##0_);_(* \(#,##0\);_(* "-"??_);_(@_)</c:formatCode>
                <c:ptCount val="10"/>
                <c:pt idx="0">
                  <c:v>109523.5082116667</c:v>
                </c:pt>
                <c:pt idx="1">
                  <c:v>4753.9463521917787</c:v>
                </c:pt>
                <c:pt idx="2">
                  <c:v>-569.82714360731188</c:v>
                </c:pt>
                <c:pt idx="3">
                  <c:v>-200476.79657135275</c:v>
                </c:pt>
                <c:pt idx="4">
                  <c:v>-280416.42149400682</c:v>
                </c:pt>
                <c:pt idx="5">
                  <c:v>-140681.23960416095</c:v>
                </c:pt>
                <c:pt idx="6">
                  <c:v>-4417.2243221917806</c:v>
                </c:pt>
                <c:pt idx="7">
                  <c:v>-1659.7676832876714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51-4815-A849-3009909E47F0}"/>
            </c:ext>
          </c:extLst>
        </c:ser>
        <c:ser>
          <c:idx val="4"/>
          <c:order val="4"/>
          <c:tx>
            <c:strRef>
              <c:f>'Bank-Cashflow Summary'!$Q$68</c:f>
              <c:strCache>
                <c:ptCount val="1"/>
                <c:pt idx="0">
                  <c:v>Bank balance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'Bank-Cashflow Summary'!$R$63:$AA$63</c:f>
              <c:strCache>
                <c:ptCount val="10"/>
                <c:pt idx="0">
                  <c:v>2020-21</c:v>
                </c:pt>
                <c:pt idx="1">
                  <c:v>2021-22</c:v>
                </c:pt>
                <c:pt idx="2">
                  <c:v>2022-23</c:v>
                </c:pt>
                <c:pt idx="3">
                  <c:v>2023-24</c:v>
                </c:pt>
                <c:pt idx="4">
                  <c:v>2024-25</c:v>
                </c:pt>
                <c:pt idx="5">
                  <c:v>2025-26</c:v>
                </c:pt>
                <c:pt idx="6">
                  <c:v>2026-27</c:v>
                </c:pt>
                <c:pt idx="7">
                  <c:v>2027-28</c:v>
                </c:pt>
                <c:pt idx="8">
                  <c:v>2028-29</c:v>
                </c:pt>
                <c:pt idx="9">
                  <c:v>2029-30</c:v>
                </c:pt>
              </c:strCache>
            </c:strRef>
          </c:cat>
          <c:val>
            <c:numRef>
              <c:f>'Bank-Cashflow Summary'!$R$68:$AA$68</c:f>
              <c:numCache>
                <c:formatCode>_(* #,##0_);_(* \(#,##0\);_(* "-"??_);_(@_)</c:formatCode>
                <c:ptCount val="10"/>
                <c:pt idx="0">
                  <c:v>137812.73904825744</c:v>
                </c:pt>
                <c:pt idx="1">
                  <c:v>81175.17669833955</c:v>
                </c:pt>
                <c:pt idx="2">
                  <c:v>14871.886475364983</c:v>
                </c:pt>
                <c:pt idx="3">
                  <c:v>-206230.27864486986</c:v>
                </c:pt>
                <c:pt idx="4">
                  <c:v>-445084.15241004463</c:v>
                </c:pt>
                <c:pt idx="5">
                  <c:v>-489452.31580411328</c:v>
                </c:pt>
                <c:pt idx="6">
                  <c:v>-386371.42047932645</c:v>
                </c:pt>
                <c:pt idx="7">
                  <c:v>-263108.5514146511</c:v>
                </c:pt>
                <c:pt idx="8">
                  <c:v>-111606.6176123773</c:v>
                </c:pt>
                <c:pt idx="9">
                  <c:v>60075.342884140933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51-4815-A849-3009909E47F0}"/>
            </c:ext>
          </c:extLst>
        </c:ser>
        <c:ser>
          <c:idx val="5"/>
          <c:order val="5"/>
          <c:tx>
            <c:strRef>
              <c:f>'Bank-Cashflow Summary'!$Q$69</c:f>
              <c:strCache>
                <c:ptCount val="1"/>
                <c:pt idx="0">
                  <c:v>Loan balance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strRef>
              <c:f>'Bank-Cashflow Summary'!$R$63:$AA$63</c:f>
              <c:strCache>
                <c:ptCount val="10"/>
                <c:pt idx="0">
                  <c:v>2020-21</c:v>
                </c:pt>
                <c:pt idx="1">
                  <c:v>2021-22</c:v>
                </c:pt>
                <c:pt idx="2">
                  <c:v>2022-23</c:v>
                </c:pt>
                <c:pt idx="3">
                  <c:v>2023-24</c:v>
                </c:pt>
                <c:pt idx="4">
                  <c:v>2024-25</c:v>
                </c:pt>
                <c:pt idx="5">
                  <c:v>2025-26</c:v>
                </c:pt>
                <c:pt idx="6">
                  <c:v>2026-27</c:v>
                </c:pt>
                <c:pt idx="7">
                  <c:v>2027-28</c:v>
                </c:pt>
                <c:pt idx="8">
                  <c:v>2028-29</c:v>
                </c:pt>
                <c:pt idx="9">
                  <c:v>2029-30</c:v>
                </c:pt>
              </c:strCache>
            </c:strRef>
          </c:cat>
          <c:val>
            <c:numRef>
              <c:f>'Bank-Cashflow Summary'!$R$69:$AA$69</c:f>
              <c:numCache>
                <c:formatCode>_(* #,##0_);_(* \(#,##0\);_(* "-"??_);_(@_)</c:formatCode>
                <c:ptCount val="10"/>
                <c:pt idx="0">
                  <c:v>-921500</c:v>
                </c:pt>
                <c:pt idx="1">
                  <c:v>-824500</c:v>
                </c:pt>
                <c:pt idx="2">
                  <c:v>-630500</c:v>
                </c:pt>
                <c:pt idx="3">
                  <c:v>-400125</c:v>
                </c:pt>
                <c:pt idx="4">
                  <c:v>-133374.99999999997</c:v>
                </c:pt>
                <c:pt idx="5">
                  <c:v>4.470348358154297E-11</c:v>
                </c:pt>
                <c:pt idx="6">
                  <c:v>4.470348358154297E-11</c:v>
                </c:pt>
                <c:pt idx="7">
                  <c:v>4.470348358154297E-11</c:v>
                </c:pt>
                <c:pt idx="8">
                  <c:v>4.470348358154297E-11</c:v>
                </c:pt>
                <c:pt idx="9">
                  <c:v>4.470348358154297E-11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F51-4815-A849-3009909E4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424128"/>
        <c:axId val="332424688"/>
      </c:lineChart>
      <c:catAx>
        <c:axId val="332424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32424688"/>
        <c:crosses val="autoZero"/>
        <c:auto val="1"/>
        <c:lblAlgn val="ctr"/>
        <c:lblOffset val="100"/>
        <c:noMultiLvlLbl val="0"/>
      </c:catAx>
      <c:valAx>
        <c:axId val="332424688"/>
        <c:scaling>
          <c:orientation val="minMax"/>
          <c:max val="750000"/>
          <c:min val="-1000000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332424128"/>
        <c:crosses val="autoZero"/>
        <c:crossBetween val="between"/>
        <c:majorUnit val="400000"/>
        <c:minorUnit val="100000"/>
      </c:valAx>
    </c:plotArea>
    <c:legend>
      <c:legendPos val="r"/>
      <c:layout>
        <c:manualLayout>
          <c:xMode val="edge"/>
          <c:yMode val="edge"/>
          <c:x val="0.8426506968019688"/>
          <c:y val="0.27567546436698259"/>
          <c:w val="0.11503240835077314"/>
          <c:h val="0.5341068230308271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414619</xdr:colOff>
      <xdr:row>217</xdr:row>
      <xdr:rowOff>95096</xdr:rowOff>
    </xdr:from>
    <xdr:ext cx="3563470" cy="6444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/>
            <xdr:cNvSpPr txBox="1"/>
          </xdr:nvSpPr>
          <xdr:spPr>
            <a:xfrm>
              <a:off x="10824884" y="40335420"/>
              <a:ext cx="3563470" cy="6444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2400"/>
                <a:t>20/21: RMC</a:t>
              </a:r>
              <a:r>
                <a:rPr lang="en-US" sz="2400" baseline="0"/>
                <a:t> x </a:t>
              </a:r>
              <a14:m>
                <m:oMath xmlns:m="http://schemas.openxmlformats.org/officeDocument/2006/math">
                  <m:f>
                    <m:fPr>
                      <m:ctrlPr>
                        <a:rPr lang="en-US" sz="24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HK" sz="2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𝑇𝑎𝑏</m:t>
                      </m:r>
                      <m:r>
                        <a:rPr lang="en-HK" sz="2400" b="0" i="1" baseline="-2500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𝐻𝐾</m:t>
                      </m:r>
                    </m:num>
                    <m:den>
                      <m:r>
                        <a:rPr lang="en-HK" sz="2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𝑇𝑎𝑏</m:t>
                      </m:r>
                      <m:r>
                        <a:rPr lang="en-HK" sz="2400" b="0" i="1" baseline="-2500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𝐶𝑁</m:t>
                      </m:r>
                    </m:den>
                  </m:f>
                  <m:r>
                    <a:rPr lang="en-US" sz="240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4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HK" sz="2400" b="0" i="1">
                          <a:latin typeface="Cambria Math" panose="02040503050406030204" pitchFamily="18" charset="0"/>
                        </a:rPr>
                        <m:t>𝑅𝑀</m:t>
                      </m:r>
                      <m:r>
                        <a:rPr lang="en-HK" sz="2400" b="0" i="1" baseline="-25000">
                          <a:latin typeface="Cambria Math" panose="02040503050406030204" pitchFamily="18" charset="0"/>
                        </a:rPr>
                        <m:t>𝐻𝐾</m:t>
                      </m:r>
                    </m:num>
                    <m:den>
                      <m:r>
                        <a:rPr lang="en-HK" sz="2400" b="0" i="1">
                          <a:latin typeface="Cambria Math" panose="02040503050406030204" pitchFamily="18" charset="0"/>
                        </a:rPr>
                        <m:t>𝑅𝑀</m:t>
                      </m:r>
                      <m:r>
                        <a:rPr lang="en-HK" sz="2400" b="0" i="1" baseline="-25000">
                          <a:latin typeface="Cambria Math" panose="02040503050406030204" pitchFamily="18" charset="0"/>
                        </a:rPr>
                        <m:t>𝐶𝑁</m:t>
                      </m:r>
                    </m:den>
                  </m:f>
                </m:oMath>
              </a14:m>
              <a:endParaRPr lang="en-US" sz="2400"/>
            </a:p>
          </xdr:txBody>
        </xdr:sp>
      </mc:Choice>
      <mc:Fallback>
        <xdr:sp macro="" textlink="">
          <xdr:nvSpPr>
            <xdr:cNvPr id="2" name="TextBox 1"/>
            <xdr:cNvSpPr txBox="1"/>
          </xdr:nvSpPr>
          <xdr:spPr>
            <a:xfrm>
              <a:off x="10824884" y="40335420"/>
              <a:ext cx="3563470" cy="6444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2400"/>
                <a:t>20/21: RMC</a:t>
              </a:r>
              <a:r>
                <a:rPr lang="en-US" sz="2400" baseline="0"/>
                <a:t> x </a:t>
              </a:r>
              <a:r>
                <a:rPr lang="en-HK" sz="2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𝑇𝑎𝑏</a:t>
              </a:r>
              <a:r>
                <a:rPr lang="en-HK" sz="2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𝐻𝐾</a:t>
              </a:r>
              <a:r>
                <a:rPr lang="en-US" sz="2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HK" sz="2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𝑇𝑎𝑏</a:t>
              </a:r>
              <a:r>
                <a:rPr lang="en-HK" sz="2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𝐶𝑁</a:t>
              </a:r>
              <a:r>
                <a:rPr lang="en-US" sz="2400" i="0">
                  <a:latin typeface="Cambria Math" panose="02040503050406030204" pitchFamily="18" charset="0"/>
                </a:rPr>
                <a:t>=</a:t>
              </a:r>
              <a:r>
                <a:rPr lang="en-HK" sz="2400" b="0" i="0">
                  <a:latin typeface="Cambria Math" panose="02040503050406030204" pitchFamily="18" charset="0"/>
                </a:rPr>
                <a:t>𝑅𝑀</a:t>
              </a:r>
              <a:r>
                <a:rPr lang="en-HK" sz="2400" b="0" i="0" baseline="-25000">
                  <a:latin typeface="Cambria Math" panose="02040503050406030204" pitchFamily="18" charset="0"/>
                </a:rPr>
                <a:t>𝐻𝐾</a:t>
              </a:r>
              <a:r>
                <a:rPr lang="en-US" sz="2400" b="0" i="0" baseline="-25000">
                  <a:latin typeface="Cambria Math" panose="02040503050406030204" pitchFamily="18" charset="0"/>
                </a:rPr>
                <a:t>/</a:t>
              </a:r>
              <a:r>
                <a:rPr lang="en-HK" sz="2400" b="0" i="0">
                  <a:latin typeface="Cambria Math" panose="02040503050406030204" pitchFamily="18" charset="0"/>
                </a:rPr>
                <a:t>𝑅𝑀</a:t>
              </a:r>
              <a:r>
                <a:rPr lang="en-HK" sz="2400" b="0" i="0" baseline="-25000">
                  <a:latin typeface="Cambria Math" panose="02040503050406030204" pitchFamily="18" charset="0"/>
                </a:rPr>
                <a:t>𝐶𝑁</a:t>
              </a:r>
              <a:endParaRPr lang="en-US" sz="2400"/>
            </a:p>
          </xdr:txBody>
        </xdr:sp>
      </mc:Fallback>
    </mc:AlternateContent>
    <xdr:clientData/>
  </xdr:oneCellAnchor>
  <xdr:oneCellAnchor>
    <xdr:from>
      <xdr:col>10</xdr:col>
      <xdr:colOff>430307</xdr:colOff>
      <xdr:row>221</xdr:row>
      <xdr:rowOff>44824</xdr:rowOff>
    </xdr:from>
    <xdr:ext cx="3563470" cy="6444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/>
            <xdr:cNvSpPr txBox="1"/>
          </xdr:nvSpPr>
          <xdr:spPr>
            <a:xfrm>
              <a:off x="10840572" y="40632530"/>
              <a:ext cx="3563470" cy="6444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2400"/>
                <a:t>20/21: OHC</a:t>
              </a:r>
              <a:r>
                <a:rPr lang="en-US" sz="2400" baseline="0"/>
                <a:t> x </a:t>
              </a:r>
              <a14:m>
                <m:oMath xmlns:m="http://schemas.openxmlformats.org/officeDocument/2006/math">
                  <m:f>
                    <m:fPr>
                      <m:ctrlPr>
                        <a:rPr lang="en-US" sz="24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HK" sz="2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𝑇𝑎𝑏</m:t>
                      </m:r>
                      <m:r>
                        <a:rPr lang="en-HK" sz="2400" b="0" i="1" baseline="-2500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𝐻𝐾</m:t>
                      </m:r>
                    </m:num>
                    <m:den>
                      <m:r>
                        <a:rPr lang="en-HK" sz="2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𝑇𝑎𝑏</m:t>
                      </m:r>
                      <m:r>
                        <a:rPr lang="en-HK" sz="2400" b="0" i="1" baseline="-2500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𝐶𝑁</m:t>
                      </m:r>
                    </m:den>
                  </m:f>
                  <m:r>
                    <a:rPr lang="en-US" sz="240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4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US" sz="2400" b="0" i="1">
                          <a:latin typeface="Cambria Math" panose="02040503050406030204" pitchFamily="18" charset="0"/>
                        </a:rPr>
                        <m:t>𝑂𝐻</m:t>
                      </m:r>
                      <m:r>
                        <a:rPr lang="en-HK" sz="2400" b="0" i="1" baseline="-25000">
                          <a:latin typeface="Cambria Math" panose="02040503050406030204" pitchFamily="18" charset="0"/>
                        </a:rPr>
                        <m:t>𝐻𝐾</m:t>
                      </m:r>
                    </m:num>
                    <m:den>
                      <m:r>
                        <a:rPr lang="en-US" sz="2400" b="0" i="1">
                          <a:latin typeface="Cambria Math" panose="02040503050406030204" pitchFamily="18" charset="0"/>
                        </a:rPr>
                        <m:t>𝑂𝐻</m:t>
                      </m:r>
                      <m:r>
                        <a:rPr lang="en-HK" sz="2400" b="0" i="1" baseline="-25000">
                          <a:latin typeface="Cambria Math" panose="02040503050406030204" pitchFamily="18" charset="0"/>
                        </a:rPr>
                        <m:t>𝐶𝑁</m:t>
                      </m:r>
                    </m:den>
                  </m:f>
                </m:oMath>
              </a14:m>
              <a:endParaRPr lang="en-US" sz="2400"/>
            </a:p>
          </xdr:txBody>
        </xdr:sp>
      </mc:Choice>
      <mc:Fallback>
        <xdr:sp macro="" textlink="">
          <xdr:nvSpPr>
            <xdr:cNvPr id="3" name="TextBox 2"/>
            <xdr:cNvSpPr txBox="1"/>
          </xdr:nvSpPr>
          <xdr:spPr>
            <a:xfrm>
              <a:off x="10840572" y="40632530"/>
              <a:ext cx="3563470" cy="6444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2400"/>
                <a:t>20/21: OHC</a:t>
              </a:r>
              <a:r>
                <a:rPr lang="en-US" sz="2400" baseline="0"/>
                <a:t> x </a:t>
              </a:r>
              <a:r>
                <a:rPr lang="en-HK" sz="2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𝑇𝑎𝑏</a:t>
              </a:r>
              <a:r>
                <a:rPr lang="en-HK" sz="2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𝐻𝐾</a:t>
              </a:r>
              <a:r>
                <a:rPr lang="en-US" sz="2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HK" sz="2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𝑇𝑎𝑏</a:t>
              </a:r>
              <a:r>
                <a:rPr lang="en-HK" sz="2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𝐶𝑁</a:t>
              </a:r>
              <a:r>
                <a:rPr lang="en-US" sz="2400" i="0">
                  <a:latin typeface="Cambria Math" panose="02040503050406030204" pitchFamily="18" charset="0"/>
                </a:rPr>
                <a:t>=</a:t>
              </a:r>
              <a:r>
                <a:rPr lang="en-US" sz="2400" b="0" i="0">
                  <a:latin typeface="Cambria Math" panose="02040503050406030204" pitchFamily="18" charset="0"/>
                </a:rPr>
                <a:t>𝑂𝐻</a:t>
              </a:r>
              <a:r>
                <a:rPr lang="en-HK" sz="2400" b="0" i="0" baseline="-25000">
                  <a:latin typeface="Cambria Math" panose="02040503050406030204" pitchFamily="18" charset="0"/>
                </a:rPr>
                <a:t>𝐻𝐾</a:t>
              </a:r>
              <a:r>
                <a:rPr lang="en-US" sz="2400" b="0" i="0" baseline="-25000">
                  <a:latin typeface="Cambria Math" panose="02040503050406030204" pitchFamily="18" charset="0"/>
                </a:rPr>
                <a:t>/</a:t>
              </a:r>
              <a:r>
                <a:rPr lang="en-US" sz="2400" b="0" i="0">
                  <a:latin typeface="Cambria Math" panose="02040503050406030204" pitchFamily="18" charset="0"/>
                </a:rPr>
                <a:t>𝑂𝐻</a:t>
              </a:r>
              <a:r>
                <a:rPr lang="en-HK" sz="2400" b="0" i="0" baseline="-25000">
                  <a:latin typeface="Cambria Math" panose="02040503050406030204" pitchFamily="18" charset="0"/>
                </a:rPr>
                <a:t>𝐶𝑁</a:t>
              </a:r>
              <a:endParaRPr lang="en-US" sz="2400"/>
            </a:p>
          </xdr:txBody>
        </xdr:sp>
      </mc:Fallback>
    </mc:AlternateContent>
    <xdr:clientData/>
  </xdr:oneCellAnchor>
  <xdr:oneCellAnchor>
    <xdr:from>
      <xdr:col>10</xdr:col>
      <xdr:colOff>414619</xdr:colOff>
      <xdr:row>336</xdr:row>
      <xdr:rowOff>95096</xdr:rowOff>
    </xdr:from>
    <xdr:ext cx="3563470" cy="6444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TextBox 7"/>
            <xdr:cNvSpPr txBox="1"/>
          </xdr:nvSpPr>
          <xdr:spPr>
            <a:xfrm>
              <a:off x="10824884" y="39730302"/>
              <a:ext cx="3563470" cy="6444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2400"/>
                <a:t>20/21: RMC</a:t>
              </a:r>
              <a:r>
                <a:rPr lang="en-US" sz="2400" baseline="0"/>
                <a:t> x </a:t>
              </a:r>
              <a14:m>
                <m:oMath xmlns:m="http://schemas.openxmlformats.org/officeDocument/2006/math">
                  <m:f>
                    <m:fPr>
                      <m:ctrlPr>
                        <a:rPr lang="en-US" sz="24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HK" sz="2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𝑇𝑎𝑏</m:t>
                      </m:r>
                      <m:r>
                        <a:rPr lang="en-HK" sz="2400" b="0" i="1" baseline="-2500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𝐻𝐾</m:t>
                      </m:r>
                    </m:num>
                    <m:den>
                      <m:r>
                        <a:rPr lang="en-HK" sz="2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𝑇𝑎𝑏</m:t>
                      </m:r>
                      <m:r>
                        <a:rPr lang="en-HK" sz="2400" b="0" i="1" baseline="-2500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𝐶𝑁</m:t>
                      </m:r>
                    </m:den>
                  </m:f>
                  <m:r>
                    <a:rPr lang="en-US" sz="240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4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HK" sz="2400" b="0" i="1">
                          <a:latin typeface="Cambria Math" panose="02040503050406030204" pitchFamily="18" charset="0"/>
                        </a:rPr>
                        <m:t>𝑅𝑀</m:t>
                      </m:r>
                      <m:r>
                        <a:rPr lang="en-HK" sz="2400" b="0" i="1" baseline="-25000">
                          <a:latin typeface="Cambria Math" panose="02040503050406030204" pitchFamily="18" charset="0"/>
                        </a:rPr>
                        <m:t>𝐻𝐾</m:t>
                      </m:r>
                    </m:num>
                    <m:den>
                      <m:r>
                        <a:rPr lang="en-HK" sz="2400" b="0" i="1">
                          <a:latin typeface="Cambria Math" panose="02040503050406030204" pitchFamily="18" charset="0"/>
                        </a:rPr>
                        <m:t>𝑅𝑀</m:t>
                      </m:r>
                      <m:r>
                        <a:rPr lang="en-HK" sz="2400" b="0" i="1" baseline="-25000">
                          <a:latin typeface="Cambria Math" panose="02040503050406030204" pitchFamily="18" charset="0"/>
                        </a:rPr>
                        <m:t>𝐶𝑁</m:t>
                      </m:r>
                    </m:den>
                  </m:f>
                </m:oMath>
              </a14:m>
              <a:endParaRPr lang="en-US" sz="2400"/>
            </a:p>
          </xdr:txBody>
        </xdr:sp>
      </mc:Choice>
      <mc:Fallback>
        <xdr:sp macro="" textlink="">
          <xdr:nvSpPr>
            <xdr:cNvPr id="8" name="TextBox 7"/>
            <xdr:cNvSpPr txBox="1"/>
          </xdr:nvSpPr>
          <xdr:spPr>
            <a:xfrm>
              <a:off x="10824884" y="39730302"/>
              <a:ext cx="3563470" cy="6444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2400"/>
                <a:t>20/21: RMC</a:t>
              </a:r>
              <a:r>
                <a:rPr lang="en-US" sz="2400" baseline="0"/>
                <a:t> x </a:t>
              </a:r>
              <a:r>
                <a:rPr lang="en-HK" sz="2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𝑇𝑎𝑏</a:t>
              </a:r>
              <a:r>
                <a:rPr lang="en-HK" sz="2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𝐻𝐾</a:t>
              </a:r>
              <a:r>
                <a:rPr lang="en-US" sz="2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HK" sz="2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𝑇𝑎𝑏</a:t>
              </a:r>
              <a:r>
                <a:rPr lang="en-HK" sz="2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𝐶𝑁</a:t>
              </a:r>
              <a:r>
                <a:rPr lang="en-US" sz="2400" i="0">
                  <a:latin typeface="Cambria Math" panose="02040503050406030204" pitchFamily="18" charset="0"/>
                </a:rPr>
                <a:t>=</a:t>
              </a:r>
              <a:r>
                <a:rPr lang="en-HK" sz="2400" b="0" i="0">
                  <a:latin typeface="Cambria Math" panose="02040503050406030204" pitchFamily="18" charset="0"/>
                </a:rPr>
                <a:t>𝑅𝑀</a:t>
              </a:r>
              <a:r>
                <a:rPr lang="en-HK" sz="2400" b="0" i="0" baseline="-25000">
                  <a:latin typeface="Cambria Math" panose="02040503050406030204" pitchFamily="18" charset="0"/>
                </a:rPr>
                <a:t>𝐻𝐾</a:t>
              </a:r>
              <a:r>
                <a:rPr lang="en-US" sz="2400" b="0" i="0" baseline="-25000">
                  <a:latin typeface="Cambria Math" panose="02040503050406030204" pitchFamily="18" charset="0"/>
                </a:rPr>
                <a:t>/</a:t>
              </a:r>
              <a:r>
                <a:rPr lang="en-HK" sz="2400" b="0" i="0">
                  <a:latin typeface="Cambria Math" panose="02040503050406030204" pitchFamily="18" charset="0"/>
                </a:rPr>
                <a:t>𝑅𝑀</a:t>
              </a:r>
              <a:r>
                <a:rPr lang="en-HK" sz="2400" b="0" i="0" baseline="-25000">
                  <a:latin typeface="Cambria Math" panose="02040503050406030204" pitchFamily="18" charset="0"/>
                </a:rPr>
                <a:t>𝐶𝑁</a:t>
              </a:r>
              <a:endParaRPr lang="en-US" sz="2400"/>
            </a:p>
          </xdr:txBody>
        </xdr:sp>
      </mc:Fallback>
    </mc:AlternateContent>
    <xdr:clientData/>
  </xdr:oneCellAnchor>
  <xdr:oneCellAnchor>
    <xdr:from>
      <xdr:col>10</xdr:col>
      <xdr:colOff>430307</xdr:colOff>
      <xdr:row>340</xdr:row>
      <xdr:rowOff>44824</xdr:rowOff>
    </xdr:from>
    <xdr:ext cx="3563470" cy="6444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" name="TextBox 8"/>
            <xdr:cNvSpPr txBox="1"/>
          </xdr:nvSpPr>
          <xdr:spPr>
            <a:xfrm>
              <a:off x="10840572" y="40598912"/>
              <a:ext cx="3563470" cy="6444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2400"/>
                <a:t>20/21: OHC</a:t>
              </a:r>
              <a:r>
                <a:rPr lang="en-US" sz="2400" baseline="0"/>
                <a:t> x </a:t>
              </a:r>
              <a14:m>
                <m:oMath xmlns:m="http://schemas.openxmlformats.org/officeDocument/2006/math">
                  <m:f>
                    <m:fPr>
                      <m:ctrlPr>
                        <a:rPr lang="en-US" sz="24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HK" sz="2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𝑇𝑎𝑏</m:t>
                      </m:r>
                      <m:r>
                        <a:rPr lang="en-HK" sz="2400" b="0" i="1" baseline="-2500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𝐻𝐾</m:t>
                      </m:r>
                    </m:num>
                    <m:den>
                      <m:r>
                        <a:rPr lang="en-HK" sz="2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𝑇𝑎𝑏</m:t>
                      </m:r>
                      <m:r>
                        <a:rPr lang="en-HK" sz="2400" b="0" i="1" baseline="-2500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𝐶𝑁</m:t>
                      </m:r>
                    </m:den>
                  </m:f>
                  <m:r>
                    <a:rPr lang="en-US" sz="240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sz="24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US" sz="2400" b="0" i="1">
                          <a:latin typeface="Cambria Math" panose="02040503050406030204" pitchFamily="18" charset="0"/>
                        </a:rPr>
                        <m:t>𝑂𝐻</m:t>
                      </m:r>
                      <m:r>
                        <a:rPr lang="en-HK" sz="2400" b="0" i="1" baseline="-25000">
                          <a:latin typeface="Cambria Math" panose="02040503050406030204" pitchFamily="18" charset="0"/>
                        </a:rPr>
                        <m:t>𝐻𝐾</m:t>
                      </m:r>
                    </m:num>
                    <m:den>
                      <m:r>
                        <a:rPr lang="en-US" sz="2400" b="0" i="1">
                          <a:latin typeface="Cambria Math" panose="02040503050406030204" pitchFamily="18" charset="0"/>
                        </a:rPr>
                        <m:t>𝑂𝐻</m:t>
                      </m:r>
                      <m:r>
                        <a:rPr lang="en-HK" sz="2400" b="0" i="1" baseline="-25000">
                          <a:latin typeface="Cambria Math" panose="02040503050406030204" pitchFamily="18" charset="0"/>
                        </a:rPr>
                        <m:t>𝐶𝑁</m:t>
                      </m:r>
                    </m:den>
                  </m:f>
                </m:oMath>
              </a14:m>
              <a:endParaRPr lang="en-US" sz="2400"/>
            </a:p>
          </xdr:txBody>
        </xdr:sp>
      </mc:Choice>
      <mc:Fallback>
        <xdr:sp macro="" textlink="">
          <xdr:nvSpPr>
            <xdr:cNvPr id="9" name="TextBox 8"/>
            <xdr:cNvSpPr txBox="1"/>
          </xdr:nvSpPr>
          <xdr:spPr>
            <a:xfrm>
              <a:off x="10840572" y="40598912"/>
              <a:ext cx="3563470" cy="6444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2400"/>
                <a:t>20/21: OHC</a:t>
              </a:r>
              <a:r>
                <a:rPr lang="en-US" sz="2400" baseline="0"/>
                <a:t> x </a:t>
              </a:r>
              <a:r>
                <a:rPr lang="en-HK" sz="2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𝑇𝑎𝑏</a:t>
              </a:r>
              <a:r>
                <a:rPr lang="en-HK" sz="2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𝐻𝐾</a:t>
              </a:r>
              <a:r>
                <a:rPr lang="en-US" sz="2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HK" sz="2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𝑇𝑎𝑏</a:t>
              </a:r>
              <a:r>
                <a:rPr lang="en-HK" sz="2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𝐶𝑁</a:t>
              </a:r>
              <a:r>
                <a:rPr lang="en-US" sz="2400" i="0">
                  <a:latin typeface="Cambria Math" panose="02040503050406030204" pitchFamily="18" charset="0"/>
                </a:rPr>
                <a:t>=</a:t>
              </a:r>
              <a:r>
                <a:rPr lang="en-US" sz="2400" b="0" i="0">
                  <a:latin typeface="Cambria Math" panose="02040503050406030204" pitchFamily="18" charset="0"/>
                </a:rPr>
                <a:t>𝑂𝐻</a:t>
              </a:r>
              <a:r>
                <a:rPr lang="en-HK" sz="2400" b="0" i="0" baseline="-25000">
                  <a:latin typeface="Cambria Math" panose="02040503050406030204" pitchFamily="18" charset="0"/>
                </a:rPr>
                <a:t>𝐻𝐾</a:t>
              </a:r>
              <a:r>
                <a:rPr lang="en-US" sz="2400" b="0" i="0" baseline="-25000">
                  <a:latin typeface="Cambria Math" panose="02040503050406030204" pitchFamily="18" charset="0"/>
                </a:rPr>
                <a:t>/</a:t>
              </a:r>
              <a:r>
                <a:rPr lang="en-US" sz="2400" b="0" i="0">
                  <a:latin typeface="Cambria Math" panose="02040503050406030204" pitchFamily="18" charset="0"/>
                </a:rPr>
                <a:t>𝑂𝐻</a:t>
              </a:r>
              <a:r>
                <a:rPr lang="en-HK" sz="2400" b="0" i="0" baseline="-25000">
                  <a:latin typeface="Cambria Math" panose="02040503050406030204" pitchFamily="18" charset="0"/>
                </a:rPr>
                <a:t>𝐶𝑁</a:t>
              </a:r>
              <a:endParaRPr lang="en-US" sz="24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408392</xdr:colOff>
      <xdr:row>29</xdr:row>
      <xdr:rowOff>121104</xdr:rowOff>
    </xdr:from>
    <xdr:to>
      <xdr:col>32</xdr:col>
      <xdr:colOff>563969</xdr:colOff>
      <xdr:row>54</xdr:row>
      <xdr:rowOff>161926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313266</xdr:colOff>
      <xdr:row>117</xdr:row>
      <xdr:rowOff>156633</xdr:rowOff>
    </xdr:from>
    <xdr:to>
      <xdr:col>7</xdr:col>
      <xdr:colOff>795867</xdr:colOff>
      <xdr:row>143</xdr:row>
      <xdr:rowOff>93134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262467</xdr:colOff>
      <xdr:row>155</xdr:row>
      <xdr:rowOff>4234</xdr:rowOff>
    </xdr:from>
    <xdr:to>
      <xdr:col>7</xdr:col>
      <xdr:colOff>711200</xdr:colOff>
      <xdr:row>180</xdr:row>
      <xdr:rowOff>8467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220134</xdr:colOff>
      <xdr:row>199</xdr:row>
      <xdr:rowOff>29634</xdr:rowOff>
    </xdr:from>
    <xdr:to>
      <xdr:col>8</xdr:col>
      <xdr:colOff>16933</xdr:colOff>
      <xdr:row>224</xdr:row>
      <xdr:rowOff>118533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186267</xdr:colOff>
      <xdr:row>236</xdr:row>
      <xdr:rowOff>42334</xdr:rowOff>
    </xdr:from>
    <xdr:to>
      <xdr:col>7</xdr:col>
      <xdr:colOff>635000</xdr:colOff>
      <xdr:row>260</xdr:row>
      <xdr:rowOff>16934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28</xdr:row>
      <xdr:rowOff>67734</xdr:rowOff>
    </xdr:from>
    <xdr:to>
      <xdr:col>11</xdr:col>
      <xdr:colOff>10585</xdr:colOff>
      <xdr:row>55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285750</xdr:colOff>
      <xdr:row>79</xdr:row>
      <xdr:rowOff>163287</xdr:rowOff>
    </xdr:from>
    <xdr:to>
      <xdr:col>11</xdr:col>
      <xdr:colOff>21168</xdr:colOff>
      <xdr:row>106</xdr:row>
      <xdr:rowOff>95553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0.00642</cdr:x>
      <cdr:y>0.02705</cdr:y>
    </cdr:from>
    <cdr:to>
      <cdr:x>0.10552</cdr:x>
      <cdr:y>0.08221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0800" y="135467"/>
          <a:ext cx="784542" cy="2762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/>
            <a:t>HKD'000</a:t>
          </a:r>
        </a:p>
      </cdr:txBody>
    </cdr:sp>
  </cdr:relSizeAnchor>
  <cdr:relSizeAnchor xmlns:cdr="http://schemas.openxmlformats.org/drawingml/2006/chartDrawing">
    <cdr:from>
      <cdr:x>0.71061</cdr:x>
      <cdr:y>0.09408</cdr:y>
    </cdr:from>
    <cdr:to>
      <cdr:x>0.83602</cdr:x>
      <cdr:y>0.17109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5613400" y="491067"/>
          <a:ext cx="990695" cy="4019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 baseline="0">
              <a:solidFill>
                <a:srgbClr val="FF0000"/>
              </a:solidFill>
            </a:rPr>
            <a:t>Base case</a:t>
          </a:r>
          <a:endParaRPr lang="en-US" sz="1200" b="1">
            <a:solidFill>
              <a:srgbClr val="FF0000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0.00642</cdr:x>
      <cdr:y>0.02303</cdr:y>
    </cdr:from>
    <cdr:to>
      <cdr:x>0.109</cdr:x>
      <cdr:y>0.08679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0800" y="110067"/>
          <a:ext cx="812095" cy="304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/>
            <a:t>HKD'000</a:t>
          </a:r>
        </a:p>
      </cdr:txBody>
    </cdr:sp>
  </cdr:relSizeAnchor>
  <cdr:relSizeAnchor xmlns:cdr="http://schemas.openxmlformats.org/drawingml/2006/chartDrawing">
    <cdr:from>
      <cdr:x>0.73262</cdr:x>
      <cdr:y>0.06554</cdr:y>
    </cdr:from>
    <cdr:to>
      <cdr:x>0.92941</cdr:x>
      <cdr:y>0.18513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5799666" y="313267"/>
          <a:ext cx="1557890" cy="5715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>
              <a:solidFill>
                <a:srgbClr val="FF0000"/>
              </a:solidFill>
            </a:rPr>
            <a:t>Sensitive</a:t>
          </a:r>
          <a:r>
            <a:rPr lang="en-US" sz="1200" b="1" baseline="0">
              <a:solidFill>
                <a:srgbClr val="FF0000"/>
              </a:solidFill>
            </a:rPr>
            <a:t> Analysis:</a:t>
          </a:r>
        </a:p>
        <a:p xmlns:a="http://schemas.openxmlformats.org/drawingml/2006/main">
          <a:r>
            <a:rPr lang="en-US" sz="1200" b="1" baseline="0">
              <a:solidFill>
                <a:srgbClr val="FF0000"/>
              </a:solidFill>
            </a:rPr>
            <a:t>interest rate +1%</a:t>
          </a:r>
          <a:endParaRPr lang="en-US" sz="1200" b="1">
            <a:solidFill>
              <a:srgbClr val="FF0000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0.00644</cdr:x>
      <cdr:y>0.02543</cdr:y>
    </cdr:from>
    <cdr:to>
      <cdr:x>0.10894</cdr:x>
      <cdr:y>0.08618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0800" y="118534"/>
          <a:ext cx="807928" cy="283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/>
            <a:t>HKD'000</a:t>
          </a:r>
        </a:p>
      </cdr:txBody>
    </cdr:sp>
  </cdr:relSizeAnchor>
  <cdr:relSizeAnchor xmlns:cdr="http://schemas.openxmlformats.org/drawingml/2006/chartDrawing">
    <cdr:from>
      <cdr:x>0.71321</cdr:x>
      <cdr:y>0.07448</cdr:y>
    </cdr:from>
    <cdr:to>
      <cdr:x>0.95776</cdr:x>
      <cdr:y>0.21235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5621867" y="347133"/>
          <a:ext cx="1927630" cy="6425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>
              <a:solidFill>
                <a:srgbClr val="FF0000"/>
              </a:solidFill>
            </a:rPr>
            <a:t>Sensitive</a:t>
          </a:r>
          <a:r>
            <a:rPr lang="en-US" sz="1200" b="1" baseline="0">
              <a:solidFill>
                <a:srgbClr val="FF0000"/>
              </a:solidFill>
            </a:rPr>
            <a:t> Analysis:</a:t>
          </a:r>
        </a:p>
        <a:p xmlns:a="http://schemas.openxmlformats.org/drawingml/2006/main">
          <a:r>
            <a:rPr lang="en-US" sz="1200" b="1" baseline="0">
              <a:solidFill>
                <a:srgbClr val="FF0000"/>
              </a:solidFill>
            </a:rPr>
            <a:t>-5% on Operating cash inflow from base case</a:t>
          </a:r>
          <a:endParaRPr lang="en-US" sz="1200" b="1">
            <a:solidFill>
              <a:srgbClr val="FF0000"/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0.00632</cdr:x>
      <cdr:y>0.02319</cdr:y>
    </cdr:from>
    <cdr:to>
      <cdr:x>0.10516</cdr:x>
      <cdr:y>0.08707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0800" y="110067"/>
          <a:ext cx="794162" cy="3031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/>
            <a:t>HKD'000</a:t>
          </a:r>
        </a:p>
      </cdr:txBody>
    </cdr:sp>
  </cdr:relSizeAnchor>
  <cdr:relSizeAnchor xmlns:cdr="http://schemas.openxmlformats.org/drawingml/2006/chartDrawing">
    <cdr:from>
      <cdr:x>0.71654</cdr:x>
      <cdr:y>0.12489</cdr:y>
    </cdr:from>
    <cdr:to>
      <cdr:x>0.95971</cdr:x>
      <cdr:y>0.27341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5757334" y="592666"/>
          <a:ext cx="1953780" cy="7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>
              <a:solidFill>
                <a:srgbClr val="FF0000"/>
              </a:solidFill>
            </a:rPr>
            <a:t>Sensitive</a:t>
          </a:r>
          <a:r>
            <a:rPr lang="en-US" sz="1200" b="1" baseline="0">
              <a:solidFill>
                <a:srgbClr val="FF0000"/>
              </a:solidFill>
            </a:rPr>
            <a:t> Analysis:</a:t>
          </a:r>
        </a:p>
        <a:p xmlns:a="http://schemas.openxmlformats.org/drawingml/2006/main">
          <a:r>
            <a:rPr lang="en-US" sz="1200" b="1" baseline="0">
              <a:solidFill>
                <a:srgbClr val="FF0000"/>
              </a:solidFill>
            </a:rPr>
            <a:t>-10% on Operating cash inflow from base case</a:t>
          </a:r>
          <a:endParaRPr lang="en-US" sz="1200" b="1">
            <a:solidFill>
              <a:srgbClr val="FF0000"/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0.00644</cdr:x>
      <cdr:y>0.02286</cdr:y>
    </cdr:from>
    <cdr:to>
      <cdr:x>0.1141</cdr:x>
      <cdr:y>0.0975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0800" y="101600"/>
          <a:ext cx="848607" cy="3317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/>
            <a:t>HKD'000</a:t>
          </a:r>
        </a:p>
      </cdr:txBody>
    </cdr:sp>
  </cdr:relSizeAnchor>
  <cdr:relSizeAnchor xmlns:cdr="http://schemas.openxmlformats.org/drawingml/2006/chartDrawing">
    <cdr:from>
      <cdr:x>0.70999</cdr:x>
      <cdr:y>0.08952</cdr:y>
    </cdr:from>
    <cdr:to>
      <cdr:x>0.94086</cdr:x>
      <cdr:y>0.26808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5596466" y="397933"/>
          <a:ext cx="1819815" cy="7936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>
              <a:solidFill>
                <a:srgbClr val="FF0000"/>
              </a:solidFill>
            </a:rPr>
            <a:t>Sensitive</a:t>
          </a:r>
          <a:r>
            <a:rPr lang="en-US" sz="1200" b="1" baseline="0">
              <a:solidFill>
                <a:srgbClr val="FF0000"/>
              </a:solidFill>
            </a:rPr>
            <a:t> Analysis:</a:t>
          </a:r>
        </a:p>
        <a:p xmlns:a="http://schemas.openxmlformats.org/drawingml/2006/main">
          <a:r>
            <a:rPr lang="en-US" sz="1200" b="1" baseline="0">
              <a:solidFill>
                <a:srgbClr val="FF0000"/>
              </a:solidFill>
            </a:rPr>
            <a:t>-5% on Operating cash inflow; interest rate +1%</a:t>
          </a:r>
          <a:endParaRPr lang="en-US" sz="1200" b="1">
            <a:solidFill>
              <a:srgbClr val="FF0000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0.01886</cdr:x>
      <cdr:y>0.02927</cdr:y>
    </cdr:from>
    <cdr:to>
      <cdr:x>0.09423</cdr:x>
      <cdr:y>0.08434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88383" y="156633"/>
          <a:ext cx="753044" cy="2946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/>
            <a:t>HKD'000</a:t>
          </a:r>
        </a:p>
      </cdr:txBody>
    </cdr:sp>
  </cdr:relSizeAnchor>
  <cdr:relSizeAnchor xmlns:cdr="http://schemas.openxmlformats.org/drawingml/2006/chartDrawing">
    <cdr:from>
      <cdr:x>0.71695</cdr:x>
      <cdr:y>0.06685</cdr:y>
    </cdr:from>
    <cdr:to>
      <cdr:x>0.81234</cdr:x>
      <cdr:y>0.14374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7162800" y="357716"/>
          <a:ext cx="952970" cy="411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 baseline="0">
              <a:solidFill>
                <a:srgbClr val="FF0000"/>
              </a:solidFill>
            </a:rPr>
            <a:t>Base case</a:t>
          </a:r>
          <a:endParaRPr lang="en-US" sz="1200" b="1">
            <a:solidFill>
              <a:srgbClr val="FF0000"/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0.01886</cdr:x>
      <cdr:y>0.02927</cdr:y>
    </cdr:from>
    <cdr:to>
      <cdr:x>0.09423</cdr:x>
      <cdr:y>0.08434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88383" y="156633"/>
          <a:ext cx="753044" cy="2946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/>
            <a:t>HKD'000</a:t>
          </a:r>
        </a:p>
      </cdr:txBody>
    </cdr:sp>
  </cdr:relSizeAnchor>
  <cdr:relSizeAnchor xmlns:cdr="http://schemas.openxmlformats.org/drawingml/2006/chartDrawing">
    <cdr:from>
      <cdr:x>0.71695</cdr:x>
      <cdr:y>0.06685</cdr:y>
    </cdr:from>
    <cdr:to>
      <cdr:x>0.81234</cdr:x>
      <cdr:y>0.14374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7162800" y="357716"/>
          <a:ext cx="952970" cy="411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 baseline="0">
              <a:solidFill>
                <a:srgbClr val="FF0000"/>
              </a:solidFill>
            </a:rPr>
            <a:t>Base case</a:t>
          </a:r>
          <a:endParaRPr lang="en-US" sz="1200" b="1">
            <a:solidFill>
              <a:srgbClr val="FF0000"/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89535</xdr:colOff>
      <xdr:row>47</xdr:row>
      <xdr:rowOff>38100</xdr:rowOff>
    </xdr:from>
    <xdr:to>
      <xdr:col>10</xdr:col>
      <xdr:colOff>272415</xdr:colOff>
      <xdr:row>67</xdr:row>
      <xdr:rowOff>66675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97155</xdr:colOff>
      <xdr:row>68</xdr:row>
      <xdr:rowOff>38100</xdr:rowOff>
    </xdr:from>
    <xdr:to>
      <xdr:col>10</xdr:col>
      <xdr:colOff>276225</xdr:colOff>
      <xdr:row>85</xdr:row>
      <xdr:rowOff>140970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89535</xdr:colOff>
      <xdr:row>87</xdr:row>
      <xdr:rowOff>38100</xdr:rowOff>
    </xdr:from>
    <xdr:to>
      <xdr:col>10</xdr:col>
      <xdr:colOff>266700</xdr:colOff>
      <xdr:row>105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83820</xdr:colOff>
      <xdr:row>106</xdr:row>
      <xdr:rowOff>0</xdr:rowOff>
    </xdr:from>
    <xdr:to>
      <xdr:col>10</xdr:col>
      <xdr:colOff>259080</xdr:colOff>
      <xdr:row>123</xdr:row>
      <xdr:rowOff>87630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85725</xdr:colOff>
      <xdr:row>124</xdr:row>
      <xdr:rowOff>180975</xdr:rowOff>
    </xdr:from>
    <xdr:to>
      <xdr:col>10</xdr:col>
      <xdr:colOff>268605</xdr:colOff>
      <xdr:row>142</xdr:row>
      <xdr:rowOff>93345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382905</xdr:colOff>
      <xdr:row>49</xdr:row>
      <xdr:rowOff>180975</xdr:rowOff>
    </xdr:from>
    <xdr:to>
      <xdr:col>18</xdr:col>
      <xdr:colOff>1415415</xdr:colOff>
      <xdr:row>67</xdr:row>
      <xdr:rowOff>70485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394335</xdr:colOff>
      <xdr:row>68</xdr:row>
      <xdr:rowOff>38100</xdr:rowOff>
    </xdr:from>
    <xdr:to>
      <xdr:col>18</xdr:col>
      <xdr:colOff>1426845</xdr:colOff>
      <xdr:row>85</xdr:row>
      <xdr:rowOff>133349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403860</xdr:colOff>
      <xdr:row>87</xdr:row>
      <xdr:rowOff>36195</xdr:rowOff>
    </xdr:from>
    <xdr:to>
      <xdr:col>18</xdr:col>
      <xdr:colOff>1421130</xdr:colOff>
      <xdr:row>105</xdr:row>
      <xdr:rowOff>38100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607357</xdr:colOff>
      <xdr:row>13</xdr:row>
      <xdr:rowOff>47065</xdr:rowOff>
    </xdr:from>
    <xdr:to>
      <xdr:col>28</xdr:col>
      <xdr:colOff>190499</xdr:colOff>
      <xdr:row>52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542924</xdr:colOff>
      <xdr:row>72</xdr:row>
      <xdr:rowOff>66675</xdr:rowOff>
    </xdr:from>
    <xdr:to>
      <xdr:col>28</xdr:col>
      <xdr:colOff>123824</xdr:colOff>
      <xdr:row>105</xdr:row>
      <xdr:rowOff>57150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0.85855</cdr:x>
      <cdr:y>0.20789</cdr:y>
    </cdr:from>
    <cdr:to>
      <cdr:x>0.9324</cdr:x>
      <cdr:y>0.25448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9250457" y="1299882"/>
          <a:ext cx="795618" cy="2913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100" b="1">
              <a:solidFill>
                <a:srgbClr val="FF0000"/>
              </a:solidFill>
            </a:rPr>
            <a:t>Base Case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0.80551</cdr:x>
      <cdr:y>0.17922</cdr:y>
    </cdr:from>
    <cdr:to>
      <cdr:x>0.98388</cdr:x>
      <cdr:y>0.26703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8678911" y="1120617"/>
          <a:ext cx="1921854" cy="549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100" b="1">
              <a:solidFill>
                <a:srgbClr val="FF0000"/>
              </a:solidFill>
            </a:rPr>
            <a:t>Sensitivity Analysis:</a:t>
          </a:r>
          <a:br>
            <a:rPr lang="en-GB" sz="1100" b="1">
              <a:solidFill>
                <a:srgbClr val="FF0000"/>
              </a:solidFill>
            </a:rPr>
          </a:br>
          <a:r>
            <a:rPr lang="en-GB" sz="1100" b="1">
              <a:solidFill>
                <a:srgbClr val="FF0000"/>
              </a:solidFill>
            </a:rPr>
            <a:t>Discount on</a:t>
          </a:r>
          <a:r>
            <a:rPr lang="en-GB" sz="1100" b="1" baseline="0">
              <a:solidFill>
                <a:srgbClr val="FF0000"/>
              </a:solidFill>
            </a:rPr>
            <a:t> Core Operations</a:t>
          </a:r>
          <a:endParaRPr lang="en-GB" sz="1100" b="1">
            <a:solidFill>
              <a:srgbClr val="FF0000"/>
            </a:solidFill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hkintranet/WINDOWS/TEMP/AOP%20Templates%2020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ORLDDEV\AC9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udit\mC\Buildrich%20Company%20Limited\ken\job\Sino%20Talent%20Management%20Ltd\31-12-2002\ken\job\GayaCoLtd\31-03-2002\Accounts%202001-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onnie\T444\2007\Bsca\Client%20accounting\H1492\Investments\030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udit_W.I.P\O031D04A\WIP\WIP-drafted\S073\S073m02A_loa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aa1\&#26700;&#38754;\U050\Document\samples\S073m02A_loan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hkintranet/WINDOWS/TEMP/PLBYL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ytw.LAY\&#26700;&#38754;\ETB_08J\Users\Pang\AppData\Local\Microsoft\Windows\Temporary%20Internet%20Files\Content.Outlook\TYLAHALJ\Documents%20and%20Settings\ksw\&#26700;&#38754;\&#38795;&#24288;\E170%20Final%20Version%20AWP\2008Q2\HMW\Final%20version%20of%20WP\Audit_W.I.P\O031D04A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onnie\T444\2007\My%20Documents\S219\Documents%20and%20Settings\katwong\My%20Documents\Interasian(3)\I161\I066\2002\I066TB0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RV\Home\audit%20specimen\SME%20Specimen\WIP\WIP-drafted\S073\S073m02A_loan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95REV\BRDFINAL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bakertillyhk.com:8888/_users/bakertillyhk.com/shirleyhui/_tempatt/Bsca/Client%20accounting/H1492/Investments/030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n\job\Sino%20Talent%20Management%20Ltd\31-12-2002\ken\job\GayaCoLtd\31-03-2002\Accounts%202001-0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hkintranet/WINDOWS/Temporary%20Internet%20Files/OLK3011/PLBYLN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rv\Kch\Documents%20and%20Settings\ksw\&#26700;&#38754;\V052%20-%20Group\01%20-%20V052%20ViaGOLD\V052M07A_Conso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DRIVERS"/>
      <sheetName val="Contacts"/>
      <sheetName val="Header"/>
      <sheetName val="AOP Summary-1"/>
      <sheetName val="AOP Summary-2"/>
      <sheetName val="AOP P&amp;L"/>
      <sheetName val="AOP Sales Growth"/>
      <sheetName val="AOP Sales Bridge (FY)"/>
      <sheetName val="AOP Op Inc. Bridge (FY)"/>
      <sheetName val="AOP Inc. Stmt"/>
      <sheetName val="AOP NI Bridge (FY)"/>
      <sheetName val="AOP FCF "/>
      <sheetName val="AOP CAPEX"/>
      <sheetName val="AOP CAPEX Detail"/>
      <sheetName val="AOP Cash Conversion"/>
      <sheetName val="AOP Cash Flow Bridge (FY) "/>
      <sheetName val="AOP CWC"/>
      <sheetName val="AOP CWC-2"/>
      <sheetName val="AOP Receivables"/>
      <sheetName val="AOP Inventory "/>
      <sheetName val="AOP Trade Payables"/>
      <sheetName val="AOP Avg. Inv."/>
      <sheetName val="AOP ROI"/>
      <sheetName val="AOP Warranty"/>
      <sheetName val="AOP Quarterly Key Ind"/>
      <sheetName val="AOP SBU SBE Totals "/>
      <sheetName val="AOP SBU SBE Totals-2"/>
      <sheetName val="AOP SBE Trends"/>
      <sheetName val="AOP SBE ROI Leaders"/>
      <sheetName val="AOP Headcount"/>
      <sheetName val="AOP R&amp;O "/>
      <sheetName val="AOP_Summary-1"/>
      <sheetName val="AOP_Summary-2"/>
      <sheetName val="AOP_P&amp;L"/>
      <sheetName val="AOP_Sales_Growth"/>
      <sheetName val="AOP_Sales_Bridge_(FY)"/>
      <sheetName val="AOP_Op_Inc__Bridge_(FY)"/>
      <sheetName val="AOP_Inc__Stmt"/>
      <sheetName val="AOP_NI_Bridge_(FY)"/>
      <sheetName val="AOP_FCF_"/>
      <sheetName val="AOP_CAPEX"/>
      <sheetName val="AOP_CAPEX_Detail"/>
      <sheetName val="AOP_Cash_Conversion"/>
      <sheetName val="AOP_Cash_Flow_Bridge_(FY)_"/>
      <sheetName val="AOP_CWC"/>
      <sheetName val="AOP_CWC-2"/>
      <sheetName val="AOP_Receivables"/>
      <sheetName val="AOP_Inventory_"/>
      <sheetName val="AOP_Trade_Payables"/>
      <sheetName val="AOP_Avg__Inv_"/>
      <sheetName val="AOP_ROI"/>
      <sheetName val="AOP_Warranty"/>
      <sheetName val="AOP_Quarterly_Key_Ind"/>
      <sheetName val="AOP_SBU_SBE_Totals_"/>
      <sheetName val="AOP_SBU_SBE_Totals-2"/>
      <sheetName val="AOP_SBE_Trends"/>
      <sheetName val="AOP_SBE_ROI_Leaders"/>
      <sheetName val="AOP_Headcount"/>
      <sheetName val="AOP_R&amp;O_"/>
      <sheetName val="Data Validation"/>
      <sheetName val="filter"/>
      <sheetName val="LIST"/>
      <sheetName val="Pick List"/>
      <sheetName val=""/>
      <sheetName val="Data"/>
      <sheetName val="Cost"/>
      <sheetName val="AOP_Summary-11"/>
      <sheetName val="AOP_Summary-21"/>
      <sheetName val="AOP_P&amp;L1"/>
      <sheetName val="AOP_Sales_Growth1"/>
      <sheetName val="AOP_Sales_Bridge_(FY)1"/>
      <sheetName val="AOP_Op_Inc__Bridge_(FY)1"/>
      <sheetName val="AOP_Inc__Stmt1"/>
      <sheetName val="AOP_NI_Bridge_(FY)1"/>
      <sheetName val="AOP_FCF_1"/>
      <sheetName val="AOP_CAPEX1"/>
      <sheetName val="AOP_CAPEX_Detail1"/>
      <sheetName val="AOP_Cash_Conversion1"/>
      <sheetName val="AOP_Cash_Flow_Bridge_(FY)_1"/>
      <sheetName val="AOP_CWC1"/>
      <sheetName val="AOP_CWC-21"/>
      <sheetName val="AOP_Receivables1"/>
      <sheetName val="AOP_Inventory_1"/>
      <sheetName val="AOP_Trade_Payables1"/>
      <sheetName val="AOP_Avg__Inv_1"/>
      <sheetName val="AOP_ROI1"/>
      <sheetName val="AOP_Warranty1"/>
      <sheetName val="AOP_Quarterly_Key_Ind1"/>
      <sheetName val="AOP_SBU_SBE_Totals_1"/>
      <sheetName val="AOP_SBU_SBE_Totals-21"/>
      <sheetName val="AOP_SBE_Trends1"/>
      <sheetName val="AOP_SBE_ROI_Leaders1"/>
      <sheetName val="AOP_Headcount1"/>
      <sheetName val="AOP_R&amp;O_1"/>
      <sheetName val="Data_Validation"/>
      <sheetName val="Pick_List"/>
      <sheetName val="AX Dimension Values"/>
      <sheetName val="Type"/>
      <sheetName val="Sheet2"/>
      <sheetName val="Mappings"/>
      <sheetName val="OS"/>
      <sheetName val="Performance"/>
      <sheetName val="Sales Data "/>
      <sheetName val="Trend"/>
      <sheetName val="Sales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Category:</v>
          </cell>
        </row>
        <row r="3">
          <cell r="A3" t="str">
            <v>Period:</v>
          </cell>
        </row>
        <row r="4">
          <cell r="A4" t="str">
            <v>Frequency:</v>
          </cell>
        </row>
        <row r="5">
          <cell r="A5" t="str">
            <v>Application:</v>
          </cell>
        </row>
        <row r="6">
          <cell r="A6" t="str">
            <v>Account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>
        <row r="2">
          <cell r="A2" t="str">
            <v>Category:</v>
          </cell>
        </row>
      </sheetData>
      <sheetData sheetId="69">
        <row r="2">
          <cell r="A2" t="str">
            <v>Category: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"/>
      <sheetName val="dir"/>
      <sheetName val="aud"/>
      <sheetName val="fs"/>
      <sheetName val="notes"/>
      <sheetName val="Sheet1"/>
      <sheetName val="Sheet2"/>
      <sheetName val="Sheet3"/>
      <sheetName val="Cover"/>
      <sheetName val="Related Party"/>
      <sheetName val="Matter os"/>
      <sheetName val="Time"/>
      <sheetName val="CC"/>
      <sheetName val="C"/>
      <sheetName val="C1"/>
      <sheetName val="C2"/>
      <sheetName val="C3"/>
      <sheetName val="C4"/>
      <sheetName val="C5"/>
      <sheetName val="C6"/>
      <sheetName val="F1"/>
      <sheetName val="F2"/>
      <sheetName val="F2-1"/>
      <sheetName val="F2-2"/>
      <sheetName val="F2-3"/>
      <sheetName val="G"/>
      <sheetName val="G1"/>
      <sheetName val="G1-1"/>
      <sheetName val="G2"/>
      <sheetName val="G3"/>
      <sheetName val="G5"/>
      <sheetName val="G6"/>
      <sheetName val="J"/>
      <sheetName val="J1"/>
      <sheetName val="J4"/>
      <sheetName val="J4-1"/>
      <sheetName val="J6"/>
      <sheetName val="O"/>
      <sheetName val="O1"/>
      <sheetName val="O2"/>
      <sheetName val="O3"/>
      <sheetName val="O4"/>
      <sheetName val="P"/>
      <sheetName val="S"/>
      <sheetName val="U"/>
      <sheetName val="V"/>
      <sheetName val="X"/>
      <sheetName val="Y1"/>
      <sheetName val="Y2"/>
      <sheetName val="Y3"/>
      <sheetName val="Y4"/>
      <sheetName val="Y5"/>
      <sheetName val="RP"/>
      <sheetName val="C1-1"/>
      <sheetName val="C1-2"/>
      <sheetName val="C1-3"/>
      <sheetName val="C1-4"/>
      <sheetName val="C1-5"/>
      <sheetName val="C1-6"/>
      <sheetName val="C1-7"/>
      <sheetName val="C1-8"/>
      <sheetName val="C1-9"/>
      <sheetName val="C2-1"/>
      <sheetName val="C2-2"/>
      <sheetName val="C2-3"/>
      <sheetName val="C2-4"/>
      <sheetName val="C2-5"/>
      <sheetName val="C2-6"/>
      <sheetName val="C2-7"/>
      <sheetName val="C2-8"/>
      <sheetName val="C2-9"/>
      <sheetName val="C2-10"/>
      <sheetName val="C2-11"/>
      <sheetName val="C2-12"/>
      <sheetName val="C2-13"/>
      <sheetName val="F2-4"/>
      <sheetName val="F3"/>
      <sheetName val="G1-2"/>
      <sheetName val="G1-3"/>
      <sheetName val="G4"/>
      <sheetName val="J2"/>
      <sheetName val="J3"/>
      <sheetName val="J5"/>
      <sheetName val="O1-2"/>
      <sheetName val="O5"/>
      <sheetName val="W"/>
      <sheetName val="X1"/>
      <sheetName val="X2"/>
      <sheetName val="X3"/>
      <sheetName val="Y4-1"/>
      <sheetName val="Y6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"/>
      <sheetName val="Balance Sheet"/>
      <sheetName val="Provisions"/>
      <sheetName val="Day book"/>
      <sheetName val="Cashbo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urnal"/>
      <sheetName val="Ex Rate"/>
      <sheetName val="Register"/>
      <sheetName val="Table"/>
      <sheetName val="Sales"/>
      <sheetName val="Ex Diff"/>
    </sheetNames>
    <sheetDataSet>
      <sheetData sheetId="0" refreshError="1"/>
      <sheetData sheetId="1"/>
      <sheetData sheetId="2"/>
      <sheetData sheetId="3" refreshError="1"/>
      <sheetData sheetId="4" refreshError="1"/>
      <sheetData sheetId="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rtgaged Loan"/>
      <sheetName val="WHBank"/>
      <sheetName val="S073m02A_loan"/>
      <sheetName val="#REF"/>
      <sheetName val="_REF"/>
    </sheetNames>
    <sheetDataSet>
      <sheetData sheetId="0"/>
      <sheetData sheetId="1"/>
      <sheetData sheetId="2" refreshError="1"/>
      <sheetData sheetId="3" refreshError="1"/>
      <sheetData sheetId="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rtgaged Loan"/>
      <sheetName val="WHBank"/>
      <sheetName val="S073m02A_loan"/>
      <sheetName val="#REF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log"/>
      <sheetName val="order"/>
      <sheetName val="sal"/>
      <sheetName val="opprft"/>
      <sheetName val="Grsprft"/>
      <sheetName val="r&amp;d"/>
      <sheetName val="sell"/>
      <sheetName val="g&amp;a"/>
      <sheetName val="Oth"/>
      <sheetName val="Net Inc"/>
      <sheetName val="check"/>
      <sheetName val="HNYP&amp;L"/>
      <sheetName val="Net_Inc"/>
      <sheetName val="PTD MAY-13"/>
      <sheetName val="Pick List"/>
      <sheetName val="Macro1"/>
      <sheetName val="Net_Inc1"/>
      <sheetName val="PTD_MAY-13"/>
      <sheetName val="Pick_Lis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rtgaged Loan"/>
      <sheetName val="WHBank"/>
      <sheetName val="S073m02A_loan"/>
      <sheetName val="#REF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"/>
      <sheetName val="1"/>
      <sheetName val="5-"/>
      <sheetName val="6"/>
      <sheetName val="7"/>
      <sheetName val="14-1"/>
      <sheetName val="14-2"/>
      <sheetName val="15"/>
      <sheetName val="A"/>
      <sheetName val="AP1"/>
      <sheetName val="AP2"/>
      <sheetName val="A1"/>
      <sheetName val="BP1"/>
      <sheetName val="B1"/>
      <sheetName val="C"/>
      <sheetName val="CP1"/>
      <sheetName val="CP2"/>
      <sheetName val="C1"/>
      <sheetName val="C1-1"/>
      <sheetName val="C2-"/>
      <sheetName val="C3-"/>
      <sheetName val="C4-"/>
      <sheetName val="F"/>
      <sheetName val="G"/>
      <sheetName val="G1"/>
      <sheetName val="G100"/>
      <sheetName val="G2"/>
      <sheetName val="G2-3"/>
      <sheetName val="G200"/>
      <sheetName val="G2-4"/>
      <sheetName val="G2-5"/>
      <sheetName val="G2-6"/>
      <sheetName val="G201"/>
      <sheetName val="G2-3(1)"/>
      <sheetName val="G2-4(1)"/>
      <sheetName val="G2-5(1)"/>
      <sheetName val="G2-6(1)"/>
      <sheetName val="G3"/>
      <sheetName val="J"/>
      <sheetName val="J1"/>
      <sheetName val="J2"/>
      <sheetName val="J2-1"/>
      <sheetName val="J3"/>
      <sheetName val="J4"/>
      <sheetName val="J5"/>
      <sheetName val="X1"/>
      <sheetName val="R"/>
      <sheetName val="Z"/>
      <sheetName val="C4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rtgaged Loan"/>
      <sheetName val="WHBank"/>
      <sheetName val="S073m02A_loan"/>
      <sheetName val="#REF"/>
      <sheetName val="_REF"/>
    </sheetNames>
    <sheetDataSet>
      <sheetData sheetId="0"/>
      <sheetData sheetId="1"/>
      <sheetData sheetId="2" refreshError="1"/>
      <sheetData sheetId="3" refreshError="1"/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"/>
      <sheetName val="TABLE"/>
      <sheetName val="PL"/>
      <sheetName val="BS"/>
      <sheetName val="FINHIGH"/>
      <sheetName val="OPHIGH"/>
      <sheetName val="CASHPOS"/>
      <sheetName val="DEBT-CD"/>
      <sheetName val="CO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urnal"/>
      <sheetName val="Ex Rate"/>
      <sheetName val="Register"/>
      <sheetName val="Table"/>
      <sheetName val="Sales"/>
      <sheetName val="Ex Diff"/>
    </sheetNames>
    <sheetDataSet>
      <sheetData sheetId="0" refreshError="1"/>
      <sheetData sheetId="1"/>
      <sheetData sheetId="2"/>
      <sheetData sheetId="3" refreshError="1"/>
      <sheetData sheetId="4" refreshError="1"/>
      <sheetData sheetId="5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"/>
      <sheetName val="Balance Sheet"/>
      <sheetName val="Provisions"/>
      <sheetName val="Day book"/>
      <sheetName val="Cashbo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log"/>
      <sheetName val="order"/>
      <sheetName val="sal"/>
      <sheetName val="opprft"/>
      <sheetName val="Grsprft"/>
      <sheetName val="r&amp;d"/>
      <sheetName val="sell"/>
      <sheetName val="g&amp;a"/>
      <sheetName val="Oth"/>
      <sheetName val="Net Inc"/>
      <sheetName val="check"/>
      <sheetName val="HNYP&amp;L"/>
      <sheetName val="Net_Inc"/>
      <sheetName val="PTD MAY-13"/>
      <sheetName val="Macro1"/>
      <sheetName val="Pick List"/>
      <sheetName val="Data"/>
      <sheetName val="Net_Inc1"/>
      <sheetName val="PTD_MAY-13"/>
      <sheetName val="Pick_List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IS"/>
      <sheetName val="NL-3.07"/>
      <sheetName val="BS-9.06"/>
      <sheetName val="PL-9.06"/>
      <sheetName val="Adjust summary-9.06"/>
      <sheetName val="Adjustm-3.06"/>
      <sheetName val="Adjustm-9.06"/>
      <sheetName val="CF-9.06"/>
      <sheetName val="Note14-9.06"/>
      <sheetName val="interco-balance"/>
      <sheetName val="Adjust summary-3.07"/>
      <sheetName val="Adjustm-3.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38"/>
  <sheetViews>
    <sheetView topLeftCell="A10" workbookViewId="0">
      <pane xSplit="1" topLeftCell="B1" activePane="topRight" state="frozen"/>
      <selection pane="topRight" activeCell="M26" sqref="M26"/>
    </sheetView>
  </sheetViews>
  <sheetFormatPr defaultColWidth="9.140625" defaultRowHeight="15" outlineLevelCol="1"/>
  <cols>
    <col min="1" max="1" width="42.28515625" style="1325" customWidth="1"/>
    <col min="2" max="2" width="17.28515625" style="1325" customWidth="1" outlineLevel="1"/>
    <col min="3" max="3" width="14.28515625" style="1325" customWidth="1" outlineLevel="1"/>
    <col min="4" max="4" width="17.28515625" style="1325" customWidth="1"/>
    <col min="5" max="5" width="17.28515625" style="1325" hidden="1" customWidth="1" outlineLevel="1"/>
    <col min="6" max="6" width="14.28515625" style="1325" hidden="1" customWidth="1" outlineLevel="1"/>
    <col min="7" max="7" width="17.28515625" style="1325" customWidth="1" collapsed="1"/>
    <col min="8" max="8" width="17.28515625" style="1325" hidden="1" customWidth="1" outlineLevel="1"/>
    <col min="9" max="9" width="14.28515625" style="1325" hidden="1" customWidth="1" outlineLevel="1"/>
    <col min="10" max="10" width="17.28515625" style="1325" customWidth="1" collapsed="1"/>
    <col min="11" max="11" width="17.28515625" style="1325" hidden="1" customWidth="1" outlineLevel="1"/>
    <col min="12" max="12" width="14.28515625" style="1325" hidden="1" customWidth="1" outlineLevel="1"/>
    <col min="13" max="13" width="17.28515625" style="1325" customWidth="1" collapsed="1"/>
    <col min="14" max="14" width="17.28515625" style="1325" hidden="1" customWidth="1" outlineLevel="1"/>
    <col min="15" max="15" width="14.28515625" style="1325" hidden="1" customWidth="1" outlineLevel="1"/>
    <col min="16" max="16" width="17.28515625" style="1325" customWidth="1" collapsed="1"/>
    <col min="17" max="17" width="17.28515625" style="1325" hidden="1" customWidth="1" outlineLevel="1"/>
    <col min="18" max="18" width="14.28515625" style="1325" hidden="1" customWidth="1" outlineLevel="1"/>
    <col min="19" max="19" width="17.28515625" style="1325" customWidth="1" collapsed="1"/>
    <col min="20" max="20" width="17.28515625" style="1325" hidden="1" customWidth="1" outlineLevel="1"/>
    <col min="21" max="21" width="14.28515625" style="1325" hidden="1" customWidth="1" outlineLevel="1"/>
    <col min="22" max="22" width="17.28515625" style="1325" customWidth="1" collapsed="1"/>
    <col min="23" max="23" width="17.28515625" style="1325" hidden="1" customWidth="1" outlineLevel="1"/>
    <col min="24" max="24" width="14.28515625" style="1325" hidden="1" customWidth="1" outlineLevel="1"/>
    <col min="25" max="25" width="17.28515625" style="1325" customWidth="1" collapsed="1"/>
    <col min="26" max="26" width="17.28515625" style="1325" hidden="1" customWidth="1" outlineLevel="1"/>
    <col min="27" max="27" width="14.28515625" style="1325" hidden="1" customWidth="1" outlineLevel="1"/>
    <col min="28" max="28" width="17.28515625" style="1325" customWidth="1" collapsed="1"/>
    <col min="29" max="29" width="17.28515625" style="1325" hidden="1" customWidth="1" outlineLevel="1"/>
    <col min="30" max="30" width="14.28515625" style="1325" hidden="1" customWidth="1" outlineLevel="1"/>
    <col min="31" max="31" width="17.28515625" style="1325" customWidth="1" collapsed="1"/>
    <col min="32" max="32" width="17.28515625" style="1325" hidden="1" customWidth="1" outlineLevel="1"/>
    <col min="33" max="33" width="14.28515625" style="1325" hidden="1" customWidth="1" outlineLevel="1"/>
    <col min="34" max="34" width="17.28515625" style="1325" customWidth="1" collapsed="1"/>
    <col min="35" max="16384" width="9.140625" style="1325"/>
  </cols>
  <sheetData>
    <row r="1" spans="1:34">
      <c r="A1" s="1325" t="s">
        <v>1540</v>
      </c>
      <c r="B1" s="1333"/>
    </row>
    <row r="2" spans="1:34">
      <c r="B2" s="1333"/>
    </row>
    <row r="3" spans="1:34">
      <c r="A3" s="1325" t="s">
        <v>1539</v>
      </c>
      <c r="B3" s="1336"/>
      <c r="D3" s="1336" t="s">
        <v>1538</v>
      </c>
      <c r="E3" s="1336"/>
      <c r="G3" s="1336" t="s">
        <v>1537</v>
      </c>
      <c r="H3" s="1336"/>
      <c r="J3" s="1336" t="s">
        <v>1536</v>
      </c>
      <c r="K3" s="1336"/>
      <c r="M3" s="1336" t="s">
        <v>532</v>
      </c>
      <c r="N3" s="1336"/>
      <c r="P3" s="1336" t="s">
        <v>533</v>
      </c>
      <c r="Q3" s="1336"/>
      <c r="S3" s="1336" t="s">
        <v>534</v>
      </c>
      <c r="T3" s="1336"/>
      <c r="V3" s="1336" t="s">
        <v>535</v>
      </c>
      <c r="W3" s="1336"/>
      <c r="Y3" s="1336" t="s">
        <v>536</v>
      </c>
      <c r="Z3" s="1336"/>
      <c r="AB3" s="1336" t="s">
        <v>537</v>
      </c>
      <c r="AC3" s="1336"/>
      <c r="AE3" s="1336" t="s">
        <v>538</v>
      </c>
      <c r="AF3" s="1336"/>
      <c r="AH3" s="1336" t="s">
        <v>27</v>
      </c>
    </row>
    <row r="4" spans="1:34">
      <c r="B4" s="1336"/>
      <c r="C4" s="1336" t="s">
        <v>1535</v>
      </c>
      <c r="D4" s="1336" t="s">
        <v>1535</v>
      </c>
      <c r="E4" s="1336"/>
      <c r="F4" s="1336" t="s">
        <v>1535</v>
      </c>
      <c r="G4" s="1336" t="s">
        <v>1535</v>
      </c>
      <c r="H4" s="1336"/>
      <c r="I4" s="1336" t="s">
        <v>1535</v>
      </c>
      <c r="J4" s="1336" t="s">
        <v>1535</v>
      </c>
      <c r="K4" s="1336"/>
      <c r="L4" s="1336" t="s">
        <v>1535</v>
      </c>
      <c r="M4" s="1336" t="s">
        <v>1535</v>
      </c>
      <c r="N4" s="1336"/>
      <c r="O4" s="1336" t="s">
        <v>1535</v>
      </c>
      <c r="P4" s="1336" t="s">
        <v>1535</v>
      </c>
      <c r="Q4" s="1336"/>
      <c r="R4" s="1336" t="s">
        <v>1535</v>
      </c>
      <c r="S4" s="1336" t="s">
        <v>1535</v>
      </c>
      <c r="T4" s="1336"/>
      <c r="U4" s="1336" t="s">
        <v>1535</v>
      </c>
      <c r="V4" s="1336" t="s">
        <v>1535</v>
      </c>
      <c r="W4" s="1336"/>
      <c r="X4" s="1336" t="s">
        <v>1535</v>
      </c>
      <c r="Y4" s="1336" t="s">
        <v>1535</v>
      </c>
      <c r="Z4" s="1336"/>
      <c r="AA4" s="1336" t="s">
        <v>1535</v>
      </c>
      <c r="AB4" s="1336" t="s">
        <v>1535</v>
      </c>
      <c r="AC4" s="1336"/>
      <c r="AD4" s="1336" t="s">
        <v>1535</v>
      </c>
      <c r="AE4" s="1336" t="s">
        <v>1535</v>
      </c>
      <c r="AF4" s="1336"/>
      <c r="AG4" s="1336" t="s">
        <v>1535</v>
      </c>
      <c r="AH4" s="1336" t="s">
        <v>1535</v>
      </c>
    </row>
    <row r="6" spans="1:34">
      <c r="A6" s="1325" t="s">
        <v>1534</v>
      </c>
      <c r="B6" s="1334"/>
      <c r="D6" s="1334">
        <v>-28383348</v>
      </c>
      <c r="E6" s="1334"/>
      <c r="G6" s="1334">
        <v>-90863775.990000024</v>
      </c>
      <c r="H6" s="1334"/>
      <c r="J6" s="1334">
        <v>-157158720.52000004</v>
      </c>
      <c r="K6" s="1334"/>
      <c r="M6" s="1334">
        <v>-234199121.51000005</v>
      </c>
      <c r="N6" s="1334"/>
      <c r="P6" s="1334">
        <v>-266314373.61000004</v>
      </c>
      <c r="Q6" s="1334"/>
      <c r="S6" s="1334">
        <v>-296313983.32000005</v>
      </c>
      <c r="T6" s="1334"/>
      <c r="V6" s="1334">
        <v>-324435589.97000003</v>
      </c>
      <c r="W6" s="1334"/>
      <c r="Y6" s="1334">
        <v>-351110208.24000001</v>
      </c>
      <c r="Z6" s="1334"/>
      <c r="AB6" s="1334">
        <v>-369140689.71000004</v>
      </c>
      <c r="AC6" s="1334"/>
      <c r="AE6" s="1334">
        <v>-386162420.86000001</v>
      </c>
      <c r="AF6" s="1334"/>
      <c r="AH6" s="1334">
        <v>-402337034.42000002</v>
      </c>
    </row>
    <row r="8" spans="1:34">
      <c r="A8" s="1325" t="s">
        <v>1533</v>
      </c>
      <c r="B8" s="1334"/>
      <c r="D8" s="1334">
        <v>-4595577</v>
      </c>
      <c r="E8" s="1334"/>
      <c r="G8" s="1334">
        <v>-52594218.390000001</v>
      </c>
      <c r="H8" s="1334"/>
      <c r="J8" s="1335"/>
      <c r="K8" s="1334"/>
      <c r="M8" s="1335"/>
      <c r="N8" s="1334"/>
      <c r="P8" s="1335"/>
      <c r="Q8" s="1334"/>
      <c r="S8" s="1335"/>
      <c r="T8" s="1334"/>
      <c r="V8" s="1335"/>
      <c r="W8" s="1334"/>
      <c r="Y8" s="1335"/>
      <c r="Z8" s="1334"/>
      <c r="AB8" s="1335"/>
      <c r="AC8" s="1334"/>
      <c r="AE8" s="1335"/>
      <c r="AF8" s="1334"/>
      <c r="AH8" s="1335"/>
    </row>
    <row r="10" spans="1:34">
      <c r="A10" s="1325" t="s">
        <v>1532</v>
      </c>
    </row>
    <row r="11" spans="1:34">
      <c r="A11" s="1325" t="s">
        <v>1531</v>
      </c>
      <c r="B11" s="1333" t="s">
        <v>1530</v>
      </c>
      <c r="C11" s="1334">
        <v>17083947.02</v>
      </c>
      <c r="F11" s="1334">
        <v>16620600.4</v>
      </c>
      <c r="I11" s="1334">
        <v>18000000</v>
      </c>
      <c r="L11" s="1334">
        <v>18000000</v>
      </c>
      <c r="O11" s="1334">
        <v>18000000</v>
      </c>
      <c r="R11" s="1334">
        <v>18000000</v>
      </c>
      <c r="U11" s="1334">
        <v>18000000</v>
      </c>
      <c r="X11" s="1334">
        <v>18000000</v>
      </c>
      <c r="AA11" s="1334">
        <v>18000000</v>
      </c>
      <c r="AD11" s="1334">
        <v>18000000</v>
      </c>
      <c r="AG11" s="1334">
        <v>18000000</v>
      </c>
    </row>
    <row r="12" spans="1:34">
      <c r="A12" s="1325" t="s">
        <v>1529</v>
      </c>
      <c r="C12" s="1332">
        <v>2000</v>
      </c>
      <c r="F12" s="1332">
        <v>5005</v>
      </c>
      <c r="I12" s="1332">
        <v>0</v>
      </c>
      <c r="L12" s="1332">
        <v>0</v>
      </c>
      <c r="O12" s="1332">
        <v>0</v>
      </c>
      <c r="R12" s="1332">
        <v>0</v>
      </c>
      <c r="U12" s="1332">
        <v>0</v>
      </c>
      <c r="X12" s="1332">
        <v>0</v>
      </c>
      <c r="AA12" s="1332">
        <v>0</v>
      </c>
      <c r="AD12" s="1332">
        <v>0</v>
      </c>
      <c r="AG12" s="1332">
        <v>0</v>
      </c>
    </row>
    <row r="13" spans="1:34">
      <c r="B13" s="1330"/>
      <c r="D13" s="1331">
        <v>17085947.02</v>
      </c>
      <c r="E13" s="1330"/>
      <c r="G13" s="1331">
        <v>16625605.4</v>
      </c>
      <c r="H13" s="1330"/>
      <c r="J13" s="1331">
        <v>18000000</v>
      </c>
      <c r="K13" s="1330"/>
      <c r="M13" s="1331">
        <v>18000000</v>
      </c>
      <c r="N13" s="1330"/>
      <c r="P13" s="1331">
        <v>18000000</v>
      </c>
      <c r="Q13" s="1330"/>
      <c r="S13" s="1331">
        <v>18000000</v>
      </c>
      <c r="T13" s="1330"/>
      <c r="V13" s="1331">
        <v>18000000</v>
      </c>
      <c r="W13" s="1330"/>
      <c r="Y13" s="1331">
        <v>18000000</v>
      </c>
      <c r="Z13" s="1330"/>
      <c r="AB13" s="1331">
        <v>18000000</v>
      </c>
      <c r="AC13" s="1330"/>
      <c r="AE13" s="1331">
        <v>18000000</v>
      </c>
      <c r="AF13" s="1330"/>
      <c r="AH13" s="1331">
        <v>18000000</v>
      </c>
    </row>
    <row r="15" spans="1:34">
      <c r="B15" s="1326"/>
      <c r="D15" s="1326">
        <v>12490370.02</v>
      </c>
      <c r="E15" s="1326"/>
      <c r="G15" s="1326">
        <v>-35968612.990000002</v>
      </c>
      <c r="H15" s="1326"/>
      <c r="J15" s="1326">
        <v>18000000</v>
      </c>
      <c r="K15" s="1326"/>
      <c r="M15" s="1326">
        <v>18000000</v>
      </c>
      <c r="N15" s="1326"/>
      <c r="P15" s="1326">
        <v>18000000</v>
      </c>
      <c r="Q15" s="1326"/>
      <c r="S15" s="1326">
        <v>18000000</v>
      </c>
      <c r="T15" s="1326"/>
      <c r="V15" s="1326">
        <v>18000000</v>
      </c>
      <c r="W15" s="1326"/>
      <c r="Y15" s="1326">
        <v>18000000</v>
      </c>
      <c r="Z15" s="1326"/>
      <c r="AB15" s="1326">
        <v>18000000</v>
      </c>
      <c r="AC15" s="1326"/>
      <c r="AE15" s="1326">
        <v>18000000</v>
      </c>
      <c r="AF15" s="1326"/>
      <c r="AH15" s="1326">
        <v>18000000</v>
      </c>
    </row>
    <row r="16" spans="1:34">
      <c r="A16" s="1325" t="s">
        <v>1528</v>
      </c>
    </row>
    <row r="17" spans="1:34">
      <c r="A17" s="1325" t="s">
        <v>1527</v>
      </c>
      <c r="C17" s="1334">
        <v>17916639.41</v>
      </c>
      <c r="F17" s="1334">
        <v>12505284.010000002</v>
      </c>
      <c r="I17" s="1334">
        <v>20231145.370000001</v>
      </c>
      <c r="L17" s="1334">
        <v>13605703.68</v>
      </c>
      <c r="O17" s="1334">
        <v>11498162.290000001</v>
      </c>
      <c r="R17" s="1334">
        <v>9755159.2299999986</v>
      </c>
      <c r="U17" s="1334">
        <v>8308166.8500000006</v>
      </c>
      <c r="X17" s="1334">
        <v>7102320.0500000007</v>
      </c>
      <c r="AA17" s="1334">
        <v>6093569.7300000004</v>
      </c>
      <c r="AD17" s="1334">
        <v>5246452.1399999987</v>
      </c>
      <c r="AG17" s="1334">
        <v>4532336.2300000004</v>
      </c>
    </row>
    <row r="18" spans="1:34">
      <c r="A18" s="1325" t="s">
        <v>1526</v>
      </c>
      <c r="C18" s="1334">
        <v>12589101.279999999</v>
      </c>
      <c r="F18" s="1334">
        <v>4640215.6399999997</v>
      </c>
      <c r="I18" s="1334">
        <v>40016920.32</v>
      </c>
      <c r="L18" s="1334">
        <v>28296057.670000002</v>
      </c>
      <c r="O18" s="1334">
        <v>28296057.670000002</v>
      </c>
      <c r="R18" s="1334">
        <v>28296057.670000002</v>
      </c>
      <c r="U18" s="1334">
        <v>28296057.670000002</v>
      </c>
      <c r="X18" s="1334">
        <v>28296057.670000002</v>
      </c>
      <c r="AA18" s="1334">
        <v>28296057.670000002</v>
      </c>
      <c r="AD18" s="1334">
        <v>28296057.670000002</v>
      </c>
      <c r="AG18" s="1334">
        <v>28296057.670000002</v>
      </c>
    </row>
    <row r="19" spans="1:34">
      <c r="A19" s="1325" t="s">
        <v>472</v>
      </c>
      <c r="C19" s="1334">
        <v>306088.24</v>
      </c>
      <c r="F19" s="1334">
        <v>307533.44</v>
      </c>
      <c r="I19" s="1334">
        <v>307533.44</v>
      </c>
      <c r="L19" s="1334">
        <v>307533.44</v>
      </c>
      <c r="O19" s="1334">
        <v>307533.44</v>
      </c>
      <c r="R19" s="1334">
        <v>307533.44</v>
      </c>
      <c r="U19" s="1334">
        <v>307533.44</v>
      </c>
      <c r="X19" s="1334">
        <v>307533.44</v>
      </c>
      <c r="AA19" s="1334">
        <v>307533.44</v>
      </c>
      <c r="AD19" s="1334">
        <v>307533.44</v>
      </c>
      <c r="AG19" s="1334">
        <v>307533.44</v>
      </c>
    </row>
    <row r="20" spans="1:34">
      <c r="A20" s="1325" t="s">
        <v>1525</v>
      </c>
      <c r="C20" s="1334">
        <v>1144477</v>
      </c>
      <c r="F20" s="1334">
        <v>1144477</v>
      </c>
      <c r="I20" s="1334">
        <v>7710185</v>
      </c>
      <c r="L20" s="1334">
        <v>7581387</v>
      </c>
      <c r="O20" s="1334">
        <v>7573286</v>
      </c>
      <c r="R20" s="1334">
        <v>7438286</v>
      </c>
      <c r="U20" s="1334">
        <v>7438290</v>
      </c>
      <c r="X20" s="1334">
        <v>0</v>
      </c>
      <c r="AA20" s="1334">
        <v>0</v>
      </c>
      <c r="AD20" s="1334">
        <v>0</v>
      </c>
      <c r="AG20" s="1334">
        <v>0</v>
      </c>
    </row>
    <row r="21" spans="1:34">
      <c r="A21" s="1325" t="s">
        <v>1524</v>
      </c>
      <c r="C21" s="1334">
        <v>27451950.520000003</v>
      </c>
      <c r="F21" s="1334">
        <v>11399666.739999998</v>
      </c>
      <c r="I21" s="1334">
        <v>25738046.549999993</v>
      </c>
      <c r="L21" s="1334">
        <v>0</v>
      </c>
      <c r="O21" s="1334">
        <v>0</v>
      </c>
      <c r="R21" s="1334">
        <v>0</v>
      </c>
      <c r="U21" s="1334">
        <v>0</v>
      </c>
      <c r="X21" s="1334">
        <v>0</v>
      </c>
      <c r="AA21" s="1334">
        <v>0</v>
      </c>
      <c r="AD21" s="1334">
        <v>0</v>
      </c>
      <c r="AG21" s="1334">
        <v>0</v>
      </c>
    </row>
    <row r="22" spans="1:34">
      <c r="A22" s="1325" t="s">
        <v>1523</v>
      </c>
      <c r="C22" s="1334">
        <v>329201.94999999995</v>
      </c>
      <c r="F22" s="1334">
        <v>0</v>
      </c>
      <c r="I22" s="1334">
        <v>0</v>
      </c>
      <c r="L22" s="1334">
        <v>0</v>
      </c>
      <c r="O22" s="1334">
        <v>0</v>
      </c>
      <c r="R22" s="1334">
        <v>0</v>
      </c>
      <c r="U22" s="1334">
        <v>0</v>
      </c>
      <c r="X22" s="1334">
        <v>0</v>
      </c>
      <c r="AA22" s="1334">
        <v>0</v>
      </c>
      <c r="AD22" s="1334">
        <v>0</v>
      </c>
      <c r="AG22" s="1334">
        <v>0</v>
      </c>
    </row>
    <row r="23" spans="1:34">
      <c r="A23" s="1325" t="s">
        <v>1522</v>
      </c>
      <c r="C23" s="1334">
        <v>1190483</v>
      </c>
      <c r="F23" s="1334">
        <v>142468</v>
      </c>
      <c r="I23" s="1334">
        <v>712000</v>
      </c>
      <c r="L23" s="1334">
        <v>0</v>
      </c>
      <c r="O23" s="1334">
        <v>0</v>
      </c>
      <c r="R23" s="1334">
        <v>0</v>
      </c>
      <c r="U23" s="1334">
        <v>0</v>
      </c>
      <c r="X23" s="1334">
        <v>0</v>
      </c>
      <c r="AA23" s="1334">
        <v>0</v>
      </c>
      <c r="AD23" s="1334">
        <v>0</v>
      </c>
      <c r="AG23" s="1334">
        <v>0</v>
      </c>
    </row>
    <row r="24" spans="1:34">
      <c r="A24" s="1325" t="s">
        <v>1521</v>
      </c>
      <c r="C24" s="1334">
        <v>13617747.48</v>
      </c>
      <c r="F24" s="1334">
        <v>0</v>
      </c>
      <c r="I24" s="1334">
        <v>0</v>
      </c>
      <c r="L24" s="1334">
        <v>0</v>
      </c>
      <c r="O24" s="1334">
        <v>0</v>
      </c>
      <c r="R24" s="1334">
        <v>0</v>
      </c>
      <c r="U24" s="1334">
        <v>0</v>
      </c>
      <c r="X24" s="1334">
        <v>0</v>
      </c>
      <c r="AA24" s="1334">
        <v>0</v>
      </c>
      <c r="AD24" s="1334">
        <v>0</v>
      </c>
      <c r="AG24" s="1334">
        <v>0</v>
      </c>
    </row>
    <row r="25" spans="1:34">
      <c r="A25" s="1325" t="s">
        <v>1520</v>
      </c>
      <c r="C25" s="1334">
        <v>23463.149999999907</v>
      </c>
      <c r="F25" s="1334">
        <v>-137883.59999999998</v>
      </c>
      <c r="I25" s="1334">
        <v>0</v>
      </c>
      <c r="L25" s="1334">
        <v>0</v>
      </c>
      <c r="O25" s="1334">
        <v>0</v>
      </c>
      <c r="R25" s="1334">
        <v>0</v>
      </c>
      <c r="U25" s="1334">
        <v>0</v>
      </c>
      <c r="X25" s="1334">
        <v>0</v>
      </c>
      <c r="AA25" s="1334">
        <v>0</v>
      </c>
      <c r="AD25" s="1334">
        <v>0</v>
      </c>
      <c r="AG25" s="1334">
        <v>0</v>
      </c>
    </row>
    <row r="26" spans="1:34">
      <c r="A26" s="1325" t="s">
        <v>1519</v>
      </c>
      <c r="B26" s="1333" t="s">
        <v>797</v>
      </c>
      <c r="C26" s="1334">
        <v>110545.59</v>
      </c>
      <c r="F26" s="1334">
        <v>52324.03</v>
      </c>
      <c r="I26" s="1334">
        <v>52324.03</v>
      </c>
      <c r="L26" s="1334">
        <v>52324.03</v>
      </c>
      <c r="O26" s="1334">
        <v>52324.03</v>
      </c>
      <c r="R26" s="1334">
        <v>52324.03</v>
      </c>
      <c r="U26" s="1334">
        <v>52324.03</v>
      </c>
      <c r="X26" s="1334">
        <v>52324.03</v>
      </c>
      <c r="AA26" s="1334">
        <v>52324.03</v>
      </c>
      <c r="AD26" s="1334">
        <v>52324.03</v>
      </c>
      <c r="AG26" s="1334">
        <v>52324.03</v>
      </c>
    </row>
    <row r="27" spans="1:34">
      <c r="A27" s="1325" t="s">
        <v>1518</v>
      </c>
      <c r="B27" s="1333" t="s">
        <v>1517</v>
      </c>
      <c r="C27" s="1332">
        <v>291100.39</v>
      </c>
      <c r="F27" s="1332">
        <v>272246.28000000003</v>
      </c>
      <c r="I27" s="1332">
        <v>272246.28000000003</v>
      </c>
      <c r="L27" s="1332">
        <v>272246.28000000003</v>
      </c>
      <c r="O27" s="1332">
        <v>272246.28000000003</v>
      </c>
      <c r="R27" s="1332">
        <v>272246.28000000003</v>
      </c>
      <c r="U27" s="1332">
        <v>272246.28000000003</v>
      </c>
      <c r="X27" s="1332">
        <v>272246.28000000003</v>
      </c>
      <c r="AA27" s="1332">
        <v>272246.28000000003</v>
      </c>
      <c r="AD27" s="1332">
        <v>272246.28000000003</v>
      </c>
      <c r="AG27" s="1332">
        <v>272246.28000000003</v>
      </c>
    </row>
    <row r="28" spans="1:34">
      <c r="B28" s="1330"/>
      <c r="D28" s="1331">
        <v>74970798.01000002</v>
      </c>
      <c r="E28" s="1330"/>
      <c r="G28" s="1331">
        <v>30326331.540000003</v>
      </c>
      <c r="H28" s="1330"/>
      <c r="J28" s="1331">
        <v>95040400.989999995</v>
      </c>
      <c r="K28" s="1330"/>
      <c r="M28" s="1331">
        <v>50115252.100000001</v>
      </c>
      <c r="N28" s="1330"/>
      <c r="P28" s="1331">
        <v>47999609.710000001</v>
      </c>
      <c r="Q28" s="1330"/>
      <c r="S28" s="1331">
        <v>46121606.649999999</v>
      </c>
      <c r="T28" s="1330"/>
      <c r="V28" s="1331">
        <v>44674618.270000003</v>
      </c>
      <c r="W28" s="1330"/>
      <c r="Y28" s="1331">
        <v>36030481.469999999</v>
      </c>
      <c r="Z28" s="1330"/>
      <c r="AB28" s="1331">
        <v>35021731.150000006</v>
      </c>
      <c r="AC28" s="1330"/>
      <c r="AE28" s="1331">
        <v>34174613.560000002</v>
      </c>
      <c r="AF28" s="1330"/>
      <c r="AH28" s="1331">
        <v>33460497.650000006</v>
      </c>
    </row>
    <row r="30" spans="1:34">
      <c r="A30" s="1325" t="s">
        <v>1516</v>
      </c>
      <c r="B30" s="1326"/>
      <c r="D30" s="1326">
        <v>-62480427.990000024</v>
      </c>
      <c r="E30" s="1326"/>
      <c r="G30" s="1326">
        <v>-66294944.530000001</v>
      </c>
      <c r="H30" s="1326"/>
      <c r="J30" s="1326">
        <v>-77040400.989999995</v>
      </c>
      <c r="K30" s="1326"/>
      <c r="M30" s="1326">
        <v>-32115252.100000001</v>
      </c>
      <c r="N30" s="1326"/>
      <c r="P30" s="1326">
        <v>-29999609.710000001</v>
      </c>
      <c r="Q30" s="1326"/>
      <c r="S30" s="1326">
        <v>-28121606.649999999</v>
      </c>
      <c r="T30" s="1326"/>
      <c r="V30" s="1326">
        <v>-26674618.270000003</v>
      </c>
      <c r="W30" s="1326"/>
      <c r="Y30" s="1326">
        <v>-18030481.469999999</v>
      </c>
      <c r="Z30" s="1326"/>
      <c r="AB30" s="1326">
        <v>-17021731.150000006</v>
      </c>
      <c r="AC30" s="1326"/>
      <c r="AE30" s="1326">
        <v>-16174613.560000002</v>
      </c>
      <c r="AF30" s="1326"/>
      <c r="AH30" s="1326">
        <v>-15460497.650000006</v>
      </c>
    </row>
    <row r="32" spans="1:34" ht="15.75" thickBot="1">
      <c r="A32" s="1325" t="s">
        <v>1515</v>
      </c>
      <c r="B32" s="1330"/>
      <c r="D32" s="1329">
        <v>-90863775.990000024</v>
      </c>
      <c r="E32" s="1330"/>
      <c r="G32" s="1329">
        <v>-157158720.52000004</v>
      </c>
      <c r="H32" s="1330"/>
      <c r="J32" s="1329">
        <v>-234199121.51000005</v>
      </c>
      <c r="K32" s="1330"/>
      <c r="M32" s="1329">
        <v>-266314373.61000004</v>
      </c>
      <c r="N32" s="1330"/>
      <c r="P32" s="1329">
        <v>-296313983.32000005</v>
      </c>
      <c r="Q32" s="1330"/>
      <c r="S32" s="1329">
        <v>-324435589.97000003</v>
      </c>
      <c r="T32" s="1330"/>
      <c r="V32" s="1329">
        <v>-351110208.24000001</v>
      </c>
      <c r="W32" s="1330"/>
      <c r="Y32" s="1329">
        <v>-369140689.71000004</v>
      </c>
      <c r="Z32" s="1330"/>
      <c r="AB32" s="1329">
        <v>-386162420.86000001</v>
      </c>
      <c r="AC32" s="1330"/>
      <c r="AE32" s="1329">
        <v>-402337034.42000002</v>
      </c>
      <c r="AF32" s="1330"/>
      <c r="AH32" s="1329">
        <v>-417797532.07000005</v>
      </c>
    </row>
    <row r="33" spans="1:34" ht="15.75" thickTop="1"/>
    <row r="34" spans="1:34" ht="15.75" thickBot="1">
      <c r="A34" s="1325" t="s">
        <v>1514</v>
      </c>
      <c r="B34" s="1328"/>
      <c r="D34" s="1327" t="s">
        <v>1513</v>
      </c>
      <c r="E34" s="1328"/>
      <c r="G34" s="1327" t="s">
        <v>1513</v>
      </c>
      <c r="H34" s="1328"/>
      <c r="J34" s="1327" t="s">
        <v>1513</v>
      </c>
      <c r="K34" s="1328"/>
      <c r="M34" s="1327" t="s">
        <v>1513</v>
      </c>
      <c r="N34" s="1328"/>
      <c r="P34" s="1327" t="s">
        <v>1513</v>
      </c>
      <c r="Q34" s="1328"/>
      <c r="S34" s="1327" t="s">
        <v>1513</v>
      </c>
      <c r="T34" s="1328"/>
      <c r="V34" s="1327" t="s">
        <v>1513</v>
      </c>
      <c r="W34" s="1328"/>
      <c r="Y34" s="1327" t="s">
        <v>1513</v>
      </c>
      <c r="Z34" s="1328"/>
      <c r="AB34" s="1327" t="s">
        <v>1513</v>
      </c>
      <c r="AC34" s="1328"/>
      <c r="AE34" s="1327" t="s">
        <v>1513</v>
      </c>
      <c r="AF34" s="1328"/>
      <c r="AH34" s="1327" t="s">
        <v>1513</v>
      </c>
    </row>
    <row r="35" spans="1:34" ht="15.75" thickTop="1"/>
    <row r="37" spans="1:34">
      <c r="A37" s="1325" t="s">
        <v>1512</v>
      </c>
      <c r="D37" s="1326">
        <v>60927941.400000006</v>
      </c>
      <c r="G37" s="1326">
        <v>30139644.830000002</v>
      </c>
      <c r="J37" s="1326">
        <v>94715830.679999992</v>
      </c>
      <c r="M37" s="1326">
        <v>49790681.789999999</v>
      </c>
      <c r="P37" s="1326">
        <v>47675039.399999999</v>
      </c>
      <c r="S37" s="1326">
        <v>45797036.339999996</v>
      </c>
      <c r="V37" s="1326">
        <v>44350047.960000001</v>
      </c>
      <c r="Y37" s="1326">
        <v>35705911.159999996</v>
      </c>
      <c r="AB37" s="1326">
        <v>34697160.840000004</v>
      </c>
      <c r="AE37" s="1326">
        <v>33850043.25</v>
      </c>
      <c r="AH37" s="1326">
        <v>33135927.340000004</v>
      </c>
    </row>
    <row r="38" spans="1:34">
      <c r="D38" s="1326">
        <v>-60927941.400000006</v>
      </c>
      <c r="E38" s="1326">
        <v>0</v>
      </c>
      <c r="F38" s="1326">
        <v>0</v>
      </c>
      <c r="G38" s="1326">
        <v>-30139644.830000002</v>
      </c>
      <c r="H38" s="1326">
        <v>0</v>
      </c>
      <c r="I38" s="1326">
        <v>0</v>
      </c>
      <c r="J38" s="1326">
        <v>-94715830.679999992</v>
      </c>
      <c r="K38" s="1326">
        <v>0</v>
      </c>
      <c r="L38" s="1326">
        <v>0</v>
      </c>
      <c r="M38" s="1326">
        <v>-49790681.789999999</v>
      </c>
      <c r="N38" s="1326">
        <v>0</v>
      </c>
      <c r="O38" s="1326">
        <v>0</v>
      </c>
      <c r="P38" s="1326">
        <v>-47675039.399999999</v>
      </c>
      <c r="Q38" s="1326">
        <v>0</v>
      </c>
      <c r="R38" s="1326">
        <v>0</v>
      </c>
      <c r="S38" s="1326">
        <v>-45797036.339999996</v>
      </c>
      <c r="T38" s="1326">
        <v>0</v>
      </c>
      <c r="U38" s="1326">
        <v>0</v>
      </c>
      <c r="V38" s="1326">
        <v>-44350047.960000001</v>
      </c>
      <c r="W38" s="1326">
        <v>0</v>
      </c>
      <c r="X38" s="1326">
        <v>0</v>
      </c>
      <c r="Y38" s="1326">
        <v>-35705911.159999996</v>
      </c>
      <c r="Z38" s="1326">
        <v>0</v>
      </c>
      <c r="AA38" s="1326">
        <v>0</v>
      </c>
      <c r="AB38" s="1326">
        <v>-34697160.840000004</v>
      </c>
      <c r="AC38" s="1326">
        <v>0</v>
      </c>
      <c r="AD38" s="1326">
        <v>0</v>
      </c>
      <c r="AE38" s="1326">
        <v>-33850043.25</v>
      </c>
      <c r="AF38" s="1326">
        <v>0</v>
      </c>
      <c r="AG38" s="1326">
        <v>0</v>
      </c>
      <c r="AH38" s="1326">
        <v>-33135927.340000004</v>
      </c>
    </row>
  </sheetData>
  <phoneticPr fontId="301" type="noConversion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rgb="FF92D050"/>
    <pageSetUpPr fitToPage="1"/>
  </sheetPr>
  <dimension ref="A1:FA320"/>
  <sheetViews>
    <sheetView topLeftCell="A2" workbookViewId="0">
      <pane xSplit="6" ySplit="10" topLeftCell="G229" activePane="bottomRight" state="frozen"/>
      <selection activeCell="E2" sqref="E2"/>
      <selection pane="topRight" activeCell="G2" sqref="G2"/>
      <selection pane="bottomLeft" activeCell="E12" sqref="E12"/>
      <selection pane="bottomRight" activeCell="T231" sqref="T231"/>
    </sheetView>
  </sheetViews>
  <sheetFormatPr defaultColWidth="10.28515625" defaultRowHeight="12.75" outlineLevelRow="1" outlineLevelCol="2"/>
  <cols>
    <col min="1" max="1" width="25.28515625" style="185" customWidth="1" outlineLevel="1"/>
    <col min="2" max="4" width="13.140625" style="186" customWidth="1" outlineLevel="1"/>
    <col min="5" max="5" width="4.42578125" style="187" customWidth="1"/>
    <col min="6" max="6" width="43.7109375" style="186" customWidth="1"/>
    <col min="7" max="7" width="3.140625" style="186" customWidth="1"/>
    <col min="8" max="19" width="15.42578125" style="186" hidden="1" customWidth="1" outlineLevel="1"/>
    <col min="20" max="20" width="15.42578125" style="186" customWidth="1" collapsed="1"/>
    <col min="21" max="21" width="16" style="186" customWidth="1"/>
    <col min="22" max="22" width="14.7109375" style="186" customWidth="1"/>
    <col min="23" max="23" width="4" style="911" customWidth="1"/>
    <col min="24" max="35" width="15.42578125" style="186" hidden="1" customWidth="1" outlineLevel="1"/>
    <col min="36" max="36" width="15.42578125" style="186" customWidth="1" collapsed="1"/>
    <col min="37" max="37" width="4" style="911" customWidth="1"/>
    <col min="38" max="49" width="15.42578125" style="186" hidden="1" customWidth="1" outlineLevel="1"/>
    <col min="50" max="50" width="15.42578125" style="186" customWidth="1" collapsed="1"/>
    <col min="51" max="51" width="16" style="186" customWidth="1"/>
    <col min="52" max="52" width="14.7109375" style="186" customWidth="1"/>
    <col min="53" max="53" width="4" style="911" customWidth="1"/>
    <col min="54" max="65" width="15.42578125" style="186" hidden="1" customWidth="1" outlineLevel="1"/>
    <col min="66" max="66" width="15.42578125" style="186" customWidth="1" collapsed="1"/>
    <col min="67" max="67" width="4" style="911" customWidth="1"/>
    <col min="68" max="79" width="14.5703125" style="186" hidden="1" customWidth="1" outlineLevel="1"/>
    <col min="80" max="80" width="15.85546875" style="155" customWidth="1" collapsed="1"/>
    <col min="81" max="81" width="16" style="186" customWidth="1"/>
    <col min="82" max="82" width="14.7109375" style="186" customWidth="1"/>
    <col min="83" max="83" width="2.5703125" style="186" customWidth="1"/>
    <col min="84" max="89" width="15.28515625" style="185" hidden="1" customWidth="1" outlineLevel="1"/>
    <col min="90" max="90" width="15.28515625" style="188" hidden="1" customWidth="1" outlineLevel="1"/>
    <col min="91" max="91" width="15.28515625" style="185" hidden="1" customWidth="1" outlineLevel="1"/>
    <col min="92" max="96" width="15.28515625" style="185" hidden="1" customWidth="1" outlineLevel="2"/>
    <col min="97" max="97" width="15.85546875" style="155" customWidth="1" collapsed="1"/>
    <col min="98" max="98" width="17.28515625" style="155" customWidth="1"/>
    <col min="99" max="99" width="10.42578125" style="155" customWidth="1"/>
    <col min="100" max="100" width="2" style="312" customWidth="1"/>
    <col min="101" max="106" width="15.28515625" style="185" hidden="1" customWidth="1" outlineLevel="1"/>
    <col min="107" max="107" width="15.28515625" style="188" hidden="1" customWidth="1" outlineLevel="1"/>
    <col min="108" max="108" width="15.28515625" style="185" hidden="1" customWidth="1" outlineLevel="1"/>
    <col min="109" max="112" width="15.28515625" style="185" hidden="1" customWidth="1" outlineLevel="2"/>
    <col min="113" max="113" width="15.85546875" style="155" customWidth="1" collapsed="1"/>
    <col min="114" max="114" width="2" style="312" customWidth="1"/>
    <col min="115" max="120" width="15.28515625" style="185" hidden="1" customWidth="1" outlineLevel="1"/>
    <col min="121" max="121" width="15.28515625" style="188" hidden="1" customWidth="1" outlineLevel="1"/>
    <col min="122" max="122" width="15.28515625" style="185" hidden="1" customWidth="1" outlineLevel="1"/>
    <col min="123" max="126" width="15.28515625" style="185" hidden="1" customWidth="1" outlineLevel="2"/>
    <col min="127" max="127" width="15.85546875" style="155" customWidth="1" collapsed="1"/>
    <col min="128" max="128" width="2" style="185" customWidth="1"/>
    <col min="129" max="134" width="15.28515625" style="185" hidden="1" customWidth="1" outlineLevel="1"/>
    <col min="135" max="135" width="15.28515625" style="188" hidden="1" customWidth="1" outlineLevel="1"/>
    <col min="136" max="136" width="15.28515625" style="185" hidden="1" customWidth="1" outlineLevel="1"/>
    <col min="137" max="140" width="15.28515625" style="185" hidden="1" customWidth="1" outlineLevel="2"/>
    <col min="141" max="141" width="15.85546875" style="155" customWidth="1" collapsed="1"/>
    <col min="142" max="142" width="1.85546875" style="185" customWidth="1"/>
    <col min="143" max="154" width="16.140625" style="185" hidden="1" customWidth="1" outlineLevel="1"/>
    <col min="155" max="155" width="15.85546875" style="155" customWidth="1" collapsed="1"/>
    <col min="156" max="156" width="10.7109375" style="185" customWidth="1"/>
    <col min="157" max="157" width="13.7109375" style="185" bestFit="1" customWidth="1"/>
    <col min="158" max="16384" width="10.28515625" style="185"/>
  </cols>
  <sheetData>
    <row r="1" spans="1:156" hidden="1">
      <c r="A1" s="185" t="s">
        <v>284</v>
      </c>
    </row>
    <row r="2" spans="1:156" s="180" customFormat="1" ht="15.75" customHeight="1">
      <c r="B2" s="181"/>
      <c r="C2" s="181"/>
      <c r="D2" s="181"/>
      <c r="E2" s="182" t="s">
        <v>285</v>
      </c>
      <c r="F2" s="181"/>
      <c r="G2" s="181"/>
      <c r="H2" s="492"/>
      <c r="I2" s="492"/>
      <c r="J2" s="492"/>
      <c r="K2" s="492"/>
      <c r="L2" s="492"/>
      <c r="M2" s="492"/>
      <c r="N2" s="492"/>
      <c r="O2" s="492"/>
      <c r="P2" s="492"/>
      <c r="Q2" s="492"/>
      <c r="R2" s="492"/>
      <c r="S2" s="492"/>
      <c r="T2" s="492"/>
      <c r="U2" s="912"/>
      <c r="V2" s="313"/>
      <c r="W2" s="913"/>
      <c r="X2" s="492"/>
      <c r="Y2" s="492"/>
      <c r="Z2" s="492"/>
      <c r="AA2" s="492"/>
      <c r="AB2" s="492"/>
      <c r="AC2" s="492"/>
      <c r="AD2" s="492"/>
      <c r="AE2" s="492"/>
      <c r="AF2" s="492"/>
      <c r="AG2" s="492"/>
      <c r="AH2" s="492"/>
      <c r="AI2" s="492"/>
      <c r="AJ2" s="492"/>
      <c r="AK2" s="913"/>
      <c r="AL2" s="492"/>
      <c r="AM2" s="492"/>
      <c r="AN2" s="492"/>
      <c r="AO2" s="492"/>
      <c r="AP2" s="492"/>
      <c r="AQ2" s="492"/>
      <c r="AR2" s="492"/>
      <c r="AS2" s="492"/>
      <c r="AT2" s="492"/>
      <c r="AU2" s="492"/>
      <c r="AV2" s="492"/>
      <c r="AW2" s="492"/>
      <c r="AX2" s="492"/>
      <c r="AY2" s="912"/>
      <c r="AZ2" s="313"/>
      <c r="BA2" s="913"/>
      <c r="BB2" s="492"/>
      <c r="BC2" s="492"/>
      <c r="BD2" s="492"/>
      <c r="BE2" s="492"/>
      <c r="BF2" s="492"/>
      <c r="BG2" s="492"/>
      <c r="BH2" s="492"/>
      <c r="BI2" s="492"/>
      <c r="BJ2" s="492"/>
      <c r="BK2" s="492"/>
      <c r="BL2" s="492"/>
      <c r="BM2" s="492"/>
      <c r="BN2" s="492"/>
      <c r="BO2" s="913"/>
      <c r="BP2" s="181"/>
      <c r="BQ2" s="181"/>
      <c r="BR2" s="181"/>
      <c r="BS2" s="181"/>
      <c r="BT2" s="181"/>
      <c r="BU2" s="181"/>
      <c r="BV2" s="181"/>
      <c r="BW2" s="181"/>
      <c r="BX2" s="181"/>
      <c r="BY2" s="181"/>
      <c r="BZ2" s="181"/>
      <c r="CA2" s="181"/>
      <c r="CB2" s="814"/>
      <c r="CC2" s="912"/>
      <c r="CD2" s="313"/>
      <c r="CE2" s="313"/>
      <c r="CF2" s="183"/>
      <c r="CG2" s="183"/>
      <c r="CH2" s="183"/>
      <c r="CI2" s="183"/>
      <c r="CJ2" s="183"/>
      <c r="CK2" s="183"/>
      <c r="CL2" s="183"/>
      <c r="CM2" s="183"/>
      <c r="CN2" s="183"/>
      <c r="CO2" s="183"/>
      <c r="CP2" s="183"/>
      <c r="CQ2" s="183"/>
      <c r="CR2" s="183"/>
      <c r="CS2" s="814"/>
      <c r="CT2" s="815"/>
      <c r="CU2" s="156"/>
      <c r="CV2" s="313"/>
      <c r="DC2" s="183"/>
      <c r="DI2" s="156"/>
      <c r="DJ2" s="313"/>
      <c r="DQ2" s="183"/>
      <c r="DW2" s="156"/>
      <c r="EE2" s="183"/>
      <c r="EK2" s="156"/>
      <c r="EY2" s="156"/>
    </row>
    <row r="3" spans="1:156" s="180" customFormat="1" ht="15.75" customHeight="1">
      <c r="B3" s="181"/>
      <c r="C3" s="181"/>
      <c r="D3" s="181"/>
      <c r="E3" s="182" t="s">
        <v>790</v>
      </c>
      <c r="F3" s="181"/>
      <c r="G3" s="181"/>
      <c r="H3" s="492"/>
      <c r="I3" s="492"/>
      <c r="J3" s="492"/>
      <c r="K3" s="492"/>
      <c r="L3" s="492"/>
      <c r="M3" s="492"/>
      <c r="N3" s="492"/>
      <c r="O3" s="492"/>
      <c r="P3" s="492"/>
      <c r="Q3" s="492"/>
      <c r="R3" s="492"/>
      <c r="S3" s="492"/>
      <c r="T3" s="492"/>
      <c r="U3" s="313"/>
      <c r="V3" s="313"/>
      <c r="W3" s="913"/>
      <c r="X3" s="492"/>
      <c r="Y3" s="492"/>
      <c r="Z3" s="492"/>
      <c r="AA3" s="492"/>
      <c r="AB3" s="492"/>
      <c r="AC3" s="492"/>
      <c r="AD3" s="492"/>
      <c r="AE3" s="492"/>
      <c r="AF3" s="492"/>
      <c r="AG3" s="492"/>
      <c r="AH3" s="492"/>
      <c r="AI3" s="492"/>
      <c r="AJ3" s="492"/>
      <c r="AK3" s="913"/>
      <c r="AL3" s="492"/>
      <c r="AM3" s="492"/>
      <c r="AN3" s="492"/>
      <c r="AO3" s="492"/>
      <c r="AP3" s="492"/>
      <c r="AQ3" s="492"/>
      <c r="AR3" s="492"/>
      <c r="AS3" s="492"/>
      <c r="AT3" s="492"/>
      <c r="AU3" s="492"/>
      <c r="AV3" s="492"/>
      <c r="AW3" s="492"/>
      <c r="AX3" s="492"/>
      <c r="AY3" s="313"/>
      <c r="AZ3" s="313"/>
      <c r="BA3" s="913"/>
      <c r="BB3" s="492"/>
      <c r="BC3" s="492"/>
      <c r="BD3" s="492"/>
      <c r="BE3" s="492"/>
      <c r="BF3" s="492"/>
      <c r="BG3" s="492"/>
      <c r="BH3" s="492"/>
      <c r="BI3" s="492"/>
      <c r="BJ3" s="492"/>
      <c r="BK3" s="492"/>
      <c r="BL3" s="492"/>
      <c r="BM3" s="492"/>
      <c r="BN3" s="492"/>
      <c r="BO3" s="913"/>
      <c r="BP3" s="181"/>
      <c r="BQ3" s="181"/>
      <c r="BR3" s="181"/>
      <c r="BS3" s="181"/>
      <c r="BT3" s="181"/>
      <c r="BU3" s="181"/>
      <c r="BV3" s="181"/>
      <c r="BW3" s="181"/>
      <c r="BX3" s="181"/>
      <c r="BY3" s="181"/>
      <c r="BZ3" s="181"/>
      <c r="CA3" s="181"/>
      <c r="CB3" s="814"/>
      <c r="CC3" s="313"/>
      <c r="CD3" s="313"/>
      <c r="CE3" s="313"/>
      <c r="CF3" s="914"/>
      <c r="CG3" s="183"/>
      <c r="CH3" s="183"/>
      <c r="CI3" s="183"/>
      <c r="CJ3" s="183"/>
      <c r="CK3" s="183"/>
      <c r="CL3" s="183"/>
      <c r="CM3" s="183"/>
      <c r="CN3" s="183"/>
      <c r="CO3" s="183"/>
      <c r="CP3" s="183"/>
      <c r="CQ3" s="183"/>
      <c r="CR3" s="183"/>
      <c r="CS3" s="814"/>
      <c r="CT3" s="814"/>
      <c r="CU3" s="156"/>
      <c r="CV3" s="313"/>
      <c r="CW3" s="184"/>
      <c r="DC3" s="183"/>
      <c r="DI3" s="156"/>
      <c r="DJ3" s="313"/>
      <c r="DK3" s="184"/>
      <c r="DQ3" s="183"/>
      <c r="DW3" s="156"/>
      <c r="DY3" s="184"/>
      <c r="EE3" s="183"/>
      <c r="EK3" s="156"/>
      <c r="EY3" s="156"/>
    </row>
    <row r="4" spans="1:156" s="180" customFormat="1" ht="15.75" customHeight="1">
      <c r="B4" s="181"/>
      <c r="C4" s="181"/>
      <c r="D4" s="181"/>
      <c r="E4" s="314" t="s">
        <v>286</v>
      </c>
      <c r="F4" s="181"/>
      <c r="G4" s="181"/>
      <c r="H4" s="181"/>
      <c r="I4" s="181"/>
      <c r="J4" s="181"/>
      <c r="K4" s="181"/>
      <c r="L4" s="181"/>
      <c r="M4" s="181"/>
      <c r="N4" s="181"/>
      <c r="O4" s="181"/>
      <c r="P4" s="181"/>
      <c r="Q4" s="181"/>
      <c r="R4" s="181"/>
      <c r="S4" s="181"/>
      <c r="T4" s="181"/>
      <c r="U4" s="181"/>
      <c r="V4" s="181"/>
      <c r="W4" s="913"/>
      <c r="X4" s="181"/>
      <c r="Y4" s="181"/>
      <c r="Z4" s="181"/>
      <c r="AA4" s="181"/>
      <c r="AB4" s="181"/>
      <c r="AC4" s="181"/>
      <c r="AD4" s="181"/>
      <c r="AE4" s="181"/>
      <c r="AF4" s="181"/>
      <c r="AG4" s="181"/>
      <c r="AH4" s="181"/>
      <c r="AI4" s="181"/>
      <c r="AJ4" s="181"/>
      <c r="AK4" s="913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913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913"/>
      <c r="BP4" s="181"/>
      <c r="BQ4" s="181"/>
      <c r="BR4" s="181"/>
      <c r="BS4" s="181"/>
      <c r="BT4" s="181"/>
      <c r="BU4" s="181"/>
      <c r="BV4" s="181"/>
      <c r="BW4" s="181"/>
      <c r="BX4" s="181"/>
      <c r="BY4" s="181"/>
      <c r="BZ4" s="181"/>
      <c r="CA4" s="181"/>
      <c r="CB4" s="156"/>
      <c r="CC4" s="181"/>
      <c r="CD4" s="181"/>
      <c r="CE4" s="181"/>
      <c r="CL4" s="183"/>
      <c r="CS4" s="156"/>
      <c r="CT4" s="156"/>
      <c r="CU4" s="156"/>
      <c r="CV4" s="313"/>
      <c r="DC4" s="183"/>
      <c r="DI4" s="156"/>
      <c r="DJ4" s="313"/>
      <c r="DQ4" s="183"/>
      <c r="DW4" s="156"/>
      <c r="EE4" s="183"/>
      <c r="EK4" s="156"/>
      <c r="EY4" s="156"/>
    </row>
    <row r="5" spans="1:156" hidden="1" outlineLevel="1">
      <c r="E5" s="187" t="s">
        <v>580</v>
      </c>
    </row>
    <row r="6" spans="1:156" s="189" customFormat="1" ht="12" hidden="1" customHeight="1" outlineLevel="1">
      <c r="E6" s="190" t="s">
        <v>581</v>
      </c>
      <c r="W6" s="915"/>
      <c r="AK6" s="915"/>
      <c r="BA6" s="915"/>
      <c r="BO6" s="915"/>
      <c r="CB6" s="157"/>
      <c r="CF6" s="189">
        <v>1</v>
      </c>
      <c r="CG6" s="189">
        <v>2</v>
      </c>
      <c r="CH6" s="189">
        <v>3</v>
      </c>
      <c r="CI6" s="189">
        <v>4</v>
      </c>
      <c r="CJ6" s="189">
        <v>5</v>
      </c>
      <c r="CK6" s="189">
        <v>6</v>
      </c>
      <c r="CL6" s="189">
        <v>7</v>
      </c>
      <c r="CM6" s="189">
        <v>8</v>
      </c>
      <c r="CN6" s="189">
        <v>9</v>
      </c>
      <c r="CO6" s="189">
        <v>10</v>
      </c>
      <c r="CP6" s="189">
        <v>11</v>
      </c>
      <c r="CQ6" s="189">
        <v>12</v>
      </c>
      <c r="CS6" s="157"/>
      <c r="CT6" s="157"/>
      <c r="CU6" s="157"/>
      <c r="CV6" s="315"/>
      <c r="CW6" s="189">
        <v>1</v>
      </c>
      <c r="CX6" s="189">
        <v>2</v>
      </c>
      <c r="CY6" s="189">
        <v>3</v>
      </c>
      <c r="CZ6" s="189">
        <v>4</v>
      </c>
      <c r="DA6" s="189">
        <v>5</v>
      </c>
      <c r="DB6" s="189">
        <v>6</v>
      </c>
      <c r="DC6" s="189">
        <v>7</v>
      </c>
      <c r="DD6" s="189">
        <v>8</v>
      </c>
      <c r="DE6" s="189">
        <v>9</v>
      </c>
      <c r="DF6" s="189">
        <v>10</v>
      </c>
      <c r="DG6" s="189">
        <v>11</v>
      </c>
      <c r="DH6" s="189">
        <v>12</v>
      </c>
      <c r="DI6" s="157"/>
      <c r="DJ6" s="315"/>
      <c r="DK6" s="189">
        <v>1</v>
      </c>
      <c r="DL6" s="189">
        <v>2</v>
      </c>
      <c r="DM6" s="189">
        <v>3</v>
      </c>
      <c r="DN6" s="189">
        <v>4</v>
      </c>
      <c r="DO6" s="189">
        <v>5</v>
      </c>
      <c r="DP6" s="189">
        <v>6</v>
      </c>
      <c r="DQ6" s="189">
        <v>7</v>
      </c>
      <c r="DR6" s="189">
        <v>8</v>
      </c>
      <c r="DS6" s="189">
        <v>9</v>
      </c>
      <c r="DT6" s="189">
        <v>10</v>
      </c>
      <c r="DU6" s="189">
        <v>11</v>
      </c>
      <c r="DV6" s="189">
        <v>12</v>
      </c>
      <c r="DW6" s="157"/>
      <c r="DY6" s="189">
        <v>1</v>
      </c>
      <c r="DZ6" s="189">
        <v>1</v>
      </c>
      <c r="EA6" s="189">
        <v>1</v>
      </c>
      <c r="EB6" s="189">
        <v>1</v>
      </c>
      <c r="EC6" s="189">
        <v>1</v>
      </c>
      <c r="ED6" s="189">
        <v>1</v>
      </c>
      <c r="EE6" s="189">
        <v>1</v>
      </c>
      <c r="EF6" s="189">
        <v>1</v>
      </c>
      <c r="EG6" s="189">
        <v>1</v>
      </c>
      <c r="EH6" s="189">
        <v>1</v>
      </c>
      <c r="EI6" s="189">
        <v>1</v>
      </c>
      <c r="EJ6" s="189">
        <v>1</v>
      </c>
      <c r="EK6" s="157"/>
      <c r="EM6" s="916" t="s">
        <v>287</v>
      </c>
      <c r="EN6" s="189" t="s">
        <v>287</v>
      </c>
      <c r="EO6" s="189" t="s">
        <v>287</v>
      </c>
      <c r="EP6" s="189" t="s">
        <v>287</v>
      </c>
      <c r="EQ6" s="189" t="s">
        <v>287</v>
      </c>
      <c r="ER6" s="189" t="s">
        <v>287</v>
      </c>
      <c r="ES6" s="189" t="s">
        <v>287</v>
      </c>
      <c r="ET6" s="189" t="s">
        <v>287</v>
      </c>
      <c r="EU6" s="189" t="s">
        <v>287</v>
      </c>
      <c r="EV6" s="189" t="s">
        <v>287</v>
      </c>
      <c r="EW6" s="189" t="s">
        <v>287</v>
      </c>
      <c r="EX6" s="189" t="s">
        <v>287</v>
      </c>
      <c r="EY6" s="157"/>
    </row>
    <row r="7" spans="1:156" s="189" customFormat="1" hidden="1" outlineLevel="1">
      <c r="E7" s="190"/>
      <c r="W7" s="915"/>
      <c r="AK7" s="915"/>
      <c r="BA7" s="915"/>
      <c r="BO7" s="915"/>
      <c r="CB7" s="157"/>
      <c r="CF7" s="916" t="s">
        <v>522</v>
      </c>
      <c r="CG7" s="916" t="s">
        <v>522</v>
      </c>
      <c r="CH7" s="916" t="s">
        <v>522</v>
      </c>
      <c r="CI7" s="916" t="s">
        <v>522</v>
      </c>
      <c r="CJ7" s="916" t="s">
        <v>522</v>
      </c>
      <c r="CK7" s="916" t="s">
        <v>522</v>
      </c>
      <c r="CL7" s="916" t="s">
        <v>522</v>
      </c>
      <c r="CM7" s="916" t="s">
        <v>522</v>
      </c>
      <c r="CN7" s="916" t="s">
        <v>522</v>
      </c>
      <c r="CO7" s="916" t="s">
        <v>522</v>
      </c>
      <c r="CP7" s="916" t="s">
        <v>522</v>
      </c>
      <c r="CQ7" s="916" t="s">
        <v>522</v>
      </c>
      <c r="CR7" s="191"/>
      <c r="CS7" s="157"/>
      <c r="CT7" s="157"/>
      <c r="CU7" s="157"/>
      <c r="CV7" s="315"/>
      <c r="CW7" s="916" t="s">
        <v>522</v>
      </c>
      <c r="CX7" s="916" t="s">
        <v>522</v>
      </c>
      <c r="CY7" s="916" t="s">
        <v>522</v>
      </c>
      <c r="CZ7" s="916" t="s">
        <v>522</v>
      </c>
      <c r="DA7" s="916" t="s">
        <v>522</v>
      </c>
      <c r="DB7" s="916" t="s">
        <v>522</v>
      </c>
      <c r="DC7" s="916" t="s">
        <v>522</v>
      </c>
      <c r="DD7" s="916" t="s">
        <v>522</v>
      </c>
      <c r="DE7" s="916" t="s">
        <v>522</v>
      </c>
      <c r="DF7" s="916" t="s">
        <v>522</v>
      </c>
      <c r="DG7" s="916" t="s">
        <v>522</v>
      </c>
      <c r="DH7" s="916" t="s">
        <v>522</v>
      </c>
      <c r="DI7" s="157"/>
      <c r="DJ7" s="315"/>
      <c r="DK7" s="916" t="s">
        <v>522</v>
      </c>
      <c r="DL7" s="916" t="s">
        <v>522</v>
      </c>
      <c r="DM7" s="916" t="s">
        <v>522</v>
      </c>
      <c r="DN7" s="916" t="s">
        <v>522</v>
      </c>
      <c r="DO7" s="916" t="s">
        <v>522</v>
      </c>
      <c r="DP7" s="916" t="s">
        <v>522</v>
      </c>
      <c r="DQ7" s="916" t="s">
        <v>522</v>
      </c>
      <c r="DR7" s="916" t="s">
        <v>522</v>
      </c>
      <c r="DS7" s="916" t="s">
        <v>522</v>
      </c>
      <c r="DT7" s="916" t="s">
        <v>522</v>
      </c>
      <c r="DU7" s="916" t="s">
        <v>522</v>
      </c>
      <c r="DV7" s="916" t="s">
        <v>522</v>
      </c>
      <c r="DW7" s="157"/>
      <c r="DY7" s="916" t="s">
        <v>522</v>
      </c>
      <c r="DZ7" s="916" t="s">
        <v>522</v>
      </c>
      <c r="EA7" s="916" t="s">
        <v>522</v>
      </c>
      <c r="EB7" s="916" t="s">
        <v>522</v>
      </c>
      <c r="EC7" s="916" t="s">
        <v>522</v>
      </c>
      <c r="ED7" s="916" t="s">
        <v>522</v>
      </c>
      <c r="EE7" s="916" t="s">
        <v>522</v>
      </c>
      <c r="EF7" s="916" t="s">
        <v>522</v>
      </c>
      <c r="EG7" s="916" t="s">
        <v>522</v>
      </c>
      <c r="EH7" s="916" t="s">
        <v>522</v>
      </c>
      <c r="EI7" s="916" t="s">
        <v>522</v>
      </c>
      <c r="EJ7" s="916" t="s">
        <v>522</v>
      </c>
      <c r="EK7" s="157"/>
      <c r="EM7" s="916" t="s">
        <v>522</v>
      </c>
      <c r="EN7" s="916" t="s">
        <v>522</v>
      </c>
      <c r="EO7" s="916" t="s">
        <v>522</v>
      </c>
      <c r="EP7" s="916" t="s">
        <v>522</v>
      </c>
      <c r="EQ7" s="916" t="s">
        <v>522</v>
      </c>
      <c r="ER7" s="916" t="s">
        <v>522</v>
      </c>
      <c r="ES7" s="916" t="s">
        <v>522</v>
      </c>
      <c r="ET7" s="916" t="s">
        <v>522</v>
      </c>
      <c r="EU7" s="916" t="s">
        <v>522</v>
      </c>
      <c r="EV7" s="916" t="s">
        <v>522</v>
      </c>
      <c r="EW7" s="916" t="s">
        <v>522</v>
      </c>
      <c r="EX7" s="916" t="s">
        <v>522</v>
      </c>
      <c r="EY7" s="157"/>
    </row>
    <row r="8" spans="1:156" s="192" customFormat="1" hidden="1" outlineLevel="1">
      <c r="B8" s="193"/>
      <c r="C8" s="193"/>
      <c r="D8" s="193"/>
      <c r="E8" s="194"/>
      <c r="F8" s="193"/>
      <c r="G8" s="193"/>
      <c r="H8" s="193"/>
      <c r="I8" s="193"/>
      <c r="J8" s="193"/>
      <c r="K8" s="193"/>
      <c r="L8" s="193"/>
      <c r="M8" s="193"/>
      <c r="N8" s="193"/>
      <c r="O8" s="193"/>
      <c r="P8" s="193"/>
      <c r="Q8" s="193"/>
      <c r="R8" s="193"/>
      <c r="S8" s="193"/>
      <c r="T8" s="193"/>
      <c r="U8" s="193"/>
      <c r="V8" s="193"/>
      <c r="W8" s="917"/>
      <c r="X8" s="193"/>
      <c r="Y8" s="193"/>
      <c r="Z8" s="193"/>
      <c r="AA8" s="193"/>
      <c r="AB8" s="193"/>
      <c r="AC8" s="193"/>
      <c r="AD8" s="193"/>
      <c r="AE8" s="193"/>
      <c r="AF8" s="193"/>
      <c r="AG8" s="193"/>
      <c r="AH8" s="193"/>
      <c r="AI8" s="193"/>
      <c r="AJ8" s="193"/>
      <c r="AK8" s="917"/>
      <c r="AL8" s="193"/>
      <c r="AM8" s="193"/>
      <c r="AN8" s="193"/>
      <c r="AO8" s="193"/>
      <c r="AP8" s="193"/>
      <c r="AQ8" s="193"/>
      <c r="AR8" s="193"/>
      <c r="AS8" s="193"/>
      <c r="AT8" s="193"/>
      <c r="AU8" s="193"/>
      <c r="AV8" s="193"/>
      <c r="AW8" s="193"/>
      <c r="AX8" s="193"/>
      <c r="AY8" s="193"/>
      <c r="AZ8" s="193"/>
      <c r="BA8" s="917"/>
      <c r="BB8" s="193"/>
      <c r="BC8" s="193"/>
      <c r="BD8" s="193"/>
      <c r="BE8" s="193"/>
      <c r="BF8" s="193"/>
      <c r="BG8" s="193"/>
      <c r="BH8" s="193"/>
      <c r="BI8" s="193"/>
      <c r="BJ8" s="193"/>
      <c r="BK8" s="193"/>
      <c r="BL8" s="193"/>
      <c r="BM8" s="193"/>
      <c r="BN8" s="193"/>
      <c r="BO8" s="917"/>
      <c r="BP8" s="193"/>
      <c r="BQ8" s="193"/>
      <c r="BR8" s="193"/>
      <c r="BS8" s="193"/>
      <c r="BT8" s="193"/>
      <c r="BU8" s="193"/>
      <c r="BV8" s="193"/>
      <c r="BW8" s="193"/>
      <c r="BX8" s="193"/>
      <c r="BY8" s="193"/>
      <c r="BZ8" s="193"/>
      <c r="CA8" s="193"/>
      <c r="CB8" s="158"/>
      <c r="CC8" s="193"/>
      <c r="CD8" s="193"/>
      <c r="CE8" s="193"/>
      <c r="CF8" s="195"/>
      <c r="CG8" s="195"/>
      <c r="CH8" s="195"/>
      <c r="CI8" s="195"/>
      <c r="CJ8" s="195"/>
      <c r="CK8" s="195"/>
      <c r="CL8" s="196"/>
      <c r="CM8" s="195"/>
      <c r="CN8" s="195"/>
      <c r="CO8" s="195"/>
      <c r="CP8" s="195"/>
      <c r="CQ8" s="195"/>
      <c r="CR8" s="197"/>
      <c r="CS8" s="158"/>
      <c r="CT8" s="158"/>
      <c r="CU8" s="158"/>
      <c r="CV8" s="316"/>
      <c r="CW8" s="195"/>
      <c r="CX8" s="195"/>
      <c r="CY8" s="195"/>
      <c r="CZ8" s="195"/>
      <c r="DA8" s="195"/>
      <c r="DB8" s="195"/>
      <c r="DC8" s="196"/>
      <c r="DD8" s="195"/>
      <c r="DE8" s="195"/>
      <c r="DF8" s="195"/>
      <c r="DG8" s="195"/>
      <c r="DH8" s="195"/>
      <c r="DI8" s="158"/>
      <c r="DJ8" s="316"/>
      <c r="DK8" s="195"/>
      <c r="DL8" s="195"/>
      <c r="DM8" s="195"/>
      <c r="DN8" s="195"/>
      <c r="DO8" s="195"/>
      <c r="DP8" s="195"/>
      <c r="DQ8" s="196"/>
      <c r="DR8" s="195"/>
      <c r="DS8" s="195"/>
      <c r="DT8" s="195"/>
      <c r="DU8" s="195"/>
      <c r="DV8" s="195"/>
      <c r="DW8" s="158"/>
      <c r="DY8" s="195"/>
      <c r="DZ8" s="195"/>
      <c r="EA8" s="195"/>
      <c r="EB8" s="195"/>
      <c r="EC8" s="195"/>
      <c r="ED8" s="195"/>
      <c r="EE8" s="196"/>
      <c r="EF8" s="195"/>
      <c r="EG8" s="195"/>
      <c r="EH8" s="195"/>
      <c r="EI8" s="195"/>
      <c r="EJ8" s="195"/>
      <c r="EK8" s="158"/>
      <c r="EM8" s="195"/>
      <c r="EN8" s="195"/>
      <c r="EO8" s="195"/>
      <c r="EP8" s="195"/>
      <c r="EQ8" s="195"/>
      <c r="ER8" s="195"/>
      <c r="ES8" s="195"/>
      <c r="ET8" s="195"/>
      <c r="EU8" s="195"/>
      <c r="EV8" s="195"/>
      <c r="EW8" s="195"/>
      <c r="EX8" s="195"/>
      <c r="EY8" s="158"/>
    </row>
    <row r="9" spans="1:156" s="192" customFormat="1" hidden="1" outlineLevel="1">
      <c r="B9" s="193"/>
      <c r="C9" s="193"/>
      <c r="D9" s="193"/>
      <c r="E9" s="194"/>
      <c r="F9" s="193" t="s">
        <v>288</v>
      </c>
      <c r="G9" s="193"/>
      <c r="H9" s="193" t="s">
        <v>1098</v>
      </c>
      <c r="I9" s="193" t="str">
        <f>H9</f>
        <v>Current Year</v>
      </c>
      <c r="J9" s="193" t="str">
        <f t="shared" ref="J9" si="0">I9</f>
        <v>Current Year</v>
      </c>
      <c r="K9" s="193" t="str">
        <f t="shared" ref="K9" si="1">J9</f>
        <v>Current Year</v>
      </c>
      <c r="L9" s="193" t="str">
        <f t="shared" ref="L9" si="2">K9</f>
        <v>Current Year</v>
      </c>
      <c r="M9" s="193" t="str">
        <f t="shared" ref="M9" si="3">L9</f>
        <v>Current Year</v>
      </c>
      <c r="N9" s="193" t="str">
        <f t="shared" ref="N9" si="4">M9</f>
        <v>Current Year</v>
      </c>
      <c r="O9" s="193" t="str">
        <f t="shared" ref="O9" si="5">N9</f>
        <v>Current Year</v>
      </c>
      <c r="P9" s="193" t="str">
        <f t="shared" ref="P9" si="6">O9</f>
        <v>Current Year</v>
      </c>
      <c r="Q9" s="193" t="str">
        <f t="shared" ref="Q9" si="7">P9</f>
        <v>Current Year</v>
      </c>
      <c r="R9" s="193" t="str">
        <f t="shared" ref="R9" si="8">Q9</f>
        <v>Current Year</v>
      </c>
      <c r="S9" s="193" t="str">
        <f t="shared" ref="S9" si="9">R9</f>
        <v>Current Year</v>
      </c>
      <c r="T9" s="193" t="str">
        <f t="shared" ref="T9" si="10">S9</f>
        <v>Current Year</v>
      </c>
      <c r="U9" s="193"/>
      <c r="V9" s="193"/>
      <c r="W9" s="917"/>
      <c r="X9" s="193" t="s">
        <v>1098</v>
      </c>
      <c r="Y9" s="193" t="str">
        <f>X9</f>
        <v>Current Year</v>
      </c>
      <c r="Z9" s="193" t="str">
        <f t="shared" ref="Z9" si="11">Y9</f>
        <v>Current Year</v>
      </c>
      <c r="AA9" s="193" t="str">
        <f t="shared" ref="AA9" si="12">Z9</f>
        <v>Current Year</v>
      </c>
      <c r="AB9" s="193" t="str">
        <f t="shared" ref="AB9" si="13">AA9</f>
        <v>Current Year</v>
      </c>
      <c r="AC9" s="193" t="str">
        <f t="shared" ref="AC9" si="14">AB9</f>
        <v>Current Year</v>
      </c>
      <c r="AD9" s="193" t="str">
        <f t="shared" ref="AD9" si="15">AC9</f>
        <v>Current Year</v>
      </c>
      <c r="AE9" s="193" t="str">
        <f t="shared" ref="AE9" si="16">AD9</f>
        <v>Current Year</v>
      </c>
      <c r="AF9" s="193" t="str">
        <f t="shared" ref="AF9" si="17">AE9</f>
        <v>Current Year</v>
      </c>
      <c r="AG9" s="193" t="str">
        <f t="shared" ref="AG9" si="18">AF9</f>
        <v>Current Year</v>
      </c>
      <c r="AH9" s="193" t="str">
        <f t="shared" ref="AH9" si="19">AG9</f>
        <v>Current Year</v>
      </c>
      <c r="AI9" s="193" t="str">
        <f t="shared" ref="AI9" si="20">AH9</f>
        <v>Current Year</v>
      </c>
      <c r="AJ9" s="193" t="str">
        <f t="shared" ref="AJ9" si="21">AI9</f>
        <v>Current Year</v>
      </c>
      <c r="AK9" s="917"/>
      <c r="AL9" s="193" t="s">
        <v>1098</v>
      </c>
      <c r="AM9" s="193" t="str">
        <f>AL9</f>
        <v>Current Year</v>
      </c>
      <c r="AN9" s="193" t="str">
        <f t="shared" ref="AN9:AX9" si="22">AM9</f>
        <v>Current Year</v>
      </c>
      <c r="AO9" s="193" t="str">
        <f t="shared" si="22"/>
        <v>Current Year</v>
      </c>
      <c r="AP9" s="193" t="str">
        <f t="shared" si="22"/>
        <v>Current Year</v>
      </c>
      <c r="AQ9" s="193" t="str">
        <f t="shared" si="22"/>
        <v>Current Year</v>
      </c>
      <c r="AR9" s="193" t="str">
        <f t="shared" si="22"/>
        <v>Current Year</v>
      </c>
      <c r="AS9" s="193" t="str">
        <f t="shared" si="22"/>
        <v>Current Year</v>
      </c>
      <c r="AT9" s="193" t="str">
        <f t="shared" si="22"/>
        <v>Current Year</v>
      </c>
      <c r="AU9" s="193" t="str">
        <f t="shared" si="22"/>
        <v>Current Year</v>
      </c>
      <c r="AV9" s="193" t="str">
        <f t="shared" si="22"/>
        <v>Current Year</v>
      </c>
      <c r="AW9" s="193" t="str">
        <f t="shared" si="22"/>
        <v>Current Year</v>
      </c>
      <c r="AX9" s="193" t="str">
        <f t="shared" si="22"/>
        <v>Current Year</v>
      </c>
      <c r="AY9" s="193"/>
      <c r="AZ9" s="193"/>
      <c r="BA9" s="917"/>
      <c r="BB9" s="193" t="s">
        <v>1098</v>
      </c>
      <c r="BC9" s="193" t="str">
        <f>BB9</f>
        <v>Current Year</v>
      </c>
      <c r="BD9" s="193" t="str">
        <f t="shared" ref="BD9:BN9" si="23">BC9</f>
        <v>Current Year</v>
      </c>
      <c r="BE9" s="193" t="str">
        <f t="shared" si="23"/>
        <v>Current Year</v>
      </c>
      <c r="BF9" s="193" t="str">
        <f t="shared" si="23"/>
        <v>Current Year</v>
      </c>
      <c r="BG9" s="193" t="str">
        <f t="shared" si="23"/>
        <v>Current Year</v>
      </c>
      <c r="BH9" s="193" t="str">
        <f t="shared" si="23"/>
        <v>Current Year</v>
      </c>
      <c r="BI9" s="193" t="str">
        <f t="shared" si="23"/>
        <v>Current Year</v>
      </c>
      <c r="BJ9" s="193" t="str">
        <f t="shared" si="23"/>
        <v>Current Year</v>
      </c>
      <c r="BK9" s="193" t="str">
        <f t="shared" si="23"/>
        <v>Current Year</v>
      </c>
      <c r="BL9" s="193" t="str">
        <f t="shared" si="23"/>
        <v>Current Year</v>
      </c>
      <c r="BM9" s="193" t="str">
        <f t="shared" si="23"/>
        <v>Current Year</v>
      </c>
      <c r="BN9" s="193" t="str">
        <f t="shared" si="23"/>
        <v>Current Year</v>
      </c>
      <c r="BO9" s="917"/>
      <c r="BP9" s="193" t="s">
        <v>52</v>
      </c>
      <c r="BQ9" s="193" t="str">
        <f>BP9</f>
        <v>Budget</v>
      </c>
      <c r="BR9" s="193" t="str">
        <f t="shared" ref="BR9:CB9" si="24">BQ9</f>
        <v>Budget</v>
      </c>
      <c r="BS9" s="193" t="str">
        <f t="shared" si="24"/>
        <v>Budget</v>
      </c>
      <c r="BT9" s="193" t="str">
        <f t="shared" si="24"/>
        <v>Budget</v>
      </c>
      <c r="BU9" s="193" t="str">
        <f t="shared" si="24"/>
        <v>Budget</v>
      </c>
      <c r="BV9" s="193" t="str">
        <f t="shared" si="24"/>
        <v>Budget</v>
      </c>
      <c r="BW9" s="193" t="str">
        <f t="shared" si="24"/>
        <v>Budget</v>
      </c>
      <c r="BX9" s="193" t="str">
        <f t="shared" si="24"/>
        <v>Budget</v>
      </c>
      <c r="BY9" s="193" t="str">
        <f t="shared" si="24"/>
        <v>Budget</v>
      </c>
      <c r="BZ9" s="193" t="str">
        <f t="shared" si="24"/>
        <v>Budget</v>
      </c>
      <c r="CA9" s="193" t="str">
        <f t="shared" si="24"/>
        <v>Budget</v>
      </c>
      <c r="CB9" s="193" t="str">
        <f t="shared" si="24"/>
        <v>Budget</v>
      </c>
      <c r="CC9" s="193"/>
      <c r="CD9" s="193"/>
      <c r="CE9" s="193"/>
      <c r="CF9" s="193" t="s">
        <v>1097</v>
      </c>
      <c r="CG9" s="193" t="str">
        <f>CF9</f>
        <v>Last year</v>
      </c>
      <c r="CH9" s="193" t="str">
        <f t="shared" ref="CH9:CS9" si="25">CG9</f>
        <v>Last year</v>
      </c>
      <c r="CI9" s="193" t="str">
        <f t="shared" si="25"/>
        <v>Last year</v>
      </c>
      <c r="CJ9" s="193" t="str">
        <f t="shared" si="25"/>
        <v>Last year</v>
      </c>
      <c r="CK9" s="193" t="str">
        <f t="shared" si="25"/>
        <v>Last year</v>
      </c>
      <c r="CL9" s="193" t="str">
        <f t="shared" si="25"/>
        <v>Last year</v>
      </c>
      <c r="CM9" s="193" t="str">
        <f t="shared" si="25"/>
        <v>Last year</v>
      </c>
      <c r="CN9" s="193" t="str">
        <f t="shared" si="25"/>
        <v>Last year</v>
      </c>
      <c r="CO9" s="193" t="str">
        <f t="shared" si="25"/>
        <v>Last year</v>
      </c>
      <c r="CP9" s="193" t="str">
        <f t="shared" si="25"/>
        <v>Last year</v>
      </c>
      <c r="CQ9" s="193" t="str">
        <f t="shared" si="25"/>
        <v>Last year</v>
      </c>
      <c r="CR9" s="193" t="str">
        <f>CQ9</f>
        <v>Last year</v>
      </c>
      <c r="CS9" s="193" t="str">
        <f t="shared" si="25"/>
        <v>Last year</v>
      </c>
      <c r="CT9" s="158"/>
      <c r="CU9" s="158"/>
      <c r="CV9" s="316"/>
      <c r="CW9" s="195"/>
      <c r="CX9" s="195"/>
      <c r="CY9" s="195"/>
      <c r="CZ9" s="195"/>
      <c r="DA9" s="195"/>
      <c r="DB9" s="195"/>
      <c r="DC9" s="196"/>
      <c r="DD9" s="195"/>
      <c r="DE9" s="195"/>
      <c r="DF9" s="195"/>
      <c r="DG9" s="195"/>
      <c r="DH9" s="195"/>
      <c r="DI9" s="158"/>
      <c r="DJ9" s="316"/>
      <c r="DK9" s="195"/>
      <c r="DL9" s="195"/>
      <c r="DM9" s="195"/>
      <c r="DN9" s="195"/>
      <c r="DO9" s="195"/>
      <c r="DP9" s="195"/>
      <c r="DQ9" s="196"/>
      <c r="DR9" s="195"/>
      <c r="DS9" s="195"/>
      <c r="DT9" s="195"/>
      <c r="DU9" s="195"/>
      <c r="DV9" s="195"/>
      <c r="DW9" s="158"/>
      <c r="DY9" s="195"/>
      <c r="DZ9" s="195"/>
      <c r="EA9" s="195"/>
      <c r="EB9" s="195"/>
      <c r="EC9" s="195"/>
      <c r="ED9" s="195"/>
      <c r="EE9" s="196"/>
      <c r="EF9" s="195"/>
      <c r="EG9" s="195"/>
      <c r="EH9" s="195"/>
      <c r="EI9" s="195"/>
      <c r="EJ9" s="195"/>
      <c r="EK9" s="158"/>
      <c r="EM9" s="195"/>
      <c r="EN9" s="195"/>
      <c r="EO9" s="195"/>
      <c r="EP9" s="195"/>
      <c r="EQ9" s="195"/>
      <c r="ER9" s="195"/>
      <c r="ES9" s="195"/>
      <c r="ET9" s="195"/>
      <c r="EU9" s="195"/>
      <c r="EV9" s="195"/>
      <c r="EW9" s="195"/>
      <c r="EX9" s="195"/>
      <c r="EY9" s="158"/>
    </row>
    <row r="10" spans="1:156" s="192" customFormat="1" hidden="1" outlineLevel="1">
      <c r="B10" s="193"/>
      <c r="C10" s="193"/>
      <c r="D10" s="193"/>
      <c r="E10" s="194"/>
      <c r="F10" s="193"/>
      <c r="G10" s="193"/>
      <c r="H10" s="191" t="s">
        <v>1095</v>
      </c>
      <c r="I10" s="191" t="s">
        <v>1095</v>
      </c>
      <c r="J10" s="191" t="s">
        <v>1095</v>
      </c>
      <c r="K10" s="191" t="s">
        <v>1095</v>
      </c>
      <c r="L10" s="191" t="s">
        <v>1095</v>
      </c>
      <c r="M10" s="191" t="s">
        <v>1095</v>
      </c>
      <c r="N10" s="191" t="s">
        <v>1095</v>
      </c>
      <c r="O10" s="191" t="s">
        <v>1095</v>
      </c>
      <c r="P10" s="191" t="s">
        <v>1095</v>
      </c>
      <c r="Q10" s="191" t="s">
        <v>1095</v>
      </c>
      <c r="R10" s="191" t="s">
        <v>1095</v>
      </c>
      <c r="S10" s="191" t="s">
        <v>1095</v>
      </c>
      <c r="T10" s="191" t="s">
        <v>54</v>
      </c>
      <c r="U10" s="193"/>
      <c r="V10" s="193"/>
      <c r="W10" s="917"/>
      <c r="X10" s="191" t="s">
        <v>1096</v>
      </c>
      <c r="Y10" s="191" t="s">
        <v>1096</v>
      </c>
      <c r="Z10" s="191" t="s">
        <v>1096</v>
      </c>
      <c r="AA10" s="191" t="s">
        <v>1096</v>
      </c>
      <c r="AB10" s="191" t="s">
        <v>1096</v>
      </c>
      <c r="AC10" s="191" t="s">
        <v>1096</v>
      </c>
      <c r="AD10" s="191" t="s">
        <v>1096</v>
      </c>
      <c r="AE10" s="191" t="s">
        <v>1096</v>
      </c>
      <c r="AF10" s="191" t="s">
        <v>1096</v>
      </c>
      <c r="AG10" s="191" t="s">
        <v>1096</v>
      </c>
      <c r="AH10" s="191" t="s">
        <v>1096</v>
      </c>
      <c r="AI10" s="191" t="s">
        <v>1096</v>
      </c>
      <c r="AJ10" s="191" t="s">
        <v>54</v>
      </c>
      <c r="AK10" s="917"/>
      <c r="AL10" s="191" t="s">
        <v>1095</v>
      </c>
      <c r="AM10" s="191" t="s">
        <v>1095</v>
      </c>
      <c r="AN10" s="191" t="s">
        <v>1095</v>
      </c>
      <c r="AO10" s="191" t="s">
        <v>1095</v>
      </c>
      <c r="AP10" s="191" t="s">
        <v>1095</v>
      </c>
      <c r="AQ10" s="191" t="s">
        <v>1095</v>
      </c>
      <c r="AR10" s="191" t="s">
        <v>1095</v>
      </c>
      <c r="AS10" s="191" t="s">
        <v>1095</v>
      </c>
      <c r="AT10" s="191" t="s">
        <v>1095</v>
      </c>
      <c r="AU10" s="191" t="s">
        <v>1095</v>
      </c>
      <c r="AV10" s="191" t="s">
        <v>1095</v>
      </c>
      <c r="AW10" s="191" t="s">
        <v>1095</v>
      </c>
      <c r="AX10" s="191" t="s">
        <v>54</v>
      </c>
      <c r="AY10" s="193"/>
      <c r="AZ10" s="193"/>
      <c r="BA10" s="917"/>
      <c r="BB10" s="191" t="s">
        <v>1096</v>
      </c>
      <c r="BC10" s="191" t="s">
        <v>1096</v>
      </c>
      <c r="BD10" s="191" t="s">
        <v>1096</v>
      </c>
      <c r="BE10" s="191" t="s">
        <v>1096</v>
      </c>
      <c r="BF10" s="191" t="s">
        <v>1096</v>
      </c>
      <c r="BG10" s="191" t="s">
        <v>1096</v>
      </c>
      <c r="BH10" s="191" t="s">
        <v>1096</v>
      </c>
      <c r="BI10" s="191" t="s">
        <v>1096</v>
      </c>
      <c r="BJ10" s="191" t="s">
        <v>1096</v>
      </c>
      <c r="BK10" s="191" t="s">
        <v>1096</v>
      </c>
      <c r="BL10" s="191" t="s">
        <v>1096</v>
      </c>
      <c r="BM10" s="191" t="s">
        <v>1096</v>
      </c>
      <c r="BN10" s="191" t="s">
        <v>54</v>
      </c>
      <c r="BO10" s="917"/>
      <c r="BP10" s="191" t="str">
        <f>BB10</f>
        <v>ACT</v>
      </c>
      <c r="BQ10" s="191" t="str">
        <f t="shared" ref="BQ10:CB10" si="26">BC10</f>
        <v>ACT</v>
      </c>
      <c r="BR10" s="191" t="str">
        <f t="shared" si="26"/>
        <v>ACT</v>
      </c>
      <c r="BS10" s="191" t="str">
        <f t="shared" si="26"/>
        <v>ACT</v>
      </c>
      <c r="BT10" s="191" t="str">
        <f t="shared" si="26"/>
        <v>ACT</v>
      </c>
      <c r="BU10" s="191" t="str">
        <f t="shared" si="26"/>
        <v>ACT</v>
      </c>
      <c r="BV10" s="191" t="str">
        <f t="shared" si="26"/>
        <v>ACT</v>
      </c>
      <c r="BW10" s="191" t="str">
        <f t="shared" si="26"/>
        <v>ACT</v>
      </c>
      <c r="BX10" s="191" t="str">
        <f t="shared" si="26"/>
        <v>ACT</v>
      </c>
      <c r="BY10" s="191" t="str">
        <f t="shared" si="26"/>
        <v>ACT</v>
      </c>
      <c r="BZ10" s="191" t="str">
        <f t="shared" si="26"/>
        <v>ACT</v>
      </c>
      <c r="CA10" s="191" t="str">
        <f t="shared" si="26"/>
        <v>ACT</v>
      </c>
      <c r="CB10" s="191" t="str">
        <f t="shared" si="26"/>
        <v>Total</v>
      </c>
      <c r="CC10" s="193"/>
      <c r="CD10" s="193"/>
      <c r="CE10" s="193"/>
      <c r="CF10" s="191" t="str">
        <f>BB10</f>
        <v>ACT</v>
      </c>
      <c r="CG10" s="191" t="str">
        <f t="shared" ref="CG10:CQ10" si="27">BC10</f>
        <v>ACT</v>
      </c>
      <c r="CH10" s="191" t="str">
        <f t="shared" si="27"/>
        <v>ACT</v>
      </c>
      <c r="CI10" s="191" t="str">
        <f t="shared" si="27"/>
        <v>ACT</v>
      </c>
      <c r="CJ10" s="191" t="str">
        <f t="shared" si="27"/>
        <v>ACT</v>
      </c>
      <c r="CK10" s="191" t="str">
        <f t="shared" si="27"/>
        <v>ACT</v>
      </c>
      <c r="CL10" s="191" t="str">
        <f t="shared" si="27"/>
        <v>ACT</v>
      </c>
      <c r="CM10" s="191" t="str">
        <f t="shared" si="27"/>
        <v>ACT</v>
      </c>
      <c r="CN10" s="191" t="str">
        <f t="shared" si="27"/>
        <v>ACT</v>
      </c>
      <c r="CO10" s="191" t="str">
        <f t="shared" si="27"/>
        <v>ACT</v>
      </c>
      <c r="CP10" s="191" t="str">
        <f t="shared" si="27"/>
        <v>ACT</v>
      </c>
      <c r="CQ10" s="191" t="str">
        <f t="shared" si="27"/>
        <v>ACT</v>
      </c>
      <c r="CR10" s="198"/>
      <c r="CS10" s="158" t="s">
        <v>54</v>
      </c>
      <c r="CT10" s="158"/>
      <c r="CU10" s="158"/>
      <c r="CV10" s="316"/>
      <c r="CW10" s="191">
        <f>E10</f>
        <v>0</v>
      </c>
      <c r="CX10" s="191">
        <f>F10</f>
        <v>0</v>
      </c>
      <c r="CY10" s="191"/>
      <c r="CZ10" s="191"/>
      <c r="DA10" s="191"/>
      <c r="DB10" s="191"/>
      <c r="DC10" s="191"/>
      <c r="DD10" s="191"/>
      <c r="DE10" s="191"/>
      <c r="DF10" s="191"/>
      <c r="DG10" s="191"/>
      <c r="DH10" s="191"/>
      <c r="DI10" s="191"/>
      <c r="DJ10" s="316"/>
      <c r="DK10" s="191" t="str">
        <f t="shared" ref="DK10:DW10" si="28">BB10</f>
        <v>ACT</v>
      </c>
      <c r="DL10" s="191" t="str">
        <f t="shared" si="28"/>
        <v>ACT</v>
      </c>
      <c r="DM10" s="191" t="str">
        <f t="shared" si="28"/>
        <v>ACT</v>
      </c>
      <c r="DN10" s="191" t="str">
        <f t="shared" si="28"/>
        <v>ACT</v>
      </c>
      <c r="DO10" s="191" t="str">
        <f t="shared" si="28"/>
        <v>ACT</v>
      </c>
      <c r="DP10" s="191" t="str">
        <f t="shared" si="28"/>
        <v>ACT</v>
      </c>
      <c r="DQ10" s="191" t="str">
        <f t="shared" si="28"/>
        <v>ACT</v>
      </c>
      <c r="DR10" s="191" t="str">
        <f t="shared" si="28"/>
        <v>ACT</v>
      </c>
      <c r="DS10" s="191" t="str">
        <f t="shared" si="28"/>
        <v>ACT</v>
      </c>
      <c r="DT10" s="191" t="str">
        <f t="shared" si="28"/>
        <v>ACT</v>
      </c>
      <c r="DU10" s="191" t="str">
        <f t="shared" si="28"/>
        <v>ACT</v>
      </c>
      <c r="DV10" s="191" t="str">
        <f t="shared" si="28"/>
        <v>ACT</v>
      </c>
      <c r="DW10" s="191" t="str">
        <f t="shared" si="28"/>
        <v>Total</v>
      </c>
      <c r="DY10" s="191" t="str">
        <f t="shared" ref="DY10:EK10" si="29">BB10</f>
        <v>ACT</v>
      </c>
      <c r="DZ10" s="191" t="str">
        <f t="shared" si="29"/>
        <v>ACT</v>
      </c>
      <c r="EA10" s="191" t="str">
        <f t="shared" si="29"/>
        <v>ACT</v>
      </c>
      <c r="EB10" s="191" t="str">
        <f t="shared" si="29"/>
        <v>ACT</v>
      </c>
      <c r="EC10" s="191" t="str">
        <f t="shared" si="29"/>
        <v>ACT</v>
      </c>
      <c r="ED10" s="191" t="str">
        <f t="shared" si="29"/>
        <v>ACT</v>
      </c>
      <c r="EE10" s="191" t="str">
        <f t="shared" si="29"/>
        <v>ACT</v>
      </c>
      <c r="EF10" s="191" t="str">
        <f t="shared" si="29"/>
        <v>ACT</v>
      </c>
      <c r="EG10" s="191" t="str">
        <f t="shared" si="29"/>
        <v>ACT</v>
      </c>
      <c r="EH10" s="191" t="str">
        <f t="shared" si="29"/>
        <v>ACT</v>
      </c>
      <c r="EI10" s="191" t="str">
        <f t="shared" si="29"/>
        <v>ACT</v>
      </c>
      <c r="EJ10" s="191" t="str">
        <f t="shared" si="29"/>
        <v>ACT</v>
      </c>
      <c r="EK10" s="191" t="str">
        <f t="shared" si="29"/>
        <v>Total</v>
      </c>
      <c r="EM10" s="191" t="str">
        <f t="shared" ref="EM10:EY10" si="30">BB10</f>
        <v>ACT</v>
      </c>
      <c r="EN10" s="191" t="str">
        <f t="shared" si="30"/>
        <v>ACT</v>
      </c>
      <c r="EO10" s="191" t="str">
        <f t="shared" si="30"/>
        <v>ACT</v>
      </c>
      <c r="EP10" s="191" t="str">
        <f t="shared" si="30"/>
        <v>ACT</v>
      </c>
      <c r="EQ10" s="191" t="str">
        <f t="shared" si="30"/>
        <v>ACT</v>
      </c>
      <c r="ER10" s="191" t="str">
        <f t="shared" si="30"/>
        <v>ACT</v>
      </c>
      <c r="ES10" s="191" t="str">
        <f t="shared" si="30"/>
        <v>ACT</v>
      </c>
      <c r="ET10" s="191" t="str">
        <f t="shared" si="30"/>
        <v>ACT</v>
      </c>
      <c r="EU10" s="191" t="str">
        <f t="shared" si="30"/>
        <v>ACT</v>
      </c>
      <c r="EV10" s="191" t="str">
        <f t="shared" si="30"/>
        <v>ACT</v>
      </c>
      <c r="EW10" s="191" t="str">
        <f t="shared" si="30"/>
        <v>ACT</v>
      </c>
      <c r="EX10" s="191" t="str">
        <f t="shared" si="30"/>
        <v>ACT</v>
      </c>
      <c r="EY10" s="191" t="str">
        <f t="shared" si="30"/>
        <v>Total</v>
      </c>
    </row>
    <row r="11" spans="1:156" s="187" customFormat="1" ht="47.25" customHeight="1" collapsed="1">
      <c r="B11" s="199"/>
      <c r="C11" s="199"/>
      <c r="D11" s="199"/>
      <c r="F11" s="199"/>
      <c r="G11" s="199"/>
      <c r="H11" s="918">
        <v>44316</v>
      </c>
      <c r="I11" s="919">
        <f>EOMONTH(H11,1)</f>
        <v>44347</v>
      </c>
      <c r="J11" s="919">
        <f t="shared" ref="J11" si="31">EOMONTH(I11,1)</f>
        <v>44377</v>
      </c>
      <c r="K11" s="919">
        <f t="shared" ref="K11" si="32">EOMONTH(J11,1)</f>
        <v>44408</v>
      </c>
      <c r="L11" s="919">
        <f t="shared" ref="L11" si="33">EOMONTH(K11,1)</f>
        <v>44439</v>
      </c>
      <c r="M11" s="919">
        <f t="shared" ref="M11" si="34">EOMONTH(L11,1)</f>
        <v>44469</v>
      </c>
      <c r="N11" s="919">
        <f t="shared" ref="N11" si="35">EOMONTH(M11,1)</f>
        <v>44500</v>
      </c>
      <c r="O11" s="919">
        <f t="shared" ref="O11" si="36">EOMONTH(N11,1)</f>
        <v>44530</v>
      </c>
      <c r="P11" s="919">
        <f t="shared" ref="P11" si="37">EOMONTH(O11,1)</f>
        <v>44561</v>
      </c>
      <c r="Q11" s="919">
        <f t="shared" ref="Q11" si="38">EOMONTH(P11,1)</f>
        <v>44592</v>
      </c>
      <c r="R11" s="919">
        <f t="shared" ref="R11" si="39">EOMONTH(Q11,1)</f>
        <v>44620</v>
      </c>
      <c r="S11" s="919">
        <f t="shared" ref="S11" si="40">EOMONTH(R11,1)</f>
        <v>44651</v>
      </c>
      <c r="T11" s="920" t="s">
        <v>1668</v>
      </c>
      <c r="U11" s="921" t="s">
        <v>1669</v>
      </c>
      <c r="V11" s="200" t="s">
        <v>289</v>
      </c>
      <c r="W11" s="922"/>
      <c r="X11" s="923">
        <v>44316</v>
      </c>
      <c r="Y11" s="924">
        <f>EOMONTH(X11,1)</f>
        <v>44347</v>
      </c>
      <c r="Z11" s="924">
        <f t="shared" ref="Z11" si="41">EOMONTH(Y11,1)</f>
        <v>44377</v>
      </c>
      <c r="AA11" s="924">
        <f t="shared" ref="AA11" si="42">EOMONTH(Z11,1)</f>
        <v>44408</v>
      </c>
      <c r="AB11" s="924">
        <f t="shared" ref="AB11" si="43">EOMONTH(AA11,1)</f>
        <v>44439</v>
      </c>
      <c r="AC11" s="924">
        <f t="shared" ref="AC11" si="44">EOMONTH(AB11,1)</f>
        <v>44469</v>
      </c>
      <c r="AD11" s="924">
        <f t="shared" ref="AD11" si="45">EOMONTH(AC11,1)</f>
        <v>44500</v>
      </c>
      <c r="AE11" s="924">
        <f t="shared" ref="AE11" si="46">EOMONTH(AD11,1)</f>
        <v>44530</v>
      </c>
      <c r="AF11" s="924">
        <f t="shared" ref="AF11" si="47">EOMONTH(AE11,1)</f>
        <v>44561</v>
      </c>
      <c r="AG11" s="924">
        <f t="shared" ref="AG11" si="48">EOMONTH(AF11,1)</f>
        <v>44592</v>
      </c>
      <c r="AH11" s="924">
        <f t="shared" ref="AH11" si="49">EOMONTH(AG11,1)</f>
        <v>44620</v>
      </c>
      <c r="AI11" s="924">
        <f t="shared" ref="AI11" si="50">EOMONTH(AH11,1)</f>
        <v>44651</v>
      </c>
      <c r="AJ11" s="925" t="s">
        <v>1667</v>
      </c>
      <c r="AK11" s="922"/>
      <c r="AL11" s="918">
        <v>44316</v>
      </c>
      <c r="AM11" s="919">
        <f>EOMONTH(AL11,1)</f>
        <v>44347</v>
      </c>
      <c r="AN11" s="919">
        <f t="shared" ref="AN11:AW11" si="51">EOMONTH(AM11,1)</f>
        <v>44377</v>
      </c>
      <c r="AO11" s="919">
        <f t="shared" si="51"/>
        <v>44408</v>
      </c>
      <c r="AP11" s="919">
        <f t="shared" si="51"/>
        <v>44439</v>
      </c>
      <c r="AQ11" s="919">
        <f t="shared" si="51"/>
        <v>44469</v>
      </c>
      <c r="AR11" s="919">
        <f t="shared" si="51"/>
        <v>44500</v>
      </c>
      <c r="AS11" s="919">
        <f t="shared" si="51"/>
        <v>44530</v>
      </c>
      <c r="AT11" s="919">
        <f t="shared" si="51"/>
        <v>44561</v>
      </c>
      <c r="AU11" s="919">
        <f t="shared" si="51"/>
        <v>44592</v>
      </c>
      <c r="AV11" s="919">
        <f t="shared" si="51"/>
        <v>44620</v>
      </c>
      <c r="AW11" s="919">
        <f t="shared" si="51"/>
        <v>44651</v>
      </c>
      <c r="AX11" s="920" t="s">
        <v>1094</v>
      </c>
      <c r="AY11" s="921" t="s">
        <v>1093</v>
      </c>
      <c r="AZ11" s="200" t="s">
        <v>289</v>
      </c>
      <c r="BA11" s="922"/>
      <c r="BB11" s="923">
        <v>43951</v>
      </c>
      <c r="BC11" s="924">
        <f>EOMONTH(BB11,1)</f>
        <v>43982</v>
      </c>
      <c r="BD11" s="924">
        <f t="shared" ref="BD11:BM11" si="52">EOMONTH(BC11,1)</f>
        <v>44012</v>
      </c>
      <c r="BE11" s="924">
        <f t="shared" si="52"/>
        <v>44043</v>
      </c>
      <c r="BF11" s="924">
        <f t="shared" si="52"/>
        <v>44074</v>
      </c>
      <c r="BG11" s="924">
        <f t="shared" si="52"/>
        <v>44104</v>
      </c>
      <c r="BH11" s="924">
        <f t="shared" si="52"/>
        <v>44135</v>
      </c>
      <c r="BI11" s="924">
        <f t="shared" si="52"/>
        <v>44165</v>
      </c>
      <c r="BJ11" s="924">
        <f t="shared" si="52"/>
        <v>44196</v>
      </c>
      <c r="BK11" s="924">
        <f t="shared" si="52"/>
        <v>44227</v>
      </c>
      <c r="BL11" s="924">
        <f t="shared" si="52"/>
        <v>44255</v>
      </c>
      <c r="BM11" s="924">
        <f t="shared" si="52"/>
        <v>44286</v>
      </c>
      <c r="BN11" s="925" t="s">
        <v>1198</v>
      </c>
      <c r="BO11" s="922"/>
      <c r="BP11" s="926">
        <v>43951</v>
      </c>
      <c r="BQ11" s="927">
        <f>EOMONTH(BP11,1)</f>
        <v>43982</v>
      </c>
      <c r="BR11" s="927">
        <f t="shared" ref="BR11:CA11" si="53">EOMONTH(BQ11,1)</f>
        <v>44012</v>
      </c>
      <c r="BS11" s="927">
        <f t="shared" si="53"/>
        <v>44043</v>
      </c>
      <c r="BT11" s="927">
        <f t="shared" si="53"/>
        <v>44074</v>
      </c>
      <c r="BU11" s="927">
        <f t="shared" si="53"/>
        <v>44104</v>
      </c>
      <c r="BV11" s="927">
        <f t="shared" si="53"/>
        <v>44135</v>
      </c>
      <c r="BW11" s="927">
        <f t="shared" si="53"/>
        <v>44165</v>
      </c>
      <c r="BX11" s="927">
        <f t="shared" si="53"/>
        <v>44196</v>
      </c>
      <c r="BY11" s="927">
        <f t="shared" si="53"/>
        <v>44227</v>
      </c>
      <c r="BZ11" s="927">
        <f t="shared" si="53"/>
        <v>44255</v>
      </c>
      <c r="CA11" s="927">
        <f t="shared" si="53"/>
        <v>44286</v>
      </c>
      <c r="CB11" s="369" t="s">
        <v>1092</v>
      </c>
      <c r="CC11" s="928" t="s">
        <v>791</v>
      </c>
      <c r="CD11" s="929" t="s">
        <v>289</v>
      </c>
      <c r="CE11" s="199"/>
      <c r="CF11" s="930">
        <v>43585</v>
      </c>
      <c r="CG11" s="931">
        <f>EOMONTH(CF11,1)</f>
        <v>43616</v>
      </c>
      <c r="CH11" s="931">
        <f t="shared" ref="CH11:CQ11" si="54">EOMONTH(CG11,1)</f>
        <v>43646</v>
      </c>
      <c r="CI11" s="931">
        <f t="shared" si="54"/>
        <v>43677</v>
      </c>
      <c r="CJ11" s="931">
        <f t="shared" si="54"/>
        <v>43708</v>
      </c>
      <c r="CK11" s="931">
        <f t="shared" si="54"/>
        <v>43738</v>
      </c>
      <c r="CL11" s="931">
        <f t="shared" si="54"/>
        <v>43769</v>
      </c>
      <c r="CM11" s="931">
        <f t="shared" si="54"/>
        <v>43799</v>
      </c>
      <c r="CN11" s="931">
        <f t="shared" si="54"/>
        <v>43830</v>
      </c>
      <c r="CO11" s="931">
        <f t="shared" si="54"/>
        <v>43861</v>
      </c>
      <c r="CP11" s="931">
        <f t="shared" si="54"/>
        <v>43890</v>
      </c>
      <c r="CQ11" s="931">
        <f t="shared" si="54"/>
        <v>43921</v>
      </c>
      <c r="CR11" s="932" t="s">
        <v>290</v>
      </c>
      <c r="CS11" s="813" t="s">
        <v>1091</v>
      </c>
      <c r="CT11" s="812" t="s">
        <v>1090</v>
      </c>
      <c r="CU11" s="811" t="s">
        <v>292</v>
      </c>
      <c r="CV11" s="202"/>
      <c r="CW11" s="933">
        <v>43220</v>
      </c>
      <c r="CX11" s="934">
        <f>EOMONTH(CW11,1)</f>
        <v>43251</v>
      </c>
      <c r="CY11" s="934">
        <f t="shared" ref="CY11:DH11" si="55">EOMONTH(CX11,1)</f>
        <v>43281</v>
      </c>
      <c r="CZ11" s="934">
        <f t="shared" si="55"/>
        <v>43312</v>
      </c>
      <c r="DA11" s="934">
        <f t="shared" si="55"/>
        <v>43343</v>
      </c>
      <c r="DB11" s="934">
        <f t="shared" si="55"/>
        <v>43373</v>
      </c>
      <c r="DC11" s="934">
        <f t="shared" si="55"/>
        <v>43404</v>
      </c>
      <c r="DD11" s="934">
        <f t="shared" si="55"/>
        <v>43434</v>
      </c>
      <c r="DE11" s="934">
        <f t="shared" si="55"/>
        <v>43465</v>
      </c>
      <c r="DF11" s="934">
        <f t="shared" si="55"/>
        <v>43496</v>
      </c>
      <c r="DG11" s="934">
        <f t="shared" si="55"/>
        <v>43524</v>
      </c>
      <c r="DH11" s="934">
        <f t="shared" si="55"/>
        <v>43555</v>
      </c>
      <c r="DI11" s="370" t="s">
        <v>1089</v>
      </c>
      <c r="DJ11" s="202"/>
      <c r="DK11" s="933">
        <v>42855</v>
      </c>
      <c r="DL11" s="934">
        <f>EOMONTH(DK11,1)</f>
        <v>42886</v>
      </c>
      <c r="DM11" s="934">
        <f t="shared" ref="DM11:DV11" si="56">EOMONTH(DL11,1)</f>
        <v>42916</v>
      </c>
      <c r="DN11" s="934">
        <f t="shared" si="56"/>
        <v>42947</v>
      </c>
      <c r="DO11" s="934">
        <f t="shared" si="56"/>
        <v>42978</v>
      </c>
      <c r="DP11" s="934">
        <f t="shared" si="56"/>
        <v>43008</v>
      </c>
      <c r="DQ11" s="934">
        <f t="shared" si="56"/>
        <v>43039</v>
      </c>
      <c r="DR11" s="934">
        <f t="shared" si="56"/>
        <v>43069</v>
      </c>
      <c r="DS11" s="934">
        <f t="shared" si="56"/>
        <v>43100</v>
      </c>
      <c r="DT11" s="934">
        <f t="shared" si="56"/>
        <v>43131</v>
      </c>
      <c r="DU11" s="934">
        <f t="shared" si="56"/>
        <v>43159</v>
      </c>
      <c r="DV11" s="934">
        <f t="shared" si="56"/>
        <v>43190</v>
      </c>
      <c r="DW11" s="370" t="s">
        <v>371</v>
      </c>
      <c r="DY11" s="934">
        <v>42490</v>
      </c>
      <c r="DZ11" s="934">
        <f>EOMONTH(DY11,1)</f>
        <v>42521</v>
      </c>
      <c r="EA11" s="934">
        <f t="shared" ref="EA11:EJ11" si="57">EOMONTH(DZ11,1)</f>
        <v>42551</v>
      </c>
      <c r="EB11" s="934">
        <f t="shared" si="57"/>
        <v>42582</v>
      </c>
      <c r="EC11" s="934">
        <f t="shared" si="57"/>
        <v>42613</v>
      </c>
      <c r="ED11" s="934">
        <f t="shared" si="57"/>
        <v>42643</v>
      </c>
      <c r="EE11" s="934">
        <f t="shared" si="57"/>
        <v>42674</v>
      </c>
      <c r="EF11" s="934">
        <f t="shared" si="57"/>
        <v>42704</v>
      </c>
      <c r="EG11" s="934">
        <f t="shared" si="57"/>
        <v>42735</v>
      </c>
      <c r="EH11" s="934">
        <f t="shared" si="57"/>
        <v>42766</v>
      </c>
      <c r="EI11" s="934">
        <f t="shared" si="57"/>
        <v>42794</v>
      </c>
      <c r="EJ11" s="934">
        <f t="shared" si="57"/>
        <v>42825</v>
      </c>
      <c r="EK11" s="370" t="s">
        <v>291</v>
      </c>
      <c r="EM11" s="934">
        <v>42124</v>
      </c>
      <c r="EN11" s="934">
        <f>EOMONTH(EM11,1)</f>
        <v>42155</v>
      </c>
      <c r="EO11" s="934">
        <f t="shared" ref="EO11:EX11" si="58">EOMONTH(EN11,1)</f>
        <v>42185</v>
      </c>
      <c r="EP11" s="934">
        <f t="shared" si="58"/>
        <v>42216</v>
      </c>
      <c r="EQ11" s="934">
        <f t="shared" si="58"/>
        <v>42247</v>
      </c>
      <c r="ER11" s="934">
        <f t="shared" si="58"/>
        <v>42277</v>
      </c>
      <c r="ES11" s="934">
        <f t="shared" si="58"/>
        <v>42308</v>
      </c>
      <c r="ET11" s="934">
        <f t="shared" si="58"/>
        <v>42338</v>
      </c>
      <c r="EU11" s="934">
        <f t="shared" si="58"/>
        <v>42369</v>
      </c>
      <c r="EV11" s="934">
        <f t="shared" si="58"/>
        <v>42400</v>
      </c>
      <c r="EW11" s="934">
        <f t="shared" si="58"/>
        <v>42429</v>
      </c>
      <c r="EX11" s="935">
        <f t="shared" si="58"/>
        <v>42460</v>
      </c>
      <c r="EY11" s="370" t="s">
        <v>293</v>
      </c>
    </row>
    <row r="12" spans="1:156" s="201" customFormat="1" ht="12.75" customHeight="1">
      <c r="B12" s="202"/>
      <c r="C12" s="202"/>
      <c r="D12" s="202"/>
      <c r="F12" s="202"/>
      <c r="G12" s="202"/>
      <c r="H12" s="936"/>
      <c r="I12" s="936"/>
      <c r="J12" s="936"/>
      <c r="K12" s="936"/>
      <c r="L12" s="936"/>
      <c r="M12" s="936"/>
      <c r="N12" s="936"/>
      <c r="O12" s="936"/>
      <c r="P12" s="936"/>
      <c r="Q12" s="936"/>
      <c r="R12" s="936"/>
      <c r="S12" s="936"/>
      <c r="T12" s="936"/>
      <c r="U12" s="937"/>
      <c r="V12" s="203"/>
      <c r="W12" s="922"/>
      <c r="X12" s="936"/>
      <c r="Y12" s="936"/>
      <c r="Z12" s="936"/>
      <c r="AA12" s="936"/>
      <c r="AB12" s="936"/>
      <c r="AC12" s="936"/>
      <c r="AD12" s="936"/>
      <c r="AE12" s="936"/>
      <c r="AF12" s="936"/>
      <c r="AG12" s="936"/>
      <c r="AH12" s="936"/>
      <c r="AI12" s="936"/>
      <c r="AJ12" s="936"/>
      <c r="AK12" s="922"/>
      <c r="AL12" s="936"/>
      <c r="AM12" s="936"/>
      <c r="AN12" s="936"/>
      <c r="AO12" s="936"/>
      <c r="AP12" s="936"/>
      <c r="AQ12" s="936"/>
      <c r="AR12" s="936"/>
      <c r="AS12" s="936"/>
      <c r="AT12" s="936"/>
      <c r="AU12" s="936"/>
      <c r="AV12" s="936"/>
      <c r="AW12" s="936"/>
      <c r="AX12" s="936"/>
      <c r="AY12" s="937"/>
      <c r="AZ12" s="203"/>
      <c r="BA12" s="922"/>
      <c r="BB12" s="936"/>
      <c r="BC12" s="936"/>
      <c r="BD12" s="936"/>
      <c r="BE12" s="936"/>
      <c r="BF12" s="936"/>
      <c r="BG12" s="936"/>
      <c r="BH12" s="936"/>
      <c r="BI12" s="936"/>
      <c r="BJ12" s="936"/>
      <c r="BK12" s="936"/>
      <c r="BL12" s="936"/>
      <c r="BM12" s="936"/>
      <c r="BN12" s="936"/>
      <c r="BO12" s="922"/>
      <c r="BP12" s="938" t="s">
        <v>52</v>
      </c>
      <c r="BQ12" s="938" t="s">
        <v>52</v>
      </c>
      <c r="BR12" s="938" t="s">
        <v>52</v>
      </c>
      <c r="BS12" s="938" t="s">
        <v>52</v>
      </c>
      <c r="BT12" s="938" t="s">
        <v>52</v>
      </c>
      <c r="BU12" s="938" t="s">
        <v>52</v>
      </c>
      <c r="BV12" s="938" t="s">
        <v>52</v>
      </c>
      <c r="BW12" s="938" t="s">
        <v>52</v>
      </c>
      <c r="BX12" s="938" t="s">
        <v>52</v>
      </c>
      <c r="BY12" s="938" t="s">
        <v>52</v>
      </c>
      <c r="BZ12" s="938" t="s">
        <v>52</v>
      </c>
      <c r="CA12" s="938" t="s">
        <v>52</v>
      </c>
      <c r="CB12" s="371"/>
      <c r="CC12" s="937"/>
      <c r="CD12" s="203"/>
      <c r="CE12" s="202"/>
      <c r="CF12" s="938" t="s">
        <v>51</v>
      </c>
      <c r="CG12" s="939" t="s">
        <v>51</v>
      </c>
      <c r="CH12" s="939" t="s">
        <v>51</v>
      </c>
      <c r="CI12" s="939" t="s">
        <v>51</v>
      </c>
      <c r="CJ12" s="939" t="s">
        <v>51</v>
      </c>
      <c r="CK12" s="939" t="s">
        <v>51</v>
      </c>
      <c r="CL12" s="939" t="s">
        <v>51</v>
      </c>
      <c r="CM12" s="939" t="s">
        <v>51</v>
      </c>
      <c r="CN12" s="939" t="s">
        <v>51</v>
      </c>
      <c r="CO12" s="939" t="s">
        <v>51</v>
      </c>
      <c r="CP12" s="939" t="s">
        <v>51</v>
      </c>
      <c r="CQ12" s="939" t="s">
        <v>51</v>
      </c>
      <c r="CR12" s="939"/>
      <c r="CS12" s="371"/>
      <c r="CT12" s="159"/>
      <c r="CU12" s="160"/>
      <c r="CV12" s="202"/>
      <c r="CW12" s="938" t="s">
        <v>51</v>
      </c>
      <c r="CX12" s="939" t="s">
        <v>51</v>
      </c>
      <c r="CY12" s="939" t="s">
        <v>51</v>
      </c>
      <c r="CZ12" s="939" t="s">
        <v>51</v>
      </c>
      <c r="DA12" s="939" t="s">
        <v>51</v>
      </c>
      <c r="DB12" s="939" t="s">
        <v>51</v>
      </c>
      <c r="DC12" s="939" t="s">
        <v>51</v>
      </c>
      <c r="DD12" s="939" t="s">
        <v>51</v>
      </c>
      <c r="DE12" s="939" t="s">
        <v>51</v>
      </c>
      <c r="DF12" s="939" t="s">
        <v>51</v>
      </c>
      <c r="DG12" s="939" t="s">
        <v>51</v>
      </c>
      <c r="DH12" s="939" t="s">
        <v>51</v>
      </c>
      <c r="DI12" s="371"/>
      <c r="DJ12" s="202"/>
      <c r="DK12" s="938" t="s">
        <v>51</v>
      </c>
      <c r="DL12" s="939" t="s">
        <v>51</v>
      </c>
      <c r="DM12" s="939" t="s">
        <v>51</v>
      </c>
      <c r="DN12" s="939" t="s">
        <v>51</v>
      </c>
      <c r="DO12" s="939" t="s">
        <v>51</v>
      </c>
      <c r="DP12" s="939" t="s">
        <v>51</v>
      </c>
      <c r="DQ12" s="939" t="s">
        <v>51</v>
      </c>
      <c r="DR12" s="939" t="s">
        <v>51</v>
      </c>
      <c r="DS12" s="939" t="s">
        <v>51</v>
      </c>
      <c r="DT12" s="939" t="s">
        <v>51</v>
      </c>
      <c r="DU12" s="939" t="s">
        <v>51</v>
      </c>
      <c r="DV12" s="939" t="s">
        <v>51</v>
      </c>
      <c r="DW12" s="371"/>
      <c r="DY12" s="939"/>
      <c r="DZ12" s="939"/>
      <c r="EA12" s="939"/>
      <c r="EB12" s="939"/>
      <c r="EC12" s="939"/>
      <c r="ED12" s="939"/>
      <c r="EE12" s="939"/>
      <c r="EF12" s="939"/>
      <c r="EG12" s="939"/>
      <c r="EH12" s="939"/>
      <c r="EI12" s="939"/>
      <c r="EJ12" s="939"/>
      <c r="EK12" s="371"/>
      <c r="EM12" s="939"/>
      <c r="EN12" s="939"/>
      <c r="EO12" s="939"/>
      <c r="EP12" s="939"/>
      <c r="EQ12" s="939"/>
      <c r="ER12" s="939"/>
      <c r="ES12" s="939"/>
      <c r="ET12" s="939"/>
      <c r="EU12" s="939"/>
      <c r="EV12" s="939"/>
      <c r="EW12" s="939"/>
      <c r="EX12" s="940"/>
      <c r="EY12" s="371"/>
    </row>
    <row r="13" spans="1:156">
      <c r="H13" s="941"/>
      <c r="I13" s="941"/>
      <c r="J13" s="941"/>
      <c r="K13" s="941"/>
      <c r="L13" s="941"/>
      <c r="M13" s="941"/>
      <c r="N13" s="941"/>
      <c r="O13" s="941"/>
      <c r="P13" s="941"/>
      <c r="Q13" s="941"/>
      <c r="R13" s="941"/>
      <c r="S13" s="941"/>
      <c r="T13" s="941"/>
      <c r="U13" s="942"/>
      <c r="V13" s="204"/>
      <c r="X13" s="941"/>
      <c r="Y13" s="941"/>
      <c r="Z13" s="941"/>
      <c r="AA13" s="941"/>
      <c r="AB13" s="941"/>
      <c r="AC13" s="941"/>
      <c r="AD13" s="941"/>
      <c r="AE13" s="941"/>
      <c r="AF13" s="941"/>
      <c r="AG13" s="941"/>
      <c r="AH13" s="941"/>
      <c r="AI13" s="941"/>
      <c r="AJ13" s="941"/>
      <c r="AL13" s="941"/>
      <c r="AM13" s="941"/>
      <c r="AN13" s="941"/>
      <c r="AO13" s="941"/>
      <c r="AP13" s="941"/>
      <c r="AQ13" s="941"/>
      <c r="AR13" s="941"/>
      <c r="AS13" s="941"/>
      <c r="AT13" s="941"/>
      <c r="AU13" s="941"/>
      <c r="AV13" s="941"/>
      <c r="AW13" s="941"/>
      <c r="AX13" s="941"/>
      <c r="AY13" s="942"/>
      <c r="AZ13" s="204"/>
      <c r="BB13" s="941"/>
      <c r="BC13" s="941"/>
      <c r="BD13" s="941"/>
      <c r="BE13" s="941"/>
      <c r="BF13" s="941"/>
      <c r="BG13" s="941"/>
      <c r="BH13" s="941"/>
      <c r="BI13" s="941"/>
      <c r="BJ13" s="941"/>
      <c r="BK13" s="941"/>
      <c r="BL13" s="941"/>
      <c r="BM13" s="941"/>
      <c r="BN13" s="941"/>
      <c r="BP13" s="943" t="s">
        <v>594</v>
      </c>
      <c r="BQ13" s="943" t="s">
        <v>594</v>
      </c>
      <c r="BR13" s="943" t="s">
        <v>594</v>
      </c>
      <c r="BS13" s="943" t="s">
        <v>594</v>
      </c>
      <c r="BT13" s="943" t="s">
        <v>594</v>
      </c>
      <c r="BU13" s="943" t="s">
        <v>594</v>
      </c>
      <c r="BV13" s="943" t="s">
        <v>594</v>
      </c>
      <c r="BW13" s="943" t="s">
        <v>594</v>
      </c>
      <c r="BX13" s="943" t="s">
        <v>594</v>
      </c>
      <c r="BY13" s="943" t="s">
        <v>594</v>
      </c>
      <c r="BZ13" s="943" t="s">
        <v>594</v>
      </c>
      <c r="CA13" s="943" t="s">
        <v>594</v>
      </c>
      <c r="CB13" s="372"/>
      <c r="CC13" s="942"/>
      <c r="CD13" s="204"/>
      <c r="CF13" s="943" t="s">
        <v>582</v>
      </c>
      <c r="CG13" s="916" t="s">
        <v>582</v>
      </c>
      <c r="CH13" s="916" t="s">
        <v>582</v>
      </c>
      <c r="CI13" s="916" t="s">
        <v>582</v>
      </c>
      <c r="CJ13" s="916" t="s">
        <v>582</v>
      </c>
      <c r="CK13" s="916" t="s">
        <v>582</v>
      </c>
      <c r="CL13" s="944" t="s">
        <v>582</v>
      </c>
      <c r="CM13" s="916" t="s">
        <v>582</v>
      </c>
      <c r="CN13" s="916" t="s">
        <v>582</v>
      </c>
      <c r="CO13" s="916" t="s">
        <v>582</v>
      </c>
      <c r="CP13" s="916" t="s">
        <v>582</v>
      </c>
      <c r="CQ13" s="916" t="s">
        <v>582</v>
      </c>
      <c r="CR13" s="945"/>
      <c r="CS13" s="372"/>
      <c r="CT13" s="158"/>
      <c r="CU13" s="161"/>
      <c r="CW13" s="943" t="s">
        <v>582</v>
      </c>
      <c r="CX13" s="916" t="s">
        <v>582</v>
      </c>
      <c r="CY13" s="916" t="s">
        <v>582</v>
      </c>
      <c r="CZ13" s="916" t="s">
        <v>582</v>
      </c>
      <c r="DA13" s="916" t="s">
        <v>582</v>
      </c>
      <c r="DB13" s="916" t="s">
        <v>582</v>
      </c>
      <c r="DC13" s="944" t="s">
        <v>582</v>
      </c>
      <c r="DD13" s="916" t="s">
        <v>582</v>
      </c>
      <c r="DE13" s="916" t="s">
        <v>582</v>
      </c>
      <c r="DF13" s="916" t="s">
        <v>582</v>
      </c>
      <c r="DG13" s="916" t="s">
        <v>582</v>
      </c>
      <c r="DH13" s="916" t="s">
        <v>582</v>
      </c>
      <c r="DI13" s="372"/>
      <c r="DK13" s="943" t="s">
        <v>582</v>
      </c>
      <c r="DL13" s="916" t="s">
        <v>582</v>
      </c>
      <c r="DM13" s="916" t="s">
        <v>582</v>
      </c>
      <c r="DN13" s="916" t="s">
        <v>582</v>
      </c>
      <c r="DO13" s="916" t="s">
        <v>582</v>
      </c>
      <c r="DP13" s="916" t="s">
        <v>582</v>
      </c>
      <c r="DQ13" s="944" t="s">
        <v>582</v>
      </c>
      <c r="DR13" s="916" t="s">
        <v>582</v>
      </c>
      <c r="DS13" s="916" t="s">
        <v>582</v>
      </c>
      <c r="DT13" s="916" t="s">
        <v>582</v>
      </c>
      <c r="DU13" s="916" t="s">
        <v>582</v>
      </c>
      <c r="DV13" s="916" t="s">
        <v>582</v>
      </c>
      <c r="DW13" s="372"/>
      <c r="DY13" s="916" t="s">
        <v>582</v>
      </c>
      <c r="DZ13" s="916" t="s">
        <v>582</v>
      </c>
      <c r="EA13" s="916" t="s">
        <v>582</v>
      </c>
      <c r="EB13" s="916" t="s">
        <v>582</v>
      </c>
      <c r="EC13" s="916" t="s">
        <v>582</v>
      </c>
      <c r="ED13" s="916" t="s">
        <v>582</v>
      </c>
      <c r="EE13" s="944" t="s">
        <v>582</v>
      </c>
      <c r="EF13" s="916" t="s">
        <v>582</v>
      </c>
      <c r="EG13" s="916" t="s">
        <v>582</v>
      </c>
      <c r="EH13" s="916" t="s">
        <v>582</v>
      </c>
      <c r="EI13" s="916" t="s">
        <v>582</v>
      </c>
      <c r="EJ13" s="916" t="s">
        <v>582</v>
      </c>
      <c r="EK13" s="372"/>
      <c r="EM13" s="916" t="s">
        <v>582</v>
      </c>
      <c r="EN13" s="916" t="s">
        <v>582</v>
      </c>
      <c r="EO13" s="916" t="s">
        <v>582</v>
      </c>
      <c r="EP13" s="916" t="s">
        <v>582</v>
      </c>
      <c r="EQ13" s="916" t="s">
        <v>582</v>
      </c>
      <c r="ER13" s="916" t="s">
        <v>582</v>
      </c>
      <c r="ES13" s="916" t="s">
        <v>582</v>
      </c>
      <c r="ET13" s="916" t="s">
        <v>582</v>
      </c>
      <c r="EU13" s="916" t="s">
        <v>582</v>
      </c>
      <c r="EV13" s="916" t="s">
        <v>582</v>
      </c>
      <c r="EW13" s="916" t="s">
        <v>582</v>
      </c>
      <c r="EX13" s="946" t="s">
        <v>582</v>
      </c>
      <c r="EY13" s="372"/>
    </row>
    <row r="14" spans="1:156">
      <c r="H14" s="941"/>
      <c r="I14" s="941"/>
      <c r="J14" s="941"/>
      <c r="K14" s="941"/>
      <c r="L14" s="941"/>
      <c r="M14" s="941"/>
      <c r="N14" s="941"/>
      <c r="O14" s="941"/>
      <c r="P14" s="941"/>
      <c r="Q14" s="941"/>
      <c r="R14" s="941"/>
      <c r="S14" s="941"/>
      <c r="T14" s="941"/>
      <c r="U14" s="942"/>
      <c r="V14" s="204"/>
      <c r="X14" s="941"/>
      <c r="Y14" s="941"/>
      <c r="Z14" s="941"/>
      <c r="AA14" s="941"/>
      <c r="AB14" s="941"/>
      <c r="AC14" s="941"/>
      <c r="AD14" s="941"/>
      <c r="AE14" s="941"/>
      <c r="AF14" s="941"/>
      <c r="AG14" s="941"/>
      <c r="AH14" s="941"/>
      <c r="AI14" s="941"/>
      <c r="AJ14" s="941"/>
      <c r="AL14" s="941"/>
      <c r="AM14" s="941"/>
      <c r="AN14" s="941"/>
      <c r="AO14" s="941"/>
      <c r="AP14" s="941"/>
      <c r="AQ14" s="941"/>
      <c r="AR14" s="941"/>
      <c r="AS14" s="941"/>
      <c r="AT14" s="941"/>
      <c r="AU14" s="941"/>
      <c r="AV14" s="941"/>
      <c r="AW14" s="941"/>
      <c r="AX14" s="941"/>
      <c r="AY14" s="942"/>
      <c r="AZ14" s="204"/>
      <c r="BB14" s="941"/>
      <c r="BC14" s="941"/>
      <c r="BD14" s="941"/>
      <c r="BE14" s="941"/>
      <c r="BF14" s="941"/>
      <c r="BG14" s="941"/>
      <c r="BH14" s="941"/>
      <c r="BI14" s="941"/>
      <c r="BJ14" s="941"/>
      <c r="BK14" s="941"/>
      <c r="BL14" s="941"/>
      <c r="BM14" s="941"/>
      <c r="BN14" s="941"/>
      <c r="BP14" s="373"/>
      <c r="BQ14" s="373"/>
      <c r="BR14" s="373"/>
      <c r="BS14" s="373"/>
      <c r="BT14" s="373"/>
      <c r="BU14" s="373"/>
      <c r="BV14" s="374"/>
      <c r="BW14" s="373"/>
      <c r="BX14" s="373"/>
      <c r="BY14" s="373"/>
      <c r="BZ14" s="373"/>
      <c r="CA14" s="373"/>
      <c r="CB14" s="375"/>
      <c r="CC14" s="942"/>
      <c r="CD14" s="204"/>
      <c r="CF14" s="373"/>
      <c r="CG14" s="373"/>
      <c r="CH14" s="373"/>
      <c r="CI14" s="373"/>
      <c r="CJ14" s="373"/>
      <c r="CK14" s="373"/>
      <c r="CL14" s="374"/>
      <c r="CM14" s="373"/>
      <c r="CN14" s="373"/>
      <c r="CO14" s="373"/>
      <c r="CP14" s="373"/>
      <c r="CQ14" s="373"/>
      <c r="CR14" s="376"/>
      <c r="CS14" s="375"/>
      <c r="CT14" s="162"/>
      <c r="CU14" s="163"/>
      <c r="CW14" s="373"/>
      <c r="CX14" s="373"/>
      <c r="CY14" s="373"/>
      <c r="CZ14" s="373"/>
      <c r="DA14" s="373"/>
      <c r="DB14" s="373"/>
      <c r="DC14" s="374"/>
      <c r="DD14" s="373"/>
      <c r="DE14" s="373"/>
      <c r="DF14" s="373"/>
      <c r="DG14" s="373"/>
      <c r="DH14" s="373"/>
      <c r="DI14" s="375"/>
      <c r="DK14" s="373"/>
      <c r="DL14" s="373"/>
      <c r="DM14" s="373"/>
      <c r="DN14" s="373"/>
      <c r="DO14" s="373"/>
      <c r="DP14" s="373"/>
      <c r="DQ14" s="374"/>
      <c r="DR14" s="373"/>
      <c r="DS14" s="373"/>
      <c r="DT14" s="373"/>
      <c r="DU14" s="373"/>
      <c r="DV14" s="373"/>
      <c r="DW14" s="375"/>
      <c r="DY14" s="373"/>
      <c r="DZ14" s="373"/>
      <c r="EA14" s="373"/>
      <c r="EB14" s="373"/>
      <c r="EC14" s="373"/>
      <c r="ED14" s="373"/>
      <c r="EE14" s="374"/>
      <c r="EF14" s="373"/>
      <c r="EG14" s="373"/>
      <c r="EH14" s="373"/>
      <c r="EI14" s="373"/>
      <c r="EJ14" s="373"/>
      <c r="EK14" s="375"/>
      <c r="EL14" s="164"/>
      <c r="EM14" s="373"/>
      <c r="EN14" s="373"/>
      <c r="EO14" s="373"/>
      <c r="EP14" s="373"/>
      <c r="EQ14" s="373"/>
      <c r="ER14" s="373"/>
      <c r="ES14" s="373"/>
      <c r="ET14" s="373"/>
      <c r="EU14" s="373"/>
      <c r="EV14" s="373"/>
      <c r="EW14" s="373"/>
      <c r="EX14" s="377"/>
      <c r="EY14" s="375"/>
      <c r="EZ14" s="164"/>
    </row>
    <row r="15" spans="1:156" ht="22.5" customHeight="1">
      <c r="E15" s="187" t="s">
        <v>294</v>
      </c>
      <c r="H15" s="373">
        <v>0</v>
      </c>
      <c r="I15" s="373">
        <v>0</v>
      </c>
      <c r="J15" s="373">
        <v>0</v>
      </c>
      <c r="K15" s="373">
        <v>0</v>
      </c>
      <c r="L15" s="373">
        <v>0</v>
      </c>
      <c r="M15" s="373">
        <v>0</v>
      </c>
      <c r="N15" s="373">
        <v>0</v>
      </c>
      <c r="O15" s="373">
        <v>0</v>
      </c>
      <c r="P15" s="373">
        <v>0</v>
      </c>
      <c r="Q15" s="373">
        <v>0</v>
      </c>
      <c r="R15" s="374">
        <v>0</v>
      </c>
      <c r="S15" s="1522">
        <v>195000000</v>
      </c>
      <c r="T15" s="981">
        <f>SUM(H15:S15)</f>
        <v>195000000</v>
      </c>
      <c r="U15" s="378">
        <f>T15-AJ15</f>
        <v>-45743484</v>
      </c>
      <c r="V15" s="165">
        <f>U15/AJ15</f>
        <v>-0.1900092299071322</v>
      </c>
      <c r="W15" s="810"/>
      <c r="X15" s="373">
        <v>8368592</v>
      </c>
      <c r="Y15" s="373">
        <v>5621256</v>
      </c>
      <c r="Z15" s="373">
        <v>9325826</v>
      </c>
      <c r="AA15" s="373">
        <v>14040334</v>
      </c>
      <c r="AB15" s="373">
        <v>14726532</v>
      </c>
      <c r="AC15" s="373">
        <v>12324464</v>
      </c>
      <c r="AD15" s="373">
        <v>13056558</v>
      </c>
      <c r="AE15" s="373">
        <v>16900076</v>
      </c>
      <c r="AF15" s="373">
        <v>9648888</v>
      </c>
      <c r="AG15" s="373">
        <v>3087480</v>
      </c>
      <c r="AH15" s="374">
        <v>13271736</v>
      </c>
      <c r="AI15" s="374">
        <v>120371742</v>
      </c>
      <c r="AJ15" s="375">
        <f>SUM(X15:AI15)</f>
        <v>240743484</v>
      </c>
      <c r="AK15" s="810"/>
      <c r="AL15" s="373">
        <v>0</v>
      </c>
      <c r="AM15" s="373">
        <v>0</v>
      </c>
      <c r="AN15" s="373">
        <v>0</v>
      </c>
      <c r="AO15" s="373">
        <v>0</v>
      </c>
      <c r="AP15" s="373">
        <v>0</v>
      </c>
      <c r="AQ15" s="373">
        <v>0</v>
      </c>
      <c r="AR15" s="373">
        <v>0</v>
      </c>
      <c r="AS15" s="373">
        <v>0</v>
      </c>
      <c r="AT15" s="373">
        <v>0</v>
      </c>
      <c r="AU15" s="373">
        <v>0</v>
      </c>
      <c r="AV15" s="374">
        <v>0</v>
      </c>
      <c r="AW15" s="374">
        <v>120420000</v>
      </c>
      <c r="AX15" s="375">
        <f>SUM(AL15:AW15)</f>
        <v>120420000</v>
      </c>
      <c r="AY15" s="378">
        <f>AX15-BN15</f>
        <v>923314</v>
      </c>
      <c r="AZ15" s="165">
        <f>AY15/BN15</f>
        <v>7.7266912657310014E-3</v>
      </c>
      <c r="BA15" s="810"/>
      <c r="BB15" s="373">
        <v>13081504</v>
      </c>
      <c r="BC15" s="373">
        <v>10875424</v>
      </c>
      <c r="BD15" s="373">
        <v>12354580</v>
      </c>
      <c r="BE15" s="373">
        <v>3655520</v>
      </c>
      <c r="BF15" s="373">
        <v>7420876</v>
      </c>
      <c r="BG15" s="373">
        <v>6837050</v>
      </c>
      <c r="BH15" s="373">
        <v>12258510</v>
      </c>
      <c r="BI15" s="373">
        <v>16641156</v>
      </c>
      <c r="BJ15" s="373">
        <v>12530758</v>
      </c>
      <c r="BK15" s="373">
        <v>11011864</v>
      </c>
      <c r="BL15" s="374">
        <v>5987676</v>
      </c>
      <c r="BM15" s="374">
        <v>6841768</v>
      </c>
      <c r="BN15" s="375">
        <f>SUM(BB15:BM15)</f>
        <v>119496686</v>
      </c>
      <c r="BO15" s="810"/>
      <c r="BP15" s="373">
        <v>10000000</v>
      </c>
      <c r="BQ15" s="373">
        <v>10000000</v>
      </c>
      <c r="BR15" s="373">
        <v>10000000</v>
      </c>
      <c r="BS15" s="373">
        <v>10000000</v>
      </c>
      <c r="BT15" s="373">
        <v>10000000</v>
      </c>
      <c r="BU15" s="373">
        <v>10000000</v>
      </c>
      <c r="BV15" s="374">
        <v>18000000</v>
      </c>
      <c r="BW15" s="373">
        <v>18000000</v>
      </c>
      <c r="BX15" s="373">
        <v>20000000</v>
      </c>
      <c r="BY15" s="373">
        <v>18000000</v>
      </c>
      <c r="BZ15" s="373">
        <v>18000000</v>
      </c>
      <c r="CA15" s="373">
        <v>18000000</v>
      </c>
      <c r="CB15" s="375">
        <f>SUM(BP15:CA15)</f>
        <v>170000000</v>
      </c>
      <c r="CC15" s="378">
        <f>BN15-CB15</f>
        <v>-50503314</v>
      </c>
      <c r="CD15" s="165">
        <f>IFERROR(CC15/CB15,"N/A")</f>
        <v>-0.29707831764705883</v>
      </c>
      <c r="CF15" s="373">
        <v>43839824</v>
      </c>
      <c r="CG15" s="373">
        <v>47554788</v>
      </c>
      <c r="CH15" s="373">
        <v>42545280</v>
      </c>
      <c r="CI15" s="373">
        <v>37923600</v>
      </c>
      <c r="CJ15" s="373">
        <v>31511906</v>
      </c>
      <c r="CK15" s="373">
        <v>20313738</v>
      </c>
      <c r="CL15" s="374">
        <v>12187888</v>
      </c>
      <c r="CM15" s="373">
        <v>12375192</v>
      </c>
      <c r="CN15" s="373">
        <v>3390472</v>
      </c>
      <c r="CO15" s="373">
        <v>12515580</v>
      </c>
      <c r="CP15" s="373">
        <v>8389896</v>
      </c>
      <c r="CQ15" s="373">
        <v>11580336</v>
      </c>
      <c r="CR15" s="376"/>
      <c r="CS15" s="375">
        <f>SUM(CF15:CR15)</f>
        <v>284128500</v>
      </c>
      <c r="CT15" s="378">
        <f>BN15-CS15</f>
        <v>-164631814</v>
      </c>
      <c r="CU15" s="165">
        <f>IFERROR(CT15/CS15,"N/A")</f>
        <v>-0.57942731545761861</v>
      </c>
      <c r="CW15" s="373">
        <v>16072482</v>
      </c>
      <c r="CX15" s="373">
        <v>22326528</v>
      </c>
      <c r="CY15" s="373">
        <v>22848056</v>
      </c>
      <c r="CZ15" s="373">
        <v>19044958</v>
      </c>
      <c r="DA15" s="373">
        <v>39293214</v>
      </c>
      <c r="DB15" s="373">
        <v>32432520</v>
      </c>
      <c r="DC15" s="374">
        <v>36866284</v>
      </c>
      <c r="DD15" s="373">
        <v>31706114</v>
      </c>
      <c r="DE15" s="373">
        <v>50561972</v>
      </c>
      <c r="DF15" s="373">
        <v>36864504</v>
      </c>
      <c r="DG15" s="373">
        <v>24531144</v>
      </c>
      <c r="DH15" s="373">
        <v>42702692</v>
      </c>
      <c r="DI15" s="375">
        <f>SUM(CW15:DH15)</f>
        <v>375250468</v>
      </c>
      <c r="DK15" s="373">
        <v>9751340</v>
      </c>
      <c r="DL15" s="373">
        <v>15413820</v>
      </c>
      <c r="DM15" s="373">
        <v>16584816</v>
      </c>
      <c r="DN15" s="373">
        <v>19825208</v>
      </c>
      <c r="DO15" s="373">
        <v>18968904</v>
      </c>
      <c r="DP15" s="373">
        <v>16872896</v>
      </c>
      <c r="DQ15" s="374">
        <v>14852328</v>
      </c>
      <c r="DR15" s="373">
        <v>23874582</v>
      </c>
      <c r="DS15" s="373">
        <v>22115800</v>
      </c>
      <c r="DT15" s="373">
        <v>26245680</v>
      </c>
      <c r="DU15" s="373">
        <v>13836676</v>
      </c>
      <c r="DV15" s="373">
        <v>27081960</v>
      </c>
      <c r="DW15" s="375">
        <f>SUM(DK15:DV15)</f>
        <v>225424010</v>
      </c>
      <c r="DY15" s="373">
        <v>19693744</v>
      </c>
      <c r="DZ15" s="373">
        <v>12506428</v>
      </c>
      <c r="EA15" s="373">
        <v>17252244</v>
      </c>
      <c r="EB15" s="373">
        <v>17678386</v>
      </c>
      <c r="EC15" s="373">
        <v>16007514</v>
      </c>
      <c r="ED15" s="373">
        <v>18719912</v>
      </c>
      <c r="EE15" s="374">
        <v>20969576</v>
      </c>
      <c r="EF15" s="373">
        <v>26570306</v>
      </c>
      <c r="EG15" s="373">
        <v>24413314</v>
      </c>
      <c r="EH15" s="373">
        <v>15629124</v>
      </c>
      <c r="EI15" s="373">
        <v>13935386</v>
      </c>
      <c r="EJ15" s="373">
        <v>20856986</v>
      </c>
      <c r="EK15" s="375">
        <f>SUM(DY15:EJ15)</f>
        <v>224232920</v>
      </c>
      <c r="EL15" s="164"/>
      <c r="EM15" s="373">
        <v>20936920</v>
      </c>
      <c r="EN15" s="373">
        <v>18092400</v>
      </c>
      <c r="EO15" s="373">
        <v>23145200</v>
      </c>
      <c r="EP15" s="373">
        <v>18863798</v>
      </c>
      <c r="EQ15" s="373">
        <v>20427670</v>
      </c>
      <c r="ER15" s="373">
        <v>17035732</v>
      </c>
      <c r="ES15" s="373">
        <v>22002120</v>
      </c>
      <c r="ET15" s="373">
        <v>19284630</v>
      </c>
      <c r="EU15" s="373">
        <v>19654692</v>
      </c>
      <c r="EV15" s="373">
        <v>19029954</v>
      </c>
      <c r="EW15" s="373">
        <v>20496248</v>
      </c>
      <c r="EX15" s="377">
        <v>19677786</v>
      </c>
      <c r="EY15" s="375">
        <f>SUM(EM15:EX15)</f>
        <v>238647150</v>
      </c>
      <c r="EZ15" s="164"/>
    </row>
    <row r="16" spans="1:156" ht="14.25" customHeight="1">
      <c r="H16" s="373"/>
      <c r="I16" s="373"/>
      <c r="J16" s="373"/>
      <c r="K16" s="373"/>
      <c r="L16" s="373"/>
      <c r="M16" s="373"/>
      <c r="N16" s="374"/>
      <c r="O16" s="373"/>
      <c r="P16" s="373"/>
      <c r="Q16" s="373"/>
      <c r="R16" s="373"/>
      <c r="S16" s="373"/>
      <c r="T16" s="809"/>
      <c r="U16" s="942"/>
      <c r="V16" s="204"/>
      <c r="X16" s="373"/>
      <c r="Y16" s="373"/>
      <c r="Z16" s="373"/>
      <c r="AA16" s="373"/>
      <c r="AB16" s="373"/>
      <c r="AC16" s="373"/>
      <c r="AD16" s="374"/>
      <c r="AE16" s="373"/>
      <c r="AF16" s="373"/>
      <c r="AG16" s="373"/>
      <c r="AH16" s="373"/>
      <c r="AI16" s="373"/>
      <c r="AJ16" s="809"/>
      <c r="AL16" s="373"/>
      <c r="AM16" s="373"/>
      <c r="AN16" s="373"/>
      <c r="AO16" s="373"/>
      <c r="AP16" s="373"/>
      <c r="AQ16" s="373"/>
      <c r="AR16" s="374"/>
      <c r="AS16" s="373"/>
      <c r="AT16" s="373"/>
      <c r="AU16" s="373"/>
      <c r="AV16" s="373"/>
      <c r="AW16" s="373"/>
      <c r="AX16" s="809"/>
      <c r="AY16" s="942"/>
      <c r="AZ16" s="204"/>
      <c r="BB16" s="373"/>
      <c r="BC16" s="373"/>
      <c r="BD16" s="373"/>
      <c r="BE16" s="373"/>
      <c r="BF16" s="373"/>
      <c r="BG16" s="373"/>
      <c r="BH16" s="374"/>
      <c r="BI16" s="373"/>
      <c r="BJ16" s="373"/>
      <c r="BK16" s="373"/>
      <c r="BL16" s="373"/>
      <c r="BM16" s="373"/>
      <c r="BN16" s="809"/>
      <c r="BP16" s="373"/>
      <c r="BQ16" s="373"/>
      <c r="BR16" s="373"/>
      <c r="BS16" s="373"/>
      <c r="BT16" s="373"/>
      <c r="BU16" s="373"/>
      <c r="BV16" s="374"/>
      <c r="BW16" s="373"/>
      <c r="BX16" s="373"/>
      <c r="BY16" s="373"/>
      <c r="BZ16" s="373"/>
      <c r="CA16" s="373"/>
      <c r="CB16" s="375"/>
      <c r="CC16" s="942"/>
      <c r="CD16" s="204"/>
      <c r="CF16" s="373"/>
      <c r="CG16" s="373"/>
      <c r="CH16" s="373"/>
      <c r="CI16" s="373"/>
      <c r="CJ16" s="373"/>
      <c r="CK16" s="373"/>
      <c r="CL16" s="374"/>
      <c r="CM16" s="373"/>
      <c r="CN16" s="373"/>
      <c r="CO16" s="373"/>
      <c r="CP16" s="373"/>
      <c r="CQ16" s="373"/>
      <c r="CR16" s="376"/>
      <c r="CS16" s="375"/>
      <c r="CT16" s="193"/>
      <c r="CU16" s="204"/>
      <c r="CW16" s="373"/>
      <c r="CX16" s="373"/>
      <c r="CY16" s="373"/>
      <c r="CZ16" s="373"/>
      <c r="DA16" s="373"/>
      <c r="DB16" s="373"/>
      <c r="DC16" s="374"/>
      <c r="DD16" s="373"/>
      <c r="DE16" s="373"/>
      <c r="DF16" s="373"/>
      <c r="DG16" s="373"/>
      <c r="DH16" s="373"/>
      <c r="DI16" s="375"/>
      <c r="DK16" s="373"/>
      <c r="DL16" s="373"/>
      <c r="DM16" s="373"/>
      <c r="DN16" s="373"/>
      <c r="DO16" s="373"/>
      <c r="DP16" s="373"/>
      <c r="DQ16" s="374"/>
      <c r="DR16" s="373"/>
      <c r="DS16" s="373"/>
      <c r="DT16" s="373"/>
      <c r="DU16" s="373"/>
      <c r="DV16" s="373"/>
      <c r="DW16" s="375"/>
      <c r="DY16" s="373"/>
      <c r="DZ16" s="373"/>
      <c r="EA16" s="373"/>
      <c r="EB16" s="373"/>
      <c r="EC16" s="373"/>
      <c r="ED16" s="373"/>
      <c r="EE16" s="374"/>
      <c r="EF16" s="373"/>
      <c r="EG16" s="373"/>
      <c r="EH16" s="373"/>
      <c r="EI16" s="373"/>
      <c r="EJ16" s="373"/>
      <c r="EK16" s="375"/>
      <c r="EL16" s="164"/>
      <c r="EM16" s="373"/>
      <c r="EN16" s="373"/>
      <c r="EO16" s="373"/>
      <c r="EP16" s="373"/>
      <c r="EQ16" s="373"/>
      <c r="ER16" s="373"/>
      <c r="ES16" s="373"/>
      <c r="ET16" s="373"/>
      <c r="EU16" s="373"/>
      <c r="EV16" s="373"/>
      <c r="EW16" s="373"/>
      <c r="EX16" s="377"/>
      <c r="EY16" s="375"/>
      <c r="EZ16" s="164"/>
    </row>
    <row r="17" spans="2:156" ht="16.5" customHeight="1">
      <c r="H17" s="373"/>
      <c r="I17" s="373"/>
      <c r="J17" s="373"/>
      <c r="K17" s="373"/>
      <c r="L17" s="373"/>
      <c r="M17" s="373"/>
      <c r="N17" s="373"/>
      <c r="O17" s="373"/>
      <c r="P17" s="373"/>
      <c r="Q17" s="373"/>
      <c r="R17" s="373"/>
      <c r="S17" s="373"/>
      <c r="T17" s="375"/>
      <c r="U17" s="942"/>
      <c r="V17" s="204"/>
      <c r="X17" s="373"/>
      <c r="Y17" s="373"/>
      <c r="Z17" s="373"/>
      <c r="AA17" s="373"/>
      <c r="AB17" s="373"/>
      <c r="AC17" s="373"/>
      <c r="AD17" s="373"/>
      <c r="AE17" s="373"/>
      <c r="AF17" s="373"/>
      <c r="AG17" s="373"/>
      <c r="AH17" s="373"/>
      <c r="AI17" s="373"/>
      <c r="AJ17" s="375"/>
      <c r="AL17" s="373"/>
      <c r="AM17" s="373"/>
      <c r="AN17" s="373"/>
      <c r="AO17" s="373"/>
      <c r="AP17" s="373"/>
      <c r="AQ17" s="373"/>
      <c r="AR17" s="373"/>
      <c r="AS17" s="373"/>
      <c r="AT17" s="373"/>
      <c r="AU17" s="373"/>
      <c r="AV17" s="373"/>
      <c r="AW17" s="373"/>
      <c r="AX17" s="375"/>
      <c r="AY17" s="942"/>
      <c r="AZ17" s="204"/>
      <c r="BB17" s="373"/>
      <c r="BC17" s="373"/>
      <c r="BD17" s="373"/>
      <c r="BE17" s="373"/>
      <c r="BF17" s="373"/>
      <c r="BG17" s="373"/>
      <c r="BH17" s="373"/>
      <c r="BI17" s="373"/>
      <c r="BJ17" s="373"/>
      <c r="BK17" s="373"/>
      <c r="BL17" s="373"/>
      <c r="BM17" s="373"/>
      <c r="BN17" s="375"/>
      <c r="BP17" s="373"/>
      <c r="BQ17" s="373"/>
      <c r="BR17" s="373"/>
      <c r="BS17" s="373"/>
      <c r="BT17" s="373"/>
      <c r="BU17" s="373"/>
      <c r="BV17" s="374"/>
      <c r="BW17" s="373"/>
      <c r="BX17" s="373"/>
      <c r="BY17" s="373"/>
      <c r="BZ17" s="373"/>
      <c r="CA17" s="373"/>
      <c r="CB17" s="375"/>
      <c r="CC17" s="942"/>
      <c r="CD17" s="204"/>
      <c r="CF17" s="373"/>
      <c r="CG17" s="373"/>
      <c r="CH17" s="373"/>
      <c r="CI17" s="373"/>
      <c r="CJ17" s="373"/>
      <c r="CK17" s="373"/>
      <c r="CL17" s="374"/>
      <c r="CM17" s="373"/>
      <c r="CN17" s="373"/>
      <c r="CO17" s="373"/>
      <c r="CP17" s="373"/>
      <c r="CQ17" s="373"/>
      <c r="CR17" s="376"/>
      <c r="CS17" s="375"/>
      <c r="CT17" s="193"/>
      <c r="CU17" s="204"/>
      <c r="CW17" s="373"/>
      <c r="CX17" s="373"/>
      <c r="CY17" s="373"/>
      <c r="CZ17" s="373"/>
      <c r="DA17" s="373"/>
      <c r="DB17" s="373"/>
      <c r="DC17" s="374"/>
      <c r="DD17" s="373"/>
      <c r="DE17" s="373"/>
      <c r="DF17" s="373"/>
      <c r="DG17" s="373"/>
      <c r="DH17" s="373"/>
      <c r="DI17" s="375"/>
      <c r="DK17" s="373"/>
      <c r="DL17" s="373"/>
      <c r="DM17" s="373"/>
      <c r="DN17" s="373"/>
      <c r="DO17" s="373"/>
      <c r="DP17" s="373"/>
      <c r="DQ17" s="374"/>
      <c r="DR17" s="373"/>
      <c r="DS17" s="373"/>
      <c r="DT17" s="373"/>
      <c r="DU17" s="373"/>
      <c r="DV17" s="373"/>
      <c r="DW17" s="375"/>
      <c r="DY17" s="373"/>
      <c r="DZ17" s="373"/>
      <c r="EA17" s="373"/>
      <c r="EB17" s="373"/>
      <c r="EC17" s="373"/>
      <c r="ED17" s="373"/>
      <c r="EE17" s="374"/>
      <c r="EF17" s="373"/>
      <c r="EG17" s="373"/>
      <c r="EH17" s="373"/>
      <c r="EI17" s="373"/>
      <c r="EJ17" s="373"/>
      <c r="EK17" s="375"/>
      <c r="EL17" s="164"/>
      <c r="EM17" s="373"/>
      <c r="EN17" s="373"/>
      <c r="EO17" s="373"/>
      <c r="EP17" s="373"/>
      <c r="EQ17" s="373"/>
      <c r="ER17" s="373"/>
      <c r="ES17" s="373"/>
      <c r="ET17" s="373"/>
      <c r="EU17" s="373"/>
      <c r="EV17" s="373"/>
      <c r="EW17" s="373"/>
      <c r="EX17" s="377"/>
      <c r="EY17" s="375"/>
      <c r="EZ17" s="164"/>
    </row>
    <row r="18" spans="2:156" ht="18.75" customHeight="1">
      <c r="E18" s="187" t="s">
        <v>295</v>
      </c>
      <c r="H18" s="373"/>
      <c r="I18" s="373"/>
      <c r="J18" s="373"/>
      <c r="K18" s="373"/>
      <c r="L18" s="373"/>
      <c r="M18" s="373"/>
      <c r="N18" s="373"/>
      <c r="O18" s="373"/>
      <c r="P18" s="373"/>
      <c r="Q18" s="373"/>
      <c r="R18" s="373"/>
      <c r="S18" s="373"/>
      <c r="T18" s="375"/>
      <c r="U18" s="379"/>
      <c r="V18" s="163"/>
      <c r="X18" s="373"/>
      <c r="Y18" s="373"/>
      <c r="Z18" s="373"/>
      <c r="AA18" s="373"/>
      <c r="AB18" s="373"/>
      <c r="AC18" s="373"/>
      <c r="AD18" s="373"/>
      <c r="AE18" s="373"/>
      <c r="AF18" s="373"/>
      <c r="AG18" s="373"/>
      <c r="AH18" s="373"/>
      <c r="AI18" s="373"/>
      <c r="AJ18" s="375"/>
      <c r="AL18" s="373"/>
      <c r="AM18" s="373"/>
      <c r="AN18" s="373"/>
      <c r="AO18" s="373"/>
      <c r="AP18" s="373"/>
      <c r="AQ18" s="373"/>
      <c r="AR18" s="373"/>
      <c r="AS18" s="373"/>
      <c r="AT18" s="373"/>
      <c r="AU18" s="373"/>
      <c r="AV18" s="373"/>
      <c r="AW18" s="373"/>
      <c r="AX18" s="375"/>
      <c r="AY18" s="379"/>
      <c r="AZ18" s="163"/>
      <c r="BB18" s="373"/>
      <c r="BC18" s="373"/>
      <c r="BD18" s="373"/>
      <c r="BE18" s="373"/>
      <c r="BF18" s="373"/>
      <c r="BG18" s="373"/>
      <c r="BH18" s="373"/>
      <c r="BI18" s="373"/>
      <c r="BJ18" s="373"/>
      <c r="BK18" s="373"/>
      <c r="BL18" s="373"/>
      <c r="BM18" s="373"/>
      <c r="BN18" s="375"/>
      <c r="BP18" s="373"/>
      <c r="BQ18" s="373"/>
      <c r="BR18" s="373"/>
      <c r="BS18" s="373"/>
      <c r="BT18" s="373"/>
      <c r="BU18" s="373"/>
      <c r="BV18" s="373"/>
      <c r="BW18" s="373"/>
      <c r="BX18" s="373"/>
      <c r="BY18" s="373"/>
      <c r="BZ18" s="373"/>
      <c r="CA18" s="373"/>
      <c r="CB18" s="375"/>
      <c r="CC18" s="379"/>
      <c r="CD18" s="163"/>
      <c r="CF18" s="373"/>
      <c r="CG18" s="373"/>
      <c r="CH18" s="373"/>
      <c r="CI18" s="373"/>
      <c r="CJ18" s="373"/>
      <c r="CK18" s="373"/>
      <c r="CL18" s="373"/>
      <c r="CM18" s="373"/>
      <c r="CN18" s="373"/>
      <c r="CO18" s="373"/>
      <c r="CP18" s="373"/>
      <c r="CQ18" s="373"/>
      <c r="CR18" s="376"/>
      <c r="CS18" s="375"/>
      <c r="CT18" s="162"/>
      <c r="CU18" s="163"/>
      <c r="CW18" s="373"/>
      <c r="CX18" s="373"/>
      <c r="CY18" s="373"/>
      <c r="CZ18" s="373"/>
      <c r="DA18" s="373"/>
      <c r="DB18" s="373"/>
      <c r="DC18" s="373"/>
      <c r="DD18" s="373"/>
      <c r="DE18" s="373"/>
      <c r="DF18" s="373"/>
      <c r="DG18" s="373"/>
      <c r="DH18" s="373"/>
      <c r="DI18" s="375"/>
      <c r="DK18" s="373"/>
      <c r="DL18" s="373"/>
      <c r="DM18" s="373"/>
      <c r="DN18" s="373"/>
      <c r="DO18" s="373"/>
      <c r="DP18" s="373"/>
      <c r="DQ18" s="373"/>
      <c r="DR18" s="373"/>
      <c r="DS18" s="373"/>
      <c r="DT18" s="373"/>
      <c r="DU18" s="373"/>
      <c r="DV18" s="373"/>
      <c r="DW18" s="375"/>
      <c r="DY18" s="373"/>
      <c r="DZ18" s="373"/>
      <c r="EA18" s="373"/>
      <c r="EB18" s="373"/>
      <c r="EC18" s="373"/>
      <c r="ED18" s="373"/>
      <c r="EE18" s="373"/>
      <c r="EF18" s="373"/>
      <c r="EG18" s="373"/>
      <c r="EH18" s="373"/>
      <c r="EI18" s="373"/>
      <c r="EJ18" s="373"/>
      <c r="EK18" s="375"/>
      <c r="EL18" s="164"/>
      <c r="EM18" s="373"/>
      <c r="EN18" s="373"/>
      <c r="EO18" s="373"/>
      <c r="EP18" s="373"/>
      <c r="EQ18" s="373"/>
      <c r="ER18" s="373"/>
      <c r="ES18" s="373"/>
      <c r="ET18" s="373"/>
      <c r="EU18" s="373"/>
      <c r="EV18" s="373"/>
      <c r="EW18" s="373"/>
      <c r="EX18" s="377"/>
      <c r="EY18" s="375"/>
      <c r="EZ18" s="164"/>
    </row>
    <row r="19" spans="2:156" ht="16.5" customHeight="1">
      <c r="F19" s="205" t="s">
        <v>1178</v>
      </c>
      <c r="G19" s="205"/>
      <c r="H19" s="373">
        <v>0</v>
      </c>
      <c r="I19" s="373">
        <v>0</v>
      </c>
      <c r="J19" s="373">
        <v>0</v>
      </c>
      <c r="K19" s="373">
        <v>0</v>
      </c>
      <c r="L19" s="373">
        <v>0</v>
      </c>
      <c r="M19" s="373">
        <v>0</v>
      </c>
      <c r="N19" s="373">
        <v>0</v>
      </c>
      <c r="O19" s="373">
        <v>0</v>
      </c>
      <c r="P19" s="373">
        <v>0</v>
      </c>
      <c r="Q19" s="373">
        <v>0</v>
      </c>
      <c r="R19" s="373">
        <v>0</v>
      </c>
      <c r="S19" s="373">
        <v>78208397</v>
      </c>
      <c r="T19" s="375">
        <f t="shared" ref="T19:T20" si="59">SUM(H19:S19)</f>
        <v>78208397</v>
      </c>
      <c r="U19" s="378">
        <f>T19-AJ19</f>
        <v>-17469536</v>
      </c>
      <c r="V19" s="165">
        <f>U19/AJ19</f>
        <v>-0.18258688761597724</v>
      </c>
      <c r="W19" s="947"/>
      <c r="X19" s="373">
        <v>2094906</v>
      </c>
      <c r="Y19" s="373">
        <v>4462911</v>
      </c>
      <c r="Z19" s="373">
        <v>4831894</v>
      </c>
      <c r="AA19" s="373">
        <v>2636751</v>
      </c>
      <c r="AB19" s="373">
        <v>4055965</v>
      </c>
      <c r="AC19" s="373">
        <v>5195757</v>
      </c>
      <c r="AD19" s="373">
        <v>4653863</v>
      </c>
      <c r="AE19" s="373">
        <v>7944451</v>
      </c>
      <c r="AF19" s="373">
        <v>11152971</v>
      </c>
      <c r="AG19" s="373">
        <v>7172994</v>
      </c>
      <c r="AH19" s="373">
        <v>19010170</v>
      </c>
      <c r="AI19" s="373">
        <v>22465300</v>
      </c>
      <c r="AJ19" s="375">
        <f>SUM(X19:AI19)</f>
        <v>95677933</v>
      </c>
      <c r="AK19" s="947"/>
      <c r="AL19" s="373">
        <v>0</v>
      </c>
      <c r="AM19" s="373">
        <v>0</v>
      </c>
      <c r="AN19" s="373">
        <v>0</v>
      </c>
      <c r="AO19" s="373">
        <v>0</v>
      </c>
      <c r="AP19" s="373">
        <v>0</v>
      </c>
      <c r="AQ19" s="373">
        <v>0</v>
      </c>
      <c r="AR19" s="373">
        <v>0</v>
      </c>
      <c r="AS19" s="373">
        <v>0</v>
      </c>
      <c r="AT19" s="373">
        <v>0</v>
      </c>
      <c r="AU19" s="373">
        <v>0</v>
      </c>
      <c r="AV19" s="373">
        <v>0</v>
      </c>
      <c r="AW19" s="373">
        <v>78674863.632600576</v>
      </c>
      <c r="AX19" s="375">
        <f t="shared" ref="AX19:AX20" si="60">SUM(AL19:AW19)</f>
        <v>78674863.632600576</v>
      </c>
      <c r="AY19" s="378">
        <f>AX19-BN19</f>
        <v>28877841.632600576</v>
      </c>
      <c r="AZ19" s="165">
        <f>AY19/BN19</f>
        <v>0.57991101621700547</v>
      </c>
      <c r="BA19" s="947"/>
      <c r="BB19" s="373">
        <v>1482932</v>
      </c>
      <c r="BC19" s="373">
        <v>1695821</v>
      </c>
      <c r="BD19" s="373">
        <v>4586992</v>
      </c>
      <c r="BE19" s="373">
        <v>2174068</v>
      </c>
      <c r="BF19" s="373">
        <v>3258851</v>
      </c>
      <c r="BG19" s="373">
        <v>2631070</v>
      </c>
      <c r="BH19" s="373">
        <v>4404114</v>
      </c>
      <c r="BI19" s="373">
        <v>6018046</v>
      </c>
      <c r="BJ19" s="373">
        <v>8515823</v>
      </c>
      <c r="BK19" s="373">
        <v>6176464</v>
      </c>
      <c r="BL19" s="373">
        <v>3218314</v>
      </c>
      <c r="BM19" s="373">
        <v>5634527</v>
      </c>
      <c r="BN19" s="375">
        <f>SUM(BB19:BM19)</f>
        <v>49797022</v>
      </c>
      <c r="BO19" s="947"/>
      <c r="BP19" s="373">
        <v>1482932</v>
      </c>
      <c r="BQ19" s="373">
        <v>1695821</v>
      </c>
      <c r="BR19" s="373">
        <v>4586500</v>
      </c>
      <c r="BS19" s="373">
        <v>3556176.2876993408</v>
      </c>
      <c r="BT19" s="373">
        <v>5574552.9941805117</v>
      </c>
      <c r="BU19" s="373">
        <v>11861429.828348523</v>
      </c>
      <c r="BV19" s="373">
        <v>5507174.5330019994</v>
      </c>
      <c r="BW19" s="373">
        <v>8151661.2062561903</v>
      </c>
      <c r="BX19" s="373">
        <v>17593616.027013</v>
      </c>
      <c r="BY19" s="373">
        <v>12019160.3107634</v>
      </c>
      <c r="BZ19" s="373">
        <v>8345038.8803466102</v>
      </c>
      <c r="CA19" s="373">
        <v>11985811.812908743</v>
      </c>
      <c r="CB19" s="375">
        <f>SUM(BP19:CA19)</f>
        <v>92359874.880518317</v>
      </c>
      <c r="CC19" s="378">
        <f>BN19-CB19</f>
        <v>-42562852.880518317</v>
      </c>
      <c r="CD19" s="165">
        <f>IFERROR(CC19/CB19,"N/A")</f>
        <v>-0.46083705652026818</v>
      </c>
      <c r="CE19" s="205"/>
      <c r="CF19" s="373">
        <v>5377696</v>
      </c>
      <c r="CG19" s="373">
        <v>10641267</v>
      </c>
      <c r="CH19" s="373">
        <v>11818758</v>
      </c>
      <c r="CI19" s="373">
        <v>7398195</v>
      </c>
      <c r="CJ19" s="373">
        <v>6262610</v>
      </c>
      <c r="CK19" s="373">
        <v>11760117</v>
      </c>
      <c r="CL19" s="373">
        <v>4158621</v>
      </c>
      <c r="CM19" s="373">
        <v>10255593</v>
      </c>
      <c r="CN19" s="373">
        <v>15193685</v>
      </c>
      <c r="CO19" s="373">
        <v>10888334</v>
      </c>
      <c r="CP19" s="373">
        <v>9628124</v>
      </c>
      <c r="CQ19" s="373">
        <v>6569232</v>
      </c>
      <c r="CR19" s="380">
        <v>0</v>
      </c>
      <c r="CS19" s="375">
        <f>SUM(CF19:CR19)</f>
        <v>109952232</v>
      </c>
      <c r="CT19" s="378">
        <f>BN19-CS19</f>
        <v>-60155210</v>
      </c>
      <c r="CU19" s="165">
        <f>IFERROR(CT19/CS19,"N/A")</f>
        <v>-0.54710312747448364</v>
      </c>
      <c r="CV19" s="317"/>
      <c r="CW19" s="373">
        <v>8554404</v>
      </c>
      <c r="CX19" s="373">
        <v>9398324</v>
      </c>
      <c r="CY19" s="373">
        <v>13450396</v>
      </c>
      <c r="CZ19" s="373">
        <v>9004262</v>
      </c>
      <c r="DA19" s="373">
        <v>10809768</v>
      </c>
      <c r="DB19" s="373">
        <v>11228440</v>
      </c>
      <c r="DC19" s="373">
        <v>7675544</v>
      </c>
      <c r="DD19" s="373">
        <v>10447692</v>
      </c>
      <c r="DE19" s="373">
        <v>17712092</v>
      </c>
      <c r="DF19" s="373">
        <v>13863555</v>
      </c>
      <c r="DG19" s="373">
        <v>7914996</v>
      </c>
      <c r="DH19" s="373">
        <v>14908735</v>
      </c>
      <c r="DI19" s="375">
        <f>SUM(CW19:DH19)</f>
        <v>134968208</v>
      </c>
      <c r="DJ19" s="317"/>
      <c r="DK19" s="373">
        <v>8910764</v>
      </c>
      <c r="DL19" s="373">
        <v>9894320</v>
      </c>
      <c r="DM19" s="373">
        <v>14135004</v>
      </c>
      <c r="DN19" s="373">
        <v>8117484</v>
      </c>
      <c r="DO19" s="373">
        <v>12290676</v>
      </c>
      <c r="DP19" s="373">
        <v>12965900</v>
      </c>
      <c r="DQ19" s="373">
        <v>7421184</v>
      </c>
      <c r="DR19" s="373">
        <v>10030544</v>
      </c>
      <c r="DS19" s="373">
        <v>16138764</v>
      </c>
      <c r="DT19" s="373">
        <v>14513516</v>
      </c>
      <c r="DU19" s="373">
        <v>9557524</v>
      </c>
      <c r="DV19" s="373">
        <v>11721544</v>
      </c>
      <c r="DW19" s="375">
        <f>SUM(DK19:DV19)</f>
        <v>135697224</v>
      </c>
      <c r="DY19" s="373">
        <v>13255436</v>
      </c>
      <c r="DZ19" s="373">
        <v>10765096</v>
      </c>
      <c r="EA19" s="373">
        <v>10014976</v>
      </c>
      <c r="EB19" s="373">
        <v>6854348</v>
      </c>
      <c r="EC19" s="373">
        <v>14070052</v>
      </c>
      <c r="ED19" s="373">
        <v>10235188</v>
      </c>
      <c r="EE19" s="373">
        <v>7446804</v>
      </c>
      <c r="EF19" s="373">
        <v>9563688</v>
      </c>
      <c r="EG19" s="373">
        <v>15837068</v>
      </c>
      <c r="EH19" s="373">
        <v>10172924</v>
      </c>
      <c r="EI19" s="373">
        <v>10328108</v>
      </c>
      <c r="EJ19" s="373">
        <v>14010096</v>
      </c>
      <c r="EK19" s="375">
        <f>SUM(DY19:EJ19)</f>
        <v>132553784</v>
      </c>
      <c r="EL19" s="164"/>
      <c r="EM19" s="373">
        <v>16688919</v>
      </c>
      <c r="EN19" s="373">
        <v>8058730</v>
      </c>
      <c r="EO19" s="373">
        <v>7096707</v>
      </c>
      <c r="EP19" s="373">
        <v>9297031</v>
      </c>
      <c r="EQ19" s="373">
        <v>12079374</v>
      </c>
      <c r="ER19" s="373">
        <v>7758559</v>
      </c>
      <c r="ES19" s="373">
        <v>9004847</v>
      </c>
      <c r="ET19" s="373">
        <v>8599735</v>
      </c>
      <c r="EU19" s="373">
        <v>11718619</v>
      </c>
      <c r="EV19" s="373">
        <v>18603364</v>
      </c>
      <c r="EW19" s="373">
        <v>11182572</v>
      </c>
      <c r="EX19" s="373">
        <v>8246420</v>
      </c>
      <c r="EY19" s="375">
        <f>SUM(EM19:EX19)</f>
        <v>128334877</v>
      </c>
      <c r="EZ19" s="164"/>
    </row>
    <row r="20" spans="2:156" ht="16.5" customHeight="1">
      <c r="F20" s="205" t="s">
        <v>1179</v>
      </c>
      <c r="G20" s="205"/>
      <c r="H20" s="373">
        <v>0</v>
      </c>
      <c r="I20" s="373">
        <v>0</v>
      </c>
      <c r="J20" s="373">
        <v>0</v>
      </c>
      <c r="K20" s="373">
        <v>0</v>
      </c>
      <c r="L20" s="373">
        <v>0</v>
      </c>
      <c r="M20" s="373">
        <v>0</v>
      </c>
      <c r="N20" s="373">
        <v>0</v>
      </c>
      <c r="O20" s="373">
        <v>0</v>
      </c>
      <c r="P20" s="373">
        <v>0</v>
      </c>
      <c r="Q20" s="373">
        <v>0</v>
      </c>
      <c r="R20" s="373">
        <v>0</v>
      </c>
      <c r="S20" s="373">
        <v>134046276</v>
      </c>
      <c r="T20" s="375">
        <f t="shared" si="59"/>
        <v>134046276</v>
      </c>
      <c r="U20" s="378">
        <f>T20-AJ20</f>
        <v>48326544</v>
      </c>
      <c r="V20" s="165">
        <f>U20/AJ20</f>
        <v>0.56377385780907485</v>
      </c>
      <c r="W20" s="947"/>
      <c r="X20" s="373">
        <v>15324480</v>
      </c>
      <c r="Y20" s="373">
        <v>5547960</v>
      </c>
      <c r="Z20" s="373">
        <v>1870128</v>
      </c>
      <c r="AA20" s="373">
        <v>1899720</v>
      </c>
      <c r="AB20" s="373">
        <v>0</v>
      </c>
      <c r="AC20" s="373">
        <v>3770784</v>
      </c>
      <c r="AD20" s="373">
        <v>10656504</v>
      </c>
      <c r="AE20" s="373">
        <v>28459296</v>
      </c>
      <c r="AF20" s="373">
        <v>17117208</v>
      </c>
      <c r="AG20" s="373">
        <v>-4595184</v>
      </c>
      <c r="AH20" s="373">
        <v>3452832</v>
      </c>
      <c r="AI20" s="373">
        <v>2216004</v>
      </c>
      <c r="AJ20" s="375">
        <f>SUM(X20:AI20)</f>
        <v>85719732</v>
      </c>
      <c r="AK20" s="947"/>
      <c r="AL20" s="373">
        <v>0</v>
      </c>
      <c r="AM20" s="373">
        <v>0</v>
      </c>
      <c r="AN20" s="373">
        <v>0</v>
      </c>
      <c r="AO20" s="373">
        <v>0</v>
      </c>
      <c r="AP20" s="373">
        <v>0</v>
      </c>
      <c r="AQ20" s="373">
        <v>0</v>
      </c>
      <c r="AR20" s="373">
        <v>0</v>
      </c>
      <c r="AS20" s="373">
        <v>0</v>
      </c>
      <c r="AT20" s="373">
        <v>0</v>
      </c>
      <c r="AU20" s="373">
        <v>0</v>
      </c>
      <c r="AV20" s="373">
        <v>0</v>
      </c>
      <c r="AW20" s="373">
        <v>136166400</v>
      </c>
      <c r="AX20" s="375">
        <f t="shared" si="60"/>
        <v>136166400</v>
      </c>
      <c r="AY20" s="378">
        <f>AX20-BN20</f>
        <v>42500016</v>
      </c>
      <c r="AZ20" s="165">
        <f>AY20/BN20</f>
        <v>0.45373819491099388</v>
      </c>
      <c r="BA20" s="947"/>
      <c r="BB20" s="373">
        <v>0</v>
      </c>
      <c r="BC20" s="373">
        <v>0</v>
      </c>
      <c r="BD20" s="373">
        <v>0</v>
      </c>
      <c r="BE20" s="373">
        <v>0</v>
      </c>
      <c r="BF20" s="373">
        <v>0</v>
      </c>
      <c r="BG20" s="373">
        <v>2832408</v>
      </c>
      <c r="BH20" s="373">
        <v>2773440</v>
      </c>
      <c r="BI20" s="373">
        <v>14858712</v>
      </c>
      <c r="BJ20" s="373">
        <v>16183872</v>
      </c>
      <c r="BK20" s="373">
        <v>29585952</v>
      </c>
      <c r="BL20" s="373">
        <v>18053424</v>
      </c>
      <c r="BM20" s="373">
        <v>9378576</v>
      </c>
      <c r="BN20" s="375">
        <f>SUM(BB20:BM20)</f>
        <v>93666384</v>
      </c>
      <c r="BO20" s="947"/>
      <c r="BP20" s="373">
        <v>0</v>
      </c>
      <c r="BQ20" s="373">
        <v>0</v>
      </c>
      <c r="BR20" s="373">
        <v>1598400</v>
      </c>
      <c r="BS20" s="373">
        <v>0</v>
      </c>
      <c r="BT20" s="373">
        <v>11059200</v>
      </c>
      <c r="BU20" s="373">
        <v>20908800</v>
      </c>
      <c r="BV20" s="373">
        <v>5702400</v>
      </c>
      <c r="BW20" s="373">
        <v>24969600</v>
      </c>
      <c r="BX20" s="373">
        <v>17366400</v>
      </c>
      <c r="BY20" s="373">
        <v>12960000</v>
      </c>
      <c r="BZ20" s="373">
        <v>0</v>
      </c>
      <c r="CA20" s="373">
        <v>30209760</v>
      </c>
      <c r="CB20" s="375">
        <f>SUM(BP20:CA20)</f>
        <v>124774560</v>
      </c>
      <c r="CC20" s="378">
        <f>BN20-CB20</f>
        <v>-31108176</v>
      </c>
      <c r="CD20" s="165">
        <f>IFERROR(CC20/CB20,"N/A")</f>
        <v>-0.24931505268381632</v>
      </c>
      <c r="CE20" s="205"/>
      <c r="CF20" s="373">
        <v>5459868</v>
      </c>
      <c r="CG20" s="373">
        <v>9955944</v>
      </c>
      <c r="CH20" s="373">
        <v>7209396</v>
      </c>
      <c r="CI20" s="373">
        <v>3746088</v>
      </c>
      <c r="CJ20" s="373">
        <v>16557120</v>
      </c>
      <c r="CK20" s="373">
        <v>4004496</v>
      </c>
      <c r="CL20" s="373">
        <v>44369568</v>
      </c>
      <c r="CM20" s="373">
        <v>14476032</v>
      </c>
      <c r="CN20" s="373">
        <v>1886256</v>
      </c>
      <c r="CO20" s="373">
        <v>12633552</v>
      </c>
      <c r="CP20" s="373">
        <v>22655568</v>
      </c>
      <c r="CQ20" s="373">
        <v>14265072</v>
      </c>
      <c r="CR20" s="380">
        <v>0</v>
      </c>
      <c r="CS20" s="375">
        <f>SUM(CF20:CR20)</f>
        <v>157218960</v>
      </c>
      <c r="CT20" s="378">
        <f>BN20-CS20</f>
        <v>-63552576</v>
      </c>
      <c r="CU20" s="165">
        <f>IFERROR(CT20/CS20,"N/A")</f>
        <v>-0.4042297188583362</v>
      </c>
      <c r="CV20" s="317"/>
      <c r="CW20" s="373">
        <v>14390640</v>
      </c>
      <c r="CX20" s="373">
        <v>5661144</v>
      </c>
      <c r="CY20" s="373">
        <v>5627160</v>
      </c>
      <c r="CZ20" s="373">
        <v>5616792</v>
      </c>
      <c r="DA20" s="373">
        <v>5632272</v>
      </c>
      <c r="DB20" s="373">
        <v>8054520</v>
      </c>
      <c r="DC20" s="373">
        <v>11025648</v>
      </c>
      <c r="DD20" s="373">
        <v>22402584</v>
      </c>
      <c r="DE20" s="373">
        <v>23558724</v>
      </c>
      <c r="DF20" s="373">
        <v>7523280</v>
      </c>
      <c r="DG20" s="373">
        <v>10981944</v>
      </c>
      <c r="DH20" s="373">
        <v>8162064</v>
      </c>
      <c r="DI20" s="375">
        <f>SUM(CW20:DH20)</f>
        <v>128636772</v>
      </c>
      <c r="DJ20" s="317"/>
      <c r="DK20" s="373">
        <v>0</v>
      </c>
      <c r="DL20" s="373">
        <v>5600970</v>
      </c>
      <c r="DM20" s="373">
        <v>8767008</v>
      </c>
      <c r="DN20" s="373">
        <v>5719536</v>
      </c>
      <c r="DO20" s="373">
        <v>6647940</v>
      </c>
      <c r="DP20" s="373">
        <v>13473648</v>
      </c>
      <c r="DQ20" s="373">
        <v>17848656</v>
      </c>
      <c r="DR20" s="373">
        <v>9401472</v>
      </c>
      <c r="DS20" s="373">
        <v>13457736</v>
      </c>
      <c r="DT20" s="373">
        <v>15303960</v>
      </c>
      <c r="DU20" s="373">
        <v>0</v>
      </c>
      <c r="DV20" s="373">
        <v>7195104</v>
      </c>
      <c r="DW20" s="375">
        <f>SUM(DK20:DV20)</f>
        <v>103416030</v>
      </c>
      <c r="DY20" s="373">
        <v>0</v>
      </c>
      <c r="DZ20" s="373">
        <v>9008928</v>
      </c>
      <c r="EA20" s="373">
        <v>0</v>
      </c>
      <c r="EB20" s="373">
        <v>4680648</v>
      </c>
      <c r="EC20" s="373">
        <v>9997218</v>
      </c>
      <c r="ED20" s="373">
        <v>11617920</v>
      </c>
      <c r="EE20" s="373">
        <v>12964824</v>
      </c>
      <c r="EF20" s="373">
        <v>13033872</v>
      </c>
      <c r="EG20" s="373">
        <v>4796280</v>
      </c>
      <c r="EH20" s="373">
        <v>9818064</v>
      </c>
      <c r="EI20" s="373">
        <v>6133626</v>
      </c>
      <c r="EJ20" s="373">
        <v>7297200</v>
      </c>
      <c r="EK20" s="375">
        <f>SUM(DY20:EJ20)</f>
        <v>89348580</v>
      </c>
      <c r="EL20" s="164"/>
      <c r="EM20" s="373">
        <v>0</v>
      </c>
      <c r="EN20" s="373">
        <v>6244920</v>
      </c>
      <c r="EO20" s="373">
        <v>5662800</v>
      </c>
      <c r="EP20" s="373">
        <v>0</v>
      </c>
      <c r="EQ20" s="373">
        <v>8205024</v>
      </c>
      <c r="ER20" s="373">
        <v>12888936</v>
      </c>
      <c r="ES20" s="373">
        <v>13333123</v>
      </c>
      <c r="ET20" s="373">
        <v>12844080</v>
      </c>
      <c r="EU20" s="373">
        <v>0</v>
      </c>
      <c r="EV20" s="373">
        <v>11038032</v>
      </c>
      <c r="EW20" s="373">
        <v>10011456</v>
      </c>
      <c r="EX20" s="373">
        <v>8181720</v>
      </c>
      <c r="EY20" s="375">
        <f>SUM(EM20:EX20)</f>
        <v>88410091</v>
      </c>
      <c r="EZ20" s="164"/>
    </row>
    <row r="21" spans="2:156" ht="16.5" customHeight="1">
      <c r="F21" s="205" t="s">
        <v>1180</v>
      </c>
      <c r="G21" s="205"/>
      <c r="H21" s="373">
        <v>0</v>
      </c>
      <c r="I21" s="373">
        <v>0</v>
      </c>
      <c r="J21" s="373">
        <v>0</v>
      </c>
      <c r="K21" s="373">
        <v>0</v>
      </c>
      <c r="L21" s="373">
        <v>0</v>
      </c>
      <c r="M21" s="373">
        <v>0</v>
      </c>
      <c r="N21" s="373">
        <v>0</v>
      </c>
      <c r="O21" s="373">
        <v>0</v>
      </c>
      <c r="P21" s="373">
        <v>0</v>
      </c>
      <c r="Q21" s="373">
        <v>0</v>
      </c>
      <c r="R21" s="373">
        <v>0</v>
      </c>
      <c r="S21" s="373">
        <v>1517577.2599492124</v>
      </c>
      <c r="T21" s="375">
        <f>SUM(H21:S21)</f>
        <v>1517577.2599492124</v>
      </c>
      <c r="U21" s="378">
        <f>T21-AJ21</f>
        <v>1517577.2599492124</v>
      </c>
      <c r="V21" s="165" t="e">
        <f>U21/AJ21</f>
        <v>#DIV/0!</v>
      </c>
      <c r="W21" s="947"/>
      <c r="X21" s="373">
        <v>0</v>
      </c>
      <c r="Y21" s="373">
        <v>0</v>
      </c>
      <c r="Z21" s="373">
        <v>0</v>
      </c>
      <c r="AA21" s="373">
        <v>0</v>
      </c>
      <c r="AB21" s="373">
        <v>0</v>
      </c>
      <c r="AC21" s="373">
        <v>0</v>
      </c>
      <c r="AD21" s="373">
        <v>0</v>
      </c>
      <c r="AE21" s="373">
        <v>0</v>
      </c>
      <c r="AF21" s="373">
        <v>0</v>
      </c>
      <c r="AG21" s="373">
        <v>0</v>
      </c>
      <c r="AH21" s="373">
        <v>0</v>
      </c>
      <c r="AI21" s="373">
        <v>0</v>
      </c>
      <c r="AJ21" s="375">
        <f>SUM(X21:AI21)</f>
        <v>0</v>
      </c>
      <c r="AK21" s="947"/>
      <c r="AL21" s="373">
        <v>0</v>
      </c>
      <c r="AM21" s="373">
        <v>0</v>
      </c>
      <c r="AN21" s="373">
        <v>0</v>
      </c>
      <c r="AO21" s="373">
        <v>0</v>
      </c>
      <c r="AP21" s="373">
        <v>0</v>
      </c>
      <c r="AQ21" s="373">
        <v>0</v>
      </c>
      <c r="AR21" s="373">
        <v>0</v>
      </c>
      <c r="AS21" s="373">
        <v>0</v>
      </c>
      <c r="AT21" s="373">
        <v>0</v>
      </c>
      <c r="AU21" s="373">
        <v>0</v>
      </c>
      <c r="AV21" s="373">
        <v>0</v>
      </c>
      <c r="AW21" s="373">
        <v>1680000</v>
      </c>
      <c r="AX21" s="375">
        <f>SUM(AL21:AW21)</f>
        <v>1680000</v>
      </c>
      <c r="AY21" s="378">
        <f>AX21-BN21</f>
        <v>-830256</v>
      </c>
      <c r="AZ21" s="165">
        <f>AY21/BN21</f>
        <v>-0.33074554945790391</v>
      </c>
      <c r="BA21" s="947"/>
      <c r="BB21" s="373">
        <v>0</v>
      </c>
      <c r="BC21" s="373">
        <v>0</v>
      </c>
      <c r="BD21" s="373">
        <v>821160</v>
      </c>
      <c r="BE21" s="373">
        <v>0</v>
      </c>
      <c r="BF21" s="373">
        <v>0</v>
      </c>
      <c r="BG21" s="373">
        <v>0</v>
      </c>
      <c r="BH21" s="373">
        <v>0</v>
      </c>
      <c r="BI21" s="373">
        <v>0</v>
      </c>
      <c r="BJ21" s="373">
        <v>0</v>
      </c>
      <c r="BK21" s="373">
        <v>0</v>
      </c>
      <c r="BL21" s="373">
        <v>0</v>
      </c>
      <c r="BM21" s="373">
        <v>1689096</v>
      </c>
      <c r="BN21" s="375">
        <f>SUM(BB21:BM21)</f>
        <v>2510256</v>
      </c>
      <c r="BO21" s="947"/>
      <c r="BP21" s="373">
        <v>0</v>
      </c>
      <c r="BQ21" s="373">
        <v>0</v>
      </c>
      <c r="BR21" s="373">
        <v>836000</v>
      </c>
      <c r="BS21" s="373">
        <v>0</v>
      </c>
      <c r="BT21" s="373">
        <v>0</v>
      </c>
      <c r="BU21" s="373">
        <v>0</v>
      </c>
      <c r="BV21" s="373">
        <v>0</v>
      </c>
      <c r="BW21" s="373">
        <v>0</v>
      </c>
      <c r="BX21" s="373">
        <v>0</v>
      </c>
      <c r="BY21" s="373">
        <v>0</v>
      </c>
      <c r="BZ21" s="373">
        <v>0</v>
      </c>
      <c r="CA21" s="373">
        <v>4788000</v>
      </c>
      <c r="CB21" s="375">
        <f>SUM(BP21:CA21)</f>
        <v>5624000</v>
      </c>
      <c r="CC21" s="378">
        <f>BN21-CB21</f>
        <v>-3113744</v>
      </c>
      <c r="CD21" s="165">
        <f>IFERROR(CC21/CB21,"N/A")</f>
        <v>-0.55365291607396871</v>
      </c>
      <c r="CE21" s="205"/>
      <c r="CF21" s="373">
        <v>0</v>
      </c>
      <c r="CG21" s="373">
        <v>0</v>
      </c>
      <c r="CH21" s="373">
        <v>811584</v>
      </c>
      <c r="CI21" s="373">
        <v>0</v>
      </c>
      <c r="CJ21" s="373">
        <v>0</v>
      </c>
      <c r="CK21" s="373">
        <v>0</v>
      </c>
      <c r="CL21" s="373">
        <v>0</v>
      </c>
      <c r="CM21" s="373">
        <v>0</v>
      </c>
      <c r="CN21" s="373">
        <v>0</v>
      </c>
      <c r="CO21" s="373">
        <v>0</v>
      </c>
      <c r="CP21" s="373">
        <v>0</v>
      </c>
      <c r="CQ21" s="373">
        <v>2730096</v>
      </c>
      <c r="CR21" s="380">
        <v>0</v>
      </c>
      <c r="CS21" s="375">
        <f>SUM(CF21:CR21)</f>
        <v>3541680</v>
      </c>
      <c r="CT21" s="378">
        <f>BN21-CS21</f>
        <v>-1031424</v>
      </c>
      <c r="CU21" s="165">
        <f>IFERROR(CT21/CS21,"N/A")</f>
        <v>-0.29122450362539809</v>
      </c>
      <c r="CV21" s="317"/>
      <c r="CW21" s="373">
        <v>0</v>
      </c>
      <c r="CX21" s="373">
        <v>0</v>
      </c>
      <c r="CY21" s="373">
        <v>0</v>
      </c>
      <c r="CZ21" s="373">
        <v>0</v>
      </c>
      <c r="DA21" s="373">
        <v>437760</v>
      </c>
      <c r="DB21" s="373">
        <v>0</v>
      </c>
      <c r="DC21" s="373">
        <v>1857072</v>
      </c>
      <c r="DD21" s="373">
        <v>0</v>
      </c>
      <c r="DE21" s="373">
        <v>1380672</v>
      </c>
      <c r="DF21" s="373">
        <v>0</v>
      </c>
      <c r="DG21" s="373">
        <v>0</v>
      </c>
      <c r="DH21" s="373">
        <v>2748384</v>
      </c>
      <c r="DI21" s="375">
        <f>SUM(CW21:DH21)</f>
        <v>6423888</v>
      </c>
      <c r="DJ21" s="317"/>
      <c r="DK21" s="373">
        <v>0</v>
      </c>
      <c r="DL21" s="373">
        <v>626112</v>
      </c>
      <c r="DM21" s="373">
        <v>0</v>
      </c>
      <c r="DN21" s="373">
        <v>1480320</v>
      </c>
      <c r="DO21" s="373">
        <v>0</v>
      </c>
      <c r="DP21" s="373">
        <v>0</v>
      </c>
      <c r="DQ21" s="373">
        <v>0</v>
      </c>
      <c r="DR21" s="373">
        <v>0</v>
      </c>
      <c r="DS21" s="373">
        <v>0</v>
      </c>
      <c r="DT21" s="373">
        <v>0</v>
      </c>
      <c r="DU21" s="373">
        <v>0</v>
      </c>
      <c r="DV21" s="373">
        <v>1027512</v>
      </c>
      <c r="DW21" s="375">
        <f>SUM(DK21:DV21)</f>
        <v>3133944</v>
      </c>
      <c r="DY21" s="373">
        <v>0</v>
      </c>
      <c r="DZ21" s="373">
        <v>0</v>
      </c>
      <c r="EA21" s="373">
        <v>0</v>
      </c>
      <c r="EB21" s="373">
        <v>0</v>
      </c>
      <c r="EC21" s="373">
        <v>2476080</v>
      </c>
      <c r="ED21" s="373">
        <v>0</v>
      </c>
      <c r="EE21" s="373">
        <v>0</v>
      </c>
      <c r="EF21" s="373">
        <v>0</v>
      </c>
      <c r="EG21" s="373">
        <v>0</v>
      </c>
      <c r="EH21" s="373">
        <v>0</v>
      </c>
      <c r="EI21" s="373">
        <v>0</v>
      </c>
      <c r="EJ21" s="373">
        <v>1237428</v>
      </c>
      <c r="EK21" s="375">
        <f>SUM(DY21:EJ21)</f>
        <v>3713508</v>
      </c>
      <c r="EL21" s="164"/>
      <c r="EM21" s="373">
        <v>618336</v>
      </c>
      <c r="EN21" s="373">
        <v>0</v>
      </c>
      <c r="EO21" s="373">
        <v>1171019</v>
      </c>
      <c r="EP21" s="373">
        <v>0</v>
      </c>
      <c r="EQ21" s="373">
        <v>0</v>
      </c>
      <c r="ER21" s="373">
        <v>1414069</v>
      </c>
      <c r="ES21" s="373">
        <v>0</v>
      </c>
      <c r="ET21" s="373">
        <v>0</v>
      </c>
      <c r="EU21" s="373">
        <v>0</v>
      </c>
      <c r="EV21" s="373">
        <v>0</v>
      </c>
      <c r="EW21" s="373">
        <v>619488</v>
      </c>
      <c r="EX21" s="373">
        <v>0</v>
      </c>
      <c r="EY21" s="375">
        <f>SUM(EM21:EX21)</f>
        <v>3822912</v>
      </c>
      <c r="EZ21" s="164"/>
    </row>
    <row r="22" spans="2:156" s="187" customFormat="1" ht="17.25" customHeight="1">
      <c r="B22" s="199"/>
      <c r="C22" s="199"/>
      <c r="D22" s="199"/>
      <c r="F22" s="166" t="s">
        <v>1181</v>
      </c>
      <c r="G22" s="166"/>
      <c r="H22" s="379">
        <f t="shared" ref="H22:S22" si="61">SUM(H19:H21)</f>
        <v>0</v>
      </c>
      <c r="I22" s="379">
        <f t="shared" si="61"/>
        <v>0</v>
      </c>
      <c r="J22" s="379">
        <f t="shared" si="61"/>
        <v>0</v>
      </c>
      <c r="K22" s="379">
        <f t="shared" si="61"/>
        <v>0</v>
      </c>
      <c r="L22" s="379">
        <f t="shared" si="61"/>
        <v>0</v>
      </c>
      <c r="M22" s="379">
        <f t="shared" si="61"/>
        <v>0</v>
      </c>
      <c r="N22" s="379">
        <f t="shared" si="61"/>
        <v>0</v>
      </c>
      <c r="O22" s="379">
        <f t="shared" si="61"/>
        <v>0</v>
      </c>
      <c r="P22" s="379">
        <f t="shared" si="61"/>
        <v>0</v>
      </c>
      <c r="Q22" s="379">
        <f t="shared" si="61"/>
        <v>0</v>
      </c>
      <c r="R22" s="379">
        <f t="shared" si="61"/>
        <v>0</v>
      </c>
      <c r="S22" s="379">
        <f t="shared" si="61"/>
        <v>213772250.25994921</v>
      </c>
      <c r="T22" s="375">
        <f>SUM(T19:T21)</f>
        <v>213772250.25994921</v>
      </c>
      <c r="U22" s="378">
        <f>T22-AJ22</f>
        <v>32374585.259949207</v>
      </c>
      <c r="V22" s="165">
        <f>U22/AJ22</f>
        <v>0.17847299886660176</v>
      </c>
      <c r="W22" s="803"/>
      <c r="X22" s="379">
        <f t="shared" ref="X22:AI22" si="62">SUM(X19:X21)</f>
        <v>17419386</v>
      </c>
      <c r="Y22" s="379">
        <f t="shared" si="62"/>
        <v>10010871</v>
      </c>
      <c r="Z22" s="379">
        <f t="shared" si="62"/>
        <v>6702022</v>
      </c>
      <c r="AA22" s="379">
        <f t="shared" si="62"/>
        <v>4536471</v>
      </c>
      <c r="AB22" s="379">
        <f t="shared" si="62"/>
        <v>4055965</v>
      </c>
      <c r="AC22" s="379">
        <f t="shared" si="62"/>
        <v>8966541</v>
      </c>
      <c r="AD22" s="379">
        <f t="shared" si="62"/>
        <v>15310367</v>
      </c>
      <c r="AE22" s="379">
        <f t="shared" si="62"/>
        <v>36403747</v>
      </c>
      <c r="AF22" s="379">
        <f t="shared" si="62"/>
        <v>28270179</v>
      </c>
      <c r="AG22" s="379">
        <f t="shared" si="62"/>
        <v>2577810</v>
      </c>
      <c r="AH22" s="379">
        <f t="shared" si="62"/>
        <v>22463002</v>
      </c>
      <c r="AI22" s="379">
        <f t="shared" si="62"/>
        <v>24681304</v>
      </c>
      <c r="AJ22" s="375">
        <f>SUM(AJ19:AJ21)</f>
        <v>181397665</v>
      </c>
      <c r="AK22" s="803"/>
      <c r="AL22" s="379">
        <f t="shared" ref="AL22:AW22" si="63">SUM(AL19:AL21)</f>
        <v>0</v>
      </c>
      <c r="AM22" s="379">
        <f t="shared" si="63"/>
        <v>0</v>
      </c>
      <c r="AN22" s="379">
        <f t="shared" si="63"/>
        <v>0</v>
      </c>
      <c r="AO22" s="379">
        <f t="shared" si="63"/>
        <v>0</v>
      </c>
      <c r="AP22" s="379">
        <f t="shared" si="63"/>
        <v>0</v>
      </c>
      <c r="AQ22" s="379">
        <f t="shared" si="63"/>
        <v>0</v>
      </c>
      <c r="AR22" s="379">
        <f t="shared" si="63"/>
        <v>0</v>
      </c>
      <c r="AS22" s="379">
        <f t="shared" si="63"/>
        <v>0</v>
      </c>
      <c r="AT22" s="379">
        <f t="shared" si="63"/>
        <v>0</v>
      </c>
      <c r="AU22" s="379">
        <f t="shared" si="63"/>
        <v>0</v>
      </c>
      <c r="AV22" s="379">
        <f t="shared" si="63"/>
        <v>0</v>
      </c>
      <c r="AW22" s="379">
        <f t="shared" si="63"/>
        <v>216521263.63260058</v>
      </c>
      <c r="AX22" s="375">
        <f>SUM(AX19:AX21)</f>
        <v>216521263.63260058</v>
      </c>
      <c r="AY22" s="378">
        <f>AX22-BN22</f>
        <v>70547601.632600576</v>
      </c>
      <c r="AZ22" s="165">
        <f>AY22/BN22</f>
        <v>0.48328993508843104</v>
      </c>
      <c r="BA22" s="803"/>
      <c r="BB22" s="379">
        <f t="shared" ref="BB22:BM22" si="64">SUM(BB19:BB21)</f>
        <v>1482932</v>
      </c>
      <c r="BC22" s="379">
        <f t="shared" si="64"/>
        <v>1695821</v>
      </c>
      <c r="BD22" s="379">
        <f t="shared" si="64"/>
        <v>5408152</v>
      </c>
      <c r="BE22" s="379">
        <f t="shared" si="64"/>
        <v>2174068</v>
      </c>
      <c r="BF22" s="379">
        <f t="shared" si="64"/>
        <v>3258851</v>
      </c>
      <c r="BG22" s="379">
        <f t="shared" si="64"/>
        <v>5463478</v>
      </c>
      <c r="BH22" s="379">
        <f t="shared" si="64"/>
        <v>7177554</v>
      </c>
      <c r="BI22" s="379">
        <f t="shared" si="64"/>
        <v>20876758</v>
      </c>
      <c r="BJ22" s="379">
        <f t="shared" si="64"/>
        <v>24699695</v>
      </c>
      <c r="BK22" s="379">
        <f t="shared" si="64"/>
        <v>35762416</v>
      </c>
      <c r="BL22" s="379">
        <f t="shared" si="64"/>
        <v>21271738</v>
      </c>
      <c r="BM22" s="379">
        <f t="shared" si="64"/>
        <v>16702199</v>
      </c>
      <c r="BN22" s="375">
        <f>SUM(BN19:BN21)</f>
        <v>145973662</v>
      </c>
      <c r="BO22" s="803"/>
      <c r="BP22" s="379">
        <f t="shared" ref="BP22:CA22" si="65">SUM(BP19:BP21)</f>
        <v>1482932</v>
      </c>
      <c r="BQ22" s="379">
        <f t="shared" si="65"/>
        <v>1695821</v>
      </c>
      <c r="BR22" s="379">
        <f t="shared" si="65"/>
        <v>7020900</v>
      </c>
      <c r="BS22" s="379">
        <f t="shared" si="65"/>
        <v>3556176.2876993408</v>
      </c>
      <c r="BT22" s="379">
        <f t="shared" si="65"/>
        <v>16633752.994180512</v>
      </c>
      <c r="BU22" s="379">
        <f t="shared" si="65"/>
        <v>32770229.828348525</v>
      </c>
      <c r="BV22" s="379">
        <f t="shared" si="65"/>
        <v>11209574.533002</v>
      </c>
      <c r="BW22" s="379">
        <f t="shared" si="65"/>
        <v>33121261.206256188</v>
      </c>
      <c r="BX22" s="379">
        <f t="shared" si="65"/>
        <v>34960016.027013004</v>
      </c>
      <c r="BY22" s="379">
        <f t="shared" si="65"/>
        <v>24979160.3107634</v>
      </c>
      <c r="BZ22" s="379">
        <f t="shared" si="65"/>
        <v>8345038.8803466102</v>
      </c>
      <c r="CA22" s="379">
        <f t="shared" si="65"/>
        <v>46983571.812908739</v>
      </c>
      <c r="CB22" s="375">
        <f>SUM(CB19:CB21)</f>
        <v>222758434.88051832</v>
      </c>
      <c r="CC22" s="381">
        <f>BN22-CB22</f>
        <v>-76784772.880518317</v>
      </c>
      <c r="CD22" s="167">
        <f>IFERROR(CC22/CB22,"N/A")</f>
        <v>-0.34469973234326062</v>
      </c>
      <c r="CE22" s="166"/>
      <c r="CF22" s="379">
        <f t="shared" ref="CF22:CQ22" si="66">SUM(CF19:CF21)</f>
        <v>10837564</v>
      </c>
      <c r="CG22" s="379">
        <f t="shared" si="66"/>
        <v>20597211</v>
      </c>
      <c r="CH22" s="379">
        <f t="shared" si="66"/>
        <v>19839738</v>
      </c>
      <c r="CI22" s="379">
        <f t="shared" si="66"/>
        <v>11144283</v>
      </c>
      <c r="CJ22" s="379">
        <f t="shared" si="66"/>
        <v>22819730</v>
      </c>
      <c r="CK22" s="379">
        <f t="shared" si="66"/>
        <v>15764613</v>
      </c>
      <c r="CL22" s="379">
        <f t="shared" si="66"/>
        <v>48528189</v>
      </c>
      <c r="CM22" s="379">
        <f t="shared" si="66"/>
        <v>24731625</v>
      </c>
      <c r="CN22" s="379">
        <f t="shared" si="66"/>
        <v>17079941</v>
      </c>
      <c r="CO22" s="379">
        <f t="shared" si="66"/>
        <v>23521886</v>
      </c>
      <c r="CP22" s="379">
        <f t="shared" si="66"/>
        <v>32283692</v>
      </c>
      <c r="CQ22" s="379">
        <f t="shared" si="66"/>
        <v>23564400</v>
      </c>
      <c r="CR22" s="382"/>
      <c r="CS22" s="375">
        <f>SUM(CS19:CS21)</f>
        <v>270712872</v>
      </c>
      <c r="CT22" s="381">
        <f>BN22-CS22</f>
        <v>-124739210</v>
      </c>
      <c r="CU22" s="167">
        <f>IFERROR(CT22/CS22,"N/A")</f>
        <v>-0.46078049070381849</v>
      </c>
      <c r="CV22" s="318"/>
      <c r="CW22" s="379">
        <f t="shared" ref="CW22:DH22" si="67">SUM(CW19:CW21)</f>
        <v>22945044</v>
      </c>
      <c r="CX22" s="379">
        <f t="shared" si="67"/>
        <v>15059468</v>
      </c>
      <c r="CY22" s="379">
        <f t="shared" si="67"/>
        <v>19077556</v>
      </c>
      <c r="CZ22" s="379">
        <f t="shared" si="67"/>
        <v>14621054</v>
      </c>
      <c r="DA22" s="379">
        <f t="shared" si="67"/>
        <v>16879800</v>
      </c>
      <c r="DB22" s="379">
        <f t="shared" si="67"/>
        <v>19282960</v>
      </c>
      <c r="DC22" s="379">
        <f t="shared" si="67"/>
        <v>20558264</v>
      </c>
      <c r="DD22" s="379">
        <f t="shared" si="67"/>
        <v>32850276</v>
      </c>
      <c r="DE22" s="379">
        <f t="shared" si="67"/>
        <v>42651488</v>
      </c>
      <c r="DF22" s="379">
        <f t="shared" si="67"/>
        <v>21386835</v>
      </c>
      <c r="DG22" s="379">
        <f t="shared" si="67"/>
        <v>18896940</v>
      </c>
      <c r="DH22" s="379">
        <f t="shared" si="67"/>
        <v>25819183</v>
      </c>
      <c r="DI22" s="375">
        <f>SUM(DI19:DI21)</f>
        <v>270028868</v>
      </c>
      <c r="DJ22" s="318"/>
      <c r="DK22" s="379">
        <f t="shared" ref="DK22:DV22" si="68">SUM(DK19:DK21)</f>
        <v>8910764</v>
      </c>
      <c r="DL22" s="379">
        <f t="shared" si="68"/>
        <v>16121402</v>
      </c>
      <c r="DM22" s="379">
        <f t="shared" si="68"/>
        <v>22902012</v>
      </c>
      <c r="DN22" s="379">
        <f t="shared" si="68"/>
        <v>15317340</v>
      </c>
      <c r="DO22" s="379">
        <f t="shared" si="68"/>
        <v>18938616</v>
      </c>
      <c r="DP22" s="379">
        <f t="shared" si="68"/>
        <v>26439548</v>
      </c>
      <c r="DQ22" s="379">
        <f t="shared" si="68"/>
        <v>25269840</v>
      </c>
      <c r="DR22" s="379">
        <f t="shared" si="68"/>
        <v>19432016</v>
      </c>
      <c r="DS22" s="379">
        <f t="shared" si="68"/>
        <v>29596500</v>
      </c>
      <c r="DT22" s="379">
        <f t="shared" si="68"/>
        <v>29817476</v>
      </c>
      <c r="DU22" s="379">
        <f t="shared" si="68"/>
        <v>9557524</v>
      </c>
      <c r="DV22" s="379">
        <f t="shared" si="68"/>
        <v>19944160</v>
      </c>
      <c r="DW22" s="375">
        <f>SUM(DW19:DW21)</f>
        <v>242247198</v>
      </c>
      <c r="DY22" s="379">
        <f t="shared" ref="DY22:EJ22" si="69">SUM(DY19:DY21)</f>
        <v>13255436</v>
      </c>
      <c r="DZ22" s="379">
        <f t="shared" si="69"/>
        <v>19774024</v>
      </c>
      <c r="EA22" s="379">
        <f t="shared" si="69"/>
        <v>10014976</v>
      </c>
      <c r="EB22" s="379">
        <f t="shared" si="69"/>
        <v>11534996</v>
      </c>
      <c r="EC22" s="379">
        <f t="shared" si="69"/>
        <v>26543350</v>
      </c>
      <c r="ED22" s="379">
        <f t="shared" si="69"/>
        <v>21853108</v>
      </c>
      <c r="EE22" s="379">
        <f t="shared" si="69"/>
        <v>20411628</v>
      </c>
      <c r="EF22" s="379">
        <f t="shared" si="69"/>
        <v>22597560</v>
      </c>
      <c r="EG22" s="379">
        <f t="shared" si="69"/>
        <v>20633348</v>
      </c>
      <c r="EH22" s="379">
        <f t="shared" si="69"/>
        <v>19990988</v>
      </c>
      <c r="EI22" s="379">
        <f t="shared" si="69"/>
        <v>16461734</v>
      </c>
      <c r="EJ22" s="379">
        <f t="shared" si="69"/>
        <v>22544724</v>
      </c>
      <c r="EK22" s="375">
        <f>SUM(EK19:EK21)</f>
        <v>225615872</v>
      </c>
      <c r="EL22" s="168"/>
      <c r="EM22" s="379">
        <f t="shared" ref="EM22:EX22" si="70">SUM(EM19:EM21)</f>
        <v>17307255</v>
      </c>
      <c r="EN22" s="379">
        <f t="shared" si="70"/>
        <v>14303650</v>
      </c>
      <c r="EO22" s="379">
        <f t="shared" si="70"/>
        <v>13930526</v>
      </c>
      <c r="EP22" s="379">
        <f t="shared" si="70"/>
        <v>9297031</v>
      </c>
      <c r="EQ22" s="379">
        <f t="shared" si="70"/>
        <v>20284398</v>
      </c>
      <c r="ER22" s="379">
        <f t="shared" si="70"/>
        <v>22061564</v>
      </c>
      <c r="ES22" s="379">
        <f t="shared" si="70"/>
        <v>22337970</v>
      </c>
      <c r="ET22" s="379">
        <f t="shared" si="70"/>
        <v>21443815</v>
      </c>
      <c r="EU22" s="379">
        <f t="shared" si="70"/>
        <v>11718619</v>
      </c>
      <c r="EV22" s="379">
        <f t="shared" si="70"/>
        <v>29641396</v>
      </c>
      <c r="EW22" s="379">
        <f t="shared" si="70"/>
        <v>21813516</v>
      </c>
      <c r="EX22" s="379">
        <f t="shared" si="70"/>
        <v>16428140</v>
      </c>
      <c r="EY22" s="375">
        <f>SUM(EY19:EY21)</f>
        <v>220567880</v>
      </c>
      <c r="EZ22" s="168"/>
    </row>
    <row r="23" spans="2:156" ht="15.75" customHeight="1">
      <c r="F23" s="199"/>
      <c r="G23" s="199"/>
      <c r="H23" s="373"/>
      <c r="I23" s="373"/>
      <c r="J23" s="373"/>
      <c r="K23" s="373"/>
      <c r="L23" s="373"/>
      <c r="M23" s="373"/>
      <c r="N23" s="373"/>
      <c r="O23" s="373"/>
      <c r="P23" s="373"/>
      <c r="Q23" s="373"/>
      <c r="R23" s="373"/>
      <c r="S23" s="373"/>
      <c r="T23" s="375"/>
      <c r="U23" s="379"/>
      <c r="V23" s="163"/>
      <c r="W23" s="922"/>
      <c r="X23" s="373"/>
      <c r="Y23" s="373"/>
      <c r="Z23" s="373"/>
      <c r="AA23" s="373"/>
      <c r="AB23" s="373"/>
      <c r="AC23" s="373"/>
      <c r="AD23" s="373"/>
      <c r="AE23" s="373"/>
      <c r="AF23" s="373"/>
      <c r="AG23" s="373"/>
      <c r="AH23" s="373"/>
      <c r="AI23" s="373"/>
      <c r="AJ23" s="375"/>
      <c r="AK23" s="922"/>
      <c r="AL23" s="373"/>
      <c r="AM23" s="373"/>
      <c r="AN23" s="373"/>
      <c r="AO23" s="373"/>
      <c r="AP23" s="373"/>
      <c r="AQ23" s="373"/>
      <c r="AR23" s="373"/>
      <c r="AS23" s="373"/>
      <c r="AT23" s="373"/>
      <c r="AU23" s="373"/>
      <c r="AV23" s="373"/>
      <c r="AW23" s="373"/>
      <c r="AX23" s="375"/>
      <c r="AY23" s="379"/>
      <c r="AZ23" s="163"/>
      <c r="BA23" s="922"/>
      <c r="BB23" s="373"/>
      <c r="BC23" s="373"/>
      <c r="BD23" s="373"/>
      <c r="BE23" s="373"/>
      <c r="BF23" s="373"/>
      <c r="BG23" s="373"/>
      <c r="BH23" s="373"/>
      <c r="BI23" s="373"/>
      <c r="BJ23" s="373"/>
      <c r="BK23" s="373"/>
      <c r="BL23" s="373"/>
      <c r="BM23" s="373"/>
      <c r="BN23" s="375"/>
      <c r="BO23" s="922"/>
      <c r="BP23" s="373"/>
      <c r="BQ23" s="373"/>
      <c r="BR23" s="373"/>
      <c r="BS23" s="373"/>
      <c r="BT23" s="373"/>
      <c r="BU23" s="373"/>
      <c r="BV23" s="373"/>
      <c r="BW23" s="373"/>
      <c r="BX23" s="373"/>
      <c r="BY23" s="373"/>
      <c r="BZ23" s="373"/>
      <c r="CA23" s="373"/>
      <c r="CB23" s="375"/>
      <c r="CC23" s="379"/>
      <c r="CD23" s="163"/>
      <c r="CE23" s="199"/>
      <c r="CF23" s="373"/>
      <c r="CG23" s="373"/>
      <c r="CH23" s="373"/>
      <c r="CI23" s="373"/>
      <c r="CJ23" s="373"/>
      <c r="CK23" s="373"/>
      <c r="CL23" s="373"/>
      <c r="CM23" s="373"/>
      <c r="CN23" s="373"/>
      <c r="CO23" s="373"/>
      <c r="CP23" s="373"/>
      <c r="CQ23" s="373"/>
      <c r="CR23" s="376"/>
      <c r="CS23" s="375"/>
      <c r="CT23" s="379"/>
      <c r="CU23" s="163"/>
      <c r="CV23" s="202"/>
      <c r="CW23" s="373"/>
      <c r="CX23" s="373"/>
      <c r="CY23" s="373"/>
      <c r="CZ23" s="373"/>
      <c r="DA23" s="373"/>
      <c r="DB23" s="373"/>
      <c r="DC23" s="373"/>
      <c r="DD23" s="373"/>
      <c r="DE23" s="373"/>
      <c r="DF23" s="373"/>
      <c r="DG23" s="373"/>
      <c r="DH23" s="373"/>
      <c r="DI23" s="375"/>
      <c r="DJ23" s="202"/>
      <c r="DK23" s="373"/>
      <c r="DL23" s="373"/>
      <c r="DM23" s="373"/>
      <c r="DN23" s="373"/>
      <c r="DO23" s="373"/>
      <c r="DP23" s="373"/>
      <c r="DQ23" s="373"/>
      <c r="DR23" s="373"/>
      <c r="DS23" s="373"/>
      <c r="DT23" s="373"/>
      <c r="DU23" s="373"/>
      <c r="DV23" s="373"/>
      <c r="DW23" s="375"/>
      <c r="DY23" s="373"/>
      <c r="DZ23" s="373"/>
      <c r="EA23" s="373"/>
      <c r="EB23" s="373"/>
      <c r="EC23" s="373"/>
      <c r="ED23" s="373"/>
      <c r="EE23" s="373"/>
      <c r="EF23" s="373"/>
      <c r="EG23" s="373"/>
      <c r="EH23" s="373"/>
      <c r="EI23" s="373"/>
      <c r="EJ23" s="373"/>
      <c r="EK23" s="375"/>
      <c r="EL23" s="164"/>
      <c r="EM23" s="373"/>
      <c r="EN23" s="373"/>
      <c r="EO23" s="373"/>
      <c r="EP23" s="373"/>
      <c r="EQ23" s="373"/>
      <c r="ER23" s="373"/>
      <c r="ES23" s="373"/>
      <c r="ET23" s="373"/>
      <c r="EU23" s="373"/>
      <c r="EV23" s="373"/>
      <c r="EW23" s="373"/>
      <c r="EX23" s="373"/>
      <c r="EY23" s="375"/>
      <c r="EZ23" s="164"/>
    </row>
    <row r="24" spans="2:156" ht="17.25" customHeight="1">
      <c r="E24" s="187" t="s">
        <v>296</v>
      </c>
      <c r="F24" s="199"/>
      <c r="G24" s="199"/>
      <c r="H24" s="805"/>
      <c r="I24" s="805"/>
      <c r="J24" s="805"/>
      <c r="K24" s="805"/>
      <c r="L24" s="805"/>
      <c r="M24" s="805"/>
      <c r="N24" s="805"/>
      <c r="O24" s="805"/>
      <c r="P24" s="373"/>
      <c r="Q24" s="373"/>
      <c r="R24" s="373"/>
      <c r="S24" s="373"/>
      <c r="T24" s="375"/>
      <c r="U24" s="383"/>
      <c r="V24" s="163"/>
      <c r="W24" s="922"/>
      <c r="X24" s="805"/>
      <c r="Y24" s="805"/>
      <c r="Z24" s="805"/>
      <c r="AA24" s="805"/>
      <c r="AB24" s="805"/>
      <c r="AC24" s="805"/>
      <c r="AD24" s="805"/>
      <c r="AE24" s="805"/>
      <c r="AF24" s="373"/>
      <c r="AG24" s="373"/>
      <c r="AH24" s="373"/>
      <c r="AI24" s="373"/>
      <c r="AJ24" s="375"/>
      <c r="AK24" s="922"/>
      <c r="AL24" s="805"/>
      <c r="AM24" s="805"/>
      <c r="AN24" s="805"/>
      <c r="AO24" s="805"/>
      <c r="AP24" s="805"/>
      <c r="AQ24" s="805"/>
      <c r="AR24" s="805"/>
      <c r="AS24" s="805"/>
      <c r="AT24" s="373"/>
      <c r="AU24" s="373"/>
      <c r="AV24" s="373"/>
      <c r="AW24" s="373"/>
      <c r="AX24" s="375"/>
      <c r="AY24" s="383"/>
      <c r="AZ24" s="163"/>
      <c r="BA24" s="922"/>
      <c r="BB24" s="805"/>
      <c r="BC24" s="805"/>
      <c r="BD24" s="805"/>
      <c r="BE24" s="805"/>
      <c r="BF24" s="805"/>
      <c r="BG24" s="805"/>
      <c r="BH24" s="805"/>
      <c r="BI24" s="805"/>
      <c r="BJ24" s="373"/>
      <c r="BK24" s="373"/>
      <c r="BL24" s="373"/>
      <c r="BM24" s="373"/>
      <c r="BN24" s="375"/>
      <c r="BO24" s="922"/>
      <c r="BP24" s="805"/>
      <c r="BQ24" s="805"/>
      <c r="BR24" s="805"/>
      <c r="BS24" s="805"/>
      <c r="BT24" s="805"/>
      <c r="BU24" s="805"/>
      <c r="BV24" s="805"/>
      <c r="BW24" s="805"/>
      <c r="BX24" s="373"/>
      <c r="BY24" s="373"/>
      <c r="BZ24" s="373"/>
      <c r="CA24" s="373"/>
      <c r="CB24" s="375"/>
      <c r="CC24" s="383"/>
      <c r="CD24" s="163"/>
      <c r="CE24" s="199"/>
      <c r="CF24" s="805"/>
      <c r="CG24" s="805"/>
      <c r="CH24" s="805"/>
      <c r="CI24" s="805"/>
      <c r="CJ24" s="805"/>
      <c r="CK24" s="805"/>
      <c r="CL24" s="805"/>
      <c r="CM24" s="805"/>
      <c r="CN24" s="373"/>
      <c r="CO24" s="373"/>
      <c r="CP24" s="373"/>
      <c r="CQ24" s="373"/>
      <c r="CR24" s="376"/>
      <c r="CS24" s="375"/>
      <c r="CT24" s="383"/>
      <c r="CU24" s="163"/>
      <c r="CV24" s="202"/>
      <c r="CW24" s="805"/>
      <c r="CX24" s="805"/>
      <c r="CY24" s="805"/>
      <c r="CZ24" s="805"/>
      <c r="DA24" s="805"/>
      <c r="DB24" s="805"/>
      <c r="DC24" s="805"/>
      <c r="DD24" s="805"/>
      <c r="DE24" s="373"/>
      <c r="DF24" s="373"/>
      <c r="DG24" s="373"/>
      <c r="DH24" s="373"/>
      <c r="DI24" s="375"/>
      <c r="DJ24" s="202"/>
      <c r="DK24" s="805"/>
      <c r="DL24" s="805"/>
      <c r="DM24" s="805"/>
      <c r="DN24" s="805"/>
      <c r="DO24" s="805"/>
      <c r="DP24" s="805"/>
      <c r="DQ24" s="805"/>
      <c r="DR24" s="805"/>
      <c r="DS24" s="373"/>
      <c r="DT24" s="373"/>
      <c r="DU24" s="373"/>
      <c r="DV24" s="373"/>
      <c r="DW24" s="375"/>
      <c r="DY24" s="805"/>
      <c r="DZ24" s="805"/>
      <c r="EA24" s="805"/>
      <c r="EB24" s="805"/>
      <c r="EC24" s="805"/>
      <c r="ED24" s="805"/>
      <c r="EE24" s="805"/>
      <c r="EF24" s="805"/>
      <c r="EG24" s="373"/>
      <c r="EH24" s="373"/>
      <c r="EI24" s="373"/>
      <c r="EJ24" s="373"/>
      <c r="EK24" s="375"/>
      <c r="EL24" s="164"/>
      <c r="EM24" s="805"/>
      <c r="EN24" s="805"/>
      <c r="EO24" s="805"/>
      <c r="EP24" s="805"/>
      <c r="EQ24" s="805"/>
      <c r="ER24" s="805"/>
      <c r="ES24" s="805"/>
      <c r="ET24" s="805"/>
      <c r="EU24" s="373"/>
      <c r="EV24" s="373"/>
      <c r="EW24" s="373"/>
      <c r="EX24" s="373"/>
      <c r="EY24" s="384"/>
      <c r="EZ24" s="164"/>
    </row>
    <row r="25" spans="2:156" ht="16.5" customHeight="1">
      <c r="F25" s="205" t="s">
        <v>1178</v>
      </c>
      <c r="G25" s="205"/>
      <c r="H25" s="807" t="str">
        <f t="shared" ref="H25:S25" si="71">IFERROR(H37/H19,"N/A")</f>
        <v>N/A</v>
      </c>
      <c r="I25" s="807" t="str">
        <f t="shared" si="71"/>
        <v>N/A</v>
      </c>
      <c r="J25" s="807" t="str">
        <f t="shared" si="71"/>
        <v>N/A</v>
      </c>
      <c r="K25" s="807" t="str">
        <f t="shared" si="71"/>
        <v>N/A</v>
      </c>
      <c r="L25" s="807" t="str">
        <f t="shared" si="71"/>
        <v>N/A</v>
      </c>
      <c r="M25" s="807" t="str">
        <f t="shared" si="71"/>
        <v>N/A</v>
      </c>
      <c r="N25" s="807" t="str">
        <f t="shared" si="71"/>
        <v>N/A</v>
      </c>
      <c r="O25" s="807" t="str">
        <f t="shared" si="71"/>
        <v>N/A</v>
      </c>
      <c r="P25" s="807" t="str">
        <f t="shared" si="71"/>
        <v>N/A</v>
      </c>
      <c r="Q25" s="808" t="str">
        <f t="shared" si="71"/>
        <v>N/A</v>
      </c>
      <c r="R25" s="807" t="str">
        <f t="shared" si="71"/>
        <v>N/A</v>
      </c>
      <c r="S25" s="807">
        <f t="shared" si="71"/>
        <v>2.3864911707692302</v>
      </c>
      <c r="T25" s="385">
        <f>IFERROR(T37/T19,"N/A")</f>
        <v>2.3864911707692302</v>
      </c>
      <c r="U25" s="378">
        <f>T25-AJ25</f>
        <v>5.3608275922411242E-2</v>
      </c>
      <c r="V25" s="165">
        <f>U25/AJ25</f>
        <v>2.2979411457312457E-2</v>
      </c>
      <c r="W25" s="947"/>
      <c r="X25" s="807">
        <f t="shared" ref="X25:AI25" si="72">IFERROR(X37/X19,"N/A")</f>
        <v>2.176277451112365</v>
      </c>
      <c r="Y25" s="807">
        <f t="shared" si="72"/>
        <v>2.428384841194458</v>
      </c>
      <c r="Z25" s="807">
        <f t="shared" si="72"/>
        <v>2.3715611166138992</v>
      </c>
      <c r="AA25" s="807">
        <f t="shared" si="72"/>
        <v>2.151377828243926</v>
      </c>
      <c r="AB25" s="807">
        <f t="shared" si="72"/>
        <v>2.2438095323800868</v>
      </c>
      <c r="AC25" s="807">
        <f t="shared" si="72"/>
        <v>2.2690585953115208</v>
      </c>
      <c r="AD25" s="807">
        <f t="shared" si="72"/>
        <v>2.1874926142002891</v>
      </c>
      <c r="AE25" s="807">
        <f t="shared" si="72"/>
        <v>2.33762992936831</v>
      </c>
      <c r="AF25" s="807">
        <f t="shared" si="72"/>
        <v>2.5783640072228287</v>
      </c>
      <c r="AG25" s="808">
        <f t="shared" si="72"/>
        <v>2.3445288829183459</v>
      </c>
      <c r="AH25" s="807">
        <f t="shared" si="72"/>
        <v>2.3868874507697724</v>
      </c>
      <c r="AI25" s="807">
        <f t="shared" si="72"/>
        <v>2.2294942613719826</v>
      </c>
      <c r="AJ25" s="385">
        <f>IFERROR(AJ37/AJ19,"N/A")</f>
        <v>2.332882894846819</v>
      </c>
      <c r="AK25" s="947"/>
      <c r="AL25" s="807" t="str">
        <f t="shared" ref="AL25:AW28" si="73">IFERROR(AL37/AL19,"N/A")</f>
        <v>N/A</v>
      </c>
      <c r="AM25" s="807" t="str">
        <f t="shared" si="73"/>
        <v>N/A</v>
      </c>
      <c r="AN25" s="807" t="str">
        <f t="shared" si="73"/>
        <v>N/A</v>
      </c>
      <c r="AO25" s="807" t="str">
        <f t="shared" si="73"/>
        <v>N/A</v>
      </c>
      <c r="AP25" s="807" t="str">
        <f t="shared" si="73"/>
        <v>N/A</v>
      </c>
      <c r="AQ25" s="807" t="str">
        <f t="shared" si="73"/>
        <v>N/A</v>
      </c>
      <c r="AR25" s="807" t="str">
        <f t="shared" si="73"/>
        <v>N/A</v>
      </c>
      <c r="AS25" s="807" t="str">
        <f t="shared" si="73"/>
        <v>N/A</v>
      </c>
      <c r="AT25" s="807" t="str">
        <f t="shared" si="73"/>
        <v>N/A</v>
      </c>
      <c r="AU25" s="808" t="str">
        <f t="shared" si="73"/>
        <v>N/A</v>
      </c>
      <c r="AV25" s="807" t="str">
        <f t="shared" si="73"/>
        <v>N/A</v>
      </c>
      <c r="AW25" s="807">
        <f t="shared" si="73"/>
        <v>2.2816691192899046</v>
      </c>
      <c r="AX25" s="385">
        <f>IFERROR(AX37/AX19,"N/A")</f>
        <v>2.2816691192899046</v>
      </c>
      <c r="AY25" s="378">
        <f>AX25-BN25</f>
        <v>0</v>
      </c>
      <c r="AZ25" s="165">
        <f>AY25/BN25</f>
        <v>0</v>
      </c>
      <c r="BA25" s="947"/>
      <c r="BB25" s="807">
        <f t="shared" ref="BB25:BM28" si="74">IFERROR(BB37/BB19,"N/A")</f>
        <v>2.0977188367369508</v>
      </c>
      <c r="BC25" s="807">
        <f t="shared" si="74"/>
        <v>2.044129433472047</v>
      </c>
      <c r="BD25" s="807">
        <f t="shared" si="74"/>
        <v>2.3145078713893548</v>
      </c>
      <c r="BE25" s="807">
        <f t="shared" si="74"/>
        <v>2.1575742939043305</v>
      </c>
      <c r="BF25" s="807">
        <f t="shared" si="74"/>
        <v>2.0393442075136297</v>
      </c>
      <c r="BG25" s="807">
        <f t="shared" si="74"/>
        <v>2.2644074958096896</v>
      </c>
      <c r="BH25" s="807">
        <f t="shared" si="74"/>
        <v>2.2547465210936868</v>
      </c>
      <c r="BI25" s="807">
        <f t="shared" si="74"/>
        <v>2.348886201600985</v>
      </c>
      <c r="BJ25" s="807">
        <f t="shared" si="74"/>
        <v>2.4091717981926113</v>
      </c>
      <c r="BK25" s="808">
        <f t="shared" si="74"/>
        <v>2.4884622738835684</v>
      </c>
      <c r="BL25" s="807">
        <f t="shared" si="74"/>
        <v>2.1451149918870565</v>
      </c>
      <c r="BM25" s="807">
        <f t="shared" si="74"/>
        <v>2.1787989763825784</v>
      </c>
      <c r="BN25" s="385">
        <f>IFERROR(BN37/BN19,"N/A")</f>
        <v>2.2816691192899046</v>
      </c>
      <c r="BO25" s="947"/>
      <c r="BP25" s="807">
        <f t="shared" ref="BP25:CA28" si="75">IFERROR(BP37/BP19,"N/A")</f>
        <v>2.2724164278369159</v>
      </c>
      <c r="BQ25" s="807">
        <f t="shared" si="75"/>
        <v>2.3071127371685565</v>
      </c>
      <c r="BR25" s="807">
        <f t="shared" si="75"/>
        <v>2.4282958838582842</v>
      </c>
      <c r="BS25" s="807">
        <f t="shared" si="75"/>
        <v>2.570006018834154</v>
      </c>
      <c r="BT25" s="807">
        <f t="shared" si="75"/>
        <v>2.4020427157086948</v>
      </c>
      <c r="BU25" s="807">
        <f t="shared" si="75"/>
        <v>2.4496470677665405</v>
      </c>
      <c r="BV25" s="807">
        <f t="shared" si="75"/>
        <v>2.447094606233454</v>
      </c>
      <c r="BW25" s="807">
        <f t="shared" si="75"/>
        <v>2.4712581645290035</v>
      </c>
      <c r="BX25" s="807">
        <f t="shared" si="75"/>
        <v>2.5332136688870386</v>
      </c>
      <c r="BY25" s="808">
        <f t="shared" si="75"/>
        <v>2.53381354720235</v>
      </c>
      <c r="BZ25" s="807">
        <f t="shared" si="75"/>
        <v>2.5027518233772228</v>
      </c>
      <c r="CA25" s="807">
        <f t="shared" si="75"/>
        <v>2.6059179226833828</v>
      </c>
      <c r="CB25" s="385">
        <f>IFERROR(CB37/CB19,"N/A")</f>
        <v>2.4985897137589514</v>
      </c>
      <c r="CC25" s="386">
        <f>BN25-CB25</f>
        <v>-0.21692059446904688</v>
      </c>
      <c r="CD25" s="165">
        <f>IFERROR(CC25/CB25,"N/A")</f>
        <v>-8.6817212635805344E-2</v>
      </c>
      <c r="CE25" s="205"/>
      <c r="CF25" s="807">
        <f t="shared" ref="CF25:CQ28" si="76">IFERROR(CF37/CF19,"N/A")</f>
        <v>2.4480468754648834</v>
      </c>
      <c r="CG25" s="807">
        <f t="shared" si="76"/>
        <v>2.3154588706401222</v>
      </c>
      <c r="CH25" s="807">
        <f t="shared" si="76"/>
        <v>2.4622408725180769</v>
      </c>
      <c r="CI25" s="807">
        <f t="shared" si="76"/>
        <v>2.2911796012405725</v>
      </c>
      <c r="CJ25" s="807">
        <f t="shared" si="76"/>
        <v>2.4830153769754144</v>
      </c>
      <c r="CK25" s="807">
        <f t="shared" si="76"/>
        <v>2.5116217661780063</v>
      </c>
      <c r="CL25" s="807">
        <f t="shared" si="76"/>
        <v>2.2776227840911685</v>
      </c>
      <c r="CM25" s="807">
        <f t="shared" si="76"/>
        <v>2.4729947239520911</v>
      </c>
      <c r="CN25" s="807">
        <f t="shared" si="76"/>
        <v>2.5364585023317252</v>
      </c>
      <c r="CO25" s="808">
        <f t="shared" si="76"/>
        <v>2.4869149926885048</v>
      </c>
      <c r="CP25" s="807">
        <f t="shared" si="76"/>
        <v>2.4926902135867794</v>
      </c>
      <c r="CQ25" s="807">
        <f t="shared" si="76"/>
        <v>2.3468437345491835</v>
      </c>
      <c r="CR25" s="387"/>
      <c r="CS25" s="385">
        <f>IFERROR(CS37/CS19,"N/A")</f>
        <v>2.4447872465199247</v>
      </c>
      <c r="CT25" s="386">
        <f>BN25-CS25</f>
        <v>-0.16311812723002017</v>
      </c>
      <c r="CU25" s="165">
        <f>IFERROR(CT25/CS25,"N/A")</f>
        <v>-6.6720786220647019E-2</v>
      </c>
      <c r="CV25" s="317"/>
      <c r="CW25" s="807">
        <f t="shared" ref="CW25:DH28" si="77">IFERROR(CW37/CW19,"N/A")</f>
        <v>2.3249398929487084</v>
      </c>
      <c r="CX25" s="807">
        <f t="shared" si="77"/>
        <v>2.3928865380678515</v>
      </c>
      <c r="CY25" s="807">
        <f t="shared" si="77"/>
        <v>2.332408282254292</v>
      </c>
      <c r="CZ25" s="807">
        <f t="shared" si="77"/>
        <v>2.2964983571113327</v>
      </c>
      <c r="DA25" s="807">
        <f t="shared" si="77"/>
        <v>2.3453708192442244</v>
      </c>
      <c r="DB25" s="807">
        <f t="shared" si="77"/>
        <v>2.4505282630534606</v>
      </c>
      <c r="DC25" s="807">
        <f t="shared" si="77"/>
        <v>2.2451271049973784</v>
      </c>
      <c r="DD25" s="807">
        <f t="shared" si="77"/>
        <v>2.3724828383149124</v>
      </c>
      <c r="DE25" s="807">
        <f t="shared" si="77"/>
        <v>2.423439186065655</v>
      </c>
      <c r="DF25" s="808">
        <f t="shared" si="77"/>
        <v>2.349169808176907</v>
      </c>
      <c r="DG25" s="807">
        <f t="shared" si="77"/>
        <v>2.385239033601533</v>
      </c>
      <c r="DH25" s="807">
        <f t="shared" si="77"/>
        <v>2.421448185912487</v>
      </c>
      <c r="DI25" s="385">
        <f>IFERROR(DI37/DI19,"N/A")</f>
        <v>2.3693554652514908</v>
      </c>
      <c r="DJ25" s="317"/>
      <c r="DK25" s="807">
        <f t="shared" ref="DK25:DV28" si="78">IFERROR(DK37/DK19,"N/A")</f>
        <v>2.1162995451344018</v>
      </c>
      <c r="DL25" s="807">
        <f t="shared" si="78"/>
        <v>2.2872419913647426</v>
      </c>
      <c r="DM25" s="807">
        <f t="shared" si="78"/>
        <v>2.2989189277908939</v>
      </c>
      <c r="DN25" s="807">
        <f t="shared" si="78"/>
        <v>2.1883437060054569</v>
      </c>
      <c r="DO25" s="807">
        <f t="shared" si="78"/>
        <v>2.3362180168120941</v>
      </c>
      <c r="DP25" s="807">
        <f t="shared" si="78"/>
        <v>2.3734916959100412</v>
      </c>
      <c r="DQ25" s="807">
        <f t="shared" si="78"/>
        <v>2.2875726191400187</v>
      </c>
      <c r="DR25" s="807">
        <f t="shared" si="78"/>
        <v>2.3378798099086153</v>
      </c>
      <c r="DS25" s="807">
        <f t="shared" si="78"/>
        <v>2.3985439176135173</v>
      </c>
      <c r="DT25" s="808">
        <f t="shared" si="78"/>
        <v>2.3671757346738032</v>
      </c>
      <c r="DU25" s="807">
        <f t="shared" si="78"/>
        <v>2.3357074886759372</v>
      </c>
      <c r="DV25" s="807">
        <f t="shared" si="78"/>
        <v>2.4608053444153772</v>
      </c>
      <c r="DW25" s="385">
        <f>IFERROR(DW37/DW19,"N/A")</f>
        <v>2.3279479702547197</v>
      </c>
      <c r="DY25" s="807">
        <f t="shared" ref="DY25:EJ28" si="79">IFERROR(DY37/DY19,"N/A")</f>
        <v>2.2404695733886082</v>
      </c>
      <c r="DZ25" s="807">
        <f t="shared" si="79"/>
        <v>2.2461636013278468</v>
      </c>
      <c r="EA25" s="807">
        <f t="shared" si="79"/>
        <v>1.9939966995427647</v>
      </c>
      <c r="EB25" s="807">
        <f t="shared" si="79"/>
        <v>2.146505434214895</v>
      </c>
      <c r="EC25" s="807">
        <f t="shared" si="79"/>
        <v>2.3885097631479968</v>
      </c>
      <c r="ED25" s="807">
        <f t="shared" si="79"/>
        <v>2.1881048975358341</v>
      </c>
      <c r="EE25" s="807">
        <f t="shared" si="79"/>
        <v>2.1179149820513605</v>
      </c>
      <c r="EF25" s="807">
        <f t="shared" si="79"/>
        <v>2.1335853825428015</v>
      </c>
      <c r="EG25" s="807">
        <f t="shared" si="79"/>
        <v>2.2655799640438499</v>
      </c>
      <c r="EH25" s="808">
        <f t="shared" si="79"/>
        <v>2.139973496312368</v>
      </c>
      <c r="EI25" s="807">
        <f t="shared" si="79"/>
        <v>2.1917821085914282</v>
      </c>
      <c r="EJ25" s="807">
        <f t="shared" si="79"/>
        <v>2.4531260570948259</v>
      </c>
      <c r="EK25" s="385">
        <f>IFERROR(EK37/EK19,"N/A")</f>
        <v>2.2284952799235063</v>
      </c>
      <c r="EL25" s="169"/>
      <c r="EM25" s="807">
        <f t="shared" ref="EM25:EX28" si="80">IFERROR(EM37/EM19,"N/A")</f>
        <v>2.2801271448438336</v>
      </c>
      <c r="EN25" s="807">
        <f t="shared" si="80"/>
        <v>2.1826940820700038</v>
      </c>
      <c r="EO25" s="807">
        <f t="shared" si="80"/>
        <v>2.0916423265043913</v>
      </c>
      <c r="EP25" s="807">
        <f t="shared" si="80"/>
        <v>2.2573849049228722</v>
      </c>
      <c r="EQ25" s="807">
        <f t="shared" si="80"/>
        <v>2.3917118983152603</v>
      </c>
      <c r="ER25" s="807">
        <f t="shared" si="80"/>
        <v>2.1065462091607472</v>
      </c>
      <c r="ES25" s="807">
        <f t="shared" si="80"/>
        <v>2.1055742213054813</v>
      </c>
      <c r="ET25" s="807">
        <f t="shared" si="80"/>
        <v>2.2162002422167655</v>
      </c>
      <c r="EU25" s="807">
        <f t="shared" si="80"/>
        <v>2.2338629440892315</v>
      </c>
      <c r="EV25" s="808">
        <f t="shared" si="80"/>
        <v>2.2090437659554474</v>
      </c>
      <c r="EW25" s="807">
        <f t="shared" si="80"/>
        <v>2.1116988730320716</v>
      </c>
      <c r="EX25" s="807">
        <f t="shared" si="80"/>
        <v>2.1337628425425819</v>
      </c>
      <c r="EY25" s="385">
        <f>EY37/EY19</f>
        <v>2.2068059257188515</v>
      </c>
      <c r="EZ25" s="169"/>
    </row>
    <row r="26" spans="2:156" ht="16.5" customHeight="1">
      <c r="F26" s="205" t="s">
        <v>1179</v>
      </c>
      <c r="G26" s="205"/>
      <c r="H26" s="807" t="str">
        <f t="shared" ref="H26:S26" si="81">IFERROR(H38/H20,"N/A")</f>
        <v>N/A</v>
      </c>
      <c r="I26" s="807" t="str">
        <f t="shared" si="81"/>
        <v>N/A</v>
      </c>
      <c r="J26" s="807" t="str">
        <f t="shared" si="81"/>
        <v>N/A</v>
      </c>
      <c r="K26" s="807" t="str">
        <f t="shared" si="81"/>
        <v>N/A</v>
      </c>
      <c r="L26" s="807" t="str">
        <f t="shared" si="81"/>
        <v>N/A</v>
      </c>
      <c r="M26" s="807" t="str">
        <f t="shared" si="81"/>
        <v>N/A</v>
      </c>
      <c r="N26" s="807" t="str">
        <f t="shared" si="81"/>
        <v>N/A</v>
      </c>
      <c r="O26" s="807" t="str">
        <f t="shared" si="81"/>
        <v>N/A</v>
      </c>
      <c r="P26" s="807" t="str">
        <f t="shared" si="81"/>
        <v>N/A</v>
      </c>
      <c r="Q26" s="808" t="str">
        <f t="shared" si="81"/>
        <v>N/A</v>
      </c>
      <c r="R26" s="807" t="str">
        <f t="shared" si="81"/>
        <v>N/A</v>
      </c>
      <c r="S26" s="807">
        <f t="shared" si="81"/>
        <v>1.6189000541800949</v>
      </c>
      <c r="T26" s="385">
        <f>IFERROR(T38/T20,"N/A")</f>
        <v>1.6189000541800949</v>
      </c>
      <c r="U26" s="378">
        <f>T26-AJ26</f>
        <v>-6.1643014363329751E-2</v>
      </c>
      <c r="V26" s="165">
        <f>U26/AJ26</f>
        <v>-3.6680413324222352E-2</v>
      </c>
      <c r="W26" s="947"/>
      <c r="X26" s="807">
        <f t="shared" ref="X26:AI26" si="82">IFERROR(X38/X20,"N/A")</f>
        <v>1.6747712000668213</v>
      </c>
      <c r="Y26" s="807">
        <f t="shared" si="82"/>
        <v>2.024961391214068</v>
      </c>
      <c r="Z26" s="807">
        <f t="shared" si="82"/>
        <v>1.6104666685916686</v>
      </c>
      <c r="AA26" s="807">
        <f t="shared" si="82"/>
        <v>1.5866666666666667</v>
      </c>
      <c r="AB26" s="807" t="str">
        <f t="shared" si="82"/>
        <v>N/A</v>
      </c>
      <c r="AC26" s="807">
        <f t="shared" si="82"/>
        <v>1.7030666673031392</v>
      </c>
      <c r="AD26" s="807">
        <f t="shared" si="82"/>
        <v>1.6305810704899093</v>
      </c>
      <c r="AE26" s="807">
        <f t="shared" si="82"/>
        <v>1.6405360747504085</v>
      </c>
      <c r="AF26" s="807">
        <f t="shared" si="82"/>
        <v>1.7128564383864471</v>
      </c>
      <c r="AG26" s="808">
        <f t="shared" si="82"/>
        <v>1.85608192620796</v>
      </c>
      <c r="AH26" s="807">
        <f t="shared" si="82"/>
        <v>1.7313333344918025</v>
      </c>
      <c r="AI26" s="807">
        <f t="shared" si="82"/>
        <v>1.7487877233073585</v>
      </c>
      <c r="AJ26" s="385">
        <f>IFERROR(AJ38/AJ20,"N/A")</f>
        <v>1.6805430685434246</v>
      </c>
      <c r="AK26" s="947"/>
      <c r="AL26" s="807" t="str">
        <f t="shared" si="73"/>
        <v>N/A</v>
      </c>
      <c r="AM26" s="807" t="str">
        <f t="shared" si="73"/>
        <v>N/A</v>
      </c>
      <c r="AN26" s="807" t="str">
        <f t="shared" si="73"/>
        <v>N/A</v>
      </c>
      <c r="AO26" s="807" t="str">
        <f t="shared" si="73"/>
        <v>N/A</v>
      </c>
      <c r="AP26" s="807" t="str">
        <f t="shared" si="73"/>
        <v>N/A</v>
      </c>
      <c r="AQ26" s="807" t="str">
        <f t="shared" si="73"/>
        <v>N/A</v>
      </c>
      <c r="AR26" s="807" t="str">
        <f t="shared" si="73"/>
        <v>N/A</v>
      </c>
      <c r="AS26" s="807" t="str">
        <f t="shared" si="73"/>
        <v>N/A</v>
      </c>
      <c r="AT26" s="807" t="str">
        <f t="shared" si="73"/>
        <v>N/A</v>
      </c>
      <c r="AU26" s="808" t="str">
        <f t="shared" si="73"/>
        <v>N/A</v>
      </c>
      <c r="AV26" s="807" t="str">
        <f t="shared" si="73"/>
        <v>N/A</v>
      </c>
      <c r="AW26" s="807">
        <f t="shared" si="73"/>
        <v>1.6840250211505923</v>
      </c>
      <c r="AX26" s="385">
        <f>IFERROR(AX38/AX20,"N/A")</f>
        <v>1.6840250211505923</v>
      </c>
      <c r="AY26" s="378">
        <f>AX26-BN26</f>
        <v>8.9330990579282954E-2</v>
      </c>
      <c r="AZ26" s="165">
        <f>AY26/BN26</f>
        <v>5.6017636528857863E-2</v>
      </c>
      <c r="BA26" s="947"/>
      <c r="BB26" s="807" t="str">
        <f t="shared" si="74"/>
        <v>N/A</v>
      </c>
      <c r="BC26" s="807" t="str">
        <f t="shared" si="74"/>
        <v>N/A</v>
      </c>
      <c r="BD26" s="807" t="str">
        <f t="shared" si="74"/>
        <v>N/A</v>
      </c>
      <c r="BE26" s="807" t="str">
        <f t="shared" si="74"/>
        <v>N/A</v>
      </c>
      <c r="BF26" s="807" t="str">
        <f t="shared" si="74"/>
        <v>N/A</v>
      </c>
      <c r="BG26" s="807">
        <f t="shared" si="74"/>
        <v>1.4967250198417741</v>
      </c>
      <c r="BH26" s="807">
        <f t="shared" si="74"/>
        <v>1.5019860642379139</v>
      </c>
      <c r="BI26" s="807">
        <f t="shared" si="74"/>
        <v>1.5753582659116079</v>
      </c>
      <c r="BJ26" s="807">
        <f t="shared" si="74"/>
        <v>1.6289989231254423</v>
      </c>
      <c r="BK26" s="808">
        <f t="shared" si="74"/>
        <v>1.6224394993272482</v>
      </c>
      <c r="BL26" s="807">
        <f t="shared" si="74"/>
        <v>1.6545397488033295</v>
      </c>
      <c r="BM26" s="807">
        <f t="shared" si="74"/>
        <v>1.4204064337699027</v>
      </c>
      <c r="BN26" s="385">
        <f>IFERROR(BN38/BN20,"N/A")</f>
        <v>1.5946940305713093</v>
      </c>
      <c r="BO26" s="947"/>
      <c r="BP26" s="807" t="str">
        <f t="shared" si="75"/>
        <v>N/A</v>
      </c>
      <c r="BQ26" s="807" t="str">
        <f t="shared" si="75"/>
        <v>N/A</v>
      </c>
      <c r="BR26" s="807">
        <f t="shared" si="75"/>
        <v>1.4451888888888889</v>
      </c>
      <c r="BS26" s="807" t="str">
        <f t="shared" si="75"/>
        <v>N/A</v>
      </c>
      <c r="BT26" s="807">
        <f t="shared" si="75"/>
        <v>1.5105411805555555</v>
      </c>
      <c r="BU26" s="807">
        <f t="shared" si="75"/>
        <v>1.5176139393939394</v>
      </c>
      <c r="BV26" s="807">
        <f t="shared" si="75"/>
        <v>1.528175925925926</v>
      </c>
      <c r="BW26" s="807">
        <f t="shared" si="75"/>
        <v>1.497910065359477</v>
      </c>
      <c r="BX26" s="807">
        <f t="shared" si="75"/>
        <v>1.4957242786069651</v>
      </c>
      <c r="BY26" s="808">
        <f t="shared" si="75"/>
        <v>1.5228647555555557</v>
      </c>
      <c r="BZ26" s="807" t="str">
        <f t="shared" si="75"/>
        <v>N/A</v>
      </c>
      <c r="CA26" s="807">
        <f t="shared" si="75"/>
        <v>1.4105875560745931</v>
      </c>
      <c r="CB26" s="385">
        <f>IFERROR(CB38/CB20,"N/A")</f>
        <v>1.4841849469956054</v>
      </c>
      <c r="CC26" s="386">
        <f>BN26-CB26</f>
        <v>0.11050908357570388</v>
      </c>
      <c r="CD26" s="165">
        <f>IFERROR(CC26/CB26,"N/A")</f>
        <v>7.4457757976459982E-2</v>
      </c>
      <c r="CE26" s="205"/>
      <c r="CF26" s="807">
        <f t="shared" si="76"/>
        <v>1.4157654617291113</v>
      </c>
      <c r="CG26" s="807">
        <f t="shared" si="76"/>
        <v>1.4219187542637846</v>
      </c>
      <c r="CH26" s="807">
        <f t="shared" si="76"/>
        <v>1.3776734874877175</v>
      </c>
      <c r="CI26" s="807">
        <f t="shared" si="76"/>
        <v>1.3769804847083145</v>
      </c>
      <c r="CJ26" s="807">
        <f t="shared" si="76"/>
        <v>1.3589489560986452</v>
      </c>
      <c r="CK26" s="807">
        <f t="shared" si="76"/>
        <v>1.3181866207382902</v>
      </c>
      <c r="CL26" s="807">
        <f t="shared" si="76"/>
        <v>1.3299911892313216</v>
      </c>
      <c r="CM26" s="807">
        <f t="shared" si="76"/>
        <v>1.3010516790789077</v>
      </c>
      <c r="CN26" s="807">
        <f t="shared" si="76"/>
        <v>1.3971416658184255</v>
      </c>
      <c r="CO26" s="808">
        <f t="shared" si="76"/>
        <v>1.1924932370563719</v>
      </c>
      <c r="CP26" s="807">
        <f t="shared" si="76"/>
        <v>1.5011033874763147</v>
      </c>
      <c r="CQ26" s="807">
        <f t="shared" si="76"/>
        <v>1.5187743076235438</v>
      </c>
      <c r="CR26" s="387"/>
      <c r="CS26" s="385">
        <f>IFERROR(CS38/CS20,"N/A")</f>
        <v>1.3737251598662146</v>
      </c>
      <c r="CT26" s="386">
        <f>IFERROR(BN26-CS26,"N/A")</f>
        <v>0.22096887070509474</v>
      </c>
      <c r="CU26" s="165">
        <f>IFERROR(CT26/CS26,"N/A")</f>
        <v>0.16085376985205296</v>
      </c>
      <c r="CV26" s="317"/>
      <c r="CW26" s="807">
        <f t="shared" si="77"/>
        <v>1.4501656778294778</v>
      </c>
      <c r="CX26" s="807">
        <f t="shared" si="77"/>
        <v>1.4505156095658405</v>
      </c>
      <c r="CY26" s="807">
        <f t="shared" si="77"/>
        <v>1.446218426346505</v>
      </c>
      <c r="CZ26" s="807">
        <f t="shared" si="77"/>
        <v>1.382975315803042</v>
      </c>
      <c r="DA26" s="807">
        <f t="shared" si="77"/>
        <v>1.4049166659564738</v>
      </c>
      <c r="DB26" s="807">
        <f t="shared" si="77"/>
        <v>1.3896580479035372</v>
      </c>
      <c r="DC26" s="807">
        <f t="shared" si="77"/>
        <v>1.335902007755009</v>
      </c>
      <c r="DD26" s="807">
        <f t="shared" si="77"/>
        <v>1.3378147328897416</v>
      </c>
      <c r="DE26" s="807">
        <f t="shared" si="77"/>
        <v>1.3513139726922392</v>
      </c>
      <c r="DF26" s="808">
        <f t="shared" si="77"/>
        <v>1.2938999997341585</v>
      </c>
      <c r="DG26" s="807">
        <f t="shared" si="77"/>
        <v>1.4034766367411817</v>
      </c>
      <c r="DH26" s="807">
        <f t="shared" si="77"/>
        <v>1.1174097029868915</v>
      </c>
      <c r="DI26" s="385">
        <f>IFERROR(DI38/DI20,"N/A")</f>
        <v>1.3596022678491966</v>
      </c>
      <c r="DJ26" s="317"/>
      <c r="DK26" s="807" t="str">
        <f t="shared" si="78"/>
        <v>N/A</v>
      </c>
      <c r="DL26" s="807">
        <f t="shared" si="78"/>
        <v>1.3341909365699156</v>
      </c>
      <c r="DM26" s="807">
        <f t="shared" si="78"/>
        <v>1.3721614785796934</v>
      </c>
      <c r="DN26" s="807">
        <f t="shared" si="78"/>
        <v>1.3584175377163461</v>
      </c>
      <c r="DO26" s="807">
        <f t="shared" si="78"/>
        <v>1.3611112224237885</v>
      </c>
      <c r="DP26" s="807">
        <f t="shared" si="78"/>
        <v>1.4162735934618451</v>
      </c>
      <c r="DQ26" s="807">
        <f t="shared" si="78"/>
        <v>1.3939611268209773</v>
      </c>
      <c r="DR26" s="807">
        <f t="shared" si="78"/>
        <v>1.4138296151921741</v>
      </c>
      <c r="DS26" s="807">
        <f t="shared" si="78"/>
        <v>1.3665267233656537</v>
      </c>
      <c r="DT26" s="808">
        <f t="shared" si="78"/>
        <v>1.4243378498114214</v>
      </c>
      <c r="DU26" s="807" t="str">
        <f t="shared" si="78"/>
        <v>N/A</v>
      </c>
      <c r="DV26" s="807">
        <f t="shared" si="78"/>
        <v>1.607377383287302</v>
      </c>
      <c r="DW26" s="385">
        <f>IFERROR(DW38/DW20,"N/A")</f>
        <v>1.4052851831577755</v>
      </c>
      <c r="DY26" s="807" t="str">
        <f t="shared" si="79"/>
        <v>N/A</v>
      </c>
      <c r="DZ26" s="807">
        <f t="shared" si="79"/>
        <v>1.3916558773696492</v>
      </c>
      <c r="EA26" s="807" t="str">
        <f t="shared" si="79"/>
        <v>N/A</v>
      </c>
      <c r="EB26" s="807">
        <f t="shared" si="79"/>
        <v>1.392169426113649</v>
      </c>
      <c r="EC26" s="807">
        <f t="shared" si="79"/>
        <v>1.3995059295496008</v>
      </c>
      <c r="ED26" s="807">
        <f t="shared" si="79"/>
        <v>1.3903605146187956</v>
      </c>
      <c r="EE26" s="807">
        <f t="shared" si="79"/>
        <v>1.3924353697358329</v>
      </c>
      <c r="EF26" s="807">
        <f t="shared" si="79"/>
        <v>1.3613743015122444</v>
      </c>
      <c r="EG26" s="807">
        <f t="shared" si="79"/>
        <v>1.4458058537032867</v>
      </c>
      <c r="EH26" s="808">
        <f t="shared" si="79"/>
        <v>1.3371961875579541</v>
      </c>
      <c r="EI26" s="807">
        <f t="shared" si="79"/>
        <v>1.3595341238608287</v>
      </c>
      <c r="EJ26" s="807">
        <f t="shared" si="79"/>
        <v>1.1801963917667049</v>
      </c>
      <c r="EK26" s="385">
        <f>IFERROR(EK38/EK20,"N/A")</f>
        <v>1.3655356810371246</v>
      </c>
      <c r="EL26" s="169"/>
      <c r="EM26" s="807" t="str">
        <f t="shared" si="80"/>
        <v>N/A</v>
      </c>
      <c r="EN26" s="807">
        <f t="shared" si="80"/>
        <v>1.4168937520416596</v>
      </c>
      <c r="EO26" s="807">
        <f t="shared" si="80"/>
        <v>1.4105025005297731</v>
      </c>
      <c r="EP26" s="807" t="str">
        <f t="shared" si="80"/>
        <v>N/A</v>
      </c>
      <c r="EQ26" s="807">
        <f t="shared" si="80"/>
        <v>1.4079715598638105</v>
      </c>
      <c r="ER26" s="807">
        <f t="shared" si="80"/>
        <v>1.3706908669575206</v>
      </c>
      <c r="ES26" s="807">
        <f t="shared" si="80"/>
        <v>1.3740024088880003</v>
      </c>
      <c r="ET26" s="807">
        <f t="shared" si="80"/>
        <v>1.3867498863289547</v>
      </c>
      <c r="EU26" s="807" t="str">
        <f t="shared" si="80"/>
        <v>N/A</v>
      </c>
      <c r="EV26" s="808">
        <f t="shared" si="80"/>
        <v>1.4285037024716001</v>
      </c>
      <c r="EW26" s="807">
        <f t="shared" si="80"/>
        <v>1.3378860327608693</v>
      </c>
      <c r="EX26" s="807">
        <f t="shared" si="80"/>
        <v>1.1591140273683285</v>
      </c>
      <c r="EY26" s="385">
        <f>EY38/EY20</f>
        <v>1.3667200245275171</v>
      </c>
      <c r="EZ26" s="169"/>
    </row>
    <row r="27" spans="2:156" ht="16.5" customHeight="1">
      <c r="F27" s="205" t="s">
        <v>1180</v>
      </c>
      <c r="G27" s="205"/>
      <c r="H27" s="807" t="str">
        <f t="shared" ref="H27:R27" si="83">IFERROR(H39/H21,"N/A")</f>
        <v>N/A</v>
      </c>
      <c r="I27" s="807" t="str">
        <f t="shared" si="83"/>
        <v>N/A</v>
      </c>
      <c r="J27" s="807" t="str">
        <f t="shared" si="83"/>
        <v>N/A</v>
      </c>
      <c r="K27" s="807" t="str">
        <f t="shared" si="83"/>
        <v>N/A</v>
      </c>
      <c r="L27" s="807" t="str">
        <f t="shared" si="83"/>
        <v>N/A</v>
      </c>
      <c r="M27" s="807" t="str">
        <f t="shared" si="83"/>
        <v>N/A</v>
      </c>
      <c r="N27" s="807" t="str">
        <f t="shared" si="83"/>
        <v>N/A</v>
      </c>
      <c r="O27" s="807" t="str">
        <f t="shared" si="83"/>
        <v>N/A</v>
      </c>
      <c r="P27" s="807" t="str">
        <f t="shared" si="83"/>
        <v>N/A</v>
      </c>
      <c r="Q27" s="808" t="str">
        <f t="shared" si="83"/>
        <v>N/A</v>
      </c>
      <c r="R27" s="807" t="str">
        <f t="shared" si="83"/>
        <v>N/A</v>
      </c>
      <c r="S27" s="807">
        <f>IFERROR(S39/S21,"N/A")</f>
        <v>0.98841755183535063</v>
      </c>
      <c r="T27" s="385">
        <f>IFERROR(T39/T21,"N/A")</f>
        <v>0.98841755183535063</v>
      </c>
      <c r="U27" s="378" t="e">
        <f>T27-AJ27</f>
        <v>#VALUE!</v>
      </c>
      <c r="V27" s="165" t="e">
        <f>U27/AJ27</f>
        <v>#VALUE!</v>
      </c>
      <c r="W27" s="947"/>
      <c r="X27" s="807" t="str">
        <f t="shared" ref="X27:AI27" si="84">IFERROR(X39/X21,"N/A")</f>
        <v>N/A</v>
      </c>
      <c r="Y27" s="807" t="str">
        <f t="shared" si="84"/>
        <v>N/A</v>
      </c>
      <c r="Z27" s="807" t="str">
        <f t="shared" si="84"/>
        <v>N/A</v>
      </c>
      <c r="AA27" s="807" t="str">
        <f t="shared" si="84"/>
        <v>N/A</v>
      </c>
      <c r="AB27" s="807" t="str">
        <f t="shared" si="84"/>
        <v>N/A</v>
      </c>
      <c r="AC27" s="807" t="str">
        <f t="shared" si="84"/>
        <v>N/A</v>
      </c>
      <c r="AD27" s="807" t="str">
        <f t="shared" si="84"/>
        <v>N/A</v>
      </c>
      <c r="AE27" s="807" t="str">
        <f t="shared" si="84"/>
        <v>N/A</v>
      </c>
      <c r="AF27" s="807" t="str">
        <f t="shared" si="84"/>
        <v>N/A</v>
      </c>
      <c r="AG27" s="808" t="str">
        <f t="shared" si="84"/>
        <v>N/A</v>
      </c>
      <c r="AH27" s="807" t="str">
        <f t="shared" si="84"/>
        <v>N/A</v>
      </c>
      <c r="AI27" s="807" t="str">
        <f t="shared" si="84"/>
        <v>N/A</v>
      </c>
      <c r="AJ27" s="385" t="str">
        <f>IFERROR(AJ39/AJ21,"N/A")</f>
        <v>N/A</v>
      </c>
      <c r="AK27" s="947"/>
      <c r="AL27" s="807" t="str">
        <f t="shared" si="73"/>
        <v>N/A</v>
      </c>
      <c r="AM27" s="807" t="str">
        <f t="shared" si="73"/>
        <v>N/A</v>
      </c>
      <c r="AN27" s="807" t="str">
        <f t="shared" si="73"/>
        <v>N/A</v>
      </c>
      <c r="AO27" s="807" t="str">
        <f t="shared" si="73"/>
        <v>N/A</v>
      </c>
      <c r="AP27" s="807" t="str">
        <f t="shared" si="73"/>
        <v>N/A</v>
      </c>
      <c r="AQ27" s="807" t="str">
        <f t="shared" si="73"/>
        <v>N/A</v>
      </c>
      <c r="AR27" s="807" t="str">
        <f t="shared" si="73"/>
        <v>N/A</v>
      </c>
      <c r="AS27" s="807" t="str">
        <f t="shared" si="73"/>
        <v>N/A</v>
      </c>
      <c r="AT27" s="807" t="str">
        <f t="shared" si="73"/>
        <v>N/A</v>
      </c>
      <c r="AU27" s="808" t="str">
        <f t="shared" si="73"/>
        <v>N/A</v>
      </c>
      <c r="AV27" s="807" t="str">
        <f t="shared" si="73"/>
        <v>N/A</v>
      </c>
      <c r="AW27" s="807">
        <f>IFERROR(AW39/AW21,"N/A")</f>
        <v>0.95997857142857146</v>
      </c>
      <c r="AX27" s="385">
        <f>IFERROR(AX39/AX21,"N/A")</f>
        <v>0.95997857142857146</v>
      </c>
      <c r="AY27" s="378">
        <f>AX27-BN27</f>
        <v>-2.8438980406779168E-2</v>
      </c>
      <c r="AZ27" s="165">
        <f>AY27/BN27</f>
        <v>-2.8772233307646177E-2</v>
      </c>
      <c r="BA27" s="947"/>
      <c r="BB27" s="807" t="str">
        <f t="shared" si="74"/>
        <v>N/A</v>
      </c>
      <c r="BC27" s="807" t="str">
        <f t="shared" si="74"/>
        <v>N/A</v>
      </c>
      <c r="BD27" s="807">
        <f t="shared" si="74"/>
        <v>0.98042920989819282</v>
      </c>
      <c r="BE27" s="807" t="str">
        <f t="shared" si="74"/>
        <v>N/A</v>
      </c>
      <c r="BF27" s="807" t="str">
        <f t="shared" si="74"/>
        <v>N/A</v>
      </c>
      <c r="BG27" s="807" t="str">
        <f t="shared" si="74"/>
        <v>N/A</v>
      </c>
      <c r="BH27" s="807" t="str">
        <f t="shared" si="74"/>
        <v>N/A</v>
      </c>
      <c r="BI27" s="807" t="str">
        <f t="shared" si="74"/>
        <v>N/A</v>
      </c>
      <c r="BJ27" s="807" t="str">
        <f t="shared" si="74"/>
        <v>N/A</v>
      </c>
      <c r="BK27" s="808" t="str">
        <f t="shared" si="74"/>
        <v>N/A</v>
      </c>
      <c r="BL27" s="807" t="str">
        <f t="shared" si="74"/>
        <v>N/A</v>
      </c>
      <c r="BM27" s="807">
        <f t="shared" si="74"/>
        <v>0.99230111254777709</v>
      </c>
      <c r="BN27" s="385">
        <f>IFERROR(BN39/BN21,"N/A")</f>
        <v>0.98841755183535063</v>
      </c>
      <c r="BO27" s="947"/>
      <c r="BP27" s="807" t="str">
        <f t="shared" si="75"/>
        <v>N/A</v>
      </c>
      <c r="BQ27" s="807" t="str">
        <f t="shared" si="75"/>
        <v>N/A</v>
      </c>
      <c r="BR27" s="807">
        <f t="shared" si="75"/>
        <v>1.0263540669856459</v>
      </c>
      <c r="BS27" s="807" t="str">
        <f t="shared" si="75"/>
        <v>N/A</v>
      </c>
      <c r="BT27" s="807" t="str">
        <f t="shared" si="75"/>
        <v>N/A</v>
      </c>
      <c r="BU27" s="807" t="str">
        <f t="shared" si="75"/>
        <v>N/A</v>
      </c>
      <c r="BV27" s="807" t="str">
        <f t="shared" si="75"/>
        <v>N/A</v>
      </c>
      <c r="BW27" s="807" t="str">
        <f t="shared" si="75"/>
        <v>N/A</v>
      </c>
      <c r="BX27" s="807" t="str">
        <f t="shared" si="75"/>
        <v>N/A</v>
      </c>
      <c r="BY27" s="808" t="str">
        <f t="shared" si="75"/>
        <v>N/A</v>
      </c>
      <c r="BZ27" s="807" t="str">
        <f t="shared" si="75"/>
        <v>N/A</v>
      </c>
      <c r="CA27" s="807">
        <f t="shared" si="75"/>
        <v>0.8409962406015038</v>
      </c>
      <c r="CB27" s="385">
        <f>IFERROR(CB39/CB21,"N/A")</f>
        <v>0.8685494310099573</v>
      </c>
      <c r="CC27" s="386">
        <f>BN27-CB27</f>
        <v>0.11986812082539333</v>
      </c>
      <c r="CD27" s="165">
        <f>IFERROR(CC27/CB27,"N/A")</f>
        <v>0.13800955541011589</v>
      </c>
      <c r="CE27" s="205"/>
      <c r="CF27" s="807" t="str">
        <f t="shared" si="76"/>
        <v>N/A</v>
      </c>
      <c r="CG27" s="807" t="str">
        <f t="shared" si="76"/>
        <v>N/A</v>
      </c>
      <c r="CH27" s="807">
        <f t="shared" si="76"/>
        <v>1.0091322894487815</v>
      </c>
      <c r="CI27" s="807" t="str">
        <f t="shared" si="76"/>
        <v>N/A</v>
      </c>
      <c r="CJ27" s="807" t="str">
        <f t="shared" si="76"/>
        <v>N/A</v>
      </c>
      <c r="CK27" s="807" t="str">
        <f t="shared" si="76"/>
        <v>N/A</v>
      </c>
      <c r="CL27" s="807" t="str">
        <f t="shared" si="76"/>
        <v>N/A</v>
      </c>
      <c r="CM27" s="807" t="str">
        <f t="shared" si="76"/>
        <v>N/A</v>
      </c>
      <c r="CN27" s="807" t="str">
        <f t="shared" si="76"/>
        <v>N/A</v>
      </c>
      <c r="CO27" s="808" t="str">
        <f t="shared" si="76"/>
        <v>N/A</v>
      </c>
      <c r="CP27" s="807" t="str">
        <f t="shared" si="76"/>
        <v>N/A</v>
      </c>
      <c r="CQ27" s="807">
        <f t="shared" si="76"/>
        <v>1.2477282373953151</v>
      </c>
      <c r="CR27" s="387"/>
      <c r="CS27" s="385">
        <f>IFERROR(CS39/CS21,"N/A")</f>
        <v>1.1930534350929503</v>
      </c>
      <c r="CT27" s="386">
        <f>IFERROR(BN27-CS27,"N/A")</f>
        <v>-0.20463588325759963</v>
      </c>
      <c r="CU27" s="165">
        <f>IFERROR(CT27/CS27,"N/A")</f>
        <v>-0.17152281468571148</v>
      </c>
      <c r="CV27" s="317"/>
      <c r="CW27" s="807" t="str">
        <f t="shared" si="77"/>
        <v>N/A</v>
      </c>
      <c r="CX27" s="807" t="str">
        <f t="shared" si="77"/>
        <v>N/A</v>
      </c>
      <c r="CY27" s="807" t="str">
        <f t="shared" si="77"/>
        <v>N/A</v>
      </c>
      <c r="CZ27" s="807" t="str">
        <f t="shared" si="77"/>
        <v>N/A</v>
      </c>
      <c r="DA27" s="807">
        <f t="shared" si="77"/>
        <v>1.2196599735014619</v>
      </c>
      <c r="DB27" s="807" t="str">
        <f t="shared" si="77"/>
        <v>N/A</v>
      </c>
      <c r="DC27" s="807">
        <f t="shared" si="77"/>
        <v>1.0705703440685121</v>
      </c>
      <c r="DD27" s="807" t="str">
        <f t="shared" si="77"/>
        <v>N/A</v>
      </c>
      <c r="DE27" s="807">
        <f t="shared" si="77"/>
        <v>0.87855248748435544</v>
      </c>
      <c r="DF27" s="808" t="str">
        <f t="shared" si="77"/>
        <v>N/A</v>
      </c>
      <c r="DG27" s="807" t="str">
        <f t="shared" si="77"/>
        <v>N/A</v>
      </c>
      <c r="DH27" s="807">
        <f t="shared" si="77"/>
        <v>0.7107345771187723</v>
      </c>
      <c r="DI27" s="385">
        <f>IFERROR(DI39/DI21,"N/A")</f>
        <v>0.88550873240629346</v>
      </c>
      <c r="DJ27" s="317"/>
      <c r="DK27" s="807" t="str">
        <f t="shared" si="78"/>
        <v>N/A</v>
      </c>
      <c r="DL27" s="807">
        <f t="shared" si="78"/>
        <v>0.89980278288868432</v>
      </c>
      <c r="DM27" s="807" t="str">
        <f t="shared" si="78"/>
        <v>N/A</v>
      </c>
      <c r="DN27" s="807">
        <f t="shared" si="78"/>
        <v>1.129375</v>
      </c>
      <c r="DO27" s="807" t="str">
        <f t="shared" si="78"/>
        <v>N/A</v>
      </c>
      <c r="DP27" s="807" t="str">
        <f t="shared" si="78"/>
        <v>N/A</v>
      </c>
      <c r="DQ27" s="807" t="str">
        <f t="shared" si="78"/>
        <v>N/A</v>
      </c>
      <c r="DR27" s="807" t="str">
        <f t="shared" si="78"/>
        <v>N/A</v>
      </c>
      <c r="DS27" s="807" t="str">
        <f t="shared" si="78"/>
        <v>N/A</v>
      </c>
      <c r="DT27" s="808" t="str">
        <f t="shared" si="78"/>
        <v>N/A</v>
      </c>
      <c r="DU27" s="807" t="str">
        <f t="shared" si="78"/>
        <v>N/A</v>
      </c>
      <c r="DV27" s="807">
        <f t="shared" si="78"/>
        <v>1.1293750340628623</v>
      </c>
      <c r="DW27" s="385">
        <f>IFERROR(DW39/DW21,"N/A")</f>
        <v>1.0835101456822456</v>
      </c>
      <c r="DY27" s="807" t="str">
        <f t="shared" si="79"/>
        <v>N/A</v>
      </c>
      <c r="DZ27" s="807" t="str">
        <f t="shared" si="79"/>
        <v>N/A</v>
      </c>
      <c r="EA27" s="807" t="str">
        <f t="shared" si="79"/>
        <v>N/A</v>
      </c>
      <c r="EB27" s="807" t="str">
        <f t="shared" si="79"/>
        <v>N/A</v>
      </c>
      <c r="EC27" s="807">
        <f t="shared" si="79"/>
        <v>0.96856653258376135</v>
      </c>
      <c r="ED27" s="807" t="str">
        <f t="shared" si="79"/>
        <v>N/A</v>
      </c>
      <c r="EE27" s="807" t="str">
        <f t="shared" si="79"/>
        <v>N/A</v>
      </c>
      <c r="EF27" s="807" t="str">
        <f t="shared" si="79"/>
        <v>N/A</v>
      </c>
      <c r="EG27" s="807" t="str">
        <f t="shared" si="79"/>
        <v>N/A</v>
      </c>
      <c r="EH27" s="808" t="str">
        <f t="shared" si="79"/>
        <v>N/A</v>
      </c>
      <c r="EI27" s="807" t="str">
        <f t="shared" si="79"/>
        <v>N/A</v>
      </c>
      <c r="EJ27" s="807">
        <f t="shared" si="79"/>
        <v>1.0464999983837444</v>
      </c>
      <c r="EK27" s="385">
        <f>IFERROR(EK39/EK21,"N/A")</f>
        <v>0.99453579203276254</v>
      </c>
      <c r="EL27" s="169"/>
      <c r="EM27" s="807">
        <f t="shared" si="80"/>
        <v>0.95907500129379497</v>
      </c>
      <c r="EN27" s="807" t="str">
        <f t="shared" si="80"/>
        <v>N/A</v>
      </c>
      <c r="EO27" s="807">
        <f t="shared" si="80"/>
        <v>0.86063956263732699</v>
      </c>
      <c r="EP27" s="807" t="str">
        <f t="shared" si="80"/>
        <v>N/A</v>
      </c>
      <c r="EQ27" s="807" t="str">
        <f t="shared" si="80"/>
        <v>N/A</v>
      </c>
      <c r="ER27" s="807">
        <f t="shared" si="80"/>
        <v>0.81568254448686728</v>
      </c>
      <c r="ES27" s="807" t="str">
        <f t="shared" si="80"/>
        <v>N/A</v>
      </c>
      <c r="ET27" s="807" t="str">
        <f t="shared" si="80"/>
        <v>N/A</v>
      </c>
      <c r="EU27" s="807" t="str">
        <f t="shared" si="80"/>
        <v>N/A</v>
      </c>
      <c r="EV27" s="808" t="str">
        <f t="shared" si="80"/>
        <v>N/A</v>
      </c>
      <c r="EW27" s="807">
        <f t="shared" si="80"/>
        <v>0.87726041505243046</v>
      </c>
      <c r="EX27" s="807" t="str">
        <f t="shared" si="80"/>
        <v>N/A</v>
      </c>
      <c r="EY27" s="385">
        <f>EY39/EY21</f>
        <v>0.86262503034336135</v>
      </c>
      <c r="EZ27" s="169"/>
    </row>
    <row r="28" spans="2:156" s="187" customFormat="1" ht="17.25" customHeight="1">
      <c r="B28" s="199"/>
      <c r="C28" s="199"/>
      <c r="D28" s="199"/>
      <c r="F28" s="206"/>
      <c r="G28" s="206"/>
      <c r="H28" s="806" t="str">
        <f t="shared" ref="H28:S28" si="85">IFERROR(H40/H22,"N/A")</f>
        <v>N/A</v>
      </c>
      <c r="I28" s="806" t="str">
        <f t="shared" si="85"/>
        <v>N/A</v>
      </c>
      <c r="J28" s="806" t="str">
        <f t="shared" si="85"/>
        <v>N/A</v>
      </c>
      <c r="K28" s="806" t="str">
        <f t="shared" si="85"/>
        <v>N/A</v>
      </c>
      <c r="L28" s="806" t="str">
        <f t="shared" si="85"/>
        <v>N/A</v>
      </c>
      <c r="M28" s="806" t="str">
        <f t="shared" si="85"/>
        <v>N/A</v>
      </c>
      <c r="N28" s="806" t="str">
        <f t="shared" si="85"/>
        <v>N/A</v>
      </c>
      <c r="O28" s="806" t="str">
        <f t="shared" si="85"/>
        <v>N/A</v>
      </c>
      <c r="P28" s="806" t="str">
        <f t="shared" si="85"/>
        <v>N/A</v>
      </c>
      <c r="Q28" s="806" t="str">
        <f t="shared" si="85"/>
        <v>N/A</v>
      </c>
      <c r="R28" s="806" t="str">
        <f t="shared" si="85"/>
        <v>N/A</v>
      </c>
      <c r="S28" s="806">
        <f t="shared" si="85"/>
        <v>1.895246796096719</v>
      </c>
      <c r="T28" s="388">
        <f>IFERROR(T40/T22,"N/A")</f>
        <v>1.895246796096719</v>
      </c>
      <c r="U28" s="378">
        <f>T28-AJ28</f>
        <v>-0.12937195938726154</v>
      </c>
      <c r="V28" s="165">
        <f>U28/AJ28</f>
        <v>-6.3899417624596416E-2</v>
      </c>
      <c r="W28" s="948"/>
      <c r="X28" s="806">
        <f t="shared" ref="X28:AI28" si="86">IFERROR(X40/X22,"N/A")</f>
        <v>1.7350837997389807</v>
      </c>
      <c r="Y28" s="806">
        <f t="shared" si="86"/>
        <v>2.2048101728610825</v>
      </c>
      <c r="Z28" s="806">
        <f t="shared" si="86"/>
        <v>2.1591858009418652</v>
      </c>
      <c r="AA28" s="806">
        <f t="shared" si="86"/>
        <v>1.914895970898965</v>
      </c>
      <c r="AB28" s="806">
        <f t="shared" si="86"/>
        <v>2.2438095323800868</v>
      </c>
      <c r="AC28" s="806">
        <f t="shared" si="86"/>
        <v>2.0310366751236626</v>
      </c>
      <c r="AD28" s="806">
        <f t="shared" si="86"/>
        <v>1.7998644082143818</v>
      </c>
      <c r="AE28" s="806">
        <f t="shared" si="86"/>
        <v>1.7926640403252996</v>
      </c>
      <c r="AF28" s="806">
        <f t="shared" si="86"/>
        <v>2.0543109730575106</v>
      </c>
      <c r="AG28" s="806">
        <f t="shared" si="86"/>
        <v>3.2152306182379617</v>
      </c>
      <c r="AH28" s="806">
        <f t="shared" si="86"/>
        <v>2.2861209445647561</v>
      </c>
      <c r="AI28" s="806">
        <f t="shared" si="86"/>
        <v>2.1863341588434708</v>
      </c>
      <c r="AJ28" s="388">
        <f>IFERROR(AJ40/AJ22,"N/A")</f>
        <v>2.0246187554839805</v>
      </c>
      <c r="AK28" s="948"/>
      <c r="AL28" s="806" t="str">
        <f t="shared" si="73"/>
        <v>N/A</v>
      </c>
      <c r="AM28" s="806" t="str">
        <f t="shared" si="73"/>
        <v>N/A</v>
      </c>
      <c r="AN28" s="806" t="str">
        <f t="shared" si="73"/>
        <v>N/A</v>
      </c>
      <c r="AO28" s="806" t="str">
        <f t="shared" si="73"/>
        <v>N/A</v>
      </c>
      <c r="AP28" s="806" t="str">
        <f t="shared" si="73"/>
        <v>N/A</v>
      </c>
      <c r="AQ28" s="806" t="str">
        <f t="shared" si="73"/>
        <v>N/A</v>
      </c>
      <c r="AR28" s="806" t="str">
        <f t="shared" si="73"/>
        <v>N/A</v>
      </c>
      <c r="AS28" s="806" t="str">
        <f t="shared" si="73"/>
        <v>N/A</v>
      </c>
      <c r="AT28" s="806" t="str">
        <f t="shared" si="73"/>
        <v>N/A</v>
      </c>
      <c r="AU28" s="806" t="str">
        <f t="shared" si="73"/>
        <v>N/A</v>
      </c>
      <c r="AV28" s="806" t="str">
        <f t="shared" si="73"/>
        <v>N/A</v>
      </c>
      <c r="AW28" s="806">
        <f t="shared" si="73"/>
        <v>1.8955662301661007</v>
      </c>
      <c r="AX28" s="388">
        <f>IFERROR(AX40/AX22,"N/A")</f>
        <v>1.8955662301661007</v>
      </c>
      <c r="AY28" s="378">
        <f>AX28-BN28</f>
        <v>7.694547205975133E-2</v>
      </c>
      <c r="AZ28" s="165">
        <f>AY28/BN28</f>
        <v>4.2309795330760055E-2</v>
      </c>
      <c r="BA28" s="948"/>
      <c r="BB28" s="806">
        <f t="shared" si="74"/>
        <v>2.0977188367369508</v>
      </c>
      <c r="BC28" s="806">
        <f t="shared" si="74"/>
        <v>2.044129433472047</v>
      </c>
      <c r="BD28" s="806">
        <f t="shared" si="74"/>
        <v>2.111944771522694</v>
      </c>
      <c r="BE28" s="806">
        <f t="shared" si="74"/>
        <v>2.1575742939043305</v>
      </c>
      <c r="BF28" s="806">
        <f t="shared" si="74"/>
        <v>2.0393442075136297</v>
      </c>
      <c r="BG28" s="806">
        <f t="shared" si="74"/>
        <v>1.8664210874464948</v>
      </c>
      <c r="BH28" s="806">
        <f t="shared" si="74"/>
        <v>1.9638764055275657</v>
      </c>
      <c r="BI28" s="806">
        <f t="shared" si="74"/>
        <v>1.7983395688161927</v>
      </c>
      <c r="BJ28" s="806">
        <f t="shared" si="74"/>
        <v>1.8979825730641613</v>
      </c>
      <c r="BK28" s="806">
        <f t="shared" si="74"/>
        <v>1.7720087703246894</v>
      </c>
      <c r="BL28" s="806">
        <f t="shared" si="74"/>
        <v>1.7287614777880396</v>
      </c>
      <c r="BM28" s="806">
        <f t="shared" si="74"/>
        <v>1.6329576237236787</v>
      </c>
      <c r="BN28" s="388">
        <f>IFERROR(BN40/BN22,"N/A")</f>
        <v>1.8186207581063494</v>
      </c>
      <c r="BO28" s="948"/>
      <c r="BP28" s="806">
        <f t="shared" si="75"/>
        <v>2.2724164278369159</v>
      </c>
      <c r="BQ28" s="806">
        <f t="shared" si="75"/>
        <v>2.3071127371685565</v>
      </c>
      <c r="BR28" s="806">
        <f t="shared" si="75"/>
        <v>2.0375451852776738</v>
      </c>
      <c r="BS28" s="806">
        <f t="shared" si="75"/>
        <v>2.570006018834154</v>
      </c>
      <c r="BT28" s="806">
        <f t="shared" si="75"/>
        <v>1.8093145574262572</v>
      </c>
      <c r="BU28" s="806">
        <f t="shared" si="75"/>
        <v>1.8549703024037649</v>
      </c>
      <c r="BV28" s="806">
        <f t="shared" si="75"/>
        <v>1.9796333420116503</v>
      </c>
      <c r="BW28" s="806">
        <f t="shared" si="75"/>
        <v>1.7374662794412259</v>
      </c>
      <c r="BX28" s="806">
        <f t="shared" si="75"/>
        <v>2.0178404570029795</v>
      </c>
      <c r="BY28" s="806">
        <f t="shared" si="75"/>
        <v>2.0093004660281637</v>
      </c>
      <c r="BZ28" s="806">
        <f t="shared" si="75"/>
        <v>2.5027518233772228</v>
      </c>
      <c r="CA28" s="806">
        <f t="shared" si="75"/>
        <v>1.6574781427701746</v>
      </c>
      <c r="CB28" s="388">
        <f>IFERROR(CB40/CB22,"N/A")</f>
        <v>1.8892334168457219</v>
      </c>
      <c r="CC28" s="389">
        <f>BN28-CB28</f>
        <v>-7.0612658739372502E-2</v>
      </c>
      <c r="CD28" s="167">
        <f>IFERROR(CC28/CB28,"N/A")</f>
        <v>-3.7376354933033061E-2</v>
      </c>
      <c r="CE28" s="206"/>
      <c r="CF28" s="806">
        <f t="shared" si="76"/>
        <v>1.9279927140453335</v>
      </c>
      <c r="CG28" s="806">
        <f t="shared" si="76"/>
        <v>1.8835540190368494</v>
      </c>
      <c r="CH28" s="806">
        <f t="shared" si="76"/>
        <v>2.0086867256009127</v>
      </c>
      <c r="CI28" s="806">
        <f t="shared" si="76"/>
        <v>1.9838767141860987</v>
      </c>
      <c r="CJ28" s="806">
        <f t="shared" si="76"/>
        <v>1.6674359367967984</v>
      </c>
      <c r="CK28" s="806">
        <f t="shared" si="76"/>
        <v>2.2084677169049436</v>
      </c>
      <c r="CL28" s="806">
        <f t="shared" si="76"/>
        <v>1.4111984366447303</v>
      </c>
      <c r="CM28" s="806">
        <f t="shared" si="76"/>
        <v>1.7870274646328335</v>
      </c>
      <c r="CN28" s="806">
        <f t="shared" si="76"/>
        <v>2.410635865194148</v>
      </c>
      <c r="CO28" s="806">
        <f t="shared" si="76"/>
        <v>1.791683982738459</v>
      </c>
      <c r="CP28" s="806">
        <f t="shared" si="76"/>
        <v>1.7968291959915861</v>
      </c>
      <c r="CQ28" s="806">
        <f t="shared" si="76"/>
        <v>1.718219164502385</v>
      </c>
      <c r="CR28" s="390"/>
      <c r="CS28" s="388">
        <f>IFERROR(CS40/CS22,"N/A")</f>
        <v>1.8063820362779055</v>
      </c>
      <c r="CT28" s="389">
        <f>BN28-CS28</f>
        <v>1.2238721828443877E-2</v>
      </c>
      <c r="CU28" s="167">
        <f>IFERROR(CT28/CS28,"N/A")</f>
        <v>6.7752676801758191E-3</v>
      </c>
      <c r="CV28" s="319"/>
      <c r="CW28" s="806">
        <f t="shared" si="77"/>
        <v>1.7763002472342175</v>
      </c>
      <c r="CX28" s="806">
        <f t="shared" si="77"/>
        <v>2.0386311601445679</v>
      </c>
      <c r="CY28" s="806">
        <f t="shared" si="77"/>
        <v>2.0710156746493102</v>
      </c>
      <c r="CZ28" s="806">
        <f t="shared" si="77"/>
        <v>1.9455613514593406</v>
      </c>
      <c r="DA28" s="806">
        <f t="shared" si="77"/>
        <v>2.0023759511368615</v>
      </c>
      <c r="DB28" s="806">
        <f t="shared" si="77"/>
        <v>2.0074012553052021</v>
      </c>
      <c r="DC28" s="806">
        <f t="shared" si="77"/>
        <v>1.6513983568846087</v>
      </c>
      <c r="DD28" s="806">
        <f t="shared" si="77"/>
        <v>1.666880269133812</v>
      </c>
      <c r="DE28" s="806">
        <f t="shared" si="77"/>
        <v>1.7812368834587906</v>
      </c>
      <c r="DF28" s="806">
        <f t="shared" si="77"/>
        <v>1.9779559168058294</v>
      </c>
      <c r="DG28" s="806">
        <f t="shared" si="77"/>
        <v>1.8146884754886241</v>
      </c>
      <c r="DH28" s="806">
        <f t="shared" si="77"/>
        <v>1.8271093384325909</v>
      </c>
      <c r="DI28" s="388">
        <f>IFERROR(DI40/DI22,"N/A")</f>
        <v>1.8530274960083157</v>
      </c>
      <c r="DJ28" s="319"/>
      <c r="DK28" s="806">
        <f t="shared" si="78"/>
        <v>2.1162995451344018</v>
      </c>
      <c r="DL28" s="806">
        <f t="shared" si="78"/>
        <v>1.9022442905399914</v>
      </c>
      <c r="DM28" s="806">
        <f t="shared" si="78"/>
        <v>1.9441514090552392</v>
      </c>
      <c r="DN28" s="806">
        <f t="shared" si="78"/>
        <v>1.7761046911539471</v>
      </c>
      <c r="DO28" s="806">
        <f t="shared" si="78"/>
        <v>1.9939305200548976</v>
      </c>
      <c r="DP28" s="806">
        <f t="shared" si="78"/>
        <v>1.8856913836045912</v>
      </c>
      <c r="DQ28" s="806">
        <f t="shared" si="78"/>
        <v>1.6563947357798863</v>
      </c>
      <c r="DR28" s="806">
        <f t="shared" si="78"/>
        <v>1.89081183547811</v>
      </c>
      <c r="DS28" s="806">
        <f t="shared" si="78"/>
        <v>1.9292784656969575</v>
      </c>
      <c r="DT28" s="806">
        <f t="shared" si="78"/>
        <v>1.8832597494167513</v>
      </c>
      <c r="DU28" s="806">
        <f t="shared" si="78"/>
        <v>2.3357074886759372</v>
      </c>
      <c r="DV28" s="806">
        <f t="shared" si="78"/>
        <v>2.0843260362933309</v>
      </c>
      <c r="DW28" s="388">
        <f>IFERROR(DW40/DW22,"N/A")</f>
        <v>1.9179613047990753</v>
      </c>
      <c r="DY28" s="806">
        <f t="shared" si="79"/>
        <v>2.2404695733886082</v>
      </c>
      <c r="DZ28" s="806">
        <f t="shared" si="79"/>
        <v>1.8568549527400189</v>
      </c>
      <c r="EA28" s="806">
        <f t="shared" si="79"/>
        <v>1.9939966995427647</v>
      </c>
      <c r="EB28" s="806">
        <f t="shared" si="79"/>
        <v>1.8404124518118599</v>
      </c>
      <c r="EC28" s="806">
        <f t="shared" si="79"/>
        <v>1.8835554163283834</v>
      </c>
      <c r="ED28" s="806">
        <f t="shared" si="79"/>
        <v>1.7639944954282933</v>
      </c>
      <c r="EE28" s="806">
        <f t="shared" si="79"/>
        <v>1.6571131543255637</v>
      </c>
      <c r="EF28" s="806">
        <f t="shared" si="79"/>
        <v>1.6881877207096696</v>
      </c>
      <c r="EG28" s="806">
        <f t="shared" si="79"/>
        <v>2.0750211574970772</v>
      </c>
      <c r="EH28" s="806">
        <f t="shared" si="79"/>
        <v>1.7457098913770546</v>
      </c>
      <c r="EI28" s="806">
        <f t="shared" si="79"/>
        <v>1.8816873228543238</v>
      </c>
      <c r="EJ28" s="806">
        <f t="shared" si="79"/>
        <v>1.9639020229300652</v>
      </c>
      <c r="EK28" s="388">
        <f>IFERROR(EK40/EK22,"N/A")</f>
        <v>1.8664350557747993</v>
      </c>
      <c r="EL28" s="170"/>
      <c r="EM28" s="806">
        <f t="shared" si="80"/>
        <v>2.2329299377630947</v>
      </c>
      <c r="EN28" s="806">
        <f t="shared" si="80"/>
        <v>1.848348527124196</v>
      </c>
      <c r="EO28" s="806">
        <f t="shared" si="80"/>
        <v>1.7112772037466495</v>
      </c>
      <c r="EP28" s="806">
        <f t="shared" si="80"/>
        <v>2.2573849049228722</v>
      </c>
      <c r="EQ28" s="806">
        <f t="shared" si="80"/>
        <v>1.993789658436006</v>
      </c>
      <c r="ER28" s="806">
        <f t="shared" si="80"/>
        <v>1.5939006550034256</v>
      </c>
      <c r="ES28" s="806">
        <f t="shared" si="80"/>
        <v>1.6689124763799037</v>
      </c>
      <c r="ET28" s="806">
        <f t="shared" si="80"/>
        <v>1.7193890765239299</v>
      </c>
      <c r="EU28" s="806">
        <f t="shared" si="80"/>
        <v>2.2338629440892315</v>
      </c>
      <c r="EV28" s="806">
        <f t="shared" si="80"/>
        <v>1.9183818079958175</v>
      </c>
      <c r="EW28" s="806">
        <f t="shared" si="80"/>
        <v>1.7214952481754886</v>
      </c>
      <c r="EX28" s="806">
        <f t="shared" si="80"/>
        <v>1.6483576960021038</v>
      </c>
      <c r="EY28" s="388">
        <f>EY40/EY22</f>
        <v>1.8467772749141895</v>
      </c>
      <c r="EZ28" s="170"/>
    </row>
    <row r="29" spans="2:156" s="187" customFormat="1" ht="15" customHeight="1">
      <c r="B29" s="199"/>
      <c r="C29" s="199"/>
      <c r="D29" s="199"/>
      <c r="F29" s="206"/>
      <c r="G29" s="2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388"/>
      <c r="U29" s="386"/>
      <c r="V29" s="165"/>
      <c r="W29" s="948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388"/>
      <c r="AK29" s="948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388"/>
      <c r="AY29" s="386"/>
      <c r="AZ29" s="165"/>
      <c r="BA29" s="948"/>
      <c r="BB29" s="806"/>
      <c r="BC29" s="806"/>
      <c r="BD29" s="806"/>
      <c r="BE29" s="806"/>
      <c r="BF29" s="806"/>
      <c r="BG29" s="806"/>
      <c r="BH29" s="806"/>
      <c r="BI29" s="806"/>
      <c r="BJ29" s="806"/>
      <c r="BK29" s="806"/>
      <c r="BL29" s="806"/>
      <c r="BM29" s="806"/>
      <c r="BN29" s="388"/>
      <c r="BO29" s="948"/>
      <c r="BP29" s="806"/>
      <c r="BQ29" s="806"/>
      <c r="BR29" s="806"/>
      <c r="BS29" s="806"/>
      <c r="BT29" s="806"/>
      <c r="BU29" s="806"/>
      <c r="BV29" s="806"/>
      <c r="BW29" s="806"/>
      <c r="BX29" s="806"/>
      <c r="BY29" s="806"/>
      <c r="BZ29" s="806"/>
      <c r="CA29" s="806"/>
      <c r="CB29" s="388"/>
      <c r="CC29" s="386"/>
      <c r="CD29" s="165"/>
      <c r="CE29" s="206"/>
      <c r="CF29" s="806"/>
      <c r="CG29" s="806"/>
      <c r="CH29" s="806"/>
      <c r="CI29" s="806"/>
      <c r="CJ29" s="806"/>
      <c r="CK29" s="806"/>
      <c r="CL29" s="806"/>
      <c r="CM29" s="806"/>
      <c r="CN29" s="806"/>
      <c r="CO29" s="806"/>
      <c r="CP29" s="806"/>
      <c r="CQ29" s="806"/>
      <c r="CR29" s="390"/>
      <c r="CS29" s="388"/>
      <c r="CT29" s="386"/>
      <c r="CU29" s="165"/>
      <c r="CV29" s="319"/>
      <c r="CW29" s="806"/>
      <c r="CX29" s="806"/>
      <c r="CY29" s="806"/>
      <c r="CZ29" s="806"/>
      <c r="DA29" s="806"/>
      <c r="DB29" s="806"/>
      <c r="DC29" s="806"/>
      <c r="DD29" s="806"/>
      <c r="DE29" s="806"/>
      <c r="DF29" s="806"/>
      <c r="DG29" s="806"/>
      <c r="DH29" s="806"/>
      <c r="DI29" s="388"/>
      <c r="DJ29" s="319"/>
      <c r="DK29" s="806"/>
      <c r="DL29" s="806"/>
      <c r="DM29" s="806"/>
      <c r="DN29" s="806"/>
      <c r="DO29" s="806"/>
      <c r="DP29" s="806"/>
      <c r="DQ29" s="806"/>
      <c r="DR29" s="806"/>
      <c r="DS29" s="806"/>
      <c r="DT29" s="806"/>
      <c r="DU29" s="806"/>
      <c r="DV29" s="806"/>
      <c r="DW29" s="388"/>
      <c r="DY29" s="806"/>
      <c r="DZ29" s="806"/>
      <c r="EA29" s="806"/>
      <c r="EB29" s="806"/>
      <c r="EC29" s="806"/>
      <c r="ED29" s="806"/>
      <c r="EE29" s="806"/>
      <c r="EF29" s="806"/>
      <c r="EG29" s="806"/>
      <c r="EH29" s="806"/>
      <c r="EI29" s="806"/>
      <c r="EJ29" s="806"/>
      <c r="EK29" s="388"/>
      <c r="EL29" s="170"/>
      <c r="EM29" s="806"/>
      <c r="EN29" s="806"/>
      <c r="EO29" s="806"/>
      <c r="EP29" s="806"/>
      <c r="EQ29" s="806"/>
      <c r="ER29" s="806"/>
      <c r="ES29" s="806"/>
      <c r="ET29" s="806"/>
      <c r="EU29" s="806"/>
      <c r="EV29" s="806"/>
      <c r="EW29" s="806"/>
      <c r="EX29" s="806"/>
      <c r="EY29" s="388"/>
      <c r="EZ29" s="170"/>
    </row>
    <row r="30" spans="2:156" s="187" customFormat="1" ht="16.5" customHeight="1">
      <c r="B30" s="199"/>
      <c r="C30" s="199"/>
      <c r="D30" s="199"/>
      <c r="E30" s="187" t="s">
        <v>297</v>
      </c>
      <c r="F30" s="206"/>
      <c r="G30" s="206"/>
      <c r="H30" s="806"/>
      <c r="I30" s="806"/>
      <c r="J30" s="806"/>
      <c r="K30" s="806"/>
      <c r="L30" s="806"/>
      <c r="M30" s="806"/>
      <c r="N30" s="806"/>
      <c r="O30" s="806"/>
      <c r="P30" s="806"/>
      <c r="Q30" s="806"/>
      <c r="R30" s="806"/>
      <c r="S30" s="806"/>
      <c r="T30" s="388"/>
      <c r="U30" s="386"/>
      <c r="V30" s="165"/>
      <c r="W30" s="948"/>
      <c r="X30" s="806"/>
      <c r="Y30" s="806"/>
      <c r="Z30" s="806"/>
      <c r="AA30" s="806"/>
      <c r="AB30" s="806"/>
      <c r="AC30" s="806"/>
      <c r="AD30" s="806"/>
      <c r="AE30" s="806"/>
      <c r="AF30" s="806"/>
      <c r="AG30" s="806"/>
      <c r="AH30" s="806"/>
      <c r="AI30" s="806"/>
      <c r="AJ30" s="388"/>
      <c r="AK30" s="948"/>
      <c r="AL30" s="806"/>
      <c r="AM30" s="806"/>
      <c r="AN30" s="806"/>
      <c r="AO30" s="806"/>
      <c r="AP30" s="806"/>
      <c r="AQ30" s="806"/>
      <c r="AR30" s="806"/>
      <c r="AS30" s="806"/>
      <c r="AT30" s="806"/>
      <c r="AU30" s="806"/>
      <c r="AV30" s="806"/>
      <c r="AW30" s="806"/>
      <c r="AX30" s="388"/>
      <c r="AY30" s="386"/>
      <c r="AZ30" s="165"/>
      <c r="BA30" s="948"/>
      <c r="BB30" s="806"/>
      <c r="BC30" s="806"/>
      <c r="BD30" s="806"/>
      <c r="BE30" s="806"/>
      <c r="BF30" s="806"/>
      <c r="BG30" s="806"/>
      <c r="BH30" s="806"/>
      <c r="BI30" s="806"/>
      <c r="BJ30" s="806"/>
      <c r="BK30" s="806"/>
      <c r="BL30" s="806"/>
      <c r="BM30" s="806"/>
      <c r="BN30" s="388"/>
      <c r="BO30" s="948"/>
      <c r="BP30" s="806"/>
      <c r="BQ30" s="806"/>
      <c r="BR30" s="806"/>
      <c r="BS30" s="806"/>
      <c r="BT30" s="806"/>
      <c r="BU30" s="806"/>
      <c r="BV30" s="806"/>
      <c r="BW30" s="806"/>
      <c r="BX30" s="806"/>
      <c r="BY30" s="806"/>
      <c r="BZ30" s="806"/>
      <c r="CA30" s="806"/>
      <c r="CB30" s="388"/>
      <c r="CC30" s="386"/>
      <c r="CD30" s="165"/>
      <c r="CE30" s="206"/>
      <c r="CF30" s="806"/>
      <c r="CG30" s="806"/>
      <c r="CH30" s="806"/>
      <c r="CI30" s="806"/>
      <c r="CJ30" s="806"/>
      <c r="CK30" s="806"/>
      <c r="CL30" s="806"/>
      <c r="CM30" s="806"/>
      <c r="CN30" s="806"/>
      <c r="CO30" s="806"/>
      <c r="CP30" s="806"/>
      <c r="CQ30" s="806"/>
      <c r="CR30" s="390"/>
      <c r="CS30" s="388"/>
      <c r="CT30" s="386"/>
      <c r="CU30" s="165"/>
      <c r="CV30" s="319"/>
      <c r="CW30" s="806"/>
      <c r="CX30" s="806"/>
      <c r="CY30" s="806"/>
      <c r="CZ30" s="806"/>
      <c r="DA30" s="806"/>
      <c r="DB30" s="806"/>
      <c r="DC30" s="806"/>
      <c r="DD30" s="806"/>
      <c r="DE30" s="806"/>
      <c r="DF30" s="806"/>
      <c r="DG30" s="806"/>
      <c r="DH30" s="806"/>
      <c r="DI30" s="388"/>
      <c r="DJ30" s="319"/>
      <c r="DK30" s="806"/>
      <c r="DL30" s="806"/>
      <c r="DM30" s="806"/>
      <c r="DN30" s="806"/>
      <c r="DO30" s="806"/>
      <c r="DP30" s="806"/>
      <c r="DQ30" s="806"/>
      <c r="DR30" s="806"/>
      <c r="DS30" s="806"/>
      <c r="DT30" s="806"/>
      <c r="DU30" s="806"/>
      <c r="DV30" s="806"/>
      <c r="DW30" s="388"/>
      <c r="DY30" s="806"/>
      <c r="DZ30" s="806"/>
      <c r="EA30" s="806"/>
      <c r="EB30" s="806"/>
      <c r="EC30" s="806"/>
      <c r="ED30" s="806"/>
      <c r="EE30" s="806"/>
      <c r="EF30" s="806"/>
      <c r="EG30" s="806"/>
      <c r="EH30" s="806"/>
      <c r="EI30" s="806"/>
      <c r="EJ30" s="806"/>
      <c r="EK30" s="388"/>
      <c r="EL30" s="170"/>
      <c r="EM30" s="806"/>
      <c r="EN30" s="806"/>
      <c r="EO30" s="806"/>
      <c r="EP30" s="806"/>
      <c r="EQ30" s="806"/>
      <c r="ER30" s="806"/>
      <c r="ES30" s="806"/>
      <c r="ET30" s="806"/>
      <c r="EU30" s="806"/>
      <c r="EV30" s="806"/>
      <c r="EW30" s="806"/>
      <c r="EX30" s="806"/>
      <c r="EY30" s="388"/>
      <c r="EZ30" s="170"/>
    </row>
    <row r="31" spans="2:156" s="187" customFormat="1" ht="15.75" customHeight="1">
      <c r="B31" s="199"/>
      <c r="C31" s="199"/>
      <c r="D31" s="199"/>
      <c r="F31" s="205" t="s">
        <v>1178</v>
      </c>
      <c r="G31" s="205"/>
      <c r="H31" s="807" t="str">
        <f t="shared" ref="H31:S31" si="87">IFERROR(H47/H19,"N/A")</f>
        <v>N/A</v>
      </c>
      <c r="I31" s="807" t="str">
        <f t="shared" si="87"/>
        <v>N/A</v>
      </c>
      <c r="J31" s="807" t="str">
        <f t="shared" si="87"/>
        <v>N/A</v>
      </c>
      <c r="K31" s="807" t="str">
        <f t="shared" si="87"/>
        <v>N/A</v>
      </c>
      <c r="L31" s="807" t="str">
        <f t="shared" si="87"/>
        <v>N/A</v>
      </c>
      <c r="M31" s="807" t="str">
        <f t="shared" si="87"/>
        <v>N/A</v>
      </c>
      <c r="N31" s="807" t="str">
        <f t="shared" si="87"/>
        <v>N/A</v>
      </c>
      <c r="O31" s="807" t="str">
        <f t="shared" si="87"/>
        <v>N/A</v>
      </c>
      <c r="P31" s="807" t="str">
        <f t="shared" si="87"/>
        <v>N/A</v>
      </c>
      <c r="Q31" s="808" t="str">
        <f t="shared" si="87"/>
        <v>N/A</v>
      </c>
      <c r="R31" s="807" t="str">
        <f t="shared" si="87"/>
        <v>N/A</v>
      </c>
      <c r="S31" s="807">
        <f t="shared" si="87"/>
        <v>0.31755506658698857</v>
      </c>
      <c r="T31" s="385">
        <f>IFERROR(T47/T19,"N/A")</f>
        <v>0.31755506658698857</v>
      </c>
      <c r="U31" s="378">
        <f>AJ31-T31</f>
        <v>8.1621348527006754E-2</v>
      </c>
      <c r="V31" s="165">
        <f>U31/AJ31</f>
        <v>0.20447437633232321</v>
      </c>
      <c r="W31" s="947"/>
      <c r="X31" s="807">
        <f t="shared" ref="X31:AI31" si="88">IFERROR(X47/X19,"N/A")</f>
        <v>0.38516433234078185</v>
      </c>
      <c r="Y31" s="807">
        <f t="shared" si="88"/>
        <v>0.39165712102775513</v>
      </c>
      <c r="Z31" s="807">
        <f t="shared" si="88"/>
        <v>0.417008908770163</v>
      </c>
      <c r="AA31" s="807">
        <f t="shared" si="88"/>
        <v>0.28932369778602579</v>
      </c>
      <c r="AB31" s="807">
        <f t="shared" si="88"/>
        <v>0.40535268271496339</v>
      </c>
      <c r="AC31" s="807">
        <f t="shared" si="88"/>
        <v>0.31333700501428441</v>
      </c>
      <c r="AD31" s="807">
        <f t="shared" si="88"/>
        <v>0.43367804129328608</v>
      </c>
      <c r="AE31" s="807">
        <f t="shared" si="88"/>
        <v>0.47585951414761879</v>
      </c>
      <c r="AF31" s="807">
        <f t="shared" si="88"/>
        <v>0.41869480064980891</v>
      </c>
      <c r="AG31" s="808">
        <f t="shared" si="88"/>
        <v>0.34181843561024827</v>
      </c>
      <c r="AH31" s="807">
        <f t="shared" si="88"/>
        <v>0.38508051819911654</v>
      </c>
      <c r="AI31" s="807">
        <f t="shared" si="88"/>
        <v>0.41605962422906345</v>
      </c>
      <c r="AJ31" s="385">
        <f>IFERROR(AJ47/AJ19,"N/A")</f>
        <v>0.39917641511399532</v>
      </c>
      <c r="AK31" s="947"/>
      <c r="AL31" s="807" t="str">
        <f t="shared" ref="AL31:AW34" si="89">IFERROR(AL47/AL19,"N/A")</f>
        <v>N/A</v>
      </c>
      <c r="AM31" s="807" t="str">
        <f t="shared" si="89"/>
        <v>N/A</v>
      </c>
      <c r="AN31" s="807" t="str">
        <f t="shared" si="89"/>
        <v>N/A</v>
      </c>
      <c r="AO31" s="807" t="str">
        <f t="shared" si="89"/>
        <v>N/A</v>
      </c>
      <c r="AP31" s="807" t="str">
        <f t="shared" si="89"/>
        <v>N/A</v>
      </c>
      <c r="AQ31" s="807" t="str">
        <f t="shared" si="89"/>
        <v>N/A</v>
      </c>
      <c r="AR31" s="807" t="str">
        <f t="shared" si="89"/>
        <v>N/A</v>
      </c>
      <c r="AS31" s="807" t="str">
        <f t="shared" si="89"/>
        <v>N/A</v>
      </c>
      <c r="AT31" s="807" t="str">
        <f t="shared" si="89"/>
        <v>N/A</v>
      </c>
      <c r="AU31" s="808" t="str">
        <f t="shared" si="89"/>
        <v>N/A</v>
      </c>
      <c r="AV31" s="807" t="str">
        <f t="shared" si="89"/>
        <v>N/A</v>
      </c>
      <c r="AW31" s="807">
        <f t="shared" si="89"/>
        <v>0.40585720482751281</v>
      </c>
      <c r="AX31" s="385">
        <f>IFERROR(AX47/AX19,"N/A")</f>
        <v>0.40585720482751281</v>
      </c>
      <c r="AY31" s="378">
        <f>BN31-AX31</f>
        <v>-8.4197261150689151E-3</v>
      </c>
      <c r="AZ31" s="165">
        <f>AY31/BN31</f>
        <v>-2.1185033032983788E-2</v>
      </c>
      <c r="BA31" s="947"/>
      <c r="BB31" s="807">
        <f t="shared" ref="BB31:BM34" si="90">IFERROR(BB47/BB19,"N/A")</f>
        <v>0.63146649551587375</v>
      </c>
      <c r="BC31" s="807">
        <f t="shared" si="90"/>
        <v>0.32918319793519862</v>
      </c>
      <c r="BD31" s="807">
        <f t="shared" si="90"/>
        <v>0.42694541720168311</v>
      </c>
      <c r="BE31" s="807">
        <f t="shared" si="90"/>
        <v>0.52033788187545327</v>
      </c>
      <c r="BF31" s="807">
        <f t="shared" si="90"/>
        <v>0.22601626700791144</v>
      </c>
      <c r="BG31" s="807">
        <f t="shared" si="90"/>
        <v>0.82372801928477879</v>
      </c>
      <c r="BH31" s="807">
        <f t="shared" si="90"/>
        <v>0.5554162445902171</v>
      </c>
      <c r="BI31" s="807">
        <f t="shared" si="90"/>
        <v>0.31434419659020507</v>
      </c>
      <c r="BJ31" s="807">
        <f t="shared" si="90"/>
        <v>0.34625685454029498</v>
      </c>
      <c r="BK31" s="808">
        <f t="shared" si="90"/>
        <v>0.34816047433002167</v>
      </c>
      <c r="BL31" s="807">
        <f t="shared" si="90"/>
        <v>8.3450006175561697E-2</v>
      </c>
      <c r="BM31" s="807">
        <f t="shared" si="90"/>
        <v>0.46101035824769415</v>
      </c>
      <c r="BN31" s="385">
        <f>IFERROR(BN47/BN19,"N/A")</f>
        <v>0.39743747871244389</v>
      </c>
      <c r="BO31" s="947"/>
      <c r="BP31" s="807">
        <f t="shared" ref="BP31:CA34" si="91">IFERROR(BP47/BP19,"N/A")</f>
        <v>0.3290497853043432</v>
      </c>
      <c r="BQ31" s="807">
        <f t="shared" si="91"/>
        <v>0.3290497853043432</v>
      </c>
      <c r="BR31" s="807">
        <f t="shared" si="91"/>
        <v>0.3290497853043432</v>
      </c>
      <c r="BS31" s="807">
        <f t="shared" si="91"/>
        <v>0.3290497853043432</v>
      </c>
      <c r="BT31" s="807">
        <f t="shared" si="91"/>
        <v>0.3290497853043432</v>
      </c>
      <c r="BU31" s="807">
        <f t="shared" si="91"/>
        <v>0.3290497853043432</v>
      </c>
      <c r="BV31" s="807">
        <f t="shared" si="91"/>
        <v>0.3290497853043432</v>
      </c>
      <c r="BW31" s="807">
        <f t="shared" si="91"/>
        <v>0.3290497853043432</v>
      </c>
      <c r="BX31" s="807">
        <f t="shared" si="91"/>
        <v>0.3290497853043432</v>
      </c>
      <c r="BY31" s="808">
        <f t="shared" si="91"/>
        <v>0.3290497853043432</v>
      </c>
      <c r="BZ31" s="807">
        <f t="shared" si="91"/>
        <v>0.3290497853043432</v>
      </c>
      <c r="CA31" s="807">
        <f t="shared" si="91"/>
        <v>0.3290497853043432</v>
      </c>
      <c r="CB31" s="385">
        <f>IFERROR(CB47/CB19,"N/A")</f>
        <v>0.3290497853043432</v>
      </c>
      <c r="CC31" s="386">
        <f>CB31-BN31</f>
        <v>-6.8387693408100692E-2</v>
      </c>
      <c r="CD31" s="165">
        <f>IFERROR(CC31/CB31,"N/A")</f>
        <v>-0.20783387943817638</v>
      </c>
      <c r="CE31" s="205"/>
      <c r="CF31" s="807">
        <f t="shared" ref="CF31:CQ34" si="92">IFERROR(CF47/CF19,"N/A")</f>
        <v>0.31435068419835493</v>
      </c>
      <c r="CG31" s="807">
        <f t="shared" si="92"/>
        <v>0.30184010795623384</v>
      </c>
      <c r="CH31" s="807">
        <f t="shared" si="92"/>
        <v>0.26368116915924666</v>
      </c>
      <c r="CI31" s="807">
        <f t="shared" si="92"/>
        <v>0.24662716066118695</v>
      </c>
      <c r="CJ31" s="807">
        <f t="shared" si="92"/>
        <v>0.30502266061466365</v>
      </c>
      <c r="CK31" s="807">
        <f t="shared" si="92"/>
        <v>0.20972848024819055</v>
      </c>
      <c r="CL31" s="807">
        <f t="shared" si="92"/>
        <v>0.51935718217423354</v>
      </c>
      <c r="CM31" s="807">
        <f t="shared" si="92"/>
        <v>0.2933519859252019</v>
      </c>
      <c r="CN31" s="807">
        <f t="shared" si="92"/>
        <v>0.55273658162157502</v>
      </c>
      <c r="CO31" s="808">
        <f t="shared" si="92"/>
        <v>0.64529131499050274</v>
      </c>
      <c r="CP31" s="807">
        <f t="shared" si="92"/>
        <v>0.64568003855459288</v>
      </c>
      <c r="CQ31" s="807">
        <f t="shared" si="92"/>
        <v>0.10448261486183362</v>
      </c>
      <c r="CR31" s="387"/>
      <c r="CS31" s="385">
        <f>IFERROR(CS47/CS19,"N/A")</f>
        <v>0.37939850030690775</v>
      </c>
      <c r="CT31" s="386">
        <f>CS31-BN31</f>
        <v>-1.8038978405536144E-2</v>
      </c>
      <c r="CU31" s="165">
        <f>IFERROR(CT31/CS31,"N/A")</f>
        <v>-4.7546256484787969E-2</v>
      </c>
      <c r="CV31" s="317"/>
      <c r="CW31" s="807">
        <f t="shared" ref="CW31:DH34" si="93">IFERROR(CW47/CW19,"N/A")</f>
        <v>0.3557488698398858</v>
      </c>
      <c r="CX31" s="807">
        <f t="shared" si="93"/>
        <v>0.34708987694276172</v>
      </c>
      <c r="CY31" s="807">
        <f t="shared" si="93"/>
        <v>0.33419705392522009</v>
      </c>
      <c r="CZ31" s="807">
        <f t="shared" si="93"/>
        <v>0.42412717731954969</v>
      </c>
      <c r="DA31" s="807">
        <f t="shared" si="93"/>
        <v>0.16177385810167819</v>
      </c>
      <c r="DB31" s="807">
        <f t="shared" si="93"/>
        <v>0.27314576727203776</v>
      </c>
      <c r="DC31" s="807">
        <f t="shared" si="93"/>
        <v>0.26488745560834503</v>
      </c>
      <c r="DD31" s="807">
        <f t="shared" si="93"/>
        <v>0.39356830706771445</v>
      </c>
      <c r="DE31" s="807">
        <f t="shared" si="93"/>
        <v>0.32860899974435553</v>
      </c>
      <c r="DF31" s="808">
        <f t="shared" si="93"/>
        <v>0.33252887926823949</v>
      </c>
      <c r="DG31" s="807">
        <f t="shared" si="93"/>
        <v>0.28893321863397053</v>
      </c>
      <c r="DH31" s="807">
        <f t="shared" si="93"/>
        <v>0.3659251937369058</v>
      </c>
      <c r="DI31" s="385">
        <f>IFERROR(DI47/DI19,"N/A")</f>
        <v>0.32417163293542389</v>
      </c>
      <c r="DJ31" s="317"/>
      <c r="DK31" s="807">
        <f t="shared" ref="DK31:DV34" si="94">IFERROR(DK47/DK19,"N/A")</f>
        <v>0.47358766352694387</v>
      </c>
      <c r="DL31" s="807">
        <f t="shared" si="94"/>
        <v>0.33969115823380946</v>
      </c>
      <c r="DM31" s="807">
        <f t="shared" si="94"/>
        <v>0.41584581115404878</v>
      </c>
      <c r="DN31" s="807">
        <f t="shared" si="94"/>
        <v>0.2595954419387152</v>
      </c>
      <c r="DO31" s="807">
        <f t="shared" si="94"/>
        <v>0.29710441419529088</v>
      </c>
      <c r="DP31" s="807">
        <f t="shared" si="94"/>
        <v>0.32608457804436064</v>
      </c>
      <c r="DQ31" s="807">
        <f t="shared" si="94"/>
        <v>0.31472792682492973</v>
      </c>
      <c r="DR31" s="807">
        <f t="shared" si="94"/>
        <v>0.31902690775164588</v>
      </c>
      <c r="DS31" s="807">
        <f t="shared" si="94"/>
        <v>0.39467413293848719</v>
      </c>
      <c r="DT31" s="808">
        <f t="shared" si="94"/>
        <v>0.26156903744054877</v>
      </c>
      <c r="DU31" s="807">
        <f t="shared" si="94"/>
        <v>0.40953945123647245</v>
      </c>
      <c r="DV31" s="807">
        <f t="shared" si="94"/>
        <v>0.38731909241184925</v>
      </c>
      <c r="DW31" s="385">
        <f>IFERROR(DW47/DW19,"N/A")</f>
        <v>0.35079233753725603</v>
      </c>
      <c r="DY31" s="807">
        <f t="shared" ref="DY31:EJ34" si="95">IFERROR(DY47/DY19,"N/A")</f>
        <v>0.34247402850933595</v>
      </c>
      <c r="DZ31" s="807">
        <f t="shared" si="95"/>
        <v>0.47125430516717687</v>
      </c>
      <c r="EA31" s="807">
        <f t="shared" si="95"/>
        <v>0.41958492790431234</v>
      </c>
      <c r="EB31" s="807">
        <f t="shared" si="95"/>
        <v>0.35099493606565468</v>
      </c>
      <c r="EC31" s="807">
        <f t="shared" si="95"/>
        <v>0.39732271643532874</v>
      </c>
      <c r="ED31" s="807">
        <f t="shared" si="95"/>
        <v>0.19259051632762272</v>
      </c>
      <c r="EE31" s="807">
        <f t="shared" si="95"/>
        <v>0.40264451073337187</v>
      </c>
      <c r="EF31" s="807">
        <f t="shared" si="95"/>
        <v>0.3256620957643413</v>
      </c>
      <c r="EG31" s="807">
        <f t="shared" si="95"/>
        <v>0.32199966667078056</v>
      </c>
      <c r="EH31" s="808">
        <f t="shared" si="95"/>
        <v>0.37291690616188594</v>
      </c>
      <c r="EI31" s="807">
        <f t="shared" si="95"/>
        <v>0.39539467928685457</v>
      </c>
      <c r="EJ31" s="807">
        <f t="shared" si="95"/>
        <v>0.32462041993145524</v>
      </c>
      <c r="EK31" s="385">
        <f>IFERROR(EK47/EK19,"N/A")</f>
        <v>0.35774187959042719</v>
      </c>
      <c r="EL31" s="170"/>
      <c r="EM31" s="807">
        <f t="shared" ref="EM31:EY34" si="96">IFERROR(EM47/EM19,"N/A")</f>
        <v>0.32210168097115011</v>
      </c>
      <c r="EN31" s="807">
        <f t="shared" si="96"/>
        <v>0.3083378198756902</v>
      </c>
      <c r="EO31" s="807">
        <f t="shared" si="96"/>
        <v>0.2954754127992345</v>
      </c>
      <c r="EP31" s="807">
        <f t="shared" si="96"/>
        <v>0.31888900323773695</v>
      </c>
      <c r="EQ31" s="807">
        <f t="shared" si="96"/>
        <v>0.33898634175920256</v>
      </c>
      <c r="ER31" s="807">
        <f t="shared" si="96"/>
        <v>0.29758080664425091</v>
      </c>
      <c r="ES31" s="807">
        <f t="shared" si="96"/>
        <v>0.2974434989845563</v>
      </c>
      <c r="ET31" s="807">
        <f t="shared" si="96"/>
        <v>0.31307106053315348</v>
      </c>
      <c r="EU31" s="807">
        <f t="shared" si="96"/>
        <v>0.31556617839378631</v>
      </c>
      <c r="EV31" s="808">
        <f t="shared" si="96"/>
        <v>0.31206010242109672</v>
      </c>
      <c r="EW31" s="807">
        <f t="shared" si="96"/>
        <v>0.29830869662099452</v>
      </c>
      <c r="EX31" s="807">
        <f t="shared" si="96"/>
        <v>0.30142555862770443</v>
      </c>
      <c r="EY31" s="385">
        <f t="shared" si="96"/>
        <v>0.31184954974477058</v>
      </c>
      <c r="EZ31" s="170"/>
    </row>
    <row r="32" spans="2:156" s="187" customFormat="1" ht="15.75" customHeight="1">
      <c r="B32" s="199"/>
      <c r="C32" s="199"/>
      <c r="D32" s="199"/>
      <c r="F32" s="205" t="s">
        <v>1179</v>
      </c>
      <c r="G32" s="205"/>
      <c r="H32" s="807" t="str">
        <f t="shared" ref="H32:S32" si="97">IFERROR(H48/H20,"N/A")</f>
        <v>N/A</v>
      </c>
      <c r="I32" s="807" t="str">
        <f t="shared" si="97"/>
        <v>N/A</v>
      </c>
      <c r="J32" s="807" t="str">
        <f t="shared" si="97"/>
        <v>N/A</v>
      </c>
      <c r="K32" s="807" t="str">
        <f t="shared" si="97"/>
        <v>N/A</v>
      </c>
      <c r="L32" s="807" t="str">
        <f t="shared" si="97"/>
        <v>N/A</v>
      </c>
      <c r="M32" s="807" t="str">
        <f t="shared" si="97"/>
        <v>N/A</v>
      </c>
      <c r="N32" s="807" t="str">
        <f t="shared" si="97"/>
        <v>N/A</v>
      </c>
      <c r="O32" s="807" t="str">
        <f t="shared" si="97"/>
        <v>N/A</v>
      </c>
      <c r="P32" s="807" t="str">
        <f t="shared" si="97"/>
        <v>N/A</v>
      </c>
      <c r="Q32" s="808" t="str">
        <f t="shared" si="97"/>
        <v>N/A</v>
      </c>
      <c r="R32" s="807" t="str">
        <f t="shared" si="97"/>
        <v>N/A</v>
      </c>
      <c r="S32" s="807">
        <f t="shared" si="97"/>
        <v>0.29490062180452509</v>
      </c>
      <c r="T32" s="385">
        <f>IFERROR(T48/T20,"N/A")</f>
        <v>0.29490062180452509</v>
      </c>
      <c r="U32" s="386">
        <f>AJ32-T32</f>
        <v>-1.2045635160376489E-2</v>
      </c>
      <c r="V32" s="165">
        <f>U32/AJ32</f>
        <v>-4.2585903481103346E-2</v>
      </c>
      <c r="W32" s="947"/>
      <c r="X32" s="807">
        <f t="shared" ref="X32:AI32" si="98">IFERROR(X48/X20,"N/A")</f>
        <v>0.26176434958967615</v>
      </c>
      <c r="Y32" s="807">
        <f t="shared" si="98"/>
        <v>0.26909040259843259</v>
      </c>
      <c r="Z32" s="807">
        <f t="shared" si="98"/>
        <v>0.22904220459776015</v>
      </c>
      <c r="AA32" s="807">
        <f t="shared" si="98"/>
        <v>0.24378829511717517</v>
      </c>
      <c r="AB32" s="807" t="str">
        <f t="shared" si="98"/>
        <v>N/A</v>
      </c>
      <c r="AC32" s="807">
        <f t="shared" si="98"/>
        <v>0.26752737096582568</v>
      </c>
      <c r="AD32" s="807">
        <f t="shared" si="98"/>
        <v>0.26859846249764463</v>
      </c>
      <c r="AE32" s="807">
        <f t="shared" si="98"/>
        <v>0.29774122873594622</v>
      </c>
      <c r="AF32" s="807">
        <f t="shared" si="98"/>
        <v>0.29287487071489698</v>
      </c>
      <c r="AG32" s="808">
        <f t="shared" si="98"/>
        <v>0.26022914642808648</v>
      </c>
      <c r="AH32" s="807">
        <f t="shared" si="98"/>
        <v>0.28770785256855824</v>
      </c>
      <c r="AI32" s="807">
        <f t="shared" si="98"/>
        <v>0.1921118914947807</v>
      </c>
      <c r="AJ32" s="385">
        <f>IFERROR(AJ48/AJ20,"N/A")</f>
        <v>0.2828549866441486</v>
      </c>
      <c r="AK32" s="947"/>
      <c r="AL32" s="807" t="str">
        <f t="shared" si="89"/>
        <v>N/A</v>
      </c>
      <c r="AM32" s="807" t="str">
        <f t="shared" si="89"/>
        <v>N/A</v>
      </c>
      <c r="AN32" s="807" t="str">
        <f t="shared" si="89"/>
        <v>N/A</v>
      </c>
      <c r="AO32" s="807" t="str">
        <f t="shared" si="89"/>
        <v>N/A</v>
      </c>
      <c r="AP32" s="807" t="str">
        <f t="shared" si="89"/>
        <v>N/A</v>
      </c>
      <c r="AQ32" s="807" t="str">
        <f t="shared" si="89"/>
        <v>N/A</v>
      </c>
      <c r="AR32" s="807" t="str">
        <f t="shared" si="89"/>
        <v>N/A</v>
      </c>
      <c r="AS32" s="807" t="str">
        <f t="shared" si="89"/>
        <v>N/A</v>
      </c>
      <c r="AT32" s="807" t="str">
        <f t="shared" si="89"/>
        <v>N/A</v>
      </c>
      <c r="AU32" s="808" t="str">
        <f t="shared" si="89"/>
        <v>N/A</v>
      </c>
      <c r="AV32" s="807" t="str">
        <f t="shared" si="89"/>
        <v>N/A</v>
      </c>
      <c r="AW32" s="807">
        <f t="shared" si="89"/>
        <v>0.32475498463615238</v>
      </c>
      <c r="AX32" s="385">
        <f>IFERROR(AX48/AX20,"N/A")</f>
        <v>0.32475498463615238</v>
      </c>
      <c r="AY32" s="386">
        <f>BN32-AX32</f>
        <v>-9.2162939447346964E-2</v>
      </c>
      <c r="AZ32" s="165">
        <f>AY32/BN32</f>
        <v>-0.39624286966707811</v>
      </c>
      <c r="BA32" s="947"/>
      <c r="BB32" s="807" t="str">
        <f t="shared" si="90"/>
        <v>N/A</v>
      </c>
      <c r="BC32" s="807" t="str">
        <f t="shared" si="90"/>
        <v>N/A</v>
      </c>
      <c r="BD32" s="807" t="str">
        <f t="shared" si="90"/>
        <v>N/A</v>
      </c>
      <c r="BE32" s="807" t="str">
        <f t="shared" si="90"/>
        <v>N/A</v>
      </c>
      <c r="BF32" s="807" t="str">
        <f t="shared" si="90"/>
        <v>N/A</v>
      </c>
      <c r="BG32" s="807">
        <f t="shared" si="90"/>
        <v>0.19411108145436676</v>
      </c>
      <c r="BH32" s="807">
        <f t="shared" si="90"/>
        <v>0.19908637648551977</v>
      </c>
      <c r="BI32" s="807">
        <f t="shared" si="90"/>
        <v>0.22098104600183383</v>
      </c>
      <c r="BJ32" s="807">
        <f t="shared" si="90"/>
        <v>0.2379466100572224</v>
      </c>
      <c r="BK32" s="808">
        <f t="shared" si="90"/>
        <v>0.23306366007759358</v>
      </c>
      <c r="BL32" s="807">
        <f t="shared" si="90"/>
        <v>0.24192862140721896</v>
      </c>
      <c r="BM32" s="807">
        <f t="shared" si="90"/>
        <v>0.24381723622008289</v>
      </c>
      <c r="BN32" s="385">
        <f>IFERROR(BN48/BN20,"N/A")</f>
        <v>0.23259204518880541</v>
      </c>
      <c r="BO32" s="947"/>
      <c r="BP32" s="807" t="str">
        <f t="shared" si="91"/>
        <v>N/A</v>
      </c>
      <c r="BQ32" s="807" t="str">
        <f t="shared" si="91"/>
        <v>N/A</v>
      </c>
      <c r="BR32" s="807">
        <f t="shared" si="91"/>
        <v>0.27189235530063177</v>
      </c>
      <c r="BS32" s="807" t="str">
        <f t="shared" si="91"/>
        <v>N/A</v>
      </c>
      <c r="BT32" s="807">
        <f t="shared" si="91"/>
        <v>0.27189235530063177</v>
      </c>
      <c r="BU32" s="807">
        <f t="shared" si="91"/>
        <v>0.27189235530063177</v>
      </c>
      <c r="BV32" s="807">
        <f t="shared" si="91"/>
        <v>0.27189235530063177</v>
      </c>
      <c r="BW32" s="807">
        <f t="shared" si="91"/>
        <v>0.27189235530063177</v>
      </c>
      <c r="BX32" s="807">
        <f t="shared" si="91"/>
        <v>0.27189235530063177</v>
      </c>
      <c r="BY32" s="808">
        <f t="shared" si="91"/>
        <v>0.27189235530063177</v>
      </c>
      <c r="BZ32" s="807" t="str">
        <f t="shared" si="91"/>
        <v>N/A</v>
      </c>
      <c r="CA32" s="807">
        <f t="shared" si="91"/>
        <v>0.27189235530063177</v>
      </c>
      <c r="CB32" s="385">
        <f>IFERROR(CB48/CB20,"N/A")</f>
        <v>0.27189235530063172</v>
      </c>
      <c r="CC32" s="386">
        <f>CB32-BN32</f>
        <v>3.9300310111826303E-2</v>
      </c>
      <c r="CD32" s="165">
        <f>IFERROR(CC32/CB32,"N/A")</f>
        <v>0.14454363775094706</v>
      </c>
      <c r="CE32" s="205"/>
      <c r="CF32" s="807">
        <f t="shared" si="92"/>
        <v>0.23358077338133448</v>
      </c>
      <c r="CG32" s="807">
        <f t="shared" si="92"/>
        <v>0.22162288377676692</v>
      </c>
      <c r="CH32" s="807">
        <f t="shared" si="92"/>
        <v>0.2186612956203266</v>
      </c>
      <c r="CI32" s="807">
        <f t="shared" si="92"/>
        <v>0.21342584584238278</v>
      </c>
      <c r="CJ32" s="807">
        <f t="shared" si="92"/>
        <v>0.21493511733924739</v>
      </c>
      <c r="CK32" s="807">
        <f t="shared" si="92"/>
        <v>0.22579426474642503</v>
      </c>
      <c r="CL32" s="807">
        <f t="shared" si="92"/>
        <v>0.22091126602810285</v>
      </c>
      <c r="CM32" s="807">
        <f t="shared" si="92"/>
        <v>0.21520998848303183</v>
      </c>
      <c r="CN32" s="807">
        <f t="shared" si="92"/>
        <v>0.22577168210465601</v>
      </c>
      <c r="CO32" s="808">
        <f t="shared" si="92"/>
        <v>0.228285767138173</v>
      </c>
      <c r="CP32" s="807">
        <f t="shared" si="92"/>
        <v>0.22094868201936052</v>
      </c>
      <c r="CQ32" s="807">
        <f t="shared" si="92"/>
        <v>0.25128965560075683</v>
      </c>
      <c r="CR32" s="387"/>
      <c r="CS32" s="385">
        <f>IFERROR(CS48/CS20,"N/A")</f>
        <v>0.22349748516336707</v>
      </c>
      <c r="CT32" s="386">
        <f>IFERROR(BN32-CS32,"N/A")</f>
        <v>9.0945600254383474E-3</v>
      </c>
      <c r="CU32" s="165">
        <f>IFERROR(CT32/CS32,"N/A")</f>
        <v>4.069200160704544E-2</v>
      </c>
      <c r="CV32" s="317"/>
      <c r="CW32" s="807">
        <f t="shared" si="93"/>
        <v>0.27165201588992616</v>
      </c>
      <c r="CX32" s="807">
        <f t="shared" si="93"/>
        <v>0.27840239714301446</v>
      </c>
      <c r="CY32" s="807">
        <f t="shared" si="93"/>
        <v>0.30684410313060834</v>
      </c>
      <c r="CZ32" s="807">
        <f t="shared" si="93"/>
        <v>0.35035319769617868</v>
      </c>
      <c r="DA32" s="807">
        <f t="shared" si="93"/>
        <v>0.1022274329357567</v>
      </c>
      <c r="DB32" s="807">
        <f t="shared" si="93"/>
        <v>0.15888221814980441</v>
      </c>
      <c r="DC32" s="807">
        <f t="shared" si="93"/>
        <v>0.24248800270334236</v>
      </c>
      <c r="DD32" s="807">
        <f t="shared" si="93"/>
        <v>0.26015211359971219</v>
      </c>
      <c r="DE32" s="807">
        <f t="shared" si="93"/>
        <v>0.26562658062465522</v>
      </c>
      <c r="DF32" s="808">
        <f t="shared" si="93"/>
        <v>0.23671644415733564</v>
      </c>
      <c r="DG32" s="807">
        <f t="shared" si="93"/>
        <v>0.26558706637003432</v>
      </c>
      <c r="DH32" s="807">
        <f t="shared" si="93"/>
        <v>0.23902268837882182</v>
      </c>
      <c r="DI32" s="385">
        <f>IFERROR(DI48/DI20,"N/A")</f>
        <v>0.25220853753309241</v>
      </c>
      <c r="DJ32" s="317"/>
      <c r="DK32" s="807" t="str">
        <f t="shared" si="94"/>
        <v>N/A</v>
      </c>
      <c r="DL32" s="807">
        <f t="shared" si="94"/>
        <v>0.25907300756652807</v>
      </c>
      <c r="DM32" s="807">
        <f t="shared" si="94"/>
        <v>0.39210467781944908</v>
      </c>
      <c r="DN32" s="807">
        <f t="shared" si="94"/>
        <v>0.24936383788666691</v>
      </c>
      <c r="DO32" s="807">
        <f t="shared" si="94"/>
        <v>0.25406961170766879</v>
      </c>
      <c r="DP32" s="807">
        <f t="shared" si="94"/>
        <v>0.27269759365352431</v>
      </c>
      <c r="DQ32" s="807">
        <f t="shared" si="94"/>
        <v>0.32195823149898034</v>
      </c>
      <c r="DR32" s="807">
        <f t="shared" si="94"/>
        <v>0.23417612058124238</v>
      </c>
      <c r="DS32" s="807">
        <f t="shared" si="94"/>
        <v>0.30168230460168988</v>
      </c>
      <c r="DT32" s="808">
        <f t="shared" si="94"/>
        <v>0.2553613983571566</v>
      </c>
      <c r="DU32" s="807" t="str">
        <f t="shared" si="94"/>
        <v>N/A</v>
      </c>
      <c r="DV32" s="807">
        <f t="shared" si="94"/>
        <v>0.32593320785809243</v>
      </c>
      <c r="DW32" s="385">
        <f>IFERROR(DW48/DW20,"N/A")</f>
        <v>0.28538398255912129</v>
      </c>
      <c r="DY32" s="807" t="str">
        <f t="shared" si="95"/>
        <v>N/A</v>
      </c>
      <c r="DZ32" s="807">
        <f t="shared" si="95"/>
        <v>0.32814655244908658</v>
      </c>
      <c r="EA32" s="807" t="str">
        <f t="shared" si="95"/>
        <v>N/A</v>
      </c>
      <c r="EB32" s="807">
        <f t="shared" si="95"/>
        <v>0.42974450279680293</v>
      </c>
      <c r="EC32" s="807">
        <f t="shared" si="95"/>
        <v>0.28943316220309245</v>
      </c>
      <c r="ED32" s="807">
        <f t="shared" si="95"/>
        <v>0.23392813329491932</v>
      </c>
      <c r="EE32" s="807">
        <f t="shared" si="95"/>
        <v>0.26659720010026233</v>
      </c>
      <c r="EF32" s="807">
        <f t="shared" si="95"/>
        <v>0.24613364547388528</v>
      </c>
      <c r="EG32" s="807">
        <f t="shared" si="95"/>
        <v>0.16219706079659921</v>
      </c>
      <c r="EH32" s="808">
        <f t="shared" si="95"/>
        <v>0.32543847340982907</v>
      </c>
      <c r="EI32" s="807">
        <f t="shared" si="95"/>
        <v>0.28076739599056089</v>
      </c>
      <c r="EJ32" s="807">
        <f t="shared" si="95"/>
        <v>0.24414374280545961</v>
      </c>
      <c r="EK32" s="385">
        <f>IFERROR(EK48/EK20,"N/A")</f>
        <v>0.27029363473359747</v>
      </c>
      <c r="EL32" s="170"/>
      <c r="EM32" s="807" t="str">
        <f t="shared" si="96"/>
        <v>N/A</v>
      </c>
      <c r="EN32" s="807">
        <f t="shared" si="96"/>
        <v>0.32251112424383427</v>
      </c>
      <c r="EO32" s="807">
        <f t="shared" si="96"/>
        <v>0.32105635764086676</v>
      </c>
      <c r="EP32" s="807" t="str">
        <f t="shared" si="96"/>
        <v>N/A</v>
      </c>
      <c r="EQ32" s="807">
        <f t="shared" si="96"/>
        <v>0.32048026891269082</v>
      </c>
      <c r="ER32" s="807">
        <f t="shared" si="96"/>
        <v>0.31199449631014275</v>
      </c>
      <c r="ES32" s="807">
        <f t="shared" si="96"/>
        <v>0.3127482642687075</v>
      </c>
      <c r="ET32" s="807">
        <f t="shared" si="96"/>
        <v>0.31564982500664646</v>
      </c>
      <c r="EU32" s="807" t="str">
        <f t="shared" si="96"/>
        <v>N/A</v>
      </c>
      <c r="EV32" s="808">
        <f t="shared" si="96"/>
        <v>0.32515376287512188</v>
      </c>
      <c r="EW32" s="807">
        <f t="shared" si="96"/>
        <v>0.3045275116176423</v>
      </c>
      <c r="EX32" s="807">
        <f t="shared" si="96"/>
        <v>0.26383570931461547</v>
      </c>
      <c r="EY32" s="385">
        <f t="shared" si="96"/>
        <v>0.31109065941026914</v>
      </c>
      <c r="EZ32" s="170"/>
    </row>
    <row r="33" spans="1:156" s="187" customFormat="1" ht="15.75" customHeight="1">
      <c r="B33" s="199"/>
      <c r="C33" s="199"/>
      <c r="D33" s="199"/>
      <c r="F33" s="205" t="s">
        <v>1180</v>
      </c>
      <c r="G33" s="205"/>
      <c r="H33" s="807" t="str">
        <f t="shared" ref="H33:S33" si="99">IFERROR(H49/H21,"N/A")</f>
        <v>N/A</v>
      </c>
      <c r="I33" s="807" t="str">
        <f t="shared" si="99"/>
        <v>N/A</v>
      </c>
      <c r="J33" s="807" t="str">
        <f t="shared" si="99"/>
        <v>N/A</v>
      </c>
      <c r="K33" s="807" t="str">
        <f t="shared" si="99"/>
        <v>N/A</v>
      </c>
      <c r="L33" s="807" t="str">
        <f t="shared" si="99"/>
        <v>N/A</v>
      </c>
      <c r="M33" s="807" t="str">
        <f t="shared" si="99"/>
        <v>N/A</v>
      </c>
      <c r="N33" s="807" t="str">
        <f t="shared" si="99"/>
        <v>N/A</v>
      </c>
      <c r="O33" s="807" t="str">
        <f t="shared" si="99"/>
        <v>N/A</v>
      </c>
      <c r="P33" s="807" t="str">
        <f t="shared" si="99"/>
        <v>N/A</v>
      </c>
      <c r="Q33" s="808" t="str">
        <f t="shared" si="99"/>
        <v>N/A</v>
      </c>
      <c r="R33" s="807" t="str">
        <f t="shared" si="99"/>
        <v>N/A</v>
      </c>
      <c r="S33" s="807">
        <f t="shared" si="99"/>
        <v>0.30300158124859577</v>
      </c>
      <c r="T33" s="385">
        <f>IFERROR(T49/T21,"N/A")</f>
        <v>0.30300158124859577</v>
      </c>
      <c r="U33" s="386" t="e">
        <f>AJ33-T33</f>
        <v>#VALUE!</v>
      </c>
      <c r="V33" s="165" t="e">
        <f>U33/AJ33</f>
        <v>#VALUE!</v>
      </c>
      <c r="W33" s="947"/>
      <c r="X33" s="807" t="str">
        <f t="shared" ref="X33:AI33" si="100">IFERROR(X49/X21,"N/A")</f>
        <v>N/A</v>
      </c>
      <c r="Y33" s="807" t="str">
        <f t="shared" si="100"/>
        <v>N/A</v>
      </c>
      <c r="Z33" s="807" t="str">
        <f t="shared" si="100"/>
        <v>N/A</v>
      </c>
      <c r="AA33" s="807" t="str">
        <f t="shared" si="100"/>
        <v>N/A</v>
      </c>
      <c r="AB33" s="807" t="str">
        <f t="shared" si="100"/>
        <v>N/A</v>
      </c>
      <c r="AC33" s="807" t="str">
        <f t="shared" si="100"/>
        <v>N/A</v>
      </c>
      <c r="AD33" s="807" t="str">
        <f t="shared" si="100"/>
        <v>N/A</v>
      </c>
      <c r="AE33" s="807" t="str">
        <f t="shared" si="100"/>
        <v>N/A</v>
      </c>
      <c r="AF33" s="807" t="str">
        <f t="shared" si="100"/>
        <v>N/A</v>
      </c>
      <c r="AG33" s="808" t="str">
        <f t="shared" si="100"/>
        <v>N/A</v>
      </c>
      <c r="AH33" s="807" t="str">
        <f t="shared" si="100"/>
        <v>N/A</v>
      </c>
      <c r="AI33" s="807" t="str">
        <f t="shared" si="100"/>
        <v>N/A</v>
      </c>
      <c r="AJ33" s="385" t="str">
        <f>IFERROR(AJ49/AJ21,"N/A")</f>
        <v>N/A</v>
      </c>
      <c r="AK33" s="947"/>
      <c r="AL33" s="807" t="str">
        <f t="shared" si="89"/>
        <v>N/A</v>
      </c>
      <c r="AM33" s="807" t="str">
        <f t="shared" si="89"/>
        <v>N/A</v>
      </c>
      <c r="AN33" s="807" t="str">
        <f t="shared" si="89"/>
        <v>N/A</v>
      </c>
      <c r="AO33" s="807" t="str">
        <f t="shared" si="89"/>
        <v>N/A</v>
      </c>
      <c r="AP33" s="807" t="str">
        <f t="shared" si="89"/>
        <v>N/A</v>
      </c>
      <c r="AQ33" s="807" t="str">
        <f t="shared" si="89"/>
        <v>N/A</v>
      </c>
      <c r="AR33" s="807" t="str">
        <f t="shared" si="89"/>
        <v>N/A</v>
      </c>
      <c r="AS33" s="807" t="str">
        <f t="shared" si="89"/>
        <v>N/A</v>
      </c>
      <c r="AT33" s="807" t="str">
        <f t="shared" si="89"/>
        <v>N/A</v>
      </c>
      <c r="AU33" s="808" t="str">
        <f t="shared" si="89"/>
        <v>N/A</v>
      </c>
      <c r="AV33" s="807" t="str">
        <f t="shared" si="89"/>
        <v>N/A</v>
      </c>
      <c r="AW33" s="807">
        <f t="shared" si="89"/>
        <v>0.40425249886508197</v>
      </c>
      <c r="AX33" s="385">
        <f>IFERROR(AX49/AX21,"N/A")</f>
        <v>0.40425249886508197</v>
      </c>
      <c r="AY33" s="386">
        <f>BN33-AX33</f>
        <v>0.23339053435543422</v>
      </c>
      <c r="AZ33" s="165">
        <f>AY33/BN33</f>
        <v>0.36602067645381259</v>
      </c>
      <c r="BA33" s="947"/>
      <c r="BB33" s="807" t="str">
        <f t="shared" si="90"/>
        <v>N/A</v>
      </c>
      <c r="BC33" s="807" t="str">
        <f t="shared" si="90"/>
        <v>N/A</v>
      </c>
      <c r="BD33" s="807">
        <f t="shared" si="90"/>
        <v>0.74066751911929474</v>
      </c>
      <c r="BE33" s="807" t="str">
        <f t="shared" si="90"/>
        <v>N/A</v>
      </c>
      <c r="BF33" s="807" t="str">
        <f t="shared" si="90"/>
        <v>N/A</v>
      </c>
      <c r="BG33" s="807" t="str">
        <f t="shared" si="90"/>
        <v>N/A</v>
      </c>
      <c r="BH33" s="807" t="str">
        <f t="shared" si="90"/>
        <v>N/A</v>
      </c>
      <c r="BI33" s="807" t="str">
        <f t="shared" si="90"/>
        <v>N/A</v>
      </c>
      <c r="BJ33" s="807" t="str">
        <f t="shared" si="90"/>
        <v>N/A</v>
      </c>
      <c r="BK33" s="808" t="str">
        <f t="shared" si="90"/>
        <v>N/A</v>
      </c>
      <c r="BL33" s="807" t="str">
        <f t="shared" si="90"/>
        <v>N/A</v>
      </c>
      <c r="BM33" s="807">
        <f t="shared" si="90"/>
        <v>0.58755731468193639</v>
      </c>
      <c r="BN33" s="385">
        <f>IFERROR(BN49/BN21,"N/A")</f>
        <v>0.63764303322051619</v>
      </c>
      <c r="BO33" s="947"/>
      <c r="BP33" s="807" t="str">
        <f t="shared" si="91"/>
        <v>N/A</v>
      </c>
      <c r="BQ33" s="807" t="str">
        <f t="shared" si="91"/>
        <v>N/A</v>
      </c>
      <c r="BR33" s="807">
        <f t="shared" si="91"/>
        <v>0.29969452347083925</v>
      </c>
      <c r="BS33" s="807" t="str">
        <f t="shared" si="91"/>
        <v>N/A</v>
      </c>
      <c r="BT33" s="807" t="str">
        <f t="shared" si="91"/>
        <v>N/A</v>
      </c>
      <c r="BU33" s="807" t="str">
        <f t="shared" si="91"/>
        <v>N/A</v>
      </c>
      <c r="BV33" s="807" t="str">
        <f t="shared" si="91"/>
        <v>N/A</v>
      </c>
      <c r="BW33" s="807" t="str">
        <f t="shared" si="91"/>
        <v>N/A</v>
      </c>
      <c r="BX33" s="807" t="str">
        <f t="shared" si="91"/>
        <v>N/A</v>
      </c>
      <c r="BY33" s="808" t="str">
        <f t="shared" si="91"/>
        <v>N/A</v>
      </c>
      <c r="BZ33" s="807" t="str">
        <f t="shared" si="91"/>
        <v>N/A</v>
      </c>
      <c r="CA33" s="807">
        <f t="shared" si="91"/>
        <v>0.29969452347083925</v>
      </c>
      <c r="CB33" s="385">
        <f>IFERROR(CB49/CB21,"N/A")</f>
        <v>0.29969452347083919</v>
      </c>
      <c r="CC33" s="386">
        <f>CB33-BN33</f>
        <v>-0.337948509749677</v>
      </c>
      <c r="CD33" s="165">
        <f>IFERROR(CC33/CB33,"N/A")</f>
        <v>-1.12764326099726</v>
      </c>
      <c r="CE33" s="205"/>
      <c r="CF33" s="807" t="str">
        <f t="shared" si="92"/>
        <v>N/A</v>
      </c>
      <c r="CG33" s="807" t="str">
        <f t="shared" si="92"/>
        <v>N/A</v>
      </c>
      <c r="CH33" s="807">
        <f t="shared" si="92"/>
        <v>0.30298676415503506</v>
      </c>
      <c r="CI33" s="807" t="str">
        <f t="shared" si="92"/>
        <v>N/A</v>
      </c>
      <c r="CJ33" s="807" t="str">
        <f t="shared" si="92"/>
        <v>N/A</v>
      </c>
      <c r="CK33" s="807" t="str">
        <f t="shared" si="92"/>
        <v>N/A</v>
      </c>
      <c r="CL33" s="807" t="str">
        <f t="shared" si="92"/>
        <v>N/A</v>
      </c>
      <c r="CM33" s="807" t="str">
        <f t="shared" si="92"/>
        <v>N/A</v>
      </c>
      <c r="CN33" s="807" t="str">
        <f t="shared" si="92"/>
        <v>N/A</v>
      </c>
      <c r="CO33" s="808" t="str">
        <f t="shared" si="92"/>
        <v>N/A</v>
      </c>
      <c r="CP33" s="807" t="str">
        <f t="shared" si="92"/>
        <v>N/A</v>
      </c>
      <c r="CQ33" s="807">
        <f t="shared" si="92"/>
        <v>0.38284646767000136</v>
      </c>
      <c r="CR33" s="387"/>
      <c r="CS33" s="385">
        <f>IFERROR(CS49/CS21,"N/A")</f>
        <v>0.35326455806284024</v>
      </c>
      <c r="CT33" s="386">
        <f>IFERROR(BN33-CS33,"N/A")</f>
        <v>0.28437847515767595</v>
      </c>
      <c r="CU33" s="165">
        <f>IFERROR(CT33/CS33,"N/A")</f>
        <v>0.80500143211957731</v>
      </c>
      <c r="CV33" s="317"/>
      <c r="CW33" s="807" t="str">
        <f t="shared" si="93"/>
        <v>N/A</v>
      </c>
      <c r="CX33" s="807" t="str">
        <f t="shared" si="93"/>
        <v>N/A</v>
      </c>
      <c r="CY33" s="807" t="str">
        <f t="shared" si="93"/>
        <v>N/A</v>
      </c>
      <c r="CZ33" s="807" t="str">
        <f t="shared" si="93"/>
        <v>N/A</v>
      </c>
      <c r="DA33" s="807">
        <f t="shared" si="93"/>
        <v>0.31666387975146199</v>
      </c>
      <c r="DB33" s="807" t="str">
        <f t="shared" si="93"/>
        <v>N/A</v>
      </c>
      <c r="DC33" s="807">
        <f t="shared" si="93"/>
        <v>0.28498104004583563</v>
      </c>
      <c r="DD33" s="807" t="str">
        <f t="shared" si="93"/>
        <v>N/A</v>
      </c>
      <c r="DE33" s="807">
        <f t="shared" si="93"/>
        <v>0.21087552293375983</v>
      </c>
      <c r="DF33" s="808" t="str">
        <f t="shared" si="93"/>
        <v>N/A</v>
      </c>
      <c r="DG33" s="807" t="str">
        <f t="shared" si="93"/>
        <v>N/A</v>
      </c>
      <c r="DH33" s="807">
        <f t="shared" si="93"/>
        <v>0.10024176752593524</v>
      </c>
      <c r="DI33" s="385">
        <f>IFERROR(DI49/DI21,"N/A")</f>
        <v>0.19217425490606313</v>
      </c>
      <c r="DJ33" s="317"/>
      <c r="DK33" s="807" t="str">
        <f t="shared" si="94"/>
        <v>N/A</v>
      </c>
      <c r="DL33" s="807">
        <f t="shared" si="94"/>
        <v>0.33107196487874335</v>
      </c>
      <c r="DM33" s="807" t="str">
        <f t="shared" si="94"/>
        <v>N/A</v>
      </c>
      <c r="DN33" s="807">
        <f t="shared" si="94"/>
        <v>0.32607265070970992</v>
      </c>
      <c r="DO33" s="807" t="str">
        <f t="shared" si="94"/>
        <v>N/A</v>
      </c>
      <c r="DP33" s="807" t="str">
        <f t="shared" si="94"/>
        <v>N/A</v>
      </c>
      <c r="DQ33" s="807" t="str">
        <f t="shared" si="94"/>
        <v>N/A</v>
      </c>
      <c r="DR33" s="807" t="str">
        <f t="shared" si="94"/>
        <v>N/A</v>
      </c>
      <c r="DS33" s="807" t="str">
        <f t="shared" si="94"/>
        <v>N/A</v>
      </c>
      <c r="DT33" s="808" t="str">
        <f t="shared" si="94"/>
        <v>N/A</v>
      </c>
      <c r="DU33" s="807" t="str">
        <f t="shared" si="94"/>
        <v>N/A</v>
      </c>
      <c r="DV33" s="807">
        <f t="shared" si="94"/>
        <v>0.35614567183823598</v>
      </c>
      <c r="DW33" s="385">
        <f>IFERROR(DW49/DW21,"N/A")</f>
        <v>0.34485062447503989</v>
      </c>
      <c r="DY33" s="807" t="str">
        <f t="shared" si="95"/>
        <v>N/A</v>
      </c>
      <c r="DZ33" s="807" t="str">
        <f t="shared" si="95"/>
        <v>N/A</v>
      </c>
      <c r="EA33" s="807" t="str">
        <f t="shared" si="95"/>
        <v>N/A</v>
      </c>
      <c r="EB33" s="807" t="str">
        <f t="shared" si="95"/>
        <v>N/A</v>
      </c>
      <c r="EC33" s="807">
        <f t="shared" si="95"/>
        <v>0.28798931779263998</v>
      </c>
      <c r="ED33" s="807" t="str">
        <f t="shared" si="95"/>
        <v>N/A</v>
      </c>
      <c r="EE33" s="807" t="str">
        <f t="shared" si="95"/>
        <v>N/A</v>
      </c>
      <c r="EF33" s="807" t="str">
        <f t="shared" si="95"/>
        <v>N/A</v>
      </c>
      <c r="EG33" s="807" t="str">
        <f t="shared" si="95"/>
        <v>N/A</v>
      </c>
      <c r="EH33" s="808" t="str">
        <f t="shared" si="95"/>
        <v>N/A</v>
      </c>
      <c r="EI33" s="807" t="str">
        <f t="shared" si="95"/>
        <v>N/A</v>
      </c>
      <c r="EJ33" s="807">
        <f t="shared" si="95"/>
        <v>0.34674090937008051</v>
      </c>
      <c r="EK33" s="385">
        <f>IFERROR(EK49/EK21,"N/A")</f>
        <v>0.30585586856071606</v>
      </c>
      <c r="EL33" s="170"/>
      <c r="EM33" s="807">
        <f t="shared" si="96"/>
        <v>0.30581273415708787</v>
      </c>
      <c r="EN33" s="807" t="str">
        <f t="shared" si="96"/>
        <v>N/A</v>
      </c>
      <c r="EO33" s="807">
        <f t="shared" si="96"/>
        <v>0.27442539678214017</v>
      </c>
      <c r="EP33" s="807" t="str">
        <f t="shared" si="96"/>
        <v>N/A</v>
      </c>
      <c r="EQ33" s="807" t="str">
        <f t="shared" si="96"/>
        <v>N/A</v>
      </c>
      <c r="ER33" s="807">
        <f t="shared" si="96"/>
        <v>0.26009030450927806</v>
      </c>
      <c r="ES33" s="807" t="str">
        <f t="shared" si="96"/>
        <v>N/A</v>
      </c>
      <c r="ET33" s="807" t="str">
        <f t="shared" si="96"/>
        <v>N/A</v>
      </c>
      <c r="EU33" s="807" t="str">
        <f t="shared" si="96"/>
        <v>N/A</v>
      </c>
      <c r="EV33" s="808" t="str">
        <f t="shared" si="96"/>
        <v>N/A</v>
      </c>
      <c r="EW33" s="807">
        <f t="shared" si="96"/>
        <v>0.27972515781670726</v>
      </c>
      <c r="EX33" s="807" t="str">
        <f t="shared" si="96"/>
        <v>N/A</v>
      </c>
      <c r="EY33" s="385">
        <f t="shared" si="96"/>
        <v>0.27505848731931803</v>
      </c>
      <c r="EZ33" s="170"/>
    </row>
    <row r="34" spans="1:156" s="187" customFormat="1" ht="15.75" customHeight="1">
      <c r="B34" s="199"/>
      <c r="C34" s="199"/>
      <c r="D34" s="199"/>
      <c r="F34" s="206"/>
      <c r="G34" s="206"/>
      <c r="H34" s="806" t="str">
        <f t="shared" ref="H34:S34" si="101">IFERROR(H50/H22,"N/A")</f>
        <v>N/A</v>
      </c>
      <c r="I34" s="806" t="str">
        <f t="shared" si="101"/>
        <v>N/A</v>
      </c>
      <c r="J34" s="806" t="str">
        <f t="shared" si="101"/>
        <v>N/A</v>
      </c>
      <c r="K34" s="806" t="str">
        <f t="shared" si="101"/>
        <v>N/A</v>
      </c>
      <c r="L34" s="806" t="str">
        <f t="shared" si="101"/>
        <v>N/A</v>
      </c>
      <c r="M34" s="806" t="str">
        <f t="shared" si="101"/>
        <v>N/A</v>
      </c>
      <c r="N34" s="806" t="str">
        <f t="shared" si="101"/>
        <v>N/A</v>
      </c>
      <c r="O34" s="806" t="str">
        <f t="shared" si="101"/>
        <v>N/A</v>
      </c>
      <c r="P34" s="806" t="str">
        <f t="shared" si="101"/>
        <v>N/A</v>
      </c>
      <c r="Q34" s="806" t="str">
        <f t="shared" si="101"/>
        <v>N/A</v>
      </c>
      <c r="R34" s="806" t="str">
        <f t="shared" si="101"/>
        <v>N/A</v>
      </c>
      <c r="S34" s="806">
        <f t="shared" si="101"/>
        <v>0.30324624028881447</v>
      </c>
      <c r="T34" s="388">
        <f>IFERROR(T50/T22,"N/A")</f>
        <v>0.30324624028881447</v>
      </c>
      <c r="U34" s="389">
        <f>AJ34-T34</f>
        <v>4.0962313611022261E-2</v>
      </c>
      <c r="V34" s="167">
        <f>U34/AJ34</f>
        <v>0.11900434532182522</v>
      </c>
      <c r="W34" s="948"/>
      <c r="X34" s="806">
        <f t="shared" ref="X34:AI34" si="102">IFERROR(X50/X22,"N/A")</f>
        <v>0.27660479024959306</v>
      </c>
      <c r="Y34" s="806">
        <f t="shared" si="102"/>
        <v>0.32373143792014697</v>
      </c>
      <c r="Z34" s="806">
        <f t="shared" si="102"/>
        <v>0.36455879796173418</v>
      </c>
      <c r="AA34" s="806">
        <f t="shared" si="102"/>
        <v>0.27025501749289288</v>
      </c>
      <c r="AB34" s="806">
        <f t="shared" si="102"/>
        <v>0.47175844065419609</v>
      </c>
      <c r="AC34" s="806">
        <f t="shared" si="102"/>
        <v>0.29407224783358521</v>
      </c>
      <c r="AD34" s="806">
        <f t="shared" si="102"/>
        <v>0.31877738660917115</v>
      </c>
      <c r="AE34" s="806">
        <f t="shared" si="102"/>
        <v>0.33661228205518418</v>
      </c>
      <c r="AF34" s="806">
        <f t="shared" si="102"/>
        <v>0.34251254827562638</v>
      </c>
      <c r="AG34" s="806">
        <f t="shared" si="102"/>
        <v>0.48725886613896952</v>
      </c>
      <c r="AH34" s="806">
        <f t="shared" si="102"/>
        <v>0.37011317519596443</v>
      </c>
      <c r="AI34" s="806">
        <f t="shared" si="102"/>
        <v>0.39595253946846487</v>
      </c>
      <c r="AJ34" s="388">
        <f>IFERROR(AJ50/AJ22,"N/A")</f>
        <v>0.34420855389983673</v>
      </c>
      <c r="AK34" s="948"/>
      <c r="AL34" s="806" t="str">
        <f t="shared" si="89"/>
        <v>N/A</v>
      </c>
      <c r="AM34" s="806" t="str">
        <f t="shared" si="89"/>
        <v>N/A</v>
      </c>
      <c r="AN34" s="806" t="str">
        <f t="shared" si="89"/>
        <v>N/A</v>
      </c>
      <c r="AO34" s="806" t="str">
        <f t="shared" si="89"/>
        <v>N/A</v>
      </c>
      <c r="AP34" s="806" t="str">
        <f t="shared" si="89"/>
        <v>N/A</v>
      </c>
      <c r="AQ34" s="806" t="str">
        <f t="shared" si="89"/>
        <v>N/A</v>
      </c>
      <c r="AR34" s="806" t="str">
        <f t="shared" si="89"/>
        <v>N/A</v>
      </c>
      <c r="AS34" s="806" t="str">
        <f t="shared" si="89"/>
        <v>N/A</v>
      </c>
      <c r="AT34" s="806" t="str">
        <f t="shared" si="89"/>
        <v>N/A</v>
      </c>
      <c r="AU34" s="806" t="str">
        <f t="shared" si="89"/>
        <v>N/A</v>
      </c>
      <c r="AV34" s="806" t="str">
        <f t="shared" si="89"/>
        <v>N/A</v>
      </c>
      <c r="AW34" s="806">
        <f t="shared" si="89"/>
        <v>0.3548409994158121</v>
      </c>
      <c r="AX34" s="388">
        <f>IFERROR(AX50/AX22,"N/A")</f>
        <v>0.3548409994158121</v>
      </c>
      <c r="AY34" s="389">
        <f>BN34-AX34</f>
        <v>-5.9048557481539699E-2</v>
      </c>
      <c r="AZ34" s="167">
        <f>AY34/BN34</f>
        <v>-0.19962835120263414</v>
      </c>
      <c r="BA34" s="948"/>
      <c r="BB34" s="806">
        <f t="shared" si="90"/>
        <v>0.63146649551587375</v>
      </c>
      <c r="BC34" s="806">
        <f t="shared" si="90"/>
        <v>0.32918319793519862</v>
      </c>
      <c r="BD34" s="806">
        <f t="shared" si="90"/>
        <v>0.47458018064965313</v>
      </c>
      <c r="BE34" s="806">
        <f t="shared" si="90"/>
        <v>0.52033788187545327</v>
      </c>
      <c r="BF34" s="806">
        <f t="shared" si="90"/>
        <v>0.22601626700791144</v>
      </c>
      <c r="BG34" s="806">
        <f t="shared" si="90"/>
        <v>0.49731834917237761</v>
      </c>
      <c r="BH34" s="806">
        <f t="shared" si="90"/>
        <v>0.41772873859635185</v>
      </c>
      <c r="BI34" s="806">
        <f t="shared" si="90"/>
        <v>0.24789440749913841</v>
      </c>
      <c r="BJ34" s="806">
        <f t="shared" si="90"/>
        <v>0.27528921170086912</v>
      </c>
      <c r="BK34" s="806">
        <f t="shared" si="90"/>
        <v>0.25294182853648095</v>
      </c>
      <c r="BL34" s="806">
        <f t="shared" si="90"/>
        <v>0.21795155163978125</v>
      </c>
      <c r="BM34" s="806">
        <f t="shared" si="90"/>
        <v>0.35185034622245287</v>
      </c>
      <c r="BN34" s="388">
        <f>IFERROR(BN50/BN22,"N/A")</f>
        <v>0.2957924419342724</v>
      </c>
      <c r="BO34" s="948"/>
      <c r="BP34" s="806">
        <f t="shared" si="91"/>
        <v>0.3290497853043432</v>
      </c>
      <c r="BQ34" s="806">
        <f t="shared" si="91"/>
        <v>0.3290497853043432</v>
      </c>
      <c r="BR34" s="806">
        <f t="shared" si="91"/>
        <v>0.31254172579477291</v>
      </c>
      <c r="BS34" s="806">
        <f t="shared" si="91"/>
        <v>0.3290497853043432</v>
      </c>
      <c r="BT34" s="806">
        <f t="shared" si="91"/>
        <v>0.29104781123882728</v>
      </c>
      <c r="BU34" s="806">
        <f t="shared" si="91"/>
        <v>0.29258091466408409</v>
      </c>
      <c r="BV34" s="806">
        <f t="shared" si="91"/>
        <v>0.29997334463359482</v>
      </c>
      <c r="BW34" s="806">
        <f t="shared" si="91"/>
        <v>0.28595969415916989</v>
      </c>
      <c r="BX34" s="806">
        <f t="shared" si="91"/>
        <v>0.30065681226767538</v>
      </c>
      <c r="BY34" s="806">
        <f t="shared" si="91"/>
        <v>0.2993946534411272</v>
      </c>
      <c r="BZ34" s="806">
        <f t="shared" si="91"/>
        <v>0.3290497853043432</v>
      </c>
      <c r="CA34" s="806">
        <f t="shared" si="91"/>
        <v>0.28930684613992008</v>
      </c>
      <c r="CB34" s="388">
        <f>IFERROR(CB50/CB22,"N/A")</f>
        <v>0.29629283414373114</v>
      </c>
      <c r="CC34" s="389">
        <f>CB34-BN34</f>
        <v>5.003922094587443E-4</v>
      </c>
      <c r="CD34" s="167">
        <f>IFERROR(CC34/CB34,"N/A")</f>
        <v>1.6888434406618314E-3</v>
      </c>
      <c r="CE34" s="206"/>
      <c r="CF34" s="806">
        <f t="shared" si="92"/>
        <v>0.27365952413390654</v>
      </c>
      <c r="CG34" s="806">
        <f t="shared" si="92"/>
        <v>0.26112610100809808</v>
      </c>
      <c r="CH34" s="806">
        <f t="shared" si="92"/>
        <v>0.24892964853921962</v>
      </c>
      <c r="CI34" s="806">
        <f t="shared" si="92"/>
        <v>0.23546672557290496</v>
      </c>
      <c r="CJ34" s="806">
        <f t="shared" si="92"/>
        <v>0.2396585978270557</v>
      </c>
      <c r="CK34" s="806">
        <f t="shared" si="92"/>
        <v>0.21380947924004923</v>
      </c>
      <c r="CL34" s="806">
        <f t="shared" si="92"/>
        <v>0.24648657555077097</v>
      </c>
      <c r="CM34" s="806">
        <f t="shared" si="92"/>
        <v>0.24761354150366582</v>
      </c>
      <c r="CN34" s="806">
        <f t="shared" si="92"/>
        <v>0.51662758666057451</v>
      </c>
      <c r="CO34" s="806">
        <f t="shared" si="92"/>
        <v>0.42131857432332598</v>
      </c>
      <c r="CP34" s="806">
        <f t="shared" si="92"/>
        <v>0.34761840019810625</v>
      </c>
      <c r="CQ34" s="806">
        <f t="shared" si="92"/>
        <v>0.22560486059454232</v>
      </c>
      <c r="CR34" s="390"/>
      <c r="CS34" s="388">
        <f>IFERROR(CS50/CS22,"N/A")</f>
        <v>0.28851566439809773</v>
      </c>
      <c r="CT34" s="389">
        <f>CS34-BN34</f>
        <v>-7.2767775361746723E-3</v>
      </c>
      <c r="CU34" s="167">
        <f>IFERROR(CT34/CS34,"N/A")</f>
        <v>-2.5221429662599111E-2</v>
      </c>
      <c r="CV34" s="319"/>
      <c r="CW34" s="806">
        <f t="shared" si="93"/>
        <v>0.30300512481475328</v>
      </c>
      <c r="CX34" s="806">
        <f t="shared" si="93"/>
        <v>0.32126893066873263</v>
      </c>
      <c r="CY34" s="806">
        <f t="shared" si="93"/>
        <v>0.32612896435476318</v>
      </c>
      <c r="CZ34" s="806">
        <f t="shared" si="93"/>
        <v>0.39578632729897567</v>
      </c>
      <c r="DA34" s="806">
        <f t="shared" si="93"/>
        <v>0.14592195184184659</v>
      </c>
      <c r="DB34" s="806">
        <f t="shared" si="93"/>
        <v>0.22541771920908418</v>
      </c>
      <c r="DC34" s="806">
        <f t="shared" si="93"/>
        <v>0.25468945201793308</v>
      </c>
      <c r="DD34" s="806">
        <f t="shared" si="93"/>
        <v>0.30258376005425336</v>
      </c>
      <c r="DE34" s="806">
        <f t="shared" si="93"/>
        <v>0.29000925045100423</v>
      </c>
      <c r="DF34" s="806">
        <f t="shared" si="93"/>
        <v>0.29882479089699798</v>
      </c>
      <c r="DG34" s="806">
        <f t="shared" si="93"/>
        <v>0.27536561791247693</v>
      </c>
      <c r="DH34" s="806">
        <f t="shared" si="93"/>
        <v>0.29752696253972055</v>
      </c>
      <c r="DI34" s="388">
        <f>IFERROR(DI50/DI22,"N/A")</f>
        <v>0.28674957231174925</v>
      </c>
      <c r="DJ34" s="319"/>
      <c r="DK34" s="806">
        <f t="shared" si="94"/>
        <v>0.47358766352694387</v>
      </c>
      <c r="DL34" s="806">
        <f t="shared" si="94"/>
        <v>0.31134769134843249</v>
      </c>
      <c r="DM34" s="806">
        <f t="shared" si="94"/>
        <v>0.41019527985576115</v>
      </c>
      <c r="DN34" s="806">
        <f t="shared" si="94"/>
        <v>0.26219951770999417</v>
      </c>
      <c r="DO34" s="806">
        <f t="shared" si="94"/>
        <v>0.28199809466013781</v>
      </c>
      <c r="DP34" s="806">
        <f t="shared" si="94"/>
        <v>0.2988784610765659</v>
      </c>
      <c r="DQ34" s="806">
        <f t="shared" si="94"/>
        <v>0.31983485353686464</v>
      </c>
      <c r="DR34" s="806">
        <f t="shared" si="94"/>
        <v>0.27797495000518724</v>
      </c>
      <c r="DS34" s="806">
        <f t="shared" si="94"/>
        <v>0.35239009678847155</v>
      </c>
      <c r="DT34" s="806">
        <f t="shared" si="94"/>
        <v>0.25838293744245805</v>
      </c>
      <c r="DU34" s="806">
        <f t="shared" si="94"/>
        <v>0.35931293263820147</v>
      </c>
      <c r="DV34" s="806">
        <f t="shared" si="94"/>
        <v>0.36356733313912443</v>
      </c>
      <c r="DW34" s="388">
        <f>IFERROR(DW50/DW22,"N/A")</f>
        <v>0.32279245372984661</v>
      </c>
      <c r="DY34" s="806">
        <f t="shared" si="95"/>
        <v>0.32928908713376176</v>
      </c>
      <c r="DZ34" s="806">
        <f t="shared" si="95"/>
        <v>0.4060552621965059</v>
      </c>
      <c r="EA34" s="806">
        <f t="shared" si="95"/>
        <v>0.37968501771746593</v>
      </c>
      <c r="EB34" s="806">
        <f t="shared" si="95"/>
        <v>0.39210498642565633</v>
      </c>
      <c r="EC34" s="806">
        <f t="shared" si="95"/>
        <v>0.34648837806832988</v>
      </c>
      <c r="ED34" s="806">
        <f t="shared" si="95"/>
        <v>0.20999111339220017</v>
      </c>
      <c r="EE34" s="806">
        <f t="shared" si="95"/>
        <v>0.3162315387728995</v>
      </c>
      <c r="EF34" s="806">
        <f t="shared" si="95"/>
        <v>0.27979149551174026</v>
      </c>
      <c r="EG34" s="806">
        <f t="shared" si="95"/>
        <v>0.28485309973931511</v>
      </c>
      <c r="EH34" s="806">
        <f t="shared" si="95"/>
        <v>0.34959908458251276</v>
      </c>
      <c r="EI34" s="806">
        <f t="shared" si="95"/>
        <v>0.35222785523687827</v>
      </c>
      <c r="EJ34" s="806">
        <f t="shared" si="95"/>
        <v>0.29978614405747445</v>
      </c>
      <c r="EK34" s="388">
        <f>IFERROR(EK50/EK22,"N/A")</f>
        <v>0.3222565409592118</v>
      </c>
      <c r="EL34" s="170"/>
      <c r="EM34" s="806">
        <f t="shared" si="96"/>
        <v>0.32151972605009421</v>
      </c>
      <c r="EN34" s="806">
        <f t="shared" si="96"/>
        <v>0.3145258314611743</v>
      </c>
      <c r="EO34" s="806">
        <f t="shared" si="96"/>
        <v>0.30410464946573751</v>
      </c>
      <c r="EP34" s="806">
        <f t="shared" si="96"/>
        <v>0.31888900323773695</v>
      </c>
      <c r="EQ34" s="806">
        <f t="shared" si="96"/>
        <v>0.33150064896953352</v>
      </c>
      <c r="ER34" s="806">
        <f t="shared" si="96"/>
        <v>0.30359864684651594</v>
      </c>
      <c r="ES34" s="806">
        <f t="shared" si="96"/>
        <v>0.30657863158701387</v>
      </c>
      <c r="ET34" s="806">
        <f t="shared" si="96"/>
        <v>0.3146156484340798</v>
      </c>
      <c r="EU34" s="806">
        <f t="shared" si="96"/>
        <v>0.31556617839378631</v>
      </c>
      <c r="EV34" s="806">
        <f t="shared" si="96"/>
        <v>0.31693599433552155</v>
      </c>
      <c r="EW34" s="806">
        <f t="shared" si="96"/>
        <v>0.30063510348838302</v>
      </c>
      <c r="EX34" s="806">
        <f t="shared" si="96"/>
        <v>0.28270465523134386</v>
      </c>
      <c r="EY34" s="388">
        <f t="shared" si="96"/>
        <v>0.3109076965720815</v>
      </c>
      <c r="EZ34" s="170"/>
    </row>
    <row r="35" spans="1:156" ht="16.5" customHeight="1">
      <c r="H35" s="805"/>
      <c r="I35" s="373"/>
      <c r="J35" s="373"/>
      <c r="K35" s="373"/>
      <c r="L35" s="373"/>
      <c r="M35" s="373"/>
      <c r="N35" s="374"/>
      <c r="O35" s="373"/>
      <c r="P35" s="373"/>
      <c r="Q35" s="373"/>
      <c r="R35" s="373"/>
      <c r="S35" s="373"/>
      <c r="T35" s="375"/>
      <c r="U35" s="383"/>
      <c r="V35" s="163"/>
      <c r="X35" s="805"/>
      <c r="Y35" s="373"/>
      <c r="Z35" s="373"/>
      <c r="AA35" s="373"/>
      <c r="AB35" s="373"/>
      <c r="AC35" s="373"/>
      <c r="AD35" s="374"/>
      <c r="AE35" s="373"/>
      <c r="AF35" s="373"/>
      <c r="AG35" s="373"/>
      <c r="AH35" s="373"/>
      <c r="AI35" s="373"/>
      <c r="AJ35" s="375"/>
      <c r="AL35" s="805"/>
      <c r="AM35" s="373"/>
      <c r="AN35" s="373"/>
      <c r="AO35" s="373"/>
      <c r="AP35" s="373"/>
      <c r="AQ35" s="373"/>
      <c r="AR35" s="374"/>
      <c r="AS35" s="373"/>
      <c r="AT35" s="373"/>
      <c r="AU35" s="373"/>
      <c r="AV35" s="373"/>
      <c r="AW35" s="373"/>
      <c r="AX35" s="375"/>
      <c r="AY35" s="383"/>
      <c r="AZ35" s="163"/>
      <c r="BB35" s="805"/>
      <c r="BC35" s="373"/>
      <c r="BD35" s="373"/>
      <c r="BE35" s="373"/>
      <c r="BF35" s="373"/>
      <c r="BG35" s="373"/>
      <c r="BH35" s="374"/>
      <c r="BI35" s="373"/>
      <c r="BJ35" s="373"/>
      <c r="BK35" s="373"/>
      <c r="BL35" s="373"/>
      <c r="BM35" s="373"/>
      <c r="BN35" s="375"/>
      <c r="BP35" s="805"/>
      <c r="BQ35" s="373"/>
      <c r="BR35" s="373"/>
      <c r="BS35" s="373"/>
      <c r="BT35" s="373"/>
      <c r="BU35" s="373"/>
      <c r="BV35" s="374"/>
      <c r="BW35" s="373"/>
      <c r="BX35" s="373"/>
      <c r="BY35" s="373"/>
      <c r="BZ35" s="373"/>
      <c r="CA35" s="373"/>
      <c r="CB35" s="375"/>
      <c r="CC35" s="383"/>
      <c r="CD35" s="163"/>
      <c r="CF35" s="805"/>
      <c r="CG35" s="373"/>
      <c r="CH35" s="373"/>
      <c r="CI35" s="373"/>
      <c r="CJ35" s="373"/>
      <c r="CK35" s="373"/>
      <c r="CL35" s="374"/>
      <c r="CM35" s="373"/>
      <c r="CN35" s="373"/>
      <c r="CO35" s="373"/>
      <c r="CP35" s="373"/>
      <c r="CQ35" s="373"/>
      <c r="CR35" s="376"/>
      <c r="CS35" s="375"/>
      <c r="CT35" s="383"/>
      <c r="CU35" s="163"/>
      <c r="CW35" s="805"/>
      <c r="CX35" s="373"/>
      <c r="CY35" s="373"/>
      <c r="CZ35" s="373"/>
      <c r="DA35" s="373"/>
      <c r="DB35" s="373"/>
      <c r="DC35" s="374"/>
      <c r="DD35" s="373"/>
      <c r="DE35" s="373"/>
      <c r="DF35" s="373"/>
      <c r="DG35" s="373"/>
      <c r="DH35" s="373"/>
      <c r="DI35" s="375"/>
      <c r="DK35" s="805"/>
      <c r="DL35" s="373"/>
      <c r="DM35" s="373"/>
      <c r="DN35" s="373"/>
      <c r="DO35" s="373"/>
      <c r="DP35" s="373"/>
      <c r="DQ35" s="374"/>
      <c r="DR35" s="373"/>
      <c r="DS35" s="373"/>
      <c r="DT35" s="373"/>
      <c r="DU35" s="373"/>
      <c r="DV35" s="373"/>
      <c r="DW35" s="375"/>
      <c r="DY35" s="805"/>
      <c r="DZ35" s="373"/>
      <c r="EA35" s="373"/>
      <c r="EB35" s="373"/>
      <c r="EC35" s="373"/>
      <c r="ED35" s="373"/>
      <c r="EE35" s="374"/>
      <c r="EF35" s="373"/>
      <c r="EG35" s="373"/>
      <c r="EH35" s="373"/>
      <c r="EI35" s="373"/>
      <c r="EJ35" s="373"/>
      <c r="EK35" s="375"/>
      <c r="EL35" s="164"/>
      <c r="EM35" s="805"/>
      <c r="EN35" s="373"/>
      <c r="EO35" s="373"/>
      <c r="EP35" s="373"/>
      <c r="EQ35" s="373"/>
      <c r="ER35" s="373"/>
      <c r="ES35" s="374"/>
      <c r="ET35" s="373"/>
      <c r="EU35" s="373"/>
      <c r="EV35" s="373"/>
      <c r="EW35" s="373"/>
      <c r="EX35" s="373"/>
      <c r="EY35" s="375"/>
      <c r="EZ35" s="164"/>
    </row>
    <row r="36" spans="1:156" ht="16.5" customHeight="1">
      <c r="E36" s="187" t="s">
        <v>298</v>
      </c>
      <c r="H36" s="373"/>
      <c r="I36" s="373"/>
      <c r="J36" s="373"/>
      <c r="K36" s="373"/>
      <c r="L36" s="373"/>
      <c r="M36" s="373"/>
      <c r="N36" s="374"/>
      <c r="O36" s="373"/>
      <c r="P36" s="373"/>
      <c r="Q36" s="373"/>
      <c r="R36" s="373"/>
      <c r="S36" s="373"/>
      <c r="T36" s="375"/>
      <c r="U36" s="379"/>
      <c r="V36" s="163"/>
      <c r="X36" s="373"/>
      <c r="Y36" s="373"/>
      <c r="Z36" s="373"/>
      <c r="AA36" s="373"/>
      <c r="AB36" s="373"/>
      <c r="AC36" s="373"/>
      <c r="AD36" s="374"/>
      <c r="AE36" s="373"/>
      <c r="AF36" s="373"/>
      <c r="AG36" s="373"/>
      <c r="AH36" s="373"/>
      <c r="AI36" s="373"/>
      <c r="AJ36" s="375"/>
      <c r="AL36" s="373"/>
      <c r="AM36" s="373"/>
      <c r="AN36" s="373"/>
      <c r="AO36" s="373"/>
      <c r="AP36" s="373"/>
      <c r="AQ36" s="373"/>
      <c r="AR36" s="374"/>
      <c r="AS36" s="373"/>
      <c r="AT36" s="373"/>
      <c r="AU36" s="373"/>
      <c r="AV36" s="373"/>
      <c r="AW36" s="373"/>
      <c r="AX36" s="375"/>
      <c r="AY36" s="379"/>
      <c r="AZ36" s="163"/>
      <c r="BB36" s="373"/>
      <c r="BC36" s="373"/>
      <c r="BD36" s="373"/>
      <c r="BE36" s="373"/>
      <c r="BF36" s="373"/>
      <c r="BG36" s="373"/>
      <c r="BH36" s="374"/>
      <c r="BI36" s="373"/>
      <c r="BJ36" s="373"/>
      <c r="BK36" s="373"/>
      <c r="BL36" s="373"/>
      <c r="BM36" s="373"/>
      <c r="BN36" s="375"/>
      <c r="BP36" s="373"/>
      <c r="BQ36" s="373"/>
      <c r="BR36" s="373"/>
      <c r="BS36" s="373"/>
      <c r="BT36" s="373"/>
      <c r="BU36" s="373"/>
      <c r="BV36" s="374"/>
      <c r="BW36" s="373"/>
      <c r="BX36" s="373"/>
      <c r="BY36" s="373"/>
      <c r="BZ36" s="373"/>
      <c r="CA36" s="373"/>
      <c r="CB36" s="375"/>
      <c r="CC36" s="379"/>
      <c r="CD36" s="163"/>
      <c r="CF36" s="373"/>
      <c r="CG36" s="373"/>
      <c r="CH36" s="373"/>
      <c r="CI36" s="373"/>
      <c r="CJ36" s="373"/>
      <c r="CK36" s="373"/>
      <c r="CL36" s="374"/>
      <c r="CM36" s="373"/>
      <c r="CN36" s="373"/>
      <c r="CO36" s="373"/>
      <c r="CP36" s="373"/>
      <c r="CQ36" s="373"/>
      <c r="CR36" s="376"/>
      <c r="CS36" s="375"/>
      <c r="CT36" s="379"/>
      <c r="CU36" s="163"/>
      <c r="CW36" s="373"/>
      <c r="CX36" s="373"/>
      <c r="CY36" s="373"/>
      <c r="CZ36" s="373"/>
      <c r="DA36" s="373"/>
      <c r="DB36" s="373"/>
      <c r="DC36" s="374"/>
      <c r="DD36" s="373"/>
      <c r="DE36" s="373"/>
      <c r="DF36" s="373"/>
      <c r="DG36" s="373"/>
      <c r="DH36" s="373"/>
      <c r="DI36" s="375"/>
      <c r="DK36" s="373"/>
      <c r="DL36" s="373"/>
      <c r="DM36" s="373"/>
      <c r="DN36" s="373"/>
      <c r="DO36" s="373"/>
      <c r="DP36" s="373"/>
      <c r="DQ36" s="374"/>
      <c r="DR36" s="373"/>
      <c r="DS36" s="373"/>
      <c r="DT36" s="373"/>
      <c r="DU36" s="373"/>
      <c r="DV36" s="373"/>
      <c r="DW36" s="375"/>
      <c r="DY36" s="373"/>
      <c r="DZ36" s="373"/>
      <c r="EA36" s="373"/>
      <c r="EB36" s="373"/>
      <c r="EC36" s="373"/>
      <c r="ED36" s="373"/>
      <c r="EE36" s="374"/>
      <c r="EF36" s="373"/>
      <c r="EG36" s="373"/>
      <c r="EH36" s="373"/>
      <c r="EI36" s="373"/>
      <c r="EJ36" s="373"/>
      <c r="EK36" s="391"/>
      <c r="EL36" s="164"/>
      <c r="EM36" s="373"/>
      <c r="EN36" s="373"/>
      <c r="EO36" s="373"/>
      <c r="EP36" s="373"/>
      <c r="EQ36" s="373"/>
      <c r="ER36" s="373"/>
      <c r="ES36" s="374"/>
      <c r="ET36" s="373"/>
      <c r="EU36" s="373"/>
      <c r="EV36" s="373"/>
      <c r="EW36" s="373"/>
      <c r="EX36" s="373"/>
      <c r="EY36" s="375"/>
      <c r="EZ36" s="164"/>
    </row>
    <row r="37" spans="1:156" ht="18.75" customHeight="1">
      <c r="A37" s="185" t="s">
        <v>299</v>
      </c>
      <c r="B37" s="186" t="s">
        <v>1182</v>
      </c>
      <c r="C37" s="186" t="s">
        <v>1088</v>
      </c>
      <c r="E37" s="185"/>
      <c r="F37" s="205" t="s">
        <v>1178</v>
      </c>
      <c r="G37" s="205"/>
      <c r="H37" s="374">
        <v>0</v>
      </c>
      <c r="I37" s="374">
        <v>0</v>
      </c>
      <c r="J37" s="374">
        <v>0</v>
      </c>
      <c r="K37" s="374">
        <v>0</v>
      </c>
      <c r="L37" s="374">
        <v>0</v>
      </c>
      <c r="M37" s="374">
        <v>0</v>
      </c>
      <c r="N37" s="374">
        <v>0</v>
      </c>
      <c r="O37" s="374">
        <v>0</v>
      </c>
      <c r="P37" s="374">
        <v>0</v>
      </c>
      <c r="Q37" s="374">
        <v>0</v>
      </c>
      <c r="R37" s="374">
        <v>0</v>
      </c>
      <c r="S37" s="374">
        <v>186643648.92051476</v>
      </c>
      <c r="T37" s="392">
        <f t="shared" ref="T37:T42" si="103">SUM(H37:S37)</f>
        <v>186643648.92051476</v>
      </c>
      <c r="U37" s="378">
        <f t="shared" ref="U37:U42" si="104">T37-AJ37</f>
        <v>-36561764.38948524</v>
      </c>
      <c r="V37" s="165">
        <f t="shared" ref="V37:V42" si="105">U37/AJ37</f>
        <v>-0.16380321537590239</v>
      </c>
      <c r="W37" s="947"/>
      <c r="X37" s="374">
        <v>4559096.6900000004</v>
      </c>
      <c r="Y37" s="374">
        <v>10837665.42</v>
      </c>
      <c r="Z37" s="374">
        <v>11459131.93</v>
      </c>
      <c r="AA37" s="374">
        <v>5672647.6399999997</v>
      </c>
      <c r="AB37" s="374">
        <v>9100812.9299999997</v>
      </c>
      <c r="AC37" s="374">
        <v>11789477.08</v>
      </c>
      <c r="AD37" s="374">
        <v>10180290.939999999</v>
      </c>
      <c r="AE37" s="374">
        <v>18571186.43</v>
      </c>
      <c r="AF37" s="374">
        <v>28756419</v>
      </c>
      <c r="AG37" s="374">
        <v>16817291.609999999</v>
      </c>
      <c r="AH37" s="374">
        <v>45375136.210000001</v>
      </c>
      <c r="AI37" s="374">
        <v>50086257.43</v>
      </c>
      <c r="AJ37" s="392">
        <f t="shared" ref="AJ37" si="106">SUM(X37:AI37)</f>
        <v>223205413.31</v>
      </c>
      <c r="AK37" s="947"/>
      <c r="AL37" s="374">
        <v>0</v>
      </c>
      <c r="AM37" s="374">
        <v>0</v>
      </c>
      <c r="AN37" s="374">
        <v>0</v>
      </c>
      <c r="AO37" s="374">
        <v>0</v>
      </c>
      <c r="AP37" s="374">
        <v>0</v>
      </c>
      <c r="AQ37" s="374">
        <v>0</v>
      </c>
      <c r="AR37" s="374">
        <v>0</v>
      </c>
      <c r="AS37" s="374">
        <v>0</v>
      </c>
      <c r="AT37" s="374">
        <v>0</v>
      </c>
      <c r="AU37" s="374">
        <v>0</v>
      </c>
      <c r="AV37" s="374">
        <v>0</v>
      </c>
      <c r="AW37" s="374">
        <v>179510006.81484911</v>
      </c>
      <c r="AX37" s="392">
        <f t="shared" ref="AX37:AX42" si="107">SUM(AL37:AW37)</f>
        <v>179510006.81484911</v>
      </c>
      <c r="AY37" s="378">
        <f t="shared" ref="AY37:AY42" si="108">AX37-BN37</f>
        <v>65889679.48484911</v>
      </c>
      <c r="AZ37" s="165">
        <f t="shared" ref="AZ37:AZ42" si="109">AY37/BN37</f>
        <v>0.57991101621700558</v>
      </c>
      <c r="BA37" s="947"/>
      <c r="BB37" s="374">
        <v>3110774.39</v>
      </c>
      <c r="BC37" s="374">
        <v>3466477.62</v>
      </c>
      <c r="BD37" s="374">
        <v>10616629.09</v>
      </c>
      <c r="BE37" s="374">
        <v>4690713.2300000004</v>
      </c>
      <c r="BF37" s="374">
        <v>6645918.9100000001</v>
      </c>
      <c r="BG37" s="374">
        <v>5957814.6299999999</v>
      </c>
      <c r="BH37" s="374">
        <v>9930160.7200000007</v>
      </c>
      <c r="BI37" s="374">
        <v>14135705.210000001</v>
      </c>
      <c r="BJ37" s="374">
        <v>20516080.609999999</v>
      </c>
      <c r="BK37" s="374">
        <v>15369897.65</v>
      </c>
      <c r="BL37" s="374">
        <v>6903653.6100000003</v>
      </c>
      <c r="BM37" s="374">
        <v>12276501.66</v>
      </c>
      <c r="BN37" s="392">
        <f t="shared" ref="BN37:BN42" si="110">SUM(BB37:BM37)</f>
        <v>113620327.33</v>
      </c>
      <c r="BO37" s="947"/>
      <c r="BP37" s="373">
        <v>3369839.0381650534</v>
      </c>
      <c r="BQ37" s="374">
        <v>3912450.2290579188</v>
      </c>
      <c r="BR37" s="374">
        <v>11137379.071316021</v>
      </c>
      <c r="BS37" s="374">
        <v>9139394.4634226039</v>
      </c>
      <c r="BT37" s="374">
        <v>13390314.413003393</v>
      </c>
      <c r="BU37" s="374">
        <v>29056316.798532538</v>
      </c>
      <c r="BV37" s="374">
        <v>13476577.095295433</v>
      </c>
      <c r="BW37" s="374">
        <v>20144859.310434956</v>
      </c>
      <c r="BX37" s="374">
        <v>44568388.604779407</v>
      </c>
      <c r="BY37" s="374">
        <v>30454311.221409112</v>
      </c>
      <c r="BZ37" s="374">
        <v>20885561.273941297</v>
      </c>
      <c r="CA37" s="374">
        <v>31234041.821169101</v>
      </c>
      <c r="CB37" s="392">
        <f t="shared" ref="CB37:CB42" si="111">SUM(BP37:CA37)</f>
        <v>230769433.34052685</v>
      </c>
      <c r="CC37" s="378">
        <f t="shared" ref="CC37:CC42" si="112">BN37-CB37</f>
        <v>-117149106.01052685</v>
      </c>
      <c r="CD37" s="165">
        <f t="shared" ref="CD37:CD42" si="113">IFERROR(CC37/CB37,"N/A")</f>
        <v>-0.50764568042969482</v>
      </c>
      <c r="CE37" s="205"/>
      <c r="CF37" s="373">
        <v>13164851.890000001</v>
      </c>
      <c r="CG37" s="374">
        <v>24639416.07</v>
      </c>
      <c r="CH37" s="374">
        <v>29100629.010000002</v>
      </c>
      <c r="CI37" s="374">
        <v>16950593.469999999</v>
      </c>
      <c r="CJ37" s="374">
        <v>15550156.93</v>
      </c>
      <c r="CK37" s="374">
        <v>29536965.829999998</v>
      </c>
      <c r="CL37" s="374">
        <v>9471769.9399999995</v>
      </c>
      <c r="CM37" s="374">
        <v>25362027.379999999</v>
      </c>
      <c r="CN37" s="374">
        <v>38538151.5</v>
      </c>
      <c r="CO37" s="374">
        <v>27078361.07</v>
      </c>
      <c r="CP37" s="374">
        <v>23999930.469999999</v>
      </c>
      <c r="CQ37" s="374">
        <v>15416960.960000001</v>
      </c>
      <c r="CR37" s="380">
        <v>0</v>
      </c>
      <c r="CS37" s="392">
        <f t="shared" ref="CS37:CS42" si="114">SUM(CF37:CR37)</f>
        <v>268809814.51999998</v>
      </c>
      <c r="CT37" s="378">
        <f t="shared" ref="CT37:CT42" si="115">BN37-CS37</f>
        <v>-155189487.19</v>
      </c>
      <c r="CU37" s="165">
        <f t="shared" ref="CU37:CU42" si="116">IFERROR(CT37/CS37,"N/A")</f>
        <v>-0.57732076288625833</v>
      </c>
      <c r="CV37" s="317"/>
      <c r="CW37" s="373">
        <v>19888475.120000001</v>
      </c>
      <c r="CX37" s="374">
        <v>22489122.98</v>
      </c>
      <c r="CY37" s="374">
        <v>31371815.030000001</v>
      </c>
      <c r="CZ37" s="374">
        <v>20678272.890000001</v>
      </c>
      <c r="DA37" s="374">
        <v>25352914.43</v>
      </c>
      <c r="DB37" s="374">
        <v>27515609.57</v>
      </c>
      <c r="DC37" s="374">
        <v>17232571.879999999</v>
      </c>
      <c r="DD37" s="374">
        <v>24786969.970000003</v>
      </c>
      <c r="DE37" s="374">
        <v>42924177.82</v>
      </c>
      <c r="DF37" s="374">
        <v>32567844.84</v>
      </c>
      <c r="DG37" s="374">
        <v>18879157.41</v>
      </c>
      <c r="DH37" s="374">
        <v>36100729.32</v>
      </c>
      <c r="DI37" s="392">
        <f t="shared" ref="DI37:DI42" si="117">SUM(CW37:DH37)</f>
        <v>319787661.25999999</v>
      </c>
      <c r="DJ37" s="317"/>
      <c r="DK37" s="373">
        <v>18857845.800000001</v>
      </c>
      <c r="DL37" s="374">
        <v>22630704.18</v>
      </c>
      <c r="DM37" s="374">
        <v>32495228.239999998</v>
      </c>
      <c r="DN37" s="374">
        <v>17763845.02</v>
      </c>
      <c r="DO37" s="374">
        <v>28713698.710000001</v>
      </c>
      <c r="DP37" s="374">
        <v>30774455.98</v>
      </c>
      <c r="DQ37" s="374">
        <v>16976497.32</v>
      </c>
      <c r="DR37" s="374">
        <v>23450206.300000001</v>
      </c>
      <c r="DS37" s="374">
        <v>38709534.229999997</v>
      </c>
      <c r="DT37" s="374">
        <v>34356042.899999999</v>
      </c>
      <c r="DU37" s="374">
        <v>22323580.379999999</v>
      </c>
      <c r="DV37" s="374">
        <v>28844438.120000001</v>
      </c>
      <c r="DW37" s="392">
        <f t="shared" ref="DW37:DW42" si="118">SUM(DK37:DV37)</f>
        <v>315896077.18000001</v>
      </c>
      <c r="DY37" s="373">
        <v>29698401.039999999</v>
      </c>
      <c r="DZ37" s="374">
        <v>24180166.799999997</v>
      </c>
      <c r="EA37" s="374">
        <v>19969829.09</v>
      </c>
      <c r="EB37" s="374">
        <v>14712895.229999999</v>
      </c>
      <c r="EC37" s="374">
        <v>33606456.57</v>
      </c>
      <c r="ED37" s="374">
        <v>22395664.989999998</v>
      </c>
      <c r="EE37" s="374">
        <v>15771697.76</v>
      </c>
      <c r="EF37" s="374">
        <v>20404944.920000002</v>
      </c>
      <c r="EG37" s="374">
        <v>35880143.950000003</v>
      </c>
      <c r="EH37" s="374">
        <v>21769787.740000002</v>
      </c>
      <c r="EI37" s="374">
        <v>22636962.329999998</v>
      </c>
      <c r="EJ37" s="374">
        <v>34368531.559999995</v>
      </c>
      <c r="EK37" s="391">
        <f t="shared" ref="EK37:EK42" si="119">SUM(DY37:EJ37)</f>
        <v>295395481.97999996</v>
      </c>
      <c r="EL37" s="164"/>
      <c r="EM37" s="373">
        <v>38052857.230000004</v>
      </c>
      <c r="EN37" s="374">
        <v>17589742.280000001</v>
      </c>
      <c r="EO37" s="374">
        <v>14843772.739999998</v>
      </c>
      <c r="EP37" s="374">
        <v>20986977.439999998</v>
      </c>
      <c r="EQ37" s="374">
        <v>28890382.52</v>
      </c>
      <c r="ER37" s="374">
        <v>16343763.049999997</v>
      </c>
      <c r="ES37" s="374">
        <v>18960373.710000001</v>
      </c>
      <c r="ET37" s="374">
        <v>19058734.789999995</v>
      </c>
      <c r="EU37" s="374">
        <v>26177788.740000006</v>
      </c>
      <c r="EV37" s="374">
        <v>41095645.269999996</v>
      </c>
      <c r="EW37" s="374">
        <v>23614224.689999998</v>
      </c>
      <c r="EX37" s="374">
        <v>17595904.579999998</v>
      </c>
      <c r="EY37" s="391">
        <f>SUM(EM37:EX37)</f>
        <v>283210167.03999996</v>
      </c>
      <c r="EZ37" s="164"/>
    </row>
    <row r="38" spans="1:156" ht="18.75" customHeight="1">
      <c r="B38" s="320" t="s">
        <v>300</v>
      </c>
      <c r="C38" s="320" t="s">
        <v>1087</v>
      </c>
      <c r="D38" s="320"/>
      <c r="E38" s="185"/>
      <c r="F38" s="205" t="s">
        <v>1179</v>
      </c>
      <c r="G38" s="205"/>
      <c r="H38" s="373">
        <v>0</v>
      </c>
      <c r="I38" s="374">
        <v>0</v>
      </c>
      <c r="J38" s="374">
        <v>0</v>
      </c>
      <c r="K38" s="374">
        <v>0</v>
      </c>
      <c r="L38" s="374">
        <v>0</v>
      </c>
      <c r="M38" s="374">
        <v>0</v>
      </c>
      <c r="N38" s="374">
        <v>0</v>
      </c>
      <c r="O38" s="374">
        <v>0</v>
      </c>
      <c r="P38" s="374">
        <v>0</v>
      </c>
      <c r="Q38" s="374">
        <v>0</v>
      </c>
      <c r="R38" s="374">
        <v>0</v>
      </c>
      <c r="S38" s="374">
        <v>217007523.47903994</v>
      </c>
      <c r="T38" s="392">
        <f t="shared" si="103"/>
        <v>217007523.47903994</v>
      </c>
      <c r="U38" s="378">
        <f t="shared" si="104"/>
        <v>72951822.029039949</v>
      </c>
      <c r="V38" s="165">
        <f t="shared" si="105"/>
        <v>0.50641398635902413</v>
      </c>
      <c r="W38" s="949"/>
      <c r="X38" s="373">
        <v>25664997.760000002</v>
      </c>
      <c r="Y38" s="374">
        <v>11234404.800000001</v>
      </c>
      <c r="Z38" s="374">
        <v>3011778.81</v>
      </c>
      <c r="AA38" s="374">
        <v>3014222.4</v>
      </c>
      <c r="AB38" s="374">
        <v>0</v>
      </c>
      <c r="AC38" s="374">
        <v>6421896.54</v>
      </c>
      <c r="AD38" s="374">
        <v>17376293.699999999</v>
      </c>
      <c r="AE38" s="374">
        <v>46688501.75</v>
      </c>
      <c r="AF38" s="374">
        <v>29319319.93</v>
      </c>
      <c r="AG38" s="374">
        <v>-8529037.9699999988</v>
      </c>
      <c r="AH38" s="374">
        <v>5978003.1399999997</v>
      </c>
      <c r="AI38" s="374">
        <v>3875320.59</v>
      </c>
      <c r="AJ38" s="392">
        <f>SUM(X38:AI38)</f>
        <v>144055701.44999999</v>
      </c>
      <c r="AK38" s="949"/>
      <c r="AL38" s="373">
        <v>0</v>
      </c>
      <c r="AM38" s="374">
        <v>0</v>
      </c>
      <c r="AN38" s="374">
        <v>0</v>
      </c>
      <c r="AO38" s="374">
        <v>0</v>
      </c>
      <c r="AP38" s="374">
        <v>0</v>
      </c>
      <c r="AQ38" s="374">
        <v>0</v>
      </c>
      <c r="AR38" s="374">
        <v>0</v>
      </c>
      <c r="AS38" s="374">
        <v>0</v>
      </c>
      <c r="AT38" s="374">
        <v>0</v>
      </c>
      <c r="AU38" s="374">
        <v>0</v>
      </c>
      <c r="AV38" s="374">
        <v>0</v>
      </c>
      <c r="AW38" s="374">
        <v>229307624.64000002</v>
      </c>
      <c r="AX38" s="392">
        <f t="shared" si="107"/>
        <v>229307624.64000002</v>
      </c>
      <c r="AY38" s="378">
        <f t="shared" si="108"/>
        <v>79938401.210000008</v>
      </c>
      <c r="AZ38" s="165">
        <f t="shared" si="109"/>
        <v>0.53517317272163578</v>
      </c>
      <c r="BA38" s="949"/>
      <c r="BB38" s="373">
        <v>0</v>
      </c>
      <c r="BC38" s="374">
        <v>0</v>
      </c>
      <c r="BD38" s="374">
        <v>0</v>
      </c>
      <c r="BE38" s="374">
        <v>0</v>
      </c>
      <c r="BF38" s="374">
        <v>0</v>
      </c>
      <c r="BG38" s="374">
        <v>4239335.92</v>
      </c>
      <c r="BH38" s="374">
        <v>4165668.23</v>
      </c>
      <c r="BI38" s="374">
        <v>23407794.77</v>
      </c>
      <c r="BJ38" s="374">
        <v>26363510.059999999</v>
      </c>
      <c r="BK38" s="374">
        <v>48001417.149999999</v>
      </c>
      <c r="BL38" s="374">
        <v>29870107.609999999</v>
      </c>
      <c r="BM38" s="374">
        <v>13321389.689999999</v>
      </c>
      <c r="BN38" s="392">
        <f>SUM(BB38:BM38)</f>
        <v>149369223.43000001</v>
      </c>
      <c r="BO38" s="949"/>
      <c r="BP38" s="373">
        <v>0</v>
      </c>
      <c r="BQ38" s="374">
        <v>0</v>
      </c>
      <c r="BR38" s="374">
        <v>2309989.92</v>
      </c>
      <c r="BS38" s="374">
        <v>0</v>
      </c>
      <c r="BT38" s="374">
        <v>16705377.024</v>
      </c>
      <c r="BU38" s="374">
        <v>31731486.335999999</v>
      </c>
      <c r="BV38" s="374">
        <v>8714270.4000000004</v>
      </c>
      <c r="BW38" s="374">
        <v>37402215.167999998</v>
      </c>
      <c r="BX38" s="374">
        <v>25975346.112</v>
      </c>
      <c r="BY38" s="374">
        <v>19736327.232000001</v>
      </c>
      <c r="BZ38" s="374">
        <v>0</v>
      </c>
      <c r="CA38" s="374">
        <v>42613511.527999997</v>
      </c>
      <c r="CB38" s="392">
        <f t="shared" si="111"/>
        <v>185188523.72</v>
      </c>
      <c r="CC38" s="378">
        <f t="shared" si="112"/>
        <v>-35819300.289999992</v>
      </c>
      <c r="CD38" s="165">
        <f t="shared" si="113"/>
        <v>-0.19342073455997627</v>
      </c>
      <c r="CE38" s="205"/>
      <c r="CF38" s="373">
        <v>7729892.54</v>
      </c>
      <c r="CG38" s="374">
        <v>14156543.49</v>
      </c>
      <c r="CH38" s="374">
        <v>9932193.7300000004</v>
      </c>
      <c r="CI38" s="374">
        <v>5158290.07</v>
      </c>
      <c r="CJ38" s="374">
        <v>22500280.940000001</v>
      </c>
      <c r="CK38" s="374">
        <v>5278673.05</v>
      </c>
      <c r="CL38" s="374">
        <v>59011134.509999998</v>
      </c>
      <c r="CM38" s="374">
        <v>18834065.739999998</v>
      </c>
      <c r="CN38" s="374">
        <v>2635366.85</v>
      </c>
      <c r="CO38" s="374">
        <v>15065425.32</v>
      </c>
      <c r="CP38" s="374">
        <v>34008349.869999997</v>
      </c>
      <c r="CQ38" s="374">
        <v>21665424.850000001</v>
      </c>
      <c r="CR38" s="380">
        <v>0</v>
      </c>
      <c r="CS38" s="392">
        <f t="shared" si="114"/>
        <v>215975640.95999998</v>
      </c>
      <c r="CT38" s="378">
        <f t="shared" si="115"/>
        <v>-66606417.529999971</v>
      </c>
      <c r="CU38" s="165">
        <f t="shared" si="116"/>
        <v>-0.30839782317088199</v>
      </c>
      <c r="CV38" s="317"/>
      <c r="CW38" s="373">
        <v>20868812.209999997</v>
      </c>
      <c r="CX38" s="374">
        <v>8211577.7400000002</v>
      </c>
      <c r="CY38" s="374">
        <v>8138102.4799999995</v>
      </c>
      <c r="CZ38" s="374">
        <v>7767884.6899999995</v>
      </c>
      <c r="DA38" s="374">
        <v>7912872.8000000007</v>
      </c>
      <c r="DB38" s="374">
        <v>11193028.539999999</v>
      </c>
      <c r="DC38" s="374">
        <v>14729185.299999999</v>
      </c>
      <c r="DD38" s="374">
        <v>29970506.93</v>
      </c>
      <c r="DE38" s="374">
        <v>31835232.920000002</v>
      </c>
      <c r="DF38" s="374">
        <v>9734371.9900000002</v>
      </c>
      <c r="DG38" s="374">
        <v>15412901.83</v>
      </c>
      <c r="DH38" s="374">
        <v>9120369.5099999998</v>
      </c>
      <c r="DI38" s="392">
        <f t="shared" si="117"/>
        <v>174894846.94000003</v>
      </c>
      <c r="DJ38" s="317"/>
      <c r="DK38" s="373">
        <v>0</v>
      </c>
      <c r="DL38" s="374">
        <v>7472763.4100000001</v>
      </c>
      <c r="DM38" s="374">
        <v>12029750.66</v>
      </c>
      <c r="DN38" s="374">
        <v>7769518.0099999998</v>
      </c>
      <c r="DO38" s="374">
        <v>9048585.7400000002</v>
      </c>
      <c r="DP38" s="374">
        <v>19082371.870000001</v>
      </c>
      <c r="DQ38" s="374">
        <v>24880332.629999999</v>
      </c>
      <c r="DR38" s="374">
        <v>13292079.539999999</v>
      </c>
      <c r="DS38" s="374">
        <v>18390355.879999999</v>
      </c>
      <c r="DT38" s="374">
        <v>21798009.48</v>
      </c>
      <c r="DU38" s="374">
        <v>0</v>
      </c>
      <c r="DV38" s="374">
        <v>11565247.439999999</v>
      </c>
      <c r="DW38" s="392">
        <f t="shared" si="118"/>
        <v>145329014.66</v>
      </c>
      <c r="DY38" s="373">
        <v>0</v>
      </c>
      <c r="DZ38" s="374">
        <v>12537327.6</v>
      </c>
      <c r="EA38" s="374">
        <v>0</v>
      </c>
      <c r="EB38" s="374">
        <v>6516255.0399999991</v>
      </c>
      <c r="EC38" s="374">
        <v>13991165.870000001</v>
      </c>
      <c r="ED38" s="374">
        <v>16153097.229999999</v>
      </c>
      <c r="EE38" s="374">
        <v>18052679.5</v>
      </c>
      <c r="EF38" s="374">
        <v>17743978.390000001</v>
      </c>
      <c r="EG38" s="374">
        <v>6934489.7000000002</v>
      </c>
      <c r="EH38" s="374">
        <v>13128677.749999998</v>
      </c>
      <c r="EI38" s="374">
        <v>8338873.8499999996</v>
      </c>
      <c r="EJ38" s="374">
        <v>8612129.1099999994</v>
      </c>
      <c r="EK38" s="391">
        <f t="shared" si="119"/>
        <v>122008674.04000001</v>
      </c>
      <c r="EL38" s="164"/>
      <c r="EM38" s="373">
        <v>0</v>
      </c>
      <c r="EN38" s="374">
        <v>8848388.1300000008</v>
      </c>
      <c r="EO38" s="374">
        <v>7987393.5599999996</v>
      </c>
      <c r="EP38" s="374">
        <v>0</v>
      </c>
      <c r="EQ38" s="374">
        <v>11552440.440000001</v>
      </c>
      <c r="ER38" s="374">
        <v>17666746.859999999</v>
      </c>
      <c r="ES38" s="374">
        <v>18319743.120000001</v>
      </c>
      <c r="ET38" s="374">
        <v>17811526.48</v>
      </c>
      <c r="EU38" s="374">
        <v>0</v>
      </c>
      <c r="EV38" s="374">
        <v>15767869.58</v>
      </c>
      <c r="EW38" s="374">
        <v>13394187.15</v>
      </c>
      <c r="EX38" s="374">
        <v>9483546.4199999999</v>
      </c>
      <c r="EY38" s="391">
        <f>SUM(EM38:EX38)</f>
        <v>120831841.74000001</v>
      </c>
      <c r="EZ38" s="164"/>
    </row>
    <row r="39" spans="1:156" ht="18.75" customHeight="1">
      <c r="B39" s="320" t="s">
        <v>1183</v>
      </c>
      <c r="C39" s="320" t="s">
        <v>1086</v>
      </c>
      <c r="D39" s="320"/>
      <c r="E39" s="185"/>
      <c r="F39" s="205" t="s">
        <v>1180</v>
      </c>
      <c r="G39" s="205"/>
      <c r="H39" s="373">
        <v>0</v>
      </c>
      <c r="I39" s="374">
        <v>0</v>
      </c>
      <c r="J39" s="374">
        <v>0</v>
      </c>
      <c r="K39" s="374">
        <v>0</v>
      </c>
      <c r="L39" s="374">
        <v>0</v>
      </c>
      <c r="M39" s="374">
        <v>0</v>
      </c>
      <c r="N39" s="374">
        <v>0</v>
      </c>
      <c r="O39" s="374">
        <v>0</v>
      </c>
      <c r="P39" s="374">
        <v>0</v>
      </c>
      <c r="Q39" s="374">
        <v>0</v>
      </c>
      <c r="R39" s="374">
        <v>0</v>
      </c>
      <c r="S39" s="374">
        <v>1500000</v>
      </c>
      <c r="T39" s="392">
        <f t="shared" si="103"/>
        <v>1500000</v>
      </c>
      <c r="U39" s="378">
        <f t="shared" si="104"/>
        <v>1500000</v>
      </c>
      <c r="V39" s="165" t="e">
        <f t="shared" si="105"/>
        <v>#DIV/0!</v>
      </c>
      <c r="W39" s="804"/>
      <c r="X39" s="373">
        <v>0</v>
      </c>
      <c r="Y39" s="374">
        <v>0</v>
      </c>
      <c r="Z39" s="374">
        <v>0</v>
      </c>
      <c r="AA39" s="374">
        <v>0</v>
      </c>
      <c r="AB39" s="374">
        <v>0</v>
      </c>
      <c r="AC39" s="374">
        <v>0</v>
      </c>
      <c r="AD39" s="374">
        <v>0</v>
      </c>
      <c r="AE39" s="374">
        <v>0</v>
      </c>
      <c r="AF39" s="374">
        <v>0</v>
      </c>
      <c r="AG39" s="374">
        <v>0</v>
      </c>
      <c r="AH39" s="374">
        <v>0</v>
      </c>
      <c r="AI39" s="374">
        <v>0</v>
      </c>
      <c r="AJ39" s="392">
        <f t="shared" ref="AJ39:AJ42" si="120">SUM(X39:AI39)</f>
        <v>0</v>
      </c>
      <c r="AK39" s="804"/>
      <c r="AL39" s="373">
        <v>0</v>
      </c>
      <c r="AM39" s="374">
        <v>0</v>
      </c>
      <c r="AN39" s="374">
        <v>0</v>
      </c>
      <c r="AO39" s="374">
        <v>0</v>
      </c>
      <c r="AP39" s="374">
        <v>0</v>
      </c>
      <c r="AQ39" s="374">
        <v>0</v>
      </c>
      <c r="AR39" s="374">
        <v>0</v>
      </c>
      <c r="AS39" s="374">
        <v>0</v>
      </c>
      <c r="AT39" s="374">
        <v>0</v>
      </c>
      <c r="AU39" s="374">
        <v>0</v>
      </c>
      <c r="AV39" s="374">
        <v>0</v>
      </c>
      <c r="AW39" s="374">
        <v>1612764</v>
      </c>
      <c r="AX39" s="392">
        <f t="shared" si="107"/>
        <v>1612764</v>
      </c>
      <c r="AY39" s="378">
        <f t="shared" si="108"/>
        <v>-868417.08999999985</v>
      </c>
      <c r="AZ39" s="165">
        <f t="shared" si="109"/>
        <v>-0.35000149465108166</v>
      </c>
      <c r="BA39" s="804"/>
      <c r="BB39" s="373">
        <v>0</v>
      </c>
      <c r="BC39" s="374">
        <v>0</v>
      </c>
      <c r="BD39" s="374">
        <v>805089.25</v>
      </c>
      <c r="BE39" s="374">
        <v>0</v>
      </c>
      <c r="BF39" s="374">
        <v>0</v>
      </c>
      <c r="BG39" s="374">
        <v>0</v>
      </c>
      <c r="BH39" s="374">
        <v>0</v>
      </c>
      <c r="BI39" s="374">
        <v>0</v>
      </c>
      <c r="BJ39" s="374">
        <v>0</v>
      </c>
      <c r="BK39" s="374">
        <v>0</v>
      </c>
      <c r="BL39" s="374">
        <v>0</v>
      </c>
      <c r="BM39" s="374">
        <v>1676091.84</v>
      </c>
      <c r="BN39" s="392">
        <f t="shared" si="110"/>
        <v>2481181.09</v>
      </c>
      <c r="BO39" s="804"/>
      <c r="BP39" s="373">
        <v>0</v>
      </c>
      <c r="BQ39" s="374">
        <v>0</v>
      </c>
      <c r="BR39" s="374">
        <v>858032</v>
      </c>
      <c r="BS39" s="374">
        <v>0</v>
      </c>
      <c r="BT39" s="374">
        <v>0</v>
      </c>
      <c r="BU39" s="374">
        <v>0</v>
      </c>
      <c r="BV39" s="374">
        <v>0</v>
      </c>
      <c r="BW39" s="374">
        <v>0</v>
      </c>
      <c r="BX39" s="374">
        <v>0</v>
      </c>
      <c r="BY39" s="374">
        <v>0</v>
      </c>
      <c r="BZ39" s="374">
        <v>0</v>
      </c>
      <c r="CA39" s="374">
        <v>4026690</v>
      </c>
      <c r="CB39" s="392">
        <f t="shared" si="111"/>
        <v>4884722</v>
      </c>
      <c r="CC39" s="378">
        <f t="shared" si="112"/>
        <v>-2403540.91</v>
      </c>
      <c r="CD39" s="165">
        <f t="shared" si="113"/>
        <v>-0.49205275346273547</v>
      </c>
      <c r="CE39" s="205"/>
      <c r="CF39" s="373">
        <v>0</v>
      </c>
      <c r="CG39" s="374">
        <v>0</v>
      </c>
      <c r="CH39" s="374">
        <v>818995.62</v>
      </c>
      <c r="CI39" s="374">
        <v>0</v>
      </c>
      <c r="CJ39" s="374">
        <v>0</v>
      </c>
      <c r="CK39" s="374">
        <v>0</v>
      </c>
      <c r="CL39" s="374">
        <v>0</v>
      </c>
      <c r="CM39" s="374">
        <v>0</v>
      </c>
      <c r="CN39" s="374">
        <v>0</v>
      </c>
      <c r="CO39" s="374">
        <v>0</v>
      </c>
      <c r="CP39" s="374">
        <v>0</v>
      </c>
      <c r="CQ39" s="374">
        <v>3406417.87</v>
      </c>
      <c r="CR39" s="380">
        <v>0</v>
      </c>
      <c r="CS39" s="392">
        <f t="shared" si="114"/>
        <v>4225413.49</v>
      </c>
      <c r="CT39" s="378">
        <f t="shared" si="115"/>
        <v>-1744232.4000000004</v>
      </c>
      <c r="CU39" s="165">
        <f t="shared" si="116"/>
        <v>-0.41279567174383219</v>
      </c>
      <c r="CV39" s="317"/>
      <c r="CW39" s="373">
        <v>0</v>
      </c>
      <c r="CX39" s="374">
        <v>0</v>
      </c>
      <c r="CY39" s="374">
        <v>0</v>
      </c>
      <c r="CZ39" s="374">
        <v>0</v>
      </c>
      <c r="DA39" s="374">
        <v>533918.35</v>
      </c>
      <c r="DB39" s="374">
        <v>0</v>
      </c>
      <c r="DC39" s="374">
        <v>1988126.2100000002</v>
      </c>
      <c r="DD39" s="374">
        <v>0</v>
      </c>
      <c r="DE39" s="374">
        <v>1212992.82</v>
      </c>
      <c r="DF39" s="374">
        <v>0</v>
      </c>
      <c r="DG39" s="374">
        <v>0</v>
      </c>
      <c r="DH39" s="374">
        <v>1953371.54</v>
      </c>
      <c r="DI39" s="392">
        <f t="shared" si="117"/>
        <v>5688408.9199999999</v>
      </c>
      <c r="DJ39" s="317"/>
      <c r="DK39" s="373">
        <v>0</v>
      </c>
      <c r="DL39" s="374">
        <v>563377.31999999995</v>
      </c>
      <c r="DM39" s="374">
        <v>0</v>
      </c>
      <c r="DN39" s="374">
        <v>1671836.4</v>
      </c>
      <c r="DO39" s="374">
        <v>0</v>
      </c>
      <c r="DP39" s="374">
        <v>0</v>
      </c>
      <c r="DQ39" s="374">
        <v>0</v>
      </c>
      <c r="DR39" s="374">
        <v>0</v>
      </c>
      <c r="DS39" s="374">
        <v>0</v>
      </c>
      <c r="DT39" s="374">
        <v>0</v>
      </c>
      <c r="DU39" s="374">
        <v>0</v>
      </c>
      <c r="DV39" s="374">
        <v>1160446.3999999999</v>
      </c>
      <c r="DW39" s="392">
        <f t="shared" si="118"/>
        <v>3395660.1199999996</v>
      </c>
      <c r="DY39" s="373">
        <v>0</v>
      </c>
      <c r="DZ39" s="374">
        <v>0</v>
      </c>
      <c r="EA39" s="374">
        <v>0</v>
      </c>
      <c r="EB39" s="374">
        <v>0</v>
      </c>
      <c r="EC39" s="374">
        <v>2398248.2199999997</v>
      </c>
      <c r="ED39" s="374">
        <v>0</v>
      </c>
      <c r="EE39" s="374">
        <v>0</v>
      </c>
      <c r="EF39" s="374">
        <v>0</v>
      </c>
      <c r="EG39" s="374">
        <v>0</v>
      </c>
      <c r="EH39" s="374">
        <v>0</v>
      </c>
      <c r="EI39" s="374">
        <v>0</v>
      </c>
      <c r="EJ39" s="374">
        <v>1294968.4000000001</v>
      </c>
      <c r="EK39" s="391">
        <f t="shared" si="119"/>
        <v>3693216.62</v>
      </c>
      <c r="EL39" s="164"/>
      <c r="EM39" s="373">
        <v>593030.6</v>
      </c>
      <c r="EN39" s="374">
        <v>0</v>
      </c>
      <c r="EO39" s="374">
        <v>1007825.28</v>
      </c>
      <c r="EP39" s="374">
        <v>0</v>
      </c>
      <c r="EQ39" s="374">
        <v>0</v>
      </c>
      <c r="ER39" s="374">
        <v>1153431.3999999999</v>
      </c>
      <c r="ES39" s="374">
        <v>0</v>
      </c>
      <c r="ET39" s="374">
        <v>0</v>
      </c>
      <c r="EU39" s="374">
        <v>0</v>
      </c>
      <c r="EV39" s="374">
        <v>0</v>
      </c>
      <c r="EW39" s="374">
        <v>543452.30000000005</v>
      </c>
      <c r="EX39" s="374">
        <v>0</v>
      </c>
      <c r="EY39" s="391">
        <f>SUM(EM39:EX39)</f>
        <v>3297739.58</v>
      </c>
      <c r="EZ39" s="164"/>
    </row>
    <row r="40" spans="1:156" s="155" customFormat="1" ht="18.75" customHeight="1">
      <c r="B40" s="171"/>
      <c r="C40" s="171"/>
      <c r="D40" s="171"/>
      <c r="F40" s="166" t="s">
        <v>1181</v>
      </c>
      <c r="G40" s="166"/>
      <c r="H40" s="379">
        <f t="shared" ref="H40:R40" si="121">SUM(H37:H39)</f>
        <v>0</v>
      </c>
      <c r="I40" s="379">
        <f t="shared" si="121"/>
        <v>0</v>
      </c>
      <c r="J40" s="379">
        <f t="shared" si="121"/>
        <v>0</v>
      </c>
      <c r="K40" s="379">
        <f t="shared" si="121"/>
        <v>0</v>
      </c>
      <c r="L40" s="379">
        <f t="shared" si="121"/>
        <v>0</v>
      </c>
      <c r="M40" s="379">
        <f t="shared" si="121"/>
        <v>0</v>
      </c>
      <c r="N40" s="717">
        <f t="shared" si="121"/>
        <v>0</v>
      </c>
      <c r="O40" s="717">
        <f t="shared" si="121"/>
        <v>0</v>
      </c>
      <c r="P40" s="717">
        <f t="shared" si="121"/>
        <v>0</v>
      </c>
      <c r="Q40" s="717">
        <f t="shared" si="121"/>
        <v>0</v>
      </c>
      <c r="R40" s="717">
        <f t="shared" si="121"/>
        <v>0</v>
      </c>
      <c r="S40" s="717">
        <f>SUM(S37:S39)</f>
        <v>405151172.39955473</v>
      </c>
      <c r="T40" s="375">
        <f t="shared" si="103"/>
        <v>405151172.39955473</v>
      </c>
      <c r="U40" s="378">
        <f t="shared" si="104"/>
        <v>37890057.639554739</v>
      </c>
      <c r="V40" s="165">
        <f t="shared" si="105"/>
        <v>0.10316926055271428</v>
      </c>
      <c r="W40" s="803"/>
      <c r="X40" s="379">
        <f t="shared" ref="X40:AI40" si="122">SUM(X37:X39)</f>
        <v>30224094.450000003</v>
      </c>
      <c r="Y40" s="379">
        <f t="shared" si="122"/>
        <v>22072070.219999999</v>
      </c>
      <c r="Z40" s="379">
        <f t="shared" si="122"/>
        <v>14470910.74</v>
      </c>
      <c r="AA40" s="379">
        <f t="shared" si="122"/>
        <v>8686870.0399999991</v>
      </c>
      <c r="AB40" s="379">
        <f t="shared" si="122"/>
        <v>9100812.9299999997</v>
      </c>
      <c r="AC40" s="379">
        <f t="shared" si="122"/>
        <v>18211373.620000001</v>
      </c>
      <c r="AD40" s="717">
        <f t="shared" si="122"/>
        <v>27556584.640000001</v>
      </c>
      <c r="AE40" s="717">
        <f t="shared" si="122"/>
        <v>65259688.18</v>
      </c>
      <c r="AF40" s="717">
        <f t="shared" si="122"/>
        <v>58075738.93</v>
      </c>
      <c r="AG40" s="717">
        <f t="shared" si="122"/>
        <v>8288253.6400000006</v>
      </c>
      <c r="AH40" s="717">
        <f t="shared" si="122"/>
        <v>51353139.350000001</v>
      </c>
      <c r="AI40" s="717">
        <f t="shared" si="122"/>
        <v>53961578.019999996</v>
      </c>
      <c r="AJ40" s="375">
        <f t="shared" si="120"/>
        <v>367261114.75999999</v>
      </c>
      <c r="AK40" s="803"/>
      <c r="AL40" s="379">
        <f t="shared" ref="AL40:AV40" si="123">SUM(AL37:AL39)</f>
        <v>0</v>
      </c>
      <c r="AM40" s="379">
        <f t="shared" si="123"/>
        <v>0</v>
      </c>
      <c r="AN40" s="379">
        <f t="shared" si="123"/>
        <v>0</v>
      </c>
      <c r="AO40" s="379">
        <f t="shared" si="123"/>
        <v>0</v>
      </c>
      <c r="AP40" s="379">
        <f t="shared" si="123"/>
        <v>0</v>
      </c>
      <c r="AQ40" s="379">
        <f t="shared" si="123"/>
        <v>0</v>
      </c>
      <c r="AR40" s="717">
        <f t="shared" si="123"/>
        <v>0</v>
      </c>
      <c r="AS40" s="717">
        <f t="shared" si="123"/>
        <v>0</v>
      </c>
      <c r="AT40" s="717">
        <f t="shared" si="123"/>
        <v>0</v>
      </c>
      <c r="AU40" s="717">
        <f t="shared" si="123"/>
        <v>0</v>
      </c>
      <c r="AV40" s="717">
        <f t="shared" si="123"/>
        <v>0</v>
      </c>
      <c r="AW40" s="717">
        <f>SUM(AW37:AW39)</f>
        <v>410430395.45484912</v>
      </c>
      <c r="AX40" s="375">
        <f t="shared" si="107"/>
        <v>410430395.45484912</v>
      </c>
      <c r="AY40" s="378">
        <f t="shared" si="108"/>
        <v>144959663.60484913</v>
      </c>
      <c r="AZ40" s="165">
        <f t="shared" si="109"/>
        <v>0.546047628658199</v>
      </c>
      <c r="BA40" s="803"/>
      <c r="BB40" s="379">
        <f t="shared" ref="BB40:BM40" si="124">SUM(BB37:BB39)</f>
        <v>3110774.39</v>
      </c>
      <c r="BC40" s="379">
        <f t="shared" si="124"/>
        <v>3466477.62</v>
      </c>
      <c r="BD40" s="379">
        <f t="shared" si="124"/>
        <v>11421718.34</v>
      </c>
      <c r="BE40" s="379">
        <f t="shared" si="124"/>
        <v>4690713.2300000004</v>
      </c>
      <c r="BF40" s="379">
        <f t="shared" si="124"/>
        <v>6645918.9100000001</v>
      </c>
      <c r="BG40" s="379">
        <f t="shared" si="124"/>
        <v>10197150.550000001</v>
      </c>
      <c r="BH40" s="717">
        <f t="shared" si="124"/>
        <v>14095828.950000001</v>
      </c>
      <c r="BI40" s="717">
        <f t="shared" si="124"/>
        <v>37543499.980000004</v>
      </c>
      <c r="BJ40" s="717">
        <f t="shared" si="124"/>
        <v>46879590.670000002</v>
      </c>
      <c r="BK40" s="717">
        <f t="shared" si="124"/>
        <v>63371314.799999997</v>
      </c>
      <c r="BL40" s="717">
        <f t="shared" si="124"/>
        <v>36773761.219999999</v>
      </c>
      <c r="BM40" s="717">
        <f t="shared" si="124"/>
        <v>27273983.190000001</v>
      </c>
      <c r="BN40" s="375">
        <f t="shared" si="110"/>
        <v>265470731.84999999</v>
      </c>
      <c r="BO40" s="803"/>
      <c r="BP40" s="379">
        <f t="shared" ref="BP40:CA40" si="125">SUM(BP37:BP39)</f>
        <v>3369839.0381650534</v>
      </c>
      <c r="BQ40" s="379">
        <f t="shared" si="125"/>
        <v>3912450.2290579188</v>
      </c>
      <c r="BR40" s="379">
        <f t="shared" si="125"/>
        <v>14305400.99131602</v>
      </c>
      <c r="BS40" s="379">
        <f t="shared" si="125"/>
        <v>9139394.4634226039</v>
      </c>
      <c r="BT40" s="379">
        <f t="shared" si="125"/>
        <v>30095691.437003393</v>
      </c>
      <c r="BU40" s="379">
        <f t="shared" si="125"/>
        <v>60787803.134532541</v>
      </c>
      <c r="BV40" s="717">
        <f t="shared" si="125"/>
        <v>22190847.495295435</v>
      </c>
      <c r="BW40" s="717">
        <f t="shared" si="125"/>
        <v>57547074.47843495</v>
      </c>
      <c r="BX40" s="717">
        <f t="shared" si="125"/>
        <v>70543734.716779411</v>
      </c>
      <c r="BY40" s="717">
        <f t="shared" si="125"/>
        <v>50190638.453409113</v>
      </c>
      <c r="BZ40" s="717">
        <f t="shared" si="125"/>
        <v>20885561.273941297</v>
      </c>
      <c r="CA40" s="717">
        <f t="shared" si="125"/>
        <v>77874243.349169105</v>
      </c>
      <c r="CB40" s="375">
        <f t="shared" si="111"/>
        <v>420842679.06052685</v>
      </c>
      <c r="CC40" s="378">
        <f t="shared" si="112"/>
        <v>-155371947.21052685</v>
      </c>
      <c r="CD40" s="165">
        <f t="shared" si="113"/>
        <v>-0.36919246773491049</v>
      </c>
      <c r="CE40" s="166"/>
      <c r="CF40" s="379">
        <f t="shared" ref="CF40:CR40" si="126">SUM(CF37:CF39)</f>
        <v>20894744.43</v>
      </c>
      <c r="CG40" s="379">
        <f t="shared" si="126"/>
        <v>38795959.560000002</v>
      </c>
      <c r="CH40" s="379">
        <f t="shared" si="126"/>
        <v>39851818.359999999</v>
      </c>
      <c r="CI40" s="379">
        <f t="shared" si="126"/>
        <v>22108883.539999999</v>
      </c>
      <c r="CJ40" s="379">
        <f t="shared" si="126"/>
        <v>38050437.870000005</v>
      </c>
      <c r="CK40" s="379">
        <f t="shared" si="126"/>
        <v>34815638.879999995</v>
      </c>
      <c r="CL40" s="717">
        <f t="shared" si="126"/>
        <v>68482904.450000003</v>
      </c>
      <c r="CM40" s="717">
        <f t="shared" si="126"/>
        <v>44196093.119999997</v>
      </c>
      <c r="CN40" s="717">
        <f t="shared" si="126"/>
        <v>41173518.350000001</v>
      </c>
      <c r="CO40" s="717">
        <f t="shared" si="126"/>
        <v>42143786.390000001</v>
      </c>
      <c r="CP40" s="717">
        <f t="shared" si="126"/>
        <v>58008280.339999996</v>
      </c>
      <c r="CQ40" s="717">
        <f t="shared" si="126"/>
        <v>40488803.68</v>
      </c>
      <c r="CR40" s="382">
        <f t="shared" si="126"/>
        <v>0</v>
      </c>
      <c r="CS40" s="375">
        <f t="shared" si="114"/>
        <v>489010868.96999997</v>
      </c>
      <c r="CT40" s="378">
        <f t="shared" si="115"/>
        <v>-223540137.11999997</v>
      </c>
      <c r="CU40" s="165">
        <f t="shared" si="116"/>
        <v>-0.45712713418996381</v>
      </c>
      <c r="CV40" s="318"/>
      <c r="CW40" s="379">
        <f t="shared" ref="CW40:DH40" si="127">SUM(CW37:CW39)</f>
        <v>40757287.329999998</v>
      </c>
      <c r="CX40" s="379">
        <f t="shared" si="127"/>
        <v>30700700.719999999</v>
      </c>
      <c r="CY40" s="379">
        <f t="shared" si="127"/>
        <v>39509917.509999998</v>
      </c>
      <c r="CZ40" s="379">
        <f t="shared" si="127"/>
        <v>28446157.579999998</v>
      </c>
      <c r="DA40" s="379">
        <f t="shared" si="127"/>
        <v>33799705.579999998</v>
      </c>
      <c r="DB40" s="379">
        <f t="shared" si="127"/>
        <v>38708638.109999999</v>
      </c>
      <c r="DC40" s="717">
        <f t="shared" si="127"/>
        <v>33949883.390000001</v>
      </c>
      <c r="DD40" s="717">
        <f t="shared" si="127"/>
        <v>54757476.900000006</v>
      </c>
      <c r="DE40" s="717">
        <f t="shared" si="127"/>
        <v>75972403.560000002</v>
      </c>
      <c r="DF40" s="717">
        <f t="shared" si="127"/>
        <v>42302216.829999998</v>
      </c>
      <c r="DG40" s="717">
        <f t="shared" si="127"/>
        <v>34292059.240000002</v>
      </c>
      <c r="DH40" s="717">
        <f t="shared" si="127"/>
        <v>47174470.369999997</v>
      </c>
      <c r="DI40" s="375">
        <f t="shared" si="117"/>
        <v>500370917.12</v>
      </c>
      <c r="DJ40" s="318"/>
      <c r="DK40" s="379">
        <f t="shared" ref="DK40:DV40" si="128">SUM(DK37:DK39)</f>
        <v>18857845.800000001</v>
      </c>
      <c r="DL40" s="379">
        <f t="shared" si="128"/>
        <v>30666844.91</v>
      </c>
      <c r="DM40" s="379">
        <f t="shared" si="128"/>
        <v>44524978.899999999</v>
      </c>
      <c r="DN40" s="379">
        <f t="shared" si="128"/>
        <v>27205199.43</v>
      </c>
      <c r="DO40" s="379">
        <f t="shared" si="128"/>
        <v>37762284.450000003</v>
      </c>
      <c r="DP40" s="379">
        <f t="shared" si="128"/>
        <v>49856827.850000001</v>
      </c>
      <c r="DQ40" s="717">
        <f t="shared" si="128"/>
        <v>41856829.950000003</v>
      </c>
      <c r="DR40" s="717">
        <f t="shared" si="128"/>
        <v>36742285.840000004</v>
      </c>
      <c r="DS40" s="717">
        <f t="shared" si="128"/>
        <v>57099890.109999999</v>
      </c>
      <c r="DT40" s="717">
        <f t="shared" si="128"/>
        <v>56154052.379999995</v>
      </c>
      <c r="DU40" s="717">
        <f t="shared" si="128"/>
        <v>22323580.379999999</v>
      </c>
      <c r="DV40" s="717">
        <f t="shared" si="128"/>
        <v>41570131.960000001</v>
      </c>
      <c r="DW40" s="375">
        <f t="shared" si="118"/>
        <v>464620751.95999998</v>
      </c>
      <c r="DY40" s="379">
        <f t="shared" ref="DY40:EJ40" si="129">SUM(DY37:DY39)</f>
        <v>29698401.039999999</v>
      </c>
      <c r="DZ40" s="379">
        <f t="shared" si="129"/>
        <v>36717494.399999999</v>
      </c>
      <c r="EA40" s="379">
        <f t="shared" si="129"/>
        <v>19969829.09</v>
      </c>
      <c r="EB40" s="379">
        <f t="shared" si="129"/>
        <v>21229150.269999996</v>
      </c>
      <c r="EC40" s="379">
        <f t="shared" si="129"/>
        <v>49995870.659999996</v>
      </c>
      <c r="ED40" s="379">
        <f t="shared" si="129"/>
        <v>38548762.219999999</v>
      </c>
      <c r="EE40" s="717">
        <f t="shared" si="129"/>
        <v>33824377.259999998</v>
      </c>
      <c r="EF40" s="717">
        <f t="shared" si="129"/>
        <v>38148923.310000002</v>
      </c>
      <c r="EG40" s="717">
        <f t="shared" si="129"/>
        <v>42814633.650000006</v>
      </c>
      <c r="EH40" s="717">
        <f t="shared" si="129"/>
        <v>34898465.490000002</v>
      </c>
      <c r="EI40" s="717">
        <f t="shared" si="129"/>
        <v>30975836.18</v>
      </c>
      <c r="EJ40" s="717">
        <f t="shared" si="129"/>
        <v>44275629.069999993</v>
      </c>
      <c r="EK40" s="375">
        <f t="shared" si="119"/>
        <v>421097372.63999999</v>
      </c>
      <c r="EL40" s="168"/>
      <c r="EM40" s="379">
        <f t="shared" ref="EM40:EY40" si="130">SUM(EM37:EM39)</f>
        <v>38645887.830000006</v>
      </c>
      <c r="EN40" s="379">
        <f t="shared" si="130"/>
        <v>26438130.410000004</v>
      </c>
      <c r="EO40" s="379">
        <f t="shared" si="130"/>
        <v>23838991.579999998</v>
      </c>
      <c r="EP40" s="379">
        <f t="shared" si="130"/>
        <v>20986977.439999998</v>
      </c>
      <c r="EQ40" s="379">
        <f t="shared" si="130"/>
        <v>40442822.960000001</v>
      </c>
      <c r="ER40" s="379">
        <f t="shared" si="130"/>
        <v>35163941.309999995</v>
      </c>
      <c r="ES40" s="717">
        <f t="shared" si="130"/>
        <v>37280116.829999998</v>
      </c>
      <c r="ET40" s="717">
        <f t="shared" si="130"/>
        <v>36870261.269999996</v>
      </c>
      <c r="EU40" s="717">
        <f t="shared" si="130"/>
        <v>26177788.740000006</v>
      </c>
      <c r="EV40" s="717">
        <f t="shared" si="130"/>
        <v>56863514.849999994</v>
      </c>
      <c r="EW40" s="717">
        <f t="shared" si="130"/>
        <v>37551864.139999993</v>
      </c>
      <c r="EX40" s="717">
        <f t="shared" si="130"/>
        <v>27079451</v>
      </c>
      <c r="EY40" s="375">
        <f t="shared" si="130"/>
        <v>407339748.35999995</v>
      </c>
      <c r="EZ40" s="168"/>
    </row>
    <row r="41" spans="1:156" s="187" customFormat="1" ht="18.75" customHeight="1">
      <c r="B41" s="321" t="s">
        <v>1184</v>
      </c>
      <c r="C41" s="321" t="s">
        <v>372</v>
      </c>
      <c r="D41" s="321"/>
      <c r="F41" s="199" t="s">
        <v>372</v>
      </c>
      <c r="G41" s="199"/>
      <c r="H41" s="379">
        <v>0</v>
      </c>
      <c r="I41" s="379">
        <v>0</v>
      </c>
      <c r="J41" s="379">
        <v>0</v>
      </c>
      <c r="K41" s="379">
        <v>0</v>
      </c>
      <c r="L41" s="379">
        <v>0</v>
      </c>
      <c r="M41" s="379">
        <v>0</v>
      </c>
      <c r="N41" s="379">
        <v>0</v>
      </c>
      <c r="O41" s="717">
        <v>0</v>
      </c>
      <c r="P41" s="717">
        <v>0</v>
      </c>
      <c r="Q41" s="717">
        <v>0</v>
      </c>
      <c r="R41" s="717">
        <v>0</v>
      </c>
      <c r="S41" s="374">
        <v>12005464.572973959</v>
      </c>
      <c r="T41" s="375">
        <f t="shared" si="103"/>
        <v>12005464.572973959</v>
      </c>
      <c r="U41" s="378">
        <f t="shared" si="104"/>
        <v>-947343.99702603929</v>
      </c>
      <c r="V41" s="165">
        <f t="shared" si="105"/>
        <v>-7.3138114556883266E-2</v>
      </c>
      <c r="W41" s="922"/>
      <c r="X41" s="379">
        <v>144633.49</v>
      </c>
      <c r="Y41" s="379">
        <v>517841.48</v>
      </c>
      <c r="Z41" s="379">
        <v>627108.65</v>
      </c>
      <c r="AA41" s="379">
        <v>901558.72</v>
      </c>
      <c r="AB41" s="379">
        <v>799406.79</v>
      </c>
      <c r="AC41" s="379">
        <v>695759.86</v>
      </c>
      <c r="AD41" s="379">
        <v>1122762.02</v>
      </c>
      <c r="AE41" s="717">
        <v>1261439.6000000001</v>
      </c>
      <c r="AF41" s="717">
        <v>1692392.55</v>
      </c>
      <c r="AG41" s="717">
        <v>948569.52</v>
      </c>
      <c r="AH41" s="717">
        <v>2700200.78</v>
      </c>
      <c r="AI41" s="717">
        <v>1541135.11</v>
      </c>
      <c r="AJ41" s="375">
        <f t="shared" si="120"/>
        <v>12952808.569999998</v>
      </c>
      <c r="AK41" s="922"/>
      <c r="AL41" s="379">
        <v>0</v>
      </c>
      <c r="AM41" s="379">
        <v>0</v>
      </c>
      <c r="AN41" s="379">
        <v>0</v>
      </c>
      <c r="AO41" s="379">
        <v>0</v>
      </c>
      <c r="AP41" s="379">
        <v>0</v>
      </c>
      <c r="AQ41" s="379">
        <v>0</v>
      </c>
      <c r="AR41" s="379">
        <v>0</v>
      </c>
      <c r="AS41" s="717">
        <v>0</v>
      </c>
      <c r="AT41" s="717">
        <v>0</v>
      </c>
      <c r="AU41" s="717">
        <v>0</v>
      </c>
      <c r="AV41" s="717">
        <v>0</v>
      </c>
      <c r="AW41" s="374">
        <v>13956381.037140895</v>
      </c>
      <c r="AX41" s="375">
        <f t="shared" si="107"/>
        <v>13956381.037140895</v>
      </c>
      <c r="AY41" s="378">
        <f t="shared" si="108"/>
        <v>5640690.0671408949</v>
      </c>
      <c r="AZ41" s="165">
        <f t="shared" si="109"/>
        <v>0.67831886580327017</v>
      </c>
      <c r="BA41" s="922"/>
      <c r="BB41" s="379">
        <v>229548.96</v>
      </c>
      <c r="BC41" s="379">
        <v>507112.74</v>
      </c>
      <c r="BD41" s="379">
        <v>1479815.58</v>
      </c>
      <c r="BE41" s="379">
        <v>315083.03000000003</v>
      </c>
      <c r="BF41" s="379">
        <v>677804.61</v>
      </c>
      <c r="BG41" s="379">
        <v>776307.95</v>
      </c>
      <c r="BH41" s="379">
        <v>781476.29</v>
      </c>
      <c r="BI41" s="717">
        <v>731525.24</v>
      </c>
      <c r="BJ41" s="717">
        <v>1154398.8899999999</v>
      </c>
      <c r="BK41" s="717">
        <v>422037.33</v>
      </c>
      <c r="BL41" s="717">
        <v>338948.05</v>
      </c>
      <c r="BM41" s="717">
        <v>901632.3</v>
      </c>
      <c r="BN41" s="375">
        <f t="shared" si="110"/>
        <v>8315690.9699999997</v>
      </c>
      <c r="BO41" s="922"/>
      <c r="BP41" s="379">
        <v>669807.76000000013</v>
      </c>
      <c r="BQ41" s="379">
        <v>669807.76000000013</v>
      </c>
      <c r="BR41" s="379">
        <v>669807.76000000013</v>
      </c>
      <c r="BS41" s="379">
        <v>669807.76000000013</v>
      </c>
      <c r="BT41" s="379">
        <v>669807.76000000013</v>
      </c>
      <c r="BU41" s="379">
        <v>669807.76000000013</v>
      </c>
      <c r="BV41" s="379">
        <v>1004711.64</v>
      </c>
      <c r="BW41" s="717">
        <v>1004711.64</v>
      </c>
      <c r="BX41" s="717">
        <v>2679231.0400000005</v>
      </c>
      <c r="BY41" s="717">
        <v>1004711.64</v>
      </c>
      <c r="BZ41" s="717">
        <v>1004711.64</v>
      </c>
      <c r="CA41" s="717">
        <v>2679231.0400000005</v>
      </c>
      <c r="CB41" s="375">
        <f t="shared" si="111"/>
        <v>13396155.200000003</v>
      </c>
      <c r="CC41" s="378">
        <f t="shared" si="112"/>
        <v>-5080464.2300000032</v>
      </c>
      <c r="CD41" s="165">
        <f t="shared" si="113"/>
        <v>-0.37924793749776819</v>
      </c>
      <c r="CE41" s="199"/>
      <c r="CF41" s="379">
        <v>0</v>
      </c>
      <c r="CG41" s="379">
        <v>0</v>
      </c>
      <c r="CH41" s="379">
        <v>147621.28</v>
      </c>
      <c r="CI41" s="379">
        <v>373400.45</v>
      </c>
      <c r="CJ41" s="379">
        <v>557037.29</v>
      </c>
      <c r="CK41" s="379">
        <v>1249257.02</v>
      </c>
      <c r="CL41" s="379">
        <v>1688624.31</v>
      </c>
      <c r="CM41" s="717">
        <v>1090804.8799999999</v>
      </c>
      <c r="CN41" s="717">
        <v>527343.82999999996</v>
      </c>
      <c r="CO41" s="717">
        <v>1099795.76</v>
      </c>
      <c r="CP41" s="717">
        <v>1390882.14</v>
      </c>
      <c r="CQ41" s="717">
        <v>415811.37</v>
      </c>
      <c r="CR41" s="380">
        <v>0</v>
      </c>
      <c r="CS41" s="375">
        <v>0</v>
      </c>
      <c r="CT41" s="378">
        <f t="shared" si="115"/>
        <v>8315690.9699999997</v>
      </c>
      <c r="CU41" s="165" t="str">
        <f t="shared" si="116"/>
        <v>N/A</v>
      </c>
      <c r="CV41" s="202"/>
      <c r="CW41" s="379">
        <v>0</v>
      </c>
      <c r="CX41" s="379">
        <v>0</v>
      </c>
      <c r="CY41" s="379">
        <v>-0.01</v>
      </c>
      <c r="CZ41" s="379">
        <v>0</v>
      </c>
      <c r="DA41" s="379">
        <v>0</v>
      </c>
      <c r="DB41" s="379">
        <v>0</v>
      </c>
      <c r="DC41" s="379">
        <v>0</v>
      </c>
      <c r="DD41" s="717">
        <v>0</v>
      </c>
      <c r="DE41" s="717">
        <v>0</v>
      </c>
      <c r="DF41" s="717">
        <v>0</v>
      </c>
      <c r="DG41" s="717">
        <v>0</v>
      </c>
      <c r="DH41" s="717">
        <v>0</v>
      </c>
      <c r="DI41" s="375">
        <f t="shared" si="117"/>
        <v>-0.01</v>
      </c>
      <c r="DJ41" s="202"/>
      <c r="DK41" s="379">
        <v>-4242.96</v>
      </c>
      <c r="DL41" s="379">
        <v>360.84</v>
      </c>
      <c r="DM41" s="379">
        <v>351.82</v>
      </c>
      <c r="DN41" s="379">
        <v>1073.5</v>
      </c>
      <c r="DO41" s="379">
        <v>703.64</v>
      </c>
      <c r="DP41" s="379">
        <v>703.64</v>
      </c>
      <c r="DQ41" s="379">
        <v>0</v>
      </c>
      <c r="DR41" s="717">
        <v>72548</v>
      </c>
      <c r="DS41" s="717">
        <v>0</v>
      </c>
      <c r="DT41" s="717">
        <v>-71864.25</v>
      </c>
      <c r="DU41" s="717">
        <v>-787.8</v>
      </c>
      <c r="DV41" s="717">
        <v>0</v>
      </c>
      <c r="DW41" s="375">
        <f t="shared" si="118"/>
        <v>-1153.570000000004</v>
      </c>
      <c r="DY41" s="379">
        <v>34319.57</v>
      </c>
      <c r="DZ41" s="379">
        <v>-43454.82</v>
      </c>
      <c r="EA41" s="379">
        <v>9561.0700000000015</v>
      </c>
      <c r="EB41" s="379">
        <v>-26195.91</v>
      </c>
      <c r="EC41" s="379">
        <v>-3707.2</v>
      </c>
      <c r="ED41" s="379">
        <v>10190.73</v>
      </c>
      <c r="EE41" s="379">
        <v>1921.44</v>
      </c>
      <c r="EF41" s="717">
        <v>360.84</v>
      </c>
      <c r="EG41" s="717">
        <v>559</v>
      </c>
      <c r="EH41" s="717">
        <v>-3952.06</v>
      </c>
      <c r="EI41" s="717">
        <v>0</v>
      </c>
      <c r="EJ41" s="717">
        <v>-3877.9799999999996</v>
      </c>
      <c r="EK41" s="375">
        <f t="shared" si="119"/>
        <v>-24275.32</v>
      </c>
      <c r="EL41" s="168"/>
      <c r="EM41" s="379">
        <v>32190.03</v>
      </c>
      <c r="EN41" s="379">
        <v>37916.67</v>
      </c>
      <c r="EO41" s="379">
        <v>65401.13</v>
      </c>
      <c r="EP41" s="379">
        <v>47125.52</v>
      </c>
      <c r="EQ41" s="379">
        <v>-62785.62</v>
      </c>
      <c r="ER41" s="379">
        <v>-553912.63</v>
      </c>
      <c r="ES41" s="379">
        <v>66659.360000000001</v>
      </c>
      <c r="ET41" s="717">
        <v>147336.94999999998</v>
      </c>
      <c r="EU41" s="717">
        <v>143149.76999999999</v>
      </c>
      <c r="EV41" s="717">
        <v>-53567.689999999995</v>
      </c>
      <c r="EW41" s="717">
        <v>-25998.720000000001</v>
      </c>
      <c r="EX41" s="717">
        <v>10957.4</v>
      </c>
      <c r="EY41" s="375">
        <f>SUM(EM41:EX41)</f>
        <v>-145527.83000000007</v>
      </c>
      <c r="EZ41" s="168"/>
    </row>
    <row r="42" spans="1:156" s="187" customFormat="1" ht="18.75" customHeight="1">
      <c r="A42" s="187" t="s">
        <v>25</v>
      </c>
      <c r="B42" s="199"/>
      <c r="C42" s="199" t="s">
        <v>1085</v>
      </c>
      <c r="D42" s="199"/>
      <c r="F42" s="199" t="s">
        <v>1085</v>
      </c>
      <c r="G42" s="199"/>
      <c r="H42" s="379">
        <v>0</v>
      </c>
      <c r="I42" s="379">
        <v>0</v>
      </c>
      <c r="J42" s="379">
        <v>0</v>
      </c>
      <c r="K42" s="379">
        <v>0</v>
      </c>
      <c r="L42" s="379">
        <v>0</v>
      </c>
      <c r="M42" s="379">
        <v>0</v>
      </c>
      <c r="N42" s="379">
        <v>0</v>
      </c>
      <c r="O42" s="379">
        <v>0</v>
      </c>
      <c r="P42" s="379">
        <v>0</v>
      </c>
      <c r="Q42" s="379">
        <v>0</v>
      </c>
      <c r="R42" s="379">
        <v>0</v>
      </c>
      <c r="S42" s="717">
        <v>17138120</v>
      </c>
      <c r="T42" s="375">
        <f t="shared" si="103"/>
        <v>17138120</v>
      </c>
      <c r="U42" s="378">
        <f t="shared" si="104"/>
        <v>2488315.7400000002</v>
      </c>
      <c r="V42" s="165">
        <f t="shared" si="105"/>
        <v>0.16985317317816506</v>
      </c>
      <c r="W42" s="950"/>
      <c r="X42" s="379">
        <v>1120332.45</v>
      </c>
      <c r="Y42" s="379">
        <v>1121827.43</v>
      </c>
      <c r="Z42" s="379">
        <v>1159043.17</v>
      </c>
      <c r="AA42" s="379">
        <v>1003290.45</v>
      </c>
      <c r="AB42" s="379">
        <v>1114766.8400000001</v>
      </c>
      <c r="AC42" s="379">
        <v>1141202.46</v>
      </c>
      <c r="AD42" s="379">
        <v>1087498.83</v>
      </c>
      <c r="AE42" s="379">
        <v>1457270.18</v>
      </c>
      <c r="AF42" s="379">
        <v>1127710.56</v>
      </c>
      <c r="AG42" s="379">
        <v>1117866.27</v>
      </c>
      <c r="AH42" s="379">
        <v>1318069.01</v>
      </c>
      <c r="AI42" s="717">
        <v>1880926.61</v>
      </c>
      <c r="AJ42" s="375">
        <f t="shared" si="120"/>
        <v>14649804.26</v>
      </c>
      <c r="AK42" s="950"/>
      <c r="AL42" s="379">
        <v>0</v>
      </c>
      <c r="AM42" s="379">
        <v>0</v>
      </c>
      <c r="AN42" s="379">
        <v>0</v>
      </c>
      <c r="AO42" s="379">
        <v>0</v>
      </c>
      <c r="AP42" s="379">
        <v>0</v>
      </c>
      <c r="AQ42" s="379">
        <v>0</v>
      </c>
      <c r="AR42" s="379">
        <v>0</v>
      </c>
      <c r="AS42" s="379">
        <v>0</v>
      </c>
      <c r="AT42" s="379">
        <v>0</v>
      </c>
      <c r="AU42" s="379">
        <v>0</v>
      </c>
      <c r="AV42" s="379">
        <v>0</v>
      </c>
      <c r="AW42" s="717">
        <v>13436638</v>
      </c>
      <c r="AX42" s="375">
        <f t="shared" si="107"/>
        <v>13436638</v>
      </c>
      <c r="AY42" s="378">
        <f t="shared" si="108"/>
        <v>2307547.92</v>
      </c>
      <c r="AZ42" s="165">
        <f t="shared" si="109"/>
        <v>0.20734380829092902</v>
      </c>
      <c r="BA42" s="950"/>
      <c r="BB42" s="379">
        <v>893261.68</v>
      </c>
      <c r="BC42" s="379">
        <v>796328.01</v>
      </c>
      <c r="BD42" s="379">
        <v>955131.27</v>
      </c>
      <c r="BE42" s="379">
        <v>953973.34</v>
      </c>
      <c r="BF42" s="379">
        <v>891358.16</v>
      </c>
      <c r="BG42" s="379">
        <v>900737.78</v>
      </c>
      <c r="BH42" s="379">
        <v>949719.02</v>
      </c>
      <c r="BI42" s="379">
        <v>1093915.2</v>
      </c>
      <c r="BJ42" s="379">
        <v>816239.44</v>
      </c>
      <c r="BK42" s="379">
        <v>1049459.28</v>
      </c>
      <c r="BL42" s="379">
        <v>643347.42000000004</v>
      </c>
      <c r="BM42" s="717">
        <v>1185619.48</v>
      </c>
      <c r="BN42" s="375">
        <f t="shared" si="110"/>
        <v>11129090.08</v>
      </c>
      <c r="BO42" s="950"/>
      <c r="BP42" s="379">
        <v>1315552.6725000001</v>
      </c>
      <c r="BQ42" s="379">
        <v>1315552.6725000001</v>
      </c>
      <c r="BR42" s="379">
        <v>1315552.6725000001</v>
      </c>
      <c r="BS42" s="379">
        <v>1315552.6725000001</v>
      </c>
      <c r="BT42" s="379">
        <v>1315552.6725000001</v>
      </c>
      <c r="BU42" s="379">
        <v>1315552.6725000001</v>
      </c>
      <c r="BV42" s="379">
        <v>1315552.6725000001</v>
      </c>
      <c r="BW42" s="379">
        <v>1315552.6725000001</v>
      </c>
      <c r="BX42" s="379">
        <v>1315552.6725000001</v>
      </c>
      <c r="BY42" s="379">
        <v>1315552.6725000001</v>
      </c>
      <c r="BZ42" s="379">
        <v>1315552.6725000001</v>
      </c>
      <c r="CA42" s="717">
        <v>1315552.6725000001</v>
      </c>
      <c r="CB42" s="375">
        <f t="shared" si="111"/>
        <v>15786632.069999998</v>
      </c>
      <c r="CC42" s="378">
        <f t="shared" si="112"/>
        <v>-4657541.9899999984</v>
      </c>
      <c r="CD42" s="165">
        <f t="shared" si="113"/>
        <v>-0.29503075572724097</v>
      </c>
      <c r="CE42" s="199"/>
      <c r="CF42" s="379">
        <v>1126904.81</v>
      </c>
      <c r="CG42" s="379">
        <v>1293031.7</v>
      </c>
      <c r="CH42" s="379">
        <v>1004198.98</v>
      </c>
      <c r="CI42" s="379">
        <v>1440659.76</v>
      </c>
      <c r="CJ42" s="379">
        <v>1068128.94</v>
      </c>
      <c r="CK42" s="379">
        <v>1026920.83</v>
      </c>
      <c r="CL42" s="379">
        <v>1345953.23</v>
      </c>
      <c r="CM42" s="379">
        <v>1206135.6499999999</v>
      </c>
      <c r="CN42" s="379">
        <v>1300085.28</v>
      </c>
      <c r="CO42" s="379">
        <v>1389800.98</v>
      </c>
      <c r="CP42" s="379">
        <v>1075766.24</v>
      </c>
      <c r="CQ42" s="717">
        <v>858110.04</v>
      </c>
      <c r="CR42" s="380">
        <v>0</v>
      </c>
      <c r="CS42" s="375">
        <f t="shared" si="114"/>
        <v>14135696.440000001</v>
      </c>
      <c r="CT42" s="378">
        <f t="shared" si="115"/>
        <v>-3006606.3600000013</v>
      </c>
      <c r="CU42" s="165">
        <f t="shared" si="116"/>
        <v>-0.21269601910042155</v>
      </c>
      <c r="CV42" s="202"/>
      <c r="CW42" s="379">
        <v>958602.63</v>
      </c>
      <c r="CX42" s="379">
        <v>1121589.73</v>
      </c>
      <c r="CY42" s="379">
        <v>1129095.6100000001</v>
      </c>
      <c r="CZ42" s="379">
        <v>864026.02</v>
      </c>
      <c r="DA42" s="379">
        <v>1252388.6599999999</v>
      </c>
      <c r="DB42" s="379">
        <v>819818.32000000007</v>
      </c>
      <c r="DC42" s="379">
        <v>1226122</v>
      </c>
      <c r="DD42" s="379">
        <v>1113079.2</v>
      </c>
      <c r="DE42" s="379">
        <v>1094420.99</v>
      </c>
      <c r="DF42" s="379">
        <v>1480040.16</v>
      </c>
      <c r="DG42" s="379">
        <v>918788.08</v>
      </c>
      <c r="DH42" s="717">
        <v>1205867.44</v>
      </c>
      <c r="DI42" s="375">
        <f t="shared" si="117"/>
        <v>13183838.84</v>
      </c>
      <c r="DJ42" s="202"/>
      <c r="DK42" s="379">
        <v>917933.8</v>
      </c>
      <c r="DL42" s="379">
        <v>1120494.3800000001</v>
      </c>
      <c r="DM42" s="379">
        <v>1077367.52</v>
      </c>
      <c r="DN42" s="379">
        <v>834748.34</v>
      </c>
      <c r="DO42" s="379">
        <v>1071889.81</v>
      </c>
      <c r="DP42" s="379">
        <v>1197493.18</v>
      </c>
      <c r="DQ42" s="379">
        <v>794484</v>
      </c>
      <c r="DR42" s="379">
        <v>1395240.31</v>
      </c>
      <c r="DS42" s="379">
        <v>1169284.6400000001</v>
      </c>
      <c r="DT42" s="379">
        <v>1360067.01</v>
      </c>
      <c r="DU42" s="379">
        <v>992281.35</v>
      </c>
      <c r="DV42" s="717">
        <v>1083244.52</v>
      </c>
      <c r="DW42" s="375">
        <f t="shared" si="118"/>
        <v>13014528.859999999</v>
      </c>
      <c r="DY42" s="379">
        <v>824377.02</v>
      </c>
      <c r="DZ42" s="379">
        <v>815871.78</v>
      </c>
      <c r="EA42" s="379">
        <v>1209745.0900000001</v>
      </c>
      <c r="EB42" s="379">
        <v>683902.53</v>
      </c>
      <c r="EC42" s="379">
        <v>874391.24</v>
      </c>
      <c r="ED42" s="379">
        <v>1026838.2200000001</v>
      </c>
      <c r="EE42" s="379">
        <v>672884.21</v>
      </c>
      <c r="EF42" s="379">
        <v>951952.74</v>
      </c>
      <c r="EG42" s="379">
        <v>1022381.63</v>
      </c>
      <c r="EH42" s="379">
        <v>1046862.6900000001</v>
      </c>
      <c r="EI42" s="379">
        <v>1035771.6000000001</v>
      </c>
      <c r="EJ42" s="717">
        <v>1011422.49</v>
      </c>
      <c r="EK42" s="375">
        <f t="shared" si="119"/>
        <v>11176401.24</v>
      </c>
      <c r="EL42" s="168"/>
      <c r="EM42" s="379">
        <v>939807.91999999993</v>
      </c>
      <c r="EN42" s="379">
        <v>566988.52</v>
      </c>
      <c r="EO42" s="379">
        <v>1031105.7699999999</v>
      </c>
      <c r="EP42" s="379">
        <v>545559.48</v>
      </c>
      <c r="EQ42" s="379">
        <v>653938.83000000007</v>
      </c>
      <c r="ER42" s="379">
        <v>752289.89</v>
      </c>
      <c r="ES42" s="379">
        <v>858017.82</v>
      </c>
      <c r="ET42" s="379">
        <v>719194</v>
      </c>
      <c r="EU42" s="379">
        <v>1001421.18</v>
      </c>
      <c r="EV42" s="379">
        <v>807571.2699999999</v>
      </c>
      <c r="EW42" s="379">
        <v>784045.37</v>
      </c>
      <c r="EX42" s="717">
        <v>920434.30999999994</v>
      </c>
      <c r="EY42" s="375">
        <f>SUM(EM42:EX42)</f>
        <v>9580374.3599999994</v>
      </c>
      <c r="EZ42" s="168"/>
    </row>
    <row r="43" spans="1:156" ht="7.5" customHeight="1">
      <c r="H43" s="373"/>
      <c r="I43" s="373"/>
      <c r="J43" s="373"/>
      <c r="K43" s="373"/>
      <c r="L43" s="373"/>
      <c r="M43" s="373"/>
      <c r="N43" s="374"/>
      <c r="O43" s="373"/>
      <c r="P43" s="373"/>
      <c r="Q43" s="373"/>
      <c r="R43" s="373"/>
      <c r="S43" s="373"/>
      <c r="T43" s="375"/>
      <c r="U43" s="393"/>
      <c r="V43" s="163"/>
      <c r="X43" s="373"/>
      <c r="Y43" s="373"/>
      <c r="Z43" s="373"/>
      <c r="AA43" s="373"/>
      <c r="AB43" s="373"/>
      <c r="AC43" s="373"/>
      <c r="AD43" s="374"/>
      <c r="AE43" s="373"/>
      <c r="AF43" s="373"/>
      <c r="AG43" s="373"/>
      <c r="AH43" s="373"/>
      <c r="AI43" s="373"/>
      <c r="AJ43" s="375"/>
      <c r="AL43" s="373"/>
      <c r="AM43" s="373"/>
      <c r="AN43" s="373"/>
      <c r="AO43" s="373"/>
      <c r="AP43" s="373"/>
      <c r="AQ43" s="373"/>
      <c r="AR43" s="374"/>
      <c r="AS43" s="373"/>
      <c r="AT43" s="373"/>
      <c r="AU43" s="373"/>
      <c r="AV43" s="373"/>
      <c r="AW43" s="373"/>
      <c r="AX43" s="375"/>
      <c r="AY43" s="393"/>
      <c r="AZ43" s="163"/>
      <c r="BB43" s="373"/>
      <c r="BC43" s="373"/>
      <c r="BD43" s="373"/>
      <c r="BE43" s="373"/>
      <c r="BF43" s="373"/>
      <c r="BG43" s="373"/>
      <c r="BH43" s="374"/>
      <c r="BI43" s="373"/>
      <c r="BJ43" s="373"/>
      <c r="BK43" s="373"/>
      <c r="BL43" s="373"/>
      <c r="BM43" s="373"/>
      <c r="BN43" s="375"/>
      <c r="BP43" s="373"/>
      <c r="BQ43" s="373"/>
      <c r="BR43" s="373"/>
      <c r="BS43" s="373"/>
      <c r="BT43" s="373"/>
      <c r="BU43" s="373"/>
      <c r="BV43" s="374"/>
      <c r="BW43" s="373"/>
      <c r="BX43" s="373"/>
      <c r="BY43" s="373"/>
      <c r="BZ43" s="373"/>
      <c r="CA43" s="373"/>
      <c r="CB43" s="375"/>
      <c r="CC43" s="393"/>
      <c r="CD43" s="163"/>
      <c r="CF43" s="373"/>
      <c r="CG43" s="373"/>
      <c r="CH43" s="373"/>
      <c r="CI43" s="373"/>
      <c r="CJ43" s="373"/>
      <c r="CK43" s="373"/>
      <c r="CL43" s="374"/>
      <c r="CM43" s="373"/>
      <c r="CN43" s="373"/>
      <c r="CO43" s="373"/>
      <c r="CP43" s="373"/>
      <c r="CQ43" s="373"/>
      <c r="CR43" s="376"/>
      <c r="CS43" s="375"/>
      <c r="CT43" s="393"/>
      <c r="CU43" s="163"/>
      <c r="CW43" s="373"/>
      <c r="CX43" s="373"/>
      <c r="CY43" s="373"/>
      <c r="CZ43" s="373"/>
      <c r="DA43" s="373"/>
      <c r="DB43" s="373"/>
      <c r="DC43" s="374"/>
      <c r="DD43" s="373"/>
      <c r="DE43" s="373"/>
      <c r="DF43" s="373"/>
      <c r="DG43" s="373"/>
      <c r="DH43" s="373"/>
      <c r="DI43" s="375"/>
      <c r="DK43" s="373"/>
      <c r="DL43" s="373"/>
      <c r="DM43" s="373"/>
      <c r="DN43" s="373"/>
      <c r="DO43" s="373"/>
      <c r="DP43" s="373"/>
      <c r="DQ43" s="374"/>
      <c r="DR43" s="373"/>
      <c r="DS43" s="373"/>
      <c r="DT43" s="373"/>
      <c r="DU43" s="373"/>
      <c r="DV43" s="373"/>
      <c r="DW43" s="375"/>
      <c r="DY43" s="373"/>
      <c r="DZ43" s="373"/>
      <c r="EA43" s="373"/>
      <c r="EB43" s="373"/>
      <c r="EC43" s="373"/>
      <c r="ED43" s="373"/>
      <c r="EE43" s="374"/>
      <c r="EF43" s="373"/>
      <c r="EG43" s="373"/>
      <c r="EH43" s="373"/>
      <c r="EI43" s="373"/>
      <c r="EJ43" s="373"/>
      <c r="EK43" s="375"/>
      <c r="EL43" s="164"/>
      <c r="EM43" s="373"/>
      <c r="EN43" s="373"/>
      <c r="EO43" s="373"/>
      <c r="EP43" s="373"/>
      <c r="EQ43" s="373"/>
      <c r="ER43" s="373"/>
      <c r="ES43" s="374"/>
      <c r="ET43" s="373"/>
      <c r="EU43" s="373"/>
      <c r="EV43" s="373"/>
      <c r="EW43" s="373"/>
      <c r="EX43" s="373"/>
      <c r="EY43" s="375"/>
      <c r="EZ43" s="164"/>
    </row>
    <row r="44" spans="1:156" s="155" customFormat="1" ht="19.5" customHeight="1">
      <c r="B44" s="172"/>
      <c r="C44" s="172"/>
      <c r="D44" s="172"/>
      <c r="F44" s="172" t="s">
        <v>301</v>
      </c>
      <c r="G44" s="172"/>
      <c r="H44" s="335">
        <f t="shared" ref="H44:S44" si="131">SUM(H40:H43)</f>
        <v>0</v>
      </c>
      <c r="I44" s="338">
        <f t="shared" si="131"/>
        <v>0</v>
      </c>
      <c r="J44" s="338">
        <f t="shared" si="131"/>
        <v>0</v>
      </c>
      <c r="K44" s="338">
        <f t="shared" si="131"/>
        <v>0</v>
      </c>
      <c r="L44" s="338">
        <f t="shared" si="131"/>
        <v>0</v>
      </c>
      <c r="M44" s="338">
        <f t="shared" si="131"/>
        <v>0</v>
      </c>
      <c r="N44" s="339">
        <f t="shared" si="131"/>
        <v>0</v>
      </c>
      <c r="O44" s="338">
        <f t="shared" si="131"/>
        <v>0</v>
      </c>
      <c r="P44" s="338">
        <f t="shared" si="131"/>
        <v>0</v>
      </c>
      <c r="Q44" s="338">
        <f t="shared" si="131"/>
        <v>0</v>
      </c>
      <c r="R44" s="338">
        <f t="shared" si="131"/>
        <v>0</v>
      </c>
      <c r="S44" s="338">
        <f t="shared" si="131"/>
        <v>434294756.9725287</v>
      </c>
      <c r="T44" s="335">
        <f>SUM(H44:S44)</f>
        <v>434294756.9725287</v>
      </c>
      <c r="U44" s="378">
        <f>T44-AJ44</f>
        <v>39431029.382528663</v>
      </c>
      <c r="V44" s="165">
        <f>U44/AJ44</f>
        <v>9.9859841832499727E-2</v>
      </c>
      <c r="W44" s="796"/>
      <c r="X44" s="335">
        <f t="shared" ref="X44:AI44" si="132">SUM(X40:X43)</f>
        <v>31489060.390000001</v>
      </c>
      <c r="Y44" s="338">
        <f t="shared" si="132"/>
        <v>23711739.129999999</v>
      </c>
      <c r="Z44" s="338">
        <f t="shared" si="132"/>
        <v>16257062.560000001</v>
      </c>
      <c r="AA44" s="338">
        <f t="shared" si="132"/>
        <v>10591719.209999999</v>
      </c>
      <c r="AB44" s="338">
        <f t="shared" si="132"/>
        <v>11014986.559999999</v>
      </c>
      <c r="AC44" s="338">
        <f t="shared" si="132"/>
        <v>20048335.940000001</v>
      </c>
      <c r="AD44" s="339">
        <f t="shared" si="132"/>
        <v>29766845.490000002</v>
      </c>
      <c r="AE44" s="338">
        <f t="shared" si="132"/>
        <v>67978397.960000008</v>
      </c>
      <c r="AF44" s="338">
        <f t="shared" si="132"/>
        <v>60895842.039999999</v>
      </c>
      <c r="AG44" s="338">
        <f t="shared" si="132"/>
        <v>10354689.43</v>
      </c>
      <c r="AH44" s="338">
        <f t="shared" si="132"/>
        <v>55371409.140000001</v>
      </c>
      <c r="AI44" s="338">
        <f t="shared" si="132"/>
        <v>57383639.739999995</v>
      </c>
      <c r="AJ44" s="335">
        <f>SUM(X44:AI44)</f>
        <v>394863727.59000003</v>
      </c>
      <c r="AK44" s="796"/>
      <c r="AL44" s="335">
        <f t="shared" ref="AL44:AW44" si="133">SUM(AL40:AL43)</f>
        <v>0</v>
      </c>
      <c r="AM44" s="338">
        <f t="shared" si="133"/>
        <v>0</v>
      </c>
      <c r="AN44" s="338">
        <f t="shared" si="133"/>
        <v>0</v>
      </c>
      <c r="AO44" s="338">
        <f t="shared" si="133"/>
        <v>0</v>
      </c>
      <c r="AP44" s="338">
        <f t="shared" si="133"/>
        <v>0</v>
      </c>
      <c r="AQ44" s="338">
        <f t="shared" si="133"/>
        <v>0</v>
      </c>
      <c r="AR44" s="339">
        <f t="shared" si="133"/>
        <v>0</v>
      </c>
      <c r="AS44" s="338">
        <f t="shared" si="133"/>
        <v>0</v>
      </c>
      <c r="AT44" s="338">
        <f t="shared" si="133"/>
        <v>0</v>
      </c>
      <c r="AU44" s="338">
        <f t="shared" si="133"/>
        <v>0</v>
      </c>
      <c r="AV44" s="338">
        <f t="shared" si="133"/>
        <v>0</v>
      </c>
      <c r="AW44" s="338">
        <f t="shared" si="133"/>
        <v>437823414.49199003</v>
      </c>
      <c r="AX44" s="335">
        <f>SUM(AL44:AW44)</f>
        <v>437823414.49199003</v>
      </c>
      <c r="AY44" s="378">
        <f>AX44-BN44</f>
        <v>152907901.59198999</v>
      </c>
      <c r="AZ44" s="165">
        <f>AY44/BN44</f>
        <v>0.53667804899643279</v>
      </c>
      <c r="BA44" s="796"/>
      <c r="BB44" s="335">
        <f t="shared" ref="BB44:BM44" si="134">SUM(BB40:BB43)</f>
        <v>4233585.03</v>
      </c>
      <c r="BC44" s="338">
        <f t="shared" si="134"/>
        <v>4769918.37</v>
      </c>
      <c r="BD44" s="338">
        <f t="shared" si="134"/>
        <v>13856665.189999999</v>
      </c>
      <c r="BE44" s="338">
        <f t="shared" si="134"/>
        <v>5959769.6000000006</v>
      </c>
      <c r="BF44" s="338">
        <f t="shared" si="134"/>
        <v>8215081.6800000006</v>
      </c>
      <c r="BG44" s="338">
        <f t="shared" si="134"/>
        <v>11874196.279999999</v>
      </c>
      <c r="BH44" s="339">
        <f t="shared" si="134"/>
        <v>15827024.260000002</v>
      </c>
      <c r="BI44" s="338">
        <f t="shared" si="134"/>
        <v>39368940.420000009</v>
      </c>
      <c r="BJ44" s="338">
        <f t="shared" si="134"/>
        <v>48850229</v>
      </c>
      <c r="BK44" s="338">
        <f t="shared" si="134"/>
        <v>64842811.409999996</v>
      </c>
      <c r="BL44" s="338">
        <f t="shared" si="134"/>
        <v>37756056.689999998</v>
      </c>
      <c r="BM44" s="338">
        <f t="shared" si="134"/>
        <v>29361234.970000003</v>
      </c>
      <c r="BN44" s="335">
        <f>SUM(BB44:BM44)</f>
        <v>284915512.90000004</v>
      </c>
      <c r="BO44" s="796"/>
      <c r="BP44" s="335">
        <f t="shared" ref="BP44:CA44" si="135">SUM(BP40:BP43)</f>
        <v>5355199.4706650535</v>
      </c>
      <c r="BQ44" s="338">
        <f t="shared" si="135"/>
        <v>5897810.6615579193</v>
      </c>
      <c r="BR44" s="338">
        <f t="shared" si="135"/>
        <v>16290761.42381602</v>
      </c>
      <c r="BS44" s="338">
        <f t="shared" si="135"/>
        <v>11124754.895922603</v>
      </c>
      <c r="BT44" s="338">
        <f t="shared" si="135"/>
        <v>32081051.869503394</v>
      </c>
      <c r="BU44" s="338">
        <f t="shared" si="135"/>
        <v>62773163.567032538</v>
      </c>
      <c r="BV44" s="339">
        <f t="shared" si="135"/>
        <v>24511111.807795435</v>
      </c>
      <c r="BW44" s="338">
        <f t="shared" si="135"/>
        <v>59867338.79093495</v>
      </c>
      <c r="BX44" s="338">
        <f t="shared" si="135"/>
        <v>74538518.429279417</v>
      </c>
      <c r="BY44" s="338">
        <f t="shared" si="135"/>
        <v>52510902.765909113</v>
      </c>
      <c r="BZ44" s="338">
        <f t="shared" si="135"/>
        <v>23205825.586441297</v>
      </c>
      <c r="CA44" s="338">
        <f t="shared" si="135"/>
        <v>81869027.061669111</v>
      </c>
      <c r="CB44" s="335">
        <f>SUM(BO44:CA44)</f>
        <v>450025466.33052689</v>
      </c>
      <c r="CC44" s="336">
        <f>BN44-CB44</f>
        <v>-165109953.43052685</v>
      </c>
      <c r="CD44" s="337">
        <f>IFERROR(CC44/CB44,"N/A")</f>
        <v>-0.36689024462731129</v>
      </c>
      <c r="CE44" s="172"/>
      <c r="CF44" s="335">
        <f t="shared" ref="CF44:CR44" si="136">SUM(CF40:CF43)</f>
        <v>22021649.239999998</v>
      </c>
      <c r="CG44" s="338">
        <f t="shared" si="136"/>
        <v>40088991.260000005</v>
      </c>
      <c r="CH44" s="338">
        <f t="shared" si="136"/>
        <v>41003638.619999997</v>
      </c>
      <c r="CI44" s="338">
        <f t="shared" si="136"/>
        <v>23922943.75</v>
      </c>
      <c r="CJ44" s="338">
        <f t="shared" si="136"/>
        <v>39675604.100000001</v>
      </c>
      <c r="CK44" s="338">
        <f t="shared" si="136"/>
        <v>37091816.729999997</v>
      </c>
      <c r="CL44" s="339">
        <f t="shared" si="136"/>
        <v>71517481.99000001</v>
      </c>
      <c r="CM44" s="338">
        <f t="shared" si="136"/>
        <v>46493033.649999999</v>
      </c>
      <c r="CN44" s="338">
        <f t="shared" si="136"/>
        <v>43000947.460000001</v>
      </c>
      <c r="CO44" s="338">
        <f t="shared" si="136"/>
        <v>44633383.129999995</v>
      </c>
      <c r="CP44" s="338">
        <f t="shared" si="136"/>
        <v>60474928.719999999</v>
      </c>
      <c r="CQ44" s="338">
        <f t="shared" si="136"/>
        <v>41762725.089999996</v>
      </c>
      <c r="CR44" s="340">
        <f t="shared" si="136"/>
        <v>0</v>
      </c>
      <c r="CS44" s="335">
        <f>SUM(CF44:CR44)</f>
        <v>511687143.73999995</v>
      </c>
      <c r="CT44" s="336">
        <f>BN44-CS44</f>
        <v>-226771630.83999991</v>
      </c>
      <c r="CU44" s="337">
        <f>IFERROR(CT44/CS44,"N/A")</f>
        <v>-0.44318414799811312</v>
      </c>
      <c r="CV44" s="322"/>
      <c r="CW44" s="335">
        <f t="shared" ref="CW44:DH44" si="137">SUM(CW40:CW43)</f>
        <v>41715889.960000001</v>
      </c>
      <c r="CX44" s="338">
        <f t="shared" si="137"/>
        <v>31822290.449999999</v>
      </c>
      <c r="CY44" s="338">
        <f t="shared" si="137"/>
        <v>40639013.109999999</v>
      </c>
      <c r="CZ44" s="338">
        <f t="shared" si="137"/>
        <v>29310183.599999998</v>
      </c>
      <c r="DA44" s="338">
        <f t="shared" si="137"/>
        <v>35052094.239999995</v>
      </c>
      <c r="DB44" s="338">
        <f t="shared" si="137"/>
        <v>39528456.43</v>
      </c>
      <c r="DC44" s="339">
        <f t="shared" si="137"/>
        <v>35176005.390000001</v>
      </c>
      <c r="DD44" s="338">
        <f t="shared" si="137"/>
        <v>55870556.100000009</v>
      </c>
      <c r="DE44" s="338">
        <f t="shared" si="137"/>
        <v>77066824.549999997</v>
      </c>
      <c r="DF44" s="338">
        <f t="shared" si="137"/>
        <v>43782256.989999995</v>
      </c>
      <c r="DG44" s="338">
        <f t="shared" si="137"/>
        <v>35210847.32</v>
      </c>
      <c r="DH44" s="338">
        <f t="shared" si="137"/>
        <v>48380337.809999995</v>
      </c>
      <c r="DI44" s="335">
        <f>SUM(CW44:DH44)</f>
        <v>513554755.95000005</v>
      </c>
      <c r="DJ44" s="322"/>
      <c r="DK44" s="335">
        <f t="shared" ref="DK44:DV44" si="138">SUM(DK40:DK43)</f>
        <v>19771536.640000001</v>
      </c>
      <c r="DL44" s="338">
        <f t="shared" si="138"/>
        <v>31787700.129999999</v>
      </c>
      <c r="DM44" s="338">
        <f t="shared" si="138"/>
        <v>45602698.240000002</v>
      </c>
      <c r="DN44" s="338">
        <f t="shared" si="138"/>
        <v>28041021.27</v>
      </c>
      <c r="DO44" s="338">
        <f t="shared" si="138"/>
        <v>38834877.900000006</v>
      </c>
      <c r="DP44" s="338">
        <f t="shared" si="138"/>
        <v>51055024.670000002</v>
      </c>
      <c r="DQ44" s="339">
        <f t="shared" si="138"/>
        <v>42651313.950000003</v>
      </c>
      <c r="DR44" s="338">
        <f t="shared" si="138"/>
        <v>38210074.150000006</v>
      </c>
      <c r="DS44" s="338">
        <f t="shared" si="138"/>
        <v>58269174.75</v>
      </c>
      <c r="DT44" s="338">
        <f t="shared" si="138"/>
        <v>57442255.139999993</v>
      </c>
      <c r="DU44" s="338">
        <f t="shared" si="138"/>
        <v>23315073.93</v>
      </c>
      <c r="DV44" s="338">
        <f t="shared" si="138"/>
        <v>42653376.480000004</v>
      </c>
      <c r="DW44" s="335">
        <f>SUM(DK44:DV44)</f>
        <v>477634127.25000006</v>
      </c>
      <c r="DY44" s="335">
        <f t="shared" ref="DY44:EJ44" si="139">SUM(DY40:DY43)</f>
        <v>30557097.629999999</v>
      </c>
      <c r="DZ44" s="338">
        <f t="shared" si="139"/>
        <v>37489911.359999999</v>
      </c>
      <c r="EA44" s="338">
        <f t="shared" si="139"/>
        <v>21189135.25</v>
      </c>
      <c r="EB44" s="338">
        <f t="shared" si="139"/>
        <v>21886856.889999997</v>
      </c>
      <c r="EC44" s="338">
        <f t="shared" si="139"/>
        <v>50866554.699999996</v>
      </c>
      <c r="ED44" s="338">
        <f t="shared" si="139"/>
        <v>39585791.169999994</v>
      </c>
      <c r="EE44" s="339">
        <f t="shared" si="139"/>
        <v>34499182.909999996</v>
      </c>
      <c r="EF44" s="338">
        <f t="shared" si="139"/>
        <v>39101236.890000008</v>
      </c>
      <c r="EG44" s="338">
        <f t="shared" si="139"/>
        <v>43837574.280000009</v>
      </c>
      <c r="EH44" s="338">
        <f t="shared" si="139"/>
        <v>35941376.119999997</v>
      </c>
      <c r="EI44" s="338">
        <f t="shared" si="139"/>
        <v>32011607.780000001</v>
      </c>
      <c r="EJ44" s="338">
        <f t="shared" si="139"/>
        <v>45283173.579999998</v>
      </c>
      <c r="EK44" s="335">
        <f>SUM(DY44:EJ44)</f>
        <v>432249498.56</v>
      </c>
      <c r="EL44" s="168"/>
      <c r="EM44" s="335">
        <f t="shared" ref="EM44:EY44" si="140">SUM(EM40:EM43)</f>
        <v>39617885.780000009</v>
      </c>
      <c r="EN44" s="338">
        <f t="shared" si="140"/>
        <v>27043035.600000005</v>
      </c>
      <c r="EO44" s="338">
        <f t="shared" si="140"/>
        <v>24935498.479999997</v>
      </c>
      <c r="EP44" s="338">
        <f t="shared" si="140"/>
        <v>21579662.439999998</v>
      </c>
      <c r="EQ44" s="338">
        <f t="shared" si="140"/>
        <v>41033976.170000002</v>
      </c>
      <c r="ER44" s="338">
        <f t="shared" si="140"/>
        <v>35362318.569999993</v>
      </c>
      <c r="ES44" s="339">
        <f t="shared" si="140"/>
        <v>38204794.009999998</v>
      </c>
      <c r="ET44" s="338">
        <f t="shared" si="140"/>
        <v>37736792.219999999</v>
      </c>
      <c r="EU44" s="338">
        <f t="shared" si="140"/>
        <v>27322359.690000005</v>
      </c>
      <c r="EV44" s="338">
        <f t="shared" si="140"/>
        <v>57617518.43</v>
      </c>
      <c r="EW44" s="338">
        <f t="shared" si="140"/>
        <v>38309910.789999992</v>
      </c>
      <c r="EX44" s="338">
        <f t="shared" si="140"/>
        <v>28010842.709999997</v>
      </c>
      <c r="EY44" s="335">
        <f t="shared" si="140"/>
        <v>416774594.88999999</v>
      </c>
      <c r="EZ44" s="168"/>
    </row>
    <row r="45" spans="1:156" s="173" customFormat="1" ht="17.25" customHeight="1">
      <c r="B45" s="174"/>
      <c r="C45" s="174"/>
      <c r="D45" s="174"/>
      <c r="E45" s="155"/>
      <c r="F45" s="174"/>
      <c r="G45" s="174"/>
      <c r="H45" s="373"/>
      <c r="I45" s="373"/>
      <c r="J45" s="373"/>
      <c r="K45" s="373"/>
      <c r="L45" s="373"/>
      <c r="M45" s="373"/>
      <c r="N45" s="374"/>
      <c r="O45" s="373"/>
      <c r="P45" s="373"/>
      <c r="Q45" s="373"/>
      <c r="R45" s="373"/>
      <c r="S45" s="373"/>
      <c r="T45" s="375"/>
      <c r="U45" s="393"/>
      <c r="V45" s="163"/>
      <c r="W45" s="772"/>
      <c r="X45" s="373"/>
      <c r="Y45" s="373"/>
      <c r="Z45" s="373"/>
      <c r="AA45" s="373"/>
      <c r="AB45" s="373"/>
      <c r="AC45" s="373"/>
      <c r="AD45" s="374"/>
      <c r="AE45" s="373"/>
      <c r="AF45" s="373"/>
      <c r="AG45" s="373"/>
      <c r="AH45" s="373"/>
      <c r="AI45" s="373"/>
      <c r="AJ45" s="375"/>
      <c r="AK45" s="772"/>
      <c r="AL45" s="373"/>
      <c r="AM45" s="373"/>
      <c r="AN45" s="373"/>
      <c r="AO45" s="373"/>
      <c r="AP45" s="373"/>
      <c r="AQ45" s="373"/>
      <c r="AR45" s="374"/>
      <c r="AS45" s="373"/>
      <c r="AT45" s="373"/>
      <c r="AU45" s="373"/>
      <c r="AV45" s="373"/>
      <c r="AW45" s="373"/>
      <c r="AX45" s="375"/>
      <c r="AY45" s="393"/>
      <c r="AZ45" s="163"/>
      <c r="BA45" s="772"/>
      <c r="BB45" s="373"/>
      <c r="BC45" s="373"/>
      <c r="BD45" s="373"/>
      <c r="BE45" s="373"/>
      <c r="BF45" s="373"/>
      <c r="BG45" s="373"/>
      <c r="BH45" s="374"/>
      <c r="BI45" s="373"/>
      <c r="BJ45" s="373"/>
      <c r="BK45" s="373"/>
      <c r="BL45" s="373"/>
      <c r="BM45" s="373"/>
      <c r="BN45" s="375"/>
      <c r="BO45" s="772"/>
      <c r="BP45" s="373"/>
      <c r="BQ45" s="373"/>
      <c r="BR45" s="373"/>
      <c r="BS45" s="373"/>
      <c r="BT45" s="373"/>
      <c r="BU45" s="373"/>
      <c r="BV45" s="374"/>
      <c r="BW45" s="373"/>
      <c r="BX45" s="373"/>
      <c r="BY45" s="373"/>
      <c r="BZ45" s="373"/>
      <c r="CA45" s="373"/>
      <c r="CB45" s="375"/>
      <c r="CC45" s="393"/>
      <c r="CD45" s="163"/>
      <c r="CE45" s="174"/>
      <c r="CF45" s="373"/>
      <c r="CG45" s="373"/>
      <c r="CH45" s="373"/>
      <c r="CI45" s="373"/>
      <c r="CJ45" s="373"/>
      <c r="CK45" s="373"/>
      <c r="CL45" s="374"/>
      <c r="CM45" s="373"/>
      <c r="CN45" s="373"/>
      <c r="CO45" s="373"/>
      <c r="CP45" s="373"/>
      <c r="CQ45" s="373"/>
      <c r="CR45" s="376"/>
      <c r="CS45" s="375"/>
      <c r="CT45" s="393"/>
      <c r="CU45" s="163"/>
      <c r="CV45" s="323"/>
      <c r="CW45" s="373"/>
      <c r="CX45" s="373"/>
      <c r="CY45" s="373"/>
      <c r="CZ45" s="373"/>
      <c r="DA45" s="373"/>
      <c r="DB45" s="373"/>
      <c r="DC45" s="374"/>
      <c r="DD45" s="373"/>
      <c r="DE45" s="373"/>
      <c r="DF45" s="373"/>
      <c r="DG45" s="373"/>
      <c r="DH45" s="373"/>
      <c r="DI45" s="375"/>
      <c r="DJ45" s="323"/>
      <c r="DK45" s="373"/>
      <c r="DL45" s="373"/>
      <c r="DM45" s="373"/>
      <c r="DN45" s="373"/>
      <c r="DO45" s="373"/>
      <c r="DP45" s="373"/>
      <c r="DQ45" s="374"/>
      <c r="DR45" s="373"/>
      <c r="DS45" s="373"/>
      <c r="DT45" s="373"/>
      <c r="DU45" s="373"/>
      <c r="DV45" s="373"/>
      <c r="DW45" s="375"/>
      <c r="DY45" s="373"/>
      <c r="DZ45" s="373"/>
      <c r="EA45" s="373"/>
      <c r="EB45" s="373"/>
      <c r="EC45" s="373"/>
      <c r="ED45" s="373"/>
      <c r="EE45" s="374"/>
      <c r="EF45" s="373"/>
      <c r="EG45" s="373"/>
      <c r="EH45" s="373"/>
      <c r="EI45" s="373"/>
      <c r="EJ45" s="373"/>
      <c r="EK45" s="375"/>
      <c r="EL45" s="164"/>
      <c r="EM45" s="373"/>
      <c r="EN45" s="373"/>
      <c r="EO45" s="373"/>
      <c r="EP45" s="373"/>
      <c r="EQ45" s="373"/>
      <c r="ER45" s="373"/>
      <c r="ES45" s="374"/>
      <c r="ET45" s="373"/>
      <c r="EU45" s="373"/>
      <c r="EV45" s="373"/>
      <c r="EW45" s="373"/>
      <c r="EX45" s="373"/>
      <c r="EY45" s="375"/>
      <c r="EZ45" s="164"/>
    </row>
    <row r="46" spans="1:156" s="173" customFormat="1" ht="16.5" customHeight="1">
      <c r="B46" s="186"/>
      <c r="C46" s="186"/>
      <c r="D46" s="186"/>
      <c r="E46" s="187" t="s">
        <v>1185</v>
      </c>
      <c r="F46" s="186"/>
      <c r="G46" s="186"/>
      <c r="H46" s="373"/>
      <c r="I46" s="373"/>
      <c r="J46" s="373"/>
      <c r="K46" s="373"/>
      <c r="L46" s="373"/>
      <c r="M46" s="373"/>
      <c r="N46" s="374"/>
      <c r="O46" s="373"/>
      <c r="P46" s="373"/>
      <c r="Q46" s="373"/>
      <c r="R46" s="373"/>
      <c r="S46" s="373"/>
      <c r="T46" s="391"/>
      <c r="U46" s="393"/>
      <c r="V46" s="163"/>
      <c r="W46" s="911"/>
      <c r="X46" s="373"/>
      <c r="Y46" s="373"/>
      <c r="Z46" s="373"/>
      <c r="AA46" s="373"/>
      <c r="AB46" s="373"/>
      <c r="AC46" s="373"/>
      <c r="AD46" s="374"/>
      <c r="AE46" s="373"/>
      <c r="AF46" s="373"/>
      <c r="AG46" s="373"/>
      <c r="AH46" s="373"/>
      <c r="AI46" s="373"/>
      <c r="AJ46" s="391"/>
      <c r="AK46" s="911"/>
      <c r="AL46" s="373"/>
      <c r="AM46" s="373"/>
      <c r="AN46" s="373"/>
      <c r="AO46" s="373"/>
      <c r="AP46" s="373"/>
      <c r="AQ46" s="373"/>
      <c r="AR46" s="374"/>
      <c r="AS46" s="373"/>
      <c r="AT46" s="373"/>
      <c r="AU46" s="373"/>
      <c r="AV46" s="373"/>
      <c r="AW46" s="373"/>
      <c r="AX46" s="391"/>
      <c r="AY46" s="393"/>
      <c r="AZ46" s="163"/>
      <c r="BA46" s="911"/>
      <c r="BB46" s="373"/>
      <c r="BC46" s="373"/>
      <c r="BD46" s="373"/>
      <c r="BE46" s="373"/>
      <c r="BF46" s="373"/>
      <c r="BG46" s="373"/>
      <c r="BH46" s="374"/>
      <c r="BI46" s="373"/>
      <c r="BJ46" s="373"/>
      <c r="BK46" s="373"/>
      <c r="BL46" s="373"/>
      <c r="BM46" s="373"/>
      <c r="BN46" s="391"/>
      <c r="BO46" s="911"/>
      <c r="BP46" s="373"/>
      <c r="BQ46" s="373"/>
      <c r="BR46" s="373"/>
      <c r="BS46" s="373"/>
      <c r="BT46" s="373"/>
      <c r="BU46" s="373"/>
      <c r="BV46" s="374"/>
      <c r="BW46" s="373"/>
      <c r="BX46" s="373"/>
      <c r="BY46" s="373"/>
      <c r="BZ46" s="373"/>
      <c r="CA46" s="373"/>
      <c r="CB46" s="391"/>
      <c r="CC46" s="393"/>
      <c r="CD46" s="163"/>
      <c r="CE46" s="186"/>
      <c r="CF46" s="373"/>
      <c r="CG46" s="373"/>
      <c r="CH46" s="373"/>
      <c r="CI46" s="373"/>
      <c r="CJ46" s="373"/>
      <c r="CK46" s="373"/>
      <c r="CL46" s="374"/>
      <c r="CM46" s="373"/>
      <c r="CN46" s="373"/>
      <c r="CO46" s="373"/>
      <c r="CP46" s="373"/>
      <c r="CQ46" s="373"/>
      <c r="CR46" s="376"/>
      <c r="CS46" s="391"/>
      <c r="CT46" s="393"/>
      <c r="CU46" s="163"/>
      <c r="CV46" s="312"/>
      <c r="CW46" s="373"/>
      <c r="CX46" s="373"/>
      <c r="CY46" s="373"/>
      <c r="CZ46" s="373"/>
      <c r="DA46" s="373"/>
      <c r="DB46" s="373"/>
      <c r="DC46" s="374"/>
      <c r="DD46" s="373"/>
      <c r="DE46" s="373"/>
      <c r="DF46" s="373"/>
      <c r="DG46" s="373"/>
      <c r="DH46" s="373"/>
      <c r="DI46" s="391"/>
      <c r="DJ46" s="312"/>
      <c r="DK46" s="373"/>
      <c r="DL46" s="373"/>
      <c r="DM46" s="373"/>
      <c r="DN46" s="373"/>
      <c r="DO46" s="373"/>
      <c r="DP46" s="373"/>
      <c r="DQ46" s="374"/>
      <c r="DR46" s="373"/>
      <c r="DS46" s="373"/>
      <c r="DT46" s="373"/>
      <c r="DU46" s="373"/>
      <c r="DV46" s="373"/>
      <c r="DW46" s="391"/>
      <c r="DY46" s="373"/>
      <c r="DZ46" s="373"/>
      <c r="EA46" s="373"/>
      <c r="EB46" s="373"/>
      <c r="EC46" s="373"/>
      <c r="ED46" s="373"/>
      <c r="EE46" s="374"/>
      <c r="EF46" s="373"/>
      <c r="EG46" s="373"/>
      <c r="EH46" s="373"/>
      <c r="EI46" s="373"/>
      <c r="EJ46" s="373"/>
      <c r="EK46" s="375"/>
      <c r="EL46" s="164"/>
      <c r="EM46" s="373"/>
      <c r="EN46" s="373"/>
      <c r="EO46" s="373"/>
      <c r="EP46" s="373"/>
      <c r="EQ46" s="373"/>
      <c r="ER46" s="373"/>
      <c r="ES46" s="374"/>
      <c r="ET46" s="373"/>
      <c r="EU46" s="373"/>
      <c r="EV46" s="373"/>
      <c r="EW46" s="373"/>
      <c r="EX46" s="373"/>
      <c r="EY46" s="375"/>
      <c r="EZ46" s="164"/>
    </row>
    <row r="47" spans="1:156" s="173" customFormat="1" ht="17.25" customHeight="1">
      <c r="A47" s="173">
        <f>SUM(DY47:EI47)/SUM(DY19:EI19)</f>
        <v>0.36165634215955467</v>
      </c>
      <c r="B47" s="186">
        <v>35000010</v>
      </c>
      <c r="C47" s="186"/>
      <c r="D47" s="186"/>
      <c r="E47" s="187"/>
      <c r="F47" s="205" t="s">
        <v>1186</v>
      </c>
      <c r="G47" s="205"/>
      <c r="H47" s="373">
        <v>0</v>
      </c>
      <c r="I47" s="373">
        <v>0</v>
      </c>
      <c r="J47" s="373">
        <v>0</v>
      </c>
      <c r="K47" s="373">
        <v>0</v>
      </c>
      <c r="L47" s="373">
        <v>0</v>
      </c>
      <c r="M47" s="373">
        <v>0</v>
      </c>
      <c r="N47" s="374">
        <v>0</v>
      </c>
      <c r="O47" s="374">
        <v>0</v>
      </c>
      <c r="P47" s="374">
        <v>0</v>
      </c>
      <c r="Q47" s="802">
        <v>0</v>
      </c>
      <c r="R47" s="802">
        <v>0</v>
      </c>
      <c r="S47" s="802">
        <v>24835472.716996636</v>
      </c>
      <c r="T47" s="391">
        <f t="shared" ref="T47:T52" si="141">SUM(H47:S47)</f>
        <v>24835472.716996636</v>
      </c>
      <c r="U47" s="378">
        <f t="shared" ref="U47:U52" si="142">AJ47-T47</f>
        <v>13356901.583460394</v>
      </c>
      <c r="V47" s="165">
        <f t="shared" ref="V47:V52" si="143">U47/AJ47</f>
        <v>0.34972692397656352</v>
      </c>
      <c r="W47" s="947"/>
      <c r="X47" s="373">
        <v>806883.07080669794</v>
      </c>
      <c r="Y47" s="373">
        <v>1747930.8736630997</v>
      </c>
      <c r="Z47" s="373">
        <v>2014942.844233098</v>
      </c>
      <c r="AA47" s="373">
        <v>762874.5494610013</v>
      </c>
      <c r="AB47" s="373">
        <v>1644096.2937479964</v>
      </c>
      <c r="AC47" s="373">
        <v>1628022.9371620032</v>
      </c>
      <c r="AD47" s="374">
        <v>2018278.1902872962</v>
      </c>
      <c r="AE47" s="374">
        <v>3780442.5930295642</v>
      </c>
      <c r="AF47" s="374">
        <v>4669690.9694980998</v>
      </c>
      <c r="AG47" s="802">
        <v>2451861.5877216971</v>
      </c>
      <c r="AH47" s="802">
        <v>7320446.1146532996</v>
      </c>
      <c r="AI47" s="802">
        <v>9346904.2761931792</v>
      </c>
      <c r="AJ47" s="391">
        <f t="shared" ref="AJ47:AJ52" si="144">SUM(X47:AI47)</f>
        <v>38192374.300457031</v>
      </c>
      <c r="AK47" s="947"/>
      <c r="AL47" s="373">
        <v>0</v>
      </c>
      <c r="AM47" s="373">
        <v>0</v>
      </c>
      <c r="AN47" s="373">
        <v>0</v>
      </c>
      <c r="AO47" s="373">
        <v>0</v>
      </c>
      <c r="AP47" s="373">
        <v>0</v>
      </c>
      <c r="AQ47" s="373">
        <v>0</v>
      </c>
      <c r="AR47" s="374">
        <v>0</v>
      </c>
      <c r="AS47" s="374">
        <v>0</v>
      </c>
      <c r="AT47" s="374">
        <v>0</v>
      </c>
      <c r="AU47" s="802">
        <v>0</v>
      </c>
      <c r="AV47" s="802">
        <v>0</v>
      </c>
      <c r="AW47" s="802">
        <v>31930760.244113009</v>
      </c>
      <c r="AX47" s="391">
        <f t="shared" ref="AX47:AX52" si="145">SUM(AL47:AW47)</f>
        <v>31930760.244113009</v>
      </c>
      <c r="AY47" s="378">
        <f t="shared" ref="AY47:AY52" si="146">BN47-AX47</f>
        <v>-12139557.373044908</v>
      </c>
      <c r="AZ47" s="165">
        <f t="shared" ref="AZ47:AZ52" si="147">AY47/BN47</f>
        <v>-0.61338148328473752</v>
      </c>
      <c r="BA47" s="947"/>
      <c r="BB47" s="373">
        <v>936421.8731283457</v>
      </c>
      <c r="BC47" s="373">
        <v>558235.77990566648</v>
      </c>
      <c r="BD47" s="373">
        <v>1958395.2131407829</v>
      </c>
      <c r="BE47" s="373">
        <v>1131249.938173203</v>
      </c>
      <c r="BF47" s="373">
        <v>736553.33775499917</v>
      </c>
      <c r="BG47" s="373">
        <v>2167286.0796996029</v>
      </c>
      <c r="BH47" s="374">
        <v>2446116.4586271993</v>
      </c>
      <c r="BI47" s="374">
        <v>1891737.8349128973</v>
      </c>
      <c r="BJ47" s="374">
        <v>2948662.0858018985</v>
      </c>
      <c r="BK47" s="802">
        <v>2150400.635922303</v>
      </c>
      <c r="BL47" s="802">
        <v>268568.32317489665</v>
      </c>
      <c r="BM47" s="802">
        <v>2597575.3108263053</v>
      </c>
      <c r="BN47" s="391">
        <f t="shared" ref="BN47:BN52" si="148">SUM(BB47:BM47)</f>
        <v>19791202.871068101</v>
      </c>
      <c r="BO47" s="947"/>
      <c r="BP47" s="373">
        <v>487958.45622094028</v>
      </c>
      <c r="BQ47" s="373">
        <v>558009.53596459655</v>
      </c>
      <c r="BR47" s="373">
        <v>1509186.84029837</v>
      </c>
      <c r="BS47" s="373">
        <v>1170159.0439718643</v>
      </c>
      <c r="BT47" s="373">
        <v>1834305.4659027809</v>
      </c>
      <c r="BU47" s="373">
        <v>3903000.9384206138</v>
      </c>
      <c r="BV47" s="374">
        <v>1812134.5977178544</v>
      </c>
      <c r="BW47" s="374">
        <v>2682302.3697923427</v>
      </c>
      <c r="BX47" s="374">
        <v>5789175.5764156794</v>
      </c>
      <c r="BY47" s="802">
        <v>3954902.1197951795</v>
      </c>
      <c r="BZ47" s="802">
        <v>2745933.2519344487</v>
      </c>
      <c r="CA47" s="802">
        <v>3943928.8037358825</v>
      </c>
      <c r="CB47" s="391">
        <f t="shared" ref="CB47:CB52" si="149">SUM(BP47:CA47)</f>
        <v>30390997.000170555</v>
      </c>
      <c r="CC47" s="378">
        <f t="shared" ref="CC47:CC52" si="150">CB47-BN47</f>
        <v>10599794.129102454</v>
      </c>
      <c r="CD47" s="165">
        <f t="shared" ref="CD47:CD52" si="151">IFERROR(CC47/CB47,"N/A")</f>
        <v>0.34878073032756929</v>
      </c>
      <c r="CE47" s="205"/>
      <c r="CF47" s="373">
        <v>1690482.4170107567</v>
      </c>
      <c r="CG47" s="373">
        <v>3211961.1800711085</v>
      </c>
      <c r="CH47" s="373">
        <v>3116383.9274502001</v>
      </c>
      <c r="CI47" s="373">
        <v>1824595.82686779</v>
      </c>
      <c r="CJ47" s="373">
        <v>1910237.9645919986</v>
      </c>
      <c r="CK47" s="373">
        <v>2466431.46595091</v>
      </c>
      <c r="CL47" s="374">
        <v>2159809.6842905935</v>
      </c>
      <c r="CM47" s="374">
        <v>3008498.5733905993</v>
      </c>
      <c r="CN47" s="374">
        <v>8398105.5091350004</v>
      </c>
      <c r="CO47" s="802">
        <v>7026147.3649158012</v>
      </c>
      <c r="CP47" s="802">
        <v>6216687.4755284013</v>
      </c>
      <c r="CQ47" s="802">
        <v>686370.53699403303</v>
      </c>
      <c r="CR47" s="376">
        <v>0</v>
      </c>
      <c r="CS47" s="391">
        <f t="shared" ref="CS47:CS52" si="152">SUM(CF47:CR47)</f>
        <v>41715711.926197194</v>
      </c>
      <c r="CT47" s="378">
        <f t="shared" ref="CT47:CT52" si="153">CS47-BN47</f>
        <v>21924509.055129092</v>
      </c>
      <c r="CU47" s="165">
        <f t="shared" ref="CU47:CU52" si="154">IFERROR(CT47/CS47,"N/A")</f>
        <v>0.52556957661222714</v>
      </c>
      <c r="CV47" s="317"/>
      <c r="CW47" s="373">
        <v>3043219.5551537983</v>
      </c>
      <c r="CX47" s="373">
        <v>3262063.1206282042</v>
      </c>
      <c r="CY47" s="373">
        <v>4495082.717327565</v>
      </c>
      <c r="CZ47" s="373">
        <v>3818952.2259056829</v>
      </c>
      <c r="DA47" s="373">
        <v>1748737.8745440617</v>
      </c>
      <c r="DB47" s="373">
        <v>3067000.8590680398</v>
      </c>
      <c r="DC47" s="374">
        <v>2033155.3205698989</v>
      </c>
      <c r="DD47" s="374">
        <v>4111880.4532049038</v>
      </c>
      <c r="DE47" s="374">
        <v>5820352.8355000019</v>
      </c>
      <c r="DF47" s="802">
        <v>4610032.4068235978</v>
      </c>
      <c r="DG47" s="802">
        <v>2286905.2697550021</v>
      </c>
      <c r="DH47" s="802">
        <v>5455481.7432471886</v>
      </c>
      <c r="DI47" s="391">
        <f t="shared" ref="DI47:DI52" si="155">SUM(CW47:DH47)</f>
        <v>43752864.381727941</v>
      </c>
      <c r="DJ47" s="317"/>
      <c r="DK47" s="373">
        <v>4220027.9030000046</v>
      </c>
      <c r="DL47" s="373">
        <v>3361013.0207359456</v>
      </c>
      <c r="DM47" s="373">
        <v>5877982.2040457241</v>
      </c>
      <c r="DN47" s="373">
        <v>2107261.8464104496</v>
      </c>
      <c r="DO47" s="373">
        <v>3651614.0930441208</v>
      </c>
      <c r="DP47" s="373">
        <v>4227980.0304653756</v>
      </c>
      <c r="DQ47" s="374">
        <v>2335653.8549063392</v>
      </c>
      <c r="DR47" s="374">
        <v>3200013.4353868254</v>
      </c>
      <c r="DS47" s="374">
        <v>6369552.6883988716</v>
      </c>
      <c r="DT47" s="802">
        <v>3796286.4099980034</v>
      </c>
      <c r="DU47" s="802">
        <v>3914183.1341394149</v>
      </c>
      <c r="DV47" s="802">
        <v>4539977.7837455571</v>
      </c>
      <c r="DW47" s="391">
        <f t="shared" ref="DW47:DW52" si="156">SUM(DK47:DV47)</f>
        <v>47601546.404276639</v>
      </c>
      <c r="DY47" s="373">
        <v>4539642.566567678</v>
      </c>
      <c r="DZ47" s="373">
        <v>5073097.8355379552</v>
      </c>
      <c r="EA47" s="373">
        <v>4202132.9829234183</v>
      </c>
      <c r="EB47" s="373">
        <v>2405841.4380317479</v>
      </c>
      <c r="EC47" s="373">
        <v>5590351.2810263298</v>
      </c>
      <c r="ED47" s="373">
        <v>1971200.1416302882</v>
      </c>
      <c r="EE47" s="374">
        <v>2998414.7531073168</v>
      </c>
      <c r="EF47" s="374">
        <v>3114530.6773162819</v>
      </c>
      <c r="EG47" s="374">
        <v>5099530.6170424856</v>
      </c>
      <c r="EH47" s="802">
        <v>3793655.3446999975</v>
      </c>
      <c r="EI47" s="802">
        <v>4083678.9502999969</v>
      </c>
      <c r="EJ47" s="802">
        <v>4547963.2468000017</v>
      </c>
      <c r="EK47" s="391">
        <f t="shared" ref="EK47:EK52" si="157">SUM(DY47:EJ47)</f>
        <v>47420039.834983498</v>
      </c>
      <c r="EL47" s="164"/>
      <c r="EM47" s="373">
        <v>5375528.8634913657</v>
      </c>
      <c r="EN47" s="373">
        <v>2484811.2391668209</v>
      </c>
      <c r="EO47" s="373">
        <v>2096902.430340217</v>
      </c>
      <c r="EP47" s="373">
        <v>2964720.9486603406</v>
      </c>
      <c r="EQ47" s="373">
        <v>4094742.8030012259</v>
      </c>
      <c r="ER47" s="373">
        <v>2308798.2456170125</v>
      </c>
      <c r="ES47" s="374">
        <v>2678433.199500585</v>
      </c>
      <c r="ET47" s="374">
        <v>2692328.1567540788</v>
      </c>
      <c r="EU47" s="374">
        <v>3697999.8138828138</v>
      </c>
      <c r="EV47" s="802">
        <v>5805367.675216944</v>
      </c>
      <c r="EW47" s="802">
        <v>3335858.4781904281</v>
      </c>
      <c r="EX47" s="802">
        <v>2485681.7551786741</v>
      </c>
      <c r="EY47" s="391">
        <f>SUM(EM47:EX47)</f>
        <v>40021173.609000511</v>
      </c>
      <c r="EZ47" s="164"/>
    </row>
    <row r="48" spans="1:156" s="173" customFormat="1" ht="17.25" customHeight="1">
      <c r="A48" s="173">
        <f>SUM(DY48:EI48)/SUM(DY20:EI20)</f>
        <v>0.27261926278979848</v>
      </c>
      <c r="B48" s="186">
        <v>35200010</v>
      </c>
      <c r="C48" s="186"/>
      <c r="D48" s="186"/>
      <c r="E48" s="187"/>
      <c r="F48" s="205" t="s">
        <v>1187</v>
      </c>
      <c r="G48" s="205"/>
      <c r="H48" s="373">
        <v>0</v>
      </c>
      <c r="I48" s="373">
        <v>0</v>
      </c>
      <c r="J48" s="373">
        <v>0</v>
      </c>
      <c r="K48" s="373">
        <v>0</v>
      </c>
      <c r="L48" s="373">
        <v>0</v>
      </c>
      <c r="M48" s="373">
        <v>0</v>
      </c>
      <c r="N48" s="374">
        <v>0</v>
      </c>
      <c r="O48" s="374">
        <v>0</v>
      </c>
      <c r="P48" s="374">
        <v>0</v>
      </c>
      <c r="Q48" s="802">
        <v>0</v>
      </c>
      <c r="R48" s="802">
        <v>0</v>
      </c>
      <c r="S48" s="802">
        <v>39530330.142980985</v>
      </c>
      <c r="T48" s="391">
        <f t="shared" si="141"/>
        <v>39530330.142980985</v>
      </c>
      <c r="U48" s="378">
        <f t="shared" si="142"/>
        <v>-15284076.492980987</v>
      </c>
      <c r="V48" s="165">
        <f t="shared" si="143"/>
        <v>-0.63036858038400456</v>
      </c>
      <c r="W48" s="947"/>
      <c r="X48" s="373">
        <v>4011402.54</v>
      </c>
      <c r="Y48" s="373">
        <v>1492902.79</v>
      </c>
      <c r="Z48" s="373">
        <v>428338.24</v>
      </c>
      <c r="AA48" s="373">
        <v>463129.5</v>
      </c>
      <c r="AB48" s="373">
        <v>269339.43</v>
      </c>
      <c r="AC48" s="373">
        <v>1008787.93</v>
      </c>
      <c r="AD48" s="374">
        <v>2862320.59</v>
      </c>
      <c r="AE48" s="374">
        <v>8473505.7599999998</v>
      </c>
      <c r="AF48" s="374">
        <v>5013200.08</v>
      </c>
      <c r="AG48" s="802">
        <v>-1195800.81</v>
      </c>
      <c r="AH48" s="802">
        <v>993406.88</v>
      </c>
      <c r="AI48" s="802">
        <v>425720.72</v>
      </c>
      <c r="AJ48" s="391">
        <f t="shared" si="144"/>
        <v>24246253.649999999</v>
      </c>
      <c r="AK48" s="947"/>
      <c r="AL48" s="373">
        <v>0</v>
      </c>
      <c r="AM48" s="373">
        <v>0</v>
      </c>
      <c r="AN48" s="373">
        <v>0</v>
      </c>
      <c r="AO48" s="373">
        <v>0</v>
      </c>
      <c r="AP48" s="373">
        <v>0</v>
      </c>
      <c r="AQ48" s="373">
        <v>0</v>
      </c>
      <c r="AR48" s="374">
        <v>0</v>
      </c>
      <c r="AS48" s="374">
        <v>0</v>
      </c>
      <c r="AT48" s="374">
        <v>0</v>
      </c>
      <c r="AU48" s="802">
        <v>0</v>
      </c>
      <c r="AV48" s="802">
        <v>0</v>
      </c>
      <c r="AW48" s="802">
        <v>44220717.139960177</v>
      </c>
      <c r="AX48" s="391">
        <f t="shared" si="145"/>
        <v>44220717.139960177</v>
      </c>
      <c r="AY48" s="378">
        <f t="shared" si="146"/>
        <v>-22434661.319960177</v>
      </c>
      <c r="AZ48" s="165">
        <f t="shared" si="147"/>
        <v>-1.0297715890071641</v>
      </c>
      <c r="BA48" s="947"/>
      <c r="BB48" s="373">
        <v>0</v>
      </c>
      <c r="BC48" s="373">
        <v>0</v>
      </c>
      <c r="BD48" s="373">
        <v>0</v>
      </c>
      <c r="BE48" s="373">
        <v>0</v>
      </c>
      <c r="BF48" s="373">
        <v>0</v>
      </c>
      <c r="BG48" s="373">
        <v>549801.78</v>
      </c>
      <c r="BH48" s="374">
        <v>552154.12</v>
      </c>
      <c r="BI48" s="374">
        <v>3283493.72</v>
      </c>
      <c r="BJ48" s="374">
        <v>3850897.48</v>
      </c>
      <c r="BK48" s="802">
        <v>6895410.2599999998</v>
      </c>
      <c r="BL48" s="802">
        <v>4367639.9800000004</v>
      </c>
      <c r="BM48" s="802">
        <v>2286658.48</v>
      </c>
      <c r="BN48" s="391">
        <f t="shared" si="148"/>
        <v>21786055.82</v>
      </c>
      <c r="BO48" s="947"/>
      <c r="BP48" s="373">
        <v>0</v>
      </c>
      <c r="BQ48" s="373">
        <v>0</v>
      </c>
      <c r="BR48" s="373">
        <v>434592.74071252981</v>
      </c>
      <c r="BS48" s="373">
        <v>0</v>
      </c>
      <c r="BT48" s="373">
        <v>3006911.935740747</v>
      </c>
      <c r="BU48" s="373">
        <v>5684942.8785098493</v>
      </c>
      <c r="BV48" s="374">
        <v>1550438.9668663226</v>
      </c>
      <c r="BW48" s="374">
        <v>6789043.354914655</v>
      </c>
      <c r="BX48" s="374">
        <v>4721791.3990928913</v>
      </c>
      <c r="BY48" s="802">
        <v>3523724.924696188</v>
      </c>
      <c r="BZ48" s="802">
        <v>0</v>
      </c>
      <c r="CA48" s="802">
        <v>8213802.7994668139</v>
      </c>
      <c r="CB48" s="391">
        <f t="shared" si="149"/>
        <v>33925248.999999993</v>
      </c>
      <c r="CC48" s="378">
        <f t="shared" si="150"/>
        <v>12139193.179999992</v>
      </c>
      <c r="CD48" s="165">
        <f t="shared" si="151"/>
        <v>0.3578217857737756</v>
      </c>
      <c r="CE48" s="205"/>
      <c r="CF48" s="373">
        <v>1275320.19</v>
      </c>
      <c r="CG48" s="373">
        <v>2206465.02</v>
      </c>
      <c r="CH48" s="373">
        <v>1576415.87</v>
      </c>
      <c r="CI48" s="373">
        <v>799512</v>
      </c>
      <c r="CJ48" s="373">
        <v>3558706.53</v>
      </c>
      <c r="CK48" s="373">
        <v>904192.23</v>
      </c>
      <c r="CL48" s="374">
        <v>9801737.4399999995</v>
      </c>
      <c r="CM48" s="374">
        <v>3115386.68</v>
      </c>
      <c r="CN48" s="374">
        <v>425863.19</v>
      </c>
      <c r="CO48" s="802">
        <v>2884060.11</v>
      </c>
      <c r="CP48" s="802">
        <v>5005717.8899999997</v>
      </c>
      <c r="CQ48" s="802">
        <v>3584665.03</v>
      </c>
      <c r="CR48" s="376">
        <v>0</v>
      </c>
      <c r="CS48" s="391">
        <f t="shared" si="152"/>
        <v>35138042.18</v>
      </c>
      <c r="CT48" s="378">
        <f t="shared" si="153"/>
        <v>13351986.359999999</v>
      </c>
      <c r="CU48" s="165">
        <f t="shared" si="154"/>
        <v>0.37998663362068968</v>
      </c>
      <c r="CV48" s="317"/>
      <c r="CW48" s="373">
        <v>3909246.3659462067</v>
      </c>
      <c r="CX48" s="373">
        <v>1576076.0601717934</v>
      </c>
      <c r="CY48" s="373">
        <v>1726660.8633724339</v>
      </c>
      <c r="CZ48" s="373">
        <v>1967861.0379943149</v>
      </c>
      <c r="DA48" s="373">
        <v>575772.70815594029</v>
      </c>
      <c r="DB48" s="373">
        <v>1279720.0037319625</v>
      </c>
      <c r="DC48" s="374">
        <v>2673587.3620301015</v>
      </c>
      <c r="DD48" s="374">
        <v>5828079.577695095</v>
      </c>
      <c r="DE48" s="374">
        <v>6257823.2999999998</v>
      </c>
      <c r="DF48" s="802">
        <v>1780884.09</v>
      </c>
      <c r="DG48" s="802">
        <v>2916662.29</v>
      </c>
      <c r="DH48" s="802">
        <v>1950918.48</v>
      </c>
      <c r="DI48" s="391">
        <f t="shared" si="155"/>
        <v>32443292.139097851</v>
      </c>
      <c r="DJ48" s="317"/>
      <c r="DK48" s="373">
        <v>0</v>
      </c>
      <c r="DL48" s="373">
        <v>1451060.1431898966</v>
      </c>
      <c r="DM48" s="373">
        <v>3437584.8472805326</v>
      </c>
      <c r="DN48" s="373">
        <v>1426245.4478909553</v>
      </c>
      <c r="DO48" s="373">
        <v>1689039.5344558796</v>
      </c>
      <c r="DP48" s="373">
        <v>3674231.3873346206</v>
      </c>
      <c r="DQ48" s="374">
        <v>5746521.7203936642</v>
      </c>
      <c r="DR48" s="374">
        <v>2201600.240713174</v>
      </c>
      <c r="DS48" s="374">
        <v>4059960.8112011277</v>
      </c>
      <c r="DT48" s="802">
        <v>3908040.6260019904</v>
      </c>
      <c r="DU48" s="802">
        <v>-426129.58420087502</v>
      </c>
      <c r="DV48" s="802">
        <v>2345123.3275925922</v>
      </c>
      <c r="DW48" s="391">
        <f t="shared" si="156"/>
        <v>29513278.501853563</v>
      </c>
      <c r="DY48" s="373">
        <v>-174772.14656767526</v>
      </c>
      <c r="DZ48" s="373">
        <v>2956248.6644620448</v>
      </c>
      <c r="EA48" s="373">
        <v>-395157.98322918842</v>
      </c>
      <c r="EB48" s="373">
        <v>2011482.7475268501</v>
      </c>
      <c r="EC48" s="373">
        <v>2893526.4189736755</v>
      </c>
      <c r="ED48" s="373">
        <v>2717758.338369709</v>
      </c>
      <c r="EE48" s="374">
        <v>3456385.7781926836</v>
      </c>
      <c r="EF48" s="374">
        <v>3208074.43</v>
      </c>
      <c r="EG48" s="374">
        <v>777942.51875751291</v>
      </c>
      <c r="EH48" s="802">
        <v>3195175.76</v>
      </c>
      <c r="EI48" s="802">
        <v>1722122.2</v>
      </c>
      <c r="EJ48" s="802">
        <v>1781565.72</v>
      </c>
      <c r="EK48" s="391">
        <f t="shared" si="157"/>
        <v>24150352.446485613</v>
      </c>
      <c r="EL48" s="164"/>
      <c r="EM48" s="373">
        <v>0</v>
      </c>
      <c r="EN48" s="373">
        <v>2014056.1700128056</v>
      </c>
      <c r="EO48" s="373">
        <v>1818077.9420487003</v>
      </c>
      <c r="EP48" s="373">
        <v>0</v>
      </c>
      <c r="EQ48" s="373">
        <v>2629548.2979550823</v>
      </c>
      <c r="ER48" s="373">
        <v>4021277.0952936662</v>
      </c>
      <c r="ES48" s="374">
        <v>4169911.0755311823</v>
      </c>
      <c r="ET48" s="374">
        <v>4054231.604371368</v>
      </c>
      <c r="EU48" s="374">
        <v>0</v>
      </c>
      <c r="EV48" s="802">
        <v>3589057.6395360073</v>
      </c>
      <c r="EW48" s="802">
        <v>3048763.7833495145</v>
      </c>
      <c r="EX48" s="802">
        <v>2158629.8996135755</v>
      </c>
      <c r="EY48" s="391">
        <f>SUM(EM48:EX48)</f>
        <v>27503553.507711902</v>
      </c>
      <c r="EZ48" s="164"/>
    </row>
    <row r="49" spans="1:156" s="173" customFormat="1" ht="17.25" customHeight="1">
      <c r="A49" s="173">
        <f>SUM(DY49:EI49)/SUM(DY21:EI21)</f>
        <v>0.28542345350197396</v>
      </c>
      <c r="B49" s="186">
        <v>35300010</v>
      </c>
      <c r="C49" s="186"/>
      <c r="D49" s="186"/>
      <c r="E49" s="187"/>
      <c r="F49" s="205" t="s">
        <v>1188</v>
      </c>
      <c r="G49" s="205"/>
      <c r="H49" s="373">
        <v>0</v>
      </c>
      <c r="I49" s="373">
        <v>0</v>
      </c>
      <c r="J49" s="373">
        <v>0</v>
      </c>
      <c r="K49" s="373">
        <v>0</v>
      </c>
      <c r="L49" s="373">
        <v>0</v>
      </c>
      <c r="M49" s="373">
        <v>0</v>
      </c>
      <c r="N49" s="374">
        <v>0</v>
      </c>
      <c r="O49" s="374">
        <v>0</v>
      </c>
      <c r="P49" s="374">
        <v>0</v>
      </c>
      <c r="Q49" s="802">
        <v>0</v>
      </c>
      <c r="R49" s="802">
        <v>0</v>
      </c>
      <c r="S49" s="802">
        <v>459828.30943152262</v>
      </c>
      <c r="T49" s="391">
        <f t="shared" si="141"/>
        <v>459828.30943152262</v>
      </c>
      <c r="U49" s="378">
        <f t="shared" si="142"/>
        <v>-459828.30943152262</v>
      </c>
      <c r="V49" s="165" t="e">
        <f t="shared" si="143"/>
        <v>#DIV/0!</v>
      </c>
      <c r="W49" s="947"/>
      <c r="X49" s="373">
        <v>0</v>
      </c>
      <c r="Y49" s="373">
        <v>0</v>
      </c>
      <c r="Z49" s="373">
        <v>0</v>
      </c>
      <c r="AA49" s="373">
        <v>0</v>
      </c>
      <c r="AB49" s="373">
        <v>0</v>
      </c>
      <c r="AC49" s="373">
        <v>0</v>
      </c>
      <c r="AD49" s="374">
        <v>0</v>
      </c>
      <c r="AE49" s="374">
        <v>0</v>
      </c>
      <c r="AF49" s="374">
        <v>0</v>
      </c>
      <c r="AG49" s="802">
        <v>0</v>
      </c>
      <c r="AH49" s="802">
        <v>0</v>
      </c>
      <c r="AI49" s="802">
        <v>0</v>
      </c>
      <c r="AJ49" s="391">
        <f t="shared" si="144"/>
        <v>0</v>
      </c>
      <c r="AK49" s="947"/>
      <c r="AL49" s="373">
        <v>0</v>
      </c>
      <c r="AM49" s="373">
        <v>0</v>
      </c>
      <c r="AN49" s="373">
        <v>0</v>
      </c>
      <c r="AO49" s="373">
        <v>0</v>
      </c>
      <c r="AP49" s="373">
        <v>0</v>
      </c>
      <c r="AQ49" s="373">
        <v>0</v>
      </c>
      <c r="AR49" s="374">
        <v>0</v>
      </c>
      <c r="AS49" s="374">
        <v>0</v>
      </c>
      <c r="AT49" s="374">
        <v>0</v>
      </c>
      <c r="AU49" s="802">
        <v>0</v>
      </c>
      <c r="AV49" s="802">
        <v>0</v>
      </c>
      <c r="AW49" s="802">
        <v>679144.19809333771</v>
      </c>
      <c r="AX49" s="391">
        <f t="shared" si="145"/>
        <v>679144.19809333771</v>
      </c>
      <c r="AY49" s="378">
        <f t="shared" si="146"/>
        <v>921503.05190666229</v>
      </c>
      <c r="AZ49" s="165">
        <f t="shared" si="147"/>
        <v>0.57570651616504653</v>
      </c>
      <c r="BA49" s="947"/>
      <c r="BB49" s="373">
        <v>0</v>
      </c>
      <c r="BC49" s="373">
        <v>0</v>
      </c>
      <c r="BD49" s="373">
        <v>608206.54</v>
      </c>
      <c r="BE49" s="373">
        <v>0</v>
      </c>
      <c r="BF49" s="373">
        <v>0</v>
      </c>
      <c r="BG49" s="373">
        <v>0</v>
      </c>
      <c r="BH49" s="374">
        <v>0</v>
      </c>
      <c r="BI49" s="374">
        <v>0</v>
      </c>
      <c r="BJ49" s="374">
        <v>0</v>
      </c>
      <c r="BK49" s="802">
        <v>0</v>
      </c>
      <c r="BL49" s="802">
        <v>0</v>
      </c>
      <c r="BM49" s="802">
        <v>992440.71</v>
      </c>
      <c r="BN49" s="391">
        <f t="shared" si="148"/>
        <v>1600647.25</v>
      </c>
      <c r="BO49" s="947"/>
      <c r="BP49" s="373">
        <v>0</v>
      </c>
      <c r="BQ49" s="373">
        <v>0</v>
      </c>
      <c r="BR49" s="373">
        <v>250544.6216216216</v>
      </c>
      <c r="BS49" s="373">
        <v>0</v>
      </c>
      <c r="BT49" s="373">
        <v>0</v>
      </c>
      <c r="BU49" s="373">
        <v>0</v>
      </c>
      <c r="BV49" s="374">
        <v>0</v>
      </c>
      <c r="BW49" s="374">
        <v>0</v>
      </c>
      <c r="BX49" s="374">
        <v>0</v>
      </c>
      <c r="BY49" s="802">
        <v>0</v>
      </c>
      <c r="BZ49" s="802">
        <v>0</v>
      </c>
      <c r="CA49" s="802">
        <v>1434937.3783783782</v>
      </c>
      <c r="CB49" s="391">
        <f t="shared" si="149"/>
        <v>1685481.9999999998</v>
      </c>
      <c r="CC49" s="378">
        <f t="shared" si="150"/>
        <v>84834.749999999767</v>
      </c>
      <c r="CD49" s="165">
        <f t="shared" si="151"/>
        <v>5.0332634819001201E-2</v>
      </c>
      <c r="CE49" s="205"/>
      <c r="CF49" s="373">
        <v>0</v>
      </c>
      <c r="CG49" s="373">
        <v>-39956.800000000003</v>
      </c>
      <c r="CH49" s="373">
        <v>245899.21</v>
      </c>
      <c r="CI49" s="373">
        <v>0</v>
      </c>
      <c r="CJ49" s="373">
        <v>0</v>
      </c>
      <c r="CK49" s="373">
        <v>0</v>
      </c>
      <c r="CL49" s="374">
        <v>0</v>
      </c>
      <c r="CM49" s="374">
        <v>0</v>
      </c>
      <c r="CN49" s="374">
        <v>0</v>
      </c>
      <c r="CO49" s="802">
        <v>0</v>
      </c>
      <c r="CP49" s="802">
        <v>0</v>
      </c>
      <c r="CQ49" s="802">
        <v>1045207.61</v>
      </c>
      <c r="CR49" s="376">
        <v>0</v>
      </c>
      <c r="CS49" s="391">
        <f t="shared" si="152"/>
        <v>1251150.02</v>
      </c>
      <c r="CT49" s="378">
        <f t="shared" si="153"/>
        <v>-349497.23</v>
      </c>
      <c r="CU49" s="165">
        <f t="shared" si="154"/>
        <v>-0.27934078600742057</v>
      </c>
      <c r="CV49" s="317"/>
      <c r="CW49" s="373">
        <v>0</v>
      </c>
      <c r="CX49" s="373">
        <v>0</v>
      </c>
      <c r="CY49" s="373">
        <v>0</v>
      </c>
      <c r="CZ49" s="373">
        <v>0</v>
      </c>
      <c r="DA49" s="373">
        <v>138622.78</v>
      </c>
      <c r="DB49" s="373">
        <v>0</v>
      </c>
      <c r="DC49" s="374">
        <v>529230.31000000006</v>
      </c>
      <c r="DD49" s="374">
        <v>0</v>
      </c>
      <c r="DE49" s="374">
        <v>291149.93000000005</v>
      </c>
      <c r="DF49" s="802">
        <v>0</v>
      </c>
      <c r="DG49" s="802">
        <v>0</v>
      </c>
      <c r="DH49" s="802">
        <v>275502.87</v>
      </c>
      <c r="DI49" s="391">
        <f t="shared" si="155"/>
        <v>1234505.8900000001</v>
      </c>
      <c r="DJ49" s="317"/>
      <c r="DK49" s="373">
        <v>0</v>
      </c>
      <c r="DL49" s="373">
        <v>207288.13007415977</v>
      </c>
      <c r="DM49" s="373">
        <v>78730.17027374373</v>
      </c>
      <c r="DN49" s="373">
        <v>482691.86629859783</v>
      </c>
      <c r="DO49" s="373">
        <v>0</v>
      </c>
      <c r="DP49" s="373">
        <v>0</v>
      </c>
      <c r="DQ49" s="374">
        <v>0</v>
      </c>
      <c r="DR49" s="374">
        <v>0</v>
      </c>
      <c r="DS49" s="374">
        <v>0</v>
      </c>
      <c r="DT49" s="802">
        <v>0</v>
      </c>
      <c r="DU49" s="802">
        <v>-53911.572738546296</v>
      </c>
      <c r="DV49" s="802">
        <v>365943.95156184951</v>
      </c>
      <c r="DW49" s="391">
        <f t="shared" si="156"/>
        <v>1080742.5454698044</v>
      </c>
      <c r="DY49" s="373">
        <v>0</v>
      </c>
      <c r="DZ49" s="373">
        <v>0</v>
      </c>
      <c r="EA49" s="373">
        <v>-4438.6596942339102</v>
      </c>
      <c r="EB49" s="373">
        <v>105605.26444140155</v>
      </c>
      <c r="EC49" s="373">
        <v>713084.59</v>
      </c>
      <c r="ED49" s="373">
        <v>-100000</v>
      </c>
      <c r="EE49" s="374">
        <v>0</v>
      </c>
      <c r="EF49" s="374">
        <v>0</v>
      </c>
      <c r="EG49" s="374">
        <v>0</v>
      </c>
      <c r="EH49" s="802">
        <v>0</v>
      </c>
      <c r="EI49" s="802">
        <v>-7519.89</v>
      </c>
      <c r="EJ49" s="802">
        <v>429066.91</v>
      </c>
      <c r="EK49" s="391">
        <f t="shared" si="157"/>
        <v>1135798.2147471677</v>
      </c>
      <c r="EL49" s="164"/>
      <c r="EM49" s="373">
        <v>189095.0227877571</v>
      </c>
      <c r="EN49" s="373">
        <v>0</v>
      </c>
      <c r="EO49" s="373">
        <v>321357.353714425</v>
      </c>
      <c r="EP49" s="373">
        <v>0</v>
      </c>
      <c r="EQ49" s="373">
        <v>0</v>
      </c>
      <c r="ER49" s="373">
        <v>367785.6368071303</v>
      </c>
      <c r="ES49" s="374">
        <v>0</v>
      </c>
      <c r="ET49" s="374">
        <v>0</v>
      </c>
      <c r="EU49" s="374">
        <v>0</v>
      </c>
      <c r="EV49" s="802">
        <v>0</v>
      </c>
      <c r="EW49" s="802">
        <v>173286.37856555634</v>
      </c>
      <c r="EX49" s="802">
        <v>0</v>
      </c>
      <c r="EY49" s="391">
        <f>SUM(EM49:EX49)</f>
        <v>1051524.3918748687</v>
      </c>
      <c r="EZ49" s="164"/>
    </row>
    <row r="50" spans="1:156" s="155" customFormat="1" ht="17.25" customHeight="1">
      <c r="B50" s="199"/>
      <c r="C50" s="199"/>
      <c r="D50" s="199"/>
      <c r="E50" s="187"/>
      <c r="F50" s="199" t="s">
        <v>1189</v>
      </c>
      <c r="G50" s="199"/>
      <c r="H50" s="379">
        <f>SUM(H47:H49)</f>
        <v>0</v>
      </c>
      <c r="I50" s="379">
        <f t="shared" ref="I50:S50" si="158">SUM(I47:I49)</f>
        <v>0</v>
      </c>
      <c r="J50" s="379">
        <f t="shared" si="158"/>
        <v>0</v>
      </c>
      <c r="K50" s="379">
        <f t="shared" si="158"/>
        <v>0</v>
      </c>
      <c r="L50" s="379">
        <f t="shared" si="158"/>
        <v>0</v>
      </c>
      <c r="M50" s="379">
        <f t="shared" si="158"/>
        <v>0</v>
      </c>
      <c r="N50" s="717">
        <f t="shared" si="158"/>
        <v>0</v>
      </c>
      <c r="O50" s="717">
        <f t="shared" si="158"/>
        <v>0</v>
      </c>
      <c r="P50" s="717">
        <f t="shared" si="158"/>
        <v>0</v>
      </c>
      <c r="Q50" s="780">
        <f t="shared" si="158"/>
        <v>0</v>
      </c>
      <c r="R50" s="717">
        <f t="shared" si="158"/>
        <v>0</v>
      </c>
      <c r="S50" s="717">
        <f t="shared" si="158"/>
        <v>64825631.169409141</v>
      </c>
      <c r="T50" s="375">
        <f t="shared" si="141"/>
        <v>64825631.169409141</v>
      </c>
      <c r="U50" s="378">
        <f t="shared" si="142"/>
        <v>-2387003.2189521119</v>
      </c>
      <c r="V50" s="165">
        <f t="shared" si="143"/>
        <v>-3.822959115703374E-2</v>
      </c>
      <c r="W50" s="922"/>
      <c r="X50" s="379">
        <f>SUM(X47:X49)</f>
        <v>4818285.610806698</v>
      </c>
      <c r="Y50" s="379">
        <f t="shared" ref="Y50:AI50" si="159">SUM(Y47:Y49)</f>
        <v>3240833.6636630995</v>
      </c>
      <c r="Z50" s="379">
        <f t="shared" si="159"/>
        <v>2443281.0842330977</v>
      </c>
      <c r="AA50" s="379">
        <f t="shared" si="159"/>
        <v>1226004.0494610013</v>
      </c>
      <c r="AB50" s="379">
        <f t="shared" si="159"/>
        <v>1913435.7237479964</v>
      </c>
      <c r="AC50" s="379">
        <f t="shared" si="159"/>
        <v>2636810.8671620032</v>
      </c>
      <c r="AD50" s="717">
        <f t="shared" si="159"/>
        <v>4880598.7802872956</v>
      </c>
      <c r="AE50" s="717">
        <f t="shared" si="159"/>
        <v>12253948.353029564</v>
      </c>
      <c r="AF50" s="717">
        <f t="shared" si="159"/>
        <v>9682891.0494980998</v>
      </c>
      <c r="AG50" s="780">
        <f t="shared" si="159"/>
        <v>1256060.777721697</v>
      </c>
      <c r="AH50" s="717">
        <f t="shared" si="159"/>
        <v>8313852.9946532995</v>
      </c>
      <c r="AI50" s="717">
        <f t="shared" si="159"/>
        <v>9772624.9961931799</v>
      </c>
      <c r="AJ50" s="375">
        <f t="shared" si="144"/>
        <v>62438627.950457029</v>
      </c>
      <c r="AK50" s="922"/>
      <c r="AL50" s="379">
        <f>SUM(AL47:AL49)</f>
        <v>0</v>
      </c>
      <c r="AM50" s="379">
        <f t="shared" ref="AM50:AW50" si="160">SUM(AM47:AM49)</f>
        <v>0</v>
      </c>
      <c r="AN50" s="379">
        <f t="shared" si="160"/>
        <v>0</v>
      </c>
      <c r="AO50" s="379">
        <f t="shared" si="160"/>
        <v>0</v>
      </c>
      <c r="AP50" s="379">
        <f t="shared" si="160"/>
        <v>0</v>
      </c>
      <c r="AQ50" s="379">
        <f t="shared" si="160"/>
        <v>0</v>
      </c>
      <c r="AR50" s="717">
        <f t="shared" si="160"/>
        <v>0</v>
      </c>
      <c r="AS50" s="717">
        <f t="shared" si="160"/>
        <v>0</v>
      </c>
      <c r="AT50" s="717">
        <f t="shared" si="160"/>
        <v>0</v>
      </c>
      <c r="AU50" s="780">
        <f t="shared" si="160"/>
        <v>0</v>
      </c>
      <c r="AV50" s="717">
        <f t="shared" si="160"/>
        <v>0</v>
      </c>
      <c r="AW50" s="717">
        <f t="shared" si="160"/>
        <v>76830621.582166523</v>
      </c>
      <c r="AX50" s="375">
        <f t="shared" si="145"/>
        <v>76830621.582166523</v>
      </c>
      <c r="AY50" s="378">
        <f t="shared" si="146"/>
        <v>-33652715.641098417</v>
      </c>
      <c r="AZ50" s="165">
        <f t="shared" si="147"/>
        <v>-0.77939665918559686</v>
      </c>
      <c r="BA50" s="922"/>
      <c r="BB50" s="379">
        <f>SUM(BB47:BB49)</f>
        <v>936421.8731283457</v>
      </c>
      <c r="BC50" s="379">
        <f t="shared" ref="BC50:BM50" si="161">SUM(BC47:BC49)</f>
        <v>558235.77990566648</v>
      </c>
      <c r="BD50" s="379">
        <f t="shared" si="161"/>
        <v>2566601.7531407829</v>
      </c>
      <c r="BE50" s="379">
        <f t="shared" si="161"/>
        <v>1131249.938173203</v>
      </c>
      <c r="BF50" s="379">
        <f t="shared" si="161"/>
        <v>736553.33775499917</v>
      </c>
      <c r="BG50" s="379">
        <f t="shared" si="161"/>
        <v>2717087.8596996032</v>
      </c>
      <c r="BH50" s="717">
        <f t="shared" si="161"/>
        <v>2998270.5786271994</v>
      </c>
      <c r="BI50" s="717">
        <f t="shared" si="161"/>
        <v>5175231.5549128978</v>
      </c>
      <c r="BJ50" s="717">
        <f t="shared" si="161"/>
        <v>6799559.565801898</v>
      </c>
      <c r="BK50" s="780">
        <f t="shared" si="161"/>
        <v>9045810.8959223032</v>
      </c>
      <c r="BL50" s="717">
        <f t="shared" si="161"/>
        <v>4636208.3031748971</v>
      </c>
      <c r="BM50" s="717">
        <f t="shared" si="161"/>
        <v>5876674.5008263057</v>
      </c>
      <c r="BN50" s="375">
        <f t="shared" si="148"/>
        <v>43177905.941068105</v>
      </c>
      <c r="BO50" s="922"/>
      <c r="BP50" s="379">
        <f>SUM(BP47:BP49)</f>
        <v>487958.45622094028</v>
      </c>
      <c r="BQ50" s="379">
        <f t="shared" ref="BQ50:CA50" si="162">SUM(BQ47:BQ49)</f>
        <v>558009.53596459655</v>
      </c>
      <c r="BR50" s="379">
        <f t="shared" si="162"/>
        <v>2194324.2026325213</v>
      </c>
      <c r="BS50" s="379">
        <f t="shared" si="162"/>
        <v>1170159.0439718643</v>
      </c>
      <c r="BT50" s="379">
        <f t="shared" si="162"/>
        <v>4841217.4016435277</v>
      </c>
      <c r="BU50" s="379">
        <f t="shared" si="162"/>
        <v>9587943.8169304635</v>
      </c>
      <c r="BV50" s="717">
        <f t="shared" si="162"/>
        <v>3362573.564584177</v>
      </c>
      <c r="BW50" s="717">
        <f t="shared" si="162"/>
        <v>9471345.7247069981</v>
      </c>
      <c r="BX50" s="717">
        <f t="shared" si="162"/>
        <v>10510966.975508571</v>
      </c>
      <c r="BY50" s="780">
        <f t="shared" si="162"/>
        <v>7478627.0444913674</v>
      </c>
      <c r="BZ50" s="717">
        <f t="shared" si="162"/>
        <v>2745933.2519344487</v>
      </c>
      <c r="CA50" s="717">
        <f t="shared" si="162"/>
        <v>13592668.981581075</v>
      </c>
      <c r="CB50" s="375">
        <f t="shared" si="149"/>
        <v>66001728.000170544</v>
      </c>
      <c r="CC50" s="378">
        <f t="shared" si="150"/>
        <v>22823822.059102438</v>
      </c>
      <c r="CD50" s="165">
        <f t="shared" si="151"/>
        <v>0.34580643190195659</v>
      </c>
      <c r="CE50" s="199"/>
      <c r="CF50" s="379">
        <f>SUM(CF47:CF49)</f>
        <v>2965802.6070107566</v>
      </c>
      <c r="CG50" s="379">
        <f t="shared" ref="CG50:CR50" si="163">SUM(CG47:CG49)</f>
        <v>5378469.4000711087</v>
      </c>
      <c r="CH50" s="379">
        <f t="shared" si="163"/>
        <v>4938699.0074501997</v>
      </c>
      <c r="CI50" s="379">
        <f t="shared" si="163"/>
        <v>2624107.82686779</v>
      </c>
      <c r="CJ50" s="379">
        <f t="shared" si="163"/>
        <v>5468944.4945919979</v>
      </c>
      <c r="CK50" s="379">
        <f t="shared" si="163"/>
        <v>3370623.69595091</v>
      </c>
      <c r="CL50" s="717">
        <f t="shared" si="163"/>
        <v>11961547.124290593</v>
      </c>
      <c r="CM50" s="717">
        <f t="shared" si="163"/>
        <v>6123885.253390599</v>
      </c>
      <c r="CN50" s="717">
        <f t="shared" si="163"/>
        <v>8823968.6991349999</v>
      </c>
      <c r="CO50" s="780">
        <f t="shared" si="163"/>
        <v>9910207.4749158006</v>
      </c>
      <c r="CP50" s="717">
        <f t="shared" si="163"/>
        <v>11222405.365528401</v>
      </c>
      <c r="CQ50" s="717">
        <f t="shared" si="163"/>
        <v>5316243.1769940332</v>
      </c>
      <c r="CR50" s="382">
        <f t="shared" si="163"/>
        <v>0</v>
      </c>
      <c r="CS50" s="375">
        <f t="shared" si="152"/>
        <v>78104904.126197189</v>
      </c>
      <c r="CT50" s="378">
        <f t="shared" si="153"/>
        <v>34926998.185129084</v>
      </c>
      <c r="CU50" s="165">
        <f t="shared" si="154"/>
        <v>0.44718060377740365</v>
      </c>
      <c r="CV50" s="202"/>
      <c r="CW50" s="379">
        <f>SUM(CW47:CW49)</f>
        <v>6952465.9211000055</v>
      </c>
      <c r="CX50" s="379">
        <f t="shared" ref="CX50:DH50" si="164">SUM(CX47:CX49)</f>
        <v>4838139.1807999974</v>
      </c>
      <c r="CY50" s="379">
        <f t="shared" si="164"/>
        <v>6221743.5806999989</v>
      </c>
      <c r="CZ50" s="379">
        <f t="shared" si="164"/>
        <v>5786813.2638999978</v>
      </c>
      <c r="DA50" s="379">
        <f t="shared" si="164"/>
        <v>2463133.3627000018</v>
      </c>
      <c r="DB50" s="379">
        <f t="shared" si="164"/>
        <v>4346720.8628000021</v>
      </c>
      <c r="DC50" s="717">
        <f t="shared" si="164"/>
        <v>5235972.9926000014</v>
      </c>
      <c r="DD50" s="717">
        <f t="shared" si="164"/>
        <v>9939960.0308999978</v>
      </c>
      <c r="DE50" s="717">
        <f t="shared" si="164"/>
        <v>12369326.065500002</v>
      </c>
      <c r="DF50" s="780">
        <f t="shared" si="164"/>
        <v>6390916.4968235977</v>
      </c>
      <c r="DG50" s="717">
        <f t="shared" si="164"/>
        <v>5203567.5597550021</v>
      </c>
      <c r="DH50" s="717">
        <f t="shared" si="164"/>
        <v>7681903.0932471892</v>
      </c>
      <c r="DI50" s="375">
        <f t="shared" si="155"/>
        <v>77430662.410825789</v>
      </c>
      <c r="DJ50" s="202"/>
      <c r="DK50" s="379">
        <f>SUM(DK47:DK49)</f>
        <v>4220027.9030000046</v>
      </c>
      <c r="DL50" s="379">
        <f t="shared" ref="DL50:DV50" si="165">SUM(DL47:DL49)</f>
        <v>5019361.2940000026</v>
      </c>
      <c r="DM50" s="379">
        <f t="shared" si="165"/>
        <v>9394297.2215999998</v>
      </c>
      <c r="DN50" s="379">
        <f t="shared" si="165"/>
        <v>4016199.1606000024</v>
      </c>
      <c r="DO50" s="379">
        <f t="shared" si="165"/>
        <v>5340653.6275000004</v>
      </c>
      <c r="DP50" s="379">
        <f t="shared" si="165"/>
        <v>7902211.4177999962</v>
      </c>
      <c r="DQ50" s="717">
        <f t="shared" si="165"/>
        <v>8082175.5753000034</v>
      </c>
      <c r="DR50" s="717">
        <f t="shared" si="165"/>
        <v>5401613.6760999989</v>
      </c>
      <c r="DS50" s="717">
        <f t="shared" si="165"/>
        <v>10429513.499599999</v>
      </c>
      <c r="DT50" s="780">
        <f t="shared" si="165"/>
        <v>7704327.0359999938</v>
      </c>
      <c r="DU50" s="717">
        <f t="shared" si="165"/>
        <v>3434141.9771999936</v>
      </c>
      <c r="DV50" s="717">
        <f t="shared" si="165"/>
        <v>7251045.0628999993</v>
      </c>
      <c r="DW50" s="375">
        <f t="shared" si="156"/>
        <v>78195567.451599985</v>
      </c>
      <c r="DY50" s="379">
        <f>SUM(DY47:DY49)</f>
        <v>4364870.4200000027</v>
      </c>
      <c r="DZ50" s="379">
        <f t="shared" ref="DZ50:EJ50" si="166">SUM(DZ47:DZ49)</f>
        <v>8029346.5</v>
      </c>
      <c r="EA50" s="379">
        <f t="shared" si="166"/>
        <v>3802536.3399999961</v>
      </c>
      <c r="EB50" s="379">
        <f t="shared" si="166"/>
        <v>4522929.45</v>
      </c>
      <c r="EC50" s="379">
        <f t="shared" si="166"/>
        <v>9196962.2900000047</v>
      </c>
      <c r="ED50" s="379">
        <f t="shared" si="166"/>
        <v>4588958.4799999967</v>
      </c>
      <c r="EE50" s="717">
        <f t="shared" si="166"/>
        <v>6454800.5313000008</v>
      </c>
      <c r="EF50" s="717">
        <f t="shared" si="166"/>
        <v>6322605.1073162816</v>
      </c>
      <c r="EG50" s="717">
        <f t="shared" si="166"/>
        <v>5877473.1357999984</v>
      </c>
      <c r="EH50" s="780">
        <f t="shared" si="166"/>
        <v>6988831.1046999972</v>
      </c>
      <c r="EI50" s="717">
        <f t="shared" si="166"/>
        <v>5798281.2602999974</v>
      </c>
      <c r="EJ50" s="717">
        <f t="shared" si="166"/>
        <v>6758595.8768000016</v>
      </c>
      <c r="EK50" s="375">
        <f t="shared" si="157"/>
        <v>72706190.496216282</v>
      </c>
      <c r="EL50" s="164"/>
      <c r="EM50" s="379">
        <f>SUM(EM47:EM49)</f>
        <v>5564623.8862791229</v>
      </c>
      <c r="EN50" s="379">
        <f t="shared" ref="EN50:EX50" si="167">SUM(EN47:EN49)</f>
        <v>4498867.409179626</v>
      </c>
      <c r="EO50" s="379">
        <f t="shared" si="167"/>
        <v>4236337.7261033421</v>
      </c>
      <c r="EP50" s="379">
        <f t="shared" si="167"/>
        <v>2964720.9486603406</v>
      </c>
      <c r="EQ50" s="379">
        <f t="shared" si="167"/>
        <v>6724291.1009563077</v>
      </c>
      <c r="ER50" s="379">
        <f t="shared" si="167"/>
        <v>6697860.9777178094</v>
      </c>
      <c r="ES50" s="717">
        <f t="shared" si="167"/>
        <v>6848344.2750317678</v>
      </c>
      <c r="ET50" s="717">
        <f t="shared" si="167"/>
        <v>6746559.7611254472</v>
      </c>
      <c r="EU50" s="717">
        <f t="shared" si="167"/>
        <v>3697999.8138828138</v>
      </c>
      <c r="EV50" s="780">
        <f t="shared" si="167"/>
        <v>9394425.3147529513</v>
      </c>
      <c r="EW50" s="717">
        <f t="shared" si="167"/>
        <v>6557908.640105499</v>
      </c>
      <c r="EX50" s="717">
        <f t="shared" si="167"/>
        <v>4644311.6547922492</v>
      </c>
      <c r="EY50" s="375">
        <f>SUM(EY47:EY49)</f>
        <v>68576251.508587286</v>
      </c>
      <c r="EZ50" s="168"/>
    </row>
    <row r="51" spans="1:156" s="173" customFormat="1" ht="17.25" customHeight="1">
      <c r="B51" s="186">
        <v>35000020</v>
      </c>
      <c r="C51" s="186"/>
      <c r="D51" s="186"/>
      <c r="E51" s="187"/>
      <c r="F51" s="199" t="s">
        <v>373</v>
      </c>
      <c r="G51" s="199"/>
      <c r="H51" s="373">
        <v>0</v>
      </c>
      <c r="I51" s="373">
        <v>0</v>
      </c>
      <c r="J51" s="373">
        <v>0</v>
      </c>
      <c r="K51" s="373">
        <v>0</v>
      </c>
      <c r="L51" s="373">
        <v>0</v>
      </c>
      <c r="M51" s="373">
        <v>0</v>
      </c>
      <c r="N51" s="374">
        <v>0</v>
      </c>
      <c r="O51" s="374">
        <v>0</v>
      </c>
      <c r="P51" s="374">
        <v>0</v>
      </c>
      <c r="Q51" s="802">
        <v>0</v>
      </c>
      <c r="R51" s="802">
        <v>0</v>
      </c>
      <c r="S51" s="802">
        <v>5084920.6651410125</v>
      </c>
      <c r="T51" s="375">
        <f t="shared" si="141"/>
        <v>5084920.6651410125</v>
      </c>
      <c r="U51" s="378">
        <f t="shared" si="142"/>
        <v>401248.03485898767</v>
      </c>
      <c r="V51" s="165">
        <f t="shared" si="143"/>
        <v>7.3138114556883321E-2</v>
      </c>
      <c r="W51" s="922"/>
      <c r="X51" s="373">
        <v>85799.1</v>
      </c>
      <c r="Y51" s="373">
        <v>227096.64</v>
      </c>
      <c r="Z51" s="373">
        <v>253473.58</v>
      </c>
      <c r="AA51" s="373">
        <v>405817.72</v>
      </c>
      <c r="AB51" s="373">
        <v>409623.42</v>
      </c>
      <c r="AC51" s="373">
        <v>252115.33</v>
      </c>
      <c r="AD51" s="374">
        <v>661152.14</v>
      </c>
      <c r="AE51" s="374">
        <v>608538.48</v>
      </c>
      <c r="AF51" s="374">
        <v>546212.71</v>
      </c>
      <c r="AG51" s="802">
        <v>299133.94</v>
      </c>
      <c r="AH51" s="802">
        <v>890893.75</v>
      </c>
      <c r="AI51" s="802">
        <v>846311.89</v>
      </c>
      <c r="AJ51" s="375">
        <f t="shared" si="144"/>
        <v>5486168.7000000002</v>
      </c>
      <c r="AK51" s="922"/>
      <c r="AL51" s="373">
        <v>0</v>
      </c>
      <c r="AM51" s="373">
        <v>0</v>
      </c>
      <c r="AN51" s="373">
        <v>0</v>
      </c>
      <c r="AO51" s="373">
        <v>0</v>
      </c>
      <c r="AP51" s="373">
        <v>0</v>
      </c>
      <c r="AQ51" s="373">
        <v>0</v>
      </c>
      <c r="AR51" s="374">
        <v>0</v>
      </c>
      <c r="AS51" s="374">
        <v>0</v>
      </c>
      <c r="AT51" s="374">
        <v>0</v>
      </c>
      <c r="AU51" s="802">
        <v>0</v>
      </c>
      <c r="AV51" s="802">
        <v>0</v>
      </c>
      <c r="AW51" s="802">
        <v>6440556.4181363983</v>
      </c>
      <c r="AX51" s="375">
        <f t="shared" si="145"/>
        <v>6440556.4181363983</v>
      </c>
      <c r="AY51" s="378">
        <f t="shared" si="146"/>
        <v>-2603051.7881363984</v>
      </c>
      <c r="AZ51" s="165">
        <f t="shared" si="147"/>
        <v>-0.67831886580327028</v>
      </c>
      <c r="BA51" s="922"/>
      <c r="BB51" s="373">
        <v>102661.63</v>
      </c>
      <c r="BC51" s="373">
        <v>207269.36</v>
      </c>
      <c r="BD51" s="373">
        <v>567034</v>
      </c>
      <c r="BE51" s="373">
        <v>164907.25</v>
      </c>
      <c r="BF51" s="373">
        <v>291773.2</v>
      </c>
      <c r="BG51" s="373">
        <v>300150.98</v>
      </c>
      <c r="BH51" s="374">
        <v>333934.37</v>
      </c>
      <c r="BI51" s="374">
        <v>278402.56</v>
      </c>
      <c r="BJ51" s="374">
        <v>483643.32</v>
      </c>
      <c r="BK51" s="802">
        <v>234587.29</v>
      </c>
      <c r="BL51" s="802">
        <v>174081.85</v>
      </c>
      <c r="BM51" s="802">
        <v>699058.82</v>
      </c>
      <c r="BN51" s="375">
        <f t="shared" si="148"/>
        <v>3837504.63</v>
      </c>
      <c r="BO51" s="922"/>
      <c r="BP51" s="373">
        <v>232954.04409292236</v>
      </c>
      <c r="BQ51" s="373">
        <v>232954.04409292236</v>
      </c>
      <c r="BR51" s="373">
        <v>232954.04409292236</v>
      </c>
      <c r="BS51" s="373">
        <v>232954.04409292236</v>
      </c>
      <c r="BT51" s="373">
        <v>232954.04409292236</v>
      </c>
      <c r="BU51" s="373">
        <v>232954.04409292236</v>
      </c>
      <c r="BV51" s="374">
        <v>349431.06613938347</v>
      </c>
      <c r="BW51" s="374">
        <v>349431.06613938347</v>
      </c>
      <c r="BX51" s="374">
        <v>931816.17637168942</v>
      </c>
      <c r="BY51" s="802">
        <v>349431.06613938347</v>
      </c>
      <c r="BZ51" s="802">
        <v>349431.06613938347</v>
      </c>
      <c r="CA51" s="802">
        <v>931816.17637168942</v>
      </c>
      <c r="CB51" s="375">
        <f t="shared" si="149"/>
        <v>4659080.8818584476</v>
      </c>
      <c r="CC51" s="378">
        <f t="shared" si="150"/>
        <v>821576.25185844768</v>
      </c>
      <c r="CD51" s="165">
        <f t="shared" si="151"/>
        <v>0.17633869698581653</v>
      </c>
      <c r="CE51" s="199"/>
      <c r="CF51" s="373">
        <v>0</v>
      </c>
      <c r="CG51" s="373">
        <v>0</v>
      </c>
      <c r="CH51" s="373">
        <v>30611.18</v>
      </c>
      <c r="CI51" s="373">
        <v>76972.73</v>
      </c>
      <c r="CJ51" s="373">
        <v>105246.69</v>
      </c>
      <c r="CK51" s="373">
        <v>439373.82</v>
      </c>
      <c r="CL51" s="374">
        <v>748849.36</v>
      </c>
      <c r="CM51" s="374">
        <v>395628.37</v>
      </c>
      <c r="CN51" s="374">
        <v>183499.82</v>
      </c>
      <c r="CO51" s="802">
        <v>370942.64</v>
      </c>
      <c r="CP51" s="802">
        <v>404722.9</v>
      </c>
      <c r="CQ51" s="802">
        <v>214500.67</v>
      </c>
      <c r="CR51" s="376">
        <v>0</v>
      </c>
      <c r="CS51" s="391">
        <f t="shared" si="152"/>
        <v>2970348.1799999997</v>
      </c>
      <c r="CT51" s="378">
        <f t="shared" si="153"/>
        <v>-867156.45000000019</v>
      </c>
      <c r="CU51" s="165">
        <f t="shared" si="154"/>
        <v>-0.29193764415860507</v>
      </c>
      <c r="CV51" s="202"/>
      <c r="CW51" s="373">
        <v>0</v>
      </c>
      <c r="CX51" s="373">
        <v>0</v>
      </c>
      <c r="CY51" s="373">
        <v>0</v>
      </c>
      <c r="CZ51" s="373">
        <v>0.01</v>
      </c>
      <c r="DA51" s="373">
        <v>0</v>
      </c>
      <c r="DB51" s="373">
        <v>0</v>
      </c>
      <c r="DC51" s="374">
        <v>0</v>
      </c>
      <c r="DD51" s="374">
        <v>0</v>
      </c>
      <c r="DE51" s="374">
        <v>0</v>
      </c>
      <c r="DF51" s="802">
        <v>0</v>
      </c>
      <c r="DG51" s="802">
        <v>0</v>
      </c>
      <c r="DH51" s="802">
        <v>0</v>
      </c>
      <c r="DI51" s="375">
        <f t="shared" si="155"/>
        <v>0.01</v>
      </c>
      <c r="DJ51" s="202"/>
      <c r="DK51" s="373">
        <v>-644.02</v>
      </c>
      <c r="DL51" s="373">
        <v>1017.4799999999999</v>
      </c>
      <c r="DM51" s="373">
        <v>212.67000000000002</v>
      </c>
      <c r="DN51" s="373">
        <v>554.25</v>
      </c>
      <c r="DO51" s="373">
        <v>369.15999999999997</v>
      </c>
      <c r="DP51" s="373">
        <v>369.67</v>
      </c>
      <c r="DQ51" s="374">
        <v>0</v>
      </c>
      <c r="DR51" s="374">
        <v>40509.65</v>
      </c>
      <c r="DS51" s="374">
        <v>42386.17</v>
      </c>
      <c r="DT51" s="802">
        <v>-40139.980000000003</v>
      </c>
      <c r="DU51" s="802">
        <v>0</v>
      </c>
      <c r="DV51" s="802">
        <v>0</v>
      </c>
      <c r="DW51" s="375">
        <f t="shared" si="156"/>
        <v>44635.049999999996</v>
      </c>
      <c r="DY51" s="373">
        <v>33828.03</v>
      </c>
      <c r="DZ51" s="373">
        <v>5227.71</v>
      </c>
      <c r="EA51" s="373">
        <v>11452.869999999999</v>
      </c>
      <c r="EB51" s="373">
        <v>12870.73</v>
      </c>
      <c r="EC51" s="373">
        <v>1851.73</v>
      </c>
      <c r="ED51" s="373">
        <v>9184.59</v>
      </c>
      <c r="EE51" s="374">
        <v>2191.9499999999998</v>
      </c>
      <c r="EF51" s="374">
        <v>186.73</v>
      </c>
      <c r="EG51" s="374">
        <v>326.79000000000002</v>
      </c>
      <c r="EH51" s="802">
        <v>15.56</v>
      </c>
      <c r="EI51" s="802">
        <v>0</v>
      </c>
      <c r="EJ51" s="802">
        <v>0</v>
      </c>
      <c r="EK51" s="375">
        <f t="shared" si="157"/>
        <v>77136.689999999988</v>
      </c>
      <c r="EL51" s="164"/>
      <c r="EM51" s="373">
        <v>-79029.130953016327</v>
      </c>
      <c r="EN51" s="373">
        <v>-93088.495994949539</v>
      </c>
      <c r="EO51" s="373">
        <v>-160565.07145986645</v>
      </c>
      <c r="EP51" s="373">
        <v>-115696.96863622028</v>
      </c>
      <c r="EQ51" s="373">
        <v>154143.78256082151</v>
      </c>
      <c r="ER51" s="373">
        <v>1359900.3720344368</v>
      </c>
      <c r="ES51" s="374">
        <v>-163654.12802300148</v>
      </c>
      <c r="ET51" s="374">
        <v>-361724.14613369474</v>
      </c>
      <c r="EU51" s="374">
        <v>-351444.28008374543</v>
      </c>
      <c r="EV51" s="802">
        <v>131513.01778409598</v>
      </c>
      <c r="EW51" s="802">
        <v>63828.963424103822</v>
      </c>
      <c r="EX51" s="802">
        <v>-26901.304518963825</v>
      </c>
      <c r="EY51" s="375">
        <f>SUM(EM51:EX51)</f>
        <v>357282.61000000016</v>
      </c>
      <c r="EZ51" s="164"/>
    </row>
    <row r="52" spans="1:156" s="173" customFormat="1" ht="17.25" customHeight="1">
      <c r="A52" s="187" t="s">
        <v>25</v>
      </c>
      <c r="B52" s="186" t="s">
        <v>302</v>
      </c>
      <c r="C52" s="186"/>
      <c r="D52" s="186"/>
      <c r="E52" s="187"/>
      <c r="F52" s="199" t="s">
        <v>1190</v>
      </c>
      <c r="G52" s="199"/>
      <c r="H52" s="373">
        <v>0</v>
      </c>
      <c r="I52" s="373">
        <v>0</v>
      </c>
      <c r="J52" s="373">
        <v>0</v>
      </c>
      <c r="K52" s="373">
        <v>0</v>
      </c>
      <c r="L52" s="373">
        <v>0</v>
      </c>
      <c r="M52" s="373">
        <v>0</v>
      </c>
      <c r="N52" s="374">
        <v>0</v>
      </c>
      <c r="O52" s="374">
        <v>0</v>
      </c>
      <c r="P52" s="374">
        <v>0</v>
      </c>
      <c r="Q52" s="802">
        <v>0</v>
      </c>
      <c r="R52" s="802">
        <v>0</v>
      </c>
      <c r="S52" s="802">
        <v>6530345.4456369095</v>
      </c>
      <c r="T52" s="375">
        <f t="shared" si="141"/>
        <v>6530345.4456369095</v>
      </c>
      <c r="U52" s="378">
        <f t="shared" si="142"/>
        <v>-948153.08563690819</v>
      </c>
      <c r="V52" s="165">
        <f t="shared" si="143"/>
        <v>-0.1698531731781647</v>
      </c>
      <c r="W52" s="922"/>
      <c r="X52" s="373">
        <v>449470.78</v>
      </c>
      <c r="Y52" s="373">
        <v>419716.25</v>
      </c>
      <c r="Z52" s="373">
        <v>435137.44</v>
      </c>
      <c r="AA52" s="373">
        <v>377161.64</v>
      </c>
      <c r="AB52" s="373">
        <v>466261.87</v>
      </c>
      <c r="AC52" s="373">
        <v>430882.42</v>
      </c>
      <c r="AD52" s="374">
        <v>423955.91</v>
      </c>
      <c r="AE52" s="374">
        <v>575165.18000000005</v>
      </c>
      <c r="AF52" s="374">
        <v>432485.58</v>
      </c>
      <c r="AG52" s="802">
        <v>410150.78</v>
      </c>
      <c r="AH52" s="802">
        <v>479948.49</v>
      </c>
      <c r="AI52" s="802">
        <v>681856.02</v>
      </c>
      <c r="AJ52" s="375">
        <f t="shared" si="144"/>
        <v>5582192.3600000013</v>
      </c>
      <c r="AK52" s="922"/>
      <c r="AL52" s="373">
        <v>0</v>
      </c>
      <c r="AM52" s="373">
        <v>0</v>
      </c>
      <c r="AN52" s="373">
        <v>0</v>
      </c>
      <c r="AO52" s="373">
        <v>0</v>
      </c>
      <c r="AP52" s="373">
        <v>0</v>
      </c>
      <c r="AQ52" s="373">
        <v>0</v>
      </c>
      <c r="AR52" s="374">
        <v>0</v>
      </c>
      <c r="AS52" s="374">
        <v>0</v>
      </c>
      <c r="AT52" s="374">
        <v>0</v>
      </c>
      <c r="AU52" s="802">
        <v>0</v>
      </c>
      <c r="AV52" s="802">
        <v>0</v>
      </c>
      <c r="AW52" s="802">
        <v>5117189.3477891563</v>
      </c>
      <c r="AX52" s="375">
        <f t="shared" si="145"/>
        <v>5117189.3477891563</v>
      </c>
      <c r="AY52" s="378">
        <f t="shared" si="146"/>
        <v>-878803.13778915629</v>
      </c>
      <c r="AZ52" s="165">
        <f t="shared" si="147"/>
        <v>-0.2073438082909288</v>
      </c>
      <c r="BA52" s="922"/>
      <c r="BB52" s="373">
        <v>348300.13</v>
      </c>
      <c r="BC52" s="373">
        <v>299644.86</v>
      </c>
      <c r="BD52" s="373">
        <v>362067.74</v>
      </c>
      <c r="BE52" s="373">
        <v>358121.53</v>
      </c>
      <c r="BF52" s="373">
        <v>330855.21999999997</v>
      </c>
      <c r="BG52" s="373">
        <v>336683.94</v>
      </c>
      <c r="BH52" s="374">
        <v>356276.37</v>
      </c>
      <c r="BI52" s="374">
        <v>437784.33</v>
      </c>
      <c r="BJ52" s="374">
        <v>312863.84999999998</v>
      </c>
      <c r="BK52" s="802">
        <v>401888.77</v>
      </c>
      <c r="BL52" s="802">
        <v>244641.17</v>
      </c>
      <c r="BM52" s="802">
        <v>449258.3</v>
      </c>
      <c r="BN52" s="375">
        <f t="shared" si="148"/>
        <v>4238386.21</v>
      </c>
      <c r="BO52" s="922"/>
      <c r="BP52" s="373">
        <v>530479.4371170766</v>
      </c>
      <c r="BQ52" s="373">
        <v>530479.4371170766</v>
      </c>
      <c r="BR52" s="373">
        <v>530479.4371170766</v>
      </c>
      <c r="BS52" s="373">
        <v>530479.4371170766</v>
      </c>
      <c r="BT52" s="373">
        <v>530479.4371170766</v>
      </c>
      <c r="BU52" s="373">
        <v>530479.4371170766</v>
      </c>
      <c r="BV52" s="374">
        <v>530479.4371170766</v>
      </c>
      <c r="BW52" s="374">
        <v>530479.4371170766</v>
      </c>
      <c r="BX52" s="374">
        <v>530479.4371170766</v>
      </c>
      <c r="BY52" s="802">
        <v>530479.4371170766</v>
      </c>
      <c r="BZ52" s="802">
        <v>530479.4371170766</v>
      </c>
      <c r="CA52" s="802">
        <v>530479.4371170766</v>
      </c>
      <c r="CB52" s="375">
        <f t="shared" si="149"/>
        <v>6365753.2454049187</v>
      </c>
      <c r="CC52" s="378">
        <f t="shared" si="150"/>
        <v>2127367.0354049187</v>
      </c>
      <c r="CD52" s="165">
        <f t="shared" si="151"/>
        <v>0.3341893650905407</v>
      </c>
      <c r="CE52" s="199"/>
      <c r="CF52" s="373">
        <v>538503.54</v>
      </c>
      <c r="CG52" s="373">
        <v>491360.62</v>
      </c>
      <c r="CH52" s="373">
        <v>394639.88</v>
      </c>
      <c r="CI52" s="373">
        <v>575010.31000000006</v>
      </c>
      <c r="CJ52" s="373">
        <v>445913.42</v>
      </c>
      <c r="CK52" s="373">
        <v>411139.25</v>
      </c>
      <c r="CL52" s="374">
        <v>547497.85</v>
      </c>
      <c r="CM52" s="374">
        <v>484614.48</v>
      </c>
      <c r="CN52" s="374">
        <v>517093.65</v>
      </c>
      <c r="CO52" s="802">
        <v>547400.93999999994</v>
      </c>
      <c r="CP52" s="802">
        <v>410683.42</v>
      </c>
      <c r="CQ52" s="802">
        <v>336177.65</v>
      </c>
      <c r="CR52" s="376">
        <v>0</v>
      </c>
      <c r="CS52" s="375">
        <f t="shared" si="152"/>
        <v>5700035.0099999998</v>
      </c>
      <c r="CT52" s="378">
        <f t="shared" si="153"/>
        <v>1461648.7999999998</v>
      </c>
      <c r="CU52" s="165">
        <f t="shared" si="154"/>
        <v>0.25642803902707956</v>
      </c>
      <c r="CV52" s="202"/>
      <c r="CW52" s="373">
        <v>360612.61</v>
      </c>
      <c r="CX52" s="373">
        <v>455583.08999999997</v>
      </c>
      <c r="CY52" s="373">
        <v>465645.94</v>
      </c>
      <c r="CZ52" s="373">
        <v>393487.73</v>
      </c>
      <c r="DA52" s="373">
        <v>485268.82999999996</v>
      </c>
      <c r="DB52" s="373">
        <v>321577.34000000003</v>
      </c>
      <c r="DC52" s="374">
        <v>497837.85000000003</v>
      </c>
      <c r="DD52" s="374">
        <v>449645.27</v>
      </c>
      <c r="DE52" s="374">
        <v>440622.62</v>
      </c>
      <c r="DF52" s="802">
        <v>617064.47</v>
      </c>
      <c r="DG52" s="802">
        <v>402548.27999999997</v>
      </c>
      <c r="DH52" s="802">
        <v>503778.39</v>
      </c>
      <c r="DI52" s="375">
        <f t="shared" si="155"/>
        <v>5393672.4199999999</v>
      </c>
      <c r="DJ52" s="202"/>
      <c r="DK52" s="373">
        <v>429779.43</v>
      </c>
      <c r="DL52" s="373">
        <v>476113.95999999996</v>
      </c>
      <c r="DM52" s="373">
        <v>444975.54000000004</v>
      </c>
      <c r="DN52" s="373">
        <v>349559.45</v>
      </c>
      <c r="DO52" s="373">
        <v>431965.13999999996</v>
      </c>
      <c r="DP52" s="373">
        <v>546719.6</v>
      </c>
      <c r="DQ52" s="374">
        <v>335299.14</v>
      </c>
      <c r="DR52" s="374">
        <v>610349.13</v>
      </c>
      <c r="DS52" s="374">
        <v>496083.87999999995</v>
      </c>
      <c r="DT52" s="802">
        <v>625805.60000000009</v>
      </c>
      <c r="DU52" s="802">
        <v>407543.07000000007</v>
      </c>
      <c r="DV52" s="802">
        <v>467116.30000000005</v>
      </c>
      <c r="DW52" s="375">
        <f t="shared" si="156"/>
        <v>5621310.2400000002</v>
      </c>
      <c r="DY52" s="373">
        <v>366845.05000000005</v>
      </c>
      <c r="DZ52" s="373">
        <v>319941.55</v>
      </c>
      <c r="EA52" s="373">
        <v>524617.43000000005</v>
      </c>
      <c r="EB52" s="373">
        <v>437292.32999999996</v>
      </c>
      <c r="EC52" s="373">
        <v>321079.45</v>
      </c>
      <c r="ED52" s="373">
        <v>423063.60999999993</v>
      </c>
      <c r="EE52" s="374">
        <v>346981.74</v>
      </c>
      <c r="EF52" s="374">
        <v>359025.55000000005</v>
      </c>
      <c r="EG52" s="374">
        <v>461051.56</v>
      </c>
      <c r="EH52" s="802">
        <v>442921.32</v>
      </c>
      <c r="EI52" s="802">
        <v>483264.83999999997</v>
      </c>
      <c r="EJ52" s="802">
        <v>448824.6</v>
      </c>
      <c r="EK52" s="375">
        <f t="shared" si="157"/>
        <v>4934909.0299999993</v>
      </c>
      <c r="EL52" s="164"/>
      <c r="EM52" s="373">
        <v>422040.69686126546</v>
      </c>
      <c r="EN52" s="373">
        <v>254618.23102441782</v>
      </c>
      <c r="EO52" s="373">
        <v>463039.93448839174</v>
      </c>
      <c r="EP52" s="373">
        <v>244995.065713502</v>
      </c>
      <c r="EQ52" s="373">
        <v>293665.1135243047</v>
      </c>
      <c r="ER52" s="373">
        <v>337831.74482854409</v>
      </c>
      <c r="ES52" s="374">
        <v>385311.11620360025</v>
      </c>
      <c r="ET52" s="374">
        <v>322969.33285946451</v>
      </c>
      <c r="EU52" s="374">
        <v>449709.43919990672</v>
      </c>
      <c r="EV52" s="802">
        <v>362657.02203907492</v>
      </c>
      <c r="EW52" s="802">
        <v>352092.2172326966</v>
      </c>
      <c r="EX52" s="802">
        <v>413340.56602482992</v>
      </c>
      <c r="EY52" s="375">
        <f>SUM(EM52:EX52)</f>
        <v>4302270.4799999986</v>
      </c>
      <c r="EZ52" s="164"/>
    </row>
    <row r="53" spans="1:156" s="173" customFormat="1" ht="5.25" customHeight="1">
      <c r="B53" s="174"/>
      <c r="C53" s="174"/>
      <c r="D53" s="174"/>
      <c r="E53" s="155"/>
      <c r="F53" s="174"/>
      <c r="G53" s="174"/>
      <c r="H53" s="373"/>
      <c r="I53" s="373"/>
      <c r="J53" s="373"/>
      <c r="K53" s="373"/>
      <c r="L53" s="373"/>
      <c r="M53" s="373"/>
      <c r="N53" s="374"/>
      <c r="O53" s="373"/>
      <c r="P53" s="373"/>
      <c r="Q53" s="801"/>
      <c r="R53" s="373"/>
      <c r="S53" s="373"/>
      <c r="T53" s="375"/>
      <c r="U53" s="393"/>
      <c r="V53" s="163"/>
      <c r="W53" s="772"/>
      <c r="X53" s="373"/>
      <c r="Y53" s="373"/>
      <c r="Z53" s="373"/>
      <c r="AA53" s="373"/>
      <c r="AB53" s="373"/>
      <c r="AC53" s="373"/>
      <c r="AD53" s="374"/>
      <c r="AE53" s="373"/>
      <c r="AF53" s="373"/>
      <c r="AG53" s="801"/>
      <c r="AH53" s="373"/>
      <c r="AI53" s="373"/>
      <c r="AJ53" s="375"/>
      <c r="AK53" s="772"/>
      <c r="AL53" s="373"/>
      <c r="AM53" s="373"/>
      <c r="AN53" s="373"/>
      <c r="AO53" s="373"/>
      <c r="AP53" s="373"/>
      <c r="AQ53" s="373"/>
      <c r="AR53" s="374"/>
      <c r="AS53" s="373"/>
      <c r="AT53" s="373"/>
      <c r="AU53" s="801"/>
      <c r="AV53" s="373"/>
      <c r="AW53" s="373"/>
      <c r="AX53" s="375"/>
      <c r="AY53" s="393"/>
      <c r="AZ53" s="163"/>
      <c r="BA53" s="772"/>
      <c r="BB53" s="373"/>
      <c r="BC53" s="373"/>
      <c r="BD53" s="373"/>
      <c r="BE53" s="373"/>
      <c r="BF53" s="373"/>
      <c r="BG53" s="373"/>
      <c r="BH53" s="374"/>
      <c r="BI53" s="373"/>
      <c r="BJ53" s="373"/>
      <c r="BK53" s="801"/>
      <c r="BL53" s="373"/>
      <c r="BM53" s="373"/>
      <c r="BN53" s="375"/>
      <c r="BO53" s="772"/>
      <c r="BP53" s="373"/>
      <c r="BQ53" s="373"/>
      <c r="BR53" s="373"/>
      <c r="BS53" s="373"/>
      <c r="BT53" s="373"/>
      <c r="BU53" s="373"/>
      <c r="BV53" s="374"/>
      <c r="BW53" s="373"/>
      <c r="BX53" s="373"/>
      <c r="BY53" s="801"/>
      <c r="BZ53" s="373"/>
      <c r="CA53" s="373"/>
      <c r="CB53" s="375"/>
      <c r="CC53" s="393"/>
      <c r="CD53" s="163"/>
      <c r="CE53" s="174"/>
      <c r="CF53" s="373"/>
      <c r="CG53" s="373"/>
      <c r="CH53" s="373"/>
      <c r="CI53" s="373"/>
      <c r="CJ53" s="373"/>
      <c r="CK53" s="373"/>
      <c r="CL53" s="374"/>
      <c r="CM53" s="373"/>
      <c r="CN53" s="373"/>
      <c r="CO53" s="801"/>
      <c r="CP53" s="373"/>
      <c r="CQ53" s="373"/>
      <c r="CR53" s="376"/>
      <c r="CS53" s="375"/>
      <c r="CT53" s="393"/>
      <c r="CU53" s="163"/>
      <c r="CV53" s="323"/>
      <c r="CW53" s="373"/>
      <c r="CX53" s="373"/>
      <c r="CY53" s="373"/>
      <c r="CZ53" s="373"/>
      <c r="DA53" s="373"/>
      <c r="DB53" s="373"/>
      <c r="DC53" s="374"/>
      <c r="DD53" s="373"/>
      <c r="DE53" s="373"/>
      <c r="DF53" s="801"/>
      <c r="DG53" s="373"/>
      <c r="DH53" s="373"/>
      <c r="DI53" s="375"/>
      <c r="DJ53" s="323"/>
      <c r="DK53" s="373"/>
      <c r="DL53" s="373"/>
      <c r="DM53" s="373"/>
      <c r="DN53" s="373"/>
      <c r="DO53" s="373"/>
      <c r="DP53" s="373"/>
      <c r="DQ53" s="374"/>
      <c r="DR53" s="373"/>
      <c r="DS53" s="373"/>
      <c r="DT53" s="801"/>
      <c r="DU53" s="373"/>
      <c r="DV53" s="373"/>
      <c r="DW53" s="375"/>
      <c r="DY53" s="373"/>
      <c r="DZ53" s="373"/>
      <c r="EA53" s="373"/>
      <c r="EB53" s="373"/>
      <c r="EC53" s="373"/>
      <c r="ED53" s="373"/>
      <c r="EE53" s="374"/>
      <c r="EF53" s="373"/>
      <c r="EG53" s="373"/>
      <c r="EH53" s="801"/>
      <c r="EI53" s="373"/>
      <c r="EJ53" s="373"/>
      <c r="EK53" s="375"/>
      <c r="EL53" s="164"/>
      <c r="EM53" s="373"/>
      <c r="EN53" s="373"/>
      <c r="EO53" s="373"/>
      <c r="EP53" s="373"/>
      <c r="EQ53" s="373"/>
      <c r="ER53" s="373"/>
      <c r="ES53" s="374"/>
      <c r="ET53" s="373"/>
      <c r="EU53" s="373"/>
      <c r="EV53" s="801"/>
      <c r="EW53" s="373"/>
      <c r="EX53" s="373"/>
      <c r="EY53" s="375"/>
      <c r="EZ53" s="164"/>
    </row>
    <row r="54" spans="1:156" s="155" customFormat="1" ht="15.75" customHeight="1">
      <c r="B54" s="172"/>
      <c r="C54" s="172"/>
      <c r="D54" s="172"/>
      <c r="F54" s="172" t="s">
        <v>303</v>
      </c>
      <c r="G54" s="172"/>
      <c r="H54" s="335">
        <f t="shared" ref="H54:S54" si="168">SUM(H50:H53)</f>
        <v>0</v>
      </c>
      <c r="I54" s="335">
        <f t="shared" si="168"/>
        <v>0</v>
      </c>
      <c r="J54" s="335">
        <f t="shared" si="168"/>
        <v>0</v>
      </c>
      <c r="K54" s="335">
        <f t="shared" si="168"/>
        <v>0</v>
      </c>
      <c r="L54" s="335">
        <f t="shared" si="168"/>
        <v>0</v>
      </c>
      <c r="M54" s="335">
        <f t="shared" si="168"/>
        <v>0</v>
      </c>
      <c r="N54" s="335">
        <f t="shared" si="168"/>
        <v>0</v>
      </c>
      <c r="O54" s="335">
        <f t="shared" si="168"/>
        <v>0</v>
      </c>
      <c r="P54" s="335">
        <f t="shared" si="168"/>
        <v>0</v>
      </c>
      <c r="Q54" s="335">
        <f t="shared" si="168"/>
        <v>0</v>
      </c>
      <c r="R54" s="335">
        <f t="shared" si="168"/>
        <v>0</v>
      </c>
      <c r="S54" s="335">
        <f t="shared" si="168"/>
        <v>76440897.28018707</v>
      </c>
      <c r="T54" s="335">
        <f>SUM(T50:T53)</f>
        <v>76440897.28018707</v>
      </c>
      <c r="U54" s="336">
        <f>AJ54-T54</f>
        <v>-2933908.2697300464</v>
      </c>
      <c r="V54" s="337">
        <f>U54/AJ54</f>
        <v>-3.9913324014845333E-2</v>
      </c>
      <c r="W54" s="796"/>
      <c r="X54" s="335">
        <f t="shared" ref="X54:AI54" si="169">SUM(X50:X53)</f>
        <v>5353555.4908066979</v>
      </c>
      <c r="Y54" s="335">
        <f t="shared" si="169"/>
        <v>3887646.5536630997</v>
      </c>
      <c r="Z54" s="335">
        <f t="shared" si="169"/>
        <v>3131892.1042330978</v>
      </c>
      <c r="AA54" s="335">
        <f t="shared" si="169"/>
        <v>2008983.4094610014</v>
      </c>
      <c r="AB54" s="335">
        <f t="shared" si="169"/>
        <v>2789321.0137479967</v>
      </c>
      <c r="AC54" s="335">
        <f t="shared" si="169"/>
        <v>3319808.6171620032</v>
      </c>
      <c r="AD54" s="335">
        <f t="shared" si="169"/>
        <v>5965706.8302872954</v>
      </c>
      <c r="AE54" s="335">
        <f t="shared" si="169"/>
        <v>13437652.013029564</v>
      </c>
      <c r="AF54" s="335">
        <f t="shared" si="169"/>
        <v>10661589.339498101</v>
      </c>
      <c r="AG54" s="335">
        <f t="shared" si="169"/>
        <v>1965345.497721697</v>
      </c>
      <c r="AH54" s="335">
        <f t="shared" si="169"/>
        <v>9684695.2346532997</v>
      </c>
      <c r="AI54" s="335">
        <f t="shared" si="169"/>
        <v>11300792.90619318</v>
      </c>
      <c r="AJ54" s="335">
        <f>SUM(AJ50:AJ53)</f>
        <v>73506989.010457024</v>
      </c>
      <c r="AK54" s="796"/>
      <c r="AL54" s="335">
        <f t="shared" ref="AL54:AW54" si="170">SUM(AL50:AL53)</f>
        <v>0</v>
      </c>
      <c r="AM54" s="335">
        <f t="shared" si="170"/>
        <v>0</v>
      </c>
      <c r="AN54" s="335">
        <f t="shared" si="170"/>
        <v>0</v>
      </c>
      <c r="AO54" s="335">
        <f t="shared" si="170"/>
        <v>0</v>
      </c>
      <c r="AP54" s="335">
        <f t="shared" si="170"/>
        <v>0</v>
      </c>
      <c r="AQ54" s="335">
        <f t="shared" si="170"/>
        <v>0</v>
      </c>
      <c r="AR54" s="335">
        <f t="shared" si="170"/>
        <v>0</v>
      </c>
      <c r="AS54" s="335">
        <f t="shared" si="170"/>
        <v>0</v>
      </c>
      <c r="AT54" s="335">
        <f t="shared" si="170"/>
        <v>0</v>
      </c>
      <c r="AU54" s="335">
        <f t="shared" si="170"/>
        <v>0</v>
      </c>
      <c r="AV54" s="335">
        <f t="shared" si="170"/>
        <v>0</v>
      </c>
      <c r="AW54" s="335">
        <f t="shared" si="170"/>
        <v>88388367.348092079</v>
      </c>
      <c r="AX54" s="335">
        <f>SUM(AX50:AX53)</f>
        <v>88388367.348092079</v>
      </c>
      <c r="AY54" s="336">
        <f>BN54-AX54</f>
        <v>-37134570.56702397</v>
      </c>
      <c r="AZ54" s="337">
        <f>AY54/BN54</f>
        <v>-0.7245233114269608</v>
      </c>
      <c r="BA54" s="796"/>
      <c r="BB54" s="335">
        <f t="shared" ref="BB54:BM54" si="171">SUM(BB50:BB53)</f>
        <v>1387383.6331283457</v>
      </c>
      <c r="BC54" s="335">
        <f t="shared" si="171"/>
        <v>1065149.9999056663</v>
      </c>
      <c r="BD54" s="335">
        <f t="shared" si="171"/>
        <v>3495703.4931407832</v>
      </c>
      <c r="BE54" s="335">
        <f t="shared" si="171"/>
        <v>1654278.7181732031</v>
      </c>
      <c r="BF54" s="335">
        <f t="shared" si="171"/>
        <v>1359181.7577549992</v>
      </c>
      <c r="BG54" s="335">
        <f t="shared" si="171"/>
        <v>3353922.7796996031</v>
      </c>
      <c r="BH54" s="335">
        <f t="shared" si="171"/>
        <v>3688481.3186271996</v>
      </c>
      <c r="BI54" s="335">
        <f t="shared" si="171"/>
        <v>5891418.4449128974</v>
      </c>
      <c r="BJ54" s="335">
        <f t="shared" si="171"/>
        <v>7596066.7358018979</v>
      </c>
      <c r="BK54" s="335">
        <f t="shared" si="171"/>
        <v>9682286.9559223019</v>
      </c>
      <c r="BL54" s="335">
        <f t="shared" si="171"/>
        <v>5054931.3231748967</v>
      </c>
      <c r="BM54" s="335">
        <f t="shared" si="171"/>
        <v>7024991.6208263058</v>
      </c>
      <c r="BN54" s="335">
        <f>SUM(BN50:BN53)</f>
        <v>51253796.781068109</v>
      </c>
      <c r="BO54" s="796"/>
      <c r="BP54" s="335">
        <f t="shared" ref="BP54:CA54" si="172">SUM(BP50:BP53)</f>
        <v>1251391.9374309392</v>
      </c>
      <c r="BQ54" s="335">
        <f t="shared" si="172"/>
        <v>1321443.0171745955</v>
      </c>
      <c r="BR54" s="335">
        <f t="shared" si="172"/>
        <v>2957757.6838425202</v>
      </c>
      <c r="BS54" s="335">
        <f t="shared" si="172"/>
        <v>1933592.525181863</v>
      </c>
      <c r="BT54" s="335">
        <f t="shared" si="172"/>
        <v>5604650.8828535266</v>
      </c>
      <c r="BU54" s="335">
        <f t="shared" si="172"/>
        <v>10351377.298140462</v>
      </c>
      <c r="BV54" s="335">
        <f t="shared" si="172"/>
        <v>4242484.0678406367</v>
      </c>
      <c r="BW54" s="335">
        <f t="shared" si="172"/>
        <v>10351256.227963459</v>
      </c>
      <c r="BX54" s="335">
        <f t="shared" si="172"/>
        <v>11973262.588997338</v>
      </c>
      <c r="BY54" s="335">
        <f t="shared" si="172"/>
        <v>8358537.5477478271</v>
      </c>
      <c r="BZ54" s="335">
        <f t="shared" si="172"/>
        <v>3625843.7551909089</v>
      </c>
      <c r="CA54" s="335">
        <f t="shared" si="172"/>
        <v>15054964.595069842</v>
      </c>
      <c r="CB54" s="335">
        <f>SUM(CB50:CB53)</f>
        <v>77026562.127433911</v>
      </c>
      <c r="CC54" s="336">
        <f>CB54-BN54</f>
        <v>25772765.346365802</v>
      </c>
      <c r="CD54" s="337">
        <f>IFERROR(CC54/CB54,"N/A")</f>
        <v>0.33459581519069942</v>
      </c>
      <c r="CE54" s="172"/>
      <c r="CF54" s="335">
        <f t="shared" ref="CF54:CR54" si="173">SUM(CF50:CF53)</f>
        <v>3504306.1470107567</v>
      </c>
      <c r="CG54" s="335">
        <f t="shared" si="173"/>
        <v>5869830.0200711088</v>
      </c>
      <c r="CH54" s="335">
        <f t="shared" si="173"/>
        <v>5363950.0674501993</v>
      </c>
      <c r="CI54" s="335">
        <f t="shared" si="173"/>
        <v>3276090.86686779</v>
      </c>
      <c r="CJ54" s="335">
        <f t="shared" si="173"/>
        <v>6020104.6045919983</v>
      </c>
      <c r="CK54" s="335">
        <f t="shared" si="173"/>
        <v>4221136.7659509098</v>
      </c>
      <c r="CL54" s="335">
        <f t="shared" si="173"/>
        <v>13257894.334290592</v>
      </c>
      <c r="CM54" s="335">
        <f t="shared" si="173"/>
        <v>7004128.1033905987</v>
      </c>
      <c r="CN54" s="335">
        <f t="shared" si="173"/>
        <v>9524562.1691350006</v>
      </c>
      <c r="CO54" s="335">
        <f t="shared" si="173"/>
        <v>10828551.054915801</v>
      </c>
      <c r="CP54" s="335">
        <f t="shared" si="173"/>
        <v>12037811.685528401</v>
      </c>
      <c r="CQ54" s="335">
        <f t="shared" si="173"/>
        <v>5866921.4969940335</v>
      </c>
      <c r="CR54" s="341">
        <f t="shared" si="173"/>
        <v>0</v>
      </c>
      <c r="CS54" s="335">
        <f>SUM(CS50:CS53)</f>
        <v>86775287.316197202</v>
      </c>
      <c r="CT54" s="336">
        <f>CS54-BN54</f>
        <v>35521490.535129093</v>
      </c>
      <c r="CU54" s="337">
        <f>IFERROR(CT54/CS54,"N/A")</f>
        <v>0.40935030737142558</v>
      </c>
      <c r="CV54" s="322"/>
      <c r="CW54" s="335">
        <f t="shared" ref="CW54:DH54" si="174">SUM(CW50:CW53)</f>
        <v>7313078.5311000058</v>
      </c>
      <c r="CX54" s="335">
        <f t="shared" si="174"/>
        <v>5293722.2707999973</v>
      </c>
      <c r="CY54" s="335">
        <f t="shared" si="174"/>
        <v>6687389.5206999993</v>
      </c>
      <c r="CZ54" s="335">
        <f t="shared" si="174"/>
        <v>6180301.0038999971</v>
      </c>
      <c r="DA54" s="335">
        <f t="shared" si="174"/>
        <v>2948402.1927000019</v>
      </c>
      <c r="DB54" s="335">
        <f t="shared" si="174"/>
        <v>4668298.2028000019</v>
      </c>
      <c r="DC54" s="335">
        <f t="shared" si="174"/>
        <v>5733810.842600001</v>
      </c>
      <c r="DD54" s="335">
        <f t="shared" si="174"/>
        <v>10389605.300899997</v>
      </c>
      <c r="DE54" s="335">
        <f t="shared" si="174"/>
        <v>12809948.685500002</v>
      </c>
      <c r="DF54" s="335">
        <f t="shared" si="174"/>
        <v>7007980.9668235974</v>
      </c>
      <c r="DG54" s="335">
        <f t="shared" si="174"/>
        <v>5606115.8397550024</v>
      </c>
      <c r="DH54" s="335">
        <f t="shared" si="174"/>
        <v>8185681.4832471889</v>
      </c>
      <c r="DI54" s="335">
        <f>SUM(DI50:DI53)</f>
        <v>82824334.840825796</v>
      </c>
      <c r="DJ54" s="322"/>
      <c r="DK54" s="335">
        <f t="shared" ref="DK54:DV54" si="175">SUM(DK50:DK53)</f>
        <v>4649163.3130000047</v>
      </c>
      <c r="DL54" s="335">
        <f t="shared" si="175"/>
        <v>5496492.734000003</v>
      </c>
      <c r="DM54" s="335">
        <f t="shared" si="175"/>
        <v>9839485.4316000007</v>
      </c>
      <c r="DN54" s="335">
        <f t="shared" si="175"/>
        <v>4366312.8606000021</v>
      </c>
      <c r="DO54" s="335">
        <f t="shared" si="175"/>
        <v>5772987.9275000002</v>
      </c>
      <c r="DP54" s="335">
        <f t="shared" si="175"/>
        <v>8449300.6877999958</v>
      </c>
      <c r="DQ54" s="335">
        <f t="shared" si="175"/>
        <v>8417474.7153000031</v>
      </c>
      <c r="DR54" s="335">
        <f t="shared" si="175"/>
        <v>6052472.4560999991</v>
      </c>
      <c r="DS54" s="335">
        <f t="shared" si="175"/>
        <v>10967983.5496</v>
      </c>
      <c r="DT54" s="335">
        <f t="shared" si="175"/>
        <v>8289992.6559999939</v>
      </c>
      <c r="DU54" s="335">
        <f t="shared" si="175"/>
        <v>3841685.0471999934</v>
      </c>
      <c r="DV54" s="335">
        <f t="shared" si="175"/>
        <v>7718161.3628999991</v>
      </c>
      <c r="DW54" s="335">
        <f>SUM(DW50:DW53)</f>
        <v>83861512.741599977</v>
      </c>
      <c r="DY54" s="335">
        <f t="shared" ref="DY54:EJ54" si="176">SUM(DY50:DY53)</f>
        <v>4765543.5000000028</v>
      </c>
      <c r="DZ54" s="335">
        <f t="shared" si="176"/>
        <v>8354515.7599999998</v>
      </c>
      <c r="EA54" s="335">
        <f t="shared" si="176"/>
        <v>4338606.6399999959</v>
      </c>
      <c r="EB54" s="335">
        <f t="shared" si="176"/>
        <v>4973092.5100000007</v>
      </c>
      <c r="EC54" s="335">
        <f t="shared" si="176"/>
        <v>9519893.4700000044</v>
      </c>
      <c r="ED54" s="335">
        <f t="shared" si="176"/>
        <v>5021206.6799999969</v>
      </c>
      <c r="EE54" s="335">
        <f t="shared" si="176"/>
        <v>6803974.2213000013</v>
      </c>
      <c r="EF54" s="335">
        <f t="shared" si="176"/>
        <v>6681817.3873162819</v>
      </c>
      <c r="EG54" s="335">
        <f t="shared" si="176"/>
        <v>6338851.485799998</v>
      </c>
      <c r="EH54" s="335">
        <f t="shared" si="176"/>
        <v>7431767.9846999971</v>
      </c>
      <c r="EI54" s="335">
        <f t="shared" si="176"/>
        <v>6281546.1002999973</v>
      </c>
      <c r="EJ54" s="335">
        <f t="shared" si="176"/>
        <v>7207420.4768000012</v>
      </c>
      <c r="EK54" s="335">
        <f>SUM(EK50:EK53)</f>
        <v>77718236.216216281</v>
      </c>
      <c r="EL54" s="168"/>
      <c r="EM54" s="335">
        <f t="shared" ref="EM54:EY54" si="177">SUM(EM50:EM53)</f>
        <v>5907635.4521873714</v>
      </c>
      <c r="EN54" s="335">
        <f t="shared" si="177"/>
        <v>4660397.1442090943</v>
      </c>
      <c r="EO54" s="335">
        <f t="shared" si="177"/>
        <v>4538812.5891318675</v>
      </c>
      <c r="EP54" s="335">
        <f t="shared" si="177"/>
        <v>3094019.0457376223</v>
      </c>
      <c r="EQ54" s="335">
        <f t="shared" si="177"/>
        <v>7172099.997041434</v>
      </c>
      <c r="ER54" s="335">
        <f t="shared" si="177"/>
        <v>8395593.09458079</v>
      </c>
      <c r="ES54" s="335">
        <f t="shared" si="177"/>
        <v>7070001.263212367</v>
      </c>
      <c r="ET54" s="335">
        <f t="shared" si="177"/>
        <v>6707804.9478512174</v>
      </c>
      <c r="EU54" s="335">
        <f t="shared" si="177"/>
        <v>3796264.9729989753</v>
      </c>
      <c r="EV54" s="335">
        <f t="shared" si="177"/>
        <v>9888595.354576122</v>
      </c>
      <c r="EW54" s="335">
        <f t="shared" si="177"/>
        <v>6973829.8207622999</v>
      </c>
      <c r="EX54" s="335">
        <f t="shared" si="177"/>
        <v>5030750.9162981147</v>
      </c>
      <c r="EY54" s="335">
        <f t="shared" si="177"/>
        <v>73235804.598587289</v>
      </c>
      <c r="EZ54" s="168"/>
    </row>
    <row r="55" spans="1:156" s="155" customFormat="1" ht="15.75" customHeight="1">
      <c r="B55" s="172"/>
      <c r="C55" s="172"/>
      <c r="D55" s="172"/>
      <c r="F55" s="172"/>
      <c r="G55" s="172"/>
      <c r="H55" s="379"/>
      <c r="I55" s="379"/>
      <c r="J55" s="379"/>
      <c r="K55" s="379"/>
      <c r="L55" s="379"/>
      <c r="M55" s="379"/>
      <c r="N55" s="379"/>
      <c r="O55" s="379"/>
      <c r="P55" s="379"/>
      <c r="Q55" s="379"/>
      <c r="R55" s="379"/>
      <c r="S55" s="379"/>
      <c r="T55" s="375"/>
      <c r="U55" s="381"/>
      <c r="V55" s="167"/>
      <c r="W55" s="796"/>
      <c r="X55" s="379"/>
      <c r="Y55" s="379"/>
      <c r="Z55" s="379"/>
      <c r="AA55" s="379"/>
      <c r="AB55" s="379"/>
      <c r="AC55" s="379"/>
      <c r="AD55" s="379"/>
      <c r="AE55" s="379"/>
      <c r="AF55" s="379"/>
      <c r="AG55" s="379"/>
      <c r="AH55" s="379"/>
      <c r="AI55" s="379"/>
      <c r="AJ55" s="375"/>
      <c r="AK55" s="796"/>
      <c r="AL55" s="379"/>
      <c r="AM55" s="379"/>
      <c r="AN55" s="379"/>
      <c r="AO55" s="379"/>
      <c r="AP55" s="379"/>
      <c r="AQ55" s="379"/>
      <c r="AR55" s="379"/>
      <c r="AS55" s="379"/>
      <c r="AT55" s="379"/>
      <c r="AU55" s="379"/>
      <c r="AV55" s="379"/>
      <c r="AW55" s="379"/>
      <c r="AX55" s="375"/>
      <c r="AY55" s="381"/>
      <c r="AZ55" s="167"/>
      <c r="BA55" s="796"/>
      <c r="BB55" s="379"/>
      <c r="BC55" s="379"/>
      <c r="BD55" s="379"/>
      <c r="BE55" s="379"/>
      <c r="BF55" s="379"/>
      <c r="BG55" s="379"/>
      <c r="BH55" s="379"/>
      <c r="BI55" s="379"/>
      <c r="BJ55" s="379"/>
      <c r="BK55" s="379"/>
      <c r="BL55" s="379"/>
      <c r="BM55" s="379"/>
      <c r="BN55" s="375"/>
      <c r="BO55" s="796"/>
      <c r="BP55" s="379"/>
      <c r="BQ55" s="379"/>
      <c r="BR55" s="379"/>
      <c r="BS55" s="379"/>
      <c r="BT55" s="379"/>
      <c r="BU55" s="379"/>
      <c r="BV55" s="379"/>
      <c r="BW55" s="379"/>
      <c r="BX55" s="379"/>
      <c r="BY55" s="379"/>
      <c r="BZ55" s="379"/>
      <c r="CA55" s="379"/>
      <c r="CB55" s="375"/>
      <c r="CC55" s="381"/>
      <c r="CD55" s="167"/>
      <c r="CE55" s="172"/>
      <c r="CF55" s="379"/>
      <c r="CG55" s="379"/>
      <c r="CH55" s="379"/>
      <c r="CI55" s="379"/>
      <c r="CJ55" s="379"/>
      <c r="CK55" s="379"/>
      <c r="CL55" s="379"/>
      <c r="CM55" s="379"/>
      <c r="CN55" s="379"/>
      <c r="CO55" s="379"/>
      <c r="CP55" s="379"/>
      <c r="CQ55" s="379"/>
      <c r="CR55" s="382"/>
      <c r="CS55" s="375"/>
      <c r="CT55" s="381"/>
      <c r="CU55" s="167"/>
      <c r="CV55" s="322"/>
      <c r="CW55" s="379"/>
      <c r="CX55" s="379"/>
      <c r="CY55" s="379"/>
      <c r="CZ55" s="379"/>
      <c r="DA55" s="379"/>
      <c r="DB55" s="379"/>
      <c r="DC55" s="379"/>
      <c r="DD55" s="379"/>
      <c r="DE55" s="379"/>
      <c r="DF55" s="379"/>
      <c r="DG55" s="379"/>
      <c r="DH55" s="379"/>
      <c r="DI55" s="375"/>
      <c r="DJ55" s="322"/>
      <c r="DK55" s="379"/>
      <c r="DL55" s="379"/>
      <c r="DM55" s="379"/>
      <c r="DN55" s="379"/>
      <c r="DO55" s="379"/>
      <c r="DP55" s="379"/>
      <c r="DQ55" s="379"/>
      <c r="DR55" s="379"/>
      <c r="DS55" s="379"/>
      <c r="DT55" s="379"/>
      <c r="DU55" s="379"/>
      <c r="DV55" s="379"/>
      <c r="DW55" s="375"/>
      <c r="DY55" s="379"/>
      <c r="DZ55" s="379"/>
      <c r="EA55" s="379"/>
      <c r="EB55" s="379"/>
      <c r="EC55" s="379"/>
      <c r="ED55" s="379"/>
      <c r="EE55" s="379"/>
      <c r="EF55" s="379"/>
      <c r="EG55" s="379"/>
      <c r="EH55" s="379"/>
      <c r="EI55" s="379"/>
      <c r="EJ55" s="379"/>
      <c r="EK55" s="375"/>
      <c r="EL55" s="168"/>
      <c r="EM55" s="379"/>
      <c r="EN55" s="379"/>
      <c r="EO55" s="379"/>
      <c r="EP55" s="379"/>
      <c r="EQ55" s="379"/>
      <c r="ER55" s="379"/>
      <c r="ES55" s="379"/>
      <c r="ET55" s="379"/>
      <c r="EU55" s="379"/>
      <c r="EV55" s="379"/>
      <c r="EW55" s="379"/>
      <c r="EX55" s="379"/>
      <c r="EY55" s="375"/>
      <c r="EZ55" s="168"/>
    </row>
    <row r="56" spans="1:156" s="155" customFormat="1" ht="15.75" customHeight="1">
      <c r="B56" s="172"/>
      <c r="C56" s="172"/>
      <c r="D56" s="172"/>
      <c r="F56" s="172"/>
      <c r="G56" s="172"/>
      <c r="H56" s="379"/>
      <c r="I56" s="379"/>
      <c r="J56" s="379"/>
      <c r="K56" s="379"/>
      <c r="L56" s="379"/>
      <c r="M56" s="379"/>
      <c r="N56" s="379"/>
      <c r="O56" s="379"/>
      <c r="P56" s="379"/>
      <c r="Q56" s="379"/>
      <c r="R56" s="379"/>
      <c r="S56" s="379"/>
      <c r="T56" s="375"/>
      <c r="U56" s="381"/>
      <c r="V56" s="167"/>
      <c r="W56" s="796"/>
      <c r="X56" s="379"/>
      <c r="Y56" s="379"/>
      <c r="Z56" s="379"/>
      <c r="AA56" s="379"/>
      <c r="AB56" s="379"/>
      <c r="AC56" s="379"/>
      <c r="AD56" s="379"/>
      <c r="AE56" s="379"/>
      <c r="AF56" s="379"/>
      <c r="AG56" s="379"/>
      <c r="AH56" s="379"/>
      <c r="AI56" s="379"/>
      <c r="AJ56" s="375"/>
      <c r="AK56" s="796"/>
      <c r="AL56" s="379"/>
      <c r="AM56" s="379"/>
      <c r="AN56" s="379"/>
      <c r="AO56" s="379"/>
      <c r="AP56" s="379"/>
      <c r="AQ56" s="379"/>
      <c r="AR56" s="379"/>
      <c r="AS56" s="379"/>
      <c r="AT56" s="379"/>
      <c r="AU56" s="379"/>
      <c r="AV56" s="379"/>
      <c r="AW56" s="379"/>
      <c r="AX56" s="375"/>
      <c r="AY56" s="381"/>
      <c r="AZ56" s="167"/>
      <c r="BA56" s="796"/>
      <c r="BB56" s="379"/>
      <c r="BC56" s="379"/>
      <c r="BD56" s="379"/>
      <c r="BE56" s="379"/>
      <c r="BF56" s="379"/>
      <c r="BG56" s="379"/>
      <c r="BH56" s="379"/>
      <c r="BI56" s="379"/>
      <c r="BJ56" s="379"/>
      <c r="BK56" s="379"/>
      <c r="BL56" s="379"/>
      <c r="BM56" s="379"/>
      <c r="BN56" s="375"/>
      <c r="BO56" s="796"/>
      <c r="BP56" s="379"/>
      <c r="BQ56" s="379"/>
      <c r="BR56" s="379"/>
      <c r="BS56" s="379"/>
      <c r="BT56" s="379"/>
      <c r="BU56" s="379"/>
      <c r="BV56" s="379"/>
      <c r="BW56" s="379"/>
      <c r="BX56" s="379"/>
      <c r="BY56" s="379"/>
      <c r="BZ56" s="379"/>
      <c r="CA56" s="379"/>
      <c r="CB56" s="375"/>
      <c r="CC56" s="381"/>
      <c r="CD56" s="167"/>
      <c r="CE56" s="172"/>
      <c r="CF56" s="379"/>
      <c r="CG56" s="379"/>
      <c r="CH56" s="379"/>
      <c r="CI56" s="379"/>
      <c r="CJ56" s="379"/>
      <c r="CK56" s="379"/>
      <c r="CL56" s="379"/>
      <c r="CM56" s="379"/>
      <c r="CN56" s="379"/>
      <c r="CO56" s="379"/>
      <c r="CP56" s="379"/>
      <c r="CQ56" s="379"/>
      <c r="CR56" s="382"/>
      <c r="CS56" s="375"/>
      <c r="CT56" s="381"/>
      <c r="CU56" s="167"/>
      <c r="CV56" s="322"/>
      <c r="CW56" s="379"/>
      <c r="CX56" s="379"/>
      <c r="CY56" s="379"/>
      <c r="CZ56" s="379"/>
      <c r="DA56" s="379"/>
      <c r="DB56" s="379"/>
      <c r="DC56" s="379"/>
      <c r="DD56" s="379"/>
      <c r="DE56" s="379"/>
      <c r="DF56" s="379"/>
      <c r="DG56" s="379"/>
      <c r="DH56" s="379"/>
      <c r="DI56" s="375"/>
      <c r="DJ56" s="322"/>
      <c r="DK56" s="379"/>
      <c r="DL56" s="379"/>
      <c r="DM56" s="379"/>
      <c r="DN56" s="379"/>
      <c r="DO56" s="379"/>
      <c r="DP56" s="379"/>
      <c r="DQ56" s="379"/>
      <c r="DR56" s="379"/>
      <c r="DS56" s="379"/>
      <c r="DT56" s="379"/>
      <c r="DU56" s="379"/>
      <c r="DV56" s="379"/>
      <c r="DW56" s="375"/>
      <c r="DY56" s="379"/>
      <c r="DZ56" s="379"/>
      <c r="EA56" s="379"/>
      <c r="EB56" s="379"/>
      <c r="EC56" s="379"/>
      <c r="ED56" s="379"/>
      <c r="EE56" s="379"/>
      <c r="EF56" s="379"/>
      <c r="EG56" s="379"/>
      <c r="EH56" s="379"/>
      <c r="EI56" s="379"/>
      <c r="EJ56" s="379"/>
      <c r="EK56" s="375"/>
      <c r="EL56" s="168"/>
      <c r="EM56" s="379"/>
      <c r="EN56" s="379"/>
      <c r="EO56" s="379"/>
      <c r="EP56" s="379"/>
      <c r="EQ56" s="379"/>
      <c r="ER56" s="379"/>
      <c r="ES56" s="379"/>
      <c r="ET56" s="379"/>
      <c r="EU56" s="379"/>
      <c r="EV56" s="379"/>
      <c r="EW56" s="379"/>
      <c r="EX56" s="379"/>
      <c r="EY56" s="375"/>
      <c r="EZ56" s="168"/>
    </row>
    <row r="57" spans="1:156" s="155" customFormat="1" ht="16.5" customHeight="1">
      <c r="B57" s="172"/>
      <c r="C57" s="172"/>
      <c r="D57" s="172"/>
      <c r="E57" s="155" t="s">
        <v>304</v>
      </c>
      <c r="F57" s="172"/>
      <c r="G57" s="172"/>
      <c r="H57" s="379"/>
      <c r="I57" s="379"/>
      <c r="J57" s="379"/>
      <c r="K57" s="379"/>
      <c r="L57" s="379"/>
      <c r="M57" s="379"/>
      <c r="N57" s="379"/>
      <c r="O57" s="379"/>
      <c r="P57" s="379"/>
      <c r="Q57" s="379"/>
      <c r="R57" s="379"/>
      <c r="S57" s="379"/>
      <c r="T57" s="375"/>
      <c r="U57" s="381"/>
      <c r="V57" s="167"/>
      <c r="W57" s="796"/>
      <c r="X57" s="379"/>
      <c r="Y57" s="379"/>
      <c r="Z57" s="379"/>
      <c r="AA57" s="379"/>
      <c r="AB57" s="379"/>
      <c r="AC57" s="379"/>
      <c r="AD57" s="379"/>
      <c r="AE57" s="379"/>
      <c r="AF57" s="379"/>
      <c r="AG57" s="379"/>
      <c r="AH57" s="379"/>
      <c r="AI57" s="379"/>
      <c r="AJ57" s="375"/>
      <c r="AK57" s="796"/>
      <c r="AL57" s="379"/>
      <c r="AM57" s="379"/>
      <c r="AN57" s="379"/>
      <c r="AO57" s="379"/>
      <c r="AP57" s="379"/>
      <c r="AQ57" s="379"/>
      <c r="AR57" s="379"/>
      <c r="AS57" s="379"/>
      <c r="AT57" s="379"/>
      <c r="AU57" s="379"/>
      <c r="AV57" s="379"/>
      <c r="AW57" s="379"/>
      <c r="AX57" s="375"/>
      <c r="AY57" s="381"/>
      <c r="AZ57" s="167"/>
      <c r="BA57" s="796"/>
      <c r="BB57" s="379"/>
      <c r="BC57" s="379"/>
      <c r="BD57" s="379"/>
      <c r="BE57" s="379"/>
      <c r="BF57" s="379"/>
      <c r="BG57" s="379"/>
      <c r="BH57" s="379"/>
      <c r="BI57" s="379"/>
      <c r="BJ57" s="379"/>
      <c r="BK57" s="379"/>
      <c r="BL57" s="379"/>
      <c r="BM57" s="379"/>
      <c r="BN57" s="375"/>
      <c r="BO57" s="796"/>
      <c r="BP57" s="379"/>
      <c r="BQ57" s="379"/>
      <c r="BR57" s="379"/>
      <c r="BS57" s="379"/>
      <c r="BT57" s="379"/>
      <c r="BU57" s="379"/>
      <c r="BV57" s="379"/>
      <c r="BW57" s="379"/>
      <c r="BX57" s="379"/>
      <c r="BY57" s="379"/>
      <c r="BZ57" s="379"/>
      <c r="CA57" s="379"/>
      <c r="CB57" s="375"/>
      <c r="CC57" s="381"/>
      <c r="CD57" s="167"/>
      <c r="CE57" s="172"/>
      <c r="CF57" s="379"/>
      <c r="CG57" s="379"/>
      <c r="CH57" s="379"/>
      <c r="CI57" s="379"/>
      <c r="CJ57" s="379"/>
      <c r="CK57" s="379"/>
      <c r="CL57" s="379"/>
      <c r="CM57" s="379"/>
      <c r="CN57" s="379"/>
      <c r="CO57" s="379"/>
      <c r="CP57" s="379"/>
      <c r="CQ57" s="379"/>
      <c r="CR57" s="382"/>
      <c r="CS57" s="375"/>
      <c r="CT57" s="381"/>
      <c r="CU57" s="167"/>
      <c r="CV57" s="322"/>
      <c r="CW57" s="379"/>
      <c r="CX57" s="379"/>
      <c r="CY57" s="379"/>
      <c r="CZ57" s="379"/>
      <c r="DA57" s="379"/>
      <c r="DB57" s="379"/>
      <c r="DC57" s="379"/>
      <c r="DD57" s="379"/>
      <c r="DE57" s="379"/>
      <c r="DF57" s="379"/>
      <c r="DG57" s="379"/>
      <c r="DH57" s="379"/>
      <c r="DI57" s="375"/>
      <c r="DJ57" s="322"/>
      <c r="DK57" s="379"/>
      <c r="DL57" s="379"/>
      <c r="DM57" s="379"/>
      <c r="DN57" s="379"/>
      <c r="DO57" s="379"/>
      <c r="DP57" s="379"/>
      <c r="DQ57" s="379"/>
      <c r="DR57" s="379"/>
      <c r="DS57" s="379"/>
      <c r="DT57" s="379"/>
      <c r="DU57" s="379"/>
      <c r="DV57" s="379"/>
      <c r="DW57" s="375"/>
      <c r="DY57" s="379"/>
      <c r="DZ57" s="379"/>
      <c r="EA57" s="379"/>
      <c r="EB57" s="379"/>
      <c r="EC57" s="379"/>
      <c r="ED57" s="379"/>
      <c r="EE57" s="379"/>
      <c r="EF57" s="379"/>
      <c r="EG57" s="379"/>
      <c r="EH57" s="379"/>
      <c r="EI57" s="379"/>
      <c r="EJ57" s="379"/>
      <c r="EK57" s="375"/>
      <c r="EL57" s="168"/>
      <c r="EM57" s="379"/>
      <c r="EN57" s="379"/>
      <c r="EO57" s="379"/>
      <c r="EP57" s="379"/>
      <c r="EQ57" s="379"/>
      <c r="ER57" s="379"/>
      <c r="ES57" s="379"/>
      <c r="ET57" s="379"/>
      <c r="EU57" s="379"/>
      <c r="EV57" s="379"/>
      <c r="EW57" s="379"/>
      <c r="EX57" s="379"/>
      <c r="EY57" s="375"/>
      <c r="EZ57" s="168"/>
    </row>
    <row r="58" spans="1:156" s="155" customFormat="1" ht="16.5" customHeight="1">
      <c r="B58" s="172"/>
      <c r="C58" s="186" t="s">
        <v>1084</v>
      </c>
      <c r="D58" s="172"/>
      <c r="F58" s="172" t="s">
        <v>305</v>
      </c>
      <c r="G58" s="172"/>
      <c r="H58" s="800">
        <f t="shared" ref="H58:T58" si="178">H37-H47</f>
        <v>0</v>
      </c>
      <c r="I58" s="373">
        <f t="shared" si="178"/>
        <v>0</v>
      </c>
      <c r="J58" s="373">
        <f t="shared" si="178"/>
        <v>0</v>
      </c>
      <c r="K58" s="373">
        <f t="shared" si="178"/>
        <v>0</v>
      </c>
      <c r="L58" s="373">
        <f t="shared" si="178"/>
        <v>0</v>
      </c>
      <c r="M58" s="373">
        <f t="shared" si="178"/>
        <v>0</v>
      </c>
      <c r="N58" s="373">
        <f t="shared" si="178"/>
        <v>0</v>
      </c>
      <c r="O58" s="373">
        <f t="shared" si="178"/>
        <v>0</v>
      </c>
      <c r="P58" s="373">
        <f t="shared" si="178"/>
        <v>0</v>
      </c>
      <c r="Q58" s="373">
        <f t="shared" si="178"/>
        <v>0</v>
      </c>
      <c r="R58" s="373">
        <f t="shared" si="178"/>
        <v>0</v>
      </c>
      <c r="S58" s="373">
        <f t="shared" si="178"/>
        <v>161808176.20351812</v>
      </c>
      <c r="T58" s="391">
        <f t="shared" si="178"/>
        <v>161808176.20351812</v>
      </c>
      <c r="U58" s="378">
        <f t="shared" ref="U58:U63" si="179">T58-AJ58</f>
        <v>-23204862.806024849</v>
      </c>
      <c r="V58" s="165">
        <f t="shared" ref="V58:V63" si="180">U58/AJ58</f>
        <v>-0.12542285089878419</v>
      </c>
      <c r="W58" s="796"/>
      <c r="X58" s="800">
        <f t="shared" ref="X58:AJ58" si="181">X37-X47</f>
        <v>3752213.6191933025</v>
      </c>
      <c r="Y58" s="373">
        <f t="shared" si="181"/>
        <v>9089734.5463369004</v>
      </c>
      <c r="Z58" s="373">
        <f t="shared" si="181"/>
        <v>9444189.0857669022</v>
      </c>
      <c r="AA58" s="373">
        <f t="shared" si="181"/>
        <v>4909773.0905389981</v>
      </c>
      <c r="AB58" s="373">
        <f t="shared" si="181"/>
        <v>7456716.6362520028</v>
      </c>
      <c r="AC58" s="373">
        <f t="shared" si="181"/>
        <v>10161454.142837998</v>
      </c>
      <c r="AD58" s="373">
        <f t="shared" si="181"/>
        <v>8162012.7497127037</v>
      </c>
      <c r="AE58" s="373">
        <f t="shared" si="181"/>
        <v>14790743.836970435</v>
      </c>
      <c r="AF58" s="373">
        <f t="shared" si="181"/>
        <v>24086728.030501902</v>
      </c>
      <c r="AG58" s="373">
        <f t="shared" si="181"/>
        <v>14365430.022278301</v>
      </c>
      <c r="AH58" s="373">
        <f t="shared" si="181"/>
        <v>38054690.095346704</v>
      </c>
      <c r="AI58" s="373">
        <f t="shared" si="181"/>
        <v>40739353.153806821</v>
      </c>
      <c r="AJ58" s="391">
        <f t="shared" si="181"/>
        <v>185013039.00954297</v>
      </c>
      <c r="AK58" s="796"/>
      <c r="AL58" s="800">
        <f t="shared" ref="AL58:AX63" si="182">AL37-AL47</f>
        <v>0</v>
      </c>
      <c r="AM58" s="373">
        <f t="shared" si="182"/>
        <v>0</v>
      </c>
      <c r="AN58" s="373">
        <f t="shared" si="182"/>
        <v>0</v>
      </c>
      <c r="AO58" s="373">
        <f t="shared" si="182"/>
        <v>0</v>
      </c>
      <c r="AP58" s="373">
        <f t="shared" si="182"/>
        <v>0</v>
      </c>
      <c r="AQ58" s="373">
        <f t="shared" si="182"/>
        <v>0</v>
      </c>
      <c r="AR58" s="373">
        <f t="shared" si="182"/>
        <v>0</v>
      </c>
      <c r="AS58" s="373">
        <f t="shared" si="182"/>
        <v>0</v>
      </c>
      <c r="AT58" s="373">
        <f t="shared" si="182"/>
        <v>0</v>
      </c>
      <c r="AU58" s="373">
        <f t="shared" si="182"/>
        <v>0</v>
      </c>
      <c r="AV58" s="373">
        <f t="shared" si="182"/>
        <v>0</v>
      </c>
      <c r="AW58" s="373">
        <f t="shared" si="182"/>
        <v>147579246.57073611</v>
      </c>
      <c r="AX58" s="391">
        <f t="shared" si="182"/>
        <v>147579246.57073611</v>
      </c>
      <c r="AY58" s="378">
        <f t="shared" ref="AY58:AY63" si="183">AX58-BN58</f>
        <v>53750122.111804217</v>
      </c>
      <c r="AZ58" s="165">
        <f t="shared" ref="AZ58:AZ63" si="184">AY58/BN58</f>
        <v>0.57285115279243737</v>
      </c>
      <c r="BA58" s="796"/>
      <c r="BB58" s="800">
        <f t="shared" ref="BB58:BN63" si="185">BB37-BB47</f>
        <v>2174352.5168716544</v>
      </c>
      <c r="BC58" s="373">
        <f t="shared" si="185"/>
        <v>2908241.8400943335</v>
      </c>
      <c r="BD58" s="373">
        <f t="shared" si="185"/>
        <v>8658233.8768592179</v>
      </c>
      <c r="BE58" s="373">
        <f t="shared" si="185"/>
        <v>3559463.2918267976</v>
      </c>
      <c r="BF58" s="373">
        <f t="shared" si="185"/>
        <v>5909365.5722450009</v>
      </c>
      <c r="BG58" s="373">
        <f t="shared" si="185"/>
        <v>3790528.550300397</v>
      </c>
      <c r="BH58" s="373">
        <f t="shared" si="185"/>
        <v>7484044.2613728009</v>
      </c>
      <c r="BI58" s="373">
        <f t="shared" si="185"/>
        <v>12243967.375087103</v>
      </c>
      <c r="BJ58" s="373">
        <f t="shared" si="185"/>
        <v>17567418.5241981</v>
      </c>
      <c r="BK58" s="373">
        <f t="shared" si="185"/>
        <v>13219497.014077697</v>
      </c>
      <c r="BL58" s="373">
        <f t="shared" si="185"/>
        <v>6635085.2868251037</v>
      </c>
      <c r="BM58" s="373">
        <f t="shared" si="185"/>
        <v>9678926.3491736948</v>
      </c>
      <c r="BN58" s="391">
        <f t="shared" si="185"/>
        <v>93829124.458931893</v>
      </c>
      <c r="BO58" s="796"/>
      <c r="BP58" s="800">
        <f t="shared" ref="BP58:CB63" si="186">BP37-BP47</f>
        <v>2881880.5819441131</v>
      </c>
      <c r="BQ58" s="373">
        <f t="shared" si="186"/>
        <v>3354440.6930933222</v>
      </c>
      <c r="BR58" s="373">
        <f t="shared" si="186"/>
        <v>9628192.231017651</v>
      </c>
      <c r="BS58" s="373">
        <f t="shared" si="186"/>
        <v>7969235.4194507394</v>
      </c>
      <c r="BT58" s="373">
        <f t="shared" si="186"/>
        <v>11556008.947100611</v>
      </c>
      <c r="BU58" s="373">
        <f t="shared" si="186"/>
        <v>25153315.860111926</v>
      </c>
      <c r="BV58" s="373">
        <f t="shared" si="186"/>
        <v>11664442.497577578</v>
      </c>
      <c r="BW58" s="373">
        <f t="shared" si="186"/>
        <v>17462556.940642614</v>
      </c>
      <c r="BX58" s="373">
        <f t="shared" si="186"/>
        <v>38779213.028363727</v>
      </c>
      <c r="BY58" s="373">
        <f t="shared" si="186"/>
        <v>26499409.101613931</v>
      </c>
      <c r="BZ58" s="373">
        <f t="shared" si="186"/>
        <v>18139628.022006847</v>
      </c>
      <c r="CA58" s="373">
        <f t="shared" si="186"/>
        <v>27290113.017433219</v>
      </c>
      <c r="CB58" s="391">
        <f t="shared" si="186"/>
        <v>200378436.34035629</v>
      </c>
      <c r="CC58" s="378">
        <f t="shared" ref="CC58:CC63" si="187">BN58-CB58</f>
        <v>-106549311.8814244</v>
      </c>
      <c r="CD58" s="165">
        <f t="shared" ref="CD58:CD63" si="188">IFERROR(CC58/CB58,"N/A")</f>
        <v>-0.53174040993334837</v>
      </c>
      <c r="CE58" s="172"/>
      <c r="CF58" s="800">
        <f t="shared" ref="CF58:CQ63" si="189">CF37-CF47</f>
        <v>11474369.472989244</v>
      </c>
      <c r="CG58" s="373">
        <f t="shared" si="189"/>
        <v>21427454.889928892</v>
      </c>
      <c r="CH58" s="373">
        <f t="shared" si="189"/>
        <v>25984245.082549803</v>
      </c>
      <c r="CI58" s="373">
        <f t="shared" si="189"/>
        <v>15125997.64313221</v>
      </c>
      <c r="CJ58" s="373">
        <f t="shared" si="189"/>
        <v>13639918.965408001</v>
      </c>
      <c r="CK58" s="373">
        <f t="shared" si="189"/>
        <v>27070534.364049088</v>
      </c>
      <c r="CL58" s="373">
        <f t="shared" si="189"/>
        <v>7311960.255709406</v>
      </c>
      <c r="CM58" s="373">
        <f t="shared" si="189"/>
        <v>22353528.8066094</v>
      </c>
      <c r="CN58" s="373">
        <f t="shared" si="189"/>
        <v>30140045.990865</v>
      </c>
      <c r="CO58" s="373">
        <f t="shared" si="189"/>
        <v>20052213.705084197</v>
      </c>
      <c r="CP58" s="373">
        <f t="shared" si="189"/>
        <v>17783242.994471598</v>
      </c>
      <c r="CQ58" s="373">
        <f t="shared" si="189"/>
        <v>14730590.423005968</v>
      </c>
      <c r="CR58" s="376"/>
      <c r="CS58" s="391">
        <f t="shared" ref="CS58:CS63" si="190">CS37-CS47</f>
        <v>227094102.59380278</v>
      </c>
      <c r="CT58" s="378">
        <f t="shared" ref="CT58:CT63" si="191">BN58-CS58</f>
        <v>-133264978.13487089</v>
      </c>
      <c r="CU58" s="165">
        <f t="shared" ref="CU58:CU63" si="192">IFERROR(CT58/CS58,"N/A")</f>
        <v>-0.58682711973916135</v>
      </c>
      <c r="CV58" s="322"/>
      <c r="CW58" s="800">
        <f t="shared" ref="CW58:DI63" si="193">CW37-CW47</f>
        <v>16845255.564846203</v>
      </c>
      <c r="CX58" s="373">
        <f t="shared" si="193"/>
        <v>19227059.859371796</v>
      </c>
      <c r="CY58" s="373">
        <f t="shared" si="193"/>
        <v>26876732.312672436</v>
      </c>
      <c r="CZ58" s="373">
        <f t="shared" si="193"/>
        <v>16859320.664094318</v>
      </c>
      <c r="DA58" s="373">
        <f t="shared" si="193"/>
        <v>23604176.555455938</v>
      </c>
      <c r="DB58" s="373">
        <f t="shared" si="193"/>
        <v>24448608.71093196</v>
      </c>
      <c r="DC58" s="373">
        <f t="shared" si="193"/>
        <v>15199416.5594301</v>
      </c>
      <c r="DD58" s="373">
        <f t="shared" si="193"/>
        <v>20675089.516795099</v>
      </c>
      <c r="DE58" s="373">
        <f t="shared" si="193"/>
        <v>37103824.984499998</v>
      </c>
      <c r="DF58" s="373">
        <f t="shared" si="193"/>
        <v>27957812.433176402</v>
      </c>
      <c r="DG58" s="373">
        <f t="shared" si="193"/>
        <v>16592252.140244998</v>
      </c>
      <c r="DH58" s="373">
        <f t="shared" si="193"/>
        <v>30645247.576752812</v>
      </c>
      <c r="DI58" s="391">
        <f t="shared" si="193"/>
        <v>276034796.87827206</v>
      </c>
      <c r="DJ58" s="322"/>
      <c r="DK58" s="800">
        <f t="shared" ref="DK58:DW63" si="194">DK37-DK47</f>
        <v>14637817.896999996</v>
      </c>
      <c r="DL58" s="373">
        <f t="shared" si="194"/>
        <v>19269691.159264054</v>
      </c>
      <c r="DM58" s="373">
        <f t="shared" si="194"/>
        <v>26617246.035954274</v>
      </c>
      <c r="DN58" s="373">
        <f t="shared" si="194"/>
        <v>15656583.17358955</v>
      </c>
      <c r="DO58" s="373">
        <f t="shared" si="194"/>
        <v>25062084.61695588</v>
      </c>
      <c r="DP58" s="373">
        <f t="shared" si="194"/>
        <v>26546475.949534625</v>
      </c>
      <c r="DQ58" s="373">
        <f t="shared" si="194"/>
        <v>14640843.465093661</v>
      </c>
      <c r="DR58" s="373">
        <f t="shared" si="194"/>
        <v>20250192.864613175</v>
      </c>
      <c r="DS58" s="373">
        <f t="shared" si="194"/>
        <v>32339981.541601125</v>
      </c>
      <c r="DT58" s="373">
        <f t="shared" si="194"/>
        <v>30559756.490001995</v>
      </c>
      <c r="DU58" s="373">
        <f t="shared" si="194"/>
        <v>18409397.245860584</v>
      </c>
      <c r="DV58" s="373">
        <f t="shared" si="194"/>
        <v>24304460.336254444</v>
      </c>
      <c r="DW58" s="391">
        <f t="shared" si="194"/>
        <v>268294530.77572337</v>
      </c>
      <c r="DY58" s="800">
        <f t="shared" ref="DY58:EK63" si="195">DY37-DY47</f>
        <v>25158758.473432321</v>
      </c>
      <c r="DZ58" s="373">
        <f t="shared" si="195"/>
        <v>19107068.964462042</v>
      </c>
      <c r="EA58" s="373">
        <f t="shared" si="195"/>
        <v>15767696.107076582</v>
      </c>
      <c r="EB58" s="373">
        <f t="shared" si="195"/>
        <v>12307053.791968251</v>
      </c>
      <c r="EC58" s="373">
        <f t="shared" si="195"/>
        <v>28016105.28897367</v>
      </c>
      <c r="ED58" s="373">
        <f t="shared" si="195"/>
        <v>20424464.84836971</v>
      </c>
      <c r="EE58" s="373">
        <f t="shared" si="195"/>
        <v>12773283.006892683</v>
      </c>
      <c r="EF58" s="373">
        <f t="shared" si="195"/>
        <v>17290414.24268372</v>
      </c>
      <c r="EG58" s="373">
        <f t="shared" si="195"/>
        <v>30780613.332957517</v>
      </c>
      <c r="EH58" s="373">
        <f t="shared" si="195"/>
        <v>17976132.395300005</v>
      </c>
      <c r="EI58" s="373">
        <f t="shared" si="195"/>
        <v>18553283.379700001</v>
      </c>
      <c r="EJ58" s="373">
        <f t="shared" si="195"/>
        <v>29820568.313199993</v>
      </c>
      <c r="EK58" s="391">
        <f t="shared" si="195"/>
        <v>247975442.14501646</v>
      </c>
      <c r="EL58" s="168"/>
      <c r="EM58" s="800">
        <f t="shared" ref="EM58:EY63" si="196">EM37-EM47</f>
        <v>32677328.36650864</v>
      </c>
      <c r="EN58" s="373">
        <f t="shared" si="196"/>
        <v>15104931.040833181</v>
      </c>
      <c r="EO58" s="373">
        <f t="shared" si="196"/>
        <v>12746870.309659781</v>
      </c>
      <c r="EP58" s="373">
        <f t="shared" si="196"/>
        <v>18022256.491339657</v>
      </c>
      <c r="EQ58" s="373">
        <f t="shared" si="196"/>
        <v>24795639.716998775</v>
      </c>
      <c r="ER58" s="373">
        <f t="shared" si="196"/>
        <v>14034964.804382984</v>
      </c>
      <c r="ES58" s="373">
        <f t="shared" si="196"/>
        <v>16281940.510499416</v>
      </c>
      <c r="ET58" s="373">
        <f t="shared" si="196"/>
        <v>16366406.633245917</v>
      </c>
      <c r="EU58" s="373">
        <f t="shared" si="196"/>
        <v>22479788.926117193</v>
      </c>
      <c r="EV58" s="373">
        <f t="shared" si="196"/>
        <v>35290277.594783053</v>
      </c>
      <c r="EW58" s="373">
        <f t="shared" si="196"/>
        <v>20278366.211809568</v>
      </c>
      <c r="EX58" s="373">
        <f t="shared" si="196"/>
        <v>15110222.824821323</v>
      </c>
      <c r="EY58" s="391">
        <f t="shared" si="196"/>
        <v>243188993.43099946</v>
      </c>
      <c r="EZ58" s="168"/>
    </row>
    <row r="59" spans="1:156" s="155" customFormat="1" ht="16.5" customHeight="1">
      <c r="B59" s="172"/>
      <c r="C59" s="320" t="s">
        <v>1083</v>
      </c>
      <c r="D59" s="172"/>
      <c r="F59" s="172" t="s">
        <v>306</v>
      </c>
      <c r="G59" s="172"/>
      <c r="H59" s="800">
        <f t="shared" ref="H59:T59" si="197">H38-H48</f>
        <v>0</v>
      </c>
      <c r="I59" s="373">
        <f t="shared" si="197"/>
        <v>0</v>
      </c>
      <c r="J59" s="373">
        <f t="shared" si="197"/>
        <v>0</v>
      </c>
      <c r="K59" s="373">
        <f t="shared" si="197"/>
        <v>0</v>
      </c>
      <c r="L59" s="373">
        <f t="shared" si="197"/>
        <v>0</v>
      </c>
      <c r="M59" s="373">
        <f t="shared" si="197"/>
        <v>0</v>
      </c>
      <c r="N59" s="373">
        <f t="shared" si="197"/>
        <v>0</v>
      </c>
      <c r="O59" s="373">
        <f t="shared" si="197"/>
        <v>0</v>
      </c>
      <c r="P59" s="373">
        <f t="shared" si="197"/>
        <v>0</v>
      </c>
      <c r="Q59" s="373">
        <f t="shared" si="197"/>
        <v>0</v>
      </c>
      <c r="R59" s="373">
        <f t="shared" si="197"/>
        <v>0</v>
      </c>
      <c r="S59" s="373">
        <f t="shared" si="197"/>
        <v>177477193.33605894</v>
      </c>
      <c r="T59" s="391">
        <f t="shared" si="197"/>
        <v>177477193.33605894</v>
      </c>
      <c r="U59" s="378">
        <f t="shared" si="179"/>
        <v>57667745.536058962</v>
      </c>
      <c r="V59" s="165">
        <f t="shared" si="180"/>
        <v>0.48132886508520384</v>
      </c>
      <c r="W59" s="796"/>
      <c r="X59" s="800">
        <f t="shared" ref="X59:AJ59" si="198">X38-X48</f>
        <v>21653595.220000003</v>
      </c>
      <c r="Y59" s="373">
        <f t="shared" si="198"/>
        <v>9741502.0100000016</v>
      </c>
      <c r="Z59" s="373">
        <f t="shared" si="198"/>
        <v>2583440.5700000003</v>
      </c>
      <c r="AA59" s="373">
        <f t="shared" si="198"/>
        <v>2551092.9</v>
      </c>
      <c r="AB59" s="373">
        <f t="shared" si="198"/>
        <v>-269339.43</v>
      </c>
      <c r="AC59" s="373">
        <f t="shared" si="198"/>
        <v>5413108.6100000003</v>
      </c>
      <c r="AD59" s="373">
        <f t="shared" si="198"/>
        <v>14513973.109999999</v>
      </c>
      <c r="AE59" s="373">
        <f t="shared" si="198"/>
        <v>38214995.990000002</v>
      </c>
      <c r="AF59" s="373">
        <f t="shared" si="198"/>
        <v>24306119.850000001</v>
      </c>
      <c r="AG59" s="373">
        <f t="shared" si="198"/>
        <v>-7333237.1599999983</v>
      </c>
      <c r="AH59" s="373">
        <f t="shared" si="198"/>
        <v>4984596.26</v>
      </c>
      <c r="AI59" s="373">
        <f t="shared" si="198"/>
        <v>3449599.87</v>
      </c>
      <c r="AJ59" s="391">
        <f t="shared" si="198"/>
        <v>119809447.79999998</v>
      </c>
      <c r="AK59" s="796"/>
      <c r="AL59" s="800">
        <f t="shared" si="182"/>
        <v>0</v>
      </c>
      <c r="AM59" s="373">
        <f t="shared" si="182"/>
        <v>0</v>
      </c>
      <c r="AN59" s="373">
        <f t="shared" si="182"/>
        <v>0</v>
      </c>
      <c r="AO59" s="373">
        <f t="shared" si="182"/>
        <v>0</v>
      </c>
      <c r="AP59" s="373">
        <f t="shared" si="182"/>
        <v>0</v>
      </c>
      <c r="AQ59" s="373">
        <f t="shared" si="182"/>
        <v>0</v>
      </c>
      <c r="AR59" s="373">
        <f t="shared" si="182"/>
        <v>0</v>
      </c>
      <c r="AS59" s="373">
        <f t="shared" si="182"/>
        <v>0</v>
      </c>
      <c r="AT59" s="373">
        <f t="shared" si="182"/>
        <v>0</v>
      </c>
      <c r="AU59" s="373">
        <f t="shared" si="182"/>
        <v>0</v>
      </c>
      <c r="AV59" s="373">
        <f t="shared" si="182"/>
        <v>0</v>
      </c>
      <c r="AW59" s="373">
        <f t="shared" si="182"/>
        <v>185086907.50003985</v>
      </c>
      <c r="AX59" s="391">
        <f t="shared" si="182"/>
        <v>185086907.50003985</v>
      </c>
      <c r="AY59" s="378">
        <f t="shared" si="183"/>
        <v>57503739.890039831</v>
      </c>
      <c r="AZ59" s="165">
        <f t="shared" si="184"/>
        <v>0.4507157250227472</v>
      </c>
      <c r="BA59" s="796"/>
      <c r="BB59" s="800">
        <f t="shared" si="185"/>
        <v>0</v>
      </c>
      <c r="BC59" s="373">
        <f t="shared" si="185"/>
        <v>0</v>
      </c>
      <c r="BD59" s="373">
        <f t="shared" si="185"/>
        <v>0</v>
      </c>
      <c r="BE59" s="373">
        <f t="shared" si="185"/>
        <v>0</v>
      </c>
      <c r="BF59" s="373">
        <f t="shared" si="185"/>
        <v>0</v>
      </c>
      <c r="BG59" s="373">
        <f t="shared" si="185"/>
        <v>3689534.1399999997</v>
      </c>
      <c r="BH59" s="373">
        <f t="shared" si="185"/>
        <v>3613514.11</v>
      </c>
      <c r="BI59" s="373">
        <f t="shared" si="185"/>
        <v>20124301.050000001</v>
      </c>
      <c r="BJ59" s="373">
        <f t="shared" si="185"/>
        <v>22512612.579999998</v>
      </c>
      <c r="BK59" s="373">
        <f t="shared" si="185"/>
        <v>41106006.890000001</v>
      </c>
      <c r="BL59" s="373">
        <f t="shared" si="185"/>
        <v>25502467.629999999</v>
      </c>
      <c r="BM59" s="373">
        <f t="shared" si="185"/>
        <v>11034731.209999999</v>
      </c>
      <c r="BN59" s="391">
        <f t="shared" si="185"/>
        <v>127583167.61000001</v>
      </c>
      <c r="BO59" s="796"/>
      <c r="BP59" s="800">
        <f t="shared" si="186"/>
        <v>0</v>
      </c>
      <c r="BQ59" s="373">
        <f t="shared" si="186"/>
        <v>0</v>
      </c>
      <c r="BR59" s="373">
        <f t="shared" si="186"/>
        <v>1875397.1792874702</v>
      </c>
      <c r="BS59" s="373">
        <f t="shared" si="186"/>
        <v>0</v>
      </c>
      <c r="BT59" s="373">
        <f t="shared" si="186"/>
        <v>13698465.088259254</v>
      </c>
      <c r="BU59" s="373">
        <f t="shared" si="186"/>
        <v>26046543.45749015</v>
      </c>
      <c r="BV59" s="373">
        <f t="shared" si="186"/>
        <v>7163831.4331336776</v>
      </c>
      <c r="BW59" s="373">
        <f t="shared" si="186"/>
        <v>30613171.813085344</v>
      </c>
      <c r="BX59" s="373">
        <f t="shared" si="186"/>
        <v>21253554.712907109</v>
      </c>
      <c r="BY59" s="373">
        <f t="shared" si="186"/>
        <v>16212602.307303812</v>
      </c>
      <c r="BZ59" s="373">
        <f t="shared" si="186"/>
        <v>0</v>
      </c>
      <c r="CA59" s="373">
        <f t="shared" si="186"/>
        <v>34399708.728533186</v>
      </c>
      <c r="CB59" s="391">
        <f t="shared" si="186"/>
        <v>151263274.72</v>
      </c>
      <c r="CC59" s="378">
        <f t="shared" si="187"/>
        <v>-23680107.109999985</v>
      </c>
      <c r="CD59" s="165">
        <f t="shared" si="188"/>
        <v>-0.15654895184461456</v>
      </c>
      <c r="CE59" s="172"/>
      <c r="CF59" s="800">
        <f t="shared" si="189"/>
        <v>6454572.3499999996</v>
      </c>
      <c r="CG59" s="373">
        <f t="shared" si="189"/>
        <v>11950078.470000001</v>
      </c>
      <c r="CH59" s="373">
        <f t="shared" si="189"/>
        <v>8355777.8600000003</v>
      </c>
      <c r="CI59" s="373">
        <f t="shared" si="189"/>
        <v>4358778.07</v>
      </c>
      <c r="CJ59" s="373">
        <f t="shared" si="189"/>
        <v>18941574.41</v>
      </c>
      <c r="CK59" s="373">
        <f t="shared" si="189"/>
        <v>4374480.82</v>
      </c>
      <c r="CL59" s="373">
        <f t="shared" si="189"/>
        <v>49209397.07</v>
      </c>
      <c r="CM59" s="373">
        <f t="shared" si="189"/>
        <v>15718679.059999999</v>
      </c>
      <c r="CN59" s="373">
        <f t="shared" si="189"/>
        <v>2209503.66</v>
      </c>
      <c r="CO59" s="373">
        <f t="shared" si="189"/>
        <v>12181365.210000001</v>
      </c>
      <c r="CP59" s="373">
        <f t="shared" si="189"/>
        <v>29002631.979999997</v>
      </c>
      <c r="CQ59" s="373">
        <f t="shared" si="189"/>
        <v>18080759.82</v>
      </c>
      <c r="CR59" s="376"/>
      <c r="CS59" s="391">
        <f t="shared" si="190"/>
        <v>180837598.77999997</v>
      </c>
      <c r="CT59" s="378">
        <f t="shared" si="191"/>
        <v>-53254431.169999957</v>
      </c>
      <c r="CU59" s="165">
        <f t="shared" si="192"/>
        <v>-0.29448760395667073</v>
      </c>
      <c r="CV59" s="322"/>
      <c r="CW59" s="800">
        <f t="shared" si="193"/>
        <v>16959565.84405379</v>
      </c>
      <c r="CX59" s="373">
        <f t="shared" si="193"/>
        <v>6635501.679828207</v>
      </c>
      <c r="CY59" s="373">
        <f t="shared" si="193"/>
        <v>6411441.6166275656</v>
      </c>
      <c r="CZ59" s="373">
        <f t="shared" si="193"/>
        <v>5800023.6520056846</v>
      </c>
      <c r="DA59" s="373">
        <f t="shared" si="193"/>
        <v>7337100.0918440605</v>
      </c>
      <c r="DB59" s="373">
        <f t="shared" si="193"/>
        <v>9913308.5362680368</v>
      </c>
      <c r="DC59" s="373">
        <f t="shared" si="193"/>
        <v>12055597.937969897</v>
      </c>
      <c r="DD59" s="373">
        <f t="shared" si="193"/>
        <v>24142427.352304906</v>
      </c>
      <c r="DE59" s="373">
        <f t="shared" si="193"/>
        <v>25577409.620000001</v>
      </c>
      <c r="DF59" s="373">
        <f t="shared" si="193"/>
        <v>7953487.9000000004</v>
      </c>
      <c r="DG59" s="373">
        <f t="shared" si="193"/>
        <v>12496239.539999999</v>
      </c>
      <c r="DH59" s="373">
        <f t="shared" si="193"/>
        <v>7169451.0299999993</v>
      </c>
      <c r="DI59" s="391">
        <f t="shared" si="193"/>
        <v>142451554.80090219</v>
      </c>
      <c r="DJ59" s="322"/>
      <c r="DK59" s="800">
        <f t="shared" si="194"/>
        <v>0</v>
      </c>
      <c r="DL59" s="373">
        <f t="shared" si="194"/>
        <v>6021703.2668101033</v>
      </c>
      <c r="DM59" s="373">
        <f t="shared" si="194"/>
        <v>8592165.812719468</v>
      </c>
      <c r="DN59" s="373">
        <f t="shared" si="194"/>
        <v>6343272.5621090448</v>
      </c>
      <c r="DO59" s="373">
        <f t="shared" si="194"/>
        <v>7359546.2055441206</v>
      </c>
      <c r="DP59" s="373">
        <f t="shared" si="194"/>
        <v>15408140.48266538</v>
      </c>
      <c r="DQ59" s="373">
        <f t="shared" si="194"/>
        <v>19133810.909606334</v>
      </c>
      <c r="DR59" s="373">
        <f t="shared" si="194"/>
        <v>11090479.299286826</v>
      </c>
      <c r="DS59" s="373">
        <f t="shared" si="194"/>
        <v>14330395.068798872</v>
      </c>
      <c r="DT59" s="373">
        <f t="shared" si="194"/>
        <v>17889968.853998009</v>
      </c>
      <c r="DU59" s="373">
        <f t="shared" si="194"/>
        <v>426129.58420087502</v>
      </c>
      <c r="DV59" s="373">
        <f t="shared" si="194"/>
        <v>9220124.1124074068</v>
      </c>
      <c r="DW59" s="391">
        <f t="shared" si="194"/>
        <v>115815736.15814644</v>
      </c>
      <c r="DY59" s="800">
        <f t="shared" si="195"/>
        <v>174772.14656767526</v>
      </c>
      <c r="DZ59" s="373">
        <f t="shared" si="195"/>
        <v>9581078.9355379548</v>
      </c>
      <c r="EA59" s="373">
        <f t="shared" si="195"/>
        <v>395157.98322918842</v>
      </c>
      <c r="EB59" s="373">
        <f t="shared" si="195"/>
        <v>4504772.2924731486</v>
      </c>
      <c r="EC59" s="373">
        <f t="shared" si="195"/>
        <v>11097639.451026326</v>
      </c>
      <c r="ED59" s="373">
        <f t="shared" si="195"/>
        <v>13435338.89163029</v>
      </c>
      <c r="EE59" s="373">
        <f t="shared" si="195"/>
        <v>14596293.721807316</v>
      </c>
      <c r="EF59" s="373">
        <f t="shared" si="195"/>
        <v>14535903.960000001</v>
      </c>
      <c r="EG59" s="373">
        <f t="shared" si="195"/>
        <v>6156547.1812424874</v>
      </c>
      <c r="EH59" s="373">
        <f t="shared" si="195"/>
        <v>9933501.9899999984</v>
      </c>
      <c r="EI59" s="373">
        <f t="shared" si="195"/>
        <v>6616751.6499999994</v>
      </c>
      <c r="EJ59" s="373">
        <f t="shared" si="195"/>
        <v>6830563.3899999997</v>
      </c>
      <c r="EK59" s="391">
        <f t="shared" si="195"/>
        <v>97858321.593514398</v>
      </c>
      <c r="EL59" s="168"/>
      <c r="EM59" s="800">
        <f t="shared" si="196"/>
        <v>0</v>
      </c>
      <c r="EN59" s="373">
        <f t="shared" si="196"/>
        <v>6834331.9599871952</v>
      </c>
      <c r="EO59" s="373">
        <f t="shared" si="196"/>
        <v>6169315.6179512991</v>
      </c>
      <c r="EP59" s="373">
        <f t="shared" si="196"/>
        <v>0</v>
      </c>
      <c r="EQ59" s="373">
        <f t="shared" si="196"/>
        <v>8922892.1420449186</v>
      </c>
      <c r="ER59" s="373">
        <f t="shared" si="196"/>
        <v>13645469.764706332</v>
      </c>
      <c r="ES59" s="373">
        <f t="shared" si="196"/>
        <v>14149832.044468818</v>
      </c>
      <c r="ET59" s="373">
        <f t="shared" si="196"/>
        <v>13757294.875628632</v>
      </c>
      <c r="EU59" s="373">
        <f t="shared" si="196"/>
        <v>0</v>
      </c>
      <c r="EV59" s="373">
        <f t="shared" si="196"/>
        <v>12178811.940463994</v>
      </c>
      <c r="EW59" s="373">
        <f t="shared" si="196"/>
        <v>10345423.366650486</v>
      </c>
      <c r="EX59" s="373">
        <f t="shared" si="196"/>
        <v>7324916.5203864239</v>
      </c>
      <c r="EY59" s="391">
        <f t="shared" si="196"/>
        <v>93328288.232288107</v>
      </c>
      <c r="EZ59" s="168"/>
    </row>
    <row r="60" spans="1:156" s="155" customFormat="1" ht="16.5" customHeight="1">
      <c r="B60" s="172"/>
      <c r="C60" s="320" t="s">
        <v>1082</v>
      </c>
      <c r="D60" s="172"/>
      <c r="F60" s="172" t="s">
        <v>307</v>
      </c>
      <c r="G60" s="172"/>
      <c r="H60" s="800">
        <f t="shared" ref="H60:R60" si="199">H39-H49</f>
        <v>0</v>
      </c>
      <c r="I60" s="373">
        <f t="shared" si="199"/>
        <v>0</v>
      </c>
      <c r="J60" s="373">
        <f t="shared" si="199"/>
        <v>0</v>
      </c>
      <c r="K60" s="373">
        <f t="shared" si="199"/>
        <v>0</v>
      </c>
      <c r="L60" s="373">
        <f t="shared" si="199"/>
        <v>0</v>
      </c>
      <c r="M60" s="373">
        <f t="shared" si="199"/>
        <v>0</v>
      </c>
      <c r="N60" s="373">
        <f t="shared" si="199"/>
        <v>0</v>
      </c>
      <c r="O60" s="373">
        <f t="shared" si="199"/>
        <v>0</v>
      </c>
      <c r="P60" s="373">
        <f t="shared" si="199"/>
        <v>0</v>
      </c>
      <c r="Q60" s="373">
        <f t="shared" si="199"/>
        <v>0</v>
      </c>
      <c r="R60" s="373">
        <f t="shared" si="199"/>
        <v>0</v>
      </c>
      <c r="S60" s="373">
        <f>S39-S49</f>
        <v>1040171.6905684774</v>
      </c>
      <c r="T60" s="391">
        <f t="shared" ref="T60" si="200">T39-T49</f>
        <v>1040171.6905684774</v>
      </c>
      <c r="U60" s="378">
        <f t="shared" si="179"/>
        <v>1040171.6905684774</v>
      </c>
      <c r="V60" s="165" t="e">
        <f t="shared" si="180"/>
        <v>#DIV/0!</v>
      </c>
      <c r="W60" s="796"/>
      <c r="X60" s="800">
        <f t="shared" ref="X60:AJ60" si="201">X39-X49</f>
        <v>0</v>
      </c>
      <c r="Y60" s="373">
        <f t="shared" si="201"/>
        <v>0</v>
      </c>
      <c r="Z60" s="373">
        <f t="shared" si="201"/>
        <v>0</v>
      </c>
      <c r="AA60" s="373">
        <f t="shared" si="201"/>
        <v>0</v>
      </c>
      <c r="AB60" s="373">
        <f t="shared" si="201"/>
        <v>0</v>
      </c>
      <c r="AC60" s="373">
        <f t="shared" si="201"/>
        <v>0</v>
      </c>
      <c r="AD60" s="373">
        <f t="shared" si="201"/>
        <v>0</v>
      </c>
      <c r="AE60" s="373">
        <f t="shared" si="201"/>
        <v>0</v>
      </c>
      <c r="AF60" s="373">
        <f t="shared" si="201"/>
        <v>0</v>
      </c>
      <c r="AG60" s="373">
        <f t="shared" si="201"/>
        <v>0</v>
      </c>
      <c r="AH60" s="373">
        <f t="shared" si="201"/>
        <v>0</v>
      </c>
      <c r="AI60" s="373">
        <f t="shared" si="201"/>
        <v>0</v>
      </c>
      <c r="AJ60" s="391">
        <f t="shared" si="201"/>
        <v>0</v>
      </c>
      <c r="AK60" s="796"/>
      <c r="AL60" s="800">
        <f t="shared" si="182"/>
        <v>0</v>
      </c>
      <c r="AM60" s="373">
        <f t="shared" si="182"/>
        <v>0</v>
      </c>
      <c r="AN60" s="373">
        <f t="shared" si="182"/>
        <v>0</v>
      </c>
      <c r="AO60" s="373">
        <f t="shared" si="182"/>
        <v>0</v>
      </c>
      <c r="AP60" s="373">
        <f t="shared" si="182"/>
        <v>0</v>
      </c>
      <c r="AQ60" s="373">
        <f t="shared" si="182"/>
        <v>0</v>
      </c>
      <c r="AR60" s="373">
        <f t="shared" si="182"/>
        <v>0</v>
      </c>
      <c r="AS60" s="373">
        <f t="shared" si="182"/>
        <v>0</v>
      </c>
      <c r="AT60" s="373">
        <f t="shared" si="182"/>
        <v>0</v>
      </c>
      <c r="AU60" s="373">
        <f t="shared" si="182"/>
        <v>0</v>
      </c>
      <c r="AV60" s="373">
        <f t="shared" si="182"/>
        <v>0</v>
      </c>
      <c r="AW60" s="373">
        <f>AW39-AW49</f>
        <v>933619.80190666229</v>
      </c>
      <c r="AX60" s="391">
        <f t="shared" si="182"/>
        <v>933619.80190666229</v>
      </c>
      <c r="AY60" s="378">
        <f t="shared" si="183"/>
        <v>53085.961906662444</v>
      </c>
      <c r="AZ60" s="165">
        <f t="shared" si="184"/>
        <v>6.0288383586328098E-2</v>
      </c>
      <c r="BA60" s="796"/>
      <c r="BB60" s="800">
        <f t="shared" si="185"/>
        <v>0</v>
      </c>
      <c r="BC60" s="373">
        <f t="shared" si="185"/>
        <v>0</v>
      </c>
      <c r="BD60" s="373">
        <f t="shared" si="185"/>
        <v>196882.70999999996</v>
      </c>
      <c r="BE60" s="373">
        <f t="shared" si="185"/>
        <v>0</v>
      </c>
      <c r="BF60" s="373">
        <f t="shared" si="185"/>
        <v>0</v>
      </c>
      <c r="BG60" s="373">
        <f t="shared" si="185"/>
        <v>0</v>
      </c>
      <c r="BH60" s="373">
        <f t="shared" si="185"/>
        <v>0</v>
      </c>
      <c r="BI60" s="373">
        <f t="shared" si="185"/>
        <v>0</v>
      </c>
      <c r="BJ60" s="373">
        <f t="shared" si="185"/>
        <v>0</v>
      </c>
      <c r="BK60" s="373">
        <f t="shared" si="185"/>
        <v>0</v>
      </c>
      <c r="BL60" s="373">
        <f t="shared" si="185"/>
        <v>0</v>
      </c>
      <c r="BM60" s="373">
        <f t="shared" si="185"/>
        <v>683651.13000000012</v>
      </c>
      <c r="BN60" s="391">
        <f t="shared" si="185"/>
        <v>880533.83999999985</v>
      </c>
      <c r="BO60" s="796"/>
      <c r="BP60" s="800">
        <f t="shared" si="186"/>
        <v>0</v>
      </c>
      <c r="BQ60" s="373">
        <f t="shared" si="186"/>
        <v>0</v>
      </c>
      <c r="BR60" s="373">
        <f t="shared" si="186"/>
        <v>607487.37837837846</v>
      </c>
      <c r="BS60" s="373">
        <f t="shared" si="186"/>
        <v>0</v>
      </c>
      <c r="BT60" s="373">
        <f t="shared" si="186"/>
        <v>0</v>
      </c>
      <c r="BU60" s="373">
        <f t="shared" si="186"/>
        <v>0</v>
      </c>
      <c r="BV60" s="373">
        <f t="shared" si="186"/>
        <v>0</v>
      </c>
      <c r="BW60" s="373">
        <f t="shared" si="186"/>
        <v>0</v>
      </c>
      <c r="BX60" s="373">
        <f t="shared" si="186"/>
        <v>0</v>
      </c>
      <c r="BY60" s="373">
        <f t="shared" si="186"/>
        <v>0</v>
      </c>
      <c r="BZ60" s="373">
        <f t="shared" si="186"/>
        <v>0</v>
      </c>
      <c r="CA60" s="373">
        <f t="shared" si="186"/>
        <v>2591752.6216216218</v>
      </c>
      <c r="CB60" s="391">
        <f t="shared" si="186"/>
        <v>3199240</v>
      </c>
      <c r="CC60" s="378">
        <f t="shared" si="187"/>
        <v>-2318706.16</v>
      </c>
      <c r="CD60" s="165">
        <f t="shared" si="188"/>
        <v>-0.72476780735424673</v>
      </c>
      <c r="CE60" s="172"/>
      <c r="CF60" s="800">
        <f t="shared" si="189"/>
        <v>0</v>
      </c>
      <c r="CG60" s="373">
        <f t="shared" si="189"/>
        <v>39956.800000000003</v>
      </c>
      <c r="CH60" s="373">
        <f t="shared" si="189"/>
        <v>573096.41</v>
      </c>
      <c r="CI60" s="373">
        <f t="shared" si="189"/>
        <v>0</v>
      </c>
      <c r="CJ60" s="373">
        <f t="shared" si="189"/>
        <v>0</v>
      </c>
      <c r="CK60" s="373">
        <f t="shared" si="189"/>
        <v>0</v>
      </c>
      <c r="CL60" s="373">
        <f t="shared" si="189"/>
        <v>0</v>
      </c>
      <c r="CM60" s="373">
        <f t="shared" si="189"/>
        <v>0</v>
      </c>
      <c r="CN60" s="373">
        <f t="shared" si="189"/>
        <v>0</v>
      </c>
      <c r="CO60" s="373">
        <f t="shared" si="189"/>
        <v>0</v>
      </c>
      <c r="CP60" s="373">
        <f t="shared" si="189"/>
        <v>0</v>
      </c>
      <c r="CQ60" s="373">
        <f t="shared" si="189"/>
        <v>2361210.2600000002</v>
      </c>
      <c r="CR60" s="376"/>
      <c r="CS60" s="391">
        <f t="shared" si="190"/>
        <v>2974263.47</v>
      </c>
      <c r="CT60" s="378">
        <f t="shared" si="191"/>
        <v>-2093729.6300000004</v>
      </c>
      <c r="CU60" s="165">
        <f t="shared" si="192"/>
        <v>-0.70394894437512634</v>
      </c>
      <c r="CV60" s="322"/>
      <c r="CW60" s="800">
        <f t="shared" si="193"/>
        <v>0</v>
      </c>
      <c r="CX60" s="373">
        <f t="shared" si="193"/>
        <v>0</v>
      </c>
      <c r="CY60" s="373">
        <f t="shared" si="193"/>
        <v>0</v>
      </c>
      <c r="CZ60" s="373">
        <f t="shared" si="193"/>
        <v>0</v>
      </c>
      <c r="DA60" s="373">
        <f t="shared" si="193"/>
        <v>395295.56999999995</v>
      </c>
      <c r="DB60" s="373">
        <f t="shared" si="193"/>
        <v>0</v>
      </c>
      <c r="DC60" s="373">
        <f t="shared" si="193"/>
        <v>1458895.9000000001</v>
      </c>
      <c r="DD60" s="373">
        <f t="shared" si="193"/>
        <v>0</v>
      </c>
      <c r="DE60" s="373">
        <f t="shared" si="193"/>
        <v>921842.89</v>
      </c>
      <c r="DF60" s="373">
        <f t="shared" si="193"/>
        <v>0</v>
      </c>
      <c r="DG60" s="373">
        <f t="shared" si="193"/>
        <v>0</v>
      </c>
      <c r="DH60" s="373">
        <f t="shared" si="193"/>
        <v>1677868.67</v>
      </c>
      <c r="DI60" s="391">
        <f t="shared" si="193"/>
        <v>4453903.0299999993</v>
      </c>
      <c r="DJ60" s="322"/>
      <c r="DK60" s="800">
        <f t="shared" si="194"/>
        <v>0</v>
      </c>
      <c r="DL60" s="373">
        <f t="shared" si="194"/>
        <v>356089.18992584018</v>
      </c>
      <c r="DM60" s="373">
        <f t="shared" si="194"/>
        <v>-78730.17027374373</v>
      </c>
      <c r="DN60" s="373">
        <f t="shared" si="194"/>
        <v>1189144.5337014021</v>
      </c>
      <c r="DO60" s="373">
        <f t="shared" si="194"/>
        <v>0</v>
      </c>
      <c r="DP60" s="373">
        <f t="shared" si="194"/>
        <v>0</v>
      </c>
      <c r="DQ60" s="373">
        <f t="shared" si="194"/>
        <v>0</v>
      </c>
      <c r="DR60" s="373">
        <f t="shared" si="194"/>
        <v>0</v>
      </c>
      <c r="DS60" s="373">
        <f t="shared" si="194"/>
        <v>0</v>
      </c>
      <c r="DT60" s="373">
        <f t="shared" si="194"/>
        <v>0</v>
      </c>
      <c r="DU60" s="373">
        <f t="shared" si="194"/>
        <v>53911.572738546296</v>
      </c>
      <c r="DV60" s="373">
        <f t="shared" si="194"/>
        <v>794502.44843815034</v>
      </c>
      <c r="DW60" s="391">
        <f t="shared" si="194"/>
        <v>2314917.5745301954</v>
      </c>
      <c r="DY60" s="800">
        <f t="shared" si="195"/>
        <v>0</v>
      </c>
      <c r="DZ60" s="373">
        <f t="shared" si="195"/>
        <v>0</v>
      </c>
      <c r="EA60" s="373">
        <f t="shared" si="195"/>
        <v>4438.6596942339102</v>
      </c>
      <c r="EB60" s="373">
        <f t="shared" si="195"/>
        <v>-105605.26444140155</v>
      </c>
      <c r="EC60" s="373">
        <f t="shared" si="195"/>
        <v>1685163.63</v>
      </c>
      <c r="ED60" s="373">
        <f t="shared" si="195"/>
        <v>100000</v>
      </c>
      <c r="EE60" s="373">
        <f t="shared" si="195"/>
        <v>0</v>
      </c>
      <c r="EF60" s="373">
        <f t="shared" si="195"/>
        <v>0</v>
      </c>
      <c r="EG60" s="373">
        <f t="shared" si="195"/>
        <v>0</v>
      </c>
      <c r="EH60" s="373">
        <f t="shared" si="195"/>
        <v>0</v>
      </c>
      <c r="EI60" s="373">
        <f t="shared" si="195"/>
        <v>7519.89</v>
      </c>
      <c r="EJ60" s="373">
        <f t="shared" si="195"/>
        <v>865901.49000000022</v>
      </c>
      <c r="EK60" s="391">
        <f t="shared" si="195"/>
        <v>2557418.4052528325</v>
      </c>
      <c r="EL60" s="168"/>
      <c r="EM60" s="800">
        <f t="shared" si="196"/>
        <v>403935.57721224288</v>
      </c>
      <c r="EN60" s="373">
        <f t="shared" si="196"/>
        <v>0</v>
      </c>
      <c r="EO60" s="373">
        <f t="shared" si="196"/>
        <v>686467.92628557503</v>
      </c>
      <c r="EP60" s="373">
        <f t="shared" si="196"/>
        <v>0</v>
      </c>
      <c r="EQ60" s="373">
        <f t="shared" si="196"/>
        <v>0</v>
      </c>
      <c r="ER60" s="373">
        <f t="shared" si="196"/>
        <v>785645.76319286961</v>
      </c>
      <c r="ES60" s="373">
        <f t="shared" si="196"/>
        <v>0</v>
      </c>
      <c r="ET60" s="373">
        <f t="shared" si="196"/>
        <v>0</v>
      </c>
      <c r="EU60" s="373">
        <f t="shared" si="196"/>
        <v>0</v>
      </c>
      <c r="EV60" s="373">
        <f t="shared" si="196"/>
        <v>0</v>
      </c>
      <c r="EW60" s="373">
        <f t="shared" si="196"/>
        <v>370165.92143444368</v>
      </c>
      <c r="EX60" s="373">
        <f t="shared" si="196"/>
        <v>0</v>
      </c>
      <c r="EY60" s="391">
        <f t="shared" si="196"/>
        <v>2246215.1881251317</v>
      </c>
      <c r="EZ60" s="168"/>
    </row>
    <row r="61" spans="1:156" s="155" customFormat="1" ht="16.5" customHeight="1">
      <c r="B61" s="172"/>
      <c r="C61" s="171"/>
      <c r="D61" s="172"/>
      <c r="F61" s="172" t="s">
        <v>308</v>
      </c>
      <c r="G61" s="172"/>
      <c r="H61" s="787">
        <f t="shared" ref="H61:T61" si="202">H40-H50</f>
        <v>0</v>
      </c>
      <c r="I61" s="787">
        <f t="shared" si="202"/>
        <v>0</v>
      </c>
      <c r="J61" s="787">
        <f t="shared" si="202"/>
        <v>0</v>
      </c>
      <c r="K61" s="787">
        <f t="shared" si="202"/>
        <v>0</v>
      </c>
      <c r="L61" s="787">
        <f t="shared" si="202"/>
        <v>0</v>
      </c>
      <c r="M61" s="787">
        <f t="shared" si="202"/>
        <v>0</v>
      </c>
      <c r="N61" s="787">
        <f t="shared" si="202"/>
        <v>0</v>
      </c>
      <c r="O61" s="787">
        <f t="shared" si="202"/>
        <v>0</v>
      </c>
      <c r="P61" s="787">
        <f t="shared" si="202"/>
        <v>0</v>
      </c>
      <c r="Q61" s="787">
        <f t="shared" si="202"/>
        <v>0</v>
      </c>
      <c r="R61" s="787">
        <f t="shared" si="202"/>
        <v>0</v>
      </c>
      <c r="S61" s="787">
        <f t="shared" si="202"/>
        <v>340325541.23014557</v>
      </c>
      <c r="T61" s="375">
        <f t="shared" si="202"/>
        <v>340325541.23014557</v>
      </c>
      <c r="U61" s="378">
        <f t="shared" si="179"/>
        <v>35503054.42060262</v>
      </c>
      <c r="V61" s="165">
        <f t="shared" si="180"/>
        <v>0.11647124459943596</v>
      </c>
      <c r="W61" s="796"/>
      <c r="X61" s="787">
        <f t="shared" ref="X61:AJ61" si="203">X40-X50</f>
        <v>25405808.839193307</v>
      </c>
      <c r="Y61" s="787">
        <f t="shared" si="203"/>
        <v>18831236.556336898</v>
      </c>
      <c r="Z61" s="787">
        <f t="shared" si="203"/>
        <v>12027629.655766902</v>
      </c>
      <c r="AA61" s="787">
        <f t="shared" si="203"/>
        <v>7460865.9905389976</v>
      </c>
      <c r="AB61" s="787">
        <f t="shared" si="203"/>
        <v>7187377.2062520031</v>
      </c>
      <c r="AC61" s="787">
        <f t="shared" si="203"/>
        <v>15574562.752837997</v>
      </c>
      <c r="AD61" s="787">
        <f t="shared" si="203"/>
        <v>22675985.859712705</v>
      </c>
      <c r="AE61" s="787">
        <f t="shared" si="203"/>
        <v>53005739.826970436</v>
      </c>
      <c r="AF61" s="787">
        <f t="shared" si="203"/>
        <v>48392847.880501896</v>
      </c>
      <c r="AG61" s="787">
        <f t="shared" si="203"/>
        <v>7032192.8622783031</v>
      </c>
      <c r="AH61" s="787">
        <f t="shared" si="203"/>
        <v>43039286.355346702</v>
      </c>
      <c r="AI61" s="787">
        <f t="shared" si="203"/>
        <v>44188953.023806818</v>
      </c>
      <c r="AJ61" s="375">
        <f t="shared" si="203"/>
        <v>304822486.80954295</v>
      </c>
      <c r="AK61" s="796"/>
      <c r="AL61" s="787">
        <f t="shared" si="182"/>
        <v>0</v>
      </c>
      <c r="AM61" s="787">
        <f t="shared" si="182"/>
        <v>0</v>
      </c>
      <c r="AN61" s="787">
        <f t="shared" si="182"/>
        <v>0</v>
      </c>
      <c r="AO61" s="787">
        <f t="shared" si="182"/>
        <v>0</v>
      </c>
      <c r="AP61" s="787">
        <f t="shared" si="182"/>
        <v>0</v>
      </c>
      <c r="AQ61" s="787">
        <f t="shared" si="182"/>
        <v>0</v>
      </c>
      <c r="AR61" s="787">
        <f t="shared" si="182"/>
        <v>0</v>
      </c>
      <c r="AS61" s="787">
        <f t="shared" si="182"/>
        <v>0</v>
      </c>
      <c r="AT61" s="787">
        <f t="shared" si="182"/>
        <v>0</v>
      </c>
      <c r="AU61" s="787">
        <f t="shared" si="182"/>
        <v>0</v>
      </c>
      <c r="AV61" s="787">
        <f t="shared" si="182"/>
        <v>0</v>
      </c>
      <c r="AW61" s="787">
        <f t="shared" si="182"/>
        <v>333599773.87268257</v>
      </c>
      <c r="AX61" s="375">
        <f t="shared" si="182"/>
        <v>333599773.87268257</v>
      </c>
      <c r="AY61" s="378">
        <f t="shared" si="183"/>
        <v>111306947.96375069</v>
      </c>
      <c r="AZ61" s="165">
        <f t="shared" si="184"/>
        <v>0.50072217809381991</v>
      </c>
      <c r="BA61" s="796"/>
      <c r="BB61" s="787">
        <f t="shared" si="185"/>
        <v>2174352.5168716544</v>
      </c>
      <c r="BC61" s="787">
        <f t="shared" si="185"/>
        <v>2908241.8400943335</v>
      </c>
      <c r="BD61" s="787">
        <f t="shared" si="185"/>
        <v>8855116.5868592169</v>
      </c>
      <c r="BE61" s="787">
        <f t="shared" si="185"/>
        <v>3559463.2918267976</v>
      </c>
      <c r="BF61" s="787">
        <f t="shared" si="185"/>
        <v>5909365.5722450009</v>
      </c>
      <c r="BG61" s="787">
        <f t="shared" si="185"/>
        <v>7480062.6903003976</v>
      </c>
      <c r="BH61" s="787">
        <f t="shared" si="185"/>
        <v>11097558.371372802</v>
      </c>
      <c r="BI61" s="787">
        <f t="shared" si="185"/>
        <v>32368268.425087105</v>
      </c>
      <c r="BJ61" s="787">
        <f t="shared" si="185"/>
        <v>40080031.104198106</v>
      </c>
      <c r="BK61" s="787">
        <f t="shared" si="185"/>
        <v>54325503.904077694</v>
      </c>
      <c r="BL61" s="787">
        <f t="shared" si="185"/>
        <v>32137552.916825101</v>
      </c>
      <c r="BM61" s="787">
        <f t="shared" si="185"/>
        <v>21397308.689173695</v>
      </c>
      <c r="BN61" s="375">
        <f t="shared" si="185"/>
        <v>222292825.90893188</v>
      </c>
      <c r="BO61" s="796"/>
      <c r="BP61" s="787">
        <f t="shared" si="186"/>
        <v>2881880.5819441131</v>
      </c>
      <c r="BQ61" s="787">
        <f t="shared" si="186"/>
        <v>3354440.6930933222</v>
      </c>
      <c r="BR61" s="787">
        <f t="shared" si="186"/>
        <v>12111076.7886835</v>
      </c>
      <c r="BS61" s="787">
        <f t="shared" si="186"/>
        <v>7969235.4194507394</v>
      </c>
      <c r="BT61" s="787">
        <f t="shared" si="186"/>
        <v>25254474.035359867</v>
      </c>
      <c r="BU61" s="787">
        <f t="shared" si="186"/>
        <v>51199859.317602076</v>
      </c>
      <c r="BV61" s="787">
        <f t="shared" si="186"/>
        <v>18828273.930711258</v>
      </c>
      <c r="BW61" s="787">
        <f t="shared" si="186"/>
        <v>48075728.75372795</v>
      </c>
      <c r="BX61" s="787">
        <f t="shared" si="186"/>
        <v>60032767.74127084</v>
      </c>
      <c r="BY61" s="787">
        <f t="shared" si="186"/>
        <v>42712011.408917747</v>
      </c>
      <c r="BZ61" s="787">
        <f t="shared" si="186"/>
        <v>18139628.022006847</v>
      </c>
      <c r="CA61" s="787">
        <f t="shared" si="186"/>
        <v>64281574.367588028</v>
      </c>
      <c r="CB61" s="375">
        <f t="shared" si="186"/>
        <v>354840951.06035632</v>
      </c>
      <c r="CC61" s="381">
        <f t="shared" si="187"/>
        <v>-132548125.15142444</v>
      </c>
      <c r="CD61" s="167">
        <f t="shared" si="188"/>
        <v>-0.37354235680897718</v>
      </c>
      <c r="CE61" s="172"/>
      <c r="CF61" s="787">
        <f t="shared" si="189"/>
        <v>17928941.822989244</v>
      </c>
      <c r="CG61" s="787">
        <f t="shared" si="189"/>
        <v>33417490.159928896</v>
      </c>
      <c r="CH61" s="787">
        <f t="shared" si="189"/>
        <v>34913119.352549799</v>
      </c>
      <c r="CI61" s="787">
        <f t="shared" si="189"/>
        <v>19484775.71313221</v>
      </c>
      <c r="CJ61" s="787">
        <f t="shared" si="189"/>
        <v>32581493.375408009</v>
      </c>
      <c r="CK61" s="787">
        <f t="shared" si="189"/>
        <v>31445015.184049085</v>
      </c>
      <c r="CL61" s="787">
        <f t="shared" si="189"/>
        <v>56521357.32570941</v>
      </c>
      <c r="CM61" s="787">
        <f t="shared" si="189"/>
        <v>38072207.866609395</v>
      </c>
      <c r="CN61" s="787">
        <f t="shared" si="189"/>
        <v>32349549.650865003</v>
      </c>
      <c r="CO61" s="787">
        <f t="shared" si="189"/>
        <v>32233578.915084198</v>
      </c>
      <c r="CP61" s="787">
        <f t="shared" si="189"/>
        <v>46785874.974471599</v>
      </c>
      <c r="CQ61" s="787">
        <f t="shared" si="189"/>
        <v>35172560.503005967</v>
      </c>
      <c r="CR61" s="376"/>
      <c r="CS61" s="375">
        <f t="shared" si="190"/>
        <v>410905964.84380281</v>
      </c>
      <c r="CT61" s="381">
        <f t="shared" si="191"/>
        <v>-188613138.93487093</v>
      </c>
      <c r="CU61" s="167">
        <f t="shared" si="192"/>
        <v>-0.4590177682296927</v>
      </c>
      <c r="CV61" s="322"/>
      <c r="CW61" s="787">
        <f t="shared" si="193"/>
        <v>33804821.408899993</v>
      </c>
      <c r="CX61" s="787">
        <f t="shared" si="193"/>
        <v>25862561.5392</v>
      </c>
      <c r="CY61" s="787">
        <f t="shared" si="193"/>
        <v>33288173.929299999</v>
      </c>
      <c r="CZ61" s="787">
        <f t="shared" si="193"/>
        <v>22659344.316100001</v>
      </c>
      <c r="DA61" s="787">
        <f t="shared" si="193"/>
        <v>31336572.217299998</v>
      </c>
      <c r="DB61" s="787">
        <f t="shared" si="193"/>
        <v>34361917.247199997</v>
      </c>
      <c r="DC61" s="787">
        <f t="shared" si="193"/>
        <v>28713910.397399999</v>
      </c>
      <c r="DD61" s="787">
        <f t="shared" si="193"/>
        <v>44817516.869100004</v>
      </c>
      <c r="DE61" s="787">
        <f t="shared" si="193"/>
        <v>63603077.494499996</v>
      </c>
      <c r="DF61" s="787">
        <f t="shared" si="193"/>
        <v>35911300.333176404</v>
      </c>
      <c r="DG61" s="787">
        <f t="shared" si="193"/>
        <v>29088491.680245001</v>
      </c>
      <c r="DH61" s="787">
        <f t="shared" si="193"/>
        <v>39492567.276752807</v>
      </c>
      <c r="DI61" s="375">
        <f t="shared" si="193"/>
        <v>422940254.70917422</v>
      </c>
      <c r="DJ61" s="322"/>
      <c r="DK61" s="787">
        <f t="shared" si="194"/>
        <v>14637817.896999996</v>
      </c>
      <c r="DL61" s="787">
        <f t="shared" si="194"/>
        <v>25647483.615999997</v>
      </c>
      <c r="DM61" s="787">
        <f t="shared" si="194"/>
        <v>35130681.678399995</v>
      </c>
      <c r="DN61" s="787">
        <f t="shared" si="194"/>
        <v>23189000.269399997</v>
      </c>
      <c r="DO61" s="787">
        <f t="shared" si="194"/>
        <v>32421630.822500002</v>
      </c>
      <c r="DP61" s="787">
        <f t="shared" si="194"/>
        <v>41954616.432200007</v>
      </c>
      <c r="DQ61" s="787">
        <f t="shared" si="194"/>
        <v>33774654.374700002</v>
      </c>
      <c r="DR61" s="787">
        <f t="shared" si="194"/>
        <v>31340672.163900003</v>
      </c>
      <c r="DS61" s="787">
        <f t="shared" si="194"/>
        <v>46670376.610399999</v>
      </c>
      <c r="DT61" s="787">
        <f t="shared" si="194"/>
        <v>48449725.344000004</v>
      </c>
      <c r="DU61" s="787">
        <f t="shared" si="194"/>
        <v>18889438.402800005</v>
      </c>
      <c r="DV61" s="787">
        <f t="shared" si="194"/>
        <v>34319086.897100002</v>
      </c>
      <c r="DW61" s="375">
        <f t="shared" si="194"/>
        <v>386425184.50839996</v>
      </c>
      <c r="DY61" s="787">
        <f t="shared" si="195"/>
        <v>25333530.619999997</v>
      </c>
      <c r="DZ61" s="787">
        <f t="shared" si="195"/>
        <v>28688147.899999999</v>
      </c>
      <c r="EA61" s="787">
        <f t="shared" si="195"/>
        <v>16167292.750000004</v>
      </c>
      <c r="EB61" s="787">
        <f t="shared" si="195"/>
        <v>16706220.819999997</v>
      </c>
      <c r="EC61" s="787">
        <f t="shared" si="195"/>
        <v>40798908.36999999</v>
      </c>
      <c r="ED61" s="787">
        <f t="shared" si="195"/>
        <v>33959803.740000002</v>
      </c>
      <c r="EE61" s="787">
        <f t="shared" si="195"/>
        <v>27369576.728699997</v>
      </c>
      <c r="EF61" s="787">
        <f t="shared" si="195"/>
        <v>31826318.202683721</v>
      </c>
      <c r="EG61" s="787">
        <f t="shared" si="195"/>
        <v>36937160.514200009</v>
      </c>
      <c r="EH61" s="787">
        <f t="shared" si="195"/>
        <v>27909634.385300003</v>
      </c>
      <c r="EI61" s="787">
        <f t="shared" si="195"/>
        <v>25177554.919700004</v>
      </c>
      <c r="EJ61" s="787">
        <f t="shared" si="195"/>
        <v>37517033.193199992</v>
      </c>
      <c r="EK61" s="375">
        <f t="shared" si="195"/>
        <v>348391182.14378369</v>
      </c>
      <c r="EL61" s="168"/>
      <c r="EM61" s="787">
        <f t="shared" si="196"/>
        <v>33081263.943720885</v>
      </c>
      <c r="EN61" s="787">
        <f t="shared" si="196"/>
        <v>21939263.000820376</v>
      </c>
      <c r="EO61" s="787">
        <f t="shared" si="196"/>
        <v>19602653.853896655</v>
      </c>
      <c r="EP61" s="787">
        <f t="shared" si="196"/>
        <v>18022256.491339657</v>
      </c>
      <c r="EQ61" s="787">
        <f t="shared" si="196"/>
        <v>33718531.859043695</v>
      </c>
      <c r="ER61" s="787">
        <f t="shared" si="196"/>
        <v>28466080.332282186</v>
      </c>
      <c r="ES61" s="787">
        <f t="shared" si="196"/>
        <v>30431772.55496823</v>
      </c>
      <c r="ET61" s="787">
        <f t="shared" si="196"/>
        <v>30123701.50887455</v>
      </c>
      <c r="EU61" s="787">
        <f t="shared" si="196"/>
        <v>22479788.926117193</v>
      </c>
      <c r="EV61" s="787">
        <f t="shared" si="196"/>
        <v>47469089.535247043</v>
      </c>
      <c r="EW61" s="787">
        <f t="shared" si="196"/>
        <v>30993955.499894492</v>
      </c>
      <c r="EX61" s="787">
        <f t="shared" si="196"/>
        <v>22435139.345207751</v>
      </c>
      <c r="EY61" s="375">
        <f t="shared" si="196"/>
        <v>338763496.85141265</v>
      </c>
      <c r="EZ61" s="168"/>
    </row>
    <row r="62" spans="1:156" s="173" customFormat="1" ht="16.5" customHeight="1">
      <c r="B62" s="186"/>
      <c r="C62" s="321" t="s">
        <v>1081</v>
      </c>
      <c r="D62" s="186"/>
      <c r="E62" s="155"/>
      <c r="F62" s="172" t="s">
        <v>91</v>
      </c>
      <c r="G62" s="172"/>
      <c r="H62" s="787">
        <f t="shared" ref="H62:R62" si="204">H41-H51</f>
        <v>0</v>
      </c>
      <c r="I62" s="787">
        <f t="shared" si="204"/>
        <v>0</v>
      </c>
      <c r="J62" s="787">
        <f t="shared" si="204"/>
        <v>0</v>
      </c>
      <c r="K62" s="787">
        <f t="shared" si="204"/>
        <v>0</v>
      </c>
      <c r="L62" s="787">
        <f t="shared" si="204"/>
        <v>0</v>
      </c>
      <c r="M62" s="787">
        <f t="shared" si="204"/>
        <v>0</v>
      </c>
      <c r="N62" s="788">
        <f t="shared" si="204"/>
        <v>0</v>
      </c>
      <c r="O62" s="787">
        <f t="shared" si="204"/>
        <v>0</v>
      </c>
      <c r="P62" s="787">
        <f t="shared" si="204"/>
        <v>0</v>
      </c>
      <c r="Q62" s="787">
        <f t="shared" si="204"/>
        <v>0</v>
      </c>
      <c r="R62" s="787">
        <f t="shared" si="204"/>
        <v>0</v>
      </c>
      <c r="S62" s="787">
        <f>S41-S51</f>
        <v>6920543.9078329466</v>
      </c>
      <c r="T62" s="375">
        <f t="shared" ref="T62" si="205">T41-T51</f>
        <v>6920543.9078329466</v>
      </c>
      <c r="U62" s="378">
        <f t="shared" si="179"/>
        <v>-546095.96216705162</v>
      </c>
      <c r="V62" s="165">
        <f t="shared" si="180"/>
        <v>-7.3138114556883238E-2</v>
      </c>
      <c r="W62" s="796"/>
      <c r="X62" s="787">
        <f t="shared" ref="X62:AJ62" si="206">X41-X51</f>
        <v>58834.389999999985</v>
      </c>
      <c r="Y62" s="787">
        <f t="shared" si="206"/>
        <v>290744.83999999997</v>
      </c>
      <c r="Z62" s="787">
        <f t="shared" si="206"/>
        <v>373635.07000000007</v>
      </c>
      <c r="AA62" s="787">
        <f t="shared" si="206"/>
        <v>495741</v>
      </c>
      <c r="AB62" s="787">
        <f t="shared" si="206"/>
        <v>389783.37000000005</v>
      </c>
      <c r="AC62" s="787">
        <f t="shared" si="206"/>
        <v>443644.53</v>
      </c>
      <c r="AD62" s="788">
        <f t="shared" si="206"/>
        <v>461609.88</v>
      </c>
      <c r="AE62" s="787">
        <f t="shared" si="206"/>
        <v>652901.12000000011</v>
      </c>
      <c r="AF62" s="787">
        <f t="shared" si="206"/>
        <v>1146179.8400000001</v>
      </c>
      <c r="AG62" s="787">
        <f t="shared" si="206"/>
        <v>649435.58000000007</v>
      </c>
      <c r="AH62" s="787">
        <f t="shared" si="206"/>
        <v>1809307.0299999998</v>
      </c>
      <c r="AI62" s="787">
        <f t="shared" si="206"/>
        <v>694823.22000000009</v>
      </c>
      <c r="AJ62" s="375">
        <f t="shared" si="206"/>
        <v>7466639.8699999982</v>
      </c>
      <c r="AK62" s="796"/>
      <c r="AL62" s="787">
        <f t="shared" si="182"/>
        <v>0</v>
      </c>
      <c r="AM62" s="787">
        <f t="shared" si="182"/>
        <v>0</v>
      </c>
      <c r="AN62" s="787">
        <f t="shared" si="182"/>
        <v>0</v>
      </c>
      <c r="AO62" s="787">
        <f t="shared" si="182"/>
        <v>0</v>
      </c>
      <c r="AP62" s="787">
        <f t="shared" si="182"/>
        <v>0</v>
      </c>
      <c r="AQ62" s="787">
        <f t="shared" si="182"/>
        <v>0</v>
      </c>
      <c r="AR62" s="788">
        <f t="shared" si="182"/>
        <v>0</v>
      </c>
      <c r="AS62" s="787">
        <f t="shared" si="182"/>
        <v>0</v>
      </c>
      <c r="AT62" s="787">
        <f t="shared" si="182"/>
        <v>0</v>
      </c>
      <c r="AU62" s="787">
        <f t="shared" si="182"/>
        <v>0</v>
      </c>
      <c r="AV62" s="787">
        <f t="shared" si="182"/>
        <v>0</v>
      </c>
      <c r="AW62" s="787">
        <f>AW41-AW51</f>
        <v>7515824.6190044964</v>
      </c>
      <c r="AX62" s="375">
        <f t="shared" si="182"/>
        <v>7515824.6190044964</v>
      </c>
      <c r="AY62" s="378">
        <f t="shared" si="183"/>
        <v>3037638.2790044965</v>
      </c>
      <c r="AZ62" s="165">
        <f t="shared" si="184"/>
        <v>0.67831886580326994</v>
      </c>
      <c r="BA62" s="796"/>
      <c r="BB62" s="787">
        <f t="shared" si="185"/>
        <v>126887.32999999999</v>
      </c>
      <c r="BC62" s="787">
        <f t="shared" si="185"/>
        <v>299843.38</v>
      </c>
      <c r="BD62" s="787">
        <f t="shared" si="185"/>
        <v>912781.58000000007</v>
      </c>
      <c r="BE62" s="787">
        <f t="shared" si="185"/>
        <v>150175.78000000003</v>
      </c>
      <c r="BF62" s="787">
        <f t="shared" si="185"/>
        <v>386031.41</v>
      </c>
      <c r="BG62" s="787">
        <f t="shared" si="185"/>
        <v>476156.97</v>
      </c>
      <c r="BH62" s="788">
        <f t="shared" si="185"/>
        <v>447541.92000000004</v>
      </c>
      <c r="BI62" s="787">
        <f t="shared" si="185"/>
        <v>453122.68</v>
      </c>
      <c r="BJ62" s="787">
        <f t="shared" si="185"/>
        <v>670755.56999999983</v>
      </c>
      <c r="BK62" s="787">
        <f t="shared" si="185"/>
        <v>187450.04</v>
      </c>
      <c r="BL62" s="787">
        <f t="shared" si="185"/>
        <v>164866.19999999998</v>
      </c>
      <c r="BM62" s="787">
        <f t="shared" si="185"/>
        <v>202573.4800000001</v>
      </c>
      <c r="BN62" s="375">
        <f t="shared" si="185"/>
        <v>4478186.34</v>
      </c>
      <c r="BO62" s="796"/>
      <c r="BP62" s="787">
        <f t="shared" si="186"/>
        <v>436853.71590707777</v>
      </c>
      <c r="BQ62" s="787">
        <f t="shared" si="186"/>
        <v>436853.71590707777</v>
      </c>
      <c r="BR62" s="787">
        <f t="shared" si="186"/>
        <v>436853.71590707777</v>
      </c>
      <c r="BS62" s="787">
        <f t="shared" si="186"/>
        <v>436853.71590707777</v>
      </c>
      <c r="BT62" s="787">
        <f t="shared" si="186"/>
        <v>436853.71590707777</v>
      </c>
      <c r="BU62" s="787">
        <f t="shared" si="186"/>
        <v>436853.71590707777</v>
      </c>
      <c r="BV62" s="788">
        <f t="shared" si="186"/>
        <v>655280.57386061654</v>
      </c>
      <c r="BW62" s="787">
        <f t="shared" si="186"/>
        <v>655280.57386061654</v>
      </c>
      <c r="BX62" s="787">
        <f t="shared" si="186"/>
        <v>1747414.8636283111</v>
      </c>
      <c r="BY62" s="787">
        <f t="shared" si="186"/>
        <v>655280.57386061654</v>
      </c>
      <c r="BZ62" s="787">
        <f t="shared" si="186"/>
        <v>655280.57386061654</v>
      </c>
      <c r="CA62" s="787">
        <f t="shared" si="186"/>
        <v>1747414.8636283111</v>
      </c>
      <c r="CB62" s="375">
        <f t="shared" si="186"/>
        <v>8737074.3181415554</v>
      </c>
      <c r="CC62" s="381">
        <f t="shared" si="187"/>
        <v>-4258887.9781415556</v>
      </c>
      <c r="CD62" s="167">
        <f t="shared" si="188"/>
        <v>-0.48745012610210403</v>
      </c>
      <c r="CE62" s="172"/>
      <c r="CF62" s="787">
        <f t="shared" si="189"/>
        <v>0</v>
      </c>
      <c r="CG62" s="787">
        <f t="shared" si="189"/>
        <v>0</v>
      </c>
      <c r="CH62" s="787">
        <f t="shared" si="189"/>
        <v>117010.1</v>
      </c>
      <c r="CI62" s="787">
        <f t="shared" si="189"/>
        <v>296427.72000000003</v>
      </c>
      <c r="CJ62" s="787">
        <f t="shared" si="189"/>
        <v>451790.60000000003</v>
      </c>
      <c r="CK62" s="787">
        <f t="shared" si="189"/>
        <v>809883.2</v>
      </c>
      <c r="CL62" s="788">
        <f t="shared" si="189"/>
        <v>939774.95000000007</v>
      </c>
      <c r="CM62" s="787">
        <f t="shared" si="189"/>
        <v>695176.50999999989</v>
      </c>
      <c r="CN62" s="787">
        <f t="shared" si="189"/>
        <v>343844.00999999995</v>
      </c>
      <c r="CO62" s="787">
        <f t="shared" si="189"/>
        <v>728853.12</v>
      </c>
      <c r="CP62" s="787">
        <f t="shared" si="189"/>
        <v>986159.23999999987</v>
      </c>
      <c r="CQ62" s="787">
        <f t="shared" si="189"/>
        <v>201310.69999999998</v>
      </c>
      <c r="CR62" s="376"/>
      <c r="CS62" s="375">
        <f t="shared" si="190"/>
        <v>-2970348.1799999997</v>
      </c>
      <c r="CT62" s="381">
        <f t="shared" si="191"/>
        <v>7448534.5199999996</v>
      </c>
      <c r="CU62" s="167">
        <f t="shared" si="192"/>
        <v>-2.5076301055050054</v>
      </c>
      <c r="CV62" s="322"/>
      <c r="CW62" s="787">
        <f t="shared" si="193"/>
        <v>0</v>
      </c>
      <c r="CX62" s="787">
        <f t="shared" si="193"/>
        <v>0</v>
      </c>
      <c r="CY62" s="787">
        <f t="shared" si="193"/>
        <v>-0.01</v>
      </c>
      <c r="CZ62" s="787">
        <f t="shared" si="193"/>
        <v>-0.01</v>
      </c>
      <c r="DA62" s="787">
        <f t="shared" si="193"/>
        <v>0</v>
      </c>
      <c r="DB62" s="787">
        <f t="shared" si="193"/>
        <v>0</v>
      </c>
      <c r="DC62" s="788">
        <f t="shared" si="193"/>
        <v>0</v>
      </c>
      <c r="DD62" s="787">
        <f t="shared" si="193"/>
        <v>0</v>
      </c>
      <c r="DE62" s="787">
        <f t="shared" si="193"/>
        <v>0</v>
      </c>
      <c r="DF62" s="787">
        <f t="shared" si="193"/>
        <v>0</v>
      </c>
      <c r="DG62" s="787">
        <f t="shared" si="193"/>
        <v>0</v>
      </c>
      <c r="DH62" s="787">
        <f t="shared" si="193"/>
        <v>0</v>
      </c>
      <c r="DI62" s="375">
        <f t="shared" si="193"/>
        <v>-0.02</v>
      </c>
      <c r="DJ62" s="322"/>
      <c r="DK62" s="787">
        <f t="shared" si="194"/>
        <v>-3598.94</v>
      </c>
      <c r="DL62" s="787">
        <f t="shared" si="194"/>
        <v>-656.63999999999987</v>
      </c>
      <c r="DM62" s="787">
        <f t="shared" si="194"/>
        <v>139.14999999999998</v>
      </c>
      <c r="DN62" s="787">
        <f t="shared" si="194"/>
        <v>519.25</v>
      </c>
      <c r="DO62" s="787">
        <f t="shared" si="194"/>
        <v>334.48</v>
      </c>
      <c r="DP62" s="787">
        <f t="shared" si="194"/>
        <v>333.96999999999997</v>
      </c>
      <c r="DQ62" s="788">
        <f t="shared" si="194"/>
        <v>0</v>
      </c>
      <c r="DR62" s="787">
        <f t="shared" si="194"/>
        <v>32038.35</v>
      </c>
      <c r="DS62" s="787">
        <f t="shared" si="194"/>
        <v>-42386.17</v>
      </c>
      <c r="DT62" s="787">
        <f t="shared" si="194"/>
        <v>-31724.269999999997</v>
      </c>
      <c r="DU62" s="787">
        <f t="shared" si="194"/>
        <v>-787.8</v>
      </c>
      <c r="DV62" s="787">
        <f t="shared" si="194"/>
        <v>0</v>
      </c>
      <c r="DW62" s="375">
        <f t="shared" si="194"/>
        <v>-45788.62</v>
      </c>
      <c r="DY62" s="787">
        <f t="shared" si="195"/>
        <v>491.54000000000087</v>
      </c>
      <c r="DZ62" s="787">
        <f t="shared" si="195"/>
        <v>-48682.53</v>
      </c>
      <c r="EA62" s="787">
        <f t="shared" si="195"/>
        <v>-1891.7999999999975</v>
      </c>
      <c r="EB62" s="787">
        <f t="shared" si="195"/>
        <v>-39066.639999999999</v>
      </c>
      <c r="EC62" s="787">
        <f t="shared" si="195"/>
        <v>-5558.93</v>
      </c>
      <c r="ED62" s="787">
        <f t="shared" si="195"/>
        <v>1006.1399999999994</v>
      </c>
      <c r="EE62" s="788">
        <f t="shared" si="195"/>
        <v>-270.50999999999976</v>
      </c>
      <c r="EF62" s="787">
        <f t="shared" si="195"/>
        <v>174.10999999999999</v>
      </c>
      <c r="EG62" s="787">
        <f t="shared" si="195"/>
        <v>232.20999999999998</v>
      </c>
      <c r="EH62" s="787">
        <f t="shared" si="195"/>
        <v>-3967.62</v>
      </c>
      <c r="EI62" s="787">
        <f t="shared" si="195"/>
        <v>0</v>
      </c>
      <c r="EJ62" s="787">
        <f t="shared" si="195"/>
        <v>-3877.9799999999996</v>
      </c>
      <c r="EK62" s="375">
        <f t="shared" si="195"/>
        <v>-101412.00999999998</v>
      </c>
      <c r="EL62" s="164"/>
      <c r="EM62" s="787">
        <f t="shared" si="196"/>
        <v>111219.16095301633</v>
      </c>
      <c r="EN62" s="787">
        <f t="shared" si="196"/>
        <v>131005.16599494954</v>
      </c>
      <c r="EO62" s="787">
        <f t="shared" si="196"/>
        <v>225966.20145986645</v>
      </c>
      <c r="EP62" s="787">
        <f t="shared" si="196"/>
        <v>162822.48863622028</v>
      </c>
      <c r="EQ62" s="787">
        <f t="shared" si="196"/>
        <v>-216929.4025608215</v>
      </c>
      <c r="ER62" s="787">
        <f t="shared" si="196"/>
        <v>-1913813.0020344369</v>
      </c>
      <c r="ES62" s="788">
        <f t="shared" si="196"/>
        <v>230313.48802300147</v>
      </c>
      <c r="ET62" s="787">
        <f t="shared" si="196"/>
        <v>509061.09613369475</v>
      </c>
      <c r="EU62" s="787">
        <f t="shared" si="196"/>
        <v>494594.05008374539</v>
      </c>
      <c r="EV62" s="787">
        <f t="shared" si="196"/>
        <v>-185080.70778409598</v>
      </c>
      <c r="EW62" s="787">
        <f t="shared" si="196"/>
        <v>-89827.68342410383</v>
      </c>
      <c r="EX62" s="787">
        <f t="shared" si="196"/>
        <v>37858.704518963823</v>
      </c>
      <c r="EY62" s="375">
        <f t="shared" si="196"/>
        <v>-502810.44000000024</v>
      </c>
      <c r="EZ62" s="164"/>
    </row>
    <row r="63" spans="1:156" s="173" customFormat="1" ht="16.5" customHeight="1">
      <c r="B63" s="186"/>
      <c r="C63" s="199" t="s">
        <v>1080</v>
      </c>
      <c r="D63" s="186"/>
      <c r="E63" s="155"/>
      <c r="F63" s="172" t="s">
        <v>25</v>
      </c>
      <c r="G63" s="172"/>
      <c r="H63" s="787">
        <f t="shared" ref="H63:T63" si="207">H42-H52</f>
        <v>0</v>
      </c>
      <c r="I63" s="787">
        <f t="shared" si="207"/>
        <v>0</v>
      </c>
      <c r="J63" s="787">
        <f t="shared" si="207"/>
        <v>0</v>
      </c>
      <c r="K63" s="787">
        <f t="shared" si="207"/>
        <v>0</v>
      </c>
      <c r="L63" s="787">
        <f t="shared" si="207"/>
        <v>0</v>
      </c>
      <c r="M63" s="787">
        <f t="shared" si="207"/>
        <v>0</v>
      </c>
      <c r="N63" s="788">
        <f t="shared" si="207"/>
        <v>0</v>
      </c>
      <c r="O63" s="787">
        <f t="shared" si="207"/>
        <v>0</v>
      </c>
      <c r="P63" s="787">
        <f t="shared" si="207"/>
        <v>0</v>
      </c>
      <c r="Q63" s="787">
        <f t="shared" si="207"/>
        <v>0</v>
      </c>
      <c r="R63" s="787">
        <f t="shared" si="207"/>
        <v>0</v>
      </c>
      <c r="S63" s="787">
        <f t="shared" si="207"/>
        <v>10607774.554363091</v>
      </c>
      <c r="T63" s="375">
        <f t="shared" si="207"/>
        <v>10607774.554363091</v>
      </c>
      <c r="U63" s="378">
        <f t="shared" si="179"/>
        <v>1540162.654363092</v>
      </c>
      <c r="V63" s="165">
        <f t="shared" si="180"/>
        <v>0.16985317317816528</v>
      </c>
      <c r="W63" s="796"/>
      <c r="X63" s="787">
        <f t="shared" ref="X63:AJ63" si="208">X42-X52</f>
        <v>670861.66999999993</v>
      </c>
      <c r="Y63" s="787">
        <f t="shared" si="208"/>
        <v>702111.17999999993</v>
      </c>
      <c r="Z63" s="787">
        <f t="shared" si="208"/>
        <v>723905.73</v>
      </c>
      <c r="AA63" s="787">
        <f t="shared" si="208"/>
        <v>626128.80999999994</v>
      </c>
      <c r="AB63" s="787">
        <f t="shared" si="208"/>
        <v>648504.97000000009</v>
      </c>
      <c r="AC63" s="787">
        <f t="shared" si="208"/>
        <v>710320.04</v>
      </c>
      <c r="AD63" s="788">
        <f t="shared" si="208"/>
        <v>663542.92000000016</v>
      </c>
      <c r="AE63" s="787">
        <f t="shared" si="208"/>
        <v>882104.99999999988</v>
      </c>
      <c r="AF63" s="787">
        <f t="shared" si="208"/>
        <v>695224.98</v>
      </c>
      <c r="AG63" s="787">
        <f t="shared" si="208"/>
        <v>707715.49</v>
      </c>
      <c r="AH63" s="787">
        <f t="shared" si="208"/>
        <v>838120.52</v>
      </c>
      <c r="AI63" s="787">
        <f t="shared" si="208"/>
        <v>1199070.5900000001</v>
      </c>
      <c r="AJ63" s="375">
        <f t="shared" si="208"/>
        <v>9067611.8999999985</v>
      </c>
      <c r="AK63" s="796"/>
      <c r="AL63" s="787">
        <f t="shared" si="182"/>
        <v>0</v>
      </c>
      <c r="AM63" s="787">
        <f t="shared" si="182"/>
        <v>0</v>
      </c>
      <c r="AN63" s="787">
        <f t="shared" si="182"/>
        <v>0</v>
      </c>
      <c r="AO63" s="787">
        <f t="shared" si="182"/>
        <v>0</v>
      </c>
      <c r="AP63" s="787">
        <f t="shared" si="182"/>
        <v>0</v>
      </c>
      <c r="AQ63" s="787">
        <f t="shared" si="182"/>
        <v>0</v>
      </c>
      <c r="AR63" s="788">
        <f t="shared" si="182"/>
        <v>0</v>
      </c>
      <c r="AS63" s="787">
        <f t="shared" si="182"/>
        <v>0</v>
      </c>
      <c r="AT63" s="787">
        <f t="shared" si="182"/>
        <v>0</v>
      </c>
      <c r="AU63" s="787">
        <f t="shared" si="182"/>
        <v>0</v>
      </c>
      <c r="AV63" s="787">
        <f t="shared" si="182"/>
        <v>0</v>
      </c>
      <c r="AW63" s="787">
        <f t="shared" si="182"/>
        <v>8319448.6522108437</v>
      </c>
      <c r="AX63" s="375">
        <f t="shared" si="182"/>
        <v>8319448.6522108437</v>
      </c>
      <c r="AY63" s="378">
        <f t="shared" si="183"/>
        <v>1428744.7822108436</v>
      </c>
      <c r="AZ63" s="165">
        <f t="shared" si="184"/>
        <v>0.20734380829092916</v>
      </c>
      <c r="BA63" s="796"/>
      <c r="BB63" s="787">
        <f t="shared" si="185"/>
        <v>544961.55000000005</v>
      </c>
      <c r="BC63" s="787">
        <f t="shared" si="185"/>
        <v>496683.15</v>
      </c>
      <c r="BD63" s="787">
        <f t="shared" si="185"/>
        <v>593063.53</v>
      </c>
      <c r="BE63" s="787">
        <f t="shared" si="185"/>
        <v>595851.80999999994</v>
      </c>
      <c r="BF63" s="787">
        <f t="shared" si="185"/>
        <v>560502.94000000006</v>
      </c>
      <c r="BG63" s="787">
        <f t="shared" si="185"/>
        <v>564053.84000000008</v>
      </c>
      <c r="BH63" s="788">
        <f t="shared" si="185"/>
        <v>593442.65</v>
      </c>
      <c r="BI63" s="787">
        <f t="shared" si="185"/>
        <v>656130.86999999988</v>
      </c>
      <c r="BJ63" s="787">
        <f t="shared" si="185"/>
        <v>503375.58999999997</v>
      </c>
      <c r="BK63" s="787">
        <f t="shared" si="185"/>
        <v>647570.51</v>
      </c>
      <c r="BL63" s="787">
        <f t="shared" si="185"/>
        <v>398706.25</v>
      </c>
      <c r="BM63" s="787">
        <f t="shared" si="185"/>
        <v>736361.17999999993</v>
      </c>
      <c r="BN63" s="375">
        <f t="shared" si="185"/>
        <v>6890703.8700000001</v>
      </c>
      <c r="BO63" s="796"/>
      <c r="BP63" s="787">
        <f t="shared" si="186"/>
        <v>785073.23538292351</v>
      </c>
      <c r="BQ63" s="787">
        <f t="shared" si="186"/>
        <v>785073.23538292351</v>
      </c>
      <c r="BR63" s="787">
        <f t="shared" si="186"/>
        <v>785073.23538292351</v>
      </c>
      <c r="BS63" s="787">
        <f t="shared" si="186"/>
        <v>785073.23538292351</v>
      </c>
      <c r="BT63" s="787">
        <f t="shared" si="186"/>
        <v>785073.23538292351</v>
      </c>
      <c r="BU63" s="787">
        <f t="shared" si="186"/>
        <v>785073.23538292351</v>
      </c>
      <c r="BV63" s="788">
        <f t="shared" si="186"/>
        <v>785073.23538292351</v>
      </c>
      <c r="BW63" s="787">
        <f t="shared" si="186"/>
        <v>785073.23538292351</v>
      </c>
      <c r="BX63" s="787">
        <f t="shared" si="186"/>
        <v>785073.23538292351</v>
      </c>
      <c r="BY63" s="787">
        <f t="shared" si="186"/>
        <v>785073.23538292351</v>
      </c>
      <c r="BZ63" s="787">
        <f t="shared" si="186"/>
        <v>785073.23538292351</v>
      </c>
      <c r="CA63" s="787">
        <f t="shared" si="186"/>
        <v>785073.23538292351</v>
      </c>
      <c r="CB63" s="375">
        <f t="shared" si="186"/>
        <v>9420878.8245950788</v>
      </c>
      <c r="CC63" s="381">
        <f t="shared" si="187"/>
        <v>-2530174.9545950787</v>
      </c>
      <c r="CD63" s="167">
        <f t="shared" si="188"/>
        <v>-0.26857101144211232</v>
      </c>
      <c r="CE63" s="172"/>
      <c r="CF63" s="787">
        <f t="shared" si="189"/>
        <v>588401.27</v>
      </c>
      <c r="CG63" s="787">
        <f t="shared" si="189"/>
        <v>801671.08</v>
      </c>
      <c r="CH63" s="787">
        <f t="shared" si="189"/>
        <v>609559.1</v>
      </c>
      <c r="CI63" s="787">
        <f t="shared" si="189"/>
        <v>865649.45</v>
      </c>
      <c r="CJ63" s="787">
        <f t="shared" si="189"/>
        <v>622215.52</v>
      </c>
      <c r="CK63" s="787">
        <f t="shared" si="189"/>
        <v>615781.57999999996</v>
      </c>
      <c r="CL63" s="788">
        <f t="shared" si="189"/>
        <v>798455.38</v>
      </c>
      <c r="CM63" s="787">
        <f t="shared" si="189"/>
        <v>721521.16999999993</v>
      </c>
      <c r="CN63" s="787">
        <f t="shared" si="189"/>
        <v>782991.63</v>
      </c>
      <c r="CO63" s="787">
        <f t="shared" si="189"/>
        <v>842400.04</v>
      </c>
      <c r="CP63" s="787">
        <f t="shared" si="189"/>
        <v>665082.82000000007</v>
      </c>
      <c r="CQ63" s="787">
        <f t="shared" si="189"/>
        <v>521932.39</v>
      </c>
      <c r="CR63" s="376"/>
      <c r="CS63" s="375">
        <f t="shared" si="190"/>
        <v>8435661.4300000016</v>
      </c>
      <c r="CT63" s="381">
        <f t="shared" si="191"/>
        <v>-1544957.5600000015</v>
      </c>
      <c r="CU63" s="167">
        <f t="shared" si="192"/>
        <v>-0.18314598953742045</v>
      </c>
      <c r="CV63" s="322"/>
      <c r="CW63" s="787">
        <f t="shared" si="193"/>
        <v>597990.02</v>
      </c>
      <c r="CX63" s="787">
        <f t="shared" si="193"/>
        <v>666006.64</v>
      </c>
      <c r="CY63" s="787">
        <f t="shared" si="193"/>
        <v>663449.67000000016</v>
      </c>
      <c r="CZ63" s="787">
        <f t="shared" si="193"/>
        <v>470538.29000000004</v>
      </c>
      <c r="DA63" s="787">
        <f t="shared" si="193"/>
        <v>767119.83</v>
      </c>
      <c r="DB63" s="787">
        <f t="shared" si="193"/>
        <v>498240.98000000004</v>
      </c>
      <c r="DC63" s="788">
        <f t="shared" si="193"/>
        <v>728284.14999999991</v>
      </c>
      <c r="DD63" s="787">
        <f t="shared" si="193"/>
        <v>663433.92999999993</v>
      </c>
      <c r="DE63" s="787">
        <f t="shared" si="193"/>
        <v>653798.37</v>
      </c>
      <c r="DF63" s="787">
        <f t="shared" si="193"/>
        <v>862975.69</v>
      </c>
      <c r="DG63" s="787">
        <f t="shared" si="193"/>
        <v>516239.8</v>
      </c>
      <c r="DH63" s="787">
        <f t="shared" si="193"/>
        <v>702089.04999999993</v>
      </c>
      <c r="DI63" s="375">
        <f t="shared" si="193"/>
        <v>7790166.4199999999</v>
      </c>
      <c r="DJ63" s="322"/>
      <c r="DK63" s="787">
        <f t="shared" si="194"/>
        <v>488154.37000000005</v>
      </c>
      <c r="DL63" s="787">
        <f t="shared" si="194"/>
        <v>644380.42000000016</v>
      </c>
      <c r="DM63" s="787">
        <f t="shared" si="194"/>
        <v>632391.98</v>
      </c>
      <c r="DN63" s="787">
        <f t="shared" si="194"/>
        <v>485188.88999999996</v>
      </c>
      <c r="DO63" s="787">
        <f t="shared" si="194"/>
        <v>639924.67000000016</v>
      </c>
      <c r="DP63" s="787">
        <f t="shared" si="194"/>
        <v>650773.57999999996</v>
      </c>
      <c r="DQ63" s="788">
        <f t="shared" si="194"/>
        <v>459184.86</v>
      </c>
      <c r="DR63" s="787">
        <f t="shared" si="194"/>
        <v>784891.18</v>
      </c>
      <c r="DS63" s="787">
        <f t="shared" si="194"/>
        <v>673200.76000000024</v>
      </c>
      <c r="DT63" s="787">
        <f t="shared" si="194"/>
        <v>734261.40999999992</v>
      </c>
      <c r="DU63" s="787">
        <f t="shared" si="194"/>
        <v>584738.27999999991</v>
      </c>
      <c r="DV63" s="787">
        <f t="shared" si="194"/>
        <v>616128.22</v>
      </c>
      <c r="DW63" s="375">
        <f t="shared" si="194"/>
        <v>7393218.6199999992</v>
      </c>
      <c r="DY63" s="787">
        <f t="shared" si="195"/>
        <v>457531.97</v>
      </c>
      <c r="DZ63" s="787">
        <f t="shared" si="195"/>
        <v>495930.23000000004</v>
      </c>
      <c r="EA63" s="787">
        <f t="shared" si="195"/>
        <v>685127.66</v>
      </c>
      <c r="EB63" s="787">
        <f t="shared" si="195"/>
        <v>246610.20000000007</v>
      </c>
      <c r="EC63" s="787">
        <f t="shared" si="195"/>
        <v>553311.79</v>
      </c>
      <c r="ED63" s="787">
        <f t="shared" si="195"/>
        <v>603774.6100000001</v>
      </c>
      <c r="EE63" s="788">
        <f t="shared" si="195"/>
        <v>325902.46999999997</v>
      </c>
      <c r="EF63" s="787">
        <f t="shared" si="195"/>
        <v>592927.18999999994</v>
      </c>
      <c r="EG63" s="787">
        <f t="shared" si="195"/>
        <v>561330.07000000007</v>
      </c>
      <c r="EH63" s="787">
        <f t="shared" si="195"/>
        <v>603941.37000000011</v>
      </c>
      <c r="EI63" s="787">
        <f t="shared" si="195"/>
        <v>552506.76000000013</v>
      </c>
      <c r="EJ63" s="787">
        <f t="shared" si="195"/>
        <v>562597.89</v>
      </c>
      <c r="EK63" s="375">
        <f t="shared" si="195"/>
        <v>6241492.2100000009</v>
      </c>
      <c r="EL63" s="164"/>
      <c r="EM63" s="787">
        <f t="shared" si="196"/>
        <v>517767.22313873447</v>
      </c>
      <c r="EN63" s="787">
        <f t="shared" si="196"/>
        <v>312370.28897558223</v>
      </c>
      <c r="EO63" s="787">
        <f t="shared" si="196"/>
        <v>568065.83551160817</v>
      </c>
      <c r="EP63" s="787">
        <f t="shared" si="196"/>
        <v>300564.41428649798</v>
      </c>
      <c r="EQ63" s="787">
        <f t="shared" si="196"/>
        <v>360273.71647569537</v>
      </c>
      <c r="ER63" s="787">
        <f t="shared" si="196"/>
        <v>414458.14517145592</v>
      </c>
      <c r="ES63" s="788">
        <f t="shared" si="196"/>
        <v>472706.7037963997</v>
      </c>
      <c r="ET63" s="787">
        <f t="shared" si="196"/>
        <v>396224.66714053549</v>
      </c>
      <c r="EU63" s="787">
        <f t="shared" si="196"/>
        <v>551711.74080009339</v>
      </c>
      <c r="EV63" s="787">
        <f t="shared" si="196"/>
        <v>444914.24796092499</v>
      </c>
      <c r="EW63" s="787">
        <f t="shared" si="196"/>
        <v>431953.1527673034</v>
      </c>
      <c r="EX63" s="787">
        <f t="shared" si="196"/>
        <v>507093.74397517001</v>
      </c>
      <c r="EY63" s="375">
        <f t="shared" si="196"/>
        <v>5278103.8800000008</v>
      </c>
      <c r="EZ63" s="164"/>
    </row>
    <row r="64" spans="1:156" s="173" customFormat="1" ht="6.75" customHeight="1">
      <c r="B64" s="186"/>
      <c r="C64" s="186"/>
      <c r="D64" s="186"/>
      <c r="E64" s="155"/>
      <c r="F64" s="172"/>
      <c r="G64" s="172"/>
      <c r="H64" s="373"/>
      <c r="I64" s="373"/>
      <c r="J64" s="373"/>
      <c r="K64" s="373"/>
      <c r="L64" s="373"/>
      <c r="M64" s="373"/>
      <c r="N64" s="374"/>
      <c r="O64" s="373"/>
      <c r="P64" s="373"/>
      <c r="Q64" s="373"/>
      <c r="R64" s="373"/>
      <c r="S64" s="373"/>
      <c r="T64" s="375"/>
      <c r="U64" s="393"/>
      <c r="V64" s="163"/>
      <c r="W64" s="796"/>
      <c r="X64" s="373"/>
      <c r="Y64" s="373"/>
      <c r="Z64" s="373"/>
      <c r="AA64" s="373"/>
      <c r="AB64" s="373"/>
      <c r="AC64" s="373"/>
      <c r="AD64" s="374"/>
      <c r="AE64" s="373"/>
      <c r="AF64" s="373"/>
      <c r="AG64" s="373"/>
      <c r="AH64" s="373"/>
      <c r="AI64" s="373"/>
      <c r="AJ64" s="375"/>
      <c r="AK64" s="796"/>
      <c r="AL64" s="373"/>
      <c r="AM64" s="373"/>
      <c r="AN64" s="373"/>
      <c r="AO64" s="373"/>
      <c r="AP64" s="373"/>
      <c r="AQ64" s="373"/>
      <c r="AR64" s="374"/>
      <c r="AS64" s="373"/>
      <c r="AT64" s="373"/>
      <c r="AU64" s="373"/>
      <c r="AV64" s="373"/>
      <c r="AW64" s="373"/>
      <c r="AX64" s="375"/>
      <c r="AY64" s="393"/>
      <c r="AZ64" s="163"/>
      <c r="BA64" s="796"/>
      <c r="BB64" s="373"/>
      <c r="BC64" s="373"/>
      <c r="BD64" s="373"/>
      <c r="BE64" s="373"/>
      <c r="BF64" s="373"/>
      <c r="BG64" s="373"/>
      <c r="BH64" s="374"/>
      <c r="BI64" s="373"/>
      <c r="BJ64" s="373"/>
      <c r="BK64" s="373"/>
      <c r="BL64" s="373"/>
      <c r="BM64" s="373"/>
      <c r="BN64" s="375"/>
      <c r="BO64" s="796"/>
      <c r="BP64" s="373"/>
      <c r="BQ64" s="373"/>
      <c r="BR64" s="373"/>
      <c r="BS64" s="373"/>
      <c r="BT64" s="373"/>
      <c r="BU64" s="373"/>
      <c r="BV64" s="374"/>
      <c r="BW64" s="373"/>
      <c r="BX64" s="373"/>
      <c r="BY64" s="373"/>
      <c r="BZ64" s="373"/>
      <c r="CA64" s="373"/>
      <c r="CB64" s="375"/>
      <c r="CC64" s="393"/>
      <c r="CD64" s="163"/>
      <c r="CE64" s="172"/>
      <c r="CF64" s="373"/>
      <c r="CG64" s="373"/>
      <c r="CH64" s="373"/>
      <c r="CI64" s="373"/>
      <c r="CJ64" s="373"/>
      <c r="CK64" s="373"/>
      <c r="CL64" s="374"/>
      <c r="CM64" s="373"/>
      <c r="CN64" s="373"/>
      <c r="CO64" s="373"/>
      <c r="CP64" s="373"/>
      <c r="CQ64" s="373"/>
      <c r="CR64" s="376"/>
      <c r="CS64" s="375"/>
      <c r="CT64" s="393"/>
      <c r="CU64" s="163"/>
      <c r="CV64" s="322"/>
      <c r="CW64" s="373"/>
      <c r="CX64" s="373"/>
      <c r="CY64" s="373"/>
      <c r="CZ64" s="373"/>
      <c r="DA64" s="373"/>
      <c r="DB64" s="373"/>
      <c r="DC64" s="374"/>
      <c r="DD64" s="373"/>
      <c r="DE64" s="373"/>
      <c r="DF64" s="373"/>
      <c r="DG64" s="373"/>
      <c r="DH64" s="373"/>
      <c r="DI64" s="375"/>
      <c r="DJ64" s="322"/>
      <c r="DK64" s="373"/>
      <c r="DL64" s="373"/>
      <c r="DM64" s="373"/>
      <c r="DN64" s="373"/>
      <c r="DO64" s="373"/>
      <c r="DP64" s="373"/>
      <c r="DQ64" s="374"/>
      <c r="DR64" s="373"/>
      <c r="DS64" s="373"/>
      <c r="DT64" s="373"/>
      <c r="DU64" s="373"/>
      <c r="DV64" s="373"/>
      <c r="DW64" s="375"/>
      <c r="DY64" s="373"/>
      <c r="DZ64" s="373"/>
      <c r="EA64" s="373"/>
      <c r="EB64" s="373"/>
      <c r="EC64" s="373"/>
      <c r="ED64" s="373"/>
      <c r="EE64" s="374"/>
      <c r="EF64" s="373"/>
      <c r="EG64" s="373"/>
      <c r="EH64" s="373"/>
      <c r="EI64" s="373"/>
      <c r="EJ64" s="373"/>
      <c r="EK64" s="375"/>
      <c r="EL64" s="164"/>
      <c r="EM64" s="373"/>
      <c r="EN64" s="373"/>
      <c r="EO64" s="373"/>
      <c r="EP64" s="373"/>
      <c r="EQ64" s="373"/>
      <c r="ER64" s="373"/>
      <c r="ES64" s="374"/>
      <c r="ET64" s="373"/>
      <c r="EU64" s="373"/>
      <c r="EV64" s="373"/>
      <c r="EW64" s="373"/>
      <c r="EX64" s="373"/>
      <c r="EY64" s="375"/>
      <c r="EZ64" s="164"/>
    </row>
    <row r="65" spans="1:156" s="173" customFormat="1" ht="17.25" customHeight="1">
      <c r="B65" s="186"/>
      <c r="C65" s="186"/>
      <c r="D65" s="186"/>
      <c r="F65" s="199" t="s">
        <v>309</v>
      </c>
      <c r="G65" s="199"/>
      <c r="H65" s="379">
        <f t="shared" ref="H65:S65" si="209">H44-H54</f>
        <v>0</v>
      </c>
      <c r="I65" s="379">
        <f t="shared" si="209"/>
        <v>0</v>
      </c>
      <c r="J65" s="379">
        <f t="shared" si="209"/>
        <v>0</v>
      </c>
      <c r="K65" s="379">
        <f t="shared" si="209"/>
        <v>0</v>
      </c>
      <c r="L65" s="379">
        <f t="shared" si="209"/>
        <v>0</v>
      </c>
      <c r="M65" s="379">
        <f t="shared" si="209"/>
        <v>0</v>
      </c>
      <c r="N65" s="379">
        <f t="shared" si="209"/>
        <v>0</v>
      </c>
      <c r="O65" s="379">
        <f t="shared" si="209"/>
        <v>0</v>
      </c>
      <c r="P65" s="379">
        <f t="shared" si="209"/>
        <v>0</v>
      </c>
      <c r="Q65" s="379">
        <f t="shared" si="209"/>
        <v>0</v>
      </c>
      <c r="R65" s="379">
        <f t="shared" si="209"/>
        <v>0</v>
      </c>
      <c r="S65" s="379">
        <f t="shared" si="209"/>
        <v>357853859.69234163</v>
      </c>
      <c r="T65" s="375">
        <f>T44-T54</f>
        <v>357853859.69234163</v>
      </c>
      <c r="U65" s="378">
        <f>T65-AJ65</f>
        <v>36497121.112798631</v>
      </c>
      <c r="V65" s="165">
        <f>U65/AJ65</f>
        <v>0.11357198008083709</v>
      </c>
      <c r="W65" s="799"/>
      <c r="X65" s="379">
        <f t="shared" ref="X65:AI65" si="210">X44-X54</f>
        <v>26135504.899193302</v>
      </c>
      <c r="Y65" s="379">
        <f t="shared" si="210"/>
        <v>19824092.576336898</v>
      </c>
      <c r="Z65" s="379">
        <f t="shared" si="210"/>
        <v>13125170.455766903</v>
      </c>
      <c r="AA65" s="379">
        <f t="shared" si="210"/>
        <v>8582735.8005389981</v>
      </c>
      <c r="AB65" s="379">
        <f t="shared" si="210"/>
        <v>8225665.546252002</v>
      </c>
      <c r="AC65" s="379">
        <f t="shared" si="210"/>
        <v>16728527.322837997</v>
      </c>
      <c r="AD65" s="379">
        <f t="shared" si="210"/>
        <v>23801138.659712706</v>
      </c>
      <c r="AE65" s="379">
        <f t="shared" si="210"/>
        <v>54540745.946970448</v>
      </c>
      <c r="AF65" s="379">
        <f t="shared" si="210"/>
        <v>50234252.700501896</v>
      </c>
      <c r="AG65" s="379">
        <f t="shared" si="210"/>
        <v>8389343.9322783034</v>
      </c>
      <c r="AH65" s="379">
        <f t="shared" si="210"/>
        <v>45686713.905346699</v>
      </c>
      <c r="AI65" s="379">
        <f t="shared" si="210"/>
        <v>46082846.833806813</v>
      </c>
      <c r="AJ65" s="375">
        <f>AJ44-AJ54</f>
        <v>321356738.57954299</v>
      </c>
      <c r="AK65" s="799"/>
      <c r="AL65" s="379">
        <f t="shared" ref="AL65:AW65" si="211">AL44-AL54</f>
        <v>0</v>
      </c>
      <c r="AM65" s="379">
        <f t="shared" si="211"/>
        <v>0</v>
      </c>
      <c r="AN65" s="379">
        <f t="shared" si="211"/>
        <v>0</v>
      </c>
      <c r="AO65" s="379">
        <f t="shared" si="211"/>
        <v>0</v>
      </c>
      <c r="AP65" s="379">
        <f t="shared" si="211"/>
        <v>0</v>
      </c>
      <c r="AQ65" s="379">
        <f t="shared" si="211"/>
        <v>0</v>
      </c>
      <c r="AR65" s="379">
        <f t="shared" si="211"/>
        <v>0</v>
      </c>
      <c r="AS65" s="379">
        <f t="shared" si="211"/>
        <v>0</v>
      </c>
      <c r="AT65" s="379">
        <f t="shared" si="211"/>
        <v>0</v>
      </c>
      <c r="AU65" s="379">
        <f t="shared" si="211"/>
        <v>0</v>
      </c>
      <c r="AV65" s="379">
        <f t="shared" si="211"/>
        <v>0</v>
      </c>
      <c r="AW65" s="379">
        <f t="shared" si="211"/>
        <v>349435047.14389795</v>
      </c>
      <c r="AX65" s="375">
        <f>AX44-AX54</f>
        <v>349435047.14389795</v>
      </c>
      <c r="AY65" s="378">
        <f>AX65-BN65</f>
        <v>115773331.02496603</v>
      </c>
      <c r="AZ65" s="165">
        <f>AY65/BN65</f>
        <v>0.49547411081256609</v>
      </c>
      <c r="BA65" s="799"/>
      <c r="BB65" s="379">
        <f t="shared" ref="BB65:BM65" si="212">BB44-BB54</f>
        <v>2846201.3968716543</v>
      </c>
      <c r="BC65" s="379">
        <f t="shared" si="212"/>
        <v>3704768.3700943338</v>
      </c>
      <c r="BD65" s="379">
        <f t="shared" si="212"/>
        <v>10360961.696859216</v>
      </c>
      <c r="BE65" s="379">
        <f t="shared" si="212"/>
        <v>4305490.8818267975</v>
      </c>
      <c r="BF65" s="379">
        <f t="shared" si="212"/>
        <v>6855899.9222450014</v>
      </c>
      <c r="BG65" s="379">
        <f t="shared" si="212"/>
        <v>8520273.5003003962</v>
      </c>
      <c r="BH65" s="379">
        <f t="shared" si="212"/>
        <v>12138542.941372802</v>
      </c>
      <c r="BI65" s="379">
        <f t="shared" si="212"/>
        <v>33477521.975087114</v>
      </c>
      <c r="BJ65" s="379">
        <f t="shared" si="212"/>
        <v>41254162.264198102</v>
      </c>
      <c r="BK65" s="379">
        <f t="shared" si="212"/>
        <v>55160524.454077691</v>
      </c>
      <c r="BL65" s="379">
        <f t="shared" si="212"/>
        <v>32701125.3668251</v>
      </c>
      <c r="BM65" s="379">
        <f t="shared" si="212"/>
        <v>22336243.349173695</v>
      </c>
      <c r="BN65" s="375">
        <f>BN44-BN54</f>
        <v>233661716.11893192</v>
      </c>
      <c r="BO65" s="799"/>
      <c r="BP65" s="379">
        <f t="shared" ref="BP65:CA65" si="213">BP44-BP54</f>
        <v>4103807.5332341143</v>
      </c>
      <c r="BQ65" s="379">
        <f t="shared" si="213"/>
        <v>4576367.6443833243</v>
      </c>
      <c r="BR65" s="379">
        <f t="shared" si="213"/>
        <v>13333003.7399735</v>
      </c>
      <c r="BS65" s="379">
        <f t="shared" si="213"/>
        <v>9191162.3707407396</v>
      </c>
      <c r="BT65" s="379">
        <f t="shared" si="213"/>
        <v>26476400.986649867</v>
      </c>
      <c r="BU65" s="379">
        <f t="shared" si="213"/>
        <v>52421786.26889208</v>
      </c>
      <c r="BV65" s="379">
        <f t="shared" si="213"/>
        <v>20268627.739954799</v>
      </c>
      <c r="BW65" s="379">
        <f t="shared" si="213"/>
        <v>49516082.562971488</v>
      </c>
      <c r="BX65" s="379">
        <f t="shared" si="213"/>
        <v>62565255.840282083</v>
      </c>
      <c r="BY65" s="379">
        <f t="shared" si="213"/>
        <v>44152365.218161285</v>
      </c>
      <c r="BZ65" s="379">
        <f t="shared" si="213"/>
        <v>19579981.831250388</v>
      </c>
      <c r="CA65" s="379">
        <f t="shared" si="213"/>
        <v>66814062.466599271</v>
      </c>
      <c r="CB65" s="375">
        <f>CB44-CB54</f>
        <v>372998904.20309299</v>
      </c>
      <c r="CC65" s="381">
        <f>BN65-CB65</f>
        <v>-139337188.08416107</v>
      </c>
      <c r="CD65" s="167">
        <f>IFERROR(CC65/CB65,"N/A")</f>
        <v>-0.37355924243759658</v>
      </c>
      <c r="CE65" s="199"/>
      <c r="CF65" s="379">
        <f t="shared" ref="CF65:CQ65" si="214">CF44-CF54</f>
        <v>18517343.092989244</v>
      </c>
      <c r="CG65" s="379">
        <f t="shared" si="214"/>
        <v>34219161.239928894</v>
      </c>
      <c r="CH65" s="379">
        <f t="shared" si="214"/>
        <v>35639688.552549794</v>
      </c>
      <c r="CI65" s="379">
        <f t="shared" si="214"/>
        <v>20646852.883132212</v>
      </c>
      <c r="CJ65" s="379">
        <f t="shared" si="214"/>
        <v>33655499.495408006</v>
      </c>
      <c r="CK65" s="379">
        <f t="shared" si="214"/>
        <v>32870679.964049086</v>
      </c>
      <c r="CL65" s="379">
        <f t="shared" si="214"/>
        <v>58259587.655709416</v>
      </c>
      <c r="CM65" s="379">
        <f t="shared" si="214"/>
        <v>39488905.546609402</v>
      </c>
      <c r="CN65" s="379">
        <f t="shared" si="214"/>
        <v>33476385.290865</v>
      </c>
      <c r="CO65" s="379">
        <f t="shared" si="214"/>
        <v>33804832.075084195</v>
      </c>
      <c r="CP65" s="379">
        <f t="shared" si="214"/>
        <v>48437117.034471601</v>
      </c>
      <c r="CQ65" s="379">
        <f t="shared" si="214"/>
        <v>35895803.593005963</v>
      </c>
      <c r="CR65" s="382"/>
      <c r="CS65" s="375">
        <f>CS44-CS54</f>
        <v>424911856.42380273</v>
      </c>
      <c r="CT65" s="381">
        <f>BN65-CS65</f>
        <v>-191250140.30487081</v>
      </c>
      <c r="CU65" s="167">
        <f>IFERROR(CT65/CS65,"N/A")</f>
        <v>-0.45009367805006573</v>
      </c>
      <c r="CV65" s="202"/>
      <c r="CW65" s="379">
        <f t="shared" ref="CW65:DH65" si="215">CW44-CW54</f>
        <v>34402811.428899996</v>
      </c>
      <c r="CX65" s="379">
        <f t="shared" si="215"/>
        <v>26528568.179200001</v>
      </c>
      <c r="CY65" s="379">
        <f t="shared" si="215"/>
        <v>33951623.589299999</v>
      </c>
      <c r="CZ65" s="379">
        <f t="shared" si="215"/>
        <v>23129882.596100003</v>
      </c>
      <c r="DA65" s="379">
        <f t="shared" si="215"/>
        <v>32103692.047299992</v>
      </c>
      <c r="DB65" s="379">
        <f t="shared" si="215"/>
        <v>34860158.227200001</v>
      </c>
      <c r="DC65" s="379">
        <f t="shared" si="215"/>
        <v>29442194.547399998</v>
      </c>
      <c r="DD65" s="379">
        <f t="shared" si="215"/>
        <v>45480950.799100012</v>
      </c>
      <c r="DE65" s="379">
        <f t="shared" si="215"/>
        <v>64256875.864499994</v>
      </c>
      <c r="DF65" s="379">
        <f t="shared" si="215"/>
        <v>36774276.023176394</v>
      </c>
      <c r="DG65" s="379">
        <f t="shared" si="215"/>
        <v>29604731.480244998</v>
      </c>
      <c r="DH65" s="379">
        <f t="shared" si="215"/>
        <v>40194656.326752804</v>
      </c>
      <c r="DI65" s="375">
        <f>DI44-DI54</f>
        <v>430730421.10917425</v>
      </c>
      <c r="DJ65" s="202"/>
      <c r="DK65" s="379">
        <f t="shared" ref="DK65:DV65" si="216">DK44-DK54</f>
        <v>15122373.326999996</v>
      </c>
      <c r="DL65" s="379">
        <f t="shared" si="216"/>
        <v>26291207.395999998</v>
      </c>
      <c r="DM65" s="379">
        <f t="shared" si="216"/>
        <v>35763212.808400005</v>
      </c>
      <c r="DN65" s="379">
        <f t="shared" si="216"/>
        <v>23674708.409399997</v>
      </c>
      <c r="DO65" s="379">
        <f t="shared" si="216"/>
        <v>33061889.972500004</v>
      </c>
      <c r="DP65" s="379">
        <f t="shared" si="216"/>
        <v>42605723.982200004</v>
      </c>
      <c r="DQ65" s="379">
        <f t="shared" si="216"/>
        <v>34233839.234700002</v>
      </c>
      <c r="DR65" s="379">
        <f t="shared" si="216"/>
        <v>32157601.693900008</v>
      </c>
      <c r="DS65" s="379">
        <f t="shared" si="216"/>
        <v>47301191.200400002</v>
      </c>
      <c r="DT65" s="379">
        <f t="shared" si="216"/>
        <v>49152262.483999997</v>
      </c>
      <c r="DU65" s="379">
        <f t="shared" si="216"/>
        <v>19473388.882800005</v>
      </c>
      <c r="DV65" s="379">
        <f t="shared" si="216"/>
        <v>34935215.117100008</v>
      </c>
      <c r="DW65" s="375">
        <f>DW44-DW54</f>
        <v>393772614.50840008</v>
      </c>
      <c r="DY65" s="379">
        <f t="shared" ref="DY65:EJ65" si="217">DY44-DY54</f>
        <v>25791554.129999995</v>
      </c>
      <c r="DZ65" s="379">
        <f t="shared" si="217"/>
        <v>29135395.600000001</v>
      </c>
      <c r="EA65" s="379">
        <f t="shared" si="217"/>
        <v>16850528.610000003</v>
      </c>
      <c r="EB65" s="379">
        <f t="shared" si="217"/>
        <v>16913764.379999995</v>
      </c>
      <c r="EC65" s="379">
        <f t="shared" si="217"/>
        <v>41346661.229999989</v>
      </c>
      <c r="ED65" s="379">
        <f t="shared" si="217"/>
        <v>34564584.489999995</v>
      </c>
      <c r="EE65" s="379">
        <f t="shared" si="217"/>
        <v>27695208.688699994</v>
      </c>
      <c r="EF65" s="379">
        <f t="shared" si="217"/>
        <v>32419419.502683725</v>
      </c>
      <c r="EG65" s="379">
        <f t="shared" si="217"/>
        <v>37498722.794200011</v>
      </c>
      <c r="EH65" s="379">
        <f t="shared" si="217"/>
        <v>28509608.135299999</v>
      </c>
      <c r="EI65" s="379">
        <f t="shared" si="217"/>
        <v>25730061.679700002</v>
      </c>
      <c r="EJ65" s="379">
        <f t="shared" si="217"/>
        <v>38075753.103199996</v>
      </c>
      <c r="EK65" s="375">
        <f>EK44-EK54</f>
        <v>354531262.34378374</v>
      </c>
      <c r="EL65" s="164"/>
      <c r="EM65" s="379">
        <f t="shared" ref="EM65:EY65" si="218">EM44-EM54</f>
        <v>33710250.327812634</v>
      </c>
      <c r="EN65" s="379">
        <f t="shared" si="218"/>
        <v>22382638.455790911</v>
      </c>
      <c r="EO65" s="379">
        <f t="shared" si="218"/>
        <v>20396685.890868127</v>
      </c>
      <c r="EP65" s="379">
        <f t="shared" si="218"/>
        <v>18485643.394262373</v>
      </c>
      <c r="EQ65" s="379">
        <f t="shared" si="218"/>
        <v>33861876.172958568</v>
      </c>
      <c r="ER65" s="379">
        <f t="shared" si="218"/>
        <v>26966725.475419201</v>
      </c>
      <c r="ES65" s="379">
        <f t="shared" si="218"/>
        <v>31134792.74678763</v>
      </c>
      <c r="ET65" s="379">
        <f t="shared" si="218"/>
        <v>31028987.272148781</v>
      </c>
      <c r="EU65" s="379">
        <f t="shared" si="218"/>
        <v>23526094.717001028</v>
      </c>
      <c r="EV65" s="379">
        <f t="shared" si="218"/>
        <v>47728923.075423881</v>
      </c>
      <c r="EW65" s="379">
        <f t="shared" si="218"/>
        <v>31336080.969237693</v>
      </c>
      <c r="EX65" s="379">
        <f t="shared" si="218"/>
        <v>22980091.793701883</v>
      </c>
      <c r="EY65" s="375">
        <f t="shared" si="218"/>
        <v>343538790.29141271</v>
      </c>
      <c r="EZ65" s="164"/>
    </row>
    <row r="66" spans="1:156" s="173" customFormat="1" ht="17.25" customHeight="1">
      <c r="B66" s="186"/>
      <c r="C66" s="186"/>
      <c r="D66" s="186"/>
      <c r="E66" s="199" t="s">
        <v>1191</v>
      </c>
      <c r="F66" s="199"/>
      <c r="G66" s="199"/>
      <c r="H66" s="394" t="e">
        <f t="shared" ref="H66:S66" si="219">H65/H44</f>
        <v>#DIV/0!</v>
      </c>
      <c r="I66" s="394" t="e">
        <f t="shared" si="219"/>
        <v>#DIV/0!</v>
      </c>
      <c r="J66" s="394" t="e">
        <f t="shared" si="219"/>
        <v>#DIV/0!</v>
      </c>
      <c r="K66" s="394" t="e">
        <f t="shared" si="219"/>
        <v>#DIV/0!</v>
      </c>
      <c r="L66" s="394" t="e">
        <f t="shared" si="219"/>
        <v>#DIV/0!</v>
      </c>
      <c r="M66" s="394" t="e">
        <f t="shared" si="219"/>
        <v>#DIV/0!</v>
      </c>
      <c r="N66" s="394" t="e">
        <f t="shared" si="219"/>
        <v>#DIV/0!</v>
      </c>
      <c r="O66" s="394" t="e">
        <f t="shared" si="219"/>
        <v>#DIV/0!</v>
      </c>
      <c r="P66" s="394" t="e">
        <f t="shared" si="219"/>
        <v>#DIV/0!</v>
      </c>
      <c r="Q66" s="394" t="e">
        <f t="shared" si="219"/>
        <v>#DIV/0!</v>
      </c>
      <c r="R66" s="394" t="e">
        <f t="shared" si="219"/>
        <v>#DIV/0!</v>
      </c>
      <c r="S66" s="394">
        <f t="shared" si="219"/>
        <v>0.82398844090806667</v>
      </c>
      <c r="T66" s="395">
        <f>T65/T44</f>
        <v>0.82398844090806667</v>
      </c>
      <c r="U66" s="396"/>
      <c r="V66" s="207"/>
      <c r="W66" s="951"/>
      <c r="X66" s="394">
        <f t="shared" ref="X66:AI66" si="220">X65/X44</f>
        <v>0.82998681369016558</v>
      </c>
      <c r="Y66" s="394">
        <f t="shared" si="220"/>
        <v>0.83604549070192558</v>
      </c>
      <c r="Z66" s="394">
        <f t="shared" si="220"/>
        <v>0.8073519067375049</v>
      </c>
      <c r="AA66" s="394">
        <f t="shared" si="220"/>
        <v>0.81032508796454383</v>
      </c>
      <c r="AB66" s="394">
        <f t="shared" si="220"/>
        <v>0.74677036612307979</v>
      </c>
      <c r="AC66" s="394">
        <f t="shared" si="220"/>
        <v>0.83440976711995363</v>
      </c>
      <c r="AD66" s="394">
        <f t="shared" si="220"/>
        <v>0.79958552100216862</v>
      </c>
      <c r="AE66" s="394">
        <f t="shared" si="220"/>
        <v>0.80232467348029335</v>
      </c>
      <c r="AF66" s="394">
        <f t="shared" si="220"/>
        <v>0.82492089800655122</v>
      </c>
      <c r="AG66" s="394">
        <f t="shared" si="220"/>
        <v>0.81019754276476674</v>
      </c>
      <c r="AH66" s="394">
        <f t="shared" si="220"/>
        <v>0.82509574191679491</v>
      </c>
      <c r="AI66" s="394">
        <f t="shared" si="220"/>
        <v>0.80306594427617284</v>
      </c>
      <c r="AJ66" s="395">
        <f>AJ65/AJ44</f>
        <v>0.81384213369230574</v>
      </c>
      <c r="AK66" s="951"/>
      <c r="AL66" s="394" t="e">
        <f t="shared" ref="AL66:AW66" si="221">AL65/AL44</f>
        <v>#DIV/0!</v>
      </c>
      <c r="AM66" s="394" t="e">
        <f t="shared" si="221"/>
        <v>#DIV/0!</v>
      </c>
      <c r="AN66" s="394" t="e">
        <f t="shared" si="221"/>
        <v>#DIV/0!</v>
      </c>
      <c r="AO66" s="394" t="e">
        <f t="shared" si="221"/>
        <v>#DIV/0!</v>
      </c>
      <c r="AP66" s="394" t="e">
        <f t="shared" si="221"/>
        <v>#DIV/0!</v>
      </c>
      <c r="AQ66" s="394" t="e">
        <f t="shared" si="221"/>
        <v>#DIV/0!</v>
      </c>
      <c r="AR66" s="394" t="e">
        <f t="shared" si="221"/>
        <v>#DIV/0!</v>
      </c>
      <c r="AS66" s="394" t="e">
        <f t="shared" si="221"/>
        <v>#DIV/0!</v>
      </c>
      <c r="AT66" s="394" t="e">
        <f t="shared" si="221"/>
        <v>#DIV/0!</v>
      </c>
      <c r="AU66" s="394" t="e">
        <f t="shared" si="221"/>
        <v>#DIV/0!</v>
      </c>
      <c r="AV66" s="394" t="e">
        <f t="shared" si="221"/>
        <v>#DIV/0!</v>
      </c>
      <c r="AW66" s="394">
        <f t="shared" si="221"/>
        <v>0.79811868341794878</v>
      </c>
      <c r="AX66" s="395">
        <f>AX65/AX44</f>
        <v>0.79811868341794878</v>
      </c>
      <c r="AY66" s="396"/>
      <c r="AZ66" s="207"/>
      <c r="BA66" s="951"/>
      <c r="BB66" s="394">
        <f t="shared" ref="BB66:BM66" si="222">BB65/BB44</f>
        <v>0.67229106695694596</v>
      </c>
      <c r="BC66" s="394">
        <f t="shared" si="222"/>
        <v>0.77669429175039184</v>
      </c>
      <c r="BD66" s="394">
        <f t="shared" si="222"/>
        <v>0.74772404144804316</v>
      </c>
      <c r="BE66" s="394">
        <f t="shared" si="222"/>
        <v>0.722425726294318</v>
      </c>
      <c r="BF66" s="394">
        <f t="shared" si="222"/>
        <v>0.83455042680050395</v>
      </c>
      <c r="BG66" s="394">
        <f t="shared" si="222"/>
        <v>0.71754528048785093</v>
      </c>
      <c r="BH66" s="394">
        <f t="shared" si="222"/>
        <v>0.76695042238930655</v>
      </c>
      <c r="BI66" s="394">
        <f t="shared" si="222"/>
        <v>0.85035364472445985</v>
      </c>
      <c r="BJ66" s="394">
        <f t="shared" si="222"/>
        <v>0.84450294520007474</v>
      </c>
      <c r="BK66" s="394">
        <f t="shared" si="222"/>
        <v>0.85068064222722595</v>
      </c>
      <c r="BL66" s="394">
        <f t="shared" si="222"/>
        <v>0.86611601511569569</v>
      </c>
      <c r="BM66" s="394">
        <f t="shared" si="222"/>
        <v>0.76073923225626816</v>
      </c>
      <c r="BN66" s="395">
        <f>BN65/BN44</f>
        <v>0.82010878853389346</v>
      </c>
      <c r="BO66" s="951"/>
      <c r="BP66" s="394">
        <f t="shared" ref="BP66:CA66" si="223">BP65/BP44</f>
        <v>0.76632206806004732</v>
      </c>
      <c r="BQ66" s="394">
        <f t="shared" si="223"/>
        <v>0.77594346563415562</v>
      </c>
      <c r="BR66" s="394">
        <f t="shared" si="223"/>
        <v>0.81843956786952432</v>
      </c>
      <c r="BS66" s="394">
        <f t="shared" si="223"/>
        <v>0.82619010097107348</v>
      </c>
      <c r="BT66" s="394">
        <f t="shared" si="223"/>
        <v>0.82529715965512429</v>
      </c>
      <c r="BU66" s="394">
        <f t="shared" si="223"/>
        <v>0.83509868373788898</v>
      </c>
      <c r="BV66" s="394">
        <f t="shared" si="223"/>
        <v>0.82691588610471067</v>
      </c>
      <c r="BW66" s="394">
        <f t="shared" si="223"/>
        <v>0.82709677034231499</v>
      </c>
      <c r="BX66" s="394">
        <f t="shared" si="223"/>
        <v>0.83936811676291478</v>
      </c>
      <c r="BY66" s="394">
        <f t="shared" si="223"/>
        <v>0.84082281759638078</v>
      </c>
      <c r="BZ66" s="394">
        <f t="shared" si="223"/>
        <v>0.84375286534475136</v>
      </c>
      <c r="CA66" s="394">
        <f t="shared" si="223"/>
        <v>0.81610915464123623</v>
      </c>
      <c r="CB66" s="395">
        <f>CB65/CB44</f>
        <v>0.82883954822489814</v>
      </c>
      <c r="CC66" s="396"/>
      <c r="CD66" s="207"/>
      <c r="CE66" s="199"/>
      <c r="CF66" s="394">
        <f t="shared" ref="CF66:CQ66" si="224">CF65/CF44</f>
        <v>0.84086994989251063</v>
      </c>
      <c r="CG66" s="394">
        <f t="shared" si="224"/>
        <v>0.85358000200100048</v>
      </c>
      <c r="CH66" s="394">
        <f t="shared" si="224"/>
        <v>0.86918355911872969</v>
      </c>
      <c r="CI66" s="394">
        <f t="shared" si="224"/>
        <v>0.86305653262810567</v>
      </c>
      <c r="CJ66" s="394">
        <f t="shared" si="224"/>
        <v>0.84826684454712575</v>
      </c>
      <c r="CK66" s="394">
        <f t="shared" si="224"/>
        <v>0.88619762691384052</v>
      </c>
      <c r="CL66" s="394">
        <f t="shared" si="224"/>
        <v>0.81462023039143927</v>
      </c>
      <c r="CM66" s="394">
        <f t="shared" si="224"/>
        <v>0.84935101985132355</v>
      </c>
      <c r="CN66" s="394">
        <f t="shared" si="224"/>
        <v>0.77850343465118155</v>
      </c>
      <c r="CO66" s="394">
        <f t="shared" si="224"/>
        <v>0.75738896996948746</v>
      </c>
      <c r="CP66" s="394">
        <f t="shared" si="224"/>
        <v>0.80094541754214077</v>
      </c>
      <c r="CQ66" s="394">
        <f t="shared" si="224"/>
        <v>0.85951775214977877</v>
      </c>
      <c r="CR66" s="397"/>
      <c r="CS66" s="395">
        <f>CS65/CS44</f>
        <v>0.83041339150727278</v>
      </c>
      <c r="CT66" s="396"/>
      <c r="CU66" s="207"/>
      <c r="CV66" s="202"/>
      <c r="CW66" s="394">
        <f t="shared" ref="CW66:DH66" si="225">CW65/CW44</f>
        <v>0.8246932155082326</v>
      </c>
      <c r="CX66" s="394">
        <f t="shared" si="225"/>
        <v>0.83364735234512333</v>
      </c>
      <c r="CY66" s="394">
        <f t="shared" si="225"/>
        <v>0.83544409647451701</v>
      </c>
      <c r="CZ66" s="394">
        <f t="shared" si="225"/>
        <v>0.78914151176112057</v>
      </c>
      <c r="DA66" s="394">
        <f t="shared" si="225"/>
        <v>0.91588513449403519</v>
      </c>
      <c r="DB66" s="394">
        <f t="shared" si="225"/>
        <v>0.88190031626792775</v>
      </c>
      <c r="DC66" s="394">
        <f t="shared" si="225"/>
        <v>0.83699653274928032</v>
      </c>
      <c r="DD66" s="394">
        <f t="shared" si="225"/>
        <v>0.81404149115136526</v>
      </c>
      <c r="DE66" s="394">
        <f t="shared" si="225"/>
        <v>0.83378128318769551</v>
      </c>
      <c r="DF66" s="394">
        <f t="shared" si="225"/>
        <v>0.8399355938086005</v>
      </c>
      <c r="DG66" s="394">
        <f t="shared" si="225"/>
        <v>0.84078440973584034</v>
      </c>
      <c r="DH66" s="394">
        <f t="shared" si="225"/>
        <v>0.83080561538461917</v>
      </c>
      <c r="DI66" s="395">
        <f>DI65/DI44</f>
        <v>0.83872345863565601</v>
      </c>
      <c r="DJ66" s="202"/>
      <c r="DK66" s="394">
        <f t="shared" ref="DK66:DV66" si="226">DK65/DK44</f>
        <v>0.76485574198647599</v>
      </c>
      <c r="DL66" s="394">
        <f t="shared" si="226"/>
        <v>0.82708743597299061</v>
      </c>
      <c r="DM66" s="394">
        <f t="shared" si="226"/>
        <v>0.78423457796693752</v>
      </c>
      <c r="DN66" s="394">
        <f t="shared" si="226"/>
        <v>0.84428837956514258</v>
      </c>
      <c r="DO66" s="394">
        <f t="shared" si="226"/>
        <v>0.85134527930368487</v>
      </c>
      <c r="DP66" s="394">
        <f t="shared" si="226"/>
        <v>0.83450599147854654</v>
      </c>
      <c r="DQ66" s="394">
        <f t="shared" si="226"/>
        <v>0.80264442204130504</v>
      </c>
      <c r="DR66" s="394">
        <f t="shared" si="226"/>
        <v>0.84160008608358072</v>
      </c>
      <c r="DS66" s="394">
        <f t="shared" si="226"/>
        <v>0.81177039838546883</v>
      </c>
      <c r="DT66" s="394">
        <f t="shared" si="226"/>
        <v>0.85568128138779764</v>
      </c>
      <c r="DU66" s="394">
        <f t="shared" si="226"/>
        <v>0.83522741301468417</v>
      </c>
      <c r="DV66" s="394">
        <f t="shared" si="226"/>
        <v>0.81904922892753851</v>
      </c>
      <c r="DW66" s="395">
        <f>DW65/DW44</f>
        <v>0.82442311393359513</v>
      </c>
      <c r="DY66" s="394">
        <f t="shared" ref="DY66:EJ66" si="227">DY65/DY44</f>
        <v>0.84404462892047238</v>
      </c>
      <c r="DZ66" s="394">
        <f t="shared" si="227"/>
        <v>0.7771529604384747</v>
      </c>
      <c r="EA66" s="394">
        <f t="shared" si="227"/>
        <v>0.79524380826253882</v>
      </c>
      <c r="EB66" s="394">
        <f t="shared" si="227"/>
        <v>0.77278178703346923</v>
      </c>
      <c r="EC66" s="394">
        <f t="shared" si="227"/>
        <v>0.8128457190358912</v>
      </c>
      <c r="ED66" s="394">
        <f t="shared" si="227"/>
        <v>0.87315633888845168</v>
      </c>
      <c r="EE66" s="394">
        <f t="shared" si="227"/>
        <v>0.80277868496045479</v>
      </c>
      <c r="EF66" s="394">
        <f t="shared" si="227"/>
        <v>0.82911493551690862</v>
      </c>
      <c r="EG66" s="394">
        <f t="shared" si="227"/>
        <v>0.85540140872502679</v>
      </c>
      <c r="EH66" s="394">
        <f t="shared" si="227"/>
        <v>0.79322527997016501</v>
      </c>
      <c r="EI66" s="394">
        <f t="shared" si="227"/>
        <v>0.80377286440999873</v>
      </c>
      <c r="EJ66" s="394">
        <f t="shared" si="227"/>
        <v>0.84083667492811787</v>
      </c>
      <c r="EK66" s="395">
        <f>EK65/EK44</f>
        <v>0.82020051735137345</v>
      </c>
      <c r="EL66" s="208"/>
      <c r="EM66" s="394">
        <f t="shared" ref="EM66:EY66" si="228">EM65/EM44</f>
        <v>0.8508846361718353</v>
      </c>
      <c r="EN66" s="394">
        <f t="shared" si="228"/>
        <v>0.82766738123847705</v>
      </c>
      <c r="EO66" s="394">
        <f t="shared" si="228"/>
        <v>0.81797786826791086</v>
      </c>
      <c r="EP66" s="394">
        <f t="shared" si="228"/>
        <v>0.85662338072524435</v>
      </c>
      <c r="EQ66" s="394">
        <f t="shared" si="228"/>
        <v>0.82521557337441342</v>
      </c>
      <c r="ER66" s="394">
        <f t="shared" si="228"/>
        <v>0.76258363608252533</v>
      </c>
      <c r="ES66" s="394">
        <f t="shared" si="228"/>
        <v>0.81494465690976337</v>
      </c>
      <c r="ET66" s="394">
        <f t="shared" si="228"/>
        <v>0.82224761159492055</v>
      </c>
      <c r="EU66" s="394">
        <f t="shared" si="228"/>
        <v>0.86105647476749925</v>
      </c>
      <c r="EV66" s="394">
        <f t="shared" si="228"/>
        <v>0.82837519518321745</v>
      </c>
      <c r="EW66" s="394">
        <f t="shared" si="228"/>
        <v>0.81796277576864851</v>
      </c>
      <c r="EX66" s="394">
        <f t="shared" si="228"/>
        <v>0.82039987270707448</v>
      </c>
      <c r="EY66" s="395">
        <f t="shared" si="228"/>
        <v>0.82427958542454705</v>
      </c>
      <c r="EZ66" s="208"/>
    </row>
    <row r="67" spans="1:156" s="173" customFormat="1">
      <c r="B67" s="186"/>
      <c r="C67" s="186"/>
      <c r="D67" s="186"/>
      <c r="E67" s="199"/>
      <c r="F67" s="199"/>
      <c r="G67" s="199"/>
      <c r="H67" s="373"/>
      <c r="I67" s="373"/>
      <c r="J67" s="373"/>
      <c r="K67" s="373"/>
      <c r="L67" s="373"/>
      <c r="M67" s="373"/>
      <c r="N67" s="374"/>
      <c r="O67" s="373"/>
      <c r="P67" s="373"/>
      <c r="Q67" s="373"/>
      <c r="R67" s="373"/>
      <c r="S67" s="373"/>
      <c r="T67" s="375"/>
      <c r="U67" s="393"/>
      <c r="V67" s="163"/>
      <c r="W67" s="922"/>
      <c r="X67" s="373"/>
      <c r="Y67" s="373"/>
      <c r="Z67" s="373"/>
      <c r="AA67" s="373"/>
      <c r="AB67" s="373"/>
      <c r="AC67" s="373"/>
      <c r="AD67" s="374"/>
      <c r="AE67" s="373"/>
      <c r="AF67" s="373"/>
      <c r="AG67" s="373"/>
      <c r="AH67" s="373"/>
      <c r="AI67" s="373"/>
      <c r="AJ67" s="375"/>
      <c r="AK67" s="922"/>
      <c r="AL67" s="373"/>
      <c r="AM67" s="373"/>
      <c r="AN67" s="373"/>
      <c r="AO67" s="373"/>
      <c r="AP67" s="373"/>
      <c r="AQ67" s="373"/>
      <c r="AR67" s="374"/>
      <c r="AS67" s="373"/>
      <c r="AT67" s="373"/>
      <c r="AU67" s="373"/>
      <c r="AV67" s="373"/>
      <c r="AW67" s="373"/>
      <c r="AX67" s="375"/>
      <c r="AY67" s="393"/>
      <c r="AZ67" s="163"/>
      <c r="BA67" s="922"/>
      <c r="BB67" s="373"/>
      <c r="BC67" s="373"/>
      <c r="BD67" s="373"/>
      <c r="BE67" s="373"/>
      <c r="BF67" s="373"/>
      <c r="BG67" s="373"/>
      <c r="BH67" s="374"/>
      <c r="BI67" s="373"/>
      <c r="BJ67" s="373"/>
      <c r="BK67" s="373"/>
      <c r="BL67" s="373"/>
      <c r="BM67" s="373"/>
      <c r="BN67" s="375"/>
      <c r="BO67" s="922"/>
      <c r="BP67" s="373"/>
      <c r="BQ67" s="373"/>
      <c r="BR67" s="373"/>
      <c r="BS67" s="373"/>
      <c r="BT67" s="373"/>
      <c r="BU67" s="373"/>
      <c r="BV67" s="374"/>
      <c r="BW67" s="373"/>
      <c r="BX67" s="373"/>
      <c r="BY67" s="373"/>
      <c r="BZ67" s="373"/>
      <c r="CA67" s="373"/>
      <c r="CB67" s="375"/>
      <c r="CC67" s="393"/>
      <c r="CD67" s="163"/>
      <c r="CE67" s="199"/>
      <c r="CF67" s="373"/>
      <c r="CG67" s="373"/>
      <c r="CH67" s="373"/>
      <c r="CI67" s="373"/>
      <c r="CJ67" s="373"/>
      <c r="CK67" s="373"/>
      <c r="CL67" s="374"/>
      <c r="CM67" s="373"/>
      <c r="CN67" s="373"/>
      <c r="CO67" s="373"/>
      <c r="CP67" s="373"/>
      <c r="CQ67" s="373"/>
      <c r="CR67" s="376"/>
      <c r="CS67" s="375"/>
      <c r="CT67" s="393"/>
      <c r="CU67" s="163"/>
      <c r="CV67" s="202"/>
      <c r="CW67" s="373"/>
      <c r="CX67" s="373"/>
      <c r="CY67" s="373"/>
      <c r="CZ67" s="373"/>
      <c r="DA67" s="373"/>
      <c r="DB67" s="373"/>
      <c r="DC67" s="374"/>
      <c r="DD67" s="373"/>
      <c r="DE67" s="373"/>
      <c r="DF67" s="373"/>
      <c r="DG67" s="373"/>
      <c r="DH67" s="373"/>
      <c r="DI67" s="375"/>
      <c r="DJ67" s="202"/>
      <c r="DK67" s="373"/>
      <c r="DL67" s="373"/>
      <c r="DM67" s="373"/>
      <c r="DN67" s="373"/>
      <c r="DO67" s="373"/>
      <c r="DP67" s="373"/>
      <c r="DQ67" s="374"/>
      <c r="DR67" s="373"/>
      <c r="DS67" s="373"/>
      <c r="DT67" s="373"/>
      <c r="DU67" s="373"/>
      <c r="DV67" s="373"/>
      <c r="DW67" s="375"/>
      <c r="DY67" s="373"/>
      <c r="DZ67" s="373"/>
      <c r="EA67" s="373"/>
      <c r="EB67" s="373"/>
      <c r="EC67" s="373"/>
      <c r="ED67" s="373"/>
      <c r="EE67" s="374"/>
      <c r="EF67" s="373"/>
      <c r="EG67" s="373"/>
      <c r="EH67" s="373"/>
      <c r="EI67" s="373"/>
      <c r="EJ67" s="373"/>
      <c r="EK67" s="375"/>
      <c r="EL67" s="164"/>
      <c r="EM67" s="373"/>
      <c r="EN67" s="373"/>
      <c r="EO67" s="373"/>
      <c r="EP67" s="373"/>
      <c r="EQ67" s="373"/>
      <c r="ER67" s="373"/>
      <c r="ES67" s="374"/>
      <c r="ET67" s="373"/>
      <c r="EU67" s="373"/>
      <c r="EV67" s="373"/>
      <c r="EW67" s="373"/>
      <c r="EX67" s="373"/>
      <c r="EY67" s="375"/>
      <c r="EZ67" s="164"/>
    </row>
    <row r="68" spans="1:156" s="173" customFormat="1" ht="18.75" customHeight="1">
      <c r="A68" s="173" t="s">
        <v>310</v>
      </c>
      <c r="B68" s="174"/>
      <c r="C68" s="174"/>
      <c r="D68" s="174"/>
      <c r="E68" s="199" t="s">
        <v>1192</v>
      </c>
      <c r="F68" s="199"/>
      <c r="G68" s="199"/>
      <c r="H68" s="373"/>
      <c r="I68" s="373"/>
      <c r="J68" s="373"/>
      <c r="K68" s="373"/>
      <c r="L68" s="373"/>
      <c r="M68" s="373"/>
      <c r="N68" s="374"/>
      <c r="O68" s="373"/>
      <c r="P68" s="373"/>
      <c r="Q68" s="373"/>
      <c r="R68" s="373"/>
      <c r="S68" s="373"/>
      <c r="T68" s="375"/>
      <c r="U68" s="393"/>
      <c r="V68" s="163"/>
      <c r="W68" s="922"/>
      <c r="X68" s="373"/>
      <c r="Y68" s="373"/>
      <c r="Z68" s="373"/>
      <c r="AA68" s="373"/>
      <c r="AB68" s="373"/>
      <c r="AC68" s="373"/>
      <c r="AD68" s="374"/>
      <c r="AE68" s="373"/>
      <c r="AF68" s="373"/>
      <c r="AG68" s="373"/>
      <c r="AH68" s="373"/>
      <c r="AI68" s="373"/>
      <c r="AJ68" s="375"/>
      <c r="AK68" s="922"/>
      <c r="AL68" s="373"/>
      <c r="AM68" s="373"/>
      <c r="AN68" s="373"/>
      <c r="AO68" s="373"/>
      <c r="AP68" s="373"/>
      <c r="AQ68" s="373"/>
      <c r="AR68" s="374"/>
      <c r="AS68" s="373"/>
      <c r="AT68" s="373"/>
      <c r="AU68" s="373"/>
      <c r="AV68" s="373"/>
      <c r="AW68" s="373"/>
      <c r="AX68" s="375"/>
      <c r="AY68" s="393"/>
      <c r="AZ68" s="163"/>
      <c r="BA68" s="922"/>
      <c r="BB68" s="373"/>
      <c r="BC68" s="373"/>
      <c r="BD68" s="373"/>
      <c r="BE68" s="373"/>
      <c r="BF68" s="373"/>
      <c r="BG68" s="373"/>
      <c r="BH68" s="374"/>
      <c r="BI68" s="373"/>
      <c r="BJ68" s="373"/>
      <c r="BK68" s="373"/>
      <c r="BL68" s="373"/>
      <c r="BM68" s="373"/>
      <c r="BN68" s="375"/>
      <c r="BO68" s="922"/>
      <c r="BP68" s="373"/>
      <c r="BQ68" s="373"/>
      <c r="BR68" s="373"/>
      <c r="BS68" s="373"/>
      <c r="BT68" s="373"/>
      <c r="BU68" s="373"/>
      <c r="BV68" s="374"/>
      <c r="BW68" s="373"/>
      <c r="BX68" s="373"/>
      <c r="BY68" s="373"/>
      <c r="BZ68" s="373"/>
      <c r="CA68" s="373"/>
      <c r="CB68" s="375"/>
      <c r="CC68" s="393"/>
      <c r="CD68" s="163"/>
      <c r="CE68" s="199"/>
      <c r="CF68" s="373"/>
      <c r="CG68" s="373"/>
      <c r="CH68" s="373"/>
      <c r="CI68" s="373"/>
      <c r="CJ68" s="373"/>
      <c r="CK68" s="373"/>
      <c r="CL68" s="374"/>
      <c r="CM68" s="373"/>
      <c r="CN68" s="373"/>
      <c r="CO68" s="373"/>
      <c r="CP68" s="373"/>
      <c r="CQ68" s="373"/>
      <c r="CR68" s="376"/>
      <c r="CS68" s="375"/>
      <c r="CT68" s="393"/>
      <c r="CU68" s="163"/>
      <c r="CV68" s="202"/>
      <c r="CW68" s="373"/>
      <c r="CX68" s="373"/>
      <c r="CY68" s="373"/>
      <c r="CZ68" s="373"/>
      <c r="DA68" s="373"/>
      <c r="DB68" s="373"/>
      <c r="DC68" s="374"/>
      <c r="DD68" s="373"/>
      <c r="DE68" s="373"/>
      <c r="DF68" s="373"/>
      <c r="DG68" s="373"/>
      <c r="DH68" s="373"/>
      <c r="DI68" s="375"/>
      <c r="DJ68" s="202"/>
      <c r="DK68" s="373"/>
      <c r="DL68" s="373"/>
      <c r="DM68" s="373"/>
      <c r="DN68" s="373"/>
      <c r="DO68" s="373"/>
      <c r="DP68" s="373"/>
      <c r="DQ68" s="374"/>
      <c r="DR68" s="373"/>
      <c r="DS68" s="373"/>
      <c r="DT68" s="373"/>
      <c r="DU68" s="373"/>
      <c r="DV68" s="373"/>
      <c r="DW68" s="375"/>
      <c r="DY68" s="373"/>
      <c r="DZ68" s="373"/>
      <c r="EA68" s="373"/>
      <c r="EB68" s="373"/>
      <c r="EC68" s="373"/>
      <c r="ED68" s="373"/>
      <c r="EE68" s="374"/>
      <c r="EF68" s="373"/>
      <c r="EG68" s="373"/>
      <c r="EH68" s="373"/>
      <c r="EI68" s="373"/>
      <c r="EJ68" s="373"/>
      <c r="EK68" s="375"/>
      <c r="EL68" s="164"/>
      <c r="EM68" s="373"/>
      <c r="EN68" s="373"/>
      <c r="EO68" s="373"/>
      <c r="EP68" s="373"/>
      <c r="EQ68" s="373"/>
      <c r="ER68" s="373"/>
      <c r="ES68" s="374"/>
      <c r="ET68" s="373"/>
      <c r="EU68" s="373"/>
      <c r="EV68" s="373"/>
      <c r="EW68" s="373"/>
      <c r="EX68" s="373"/>
      <c r="EY68" s="375"/>
      <c r="EZ68" s="164"/>
    </row>
    <row r="69" spans="1:156" s="173" customFormat="1" ht="16.5" customHeight="1">
      <c r="A69" s="173">
        <f>1-(SUM(DY47:EF47)/SUM(DY37:EF37))</f>
        <v>0.83459553863378666</v>
      </c>
      <c r="B69" s="174"/>
      <c r="C69" s="186" t="s">
        <v>1079</v>
      </c>
      <c r="D69" s="174"/>
      <c r="E69" s="199"/>
      <c r="F69" s="205" t="s">
        <v>1193</v>
      </c>
      <c r="G69" s="205"/>
      <c r="H69" s="398" t="str">
        <f t="shared" ref="H69:T69" si="229">IFERROR(((H37-H47)/H37),"-")</f>
        <v>-</v>
      </c>
      <c r="I69" s="398" t="str">
        <f t="shared" si="229"/>
        <v>-</v>
      </c>
      <c r="J69" s="398" t="str">
        <f t="shared" si="229"/>
        <v>-</v>
      </c>
      <c r="K69" s="398" t="str">
        <f t="shared" si="229"/>
        <v>-</v>
      </c>
      <c r="L69" s="398" t="str">
        <f t="shared" si="229"/>
        <v>-</v>
      </c>
      <c r="M69" s="398" t="str">
        <f t="shared" si="229"/>
        <v>-</v>
      </c>
      <c r="N69" s="398" t="str">
        <f t="shared" si="229"/>
        <v>-</v>
      </c>
      <c r="O69" s="398" t="str">
        <f t="shared" si="229"/>
        <v>-</v>
      </c>
      <c r="P69" s="398" t="str">
        <f t="shared" si="229"/>
        <v>-</v>
      </c>
      <c r="Q69" s="398" t="str">
        <f t="shared" si="229"/>
        <v>-</v>
      </c>
      <c r="R69" s="398" t="str">
        <f t="shared" si="229"/>
        <v>-</v>
      </c>
      <c r="S69" s="398">
        <f t="shared" si="229"/>
        <v>0.86693641674583188</v>
      </c>
      <c r="T69" s="399">
        <f t="shared" si="229"/>
        <v>0.86693641674583188</v>
      </c>
      <c r="U69" s="400"/>
      <c r="V69" s="209"/>
      <c r="W69" s="947"/>
      <c r="X69" s="398">
        <f t="shared" ref="X69:AJ69" si="230">IFERROR(((X37-X47)/X37),"-")</f>
        <v>0.82301689881319495</v>
      </c>
      <c r="Y69" s="398">
        <f t="shared" si="230"/>
        <v>0.83871702936709602</v>
      </c>
      <c r="Z69" s="398">
        <f t="shared" si="230"/>
        <v>0.82416269779057361</v>
      </c>
      <c r="AA69" s="398">
        <f t="shared" si="230"/>
        <v>0.86551702170223255</v>
      </c>
      <c r="AB69" s="398">
        <f t="shared" si="230"/>
        <v>0.81934621594864532</v>
      </c>
      <c r="AC69" s="398">
        <f t="shared" si="230"/>
        <v>0.86190880849806084</v>
      </c>
      <c r="AD69" s="398">
        <f t="shared" si="230"/>
        <v>0.80174651174681499</v>
      </c>
      <c r="AE69" s="398">
        <f t="shared" si="230"/>
        <v>0.79643505237109591</v>
      </c>
      <c r="AF69" s="398">
        <f t="shared" si="230"/>
        <v>0.83761222252680012</v>
      </c>
      <c r="AG69" s="398">
        <f t="shared" si="230"/>
        <v>0.85420591825477077</v>
      </c>
      <c r="AH69" s="398">
        <f t="shared" si="230"/>
        <v>0.83866833851972045</v>
      </c>
      <c r="AI69" s="398">
        <f t="shared" si="230"/>
        <v>0.81338385505732169</v>
      </c>
      <c r="AJ69" s="399">
        <f t="shared" si="230"/>
        <v>0.82889136184428758</v>
      </c>
      <c r="AK69" s="947"/>
      <c r="AL69" s="398" t="str">
        <f t="shared" ref="AL69:AX74" si="231">IFERROR(((AL37-AL47)/AL37),"-")</f>
        <v>-</v>
      </c>
      <c r="AM69" s="398" t="str">
        <f t="shared" si="231"/>
        <v>-</v>
      </c>
      <c r="AN69" s="398" t="str">
        <f t="shared" si="231"/>
        <v>-</v>
      </c>
      <c r="AO69" s="398" t="str">
        <f t="shared" si="231"/>
        <v>-</v>
      </c>
      <c r="AP69" s="398" t="str">
        <f t="shared" si="231"/>
        <v>-</v>
      </c>
      <c r="AQ69" s="398" t="str">
        <f t="shared" si="231"/>
        <v>-</v>
      </c>
      <c r="AR69" s="398" t="str">
        <f t="shared" si="231"/>
        <v>-</v>
      </c>
      <c r="AS69" s="398" t="str">
        <f t="shared" si="231"/>
        <v>-</v>
      </c>
      <c r="AT69" s="398" t="str">
        <f t="shared" si="231"/>
        <v>-</v>
      </c>
      <c r="AU69" s="398" t="str">
        <f t="shared" si="231"/>
        <v>-</v>
      </c>
      <c r="AV69" s="398" t="str">
        <f t="shared" si="231"/>
        <v>-</v>
      </c>
      <c r="AW69" s="398">
        <f t="shared" si="231"/>
        <v>0.82212267265385852</v>
      </c>
      <c r="AX69" s="399">
        <f t="shared" si="231"/>
        <v>0.82212267265385852</v>
      </c>
      <c r="AY69" s="400"/>
      <c r="AZ69" s="209"/>
      <c r="BA69" s="947"/>
      <c r="BB69" s="398">
        <f t="shared" ref="BB69:BN74" si="232">IFERROR(((BB37-BB47)/BB37),"-")</f>
        <v>0.69897467455737106</v>
      </c>
      <c r="BC69" s="398">
        <f t="shared" si="232"/>
        <v>0.8389616662502305</v>
      </c>
      <c r="BD69" s="398">
        <f t="shared" si="232"/>
        <v>0.81553511980696103</v>
      </c>
      <c r="BE69" s="398">
        <f t="shared" si="232"/>
        <v>0.75883199788506306</v>
      </c>
      <c r="BF69" s="398">
        <f t="shared" si="232"/>
        <v>0.88917208474410958</v>
      </c>
      <c r="BG69" s="398">
        <f t="shared" si="232"/>
        <v>0.63622801072285073</v>
      </c>
      <c r="BH69" s="398">
        <f t="shared" si="232"/>
        <v>0.75366798910912292</v>
      </c>
      <c r="BI69" s="398">
        <f t="shared" si="232"/>
        <v>0.86617308391698566</v>
      </c>
      <c r="BJ69" s="398">
        <f t="shared" si="232"/>
        <v>0.8562755654038201</v>
      </c>
      <c r="BK69" s="398">
        <f t="shared" si="232"/>
        <v>0.86009011348736575</v>
      </c>
      <c r="BL69" s="398">
        <f t="shared" si="232"/>
        <v>0.96109765374295819</v>
      </c>
      <c r="BM69" s="398">
        <f t="shared" si="232"/>
        <v>0.78841078812461096</v>
      </c>
      <c r="BN69" s="399">
        <f t="shared" si="232"/>
        <v>0.82581283352945867</v>
      </c>
      <c r="BO69" s="947"/>
      <c r="BP69" s="398">
        <f t="shared" ref="BP69:CB74" si="233">IFERROR(((BP37-BP47)/BP37),"-")</f>
        <v>0.85519828968251144</v>
      </c>
      <c r="BQ69" s="398">
        <f t="shared" si="233"/>
        <v>0.85737594006430085</v>
      </c>
      <c r="BR69" s="398">
        <f t="shared" si="233"/>
        <v>0.86449353742612267</v>
      </c>
      <c r="BS69" s="398">
        <f t="shared" si="233"/>
        <v>0.87196536393575763</v>
      </c>
      <c r="BT69" s="398">
        <f t="shared" si="233"/>
        <v>0.8630125171578138</v>
      </c>
      <c r="BU69" s="398">
        <f t="shared" si="233"/>
        <v>0.86567461507654919</v>
      </c>
      <c r="BV69" s="398">
        <f t="shared" si="233"/>
        <v>0.86553450591319236</v>
      </c>
      <c r="BW69" s="398">
        <f t="shared" si="233"/>
        <v>0.86684928752999924</v>
      </c>
      <c r="BX69" s="398">
        <f t="shared" si="233"/>
        <v>0.87010579117516351</v>
      </c>
      <c r="BY69" s="398">
        <f t="shared" si="233"/>
        <v>0.8701365435244216</v>
      </c>
      <c r="BZ69" s="398">
        <f t="shared" si="233"/>
        <v>0.86852480448488001</v>
      </c>
      <c r="CA69" s="398">
        <f t="shared" si="233"/>
        <v>0.87372979692103581</v>
      </c>
      <c r="CB69" s="399">
        <f t="shared" si="233"/>
        <v>0.86830579526827911</v>
      </c>
      <c r="CC69" s="400"/>
      <c r="CD69" s="209"/>
      <c r="CE69" s="205"/>
      <c r="CF69" s="398">
        <f t="shared" ref="CF69:CQ74" si="234">IFERROR(((CF37-CF47)/CF37),"-")</f>
        <v>0.87159123162678009</v>
      </c>
      <c r="CG69" s="398">
        <f t="shared" si="234"/>
        <v>0.86964134332786125</v>
      </c>
      <c r="CH69" s="398">
        <f t="shared" si="234"/>
        <v>0.89291008361436797</v>
      </c>
      <c r="CI69" s="398">
        <f t="shared" si="234"/>
        <v>0.89235799737059063</v>
      </c>
      <c r="CJ69" s="398">
        <f t="shared" si="234"/>
        <v>0.87715635455056473</v>
      </c>
      <c r="CK69" s="398">
        <f t="shared" si="234"/>
        <v>0.91649678981428029</v>
      </c>
      <c r="CL69" s="398">
        <f t="shared" si="234"/>
        <v>0.77197401351889317</v>
      </c>
      <c r="CM69" s="398">
        <f t="shared" si="234"/>
        <v>0.88137783591531638</v>
      </c>
      <c r="CN69" s="398">
        <f t="shared" si="234"/>
        <v>0.78208333346930248</v>
      </c>
      <c r="CO69" s="398">
        <f t="shared" si="234"/>
        <v>0.74052538310008575</v>
      </c>
      <c r="CP69" s="398">
        <f t="shared" si="234"/>
        <v>0.74097060475657284</v>
      </c>
      <c r="CQ69" s="398">
        <f t="shared" si="234"/>
        <v>0.95547951773537909</v>
      </c>
      <c r="CR69" s="401"/>
      <c r="CS69" s="399">
        <f t="shared" ref="CS69:CS74" si="235">IFERROR(((CS37-CS47)/CS37),"-")</f>
        <v>0.84481328555400093</v>
      </c>
      <c r="CT69" s="400"/>
      <c r="CU69" s="209"/>
      <c r="CV69" s="317"/>
      <c r="CW69" s="398">
        <f t="shared" ref="CW69:DI74" si="236">IFERROR(((CW37-CW47)/CW37),"-")</f>
        <v>0.84698577760275273</v>
      </c>
      <c r="CX69" s="398">
        <f t="shared" si="236"/>
        <v>0.85494929599837133</v>
      </c>
      <c r="CY69" s="398">
        <f t="shared" si="236"/>
        <v>0.85671588612169736</v>
      </c>
      <c r="CZ69" s="398">
        <f t="shared" si="236"/>
        <v>0.81531570618973093</v>
      </c>
      <c r="DA69" s="398">
        <f t="shared" si="236"/>
        <v>0.931024187401714</v>
      </c>
      <c r="DB69" s="398">
        <f t="shared" si="236"/>
        <v>0.88853596533031343</v>
      </c>
      <c r="DC69" s="398">
        <f t="shared" si="236"/>
        <v>0.88201672189572788</v>
      </c>
      <c r="DD69" s="398">
        <f t="shared" si="236"/>
        <v>0.83411121011638101</v>
      </c>
      <c r="DE69" s="398">
        <f t="shared" si="236"/>
        <v>0.86440385975691114</v>
      </c>
      <c r="DF69" s="398">
        <f t="shared" si="236"/>
        <v>0.85844834285253258</v>
      </c>
      <c r="DG69" s="398">
        <f t="shared" si="236"/>
        <v>0.8788661368677575</v>
      </c>
      <c r="DH69" s="398">
        <f t="shared" si="236"/>
        <v>0.84888167507948875</v>
      </c>
      <c r="DI69" s="399">
        <f t="shared" si="236"/>
        <v>0.86318151172769886</v>
      </c>
      <c r="DJ69" s="317"/>
      <c r="DK69" s="398">
        <f t="shared" ref="DK69:DW74" si="237">IFERROR(((DK37-DK47)/DK37),"-")</f>
        <v>0.77621898345356055</v>
      </c>
      <c r="DL69" s="398">
        <f t="shared" si="237"/>
        <v>0.85148438183791653</v>
      </c>
      <c r="DM69" s="398">
        <f t="shared" si="237"/>
        <v>0.81911245058404536</v>
      </c>
      <c r="DN69" s="398">
        <f t="shared" si="237"/>
        <v>0.88137355150093233</v>
      </c>
      <c r="DO69" s="398">
        <f t="shared" si="237"/>
        <v>0.87282676014941996</v>
      </c>
      <c r="DP69" s="398">
        <f t="shared" si="237"/>
        <v>0.86261397981452226</v>
      </c>
      <c r="DQ69" s="398">
        <f t="shared" si="237"/>
        <v>0.86241838873589627</v>
      </c>
      <c r="DR69" s="398">
        <f t="shared" si="237"/>
        <v>0.86354007318959813</v>
      </c>
      <c r="DS69" s="398">
        <f t="shared" si="237"/>
        <v>0.83545261354598133</v>
      </c>
      <c r="DT69" s="398">
        <f t="shared" si="237"/>
        <v>0.889501639608268</v>
      </c>
      <c r="DU69" s="398">
        <f t="shared" si="237"/>
        <v>0.82466149840165492</v>
      </c>
      <c r="DV69" s="398">
        <f t="shared" si="237"/>
        <v>0.84260474186191026</v>
      </c>
      <c r="DW69" s="399">
        <f t="shared" si="237"/>
        <v>0.84931263841825766</v>
      </c>
      <c r="DY69" s="398">
        <f t="shared" ref="DY69:EK74" si="238">IFERROR(((DY37-DY47)/DY37),"-")</f>
        <v>0.84714185250400009</v>
      </c>
      <c r="DZ69" s="398">
        <f t="shared" si="238"/>
        <v>0.79019591231529651</v>
      </c>
      <c r="EA69" s="398">
        <f t="shared" si="238"/>
        <v>0.78957591654964843</v>
      </c>
      <c r="EB69" s="398">
        <f t="shared" si="238"/>
        <v>0.83648076055580334</v>
      </c>
      <c r="EC69" s="398">
        <f t="shared" si="238"/>
        <v>0.83365246290152606</v>
      </c>
      <c r="ED69" s="398">
        <f t="shared" si="238"/>
        <v>0.91198295998308343</v>
      </c>
      <c r="EE69" s="398">
        <f t="shared" si="238"/>
        <v>0.80988636742000841</v>
      </c>
      <c r="EF69" s="398">
        <f t="shared" si="238"/>
        <v>0.84736392626752155</v>
      </c>
      <c r="EG69" s="398">
        <f t="shared" si="238"/>
        <v>0.85787318400537005</v>
      </c>
      <c r="EH69" s="398">
        <f t="shared" si="238"/>
        <v>0.82573760525328865</v>
      </c>
      <c r="EI69" s="398">
        <f t="shared" si="238"/>
        <v>0.81960128347750816</v>
      </c>
      <c r="EJ69" s="398">
        <f t="shared" si="238"/>
        <v>0.86767071386625161</v>
      </c>
      <c r="EK69" s="399">
        <f t="shared" si="238"/>
        <v>0.83946931240405998</v>
      </c>
      <c r="EL69" s="164"/>
      <c r="EM69" s="398">
        <f t="shared" ref="EM69:EY74" si="239">IFERROR(((EM37-EM47)/EM37),"-")</f>
        <v>0.85873521057826319</v>
      </c>
      <c r="EN69" s="398">
        <f t="shared" si="239"/>
        <v>0.85873521057826319</v>
      </c>
      <c r="EO69" s="398">
        <f t="shared" si="239"/>
        <v>0.85873521057826319</v>
      </c>
      <c r="EP69" s="398">
        <f t="shared" si="239"/>
        <v>0.85873521057826319</v>
      </c>
      <c r="EQ69" s="398">
        <f t="shared" si="239"/>
        <v>0.85826623097958121</v>
      </c>
      <c r="ER69" s="398">
        <f t="shared" si="239"/>
        <v>0.85873521057826319</v>
      </c>
      <c r="ES69" s="398">
        <f t="shared" si="239"/>
        <v>0.85873521057826319</v>
      </c>
      <c r="ET69" s="398">
        <f t="shared" si="239"/>
        <v>0.85873521057826319</v>
      </c>
      <c r="EU69" s="398">
        <f t="shared" si="239"/>
        <v>0.85873521057826319</v>
      </c>
      <c r="EV69" s="398">
        <f t="shared" si="239"/>
        <v>0.85873521057826319</v>
      </c>
      <c r="EW69" s="398">
        <f t="shared" si="239"/>
        <v>0.85873521057826308</v>
      </c>
      <c r="EX69" s="398">
        <f t="shared" si="239"/>
        <v>0.85873521057826319</v>
      </c>
      <c r="EY69" s="399">
        <f t="shared" si="239"/>
        <v>0.8586873697816505</v>
      </c>
      <c r="EZ69" s="164"/>
    </row>
    <row r="70" spans="1:156" s="173" customFormat="1" ht="16.5" customHeight="1">
      <c r="A70" s="173">
        <f>1-(SUM(DY48:EF48)/SUM(DY38:EF38))</f>
        <v>0.80382794727160523</v>
      </c>
      <c r="B70" s="174"/>
      <c r="C70" s="320" t="s">
        <v>1078</v>
      </c>
      <c r="D70" s="174"/>
      <c r="E70" s="199"/>
      <c r="F70" s="205" t="s">
        <v>1194</v>
      </c>
      <c r="G70" s="205"/>
      <c r="H70" s="398" t="str">
        <f t="shared" ref="H70:T70" si="240">IFERROR(((H38-H48)/H38),"-")</f>
        <v>-</v>
      </c>
      <c r="I70" s="398" t="str">
        <f t="shared" si="240"/>
        <v>-</v>
      </c>
      <c r="J70" s="398" t="str">
        <f t="shared" si="240"/>
        <v>-</v>
      </c>
      <c r="K70" s="398" t="str">
        <f t="shared" si="240"/>
        <v>-</v>
      </c>
      <c r="L70" s="398" t="str">
        <f t="shared" si="240"/>
        <v>-</v>
      </c>
      <c r="M70" s="398" t="str">
        <f t="shared" si="240"/>
        <v>-</v>
      </c>
      <c r="N70" s="398" t="str">
        <f t="shared" si="240"/>
        <v>-</v>
      </c>
      <c r="O70" s="398" t="str">
        <f t="shared" si="240"/>
        <v>-</v>
      </c>
      <c r="P70" s="398" t="str">
        <f t="shared" si="240"/>
        <v>-</v>
      </c>
      <c r="Q70" s="398" t="str">
        <f t="shared" si="240"/>
        <v>-</v>
      </c>
      <c r="R70" s="398" t="str">
        <f t="shared" si="240"/>
        <v>-</v>
      </c>
      <c r="S70" s="398">
        <f t="shared" si="240"/>
        <v>0.81783889558649747</v>
      </c>
      <c r="T70" s="399">
        <f t="shared" si="240"/>
        <v>0.81783889558649747</v>
      </c>
      <c r="U70" s="400"/>
      <c r="V70" s="209"/>
      <c r="W70" s="947"/>
      <c r="X70" s="398">
        <f t="shared" ref="X70:AJ70" si="241">IFERROR(((X38-X48)/X38),"-")</f>
        <v>0.84370142645202406</v>
      </c>
      <c r="Y70" s="398">
        <f t="shared" si="241"/>
        <v>0.86711331694225591</v>
      </c>
      <c r="Z70" s="398">
        <f t="shared" si="241"/>
        <v>0.85777898477212555</v>
      </c>
      <c r="AA70" s="398">
        <f t="shared" si="241"/>
        <v>0.84635191484211647</v>
      </c>
      <c r="AB70" s="398" t="str">
        <f t="shared" si="241"/>
        <v>-</v>
      </c>
      <c r="AC70" s="398">
        <f t="shared" si="241"/>
        <v>0.84291432854506876</v>
      </c>
      <c r="AD70" s="398">
        <f t="shared" si="241"/>
        <v>0.83527438938258736</v>
      </c>
      <c r="AE70" s="398">
        <f t="shared" si="241"/>
        <v>0.81850979486614184</v>
      </c>
      <c r="AF70" s="398">
        <f t="shared" si="241"/>
        <v>0.82901376662320159</v>
      </c>
      <c r="AG70" s="398">
        <f t="shared" si="241"/>
        <v>0.85979651934882861</v>
      </c>
      <c r="AH70" s="398">
        <f t="shared" si="241"/>
        <v>0.83382295781129345</v>
      </c>
      <c r="AI70" s="398">
        <f t="shared" si="241"/>
        <v>0.89014567695417435</v>
      </c>
      <c r="AJ70" s="399">
        <f t="shared" si="241"/>
        <v>0.83168834412003056</v>
      </c>
      <c r="AK70" s="947"/>
      <c r="AL70" s="398" t="str">
        <f t="shared" si="231"/>
        <v>-</v>
      </c>
      <c r="AM70" s="398" t="str">
        <f t="shared" si="231"/>
        <v>-</v>
      </c>
      <c r="AN70" s="398" t="str">
        <f t="shared" si="231"/>
        <v>-</v>
      </c>
      <c r="AO70" s="398" t="str">
        <f t="shared" si="231"/>
        <v>-</v>
      </c>
      <c r="AP70" s="398" t="str">
        <f t="shared" si="231"/>
        <v>-</v>
      </c>
      <c r="AQ70" s="398" t="str">
        <f t="shared" si="231"/>
        <v>-</v>
      </c>
      <c r="AR70" s="398" t="str">
        <f t="shared" si="231"/>
        <v>-</v>
      </c>
      <c r="AS70" s="398" t="str">
        <f t="shared" si="231"/>
        <v>-</v>
      </c>
      <c r="AT70" s="398" t="str">
        <f t="shared" si="231"/>
        <v>-</v>
      </c>
      <c r="AU70" s="398" t="str">
        <f t="shared" si="231"/>
        <v>-</v>
      </c>
      <c r="AV70" s="398" t="str">
        <f t="shared" si="231"/>
        <v>-</v>
      </c>
      <c r="AW70" s="398">
        <f t="shared" si="231"/>
        <v>0.80715548726570174</v>
      </c>
      <c r="AX70" s="399">
        <f t="shared" si="231"/>
        <v>0.80715548726570174</v>
      </c>
      <c r="AY70" s="400"/>
      <c r="AZ70" s="209"/>
      <c r="BA70" s="947"/>
      <c r="BB70" s="398" t="str">
        <f t="shared" si="232"/>
        <v>-</v>
      </c>
      <c r="BC70" s="398" t="str">
        <f t="shared" si="232"/>
        <v>-</v>
      </c>
      <c r="BD70" s="398" t="str">
        <f t="shared" si="232"/>
        <v>-</v>
      </c>
      <c r="BE70" s="398" t="str">
        <f t="shared" si="232"/>
        <v>-</v>
      </c>
      <c r="BF70" s="398" t="str">
        <f t="shared" si="232"/>
        <v>-</v>
      </c>
      <c r="BG70" s="398">
        <f t="shared" si="232"/>
        <v>0.87030945639240587</v>
      </c>
      <c r="BH70" s="398">
        <f t="shared" si="232"/>
        <v>0.86745124923210692</v>
      </c>
      <c r="BI70" s="398">
        <f t="shared" si="232"/>
        <v>0.85972648204314384</v>
      </c>
      <c r="BJ70" s="398">
        <f t="shared" si="232"/>
        <v>0.85393077510407955</v>
      </c>
      <c r="BK70" s="398">
        <f t="shared" si="232"/>
        <v>0.85634986070406049</v>
      </c>
      <c r="BL70" s="398">
        <f t="shared" si="232"/>
        <v>0.85377890039680371</v>
      </c>
      <c r="BM70" s="398">
        <f t="shared" si="232"/>
        <v>0.82834685170147582</v>
      </c>
      <c r="BN70" s="399">
        <f t="shared" si="232"/>
        <v>0.85414628716865659</v>
      </c>
      <c r="BO70" s="947"/>
      <c r="BP70" s="398" t="str">
        <f t="shared" si="233"/>
        <v>-</v>
      </c>
      <c r="BQ70" s="398" t="str">
        <f t="shared" si="233"/>
        <v>-</v>
      </c>
      <c r="BR70" s="398">
        <f t="shared" si="233"/>
        <v>0.81186379345216808</v>
      </c>
      <c r="BS70" s="398" t="str">
        <f t="shared" si="233"/>
        <v>-</v>
      </c>
      <c r="BT70" s="398">
        <f t="shared" si="233"/>
        <v>0.82000334793876084</v>
      </c>
      <c r="BU70" s="398">
        <f t="shared" si="233"/>
        <v>0.82084221273744218</v>
      </c>
      <c r="BV70" s="398">
        <f t="shared" si="233"/>
        <v>0.82208046162231518</v>
      </c>
      <c r="BW70" s="398">
        <f t="shared" si="233"/>
        <v>0.81848552754375048</v>
      </c>
      <c r="BX70" s="398">
        <f t="shared" si="233"/>
        <v>0.81822027014640886</v>
      </c>
      <c r="BY70" s="398">
        <f t="shared" si="233"/>
        <v>0.8214599462567227</v>
      </c>
      <c r="BZ70" s="398" t="str">
        <f t="shared" si="233"/>
        <v>-</v>
      </c>
      <c r="CA70" s="398">
        <f t="shared" si="233"/>
        <v>0.80724886297929754</v>
      </c>
      <c r="CB70" s="399">
        <f t="shared" si="233"/>
        <v>0.8168069580202818</v>
      </c>
      <c r="CC70" s="400"/>
      <c r="CD70" s="209"/>
      <c r="CE70" s="205"/>
      <c r="CF70" s="398">
        <f t="shared" si="234"/>
        <v>0.83501449943830652</v>
      </c>
      <c r="CG70" s="398">
        <f t="shared" si="234"/>
        <v>0.8441381526812235</v>
      </c>
      <c r="CH70" s="398">
        <f t="shared" si="234"/>
        <v>0.84128220684636201</v>
      </c>
      <c r="CI70" s="398">
        <f t="shared" si="234"/>
        <v>0.8450044512521957</v>
      </c>
      <c r="CJ70" s="398">
        <f t="shared" si="234"/>
        <v>0.84183724018869954</v>
      </c>
      <c r="CK70" s="398">
        <f t="shared" si="234"/>
        <v>0.82870842322768989</v>
      </c>
      <c r="CL70" s="398">
        <f t="shared" si="234"/>
        <v>0.83390020338722681</v>
      </c>
      <c r="CM70" s="398">
        <f t="shared" si="234"/>
        <v>0.83458767092526887</v>
      </c>
      <c r="CN70" s="398">
        <f t="shared" si="234"/>
        <v>0.83840458871978296</v>
      </c>
      <c r="CO70" s="398">
        <f t="shared" si="234"/>
        <v>0.80856430875726515</v>
      </c>
      <c r="CP70" s="398">
        <f t="shared" si="234"/>
        <v>0.85280915101335963</v>
      </c>
      <c r="CQ70" s="398">
        <f t="shared" si="234"/>
        <v>0.83454443867044681</v>
      </c>
      <c r="CR70" s="401"/>
      <c r="CS70" s="399">
        <f t="shared" si="235"/>
        <v>0.83730553119873463</v>
      </c>
      <c r="CT70" s="400"/>
      <c r="CU70" s="209"/>
      <c r="CV70" s="317"/>
      <c r="CW70" s="398">
        <f t="shared" si="236"/>
        <v>0.81267518598528765</v>
      </c>
      <c r="CX70" s="398">
        <f t="shared" si="236"/>
        <v>0.80806659693490357</v>
      </c>
      <c r="CY70" s="398">
        <f t="shared" si="236"/>
        <v>0.78783004175533144</v>
      </c>
      <c r="CZ70" s="398">
        <f t="shared" si="236"/>
        <v>0.74666706361802149</v>
      </c>
      <c r="DA70" s="398">
        <f t="shared" si="236"/>
        <v>0.9272359454386857</v>
      </c>
      <c r="DB70" s="398">
        <f t="shared" si="236"/>
        <v>0.88566811929776756</v>
      </c>
      <c r="DC70" s="398">
        <f t="shared" si="236"/>
        <v>0.81848369019907008</v>
      </c>
      <c r="DD70" s="398">
        <f t="shared" si="236"/>
        <v>0.80553950617827963</v>
      </c>
      <c r="DE70" s="398">
        <f t="shared" si="236"/>
        <v>0.80343089319542504</v>
      </c>
      <c r="DF70" s="398">
        <f t="shared" si="236"/>
        <v>0.81705197912823957</v>
      </c>
      <c r="DG70" s="398">
        <f t="shared" si="236"/>
        <v>0.81076488242318212</v>
      </c>
      <c r="DH70" s="398">
        <f t="shared" si="236"/>
        <v>0.78609216678546612</v>
      </c>
      <c r="DI70" s="399">
        <f t="shared" si="236"/>
        <v>0.81449829593762735</v>
      </c>
      <c r="DJ70" s="317"/>
      <c r="DK70" s="398" t="str">
        <f t="shared" si="237"/>
        <v>-</v>
      </c>
      <c r="DL70" s="398">
        <f t="shared" si="237"/>
        <v>0.80582014128159096</v>
      </c>
      <c r="DM70" s="398">
        <f t="shared" si="237"/>
        <v>0.71424305087961548</v>
      </c>
      <c r="DN70" s="398">
        <f t="shared" si="237"/>
        <v>0.816430640091797</v>
      </c>
      <c r="DO70" s="398">
        <f t="shared" si="237"/>
        <v>0.81333662707207999</v>
      </c>
      <c r="DP70" s="398">
        <f t="shared" si="237"/>
        <v>0.80745415651861419</v>
      </c>
      <c r="DQ70" s="398">
        <f t="shared" si="237"/>
        <v>0.76903356535255185</v>
      </c>
      <c r="DR70" s="398">
        <f t="shared" si="237"/>
        <v>0.8343675093059838</v>
      </c>
      <c r="DS70" s="398">
        <f t="shared" si="237"/>
        <v>0.77923424442174916</v>
      </c>
      <c r="DT70" s="398">
        <f t="shared" si="237"/>
        <v>0.82071571124016274</v>
      </c>
      <c r="DU70" s="398" t="str">
        <f t="shared" si="237"/>
        <v>-</v>
      </c>
      <c r="DV70" s="398">
        <f t="shared" si="237"/>
        <v>0.79722670528590156</v>
      </c>
      <c r="DW70" s="399">
        <f t="shared" si="237"/>
        <v>0.79692094816096815</v>
      </c>
      <c r="DY70" s="398" t="str">
        <f t="shared" si="238"/>
        <v>-</v>
      </c>
      <c r="DZ70" s="398">
        <f t="shared" si="238"/>
        <v>0.76420424202187676</v>
      </c>
      <c r="EA70" s="398" t="str">
        <f t="shared" si="238"/>
        <v>-</v>
      </c>
      <c r="EB70" s="398">
        <f t="shared" si="238"/>
        <v>0.69131307243510676</v>
      </c>
      <c r="EC70" s="398">
        <f t="shared" si="238"/>
        <v>0.79318904186691097</v>
      </c>
      <c r="ED70" s="398">
        <f t="shared" si="238"/>
        <v>0.83175001675083038</v>
      </c>
      <c r="EE70" s="398">
        <f t="shared" si="238"/>
        <v>0.80853890536345674</v>
      </c>
      <c r="EF70" s="398">
        <f t="shared" si="238"/>
        <v>0.81920207748855356</v>
      </c>
      <c r="EG70" s="398">
        <f t="shared" si="238"/>
        <v>0.8878154626493262</v>
      </c>
      <c r="EH70" s="398">
        <f t="shared" si="238"/>
        <v>0.75662623298069753</v>
      </c>
      <c r="EI70" s="398">
        <f t="shared" si="238"/>
        <v>0.79348264154397774</v>
      </c>
      <c r="EJ70" s="398">
        <f t="shared" si="238"/>
        <v>0.7931329526944354</v>
      </c>
      <c r="EK70" s="399">
        <f t="shared" si="238"/>
        <v>0.80206036467072805</v>
      </c>
      <c r="EL70" s="164"/>
      <c r="EM70" s="398" t="str">
        <f t="shared" si="239"/>
        <v>-</v>
      </c>
      <c r="EN70" s="398">
        <f t="shared" si="239"/>
        <v>0.77238157499169224</v>
      </c>
      <c r="EO70" s="398">
        <f t="shared" si="239"/>
        <v>0.77238157499169224</v>
      </c>
      <c r="EP70" s="398" t="str">
        <f t="shared" si="239"/>
        <v>-</v>
      </c>
      <c r="EQ70" s="398">
        <f t="shared" si="239"/>
        <v>0.77238157499169224</v>
      </c>
      <c r="ER70" s="398">
        <f t="shared" si="239"/>
        <v>0.77238157499169224</v>
      </c>
      <c r="ES70" s="398">
        <f t="shared" si="239"/>
        <v>0.77238157499169224</v>
      </c>
      <c r="ET70" s="398">
        <f t="shared" si="239"/>
        <v>0.77238157499169224</v>
      </c>
      <c r="EU70" s="398" t="str">
        <f t="shared" si="239"/>
        <v>-</v>
      </c>
      <c r="EV70" s="398">
        <f t="shared" si="239"/>
        <v>0.77238157499169224</v>
      </c>
      <c r="EW70" s="398">
        <f t="shared" si="239"/>
        <v>0.77238157499169224</v>
      </c>
      <c r="EX70" s="398">
        <f t="shared" si="239"/>
        <v>0.77238157499169213</v>
      </c>
      <c r="EY70" s="399">
        <f t="shared" si="239"/>
        <v>0.77238157499169224</v>
      </c>
      <c r="EZ70" s="164"/>
    </row>
    <row r="71" spans="1:156" s="173" customFormat="1" ht="16.5" customHeight="1">
      <c r="A71" s="173">
        <f>1-(SUM(DY49:EF49)/SUM(DY39:EF39))</f>
        <v>0.7021779527278591</v>
      </c>
      <c r="B71" s="174"/>
      <c r="C71" s="320" t="s">
        <v>1077</v>
      </c>
      <c r="D71" s="174"/>
      <c r="E71" s="187"/>
      <c r="F71" s="205" t="s">
        <v>1195</v>
      </c>
      <c r="G71" s="205"/>
      <c r="H71" s="398" t="str">
        <f t="shared" ref="H71:R71" si="242">IFERROR(((H39-H49)/H39),"-")</f>
        <v>-</v>
      </c>
      <c r="I71" s="398" t="str">
        <f t="shared" si="242"/>
        <v>-</v>
      </c>
      <c r="J71" s="398" t="str">
        <f t="shared" si="242"/>
        <v>-</v>
      </c>
      <c r="K71" s="398" t="str">
        <f t="shared" si="242"/>
        <v>-</v>
      </c>
      <c r="L71" s="398" t="str">
        <f t="shared" si="242"/>
        <v>-</v>
      </c>
      <c r="M71" s="398" t="str">
        <f t="shared" si="242"/>
        <v>-</v>
      </c>
      <c r="N71" s="398" t="str">
        <f t="shared" si="242"/>
        <v>-</v>
      </c>
      <c r="O71" s="398" t="str">
        <f t="shared" si="242"/>
        <v>-</v>
      </c>
      <c r="P71" s="398" t="str">
        <f t="shared" si="242"/>
        <v>-</v>
      </c>
      <c r="Q71" s="398" t="str">
        <f t="shared" si="242"/>
        <v>-</v>
      </c>
      <c r="R71" s="398" t="str">
        <f t="shared" si="242"/>
        <v>-</v>
      </c>
      <c r="S71" s="398">
        <f>IFERROR(((S39-S49)/S39),"-")</f>
        <v>0.69344779371231824</v>
      </c>
      <c r="T71" s="399">
        <f t="shared" ref="T71" si="243">IFERROR(((T39-T49)/T39),"-")</f>
        <v>0.69344779371231824</v>
      </c>
      <c r="U71" s="400"/>
      <c r="V71" s="209"/>
      <c r="W71" s="947"/>
      <c r="X71" s="398" t="str">
        <f t="shared" ref="X71:AJ71" si="244">IFERROR(((X39-X49)/X39),"-")</f>
        <v>-</v>
      </c>
      <c r="Y71" s="398" t="str">
        <f t="shared" si="244"/>
        <v>-</v>
      </c>
      <c r="Z71" s="398" t="str">
        <f t="shared" si="244"/>
        <v>-</v>
      </c>
      <c r="AA71" s="398" t="str">
        <f t="shared" si="244"/>
        <v>-</v>
      </c>
      <c r="AB71" s="398" t="str">
        <f t="shared" si="244"/>
        <v>-</v>
      </c>
      <c r="AC71" s="398" t="str">
        <f t="shared" si="244"/>
        <v>-</v>
      </c>
      <c r="AD71" s="398" t="str">
        <f t="shared" si="244"/>
        <v>-</v>
      </c>
      <c r="AE71" s="398" t="str">
        <f t="shared" si="244"/>
        <v>-</v>
      </c>
      <c r="AF71" s="398" t="str">
        <f t="shared" si="244"/>
        <v>-</v>
      </c>
      <c r="AG71" s="398" t="str">
        <f t="shared" si="244"/>
        <v>-</v>
      </c>
      <c r="AH71" s="398" t="str">
        <f t="shared" si="244"/>
        <v>-</v>
      </c>
      <c r="AI71" s="398" t="str">
        <f t="shared" si="244"/>
        <v>-</v>
      </c>
      <c r="AJ71" s="399" t="str">
        <f t="shared" si="244"/>
        <v>-</v>
      </c>
      <c r="AK71" s="947"/>
      <c r="AL71" s="398" t="str">
        <f t="shared" si="231"/>
        <v>-</v>
      </c>
      <c r="AM71" s="398" t="str">
        <f t="shared" si="231"/>
        <v>-</v>
      </c>
      <c r="AN71" s="398" t="str">
        <f t="shared" si="231"/>
        <v>-</v>
      </c>
      <c r="AO71" s="398" t="str">
        <f t="shared" si="231"/>
        <v>-</v>
      </c>
      <c r="AP71" s="398" t="str">
        <f t="shared" si="231"/>
        <v>-</v>
      </c>
      <c r="AQ71" s="398" t="str">
        <f t="shared" si="231"/>
        <v>-</v>
      </c>
      <c r="AR71" s="398" t="str">
        <f t="shared" si="231"/>
        <v>-</v>
      </c>
      <c r="AS71" s="398" t="str">
        <f t="shared" si="231"/>
        <v>-</v>
      </c>
      <c r="AT71" s="398" t="str">
        <f t="shared" si="231"/>
        <v>-</v>
      </c>
      <c r="AU71" s="398" t="str">
        <f t="shared" si="231"/>
        <v>-</v>
      </c>
      <c r="AV71" s="398" t="str">
        <f t="shared" si="231"/>
        <v>-</v>
      </c>
      <c r="AW71" s="398">
        <f>IFERROR(((AW39-AW49)/AW39),"-")</f>
        <v>0.57889424733356043</v>
      </c>
      <c r="AX71" s="399">
        <f t="shared" si="231"/>
        <v>0.57889424733356043</v>
      </c>
      <c r="AY71" s="400"/>
      <c r="AZ71" s="209"/>
      <c r="BA71" s="947"/>
      <c r="BB71" s="398" t="str">
        <f t="shared" si="232"/>
        <v>-</v>
      </c>
      <c r="BC71" s="398" t="str">
        <f t="shared" si="232"/>
        <v>-</v>
      </c>
      <c r="BD71" s="398">
        <f t="shared" si="232"/>
        <v>0.24454768213586253</v>
      </c>
      <c r="BE71" s="398" t="str">
        <f t="shared" si="232"/>
        <v>-</v>
      </c>
      <c r="BF71" s="398" t="str">
        <f t="shared" si="232"/>
        <v>-</v>
      </c>
      <c r="BG71" s="398" t="str">
        <f t="shared" si="232"/>
        <v>-</v>
      </c>
      <c r="BH71" s="398" t="str">
        <f t="shared" si="232"/>
        <v>-</v>
      </c>
      <c r="BI71" s="398" t="str">
        <f t="shared" si="232"/>
        <v>-</v>
      </c>
      <c r="BJ71" s="398" t="str">
        <f t="shared" si="232"/>
        <v>-</v>
      </c>
      <c r="BK71" s="398" t="str">
        <f t="shared" si="232"/>
        <v>-</v>
      </c>
      <c r="BL71" s="398" t="str">
        <f t="shared" si="232"/>
        <v>-</v>
      </c>
      <c r="BM71" s="398">
        <f t="shared" si="232"/>
        <v>0.40788405127012617</v>
      </c>
      <c r="BN71" s="399">
        <f t="shared" si="232"/>
        <v>0.35488495521300295</v>
      </c>
      <c r="BO71" s="947"/>
      <c r="BP71" s="398" t="str">
        <f t="shared" si="233"/>
        <v>-</v>
      </c>
      <c r="BQ71" s="398" t="str">
        <f t="shared" si="233"/>
        <v>-</v>
      </c>
      <c r="BR71" s="398">
        <f t="shared" si="233"/>
        <v>0.70800084190144241</v>
      </c>
      <c r="BS71" s="398" t="str">
        <f t="shared" si="233"/>
        <v>-</v>
      </c>
      <c r="BT71" s="398" t="str">
        <f t="shared" si="233"/>
        <v>-</v>
      </c>
      <c r="BU71" s="398" t="str">
        <f t="shared" si="233"/>
        <v>-</v>
      </c>
      <c r="BV71" s="398" t="str">
        <f t="shared" si="233"/>
        <v>-</v>
      </c>
      <c r="BW71" s="398" t="str">
        <f t="shared" si="233"/>
        <v>-</v>
      </c>
      <c r="BX71" s="398" t="str">
        <f t="shared" si="233"/>
        <v>-</v>
      </c>
      <c r="BY71" s="398" t="str">
        <f t="shared" si="233"/>
        <v>-</v>
      </c>
      <c r="BZ71" s="398" t="str">
        <f t="shared" si="233"/>
        <v>-</v>
      </c>
      <c r="CA71" s="398">
        <f t="shared" si="233"/>
        <v>0.64364344452183353</v>
      </c>
      <c r="CB71" s="399">
        <f t="shared" si="233"/>
        <v>0.65494822427970312</v>
      </c>
      <c r="CC71" s="400"/>
      <c r="CD71" s="209"/>
      <c r="CE71" s="205"/>
      <c r="CF71" s="398" t="str">
        <f t="shared" si="234"/>
        <v>-</v>
      </c>
      <c r="CG71" s="398" t="str">
        <f t="shared" si="234"/>
        <v>-</v>
      </c>
      <c r="CH71" s="398">
        <f t="shared" si="234"/>
        <v>0.69975515864175197</v>
      </c>
      <c r="CI71" s="398" t="str">
        <f t="shared" si="234"/>
        <v>-</v>
      </c>
      <c r="CJ71" s="398" t="str">
        <f t="shared" si="234"/>
        <v>-</v>
      </c>
      <c r="CK71" s="398" t="str">
        <f t="shared" si="234"/>
        <v>-</v>
      </c>
      <c r="CL71" s="398" t="str">
        <f t="shared" si="234"/>
        <v>-</v>
      </c>
      <c r="CM71" s="398" t="str">
        <f t="shared" si="234"/>
        <v>-</v>
      </c>
      <c r="CN71" s="398" t="str">
        <f t="shared" si="234"/>
        <v>-</v>
      </c>
      <c r="CO71" s="398" t="str">
        <f t="shared" si="234"/>
        <v>-</v>
      </c>
      <c r="CP71" s="398" t="str">
        <f t="shared" si="234"/>
        <v>-</v>
      </c>
      <c r="CQ71" s="398">
        <f t="shared" si="234"/>
        <v>0.69316518117021275</v>
      </c>
      <c r="CR71" s="401"/>
      <c r="CS71" s="399">
        <f t="shared" si="235"/>
        <v>0.70389879642287978</v>
      </c>
      <c r="CT71" s="400"/>
      <c r="CU71" s="209"/>
      <c r="CV71" s="317"/>
      <c r="CW71" s="398" t="str">
        <f t="shared" si="236"/>
        <v>-</v>
      </c>
      <c r="CX71" s="398" t="str">
        <f t="shared" si="236"/>
        <v>-</v>
      </c>
      <c r="CY71" s="398" t="str">
        <f t="shared" si="236"/>
        <v>-</v>
      </c>
      <c r="CZ71" s="398" t="str">
        <f t="shared" si="236"/>
        <v>-</v>
      </c>
      <c r="DA71" s="398">
        <f t="shared" si="236"/>
        <v>0.74036708047213584</v>
      </c>
      <c r="DB71" s="398" t="str">
        <f t="shared" si="236"/>
        <v>-</v>
      </c>
      <c r="DC71" s="398">
        <f t="shared" si="236"/>
        <v>0.73380447008945171</v>
      </c>
      <c r="DD71" s="398" t="str">
        <f t="shared" si="236"/>
        <v>-</v>
      </c>
      <c r="DE71" s="398">
        <f t="shared" si="236"/>
        <v>0.75997390487439154</v>
      </c>
      <c r="DF71" s="398" t="str">
        <f t="shared" si="236"/>
        <v>-</v>
      </c>
      <c r="DG71" s="398" t="str">
        <f t="shared" si="236"/>
        <v>-</v>
      </c>
      <c r="DH71" s="398">
        <f t="shared" si="236"/>
        <v>0.85896033378268621</v>
      </c>
      <c r="DI71" s="399">
        <f t="shared" si="236"/>
        <v>0.78297870153821492</v>
      </c>
      <c r="DJ71" s="317"/>
      <c r="DK71" s="398" t="str">
        <f t="shared" si="237"/>
        <v>-</v>
      </c>
      <c r="DL71" s="398">
        <f t="shared" si="237"/>
        <v>0.63206163486638089</v>
      </c>
      <c r="DM71" s="398" t="str">
        <f t="shared" si="237"/>
        <v>-</v>
      </c>
      <c r="DN71" s="398">
        <f t="shared" si="237"/>
        <v>0.71128044209433539</v>
      </c>
      <c r="DO71" s="398" t="str">
        <f t="shared" si="237"/>
        <v>-</v>
      </c>
      <c r="DP71" s="398" t="str">
        <f t="shared" si="237"/>
        <v>-</v>
      </c>
      <c r="DQ71" s="398" t="str">
        <f t="shared" si="237"/>
        <v>-</v>
      </c>
      <c r="DR71" s="398" t="str">
        <f t="shared" si="237"/>
        <v>-</v>
      </c>
      <c r="DS71" s="398" t="str">
        <f t="shared" si="237"/>
        <v>-</v>
      </c>
      <c r="DT71" s="398" t="str">
        <f t="shared" si="237"/>
        <v>-</v>
      </c>
      <c r="DU71" s="398" t="str">
        <f t="shared" si="237"/>
        <v>-</v>
      </c>
      <c r="DV71" s="398">
        <f t="shared" si="237"/>
        <v>0.68465243068370107</v>
      </c>
      <c r="DW71" s="399">
        <f t="shared" si="237"/>
        <v>0.68172829220911413</v>
      </c>
      <c r="DY71" s="398" t="str">
        <f t="shared" si="238"/>
        <v>-</v>
      </c>
      <c r="DZ71" s="398" t="str">
        <f t="shared" si="238"/>
        <v>-</v>
      </c>
      <c r="EA71" s="398" t="str">
        <f t="shared" si="238"/>
        <v>-</v>
      </c>
      <c r="EB71" s="398" t="str">
        <f t="shared" si="238"/>
        <v>-</v>
      </c>
      <c r="EC71" s="398">
        <f t="shared" si="238"/>
        <v>0.70266439309605744</v>
      </c>
      <c r="ED71" s="398" t="str">
        <f t="shared" si="238"/>
        <v>-</v>
      </c>
      <c r="EE71" s="398" t="str">
        <f t="shared" si="238"/>
        <v>-</v>
      </c>
      <c r="EF71" s="398" t="str">
        <f t="shared" si="238"/>
        <v>-</v>
      </c>
      <c r="EG71" s="398" t="str">
        <f t="shared" si="238"/>
        <v>-</v>
      </c>
      <c r="EH71" s="398" t="str">
        <f t="shared" si="238"/>
        <v>-</v>
      </c>
      <c r="EI71" s="398" t="str">
        <f t="shared" si="238"/>
        <v>-</v>
      </c>
      <c r="EJ71" s="398">
        <f t="shared" si="238"/>
        <v>0.66866611571371171</v>
      </c>
      <c r="EK71" s="399">
        <f t="shared" si="238"/>
        <v>0.69246368907893419</v>
      </c>
      <c r="EL71" s="164"/>
      <c r="EM71" s="398">
        <f t="shared" si="239"/>
        <v>0.68113783203133682</v>
      </c>
      <c r="EN71" s="398" t="str">
        <f t="shared" si="239"/>
        <v>-</v>
      </c>
      <c r="EO71" s="398">
        <f t="shared" si="239"/>
        <v>0.68113783203133682</v>
      </c>
      <c r="EP71" s="398" t="str">
        <f t="shared" si="239"/>
        <v>-</v>
      </c>
      <c r="EQ71" s="398" t="str">
        <f t="shared" si="239"/>
        <v>-</v>
      </c>
      <c r="ER71" s="398">
        <f t="shared" si="239"/>
        <v>0.68113783203133682</v>
      </c>
      <c r="ES71" s="398" t="str">
        <f t="shared" si="239"/>
        <v>-</v>
      </c>
      <c r="ET71" s="398" t="str">
        <f t="shared" si="239"/>
        <v>-</v>
      </c>
      <c r="EU71" s="398" t="str">
        <f t="shared" si="239"/>
        <v>-</v>
      </c>
      <c r="EV71" s="398" t="str">
        <f t="shared" si="239"/>
        <v>-</v>
      </c>
      <c r="EW71" s="398">
        <f t="shared" si="239"/>
        <v>0.68113783203133682</v>
      </c>
      <c r="EX71" s="398" t="str">
        <f t="shared" si="239"/>
        <v>-</v>
      </c>
      <c r="EY71" s="399">
        <f t="shared" si="239"/>
        <v>0.68113783203133693</v>
      </c>
      <c r="EZ71" s="164"/>
    </row>
    <row r="72" spans="1:156" s="173" customFormat="1" ht="16.5" customHeight="1">
      <c r="B72" s="174"/>
      <c r="C72" s="171"/>
      <c r="D72" s="174"/>
      <c r="E72" s="187"/>
      <c r="F72" s="199" t="s">
        <v>1196</v>
      </c>
      <c r="G72" s="199"/>
      <c r="H72" s="394" t="str">
        <f t="shared" ref="H72:T72" si="245">IFERROR(((H40-H50)/H40),"-")</f>
        <v>-</v>
      </c>
      <c r="I72" s="394" t="str">
        <f t="shared" si="245"/>
        <v>-</v>
      </c>
      <c r="J72" s="394" t="str">
        <f t="shared" si="245"/>
        <v>-</v>
      </c>
      <c r="K72" s="394" t="str">
        <f t="shared" si="245"/>
        <v>-</v>
      </c>
      <c r="L72" s="394" t="str">
        <f t="shared" si="245"/>
        <v>-</v>
      </c>
      <c r="M72" s="394" t="str">
        <f t="shared" si="245"/>
        <v>-</v>
      </c>
      <c r="N72" s="394" t="str">
        <f t="shared" si="245"/>
        <v>-</v>
      </c>
      <c r="O72" s="394" t="str">
        <f t="shared" si="245"/>
        <v>-</v>
      </c>
      <c r="P72" s="394" t="str">
        <f t="shared" si="245"/>
        <v>-</v>
      </c>
      <c r="Q72" s="394" t="str">
        <f t="shared" si="245"/>
        <v>-</v>
      </c>
      <c r="R72" s="394" t="str">
        <f t="shared" si="245"/>
        <v>-</v>
      </c>
      <c r="S72" s="394">
        <f t="shared" si="245"/>
        <v>0.8399964369213796</v>
      </c>
      <c r="T72" s="395">
        <f t="shared" si="245"/>
        <v>0.8399964369213796</v>
      </c>
      <c r="U72" s="396"/>
      <c r="V72" s="207"/>
      <c r="W72" s="922"/>
      <c r="X72" s="394">
        <f t="shared" ref="X72:AJ72" si="246">IFERROR(((X40-X50)/X40),"-")</f>
        <v>0.84058130777821549</v>
      </c>
      <c r="Y72" s="394">
        <f t="shared" si="246"/>
        <v>0.85317038087680108</v>
      </c>
      <c r="Z72" s="394">
        <f t="shared" si="246"/>
        <v>0.83115913516904893</v>
      </c>
      <c r="AA72" s="394">
        <f t="shared" si="246"/>
        <v>0.85886699768550911</v>
      </c>
      <c r="AB72" s="394">
        <f t="shared" si="246"/>
        <v>0.78975112020591809</v>
      </c>
      <c r="AC72" s="394">
        <f t="shared" si="246"/>
        <v>0.8552107643178426</v>
      </c>
      <c r="AD72" s="394">
        <f t="shared" si="246"/>
        <v>0.82288811026302511</v>
      </c>
      <c r="AE72" s="394">
        <f t="shared" si="246"/>
        <v>0.81222790523867372</v>
      </c>
      <c r="AF72" s="394">
        <f t="shared" si="246"/>
        <v>0.83327132417257554</v>
      </c>
      <c r="AG72" s="394">
        <f t="shared" si="246"/>
        <v>0.84845290307480292</v>
      </c>
      <c r="AH72" s="394">
        <f t="shared" si="246"/>
        <v>0.83810428924335467</v>
      </c>
      <c r="AI72" s="394">
        <f t="shared" si="246"/>
        <v>0.8188966046809989</v>
      </c>
      <c r="AJ72" s="395">
        <f t="shared" si="246"/>
        <v>0.82998845932475096</v>
      </c>
      <c r="AK72" s="922"/>
      <c r="AL72" s="394" t="str">
        <f t="shared" si="231"/>
        <v>-</v>
      </c>
      <c r="AM72" s="394" t="str">
        <f t="shared" si="231"/>
        <v>-</v>
      </c>
      <c r="AN72" s="394" t="str">
        <f t="shared" si="231"/>
        <v>-</v>
      </c>
      <c r="AO72" s="394" t="str">
        <f t="shared" si="231"/>
        <v>-</v>
      </c>
      <c r="AP72" s="394" t="str">
        <f t="shared" si="231"/>
        <v>-</v>
      </c>
      <c r="AQ72" s="394" t="str">
        <f t="shared" si="231"/>
        <v>-</v>
      </c>
      <c r="AR72" s="394" t="str">
        <f t="shared" si="231"/>
        <v>-</v>
      </c>
      <c r="AS72" s="394" t="str">
        <f t="shared" si="231"/>
        <v>-</v>
      </c>
      <c r="AT72" s="394" t="str">
        <f t="shared" si="231"/>
        <v>-</v>
      </c>
      <c r="AU72" s="394" t="str">
        <f t="shared" si="231"/>
        <v>-</v>
      </c>
      <c r="AV72" s="394" t="str">
        <f t="shared" si="231"/>
        <v>-</v>
      </c>
      <c r="AW72" s="394">
        <f t="shared" si="231"/>
        <v>0.81280474732622821</v>
      </c>
      <c r="AX72" s="395">
        <f t="shared" si="231"/>
        <v>0.81280474732622821</v>
      </c>
      <c r="AY72" s="396"/>
      <c r="AZ72" s="207"/>
      <c r="BA72" s="922"/>
      <c r="BB72" s="394">
        <f t="shared" si="232"/>
        <v>0.69897467455737106</v>
      </c>
      <c r="BC72" s="394">
        <f t="shared" si="232"/>
        <v>0.8389616662502305</v>
      </c>
      <c r="BD72" s="394">
        <f t="shared" si="232"/>
        <v>0.77528759887623155</v>
      </c>
      <c r="BE72" s="394">
        <f t="shared" si="232"/>
        <v>0.75883199788506306</v>
      </c>
      <c r="BF72" s="394">
        <f t="shared" si="232"/>
        <v>0.88917208474410958</v>
      </c>
      <c r="BG72" s="394">
        <f t="shared" si="232"/>
        <v>0.73354440082287464</v>
      </c>
      <c r="BH72" s="394">
        <f t="shared" si="232"/>
        <v>0.78729377397650679</v>
      </c>
      <c r="BI72" s="394">
        <f t="shared" si="232"/>
        <v>0.86215372680571012</v>
      </c>
      <c r="BJ72" s="394">
        <f t="shared" si="232"/>
        <v>0.85495693395306904</v>
      </c>
      <c r="BK72" s="394">
        <f t="shared" si="232"/>
        <v>0.85725701092882634</v>
      </c>
      <c r="BL72" s="394">
        <f t="shared" si="232"/>
        <v>0.87392618678740364</v>
      </c>
      <c r="BM72" s="394">
        <f t="shared" si="232"/>
        <v>0.7845318573423119</v>
      </c>
      <c r="BN72" s="395">
        <f t="shared" si="232"/>
        <v>0.83735342257818046</v>
      </c>
      <c r="BO72" s="922"/>
      <c r="BP72" s="394">
        <f t="shared" si="233"/>
        <v>0.85519828968251144</v>
      </c>
      <c r="BQ72" s="394">
        <f t="shared" si="233"/>
        <v>0.85737594006430085</v>
      </c>
      <c r="BR72" s="394">
        <f t="shared" si="233"/>
        <v>0.84660868968548542</v>
      </c>
      <c r="BS72" s="394">
        <f t="shared" si="233"/>
        <v>0.87196536393575763</v>
      </c>
      <c r="BT72" s="394">
        <f t="shared" si="233"/>
        <v>0.83913918669131726</v>
      </c>
      <c r="BU72" s="394">
        <f t="shared" si="233"/>
        <v>0.84227191438863314</v>
      </c>
      <c r="BV72" s="394">
        <f t="shared" si="233"/>
        <v>0.84847025039052437</v>
      </c>
      <c r="BW72" s="394">
        <f t="shared" si="233"/>
        <v>0.83541568688680656</v>
      </c>
      <c r="BX72" s="394">
        <f t="shared" si="233"/>
        <v>0.85100070165397057</v>
      </c>
      <c r="BY72" s="394">
        <f t="shared" si="233"/>
        <v>0.85099557855926433</v>
      </c>
      <c r="BZ72" s="394">
        <f t="shared" si="233"/>
        <v>0.86852480448488001</v>
      </c>
      <c r="CA72" s="394">
        <f t="shared" si="233"/>
        <v>0.82545359804480067</v>
      </c>
      <c r="CB72" s="395">
        <f t="shared" si="233"/>
        <v>0.84316769357254762</v>
      </c>
      <c r="CC72" s="396"/>
      <c r="CD72" s="207"/>
      <c r="CE72" s="199"/>
      <c r="CF72" s="394">
        <f t="shared" si="234"/>
        <v>0.85805987639874881</v>
      </c>
      <c r="CG72" s="394">
        <f t="shared" si="234"/>
        <v>0.86136521789716225</v>
      </c>
      <c r="CH72" s="394">
        <f t="shared" si="234"/>
        <v>0.87607343376814983</v>
      </c>
      <c r="CI72" s="394">
        <f t="shared" si="234"/>
        <v>0.88130979919812857</v>
      </c>
      <c r="CJ72" s="394">
        <f t="shared" si="234"/>
        <v>0.856271181076109</v>
      </c>
      <c r="CK72" s="394">
        <f t="shared" si="234"/>
        <v>0.90318650455996141</v>
      </c>
      <c r="CL72" s="394">
        <f t="shared" si="234"/>
        <v>0.82533528301177961</v>
      </c>
      <c r="CM72" s="394">
        <f t="shared" si="234"/>
        <v>0.86143831227879797</v>
      </c>
      <c r="CN72" s="394">
        <f t="shared" si="234"/>
        <v>0.78568825175138335</v>
      </c>
      <c r="CO72" s="394">
        <f t="shared" si="234"/>
        <v>0.76484771958536391</v>
      </c>
      <c r="CP72" s="394">
        <f t="shared" si="234"/>
        <v>0.80653787183913617</v>
      </c>
      <c r="CQ72" s="394">
        <f t="shared" si="234"/>
        <v>0.86869843774564115</v>
      </c>
      <c r="CR72" s="397"/>
      <c r="CS72" s="395">
        <f t="shared" si="235"/>
        <v>0.84027981977024568</v>
      </c>
      <c r="CT72" s="396"/>
      <c r="CU72" s="207"/>
      <c r="CV72" s="202"/>
      <c r="CW72" s="394">
        <f t="shared" si="236"/>
        <v>0.82941784459775514</v>
      </c>
      <c r="CX72" s="394">
        <f t="shared" si="236"/>
        <v>0.84240948684118511</v>
      </c>
      <c r="CY72" s="394">
        <f t="shared" si="236"/>
        <v>0.84252704199837247</v>
      </c>
      <c r="CZ72" s="394">
        <f t="shared" si="236"/>
        <v>0.79656959827964235</v>
      </c>
      <c r="DA72" s="394">
        <f t="shared" si="236"/>
        <v>0.92712559708929865</v>
      </c>
      <c r="DB72" s="394">
        <f t="shared" si="236"/>
        <v>0.88770669610106823</v>
      </c>
      <c r="DC72" s="394">
        <f t="shared" si="236"/>
        <v>0.84577346165076173</v>
      </c>
      <c r="DD72" s="394">
        <f t="shared" si="236"/>
        <v>0.81847300873536044</v>
      </c>
      <c r="DE72" s="394">
        <f t="shared" si="236"/>
        <v>0.8371865903159007</v>
      </c>
      <c r="DF72" s="394">
        <f t="shared" si="236"/>
        <v>0.84892242119350902</v>
      </c>
      <c r="DG72" s="394">
        <f t="shared" si="236"/>
        <v>0.84825736117691952</v>
      </c>
      <c r="DH72" s="394">
        <f t="shared" si="236"/>
        <v>0.83715973845606972</v>
      </c>
      <c r="DI72" s="395">
        <f t="shared" si="236"/>
        <v>0.84525347145174667</v>
      </c>
      <c r="DJ72" s="202"/>
      <c r="DK72" s="394">
        <f t="shared" si="237"/>
        <v>0.77621898345356055</v>
      </c>
      <c r="DL72" s="394">
        <f t="shared" si="237"/>
        <v>0.83632612651446037</v>
      </c>
      <c r="DM72" s="394">
        <f t="shared" si="237"/>
        <v>0.78901063057887255</v>
      </c>
      <c r="DN72" s="394">
        <f t="shared" si="237"/>
        <v>0.85237383865044491</v>
      </c>
      <c r="DO72" s="394">
        <f t="shared" si="237"/>
        <v>0.85857175472073433</v>
      </c>
      <c r="DP72" s="394">
        <f t="shared" si="237"/>
        <v>0.84150192143040659</v>
      </c>
      <c r="DQ72" s="394">
        <f t="shared" si="237"/>
        <v>0.80690903766590671</v>
      </c>
      <c r="DR72" s="394">
        <f t="shared" si="237"/>
        <v>0.8529864554529305</v>
      </c>
      <c r="DS72" s="394">
        <f t="shared" si="237"/>
        <v>0.81734617212908678</v>
      </c>
      <c r="DT72" s="394">
        <f t="shared" si="237"/>
        <v>0.86280015939252164</v>
      </c>
      <c r="DU72" s="394">
        <f t="shared" si="237"/>
        <v>0.84616526924701163</v>
      </c>
      <c r="DV72" s="394">
        <f t="shared" si="237"/>
        <v>0.82557079515943876</v>
      </c>
      <c r="DW72" s="395">
        <f t="shared" si="237"/>
        <v>0.83170022621302975</v>
      </c>
      <c r="DY72" s="394">
        <f t="shared" si="238"/>
        <v>0.85302675338914469</v>
      </c>
      <c r="DZ72" s="394">
        <f t="shared" si="238"/>
        <v>0.78132095800088142</v>
      </c>
      <c r="EA72" s="394">
        <f t="shared" si="238"/>
        <v>0.80958593471868334</v>
      </c>
      <c r="EB72" s="394">
        <f t="shared" si="238"/>
        <v>0.78694722151024654</v>
      </c>
      <c r="EC72" s="394">
        <f t="shared" si="238"/>
        <v>0.81604556199161893</v>
      </c>
      <c r="ED72" s="394">
        <f t="shared" si="238"/>
        <v>0.88095704723771551</v>
      </c>
      <c r="EE72" s="394">
        <f t="shared" si="238"/>
        <v>0.80916720264549225</v>
      </c>
      <c r="EF72" s="394">
        <f t="shared" si="238"/>
        <v>0.83426517556109026</v>
      </c>
      <c r="EG72" s="394">
        <f t="shared" si="238"/>
        <v>0.8627227974470828</v>
      </c>
      <c r="EH72" s="394">
        <f t="shared" si="238"/>
        <v>0.79973815448411001</v>
      </c>
      <c r="EI72" s="394">
        <f t="shared" si="238"/>
        <v>0.81281276067557007</v>
      </c>
      <c r="EJ72" s="394">
        <f t="shared" si="238"/>
        <v>0.84735178203533534</v>
      </c>
      <c r="EK72" s="395">
        <f t="shared" si="238"/>
        <v>0.82734114430494565</v>
      </c>
      <c r="EL72" s="164"/>
      <c r="EM72" s="394">
        <f t="shared" si="239"/>
        <v>0.85600993537119829</v>
      </c>
      <c r="EN72" s="394">
        <f t="shared" si="239"/>
        <v>0.82983413201267942</v>
      </c>
      <c r="EO72" s="394">
        <f t="shared" si="239"/>
        <v>0.82229375299341656</v>
      </c>
      <c r="EP72" s="394">
        <f t="shared" si="239"/>
        <v>0.85873521057826319</v>
      </c>
      <c r="EQ72" s="394">
        <f t="shared" si="239"/>
        <v>0.83373338929364627</v>
      </c>
      <c r="ER72" s="394">
        <f t="shared" si="239"/>
        <v>0.80952473675602865</v>
      </c>
      <c r="ES72" s="394">
        <f t="shared" si="239"/>
        <v>0.816300353717755</v>
      </c>
      <c r="ET72" s="394">
        <f t="shared" si="239"/>
        <v>0.81701893263732095</v>
      </c>
      <c r="EU72" s="394">
        <f t="shared" si="239"/>
        <v>0.85873521057826319</v>
      </c>
      <c r="EV72" s="394">
        <f t="shared" si="239"/>
        <v>0.83478992919212847</v>
      </c>
      <c r="EW72" s="394">
        <f t="shared" si="239"/>
        <v>0.82536396553693159</v>
      </c>
      <c r="EX72" s="394">
        <f t="shared" si="239"/>
        <v>0.82849313840253813</v>
      </c>
      <c r="EY72" s="395">
        <f t="shared" si="239"/>
        <v>0.83164851506713067</v>
      </c>
      <c r="EZ72" s="164"/>
    </row>
    <row r="73" spans="1:156" s="173" customFormat="1" ht="16.5" customHeight="1">
      <c r="A73" s="175">
        <v>0.52</v>
      </c>
      <c r="B73" s="174"/>
      <c r="C73" s="321" t="s">
        <v>1076</v>
      </c>
      <c r="D73" s="174"/>
      <c r="E73" s="199"/>
      <c r="F73" s="199" t="s">
        <v>91</v>
      </c>
      <c r="G73" s="199"/>
      <c r="H73" s="394" t="str">
        <f t="shared" ref="H73:R73" si="247">IFERROR(((H41-H51)/H41),"-")</f>
        <v>-</v>
      </c>
      <c r="I73" s="394" t="str">
        <f t="shared" si="247"/>
        <v>-</v>
      </c>
      <c r="J73" s="394" t="str">
        <f t="shared" si="247"/>
        <v>-</v>
      </c>
      <c r="K73" s="394" t="str">
        <f t="shared" si="247"/>
        <v>-</v>
      </c>
      <c r="L73" s="394" t="str">
        <f t="shared" si="247"/>
        <v>-</v>
      </c>
      <c r="M73" s="394" t="str">
        <f t="shared" si="247"/>
        <v>-</v>
      </c>
      <c r="N73" s="394" t="str">
        <f t="shared" si="247"/>
        <v>-</v>
      </c>
      <c r="O73" s="394" t="str">
        <f t="shared" si="247"/>
        <v>-</v>
      </c>
      <c r="P73" s="394" t="str">
        <f t="shared" si="247"/>
        <v>-</v>
      </c>
      <c r="Q73" s="394" t="str">
        <f t="shared" si="247"/>
        <v>-</v>
      </c>
      <c r="R73" s="394" t="str">
        <f t="shared" si="247"/>
        <v>-</v>
      </c>
      <c r="S73" s="394">
        <f>IFERROR(((S41-S51)/S41),"-")</f>
        <v>0.57644948812827235</v>
      </c>
      <c r="T73" s="395">
        <f t="shared" ref="T73" si="248">IFERROR(((T41-T51)/T41),"-")</f>
        <v>0.57644948812827235</v>
      </c>
      <c r="U73" s="396"/>
      <c r="V73" s="207"/>
      <c r="W73" s="922"/>
      <c r="X73" s="394">
        <f t="shared" ref="X73:AJ73" si="249">IFERROR(((X41-X51)/X41),"-")</f>
        <v>0.40678261998656046</v>
      </c>
      <c r="Y73" s="394">
        <f t="shared" si="249"/>
        <v>0.56145529322988952</v>
      </c>
      <c r="Z73" s="394">
        <f t="shared" si="249"/>
        <v>0.59580595802657166</v>
      </c>
      <c r="AA73" s="394">
        <f t="shared" si="249"/>
        <v>0.54987100562900659</v>
      </c>
      <c r="AB73" s="394">
        <f t="shared" si="249"/>
        <v>0.4875907671487254</v>
      </c>
      <c r="AC73" s="394">
        <f t="shared" si="249"/>
        <v>0.63764030595268895</v>
      </c>
      <c r="AD73" s="394">
        <f t="shared" si="249"/>
        <v>0.41113777610681912</v>
      </c>
      <c r="AE73" s="394">
        <f t="shared" si="249"/>
        <v>0.5175841316540245</v>
      </c>
      <c r="AF73" s="394">
        <f t="shared" si="249"/>
        <v>0.67725412759587011</v>
      </c>
      <c r="AG73" s="394">
        <f t="shared" si="249"/>
        <v>0.68464732031448794</v>
      </c>
      <c r="AH73" s="394">
        <f t="shared" si="249"/>
        <v>0.67006388687881202</v>
      </c>
      <c r="AI73" s="394">
        <f t="shared" si="249"/>
        <v>0.45085159340766695</v>
      </c>
      <c r="AJ73" s="395">
        <f t="shared" si="249"/>
        <v>0.57644948812827235</v>
      </c>
      <c r="AK73" s="922"/>
      <c r="AL73" s="394" t="str">
        <f t="shared" si="231"/>
        <v>-</v>
      </c>
      <c r="AM73" s="394" t="str">
        <f t="shared" si="231"/>
        <v>-</v>
      </c>
      <c r="AN73" s="394" t="str">
        <f t="shared" si="231"/>
        <v>-</v>
      </c>
      <c r="AO73" s="394" t="str">
        <f t="shared" si="231"/>
        <v>-</v>
      </c>
      <c r="AP73" s="394" t="str">
        <f t="shared" si="231"/>
        <v>-</v>
      </c>
      <c r="AQ73" s="394" t="str">
        <f t="shared" si="231"/>
        <v>-</v>
      </c>
      <c r="AR73" s="394" t="str">
        <f t="shared" si="231"/>
        <v>-</v>
      </c>
      <c r="AS73" s="394" t="str">
        <f t="shared" si="231"/>
        <v>-</v>
      </c>
      <c r="AT73" s="394" t="str">
        <f t="shared" si="231"/>
        <v>-</v>
      </c>
      <c r="AU73" s="394" t="str">
        <f t="shared" si="231"/>
        <v>-</v>
      </c>
      <c r="AV73" s="394" t="str">
        <f t="shared" si="231"/>
        <v>-</v>
      </c>
      <c r="AW73" s="394">
        <f>IFERROR(((AW41-AW51)/AW41),"-")</f>
        <v>0.53852245786377506</v>
      </c>
      <c r="AX73" s="395">
        <f t="shared" si="231"/>
        <v>0.53852245786377506</v>
      </c>
      <c r="AY73" s="396"/>
      <c r="AZ73" s="207"/>
      <c r="BA73" s="922"/>
      <c r="BB73" s="394">
        <f t="shared" si="232"/>
        <v>0.55276804564917215</v>
      </c>
      <c r="BC73" s="394">
        <f t="shared" si="232"/>
        <v>0.59127558104732292</v>
      </c>
      <c r="BD73" s="394">
        <f t="shared" si="232"/>
        <v>0.61682117173006112</v>
      </c>
      <c r="BE73" s="394">
        <f t="shared" si="232"/>
        <v>0.47662287619869598</v>
      </c>
      <c r="BF73" s="394">
        <f t="shared" si="232"/>
        <v>0.5695319924129757</v>
      </c>
      <c r="BG73" s="394">
        <f t="shared" si="232"/>
        <v>0.61336093492279709</v>
      </c>
      <c r="BH73" s="394">
        <f t="shared" si="232"/>
        <v>0.57268777789790659</v>
      </c>
      <c r="BI73" s="394">
        <f t="shared" si="232"/>
        <v>0.61942179876117465</v>
      </c>
      <c r="BJ73" s="394">
        <f t="shared" si="232"/>
        <v>0.58104315225043213</v>
      </c>
      <c r="BK73" s="394">
        <f t="shared" si="232"/>
        <v>0.44415511774752248</v>
      </c>
      <c r="BL73" s="394">
        <f t="shared" si="232"/>
        <v>0.48640551258518816</v>
      </c>
      <c r="BM73" s="394">
        <f t="shared" si="232"/>
        <v>0.22467416040884969</v>
      </c>
      <c r="BN73" s="395">
        <f t="shared" si="232"/>
        <v>0.53852245786377506</v>
      </c>
      <c r="BO73" s="922"/>
      <c r="BP73" s="394">
        <f t="shared" si="233"/>
        <v>0.65220760641393238</v>
      </c>
      <c r="BQ73" s="394">
        <f t="shared" si="233"/>
        <v>0.65220760641393238</v>
      </c>
      <c r="BR73" s="394">
        <f t="shared" si="233"/>
        <v>0.65220760641393238</v>
      </c>
      <c r="BS73" s="394">
        <f t="shared" si="233"/>
        <v>0.65220760641393238</v>
      </c>
      <c r="BT73" s="394">
        <f t="shared" si="233"/>
        <v>0.65220760641393238</v>
      </c>
      <c r="BU73" s="394">
        <f t="shared" si="233"/>
        <v>0.65220760641393238</v>
      </c>
      <c r="BV73" s="394">
        <f t="shared" si="233"/>
        <v>0.65220760641393238</v>
      </c>
      <c r="BW73" s="394">
        <f t="shared" si="233"/>
        <v>0.65220760641393238</v>
      </c>
      <c r="BX73" s="394">
        <f t="shared" si="233"/>
        <v>0.65220760641393238</v>
      </c>
      <c r="BY73" s="394">
        <f t="shared" si="233"/>
        <v>0.65220760641393238</v>
      </c>
      <c r="BZ73" s="394">
        <f t="shared" si="233"/>
        <v>0.65220760641393238</v>
      </c>
      <c r="CA73" s="394">
        <f t="shared" si="233"/>
        <v>0.65220760641393238</v>
      </c>
      <c r="CB73" s="395">
        <f t="shared" si="233"/>
        <v>0.65220760641393238</v>
      </c>
      <c r="CC73" s="396"/>
      <c r="CD73" s="207"/>
      <c r="CE73" s="199"/>
      <c r="CF73" s="394" t="str">
        <f t="shared" si="234"/>
        <v>-</v>
      </c>
      <c r="CG73" s="394" t="str">
        <f t="shared" si="234"/>
        <v>-</v>
      </c>
      <c r="CH73" s="394">
        <f t="shared" si="234"/>
        <v>0.79263707779799775</v>
      </c>
      <c r="CI73" s="394">
        <f t="shared" si="234"/>
        <v>0.79386010381080152</v>
      </c>
      <c r="CJ73" s="394">
        <f t="shared" si="234"/>
        <v>0.81105988433916154</v>
      </c>
      <c r="CK73" s="394">
        <f t="shared" si="234"/>
        <v>0.648291894329319</v>
      </c>
      <c r="CL73" s="394">
        <f t="shared" si="234"/>
        <v>0.55653287971437537</v>
      </c>
      <c r="CM73" s="394">
        <f t="shared" si="234"/>
        <v>0.63730601388581976</v>
      </c>
      <c r="CN73" s="394">
        <f t="shared" si="234"/>
        <v>0.65203002375129715</v>
      </c>
      <c r="CO73" s="394">
        <f t="shared" si="234"/>
        <v>0.66271679388907623</v>
      </c>
      <c r="CP73" s="394">
        <f t="shared" si="234"/>
        <v>0.70901711341264329</v>
      </c>
      <c r="CQ73" s="394">
        <f t="shared" si="234"/>
        <v>0.48413947891804882</v>
      </c>
      <c r="CR73" s="397"/>
      <c r="CS73" s="395">
        <v>0</v>
      </c>
      <c r="CT73" s="396"/>
      <c r="CU73" s="207"/>
      <c r="CV73" s="202"/>
      <c r="CW73" s="394" t="str">
        <f t="shared" si="236"/>
        <v>-</v>
      </c>
      <c r="CX73" s="394" t="str">
        <f t="shared" si="236"/>
        <v>-</v>
      </c>
      <c r="CY73" s="394">
        <f t="shared" si="236"/>
        <v>1</v>
      </c>
      <c r="CZ73" s="394" t="str">
        <f t="shared" si="236"/>
        <v>-</v>
      </c>
      <c r="DA73" s="394" t="str">
        <f t="shared" si="236"/>
        <v>-</v>
      </c>
      <c r="DB73" s="394" t="str">
        <f t="shared" si="236"/>
        <v>-</v>
      </c>
      <c r="DC73" s="394" t="str">
        <f t="shared" si="236"/>
        <v>-</v>
      </c>
      <c r="DD73" s="394" t="str">
        <f t="shared" si="236"/>
        <v>-</v>
      </c>
      <c r="DE73" s="394" t="str">
        <f t="shared" si="236"/>
        <v>-</v>
      </c>
      <c r="DF73" s="394" t="str">
        <f t="shared" si="236"/>
        <v>-</v>
      </c>
      <c r="DG73" s="394" t="str">
        <f t="shared" si="236"/>
        <v>-</v>
      </c>
      <c r="DH73" s="394" t="str">
        <f t="shared" si="236"/>
        <v>-</v>
      </c>
      <c r="DI73" s="395">
        <f t="shared" si="236"/>
        <v>2</v>
      </c>
      <c r="DJ73" s="202"/>
      <c r="DK73" s="394">
        <f t="shared" si="237"/>
        <v>0.84821445406037299</v>
      </c>
      <c r="DL73" s="394">
        <f t="shared" si="237"/>
        <v>-1.8197539075490521</v>
      </c>
      <c r="DM73" s="394">
        <f t="shared" si="237"/>
        <v>0.39551475186174745</v>
      </c>
      <c r="DN73" s="394">
        <f t="shared" si="237"/>
        <v>0.48369818351187704</v>
      </c>
      <c r="DO73" s="394">
        <f t="shared" si="237"/>
        <v>0.47535671650275713</v>
      </c>
      <c r="DP73" s="394">
        <f t="shared" si="237"/>
        <v>0.47463191404695582</v>
      </c>
      <c r="DQ73" s="394" t="str">
        <f t="shared" si="237"/>
        <v>-</v>
      </c>
      <c r="DR73" s="394">
        <f t="shared" si="237"/>
        <v>0.44161589568285825</v>
      </c>
      <c r="DS73" s="394" t="str">
        <f t="shared" si="237"/>
        <v>-</v>
      </c>
      <c r="DT73" s="394">
        <f t="shared" si="237"/>
        <v>0.44144717296847874</v>
      </c>
      <c r="DU73" s="394">
        <f t="shared" si="237"/>
        <v>1</v>
      </c>
      <c r="DV73" s="394" t="str">
        <f t="shared" si="237"/>
        <v>-</v>
      </c>
      <c r="DW73" s="395">
        <f t="shared" si="237"/>
        <v>39.692970517610412</v>
      </c>
      <c r="DY73" s="394">
        <f t="shared" si="238"/>
        <v>1.4322440520088128E-2</v>
      </c>
      <c r="DZ73" s="394">
        <f t="shared" si="238"/>
        <v>1.1203021897225669</v>
      </c>
      <c r="EA73" s="394">
        <f t="shared" si="238"/>
        <v>-0.19786488332372812</v>
      </c>
      <c r="EB73" s="394">
        <f t="shared" si="238"/>
        <v>1.4913259359953519</v>
      </c>
      <c r="EC73" s="394">
        <f t="shared" si="238"/>
        <v>1.49949557617609</v>
      </c>
      <c r="ED73" s="394">
        <f t="shared" si="238"/>
        <v>9.873090544053266E-2</v>
      </c>
      <c r="EE73" s="394">
        <f t="shared" si="238"/>
        <v>-0.14078503622283275</v>
      </c>
      <c r="EF73" s="394">
        <f t="shared" si="238"/>
        <v>0.48251302516350736</v>
      </c>
      <c r="EG73" s="394">
        <f t="shared" si="238"/>
        <v>0.41540250447227189</v>
      </c>
      <c r="EH73" s="394">
        <f t="shared" si="238"/>
        <v>1.0039371871884537</v>
      </c>
      <c r="EI73" s="394" t="str">
        <f t="shared" si="238"/>
        <v>-</v>
      </c>
      <c r="EJ73" s="394">
        <f t="shared" si="238"/>
        <v>1</v>
      </c>
      <c r="EK73" s="395">
        <f t="shared" si="238"/>
        <v>4.1775766498649647</v>
      </c>
      <c r="EL73" s="164"/>
      <c r="EM73" s="394">
        <f t="shared" si="239"/>
        <v>3.4550809972223178</v>
      </c>
      <c r="EN73" s="394">
        <f t="shared" si="239"/>
        <v>3.4550809972223178</v>
      </c>
      <c r="EO73" s="394">
        <f t="shared" si="239"/>
        <v>3.4550809972223182</v>
      </c>
      <c r="EP73" s="394">
        <f t="shared" si="239"/>
        <v>3.4550809972223182</v>
      </c>
      <c r="EQ73" s="394">
        <f t="shared" si="239"/>
        <v>3.4550809972223178</v>
      </c>
      <c r="ER73" s="394">
        <f t="shared" si="239"/>
        <v>3.4550809972223182</v>
      </c>
      <c r="ES73" s="394">
        <f t="shared" si="239"/>
        <v>3.4550809972223178</v>
      </c>
      <c r="ET73" s="394">
        <f t="shared" si="239"/>
        <v>3.4550809972223182</v>
      </c>
      <c r="EU73" s="394">
        <f t="shared" si="239"/>
        <v>3.4550809972223178</v>
      </c>
      <c r="EV73" s="394">
        <f t="shared" si="239"/>
        <v>3.4550809972223182</v>
      </c>
      <c r="EW73" s="394">
        <f t="shared" si="239"/>
        <v>3.4550809972223182</v>
      </c>
      <c r="EX73" s="394">
        <f t="shared" si="239"/>
        <v>3.4550809972223178</v>
      </c>
      <c r="EY73" s="395">
        <f t="shared" si="239"/>
        <v>3.4550809972223182</v>
      </c>
      <c r="EZ73" s="164"/>
    </row>
    <row r="74" spans="1:156" s="173" customFormat="1" ht="16.5" customHeight="1">
      <c r="A74" s="173">
        <f>1-(SUM(DY52:EF52)/SUM(DY42:EF42))</f>
        <v>0.56106756018147474</v>
      </c>
      <c r="B74" s="174"/>
      <c r="C74" s="199" t="s">
        <v>1075</v>
      </c>
      <c r="D74" s="174"/>
      <c r="E74" s="199"/>
      <c r="F74" s="199" t="s">
        <v>1197</v>
      </c>
      <c r="G74" s="199"/>
      <c r="H74" s="394" t="str">
        <f t="shared" ref="H74:T74" si="250">IFERROR(((H42-H52)/H42),"-")</f>
        <v>-</v>
      </c>
      <c r="I74" s="394" t="str">
        <f t="shared" si="250"/>
        <v>-</v>
      </c>
      <c r="J74" s="394" t="str">
        <f t="shared" si="250"/>
        <v>-</v>
      </c>
      <c r="K74" s="394" t="str">
        <f t="shared" si="250"/>
        <v>-</v>
      </c>
      <c r="L74" s="394" t="str">
        <f t="shared" si="250"/>
        <v>-</v>
      </c>
      <c r="M74" s="394" t="str">
        <f t="shared" si="250"/>
        <v>-</v>
      </c>
      <c r="N74" s="394" t="str">
        <f t="shared" si="250"/>
        <v>-</v>
      </c>
      <c r="O74" s="394" t="str">
        <f t="shared" si="250"/>
        <v>-</v>
      </c>
      <c r="P74" s="394" t="str">
        <f t="shared" si="250"/>
        <v>-</v>
      </c>
      <c r="Q74" s="394" t="str">
        <f t="shared" si="250"/>
        <v>-</v>
      </c>
      <c r="R74" s="394" t="str">
        <f t="shared" si="250"/>
        <v>-</v>
      </c>
      <c r="S74" s="394">
        <f t="shared" si="250"/>
        <v>0.61895788770081495</v>
      </c>
      <c r="T74" s="395">
        <f t="shared" si="250"/>
        <v>0.61895788770081495</v>
      </c>
      <c r="U74" s="396"/>
      <c r="V74" s="207"/>
      <c r="W74" s="922"/>
      <c r="X74" s="394">
        <f t="shared" ref="X74:AJ74" si="251">IFERROR(((X42-X52)/X42),"-")</f>
        <v>0.59880589016233521</v>
      </c>
      <c r="Y74" s="394">
        <f t="shared" si="251"/>
        <v>0.62586380152961674</v>
      </c>
      <c r="Z74" s="394">
        <f t="shared" si="251"/>
        <v>0.62457184403234955</v>
      </c>
      <c r="AA74" s="394">
        <f t="shared" si="251"/>
        <v>0.62407532135883481</v>
      </c>
      <c r="AB74" s="394">
        <f t="shared" si="251"/>
        <v>0.58174045614776271</v>
      </c>
      <c r="AC74" s="394">
        <f t="shared" si="251"/>
        <v>0.62243122048650334</v>
      </c>
      <c r="AD74" s="394">
        <f t="shared" si="251"/>
        <v>0.61015506563809374</v>
      </c>
      <c r="AE74" s="394">
        <f t="shared" si="251"/>
        <v>0.60531328514524319</v>
      </c>
      <c r="AF74" s="394">
        <f t="shared" si="251"/>
        <v>0.61649239145193424</v>
      </c>
      <c r="AG74" s="394">
        <f t="shared" si="251"/>
        <v>0.63309494972059577</v>
      </c>
      <c r="AH74" s="394">
        <f t="shared" si="251"/>
        <v>0.63586998377270099</v>
      </c>
      <c r="AI74" s="394">
        <f t="shared" si="251"/>
        <v>0.6374893010844267</v>
      </c>
      <c r="AJ74" s="395">
        <f t="shared" si="251"/>
        <v>0.61895788770081483</v>
      </c>
      <c r="AK74" s="922"/>
      <c r="AL74" s="394" t="str">
        <f t="shared" si="231"/>
        <v>-</v>
      </c>
      <c r="AM74" s="394" t="str">
        <f t="shared" si="231"/>
        <v>-</v>
      </c>
      <c r="AN74" s="394" t="str">
        <f t="shared" si="231"/>
        <v>-</v>
      </c>
      <c r="AO74" s="394" t="str">
        <f t="shared" si="231"/>
        <v>-</v>
      </c>
      <c r="AP74" s="394" t="str">
        <f t="shared" si="231"/>
        <v>-</v>
      </c>
      <c r="AQ74" s="394" t="str">
        <f t="shared" si="231"/>
        <v>-</v>
      </c>
      <c r="AR74" s="394" t="str">
        <f t="shared" si="231"/>
        <v>-</v>
      </c>
      <c r="AS74" s="394" t="str">
        <f t="shared" si="231"/>
        <v>-</v>
      </c>
      <c r="AT74" s="394" t="str">
        <f t="shared" si="231"/>
        <v>-</v>
      </c>
      <c r="AU74" s="394" t="str">
        <f t="shared" si="231"/>
        <v>-</v>
      </c>
      <c r="AV74" s="394" t="str">
        <f t="shared" si="231"/>
        <v>-</v>
      </c>
      <c r="AW74" s="394">
        <f t="shared" si="231"/>
        <v>0.6191614786534283</v>
      </c>
      <c r="AX74" s="395">
        <f t="shared" si="231"/>
        <v>0.6191614786534283</v>
      </c>
      <c r="AY74" s="396"/>
      <c r="AZ74" s="207"/>
      <c r="BA74" s="922"/>
      <c r="BB74" s="394">
        <f t="shared" si="232"/>
        <v>0.61008051974198652</v>
      </c>
      <c r="BC74" s="394">
        <f t="shared" si="232"/>
        <v>0.62371678976857792</v>
      </c>
      <c r="BD74" s="394">
        <f t="shared" si="232"/>
        <v>0.6209235825772933</v>
      </c>
      <c r="BE74" s="394">
        <f t="shared" si="232"/>
        <v>0.62460006481942143</v>
      </c>
      <c r="BF74" s="394">
        <f t="shared" si="232"/>
        <v>0.62881899235656302</v>
      </c>
      <c r="BG74" s="394">
        <f t="shared" si="232"/>
        <v>0.62621314718252419</v>
      </c>
      <c r="BH74" s="394">
        <f t="shared" si="232"/>
        <v>0.62486128792071571</v>
      </c>
      <c r="BI74" s="394">
        <f t="shared" si="232"/>
        <v>0.59980048727725865</v>
      </c>
      <c r="BJ74" s="394">
        <f t="shared" si="232"/>
        <v>0.61670089110126802</v>
      </c>
      <c r="BK74" s="394">
        <f t="shared" si="232"/>
        <v>0.61705158298280993</v>
      </c>
      <c r="BL74" s="394">
        <f t="shared" si="232"/>
        <v>0.61973707767414377</v>
      </c>
      <c r="BM74" s="394">
        <f t="shared" si="232"/>
        <v>0.62107716043936789</v>
      </c>
      <c r="BN74" s="395">
        <f t="shared" si="232"/>
        <v>0.6191614786534283</v>
      </c>
      <c r="BO74" s="922"/>
      <c r="BP74" s="394">
        <f t="shared" si="233"/>
        <v>0.59676305768207349</v>
      </c>
      <c r="BQ74" s="394">
        <f t="shared" si="233"/>
        <v>0.59676305768207349</v>
      </c>
      <c r="BR74" s="394">
        <f t="shared" si="233"/>
        <v>0.59676305768207349</v>
      </c>
      <c r="BS74" s="394">
        <f t="shared" si="233"/>
        <v>0.59676305768207349</v>
      </c>
      <c r="BT74" s="394">
        <f t="shared" si="233"/>
        <v>0.59676305768207349</v>
      </c>
      <c r="BU74" s="394">
        <f t="shared" si="233"/>
        <v>0.59676305768207349</v>
      </c>
      <c r="BV74" s="394">
        <f t="shared" si="233"/>
        <v>0.59676305768207349</v>
      </c>
      <c r="BW74" s="394">
        <f t="shared" si="233"/>
        <v>0.59676305768207349</v>
      </c>
      <c r="BX74" s="394">
        <f t="shared" si="233"/>
        <v>0.59676305768207349</v>
      </c>
      <c r="BY74" s="394">
        <f t="shared" si="233"/>
        <v>0.59676305768207349</v>
      </c>
      <c r="BZ74" s="394">
        <f t="shared" si="233"/>
        <v>0.59676305768207349</v>
      </c>
      <c r="CA74" s="394">
        <f t="shared" si="233"/>
        <v>0.59676305768207349</v>
      </c>
      <c r="CB74" s="395">
        <f t="shared" si="233"/>
        <v>0.59676305768207338</v>
      </c>
      <c r="CC74" s="396"/>
      <c r="CD74" s="207"/>
      <c r="CE74" s="199"/>
      <c r="CF74" s="394">
        <f t="shared" si="234"/>
        <v>0.52213928344134053</v>
      </c>
      <c r="CG74" s="394">
        <f t="shared" si="234"/>
        <v>0.61999336907208069</v>
      </c>
      <c r="CH74" s="394">
        <f t="shared" si="234"/>
        <v>0.60701027599131796</v>
      </c>
      <c r="CI74" s="394">
        <f t="shared" si="234"/>
        <v>0.60087015271392041</v>
      </c>
      <c r="CJ74" s="394">
        <f t="shared" si="234"/>
        <v>0.58252847263926777</v>
      </c>
      <c r="CK74" s="394">
        <f t="shared" si="234"/>
        <v>0.59963880565164895</v>
      </c>
      <c r="CL74" s="394">
        <f t="shared" si="234"/>
        <v>0.59322669035089726</v>
      </c>
      <c r="CM74" s="394">
        <f t="shared" si="234"/>
        <v>0.59820897425592223</v>
      </c>
      <c r="CN74" s="394">
        <f t="shared" si="234"/>
        <v>0.60226174547565059</v>
      </c>
      <c r="CO74" s="394">
        <f t="shared" si="234"/>
        <v>0.60612997984790606</v>
      </c>
      <c r="CP74" s="394">
        <f t="shared" si="234"/>
        <v>0.61824102232470135</v>
      </c>
      <c r="CQ74" s="394">
        <f t="shared" si="234"/>
        <v>0.60823480168114563</v>
      </c>
      <c r="CR74" s="397"/>
      <c r="CS74" s="395">
        <f t="shared" si="235"/>
        <v>0.59676305768207349</v>
      </c>
      <c r="CT74" s="396"/>
      <c r="CU74" s="207"/>
      <c r="CV74" s="202"/>
      <c r="CW74" s="394">
        <f t="shared" si="236"/>
        <v>0.62381429101649766</v>
      </c>
      <c r="CX74" s="394">
        <f t="shared" si="236"/>
        <v>0.59380593650763902</v>
      </c>
      <c r="CY74" s="394">
        <f t="shared" si="236"/>
        <v>0.58759387967153653</v>
      </c>
      <c r="CZ74" s="394">
        <f t="shared" si="236"/>
        <v>0.54458810164073534</v>
      </c>
      <c r="DA74" s="394">
        <f t="shared" si="236"/>
        <v>0.61252537211571367</v>
      </c>
      <c r="DB74" s="394">
        <f t="shared" si="236"/>
        <v>0.60774560392844112</v>
      </c>
      <c r="DC74" s="394">
        <f t="shared" si="236"/>
        <v>0.59397364210086756</v>
      </c>
      <c r="DD74" s="394">
        <f t="shared" si="236"/>
        <v>0.59603479249275337</v>
      </c>
      <c r="DE74" s="394">
        <f t="shared" si="236"/>
        <v>0.59739202370378519</v>
      </c>
      <c r="DF74" s="394">
        <f t="shared" si="236"/>
        <v>0.58307586059016125</v>
      </c>
      <c r="DG74" s="394">
        <f t="shared" si="236"/>
        <v>0.56187037167482623</v>
      </c>
      <c r="DH74" s="394">
        <f t="shared" si="236"/>
        <v>0.58222738811158214</v>
      </c>
      <c r="DI74" s="395">
        <f t="shared" si="236"/>
        <v>0.5908875642779019</v>
      </c>
      <c r="DJ74" s="202"/>
      <c r="DK74" s="394">
        <f t="shared" si="237"/>
        <v>0.5317969226103233</v>
      </c>
      <c r="DL74" s="394">
        <f t="shared" si="237"/>
        <v>0.57508581167537853</v>
      </c>
      <c r="DM74" s="394">
        <f t="shared" si="237"/>
        <v>0.5869788797791119</v>
      </c>
      <c r="DN74" s="394">
        <f t="shared" si="237"/>
        <v>0.5812397183083946</v>
      </c>
      <c r="DO74" s="394">
        <f t="shared" si="237"/>
        <v>0.59700602060952523</v>
      </c>
      <c r="DP74" s="394">
        <f t="shared" si="237"/>
        <v>0.54344658564151493</v>
      </c>
      <c r="DQ74" s="394">
        <f t="shared" si="237"/>
        <v>0.57796615161538811</v>
      </c>
      <c r="DR74" s="394">
        <f t="shared" si="237"/>
        <v>0.56254909951677068</v>
      </c>
      <c r="DS74" s="394">
        <f t="shared" si="237"/>
        <v>0.57573728155703829</v>
      </c>
      <c r="DT74" s="394">
        <f t="shared" si="237"/>
        <v>0.53987149500817599</v>
      </c>
      <c r="DU74" s="394">
        <f t="shared" si="237"/>
        <v>0.58928677839203558</v>
      </c>
      <c r="DV74" s="394">
        <f t="shared" si="237"/>
        <v>0.56878037102832513</v>
      </c>
      <c r="DW74" s="395">
        <f t="shared" si="237"/>
        <v>0.56807424222039793</v>
      </c>
      <c r="DY74" s="394">
        <f t="shared" si="238"/>
        <v>0.55500330419205524</v>
      </c>
      <c r="DZ74" s="394">
        <f t="shared" si="238"/>
        <v>0.60785314819934089</v>
      </c>
      <c r="EA74" s="394">
        <f t="shared" si="238"/>
        <v>0.56634051724070233</v>
      </c>
      <c r="EB74" s="394">
        <f t="shared" si="238"/>
        <v>0.36059261251745928</v>
      </c>
      <c r="EC74" s="394">
        <f t="shared" si="238"/>
        <v>0.63279658428417018</v>
      </c>
      <c r="ED74" s="394">
        <f t="shared" si="238"/>
        <v>0.58799390034391208</v>
      </c>
      <c r="EE74" s="394">
        <f t="shared" si="238"/>
        <v>0.48433662903161301</v>
      </c>
      <c r="EF74" s="394">
        <f t="shared" si="238"/>
        <v>0.62285359880365487</v>
      </c>
      <c r="EG74" s="394">
        <f t="shared" si="238"/>
        <v>0.54904162352760588</v>
      </c>
      <c r="EH74" s="394">
        <f t="shared" si="238"/>
        <v>0.57690600283022797</v>
      </c>
      <c r="EI74" s="394">
        <f t="shared" si="238"/>
        <v>0.53342528410703682</v>
      </c>
      <c r="EJ74" s="394">
        <f t="shared" si="238"/>
        <v>0.55624419623099342</v>
      </c>
      <c r="EK74" s="395">
        <f t="shared" si="238"/>
        <v>0.55845276811124944</v>
      </c>
      <c r="EL74" s="164"/>
      <c r="EM74" s="394">
        <f t="shared" si="239"/>
        <v>0.55092877184811817</v>
      </c>
      <c r="EN74" s="394">
        <f t="shared" si="239"/>
        <v>0.55092877184811817</v>
      </c>
      <c r="EO74" s="394">
        <f t="shared" si="239"/>
        <v>0.55092877184811817</v>
      </c>
      <c r="EP74" s="394">
        <f t="shared" si="239"/>
        <v>0.55092877184811817</v>
      </c>
      <c r="EQ74" s="394">
        <f t="shared" si="239"/>
        <v>0.55092877184811817</v>
      </c>
      <c r="ER74" s="394">
        <f t="shared" si="239"/>
        <v>0.55092877184811817</v>
      </c>
      <c r="ES74" s="394">
        <f t="shared" si="239"/>
        <v>0.55092877184811817</v>
      </c>
      <c r="ET74" s="394">
        <f t="shared" si="239"/>
        <v>0.55092877184811817</v>
      </c>
      <c r="EU74" s="394">
        <f t="shared" si="239"/>
        <v>0.55092877184811828</v>
      </c>
      <c r="EV74" s="394">
        <f t="shared" si="239"/>
        <v>0.55092877184811817</v>
      </c>
      <c r="EW74" s="394">
        <f t="shared" si="239"/>
        <v>0.55092877184811817</v>
      </c>
      <c r="EX74" s="394">
        <f t="shared" si="239"/>
        <v>0.55092877184811817</v>
      </c>
      <c r="EY74" s="395">
        <f t="shared" si="239"/>
        <v>0.55092877184811817</v>
      </c>
      <c r="EZ74" s="164"/>
    </row>
    <row r="75" spans="1:156" s="173" customFormat="1">
      <c r="B75" s="174"/>
      <c r="C75" s="174"/>
      <c r="D75" s="174"/>
      <c r="E75" s="155"/>
      <c r="F75" s="174"/>
      <c r="G75" s="174"/>
      <c r="H75" s="373"/>
      <c r="I75" s="373"/>
      <c r="J75" s="373"/>
      <c r="K75" s="373"/>
      <c r="L75" s="373"/>
      <c r="M75" s="373"/>
      <c r="N75" s="374"/>
      <c r="O75" s="373"/>
      <c r="P75" s="373"/>
      <c r="Q75" s="373"/>
      <c r="R75" s="373"/>
      <c r="S75" s="373"/>
      <c r="T75" s="375"/>
      <c r="U75" s="393"/>
      <c r="V75" s="163"/>
      <c r="W75" s="772"/>
      <c r="X75" s="373"/>
      <c r="Y75" s="373"/>
      <c r="Z75" s="373"/>
      <c r="AA75" s="373"/>
      <c r="AB75" s="373"/>
      <c r="AC75" s="373"/>
      <c r="AD75" s="374"/>
      <c r="AE75" s="373"/>
      <c r="AF75" s="373"/>
      <c r="AG75" s="373"/>
      <c r="AH75" s="373"/>
      <c r="AI75" s="373"/>
      <c r="AJ75" s="375"/>
      <c r="AK75" s="772"/>
      <c r="AL75" s="373"/>
      <c r="AM75" s="373"/>
      <c r="AN75" s="373"/>
      <c r="AO75" s="373"/>
      <c r="AP75" s="373"/>
      <c r="AQ75" s="373"/>
      <c r="AR75" s="374"/>
      <c r="AS75" s="373"/>
      <c r="AT75" s="373"/>
      <c r="AU75" s="373"/>
      <c r="AV75" s="373"/>
      <c r="AW75" s="373"/>
      <c r="AX75" s="375"/>
      <c r="AY75" s="393"/>
      <c r="AZ75" s="163"/>
      <c r="BA75" s="772"/>
      <c r="BB75" s="373"/>
      <c r="BC75" s="373"/>
      <c r="BD75" s="373"/>
      <c r="BE75" s="373"/>
      <c r="BF75" s="373"/>
      <c r="BG75" s="373"/>
      <c r="BH75" s="374"/>
      <c r="BI75" s="373"/>
      <c r="BJ75" s="373"/>
      <c r="BK75" s="373"/>
      <c r="BL75" s="373"/>
      <c r="BM75" s="373"/>
      <c r="BN75" s="375"/>
      <c r="BO75" s="772"/>
      <c r="BP75" s="373"/>
      <c r="BQ75" s="373"/>
      <c r="BR75" s="373"/>
      <c r="BS75" s="373"/>
      <c r="BT75" s="373"/>
      <c r="BU75" s="373"/>
      <c r="BV75" s="374"/>
      <c r="BW75" s="373"/>
      <c r="BX75" s="373"/>
      <c r="BY75" s="373"/>
      <c r="BZ75" s="373"/>
      <c r="CA75" s="373"/>
      <c r="CB75" s="375"/>
      <c r="CC75" s="393"/>
      <c r="CD75" s="163"/>
      <c r="CE75" s="174"/>
      <c r="CF75" s="373"/>
      <c r="CG75" s="373"/>
      <c r="CH75" s="373"/>
      <c r="CI75" s="373"/>
      <c r="CJ75" s="373"/>
      <c r="CK75" s="373"/>
      <c r="CL75" s="374"/>
      <c r="CM75" s="373"/>
      <c r="CN75" s="373"/>
      <c r="CO75" s="373"/>
      <c r="CP75" s="373"/>
      <c r="CQ75" s="373"/>
      <c r="CR75" s="376"/>
      <c r="CS75" s="375"/>
      <c r="CT75" s="393"/>
      <c r="CU75" s="163"/>
      <c r="CV75" s="323"/>
      <c r="CW75" s="373"/>
      <c r="CX75" s="373"/>
      <c r="CY75" s="373"/>
      <c r="CZ75" s="373"/>
      <c r="DA75" s="373"/>
      <c r="DB75" s="373"/>
      <c r="DC75" s="374"/>
      <c r="DD75" s="373"/>
      <c r="DE75" s="373"/>
      <c r="DF75" s="373"/>
      <c r="DG75" s="373"/>
      <c r="DH75" s="373"/>
      <c r="DI75" s="375"/>
      <c r="DJ75" s="323"/>
      <c r="DK75" s="373"/>
      <c r="DL75" s="373"/>
      <c r="DM75" s="373"/>
      <c r="DN75" s="373"/>
      <c r="DO75" s="373"/>
      <c r="DP75" s="373"/>
      <c r="DQ75" s="374"/>
      <c r="DR75" s="373"/>
      <c r="DS75" s="373"/>
      <c r="DT75" s="373"/>
      <c r="DU75" s="373"/>
      <c r="DV75" s="373"/>
      <c r="DW75" s="375"/>
      <c r="DY75" s="373"/>
      <c r="DZ75" s="373"/>
      <c r="EA75" s="373"/>
      <c r="EB75" s="373"/>
      <c r="EC75" s="373"/>
      <c r="ED75" s="373"/>
      <c r="EE75" s="374"/>
      <c r="EF75" s="373"/>
      <c r="EG75" s="373"/>
      <c r="EH75" s="373"/>
      <c r="EI75" s="373"/>
      <c r="EJ75" s="373"/>
      <c r="EK75" s="375"/>
      <c r="EL75" s="164"/>
      <c r="EM75" s="373"/>
      <c r="EN75" s="373"/>
      <c r="EO75" s="373"/>
      <c r="EP75" s="373"/>
      <c r="EQ75" s="373"/>
      <c r="ER75" s="373"/>
      <c r="ES75" s="374"/>
      <c r="ET75" s="373"/>
      <c r="EU75" s="373"/>
      <c r="EV75" s="373"/>
      <c r="EW75" s="373"/>
      <c r="EX75" s="373"/>
      <c r="EY75" s="375"/>
      <c r="EZ75" s="164"/>
    </row>
    <row r="76" spans="1:156" s="173" customFormat="1" ht="18.75" customHeight="1">
      <c r="B76" s="174"/>
      <c r="C76" s="174"/>
      <c r="D76" s="174"/>
      <c r="E76" s="155" t="s">
        <v>1074</v>
      </c>
      <c r="F76" s="174"/>
      <c r="G76" s="174"/>
      <c r="H76" s="373"/>
      <c r="I76" s="373"/>
      <c r="J76" s="373"/>
      <c r="K76" s="373"/>
      <c r="L76" s="373"/>
      <c r="M76" s="373"/>
      <c r="N76" s="374"/>
      <c r="O76" s="373"/>
      <c r="P76" s="373"/>
      <c r="Q76" s="373"/>
      <c r="R76" s="373"/>
      <c r="S76" s="373"/>
      <c r="T76" s="375"/>
      <c r="U76" s="393"/>
      <c r="V76" s="163"/>
      <c r="W76" s="772"/>
      <c r="X76" s="373"/>
      <c r="Y76" s="373"/>
      <c r="Z76" s="373"/>
      <c r="AA76" s="373"/>
      <c r="AB76" s="373"/>
      <c r="AC76" s="373"/>
      <c r="AD76" s="374"/>
      <c r="AE76" s="373"/>
      <c r="AF76" s="373"/>
      <c r="AG76" s="373"/>
      <c r="AH76" s="373"/>
      <c r="AI76" s="373"/>
      <c r="AJ76" s="375"/>
      <c r="AK76" s="772"/>
      <c r="AL76" s="373"/>
      <c r="AM76" s="373"/>
      <c r="AN76" s="373"/>
      <c r="AO76" s="373"/>
      <c r="AP76" s="373"/>
      <c r="AQ76" s="373"/>
      <c r="AR76" s="374"/>
      <c r="AS76" s="373"/>
      <c r="AT76" s="373"/>
      <c r="AU76" s="373"/>
      <c r="AV76" s="373"/>
      <c r="AW76" s="373"/>
      <c r="AX76" s="375"/>
      <c r="AY76" s="393"/>
      <c r="AZ76" s="163"/>
      <c r="BA76" s="772"/>
      <c r="BB76" s="373"/>
      <c r="BC76" s="373"/>
      <c r="BD76" s="373"/>
      <c r="BE76" s="373"/>
      <c r="BF76" s="373"/>
      <c r="BG76" s="373"/>
      <c r="BH76" s="374"/>
      <c r="BI76" s="373"/>
      <c r="BJ76" s="373"/>
      <c r="BK76" s="373"/>
      <c r="BL76" s="373"/>
      <c r="BM76" s="373"/>
      <c r="BN76" s="375"/>
      <c r="BO76" s="772"/>
      <c r="BP76" s="373"/>
      <c r="BQ76" s="373"/>
      <c r="BR76" s="373"/>
      <c r="BS76" s="373"/>
      <c r="BT76" s="373"/>
      <c r="BU76" s="373"/>
      <c r="BV76" s="374"/>
      <c r="BW76" s="373"/>
      <c r="BX76" s="373"/>
      <c r="BY76" s="373"/>
      <c r="BZ76" s="373"/>
      <c r="CA76" s="373"/>
      <c r="CB76" s="375"/>
      <c r="CC76" s="393"/>
      <c r="CD76" s="163"/>
      <c r="CE76" s="174"/>
      <c r="CF76" s="373"/>
      <c r="CG76" s="373"/>
      <c r="CH76" s="373"/>
      <c r="CI76" s="373"/>
      <c r="CJ76" s="373"/>
      <c r="CK76" s="373"/>
      <c r="CL76" s="374"/>
      <c r="CM76" s="373"/>
      <c r="CN76" s="373"/>
      <c r="CO76" s="373"/>
      <c r="CP76" s="373"/>
      <c r="CQ76" s="373"/>
      <c r="CR76" s="376"/>
      <c r="CS76" s="375"/>
      <c r="CT76" s="393"/>
      <c r="CU76" s="163"/>
      <c r="CV76" s="323"/>
      <c r="CW76" s="373"/>
      <c r="CX76" s="373"/>
      <c r="CY76" s="373"/>
      <c r="CZ76" s="373"/>
      <c r="DA76" s="373"/>
      <c r="DB76" s="373"/>
      <c r="DC76" s="374"/>
      <c r="DD76" s="373"/>
      <c r="DE76" s="373"/>
      <c r="DF76" s="373"/>
      <c r="DG76" s="373"/>
      <c r="DH76" s="373"/>
      <c r="DI76" s="375"/>
      <c r="DJ76" s="323"/>
      <c r="DK76" s="373"/>
      <c r="DL76" s="373"/>
      <c r="DM76" s="373"/>
      <c r="DN76" s="373"/>
      <c r="DO76" s="373"/>
      <c r="DP76" s="373"/>
      <c r="DQ76" s="374"/>
      <c r="DR76" s="373"/>
      <c r="DS76" s="373"/>
      <c r="DT76" s="373"/>
      <c r="DU76" s="373"/>
      <c r="DV76" s="373"/>
      <c r="DW76" s="375"/>
      <c r="DY76" s="373"/>
      <c r="DZ76" s="373"/>
      <c r="EA76" s="373"/>
      <c r="EB76" s="373"/>
      <c r="EC76" s="373"/>
      <c r="ED76" s="373"/>
      <c r="EE76" s="374"/>
      <c r="EF76" s="373"/>
      <c r="EG76" s="373"/>
      <c r="EH76" s="373"/>
      <c r="EI76" s="373"/>
      <c r="EJ76" s="373"/>
      <c r="EK76" s="375"/>
      <c r="EL76" s="164"/>
      <c r="EM76" s="373"/>
      <c r="EN76" s="373"/>
      <c r="EO76" s="373"/>
      <c r="EP76" s="373"/>
      <c r="EQ76" s="373"/>
      <c r="ER76" s="373"/>
      <c r="ES76" s="374"/>
      <c r="ET76" s="373"/>
      <c r="EU76" s="373"/>
      <c r="EV76" s="373"/>
      <c r="EW76" s="373"/>
      <c r="EX76" s="373"/>
      <c r="EY76" s="375"/>
      <c r="EZ76" s="164"/>
    </row>
    <row r="77" spans="1:156" s="173" customFormat="1" ht="16.5" customHeight="1">
      <c r="B77" s="174"/>
      <c r="C77" s="174"/>
      <c r="D77" s="174"/>
      <c r="E77" s="155"/>
      <c r="F77" s="174" t="s">
        <v>1073</v>
      </c>
      <c r="G77" s="174"/>
      <c r="H77" s="373">
        <v>0</v>
      </c>
      <c r="I77" s="373">
        <v>0</v>
      </c>
      <c r="J77" s="373">
        <v>0</v>
      </c>
      <c r="K77" s="373">
        <v>0</v>
      </c>
      <c r="L77" s="373">
        <v>0</v>
      </c>
      <c r="M77" s="373">
        <v>0</v>
      </c>
      <c r="N77" s="373">
        <v>0</v>
      </c>
      <c r="O77" s="373">
        <v>0</v>
      </c>
      <c r="P77" s="373">
        <v>0</v>
      </c>
      <c r="Q77" s="373">
        <v>0</v>
      </c>
      <c r="R77" s="373">
        <v>0</v>
      </c>
      <c r="S77" s="373"/>
      <c r="T77" s="391">
        <f>SUM(H77:S77)</f>
        <v>0</v>
      </c>
      <c r="U77" s="393">
        <f>AJ77-T77</f>
        <v>89875.71</v>
      </c>
      <c r="V77" s="165">
        <f>U77/AJ77</f>
        <v>1</v>
      </c>
      <c r="W77" s="772"/>
      <c r="X77" s="373">
        <v>7271.5999999999995</v>
      </c>
      <c r="Y77" s="373">
        <v>12911.94</v>
      </c>
      <c r="Z77" s="373">
        <v>0</v>
      </c>
      <c r="AA77" s="373">
        <v>25301.4</v>
      </c>
      <c r="AB77" s="373">
        <v>23468</v>
      </c>
      <c r="AC77" s="373">
        <v>0</v>
      </c>
      <c r="AD77" s="373">
        <v>0</v>
      </c>
      <c r="AE77" s="373">
        <v>0</v>
      </c>
      <c r="AF77" s="373">
        <v>20922.77</v>
      </c>
      <c r="AG77" s="373">
        <v>0</v>
      </c>
      <c r="AH77" s="373">
        <v>0</v>
      </c>
      <c r="AI77" s="373">
        <v>0</v>
      </c>
      <c r="AJ77" s="391">
        <f>SUM(X77:AI77)</f>
        <v>89875.71</v>
      </c>
      <c r="AK77" s="772"/>
      <c r="AL77" s="373">
        <v>0</v>
      </c>
      <c r="AM77" s="373">
        <v>0</v>
      </c>
      <c r="AN77" s="373">
        <v>0</v>
      </c>
      <c r="AO77" s="373">
        <v>0</v>
      </c>
      <c r="AP77" s="373">
        <v>0</v>
      </c>
      <c r="AQ77" s="373">
        <v>0</v>
      </c>
      <c r="AR77" s="373">
        <v>0</v>
      </c>
      <c r="AS77" s="373">
        <v>0</v>
      </c>
      <c r="AT77" s="373">
        <v>0</v>
      </c>
      <c r="AU77" s="373">
        <v>0</v>
      </c>
      <c r="AV77" s="373">
        <v>0</v>
      </c>
      <c r="AW77" s="373">
        <v>200000</v>
      </c>
      <c r="AX77" s="391">
        <f>SUM(AL77:AW77)</f>
        <v>200000</v>
      </c>
      <c r="AY77" s="393">
        <f>BN77-AX77</f>
        <v>-55579.280000000028</v>
      </c>
      <c r="AZ77" s="165">
        <f>AY77/BN77</f>
        <v>-0.38484283972549116</v>
      </c>
      <c r="BA77" s="772"/>
      <c r="BB77" s="373">
        <v>-519.48</v>
      </c>
      <c r="BC77" s="373">
        <v>-191.74</v>
      </c>
      <c r="BD77" s="373">
        <v>1424.88</v>
      </c>
      <c r="BE77" s="373">
        <v>-141.31</v>
      </c>
      <c r="BF77" s="373">
        <v>3576.8</v>
      </c>
      <c r="BG77" s="373">
        <v>3452</v>
      </c>
      <c r="BH77" s="373">
        <v>14.53</v>
      </c>
      <c r="BI77" s="373">
        <v>-1159.81</v>
      </c>
      <c r="BJ77" s="373">
        <v>5473.46</v>
      </c>
      <c r="BK77" s="373">
        <v>105544.70999999999</v>
      </c>
      <c r="BL77" s="373">
        <v>27522</v>
      </c>
      <c r="BM77" s="373">
        <v>-575.32000000000005</v>
      </c>
      <c r="BN77" s="391">
        <f>SUM(BB77:BM77)</f>
        <v>144420.71999999997</v>
      </c>
      <c r="BO77" s="772"/>
      <c r="BP77" s="373">
        <v>25000</v>
      </c>
      <c r="BQ77" s="373">
        <v>25000</v>
      </c>
      <c r="BR77" s="373">
        <v>25000</v>
      </c>
      <c r="BS77" s="373">
        <v>25000</v>
      </c>
      <c r="BT77" s="373">
        <v>25000</v>
      </c>
      <c r="BU77" s="373">
        <v>25000</v>
      </c>
      <c r="BV77" s="373">
        <v>25000</v>
      </c>
      <c r="BW77" s="373">
        <v>25000</v>
      </c>
      <c r="BX77" s="373">
        <v>25000</v>
      </c>
      <c r="BY77" s="373">
        <v>25000</v>
      </c>
      <c r="BZ77" s="373">
        <v>25000</v>
      </c>
      <c r="CA77" s="373">
        <v>25000</v>
      </c>
      <c r="CB77" s="391">
        <f>SUM(BP77:CA77)</f>
        <v>300000</v>
      </c>
      <c r="CC77" s="393"/>
      <c r="CD77" s="163"/>
      <c r="CE77" s="174"/>
      <c r="CF77" s="373">
        <v>23643.896666666667</v>
      </c>
      <c r="CG77" s="373">
        <v>21673.571944444444</v>
      </c>
      <c r="CH77" s="373">
        <v>21673.571944444444</v>
      </c>
      <c r="CI77" s="373">
        <v>0</v>
      </c>
      <c r="CJ77" s="373">
        <v>0</v>
      </c>
      <c r="CK77" s="373">
        <v>0</v>
      </c>
      <c r="CL77" s="374">
        <v>0</v>
      </c>
      <c r="CM77" s="373">
        <v>0</v>
      </c>
      <c r="CN77" s="373">
        <v>0</v>
      </c>
      <c r="CO77" s="373">
        <v>0</v>
      </c>
      <c r="CP77" s="373">
        <v>0</v>
      </c>
      <c r="CQ77" s="373">
        <v>260082.86333333334</v>
      </c>
      <c r="CR77" s="376"/>
      <c r="CS77" s="391">
        <f>SUM(CF77:CR77)</f>
        <v>327073.90388888889</v>
      </c>
      <c r="CT77" s="393"/>
      <c r="CU77" s="163"/>
      <c r="CV77" s="323"/>
      <c r="CW77" s="373"/>
      <c r="CX77" s="373"/>
      <c r="CY77" s="373"/>
      <c r="CZ77" s="373"/>
      <c r="DA77" s="373"/>
      <c r="DB77" s="373"/>
      <c r="DC77" s="374"/>
      <c r="DD77" s="373"/>
      <c r="DE77" s="373"/>
      <c r="DF77" s="373"/>
      <c r="DG77" s="373"/>
      <c r="DH77" s="373"/>
      <c r="DI77" s="375"/>
      <c r="DJ77" s="323"/>
      <c r="DK77" s="373"/>
      <c r="DL77" s="373"/>
      <c r="DM77" s="373"/>
      <c r="DN77" s="373"/>
      <c r="DO77" s="373"/>
      <c r="DP77" s="373"/>
      <c r="DQ77" s="374"/>
      <c r="DR77" s="373"/>
      <c r="DS77" s="373"/>
      <c r="DT77" s="373"/>
      <c r="DU77" s="373"/>
      <c r="DV77" s="373"/>
      <c r="DW77" s="375"/>
      <c r="DY77" s="373"/>
      <c r="DZ77" s="373"/>
      <c r="EA77" s="373"/>
      <c r="EB77" s="373"/>
      <c r="EC77" s="373"/>
      <c r="ED77" s="373"/>
      <c r="EE77" s="374"/>
      <c r="EF77" s="373"/>
      <c r="EG77" s="373"/>
      <c r="EH77" s="373"/>
      <c r="EI77" s="373"/>
      <c r="EJ77" s="373"/>
      <c r="EK77" s="375"/>
      <c r="EL77" s="164"/>
      <c r="EM77" s="373"/>
      <c r="EN77" s="373"/>
      <c r="EO77" s="373"/>
      <c r="EP77" s="373"/>
      <c r="EQ77" s="373"/>
      <c r="ER77" s="373"/>
      <c r="ES77" s="374"/>
      <c r="ET77" s="373"/>
      <c r="EU77" s="373"/>
      <c r="EV77" s="373"/>
      <c r="EW77" s="373"/>
      <c r="EX77" s="373"/>
      <c r="EY77" s="375"/>
      <c r="EZ77" s="164"/>
    </row>
    <row r="78" spans="1:156" s="173" customFormat="1" ht="16.5" customHeight="1">
      <c r="B78" s="174"/>
      <c r="C78" s="174"/>
      <c r="D78" s="174"/>
      <c r="E78" s="155"/>
      <c r="F78" s="174" t="s">
        <v>1072</v>
      </c>
      <c r="G78" s="174"/>
      <c r="H78" s="373">
        <v>0</v>
      </c>
      <c r="I78" s="373">
        <v>0</v>
      </c>
      <c r="J78" s="373">
        <v>0</v>
      </c>
      <c r="K78" s="373">
        <v>0</v>
      </c>
      <c r="L78" s="373">
        <v>0</v>
      </c>
      <c r="M78" s="373">
        <v>0</v>
      </c>
      <c r="N78" s="373">
        <v>0</v>
      </c>
      <c r="O78" s="373">
        <v>0</v>
      </c>
      <c r="P78" s="373">
        <v>0</v>
      </c>
      <c r="Q78" s="373">
        <v>0</v>
      </c>
      <c r="R78" s="373">
        <v>0</v>
      </c>
      <c r="S78" s="373"/>
      <c r="T78" s="391">
        <f>SUM(H78:S78)</f>
        <v>0</v>
      </c>
      <c r="U78" s="393">
        <f>AJ78-T78</f>
        <v>28472.590000000004</v>
      </c>
      <c r="V78" s="165">
        <f>U78/AJ78</f>
        <v>1</v>
      </c>
      <c r="W78" s="772"/>
      <c r="X78" s="373">
        <v>200.72</v>
      </c>
      <c r="Y78" s="373">
        <v>25254.61</v>
      </c>
      <c r="Z78" s="373">
        <v>3017.26</v>
      </c>
      <c r="AA78" s="373">
        <v>0</v>
      </c>
      <c r="AB78" s="373">
        <v>0</v>
      </c>
      <c r="AC78" s="373">
        <v>0</v>
      </c>
      <c r="AD78" s="373">
        <v>0</v>
      </c>
      <c r="AE78" s="373">
        <v>0</v>
      </c>
      <c r="AF78" s="373">
        <v>0</v>
      </c>
      <c r="AG78" s="373">
        <v>0</v>
      </c>
      <c r="AH78" s="373">
        <v>0</v>
      </c>
      <c r="AI78" s="373">
        <v>0</v>
      </c>
      <c r="AJ78" s="391">
        <f>SUM(X78:AI78)</f>
        <v>28472.590000000004</v>
      </c>
      <c r="AK78" s="772"/>
      <c r="AL78" s="373">
        <v>0</v>
      </c>
      <c r="AM78" s="373">
        <v>0</v>
      </c>
      <c r="AN78" s="373">
        <v>0</v>
      </c>
      <c r="AO78" s="373">
        <v>0</v>
      </c>
      <c r="AP78" s="373">
        <v>0</v>
      </c>
      <c r="AQ78" s="373">
        <v>0</v>
      </c>
      <c r="AR78" s="373">
        <v>0</v>
      </c>
      <c r="AS78" s="373">
        <v>0</v>
      </c>
      <c r="AT78" s="373">
        <v>0</v>
      </c>
      <c r="AU78" s="373">
        <v>0</v>
      </c>
      <c r="AV78" s="373">
        <v>0</v>
      </c>
      <c r="AW78" s="373">
        <v>600000</v>
      </c>
      <c r="AX78" s="391">
        <f>SUM(AL78:AW78)</f>
        <v>600000</v>
      </c>
      <c r="AY78" s="393">
        <f>BN78-AX78</f>
        <v>9546.1899999999441</v>
      </c>
      <c r="AZ78" s="165">
        <f>AY78/BN78</f>
        <v>1.5661142923393458E-2</v>
      </c>
      <c r="BA78" s="772"/>
      <c r="BB78" s="373">
        <v>163716.56</v>
      </c>
      <c r="BC78" s="373">
        <v>50408.55</v>
      </c>
      <c r="BD78" s="373">
        <v>-110.36</v>
      </c>
      <c r="BE78" s="373">
        <v>2782.5</v>
      </c>
      <c r="BF78" s="373">
        <v>11399.720000000001</v>
      </c>
      <c r="BG78" s="373">
        <v>7906</v>
      </c>
      <c r="BH78" s="373">
        <v>11964.93</v>
      </c>
      <c r="BI78" s="373">
        <v>5941.4000000000005</v>
      </c>
      <c r="BJ78" s="373">
        <v>8686.85</v>
      </c>
      <c r="BK78" s="373">
        <v>67435.94</v>
      </c>
      <c r="BL78" s="373">
        <v>67579</v>
      </c>
      <c r="BM78" s="373">
        <v>211835.1</v>
      </c>
      <c r="BN78" s="391">
        <f>SUM(BB78:BM78)</f>
        <v>609546.18999999994</v>
      </c>
      <c r="BO78" s="772"/>
      <c r="BP78" s="373">
        <v>83333.333333333328</v>
      </c>
      <c r="BQ78" s="373">
        <v>83333.333333333328</v>
      </c>
      <c r="BR78" s="373">
        <v>83333.333333333328</v>
      </c>
      <c r="BS78" s="373">
        <v>83333.333333333328</v>
      </c>
      <c r="BT78" s="373">
        <v>83333.333333333328</v>
      </c>
      <c r="BU78" s="373">
        <v>83333.333333333328</v>
      </c>
      <c r="BV78" s="373">
        <v>83333.333333333328</v>
      </c>
      <c r="BW78" s="373">
        <v>83333.333333333328</v>
      </c>
      <c r="BX78" s="373">
        <v>83333.333333333328</v>
      </c>
      <c r="BY78" s="373">
        <v>83333.333333333328</v>
      </c>
      <c r="BZ78" s="373">
        <v>83333.333333333328</v>
      </c>
      <c r="CA78" s="373">
        <v>83333.333333333328</v>
      </c>
      <c r="CB78" s="391">
        <f>SUM(BP78:CA78)</f>
        <v>1000000.0000000001</v>
      </c>
      <c r="CC78" s="393"/>
      <c r="CD78" s="163"/>
      <c r="CE78" s="174"/>
      <c r="CF78" s="373">
        <v>59354.368333333325</v>
      </c>
      <c r="CG78" s="373">
        <v>54408.170972222229</v>
      </c>
      <c r="CH78" s="373">
        <v>54408.170972222229</v>
      </c>
      <c r="CI78" s="373">
        <v>0</v>
      </c>
      <c r="CJ78" s="373">
        <v>0</v>
      </c>
      <c r="CK78" s="373">
        <v>0</v>
      </c>
      <c r="CL78" s="374">
        <v>0</v>
      </c>
      <c r="CM78" s="373">
        <v>0</v>
      </c>
      <c r="CN78" s="373">
        <v>0</v>
      </c>
      <c r="CO78" s="373">
        <v>0</v>
      </c>
      <c r="CP78" s="373">
        <v>0</v>
      </c>
      <c r="CQ78" s="373">
        <v>652898.05166666675</v>
      </c>
      <c r="CR78" s="376"/>
      <c r="CS78" s="391">
        <f>SUM(CF78:CR78)</f>
        <v>821068.7619444445</v>
      </c>
      <c r="CT78" s="393"/>
      <c r="CU78" s="163"/>
      <c r="CV78" s="323"/>
      <c r="CW78" s="373"/>
      <c r="CX78" s="373"/>
      <c r="CY78" s="373"/>
      <c r="CZ78" s="373"/>
      <c r="DA78" s="373"/>
      <c r="DB78" s="373"/>
      <c r="DC78" s="374"/>
      <c r="DD78" s="373"/>
      <c r="DE78" s="373"/>
      <c r="DF78" s="373"/>
      <c r="DG78" s="373"/>
      <c r="DH78" s="373"/>
      <c r="DI78" s="375"/>
      <c r="DJ78" s="323"/>
      <c r="DK78" s="373"/>
      <c r="DL78" s="373"/>
      <c r="DM78" s="373"/>
      <c r="DN78" s="373"/>
      <c r="DO78" s="373"/>
      <c r="DP78" s="373"/>
      <c r="DQ78" s="374"/>
      <c r="DR78" s="373"/>
      <c r="DS78" s="373"/>
      <c r="DT78" s="373"/>
      <c r="DU78" s="373"/>
      <c r="DV78" s="373"/>
      <c r="DW78" s="375"/>
      <c r="DY78" s="373"/>
      <c r="DZ78" s="373"/>
      <c r="EA78" s="373"/>
      <c r="EB78" s="373"/>
      <c r="EC78" s="373"/>
      <c r="ED78" s="373"/>
      <c r="EE78" s="374"/>
      <c r="EF78" s="373"/>
      <c r="EG78" s="373"/>
      <c r="EH78" s="373"/>
      <c r="EI78" s="373"/>
      <c r="EJ78" s="373"/>
      <c r="EK78" s="375"/>
      <c r="EL78" s="164"/>
      <c r="EM78" s="373"/>
      <c r="EN78" s="373"/>
      <c r="EO78" s="373"/>
      <c r="EP78" s="373"/>
      <c r="EQ78" s="373"/>
      <c r="ER78" s="373"/>
      <c r="ES78" s="374"/>
      <c r="ET78" s="373"/>
      <c r="EU78" s="373"/>
      <c r="EV78" s="373"/>
      <c r="EW78" s="373"/>
      <c r="EX78" s="373"/>
      <c r="EY78" s="375"/>
      <c r="EZ78" s="164"/>
    </row>
    <row r="79" spans="1:156" s="173" customFormat="1" ht="16.5" customHeight="1">
      <c r="B79" s="174"/>
      <c r="C79" s="174"/>
      <c r="D79" s="174"/>
      <c r="E79" s="155"/>
      <c r="F79" s="174" t="s">
        <v>1071</v>
      </c>
      <c r="G79" s="174"/>
      <c r="H79" s="373">
        <v>0</v>
      </c>
      <c r="I79" s="373">
        <v>0</v>
      </c>
      <c r="J79" s="373">
        <v>0</v>
      </c>
      <c r="K79" s="373">
        <v>0</v>
      </c>
      <c r="L79" s="373">
        <v>0</v>
      </c>
      <c r="M79" s="373">
        <v>0</v>
      </c>
      <c r="N79" s="373">
        <v>0</v>
      </c>
      <c r="O79" s="373">
        <v>0</v>
      </c>
      <c r="P79" s="373">
        <v>0</v>
      </c>
      <c r="Q79" s="373">
        <v>0</v>
      </c>
      <c r="R79" s="373">
        <v>0</v>
      </c>
      <c r="S79" s="373"/>
      <c r="T79" s="391">
        <f>SUM(H79:S79)</f>
        <v>0</v>
      </c>
      <c r="U79" s="393">
        <f>AJ79-T79</f>
        <v>2406.37</v>
      </c>
      <c r="V79" s="165">
        <f>U79/AJ79</f>
        <v>1</v>
      </c>
      <c r="W79" s="772"/>
      <c r="X79" s="373">
        <v>2406.37</v>
      </c>
      <c r="Y79" s="373">
        <v>0</v>
      </c>
      <c r="Z79" s="373">
        <v>0</v>
      </c>
      <c r="AA79" s="373">
        <v>0</v>
      </c>
      <c r="AB79" s="373">
        <v>0</v>
      </c>
      <c r="AC79" s="373">
        <v>0</v>
      </c>
      <c r="AD79" s="373">
        <v>0</v>
      </c>
      <c r="AE79" s="373">
        <v>0</v>
      </c>
      <c r="AF79" s="373">
        <v>0</v>
      </c>
      <c r="AG79" s="373">
        <v>0</v>
      </c>
      <c r="AH79" s="373">
        <v>0</v>
      </c>
      <c r="AI79" s="373">
        <v>0</v>
      </c>
      <c r="AJ79" s="391">
        <f>SUM(X79:AI79)</f>
        <v>2406.37</v>
      </c>
      <c r="AK79" s="772"/>
      <c r="AL79" s="373">
        <v>0</v>
      </c>
      <c r="AM79" s="373">
        <v>0</v>
      </c>
      <c r="AN79" s="373">
        <v>0</v>
      </c>
      <c r="AO79" s="373">
        <v>0</v>
      </c>
      <c r="AP79" s="373">
        <v>0</v>
      </c>
      <c r="AQ79" s="373">
        <v>0</v>
      </c>
      <c r="AR79" s="373">
        <v>0</v>
      </c>
      <c r="AS79" s="373">
        <v>0</v>
      </c>
      <c r="AT79" s="373">
        <v>0</v>
      </c>
      <c r="AU79" s="373">
        <v>0</v>
      </c>
      <c r="AV79" s="373">
        <v>0</v>
      </c>
      <c r="AW79" s="373">
        <v>250000</v>
      </c>
      <c r="AX79" s="391">
        <f>SUM(AL79:AW79)</f>
        <v>250000</v>
      </c>
      <c r="AY79" s="393">
        <f>BN79-AX79</f>
        <v>-83571.850000000006</v>
      </c>
      <c r="AZ79" s="165">
        <f>AY79/BN79</f>
        <v>-0.50214972647355638</v>
      </c>
      <c r="BA79" s="772"/>
      <c r="BB79" s="373">
        <v>-616.49</v>
      </c>
      <c r="BC79" s="373">
        <v>21139.1</v>
      </c>
      <c r="BD79" s="373">
        <v>1385.38</v>
      </c>
      <c r="BE79" s="373">
        <v>5956.47</v>
      </c>
      <c r="BF79" s="373">
        <v>0</v>
      </c>
      <c r="BG79" s="373">
        <v>-2152</v>
      </c>
      <c r="BH79" s="373">
        <v>0</v>
      </c>
      <c r="BI79" s="373">
        <v>946.34</v>
      </c>
      <c r="BJ79" s="373">
        <v>121777.97</v>
      </c>
      <c r="BK79" s="373">
        <v>7067.98</v>
      </c>
      <c r="BL79" s="373">
        <v>5471</v>
      </c>
      <c r="BM79" s="373">
        <v>5452.4</v>
      </c>
      <c r="BN79" s="391">
        <f>SUM(BB79:BM79)</f>
        <v>166428.15</v>
      </c>
      <c r="BO79" s="772"/>
      <c r="BP79" s="373">
        <v>20833.333333333332</v>
      </c>
      <c r="BQ79" s="373">
        <v>20833.333333333332</v>
      </c>
      <c r="BR79" s="373">
        <v>20833.333333333332</v>
      </c>
      <c r="BS79" s="373">
        <v>20833.333333333332</v>
      </c>
      <c r="BT79" s="373">
        <v>20833.333333333332</v>
      </c>
      <c r="BU79" s="373">
        <v>20833.333333333332</v>
      </c>
      <c r="BV79" s="373">
        <v>20833.333333333332</v>
      </c>
      <c r="BW79" s="373">
        <v>20833.333333333332</v>
      </c>
      <c r="BX79" s="373">
        <v>20833.333333333332</v>
      </c>
      <c r="BY79" s="373">
        <v>20833.333333333332</v>
      </c>
      <c r="BZ79" s="373">
        <v>20833.333333333332</v>
      </c>
      <c r="CA79" s="373">
        <v>20833.333333333332</v>
      </c>
      <c r="CB79" s="391">
        <f>SUM(BP79:CA79)</f>
        <v>250000.00000000003</v>
      </c>
      <c r="CC79" s="393"/>
      <c r="CD79" s="163"/>
      <c r="CE79" s="174"/>
      <c r="CF79" s="373">
        <v>19635.56583333333</v>
      </c>
      <c r="CG79" s="373">
        <v>17999.268680555557</v>
      </c>
      <c r="CH79" s="373">
        <v>17999.268680555557</v>
      </c>
      <c r="CI79" s="373">
        <v>0</v>
      </c>
      <c r="CJ79" s="373">
        <v>0</v>
      </c>
      <c r="CK79" s="373">
        <v>0</v>
      </c>
      <c r="CL79" s="374">
        <v>0</v>
      </c>
      <c r="CM79" s="373">
        <v>0</v>
      </c>
      <c r="CN79" s="373">
        <v>0</v>
      </c>
      <c r="CO79" s="373">
        <v>0</v>
      </c>
      <c r="CP79" s="373">
        <v>0</v>
      </c>
      <c r="CQ79" s="373">
        <v>215991.22416666668</v>
      </c>
      <c r="CR79" s="376"/>
      <c r="CS79" s="391">
        <f>SUM(CF79:CR79)</f>
        <v>271625.32736111112</v>
      </c>
      <c r="CT79" s="393"/>
      <c r="CU79" s="163"/>
      <c r="CV79" s="323"/>
      <c r="CW79" s="373"/>
      <c r="CX79" s="373"/>
      <c r="CY79" s="373"/>
      <c r="CZ79" s="373"/>
      <c r="DA79" s="373"/>
      <c r="DB79" s="373"/>
      <c r="DC79" s="374"/>
      <c r="DD79" s="373"/>
      <c r="DE79" s="373"/>
      <c r="DF79" s="373"/>
      <c r="DG79" s="373"/>
      <c r="DH79" s="373"/>
      <c r="DI79" s="375"/>
      <c r="DJ79" s="323"/>
      <c r="DK79" s="373"/>
      <c r="DL79" s="373"/>
      <c r="DM79" s="373"/>
      <c r="DN79" s="373"/>
      <c r="DO79" s="373"/>
      <c r="DP79" s="373"/>
      <c r="DQ79" s="374"/>
      <c r="DR79" s="373"/>
      <c r="DS79" s="373"/>
      <c r="DT79" s="373"/>
      <c r="DU79" s="373"/>
      <c r="DV79" s="373"/>
      <c r="DW79" s="375"/>
      <c r="DY79" s="373"/>
      <c r="DZ79" s="373"/>
      <c r="EA79" s="373"/>
      <c r="EB79" s="373"/>
      <c r="EC79" s="373"/>
      <c r="ED79" s="373"/>
      <c r="EE79" s="374"/>
      <c r="EF79" s="373"/>
      <c r="EG79" s="373"/>
      <c r="EH79" s="373"/>
      <c r="EI79" s="373"/>
      <c r="EJ79" s="373"/>
      <c r="EK79" s="375"/>
      <c r="EL79" s="164"/>
      <c r="EM79" s="373"/>
      <c r="EN79" s="373"/>
      <c r="EO79" s="373"/>
      <c r="EP79" s="373"/>
      <c r="EQ79" s="373"/>
      <c r="ER79" s="373"/>
      <c r="ES79" s="374"/>
      <c r="ET79" s="373"/>
      <c r="EU79" s="373"/>
      <c r="EV79" s="373"/>
      <c r="EW79" s="373"/>
      <c r="EX79" s="373"/>
      <c r="EY79" s="375"/>
      <c r="EZ79" s="164"/>
    </row>
    <row r="80" spans="1:156" s="173" customFormat="1" ht="16.5" customHeight="1">
      <c r="B80" s="174"/>
      <c r="C80" s="174"/>
      <c r="D80" s="174"/>
      <c r="E80" s="155"/>
      <c r="F80" s="174" t="s">
        <v>1070</v>
      </c>
      <c r="G80" s="174"/>
      <c r="H80" s="373">
        <v>0</v>
      </c>
      <c r="I80" s="373">
        <v>0</v>
      </c>
      <c r="J80" s="373">
        <v>0</v>
      </c>
      <c r="K80" s="373">
        <v>0</v>
      </c>
      <c r="L80" s="373">
        <v>0</v>
      </c>
      <c r="M80" s="373">
        <v>0</v>
      </c>
      <c r="N80" s="373">
        <v>0</v>
      </c>
      <c r="O80" s="373">
        <v>0</v>
      </c>
      <c r="P80" s="373">
        <v>0</v>
      </c>
      <c r="Q80" s="373">
        <v>0</v>
      </c>
      <c r="R80" s="373">
        <v>0</v>
      </c>
      <c r="S80" s="373">
        <v>1000000</v>
      </c>
      <c r="T80" s="391">
        <f>SUM(H80:S80)</f>
        <v>1000000</v>
      </c>
      <c r="U80" s="393">
        <f>AJ80-T80</f>
        <v>8835668.2249533404</v>
      </c>
      <c r="V80" s="165">
        <f>U80/AJ80</f>
        <v>0.89832922612588995</v>
      </c>
      <c r="W80" s="772"/>
      <c r="X80" s="373">
        <v>829312.03200000012</v>
      </c>
      <c r="Y80" s="373">
        <v>19711.718000000001</v>
      </c>
      <c r="Z80" s="373">
        <v>121689.027</v>
      </c>
      <c r="AA80" s="373">
        <v>61946.285999999993</v>
      </c>
      <c r="AB80" s="373">
        <v>121659</v>
      </c>
      <c r="AC80" s="373">
        <v>14883.3</v>
      </c>
      <c r="AD80" s="373">
        <v>77013.77</v>
      </c>
      <c r="AE80" s="373">
        <v>5785891.4959533401</v>
      </c>
      <c r="AF80" s="373">
        <v>161419.03799999997</v>
      </c>
      <c r="AG80" s="373">
        <v>2479577.2380000004</v>
      </c>
      <c r="AH80" s="373">
        <v>-918</v>
      </c>
      <c r="AI80" s="373">
        <v>163483.31999999983</v>
      </c>
      <c r="AJ80" s="391">
        <f>SUM(X80:AI80)</f>
        <v>9835668.2249533404</v>
      </c>
      <c r="AK80" s="772"/>
      <c r="AL80" s="373">
        <v>0</v>
      </c>
      <c r="AM80" s="373">
        <v>0</v>
      </c>
      <c r="AN80" s="373">
        <v>0</v>
      </c>
      <c r="AO80" s="373">
        <v>0</v>
      </c>
      <c r="AP80" s="373">
        <v>0</v>
      </c>
      <c r="AQ80" s="373">
        <v>0</v>
      </c>
      <c r="AR80" s="373">
        <v>0</v>
      </c>
      <c r="AS80" s="373">
        <v>0</v>
      </c>
      <c r="AT80" s="373">
        <v>0</v>
      </c>
      <c r="AU80" s="373">
        <v>0</v>
      </c>
      <c r="AV80" s="373">
        <v>0</v>
      </c>
      <c r="AW80" s="373">
        <v>1800000</v>
      </c>
      <c r="AX80" s="391">
        <f>SUM(AL80:AW80)</f>
        <v>1800000</v>
      </c>
      <c r="AY80" s="393">
        <f>BN80-AX80</f>
        <v>5628833.0830000006</v>
      </c>
      <c r="AZ80" s="165">
        <f>AY80/BN80</f>
        <v>0.75770084212565159</v>
      </c>
      <c r="BA80" s="772"/>
      <c r="BB80" s="373">
        <v>1396634.3219999999</v>
      </c>
      <c r="BC80" s="373">
        <v>691204.37299999991</v>
      </c>
      <c r="BD80" s="373">
        <v>105947.514</v>
      </c>
      <c r="BE80" s="373">
        <v>1077555.1170000001</v>
      </c>
      <c r="BF80" s="373">
        <v>391819.24199999997</v>
      </c>
      <c r="BG80" s="373">
        <v>36728.631000000001</v>
      </c>
      <c r="BH80" s="373">
        <v>713017</v>
      </c>
      <c r="BI80" s="373">
        <v>3508.6560000000063</v>
      </c>
      <c r="BJ80" s="373">
        <v>526352</v>
      </c>
      <c r="BK80" s="373">
        <v>84870.228000000003</v>
      </c>
      <c r="BL80" s="373">
        <v>790289</v>
      </c>
      <c r="BM80" s="373">
        <v>1610907</v>
      </c>
      <c r="BN80" s="391">
        <f>SUM(BB80:BM80)</f>
        <v>7428833.0830000006</v>
      </c>
      <c r="BO80" s="772"/>
      <c r="BP80" s="373">
        <v>2000000</v>
      </c>
      <c r="BQ80" s="373">
        <v>200000</v>
      </c>
      <c r="BR80" s="373">
        <v>30000</v>
      </c>
      <c r="BS80" s="373">
        <v>1100000</v>
      </c>
      <c r="BT80" s="373">
        <v>30000</v>
      </c>
      <c r="BU80" s="373">
        <v>30000</v>
      </c>
      <c r="BV80" s="373">
        <v>30000</v>
      </c>
      <c r="BW80" s="373">
        <v>30000</v>
      </c>
      <c r="BX80" s="373">
        <v>45000</v>
      </c>
      <c r="BY80" s="373">
        <v>30000</v>
      </c>
      <c r="BZ80" s="373">
        <v>30000</v>
      </c>
      <c r="CA80" s="373">
        <v>45000</v>
      </c>
      <c r="CB80" s="391">
        <f>SUM(BP80:CA80)</f>
        <v>3600000</v>
      </c>
      <c r="CC80" s="393"/>
      <c r="CD80" s="163"/>
      <c r="CE80" s="174"/>
      <c r="CF80" s="373">
        <v>103964.28600000001</v>
      </c>
      <c r="CG80" s="373">
        <v>95300.595499999996</v>
      </c>
      <c r="CH80" s="373">
        <v>95300.595499999996</v>
      </c>
      <c r="CI80" s="373">
        <v>0</v>
      </c>
      <c r="CJ80" s="373">
        <v>0</v>
      </c>
      <c r="CK80" s="373">
        <v>0</v>
      </c>
      <c r="CL80" s="374">
        <v>0</v>
      </c>
      <c r="CM80" s="373">
        <v>0</v>
      </c>
      <c r="CN80" s="373">
        <v>0</v>
      </c>
      <c r="CO80" s="373">
        <v>0</v>
      </c>
      <c r="CP80" s="373">
        <v>0</v>
      </c>
      <c r="CQ80" s="373">
        <v>1143607.1459999999</v>
      </c>
      <c r="CR80" s="376"/>
      <c r="CS80" s="391">
        <f>SUM(CF80:CR80)</f>
        <v>1438172.6229999999</v>
      </c>
      <c r="CT80" s="393"/>
      <c r="CU80" s="163"/>
      <c r="CV80" s="323"/>
      <c r="CW80" s="373"/>
      <c r="CX80" s="373"/>
      <c r="CY80" s="373"/>
      <c r="CZ80" s="373"/>
      <c r="DA80" s="373"/>
      <c r="DB80" s="373"/>
      <c r="DC80" s="374"/>
      <c r="DD80" s="373"/>
      <c r="DE80" s="373"/>
      <c r="DF80" s="373"/>
      <c r="DG80" s="373"/>
      <c r="DH80" s="373"/>
      <c r="DI80" s="375"/>
      <c r="DJ80" s="323"/>
      <c r="DK80" s="373"/>
      <c r="DL80" s="373"/>
      <c r="DM80" s="373"/>
      <c r="DN80" s="373"/>
      <c r="DO80" s="373"/>
      <c r="DP80" s="373"/>
      <c r="DQ80" s="374"/>
      <c r="DR80" s="373"/>
      <c r="DS80" s="373"/>
      <c r="DT80" s="373"/>
      <c r="DU80" s="373"/>
      <c r="DV80" s="373"/>
      <c r="DW80" s="375"/>
      <c r="DY80" s="373"/>
      <c r="DZ80" s="373"/>
      <c r="EA80" s="373"/>
      <c r="EB80" s="373"/>
      <c r="EC80" s="373"/>
      <c r="ED80" s="373"/>
      <c r="EE80" s="374"/>
      <c r="EF80" s="373"/>
      <c r="EG80" s="373"/>
      <c r="EH80" s="373"/>
      <c r="EI80" s="373"/>
      <c r="EJ80" s="373"/>
      <c r="EK80" s="375"/>
      <c r="EL80" s="164"/>
      <c r="EM80" s="373"/>
      <c r="EN80" s="373"/>
      <c r="EO80" s="373"/>
      <c r="EP80" s="373"/>
      <c r="EQ80" s="373"/>
      <c r="ER80" s="373"/>
      <c r="ES80" s="374"/>
      <c r="ET80" s="373"/>
      <c r="EU80" s="373"/>
      <c r="EV80" s="373"/>
      <c r="EW80" s="373"/>
      <c r="EX80" s="373"/>
      <c r="EY80" s="375"/>
      <c r="EZ80" s="164"/>
    </row>
    <row r="81" spans="1:156" s="155" customFormat="1" ht="18.75" customHeight="1">
      <c r="B81" s="172"/>
      <c r="C81" s="172"/>
      <c r="D81" s="172"/>
      <c r="E81" s="199" t="s">
        <v>1069</v>
      </c>
      <c r="G81" s="172"/>
      <c r="H81" s="798">
        <f t="shared" ref="H81:T81" si="252">SUM(H77:H80)</f>
        <v>0</v>
      </c>
      <c r="I81" s="798">
        <f t="shared" si="252"/>
        <v>0</v>
      </c>
      <c r="J81" s="798">
        <f t="shared" si="252"/>
        <v>0</v>
      </c>
      <c r="K81" s="798">
        <f t="shared" si="252"/>
        <v>0</v>
      </c>
      <c r="L81" s="798">
        <f t="shared" si="252"/>
        <v>0</v>
      </c>
      <c r="M81" s="798">
        <f t="shared" si="252"/>
        <v>0</v>
      </c>
      <c r="N81" s="798">
        <f t="shared" si="252"/>
        <v>0</v>
      </c>
      <c r="O81" s="798">
        <f t="shared" si="252"/>
        <v>0</v>
      </c>
      <c r="P81" s="798">
        <f t="shared" si="252"/>
        <v>0</v>
      </c>
      <c r="Q81" s="798">
        <f t="shared" si="252"/>
        <v>0</v>
      </c>
      <c r="R81" s="798">
        <f t="shared" si="252"/>
        <v>0</v>
      </c>
      <c r="S81" s="798">
        <f t="shared" si="252"/>
        <v>1000000</v>
      </c>
      <c r="T81" s="798">
        <f t="shared" si="252"/>
        <v>1000000</v>
      </c>
      <c r="U81" s="393">
        <f>AJ81-T81</f>
        <v>8956422.8949533403</v>
      </c>
      <c r="V81" s="165">
        <f>U81/AJ81</f>
        <v>0.89956232167409489</v>
      </c>
      <c r="W81" s="796"/>
      <c r="X81" s="798">
        <f t="shared" ref="X81:AJ81" si="253">SUM(X77:X80)</f>
        <v>839190.72200000007</v>
      </c>
      <c r="Y81" s="798">
        <f t="shared" si="253"/>
        <v>57878.268000000004</v>
      </c>
      <c r="Z81" s="798">
        <f t="shared" si="253"/>
        <v>124706.287</v>
      </c>
      <c r="AA81" s="798">
        <f t="shared" si="253"/>
        <v>87247.685999999987</v>
      </c>
      <c r="AB81" s="798">
        <f t="shared" si="253"/>
        <v>145127</v>
      </c>
      <c r="AC81" s="798">
        <f t="shared" si="253"/>
        <v>14883.3</v>
      </c>
      <c r="AD81" s="798">
        <f t="shared" si="253"/>
        <v>77013.77</v>
      </c>
      <c r="AE81" s="798">
        <f t="shared" si="253"/>
        <v>5785891.4959533401</v>
      </c>
      <c r="AF81" s="798">
        <f t="shared" si="253"/>
        <v>182341.80799999996</v>
      </c>
      <c r="AG81" s="798">
        <f t="shared" si="253"/>
        <v>2479577.2380000004</v>
      </c>
      <c r="AH81" s="798">
        <f t="shared" si="253"/>
        <v>-918</v>
      </c>
      <c r="AI81" s="798">
        <f t="shared" si="253"/>
        <v>163483.31999999983</v>
      </c>
      <c r="AJ81" s="798">
        <f t="shared" si="253"/>
        <v>9956422.8949533403</v>
      </c>
      <c r="AK81" s="796"/>
      <c r="AL81" s="798">
        <f t="shared" ref="AL81:AX81" si="254">SUM(AL77:AL80)</f>
        <v>0</v>
      </c>
      <c r="AM81" s="798">
        <f t="shared" si="254"/>
        <v>0</v>
      </c>
      <c r="AN81" s="798">
        <f t="shared" si="254"/>
        <v>0</v>
      </c>
      <c r="AO81" s="798">
        <f t="shared" si="254"/>
        <v>0</v>
      </c>
      <c r="AP81" s="798">
        <f t="shared" si="254"/>
        <v>0</v>
      </c>
      <c r="AQ81" s="798">
        <f t="shared" si="254"/>
        <v>0</v>
      </c>
      <c r="AR81" s="798">
        <f t="shared" si="254"/>
        <v>0</v>
      </c>
      <c r="AS81" s="798">
        <f t="shared" si="254"/>
        <v>0</v>
      </c>
      <c r="AT81" s="798">
        <f t="shared" si="254"/>
        <v>0</v>
      </c>
      <c r="AU81" s="798">
        <f t="shared" si="254"/>
        <v>0</v>
      </c>
      <c r="AV81" s="798">
        <f t="shared" si="254"/>
        <v>0</v>
      </c>
      <c r="AW81" s="798">
        <f t="shared" si="254"/>
        <v>2850000</v>
      </c>
      <c r="AX81" s="798">
        <f t="shared" si="254"/>
        <v>2850000</v>
      </c>
      <c r="AY81" s="393">
        <f>BN81-AX81</f>
        <v>5499228.1430000002</v>
      </c>
      <c r="AZ81" s="165">
        <f>AY81/BN81</f>
        <v>0.65865108113144055</v>
      </c>
      <c r="BA81" s="796"/>
      <c r="BB81" s="798">
        <f t="shared" ref="BB81:BN81" si="255">SUM(BB77:BB80)</f>
        <v>1559214.912</v>
      </c>
      <c r="BC81" s="798">
        <f t="shared" si="255"/>
        <v>762560.28299999994</v>
      </c>
      <c r="BD81" s="798">
        <f t="shared" si="255"/>
        <v>108647.41399999999</v>
      </c>
      <c r="BE81" s="798">
        <f t="shared" si="255"/>
        <v>1086152.777</v>
      </c>
      <c r="BF81" s="798">
        <f t="shared" si="255"/>
        <v>406795.76199999999</v>
      </c>
      <c r="BG81" s="798">
        <f t="shared" si="255"/>
        <v>45934.631000000001</v>
      </c>
      <c r="BH81" s="798">
        <f t="shared" si="255"/>
        <v>724996.46</v>
      </c>
      <c r="BI81" s="798">
        <f t="shared" si="255"/>
        <v>9236.5860000000066</v>
      </c>
      <c r="BJ81" s="798">
        <f t="shared" si="255"/>
        <v>662290.28</v>
      </c>
      <c r="BK81" s="798">
        <f t="shared" si="255"/>
        <v>264918.85800000001</v>
      </c>
      <c r="BL81" s="798">
        <f t="shared" si="255"/>
        <v>890861</v>
      </c>
      <c r="BM81" s="798">
        <f t="shared" si="255"/>
        <v>1827619.18</v>
      </c>
      <c r="BN81" s="798">
        <f t="shared" si="255"/>
        <v>8349228.1430000002</v>
      </c>
      <c r="BO81" s="796"/>
      <c r="BP81" s="798">
        <f t="shared" ref="BP81:CB81" si="256">SUM(BP77:BP80)</f>
        <v>2129166.6666666665</v>
      </c>
      <c r="BQ81" s="798">
        <f t="shared" si="256"/>
        <v>329166.66666666663</v>
      </c>
      <c r="BR81" s="798">
        <f t="shared" si="256"/>
        <v>159166.66666666666</v>
      </c>
      <c r="BS81" s="798">
        <f t="shared" si="256"/>
        <v>1229166.6666666667</v>
      </c>
      <c r="BT81" s="798">
        <f t="shared" si="256"/>
        <v>159166.66666666666</v>
      </c>
      <c r="BU81" s="798">
        <f t="shared" si="256"/>
        <v>159166.66666666666</v>
      </c>
      <c r="BV81" s="798">
        <f t="shared" si="256"/>
        <v>159166.66666666666</v>
      </c>
      <c r="BW81" s="798">
        <f t="shared" si="256"/>
        <v>159166.66666666666</v>
      </c>
      <c r="BX81" s="798">
        <f t="shared" si="256"/>
        <v>174166.66666666666</v>
      </c>
      <c r="BY81" s="798">
        <f t="shared" si="256"/>
        <v>159166.66666666666</v>
      </c>
      <c r="BZ81" s="798">
        <f t="shared" si="256"/>
        <v>159166.66666666666</v>
      </c>
      <c r="CA81" s="798">
        <f t="shared" si="256"/>
        <v>174166.66666666666</v>
      </c>
      <c r="CB81" s="798">
        <f t="shared" si="256"/>
        <v>5150000</v>
      </c>
      <c r="CC81" s="393"/>
      <c r="CD81" s="163"/>
      <c r="CE81" s="172"/>
      <c r="CF81" s="798">
        <f t="shared" ref="CF81:CQ81" si="257">SUM(CF77:CF80)</f>
        <v>206598.11683333333</v>
      </c>
      <c r="CG81" s="798">
        <f t="shared" si="257"/>
        <v>189381.60709722224</v>
      </c>
      <c r="CH81" s="798">
        <f t="shared" si="257"/>
        <v>189381.60709722224</v>
      </c>
      <c r="CI81" s="798">
        <f t="shared" si="257"/>
        <v>0</v>
      </c>
      <c r="CJ81" s="798">
        <f t="shared" si="257"/>
        <v>0</v>
      </c>
      <c r="CK81" s="798">
        <f t="shared" si="257"/>
        <v>0</v>
      </c>
      <c r="CL81" s="798">
        <f t="shared" si="257"/>
        <v>0</v>
      </c>
      <c r="CM81" s="798">
        <f t="shared" si="257"/>
        <v>0</v>
      </c>
      <c r="CN81" s="798">
        <f t="shared" si="257"/>
        <v>0</v>
      </c>
      <c r="CO81" s="798">
        <f t="shared" si="257"/>
        <v>0</v>
      </c>
      <c r="CP81" s="798">
        <f t="shared" si="257"/>
        <v>0</v>
      </c>
      <c r="CQ81" s="798">
        <f t="shared" si="257"/>
        <v>2272579.2851666668</v>
      </c>
      <c r="CR81" s="382"/>
      <c r="CS81" s="798">
        <f>SUM(CS77:CS80)</f>
        <v>2857940.6161944447</v>
      </c>
      <c r="CT81" s="393"/>
      <c r="CU81" s="163"/>
      <c r="CV81" s="322"/>
      <c r="CW81" s="379"/>
      <c r="CX81" s="379"/>
      <c r="CY81" s="379"/>
      <c r="CZ81" s="379"/>
      <c r="DA81" s="379"/>
      <c r="DB81" s="379"/>
      <c r="DC81" s="717"/>
      <c r="DD81" s="379"/>
      <c r="DE81" s="379"/>
      <c r="DF81" s="379"/>
      <c r="DG81" s="379"/>
      <c r="DH81" s="379"/>
      <c r="DI81" s="375"/>
      <c r="DJ81" s="322"/>
      <c r="DK81" s="379"/>
      <c r="DL81" s="379"/>
      <c r="DM81" s="379"/>
      <c r="DN81" s="379"/>
      <c r="DO81" s="379"/>
      <c r="DP81" s="379"/>
      <c r="DQ81" s="717"/>
      <c r="DR81" s="379"/>
      <c r="DS81" s="379"/>
      <c r="DT81" s="379"/>
      <c r="DU81" s="379"/>
      <c r="DV81" s="379"/>
      <c r="DW81" s="375"/>
      <c r="DY81" s="379"/>
      <c r="DZ81" s="379"/>
      <c r="EA81" s="379"/>
      <c r="EB81" s="379"/>
      <c r="EC81" s="379"/>
      <c r="ED81" s="379"/>
      <c r="EE81" s="717"/>
      <c r="EF81" s="379"/>
      <c r="EG81" s="379"/>
      <c r="EH81" s="379"/>
      <c r="EI81" s="379"/>
      <c r="EJ81" s="379"/>
      <c r="EK81" s="375"/>
      <c r="EL81" s="168"/>
      <c r="EM81" s="379"/>
      <c r="EN81" s="379"/>
      <c r="EO81" s="379"/>
      <c r="EP81" s="379"/>
      <c r="EQ81" s="379"/>
      <c r="ER81" s="379"/>
      <c r="ES81" s="717"/>
      <c r="ET81" s="379"/>
      <c r="EU81" s="379"/>
      <c r="EV81" s="379"/>
      <c r="EW81" s="379"/>
      <c r="EX81" s="379"/>
      <c r="EY81" s="375"/>
      <c r="EZ81" s="168"/>
    </row>
    <row r="82" spans="1:156" s="173" customFormat="1">
      <c r="B82" s="174"/>
      <c r="C82" s="174"/>
      <c r="D82" s="174"/>
      <c r="F82" s="199"/>
      <c r="G82" s="174"/>
      <c r="H82" s="797"/>
      <c r="I82" s="797"/>
      <c r="J82" s="797"/>
      <c r="K82" s="797"/>
      <c r="L82" s="797"/>
      <c r="M82" s="797"/>
      <c r="N82" s="797"/>
      <c r="O82" s="797"/>
      <c r="P82" s="797"/>
      <c r="Q82" s="797"/>
      <c r="R82" s="797"/>
      <c r="S82" s="797"/>
      <c r="T82" s="769"/>
      <c r="U82" s="393"/>
      <c r="V82" s="163"/>
      <c r="W82" s="772"/>
      <c r="X82" s="797"/>
      <c r="Y82" s="797"/>
      <c r="Z82" s="797"/>
      <c r="AA82" s="797"/>
      <c r="AB82" s="797"/>
      <c r="AC82" s="797"/>
      <c r="AD82" s="797"/>
      <c r="AE82" s="797"/>
      <c r="AF82" s="797"/>
      <c r="AG82" s="797"/>
      <c r="AH82" s="797"/>
      <c r="AI82" s="797"/>
      <c r="AJ82" s="769"/>
      <c r="AK82" s="772"/>
      <c r="AL82" s="797"/>
      <c r="AM82" s="797"/>
      <c r="AN82" s="797"/>
      <c r="AO82" s="797"/>
      <c r="AP82" s="797"/>
      <c r="AQ82" s="797"/>
      <c r="AR82" s="797"/>
      <c r="AS82" s="797"/>
      <c r="AT82" s="797"/>
      <c r="AU82" s="797"/>
      <c r="AV82" s="797"/>
      <c r="AW82" s="797"/>
      <c r="AX82" s="769"/>
      <c r="AY82" s="393"/>
      <c r="AZ82" s="163"/>
      <c r="BA82" s="772"/>
      <c r="BB82" s="797"/>
      <c r="BC82" s="797"/>
      <c r="BD82" s="797"/>
      <c r="BE82" s="797"/>
      <c r="BF82" s="797"/>
      <c r="BG82" s="797"/>
      <c r="BH82" s="797"/>
      <c r="BI82" s="797"/>
      <c r="BJ82" s="797"/>
      <c r="BK82" s="797"/>
      <c r="BL82" s="797"/>
      <c r="BM82" s="797"/>
      <c r="BN82" s="769"/>
      <c r="BO82" s="772"/>
      <c r="BP82" s="797"/>
      <c r="BQ82" s="797"/>
      <c r="BR82" s="797"/>
      <c r="BS82" s="797"/>
      <c r="BT82" s="797"/>
      <c r="BU82" s="797"/>
      <c r="BV82" s="797"/>
      <c r="BW82" s="797"/>
      <c r="BX82" s="797"/>
      <c r="BY82" s="797"/>
      <c r="BZ82" s="797"/>
      <c r="CA82" s="797"/>
      <c r="CB82" s="769"/>
      <c r="CC82" s="393"/>
      <c r="CD82" s="163"/>
      <c r="CE82" s="174"/>
      <c r="CF82" s="797"/>
      <c r="CG82" s="797"/>
      <c r="CH82" s="797"/>
      <c r="CI82" s="797"/>
      <c r="CJ82" s="797"/>
      <c r="CK82" s="797"/>
      <c r="CL82" s="797"/>
      <c r="CM82" s="797"/>
      <c r="CN82" s="797"/>
      <c r="CO82" s="797"/>
      <c r="CP82" s="797"/>
      <c r="CQ82" s="797"/>
      <c r="CR82" s="376"/>
      <c r="CS82" s="769"/>
      <c r="CT82" s="393"/>
      <c r="CU82" s="163"/>
      <c r="CV82" s="323"/>
      <c r="CW82" s="373"/>
      <c r="CX82" s="373"/>
      <c r="CY82" s="373"/>
      <c r="CZ82" s="373"/>
      <c r="DA82" s="373"/>
      <c r="DB82" s="373"/>
      <c r="DC82" s="374"/>
      <c r="DD82" s="373"/>
      <c r="DE82" s="373"/>
      <c r="DF82" s="373"/>
      <c r="DG82" s="373"/>
      <c r="DH82" s="373"/>
      <c r="DI82" s="375"/>
      <c r="DJ82" s="323"/>
      <c r="DK82" s="373"/>
      <c r="DL82" s="373"/>
      <c r="DM82" s="373"/>
      <c r="DN82" s="373"/>
      <c r="DO82" s="373"/>
      <c r="DP82" s="373"/>
      <c r="DQ82" s="374"/>
      <c r="DR82" s="373"/>
      <c r="DS82" s="373"/>
      <c r="DT82" s="373"/>
      <c r="DU82" s="373"/>
      <c r="DV82" s="373"/>
      <c r="DW82" s="375"/>
      <c r="DY82" s="373"/>
      <c r="DZ82" s="373"/>
      <c r="EA82" s="373"/>
      <c r="EB82" s="373"/>
      <c r="EC82" s="373"/>
      <c r="ED82" s="373"/>
      <c r="EE82" s="374"/>
      <c r="EF82" s="373"/>
      <c r="EG82" s="373"/>
      <c r="EH82" s="373"/>
      <c r="EI82" s="373"/>
      <c r="EJ82" s="373"/>
      <c r="EK82" s="375"/>
      <c r="EL82" s="164"/>
      <c r="EM82" s="373"/>
      <c r="EN82" s="373"/>
      <c r="EO82" s="373"/>
      <c r="EP82" s="373"/>
      <c r="EQ82" s="373"/>
      <c r="ER82" s="373"/>
      <c r="ES82" s="374"/>
      <c r="ET82" s="373"/>
      <c r="EU82" s="373"/>
      <c r="EV82" s="373"/>
      <c r="EW82" s="373"/>
      <c r="EX82" s="373"/>
      <c r="EY82" s="375"/>
      <c r="EZ82" s="164"/>
    </row>
    <row r="83" spans="1:156" s="785" customFormat="1" ht="21.75" customHeight="1">
      <c r="B83" s="795"/>
      <c r="C83" s="795"/>
      <c r="D83" s="795"/>
      <c r="E83" s="785" t="s">
        <v>1068</v>
      </c>
      <c r="F83" s="952"/>
      <c r="G83" s="795"/>
      <c r="H83" s="794">
        <f t="shared" ref="H83:T83" si="258">H65-H81</f>
        <v>0</v>
      </c>
      <c r="I83" s="794">
        <f t="shared" si="258"/>
        <v>0</v>
      </c>
      <c r="J83" s="794">
        <f t="shared" si="258"/>
        <v>0</v>
      </c>
      <c r="K83" s="794">
        <f t="shared" si="258"/>
        <v>0</v>
      </c>
      <c r="L83" s="794">
        <f t="shared" si="258"/>
        <v>0</v>
      </c>
      <c r="M83" s="794">
        <f t="shared" si="258"/>
        <v>0</v>
      </c>
      <c r="N83" s="794">
        <f t="shared" si="258"/>
        <v>0</v>
      </c>
      <c r="O83" s="794">
        <f t="shared" si="258"/>
        <v>0</v>
      </c>
      <c r="P83" s="794">
        <f t="shared" si="258"/>
        <v>0</v>
      </c>
      <c r="Q83" s="794">
        <f t="shared" si="258"/>
        <v>0</v>
      </c>
      <c r="R83" s="794">
        <f t="shared" si="258"/>
        <v>0</v>
      </c>
      <c r="S83" s="794">
        <f t="shared" si="258"/>
        <v>356853859.69234163</v>
      </c>
      <c r="T83" s="792">
        <f t="shared" si="258"/>
        <v>356853859.69234163</v>
      </c>
      <c r="U83" s="378">
        <f>T83-AJ83</f>
        <v>45453544.007752001</v>
      </c>
      <c r="V83" s="165">
        <f>U83/AJ83</f>
        <v>0.14596499013761718</v>
      </c>
      <c r="W83" s="796"/>
      <c r="X83" s="794">
        <f t="shared" ref="X83:AJ83" si="259">X65-X81</f>
        <v>25296314.177193303</v>
      </c>
      <c r="Y83" s="794">
        <f t="shared" si="259"/>
        <v>19766214.308336899</v>
      </c>
      <c r="Z83" s="794">
        <f t="shared" si="259"/>
        <v>13000464.168766903</v>
      </c>
      <c r="AA83" s="794">
        <f t="shared" si="259"/>
        <v>8495488.1145389974</v>
      </c>
      <c r="AB83" s="794">
        <f t="shared" si="259"/>
        <v>8080538.546252002</v>
      </c>
      <c r="AC83" s="794">
        <f t="shared" si="259"/>
        <v>16713644.022837996</v>
      </c>
      <c r="AD83" s="794">
        <f t="shared" si="259"/>
        <v>23724124.889712706</v>
      </c>
      <c r="AE83" s="794">
        <f t="shared" si="259"/>
        <v>48754854.451017112</v>
      </c>
      <c r="AF83" s="794">
        <f t="shared" si="259"/>
        <v>50051910.892501898</v>
      </c>
      <c r="AG83" s="794">
        <f t="shared" si="259"/>
        <v>5909766.6942783035</v>
      </c>
      <c r="AH83" s="794">
        <f t="shared" si="259"/>
        <v>45687631.905346699</v>
      </c>
      <c r="AI83" s="794">
        <f t="shared" si="259"/>
        <v>45919363.513806812</v>
      </c>
      <c r="AJ83" s="792">
        <f t="shared" si="259"/>
        <v>311400315.68458962</v>
      </c>
      <c r="AK83" s="796"/>
      <c r="AL83" s="794">
        <f t="shared" ref="AL83:AX83" si="260">AL65-AL81</f>
        <v>0</v>
      </c>
      <c r="AM83" s="794">
        <f t="shared" si="260"/>
        <v>0</v>
      </c>
      <c r="AN83" s="794">
        <f t="shared" si="260"/>
        <v>0</v>
      </c>
      <c r="AO83" s="794">
        <f t="shared" si="260"/>
        <v>0</v>
      </c>
      <c r="AP83" s="794">
        <f t="shared" si="260"/>
        <v>0</v>
      </c>
      <c r="AQ83" s="794">
        <f t="shared" si="260"/>
        <v>0</v>
      </c>
      <c r="AR83" s="794">
        <f t="shared" si="260"/>
        <v>0</v>
      </c>
      <c r="AS83" s="794">
        <f t="shared" si="260"/>
        <v>0</v>
      </c>
      <c r="AT83" s="794">
        <f t="shared" si="260"/>
        <v>0</v>
      </c>
      <c r="AU83" s="794">
        <f t="shared" si="260"/>
        <v>0</v>
      </c>
      <c r="AV83" s="794">
        <f t="shared" si="260"/>
        <v>0</v>
      </c>
      <c r="AW83" s="794">
        <f t="shared" si="260"/>
        <v>346585047.14389795</v>
      </c>
      <c r="AX83" s="792">
        <f t="shared" si="260"/>
        <v>346585047.14389795</v>
      </c>
      <c r="AY83" s="378">
        <f>AX83-BN83</f>
        <v>121272559.16796604</v>
      </c>
      <c r="AZ83" s="165">
        <f>AY83/BN83</f>
        <v>0.53824162281196097</v>
      </c>
      <c r="BA83" s="796"/>
      <c r="BB83" s="794">
        <f t="shared" ref="BB83:BN83" si="261">BB65-BB81</f>
        <v>1286986.4848716543</v>
      </c>
      <c r="BC83" s="794">
        <f t="shared" si="261"/>
        <v>2942208.087094334</v>
      </c>
      <c r="BD83" s="794">
        <f t="shared" si="261"/>
        <v>10252314.282859216</v>
      </c>
      <c r="BE83" s="794">
        <f t="shared" si="261"/>
        <v>3219338.1048267977</v>
      </c>
      <c r="BF83" s="794">
        <f t="shared" si="261"/>
        <v>6449104.1602450013</v>
      </c>
      <c r="BG83" s="794">
        <f t="shared" si="261"/>
        <v>8474338.8693003971</v>
      </c>
      <c r="BH83" s="794">
        <f t="shared" si="261"/>
        <v>11413546.481372803</v>
      </c>
      <c r="BI83" s="794">
        <f t="shared" si="261"/>
        <v>33468285.389087114</v>
      </c>
      <c r="BJ83" s="794">
        <f t="shared" si="261"/>
        <v>40591871.984198101</v>
      </c>
      <c r="BK83" s="794">
        <f t="shared" si="261"/>
        <v>54895605.596077688</v>
      </c>
      <c r="BL83" s="794">
        <f t="shared" si="261"/>
        <v>31810264.3668251</v>
      </c>
      <c r="BM83" s="794">
        <f t="shared" si="261"/>
        <v>20508624.169173695</v>
      </c>
      <c r="BN83" s="792">
        <f t="shared" si="261"/>
        <v>225312487.97593191</v>
      </c>
      <c r="BO83" s="796"/>
      <c r="BP83" s="794">
        <f t="shared" ref="BP83:CB83" si="262">BP65-BP81</f>
        <v>1974640.8665674478</v>
      </c>
      <c r="BQ83" s="794">
        <f t="shared" si="262"/>
        <v>4247200.9777166573</v>
      </c>
      <c r="BR83" s="794">
        <f t="shared" si="262"/>
        <v>13173837.073306834</v>
      </c>
      <c r="BS83" s="794">
        <f t="shared" si="262"/>
        <v>7961995.7040740727</v>
      </c>
      <c r="BT83" s="794">
        <f t="shared" si="262"/>
        <v>26317234.319983199</v>
      </c>
      <c r="BU83" s="794">
        <f t="shared" si="262"/>
        <v>52262619.602225415</v>
      </c>
      <c r="BV83" s="794">
        <f t="shared" si="262"/>
        <v>20109461.073288132</v>
      </c>
      <c r="BW83" s="794">
        <f t="shared" si="262"/>
        <v>49356915.896304823</v>
      </c>
      <c r="BX83" s="794">
        <f t="shared" si="262"/>
        <v>62391089.173615418</v>
      </c>
      <c r="BY83" s="794">
        <f t="shared" si="262"/>
        <v>43993198.551494621</v>
      </c>
      <c r="BZ83" s="794">
        <f t="shared" si="262"/>
        <v>19420815.16458372</v>
      </c>
      <c r="CA83" s="794">
        <f t="shared" si="262"/>
        <v>66639895.799932607</v>
      </c>
      <c r="CB83" s="792">
        <f t="shared" si="262"/>
        <v>367848904.20309299</v>
      </c>
      <c r="CC83" s="791"/>
      <c r="CD83" s="790"/>
      <c r="CE83" s="795"/>
      <c r="CF83" s="794">
        <f t="shared" ref="CF83:CQ83" si="263">CF65-CF81</f>
        <v>18310744.976155911</v>
      </c>
      <c r="CG83" s="794">
        <f t="shared" si="263"/>
        <v>34029779.63283167</v>
      </c>
      <c r="CH83" s="794">
        <f t="shared" si="263"/>
        <v>35450306.945452571</v>
      </c>
      <c r="CI83" s="794">
        <f t="shared" si="263"/>
        <v>20646852.883132212</v>
      </c>
      <c r="CJ83" s="794">
        <f t="shared" si="263"/>
        <v>33655499.495408006</v>
      </c>
      <c r="CK83" s="794">
        <f t="shared" si="263"/>
        <v>32870679.964049086</v>
      </c>
      <c r="CL83" s="794">
        <f t="shared" si="263"/>
        <v>58259587.655709416</v>
      </c>
      <c r="CM83" s="794">
        <f t="shared" si="263"/>
        <v>39488905.546609402</v>
      </c>
      <c r="CN83" s="794">
        <f t="shared" si="263"/>
        <v>33476385.290865</v>
      </c>
      <c r="CO83" s="794">
        <f t="shared" si="263"/>
        <v>33804832.075084195</v>
      </c>
      <c r="CP83" s="794">
        <f t="shared" si="263"/>
        <v>48437117.034471601</v>
      </c>
      <c r="CQ83" s="794">
        <f t="shared" si="263"/>
        <v>33623224.307839297</v>
      </c>
      <c r="CR83" s="793"/>
      <c r="CS83" s="792">
        <f>CS65-CS81</f>
        <v>422053915.80760831</v>
      </c>
      <c r="CT83" s="791"/>
      <c r="CU83" s="790"/>
      <c r="CV83" s="789"/>
      <c r="CW83" s="787"/>
      <c r="CX83" s="787"/>
      <c r="CY83" s="787"/>
      <c r="CZ83" s="787"/>
      <c r="DA83" s="787"/>
      <c r="DB83" s="787"/>
      <c r="DC83" s="788"/>
      <c r="DD83" s="787"/>
      <c r="DE83" s="787"/>
      <c r="DF83" s="787"/>
      <c r="DG83" s="787"/>
      <c r="DH83" s="787"/>
      <c r="DI83" s="493"/>
      <c r="DJ83" s="789"/>
      <c r="DK83" s="787"/>
      <c r="DL83" s="787"/>
      <c r="DM83" s="787"/>
      <c r="DN83" s="787"/>
      <c r="DO83" s="787"/>
      <c r="DP83" s="787"/>
      <c r="DQ83" s="788"/>
      <c r="DR83" s="787"/>
      <c r="DS83" s="787"/>
      <c r="DT83" s="787"/>
      <c r="DU83" s="787"/>
      <c r="DV83" s="787"/>
      <c r="DW83" s="493"/>
      <c r="DY83" s="787"/>
      <c r="DZ83" s="787"/>
      <c r="EA83" s="787"/>
      <c r="EB83" s="787"/>
      <c r="EC83" s="787"/>
      <c r="ED83" s="787"/>
      <c r="EE83" s="788"/>
      <c r="EF83" s="787"/>
      <c r="EG83" s="787"/>
      <c r="EH83" s="787"/>
      <c r="EI83" s="787"/>
      <c r="EJ83" s="787"/>
      <c r="EK83" s="493"/>
      <c r="EL83" s="786"/>
      <c r="EM83" s="787"/>
      <c r="EN83" s="787"/>
      <c r="EO83" s="787"/>
      <c r="EP83" s="787"/>
      <c r="EQ83" s="787"/>
      <c r="ER83" s="787"/>
      <c r="ES83" s="788"/>
      <c r="ET83" s="787"/>
      <c r="EU83" s="787"/>
      <c r="EV83" s="787"/>
      <c r="EW83" s="787"/>
      <c r="EX83" s="787"/>
      <c r="EY83" s="493"/>
      <c r="EZ83" s="786"/>
    </row>
    <row r="84" spans="1:156" s="173" customFormat="1">
      <c r="B84" s="174"/>
      <c r="C84" s="174"/>
      <c r="D84" s="174"/>
      <c r="E84" s="155"/>
      <c r="F84" s="174"/>
      <c r="G84" s="174"/>
      <c r="H84" s="374"/>
      <c r="I84" s="374"/>
      <c r="J84" s="374"/>
      <c r="K84" s="374"/>
      <c r="L84" s="374"/>
      <c r="M84" s="374"/>
      <c r="N84" s="374"/>
      <c r="O84" s="374"/>
      <c r="P84" s="374"/>
      <c r="Q84" s="374"/>
      <c r="R84" s="374"/>
      <c r="S84" s="374"/>
      <c r="T84" s="375"/>
      <c r="U84" s="717"/>
      <c r="V84" s="784"/>
      <c r="W84" s="772"/>
      <c r="X84" s="374"/>
      <c r="Y84" s="374"/>
      <c r="Z84" s="374"/>
      <c r="AA84" s="374"/>
      <c r="AB84" s="374"/>
      <c r="AC84" s="374"/>
      <c r="AD84" s="374"/>
      <c r="AE84" s="374"/>
      <c r="AF84" s="374"/>
      <c r="AG84" s="374"/>
      <c r="AH84" s="374"/>
      <c r="AI84" s="374"/>
      <c r="AJ84" s="375"/>
      <c r="AK84" s="772"/>
      <c r="AL84" s="374"/>
      <c r="AM84" s="374"/>
      <c r="AN84" s="374"/>
      <c r="AO84" s="374"/>
      <c r="AP84" s="374"/>
      <c r="AQ84" s="374"/>
      <c r="AR84" s="374"/>
      <c r="AS84" s="374"/>
      <c r="AT84" s="374"/>
      <c r="AU84" s="374"/>
      <c r="AV84" s="374"/>
      <c r="AW84" s="374"/>
      <c r="AX84" s="375"/>
      <c r="AY84" s="717"/>
      <c r="AZ84" s="784"/>
      <c r="BA84" s="772"/>
      <c r="BB84" s="374"/>
      <c r="BC84" s="374"/>
      <c r="BD84" s="374"/>
      <c r="BE84" s="374"/>
      <c r="BF84" s="374"/>
      <c r="BG84" s="374"/>
      <c r="BH84" s="374"/>
      <c r="BI84" s="374"/>
      <c r="BJ84" s="374"/>
      <c r="BK84" s="374"/>
      <c r="BL84" s="374"/>
      <c r="BM84" s="374"/>
      <c r="BN84" s="375"/>
      <c r="BO84" s="772"/>
      <c r="BP84" s="373"/>
      <c r="BQ84" s="373"/>
      <c r="BR84" s="373"/>
      <c r="BS84" s="373"/>
      <c r="BT84" s="373"/>
      <c r="BU84" s="373"/>
      <c r="BV84" s="374"/>
      <c r="BW84" s="373"/>
      <c r="BX84" s="373"/>
      <c r="BY84" s="373"/>
      <c r="BZ84" s="373"/>
      <c r="CA84" s="373"/>
      <c r="CB84" s="375"/>
      <c r="CC84" s="717"/>
      <c r="CD84" s="784"/>
      <c r="CE84" s="323"/>
      <c r="CF84" s="374"/>
      <c r="CG84" s="374"/>
      <c r="CH84" s="374"/>
      <c r="CI84" s="374"/>
      <c r="CJ84" s="374"/>
      <c r="CK84" s="374"/>
      <c r="CL84" s="374"/>
      <c r="CM84" s="374"/>
      <c r="CN84" s="374"/>
      <c r="CO84" s="374"/>
      <c r="CP84" s="374"/>
      <c r="CQ84" s="374"/>
      <c r="CR84" s="374"/>
      <c r="CS84" s="402"/>
      <c r="CT84" s="393"/>
      <c r="CU84" s="163"/>
      <c r="CV84" s="323"/>
      <c r="CW84" s="373"/>
      <c r="CX84" s="373"/>
      <c r="CY84" s="373"/>
      <c r="CZ84" s="373"/>
      <c r="DA84" s="373"/>
      <c r="DB84" s="373"/>
      <c r="DC84" s="374"/>
      <c r="DD84" s="373"/>
      <c r="DE84" s="373"/>
      <c r="DF84" s="373"/>
      <c r="DG84" s="373"/>
      <c r="DH84" s="373"/>
      <c r="DI84" s="375"/>
      <c r="DJ84" s="323"/>
      <c r="DK84" s="373"/>
      <c r="DL84" s="373"/>
      <c r="DM84" s="373"/>
      <c r="DN84" s="373"/>
      <c r="DO84" s="373"/>
      <c r="DP84" s="373"/>
      <c r="DQ84" s="374"/>
      <c r="DR84" s="373"/>
      <c r="DS84" s="373"/>
      <c r="DT84" s="373"/>
      <c r="DU84" s="373"/>
      <c r="DV84" s="373"/>
      <c r="DW84" s="375"/>
      <c r="DY84" s="373"/>
      <c r="DZ84" s="373"/>
      <c r="EA84" s="373"/>
      <c r="EB84" s="373"/>
      <c r="EC84" s="373"/>
      <c r="ED84" s="373"/>
      <c r="EE84" s="374"/>
      <c r="EF84" s="373"/>
      <c r="EG84" s="373"/>
      <c r="EH84" s="373"/>
      <c r="EI84" s="373"/>
      <c r="EJ84" s="373"/>
      <c r="EK84" s="375"/>
      <c r="EL84" s="164"/>
      <c r="EM84" s="373"/>
      <c r="EN84" s="373"/>
      <c r="EO84" s="373"/>
      <c r="EP84" s="373"/>
      <c r="EQ84" s="373"/>
      <c r="ER84" s="373"/>
      <c r="ES84" s="374"/>
      <c r="ET84" s="373"/>
      <c r="EU84" s="373"/>
      <c r="EV84" s="373"/>
      <c r="EW84" s="373"/>
      <c r="EX84" s="373"/>
      <c r="EY84" s="375"/>
      <c r="EZ84" s="164"/>
    </row>
    <row r="85" spans="1:156" s="173" customFormat="1" outlineLevel="1">
      <c r="B85" s="174"/>
      <c r="C85" s="174"/>
      <c r="D85" s="174"/>
      <c r="E85" s="155"/>
      <c r="F85" s="174"/>
      <c r="G85" s="174"/>
      <c r="H85" s="374"/>
      <c r="I85" s="374"/>
      <c r="J85" s="374"/>
      <c r="K85" s="374"/>
      <c r="L85" s="374"/>
      <c r="M85" s="374"/>
      <c r="N85" s="374"/>
      <c r="O85" s="374"/>
      <c r="P85" s="374"/>
      <c r="Q85" s="374"/>
      <c r="R85" s="374"/>
      <c r="S85" s="374"/>
      <c r="T85" s="375"/>
      <c r="U85" s="717"/>
      <c r="V85" s="784"/>
      <c r="W85" s="772"/>
      <c r="X85" s="374"/>
      <c r="Y85" s="374"/>
      <c r="Z85" s="374"/>
      <c r="AA85" s="374"/>
      <c r="AB85" s="374"/>
      <c r="AC85" s="374"/>
      <c r="AD85" s="374"/>
      <c r="AE85" s="374"/>
      <c r="AF85" s="374"/>
      <c r="AG85" s="374"/>
      <c r="AH85" s="374"/>
      <c r="AI85" s="374"/>
      <c r="AJ85" s="375"/>
      <c r="AK85" s="772"/>
      <c r="AL85" s="374"/>
      <c r="AM85" s="374"/>
      <c r="AN85" s="374"/>
      <c r="AO85" s="374"/>
      <c r="AP85" s="374"/>
      <c r="AQ85" s="374"/>
      <c r="AR85" s="374"/>
      <c r="AS85" s="374"/>
      <c r="AT85" s="374"/>
      <c r="AU85" s="374"/>
      <c r="AV85" s="374"/>
      <c r="AW85" s="374"/>
      <c r="AX85" s="375"/>
      <c r="AY85" s="717"/>
      <c r="AZ85" s="784"/>
      <c r="BA85" s="772"/>
      <c r="BB85" s="374"/>
      <c r="BC85" s="374"/>
      <c r="BD85" s="374"/>
      <c r="BE85" s="374"/>
      <c r="BF85" s="374"/>
      <c r="BG85" s="374"/>
      <c r="BH85" s="374"/>
      <c r="BI85" s="374"/>
      <c r="BJ85" s="374"/>
      <c r="BK85" s="374"/>
      <c r="BL85" s="374"/>
      <c r="BM85" s="374"/>
      <c r="BN85" s="375"/>
      <c r="BO85" s="772"/>
      <c r="BP85" s="373"/>
      <c r="BQ85" s="373"/>
      <c r="BR85" s="373"/>
      <c r="BS85" s="373"/>
      <c r="BT85" s="373"/>
      <c r="BU85" s="373"/>
      <c r="BV85" s="374"/>
      <c r="BW85" s="373"/>
      <c r="BX85" s="373"/>
      <c r="BY85" s="373"/>
      <c r="BZ85" s="373"/>
      <c r="CA85" s="373"/>
      <c r="CB85" s="375"/>
      <c r="CC85" s="717"/>
      <c r="CD85" s="784"/>
      <c r="CE85" s="323"/>
      <c r="CF85" s="374"/>
      <c r="CG85" s="374"/>
      <c r="CH85" s="374"/>
      <c r="CI85" s="374"/>
      <c r="CJ85" s="374"/>
      <c r="CK85" s="374"/>
      <c r="CL85" s="374"/>
      <c r="CM85" s="374"/>
      <c r="CN85" s="374"/>
      <c r="CO85" s="374"/>
      <c r="CP85" s="374"/>
      <c r="CQ85" s="374"/>
      <c r="CR85" s="374"/>
      <c r="CS85" s="402"/>
      <c r="CT85" s="393"/>
      <c r="CU85" s="163"/>
      <c r="CV85" s="323"/>
      <c r="CW85" s="373"/>
      <c r="CX85" s="373"/>
      <c r="CY85" s="373"/>
      <c r="CZ85" s="373"/>
      <c r="DA85" s="373"/>
      <c r="DB85" s="373"/>
      <c r="DC85" s="374"/>
      <c r="DD85" s="373"/>
      <c r="DE85" s="373"/>
      <c r="DF85" s="373"/>
      <c r="DG85" s="373"/>
      <c r="DH85" s="373"/>
      <c r="DI85" s="375"/>
      <c r="DJ85" s="323"/>
      <c r="DK85" s="373"/>
      <c r="DL85" s="373"/>
      <c r="DM85" s="373"/>
      <c r="DN85" s="373"/>
      <c r="DO85" s="373"/>
      <c r="DP85" s="373"/>
      <c r="DQ85" s="374"/>
      <c r="DR85" s="373"/>
      <c r="DS85" s="373"/>
      <c r="DT85" s="373"/>
      <c r="DU85" s="373"/>
      <c r="DV85" s="373"/>
      <c r="DW85" s="375"/>
      <c r="DY85" s="373"/>
      <c r="DZ85" s="373"/>
      <c r="EA85" s="373"/>
      <c r="EB85" s="373"/>
      <c r="EC85" s="373"/>
      <c r="ED85" s="373"/>
      <c r="EE85" s="374"/>
      <c r="EF85" s="373"/>
      <c r="EG85" s="373"/>
      <c r="EH85" s="373"/>
      <c r="EI85" s="373"/>
      <c r="EJ85" s="373"/>
      <c r="EK85" s="375"/>
      <c r="EL85" s="164"/>
      <c r="EM85" s="373"/>
      <c r="EN85" s="373"/>
      <c r="EO85" s="373"/>
      <c r="EP85" s="373"/>
      <c r="EQ85" s="373"/>
      <c r="ER85" s="373"/>
      <c r="ES85" s="374"/>
      <c r="ET85" s="373"/>
      <c r="EU85" s="373"/>
      <c r="EV85" s="373"/>
      <c r="EW85" s="373"/>
      <c r="EX85" s="373"/>
      <c r="EY85" s="375"/>
      <c r="EZ85" s="164"/>
    </row>
    <row r="86" spans="1:156" ht="16.5" customHeight="1" outlineLevel="1">
      <c r="E86" s="199" t="s">
        <v>311</v>
      </c>
      <c r="H86" s="374"/>
      <c r="I86" s="374"/>
      <c r="J86" s="374"/>
      <c r="K86" s="374"/>
      <c r="L86" s="374"/>
      <c r="M86" s="374"/>
      <c r="N86" s="374"/>
      <c r="O86" s="374"/>
      <c r="P86" s="374"/>
      <c r="Q86" s="374"/>
      <c r="R86" s="374"/>
      <c r="S86" s="374"/>
      <c r="T86" s="375"/>
      <c r="U86" s="717"/>
      <c r="V86" s="784"/>
      <c r="X86" s="374"/>
      <c r="Y86" s="374"/>
      <c r="Z86" s="374"/>
      <c r="AA86" s="374"/>
      <c r="AB86" s="374"/>
      <c r="AC86" s="374"/>
      <c r="AD86" s="374"/>
      <c r="AE86" s="374"/>
      <c r="AF86" s="374"/>
      <c r="AG86" s="374"/>
      <c r="AH86" s="374"/>
      <c r="AI86" s="374"/>
      <c r="AJ86" s="375"/>
      <c r="AL86" s="374"/>
      <c r="AM86" s="374"/>
      <c r="AN86" s="374"/>
      <c r="AO86" s="374"/>
      <c r="AP86" s="374"/>
      <c r="AQ86" s="374"/>
      <c r="AR86" s="374"/>
      <c r="AS86" s="374"/>
      <c r="AT86" s="374"/>
      <c r="AU86" s="374"/>
      <c r="AV86" s="374"/>
      <c r="AW86" s="374"/>
      <c r="AX86" s="375"/>
      <c r="AY86" s="717"/>
      <c r="AZ86" s="784"/>
      <c r="BB86" s="374"/>
      <c r="BC86" s="374"/>
      <c r="BD86" s="374"/>
      <c r="BE86" s="374"/>
      <c r="BF86" s="374"/>
      <c r="BG86" s="374"/>
      <c r="BH86" s="374"/>
      <c r="BI86" s="374"/>
      <c r="BJ86" s="374"/>
      <c r="BK86" s="374"/>
      <c r="BL86" s="374"/>
      <c r="BM86" s="374"/>
      <c r="BN86" s="375"/>
      <c r="BP86" s="373"/>
      <c r="BQ86" s="373"/>
      <c r="BR86" s="373"/>
      <c r="BS86" s="373"/>
      <c r="BT86" s="373"/>
      <c r="BU86" s="373"/>
      <c r="BV86" s="374"/>
      <c r="BW86" s="373"/>
      <c r="BX86" s="373"/>
      <c r="BY86" s="373"/>
      <c r="BZ86" s="373"/>
      <c r="CA86" s="373"/>
      <c r="CB86" s="375"/>
      <c r="CC86" s="717"/>
      <c r="CD86" s="784"/>
      <c r="CE86" s="312"/>
      <c r="CF86" s="374"/>
      <c r="CG86" s="374"/>
      <c r="CH86" s="374"/>
      <c r="CI86" s="374"/>
      <c r="CJ86" s="374"/>
      <c r="CK86" s="374"/>
      <c r="CL86" s="374"/>
      <c r="CM86" s="374"/>
      <c r="CN86" s="374"/>
      <c r="CO86" s="374"/>
      <c r="CP86" s="374"/>
      <c r="CQ86" s="374"/>
      <c r="CR86" s="374"/>
      <c r="CS86" s="402"/>
      <c r="CT86" s="393"/>
      <c r="CU86" s="163"/>
      <c r="CW86" s="373"/>
      <c r="CX86" s="373"/>
      <c r="CY86" s="373"/>
      <c r="CZ86" s="373"/>
      <c r="DA86" s="373"/>
      <c r="DB86" s="373"/>
      <c r="DC86" s="374"/>
      <c r="DD86" s="373"/>
      <c r="DE86" s="373"/>
      <c r="DF86" s="373"/>
      <c r="DG86" s="373"/>
      <c r="DH86" s="373"/>
      <c r="DI86" s="375"/>
      <c r="DK86" s="373"/>
      <c r="DL86" s="373"/>
      <c r="DM86" s="373"/>
      <c r="DN86" s="373"/>
      <c r="DO86" s="373"/>
      <c r="DP86" s="373"/>
      <c r="DQ86" s="374"/>
      <c r="DR86" s="373"/>
      <c r="DS86" s="373"/>
      <c r="DT86" s="373"/>
      <c r="DU86" s="373"/>
      <c r="DV86" s="373"/>
      <c r="DW86" s="375"/>
      <c r="DY86" s="373"/>
      <c r="DZ86" s="373"/>
      <c r="EA86" s="373"/>
      <c r="EB86" s="373"/>
      <c r="EC86" s="373"/>
      <c r="ED86" s="373"/>
      <c r="EE86" s="374"/>
      <c r="EF86" s="373"/>
      <c r="EG86" s="373"/>
      <c r="EH86" s="373"/>
      <c r="EI86" s="373"/>
      <c r="EJ86" s="373"/>
      <c r="EK86" s="375"/>
      <c r="EL86" s="164"/>
      <c r="EM86" s="373"/>
      <c r="EN86" s="373"/>
      <c r="EO86" s="373"/>
      <c r="EP86" s="373"/>
      <c r="EQ86" s="373"/>
      <c r="ER86" s="373"/>
      <c r="ES86" s="374"/>
      <c r="ET86" s="373"/>
      <c r="EU86" s="373"/>
      <c r="EV86" s="373"/>
      <c r="EW86" s="373"/>
      <c r="EX86" s="373"/>
      <c r="EY86" s="375"/>
      <c r="EZ86" s="164"/>
    </row>
    <row r="87" spans="1:156" ht="16.5" customHeight="1" outlineLevel="1">
      <c r="A87" s="185" t="s">
        <v>312</v>
      </c>
      <c r="B87" s="176"/>
      <c r="C87" s="176" t="s">
        <v>1162</v>
      </c>
      <c r="D87" s="176">
        <v>48101000</v>
      </c>
      <c r="E87" s="199"/>
      <c r="F87" s="320" t="s">
        <v>523</v>
      </c>
      <c r="G87" s="320"/>
      <c r="H87" s="374"/>
      <c r="I87" s="374"/>
      <c r="J87" s="374"/>
      <c r="K87" s="374"/>
      <c r="L87" s="374"/>
      <c r="M87" s="374"/>
      <c r="N87" s="374"/>
      <c r="O87" s="374"/>
      <c r="P87" s="374"/>
      <c r="Q87" s="374"/>
      <c r="R87" s="374"/>
      <c r="S87" s="374"/>
      <c r="T87" s="375">
        <f>SUM(H87:S87)</f>
        <v>0</v>
      </c>
      <c r="U87" s="374"/>
      <c r="V87" s="775"/>
      <c r="W87" s="320"/>
      <c r="X87" s="374"/>
      <c r="Y87" s="374"/>
      <c r="Z87" s="374"/>
      <c r="AA87" s="374"/>
      <c r="AB87" s="374"/>
      <c r="AC87" s="374"/>
      <c r="AD87" s="374"/>
      <c r="AE87" s="374"/>
      <c r="AF87" s="374"/>
      <c r="AG87" s="374"/>
      <c r="AH87" s="374"/>
      <c r="AI87" s="374"/>
      <c r="AJ87" s="375">
        <f>SUM(X87:AI87)</f>
        <v>0</v>
      </c>
      <c r="AK87" s="320"/>
      <c r="AL87" s="374"/>
      <c r="AM87" s="374"/>
      <c r="AN87" s="374"/>
      <c r="AO87" s="374"/>
      <c r="AP87" s="374"/>
      <c r="AQ87" s="374"/>
      <c r="AR87" s="374"/>
      <c r="AS87" s="374"/>
      <c r="AT87" s="374"/>
      <c r="AU87" s="374"/>
      <c r="AV87" s="374"/>
      <c r="AW87" s="374"/>
      <c r="AX87" s="375">
        <f>SUM(AL87:AW87)</f>
        <v>0</v>
      </c>
      <c r="AY87" s="374"/>
      <c r="AZ87" s="775"/>
      <c r="BA87" s="320"/>
      <c r="BB87" s="374"/>
      <c r="BC87" s="374"/>
      <c r="BD87" s="374"/>
      <c r="BE87" s="374"/>
      <c r="BF87" s="374"/>
      <c r="BG87" s="374"/>
      <c r="BH87" s="374"/>
      <c r="BI87" s="374"/>
      <c r="BJ87" s="374"/>
      <c r="BK87" s="374"/>
      <c r="BL87" s="374"/>
      <c r="BM87" s="374"/>
      <c r="BN87" s="375">
        <f>SUM(BB87:BM87)</f>
        <v>0</v>
      </c>
      <c r="BO87" s="320"/>
      <c r="BP87" s="373"/>
      <c r="BQ87" s="373"/>
      <c r="BR87" s="373"/>
      <c r="BS87" s="373"/>
      <c r="BT87" s="373"/>
      <c r="BU87" s="373"/>
      <c r="BV87" s="373"/>
      <c r="BW87" s="373"/>
      <c r="BX87" s="373"/>
      <c r="BY87" s="373"/>
      <c r="BZ87" s="373"/>
      <c r="CA87" s="373"/>
      <c r="CB87" s="375">
        <f>SUM(BP87:CA87)</f>
        <v>0</v>
      </c>
      <c r="CC87" s="374"/>
      <c r="CD87" s="775"/>
      <c r="CE87" s="320"/>
      <c r="CF87" s="374"/>
      <c r="CG87" s="374"/>
      <c r="CH87" s="374"/>
      <c r="CI87" s="374"/>
      <c r="CJ87" s="374"/>
      <c r="CK87" s="374"/>
      <c r="CL87" s="374"/>
      <c r="CM87" s="374"/>
      <c r="CN87" s="374"/>
      <c r="CO87" s="374"/>
      <c r="CP87" s="374"/>
      <c r="CQ87" s="374"/>
      <c r="CR87" s="374"/>
      <c r="CS87" s="402"/>
      <c r="CT87" s="378">
        <f>CS87-DW87</f>
        <v>0</v>
      </c>
      <c r="CU87" s="165"/>
      <c r="CV87" s="320"/>
      <c r="CW87" s="373"/>
      <c r="CX87" s="373"/>
      <c r="CY87" s="373"/>
      <c r="CZ87" s="373"/>
      <c r="DA87" s="373"/>
      <c r="DB87" s="373"/>
      <c r="DC87" s="373"/>
      <c r="DD87" s="373"/>
      <c r="DE87" s="373"/>
      <c r="DF87" s="373"/>
      <c r="DG87" s="373"/>
      <c r="DH87" s="373"/>
      <c r="DI87" s="375">
        <f>SUM(CW87:DH87)</f>
        <v>0</v>
      </c>
      <c r="DJ87" s="320"/>
      <c r="DK87" s="373"/>
      <c r="DL87" s="373"/>
      <c r="DM87" s="373"/>
      <c r="DN87" s="373"/>
      <c r="DO87" s="373"/>
      <c r="DP87" s="373"/>
      <c r="DQ87" s="373"/>
      <c r="DR87" s="373"/>
      <c r="DS87" s="373"/>
      <c r="DT87" s="373"/>
      <c r="DU87" s="373"/>
      <c r="DV87" s="373"/>
      <c r="DW87" s="375">
        <f>SUM(DK87:DV87)</f>
        <v>0</v>
      </c>
      <c r="DY87" s="373"/>
      <c r="DZ87" s="373"/>
      <c r="EA87" s="373"/>
      <c r="EB87" s="373"/>
      <c r="EC87" s="373"/>
      <c r="ED87" s="373"/>
      <c r="EE87" s="373"/>
      <c r="EF87" s="373"/>
      <c r="EG87" s="373"/>
      <c r="EH87" s="373"/>
      <c r="EI87" s="373"/>
      <c r="EJ87" s="373"/>
      <c r="EK87" s="375">
        <f>SUM(DY87:EJ87)</f>
        <v>0</v>
      </c>
      <c r="EL87" s="164"/>
      <c r="EM87" s="373"/>
      <c r="EN87" s="373"/>
      <c r="EO87" s="373"/>
      <c r="EP87" s="373"/>
      <c r="EQ87" s="373"/>
      <c r="ER87" s="373"/>
      <c r="ES87" s="373"/>
      <c r="ET87" s="373"/>
      <c r="EU87" s="373"/>
      <c r="EV87" s="373"/>
      <c r="EW87" s="373"/>
      <c r="EX87" s="373"/>
      <c r="EY87" s="375">
        <f>SUM(EM87:EX87)</f>
        <v>0</v>
      </c>
      <c r="EZ87" s="164"/>
    </row>
    <row r="88" spans="1:156" ht="16.5" customHeight="1" outlineLevel="1">
      <c r="A88" s="185" t="s">
        <v>313</v>
      </c>
      <c r="B88" s="176"/>
      <c r="C88" s="176" t="s">
        <v>1163</v>
      </c>
      <c r="D88" s="176">
        <v>48102000</v>
      </c>
      <c r="E88" s="199"/>
      <c r="F88" s="320" t="s">
        <v>524</v>
      </c>
      <c r="G88" s="320"/>
      <c r="H88" s="374"/>
      <c r="I88" s="374"/>
      <c r="J88" s="374"/>
      <c r="K88" s="374"/>
      <c r="L88" s="374"/>
      <c r="M88" s="374"/>
      <c r="N88" s="374"/>
      <c r="O88" s="374"/>
      <c r="P88" s="374"/>
      <c r="Q88" s="374"/>
      <c r="R88" s="374"/>
      <c r="S88" s="374"/>
      <c r="T88" s="375">
        <f>SUM(H88:S88)</f>
        <v>0</v>
      </c>
      <c r="U88" s="374"/>
      <c r="V88" s="775"/>
      <c r="W88" s="320"/>
      <c r="X88" s="374"/>
      <c r="Y88" s="374"/>
      <c r="Z88" s="374"/>
      <c r="AA88" s="374"/>
      <c r="AB88" s="374"/>
      <c r="AC88" s="374"/>
      <c r="AD88" s="374"/>
      <c r="AE88" s="374"/>
      <c r="AF88" s="374"/>
      <c r="AG88" s="374"/>
      <c r="AH88" s="374"/>
      <c r="AI88" s="374"/>
      <c r="AJ88" s="375">
        <f>SUM(X88:AI88)</f>
        <v>0</v>
      </c>
      <c r="AK88" s="320"/>
      <c r="AL88" s="374"/>
      <c r="AM88" s="374"/>
      <c r="AN88" s="374"/>
      <c r="AO88" s="374"/>
      <c r="AP88" s="374"/>
      <c r="AQ88" s="374"/>
      <c r="AR88" s="374"/>
      <c r="AS88" s="374"/>
      <c r="AT88" s="374"/>
      <c r="AU88" s="374"/>
      <c r="AV88" s="374"/>
      <c r="AW88" s="374"/>
      <c r="AX88" s="375">
        <f>SUM(AL88:AW88)</f>
        <v>0</v>
      </c>
      <c r="AY88" s="374"/>
      <c r="AZ88" s="775"/>
      <c r="BA88" s="320"/>
      <c r="BB88" s="374"/>
      <c r="BC88" s="374"/>
      <c r="BD88" s="374"/>
      <c r="BE88" s="374"/>
      <c r="BF88" s="374"/>
      <c r="BG88" s="374"/>
      <c r="BH88" s="374"/>
      <c r="BI88" s="374"/>
      <c r="BJ88" s="374"/>
      <c r="BK88" s="374"/>
      <c r="BL88" s="374"/>
      <c r="BM88" s="374"/>
      <c r="BN88" s="375">
        <f>SUM(BB88:BM88)</f>
        <v>0</v>
      </c>
      <c r="BO88" s="320"/>
      <c r="BP88" s="373"/>
      <c r="BQ88" s="373"/>
      <c r="BR88" s="373"/>
      <c r="BS88" s="373"/>
      <c r="BT88" s="373"/>
      <c r="BU88" s="373"/>
      <c r="BV88" s="373"/>
      <c r="BW88" s="373"/>
      <c r="BX88" s="373"/>
      <c r="BY88" s="373"/>
      <c r="BZ88" s="373"/>
      <c r="CA88" s="373"/>
      <c r="CB88" s="375">
        <f>SUM(BP88:CA88)</f>
        <v>0</v>
      </c>
      <c r="CC88" s="374"/>
      <c r="CD88" s="775"/>
      <c r="CE88" s="320"/>
      <c r="CF88" s="374"/>
      <c r="CG88" s="374"/>
      <c r="CH88" s="374"/>
      <c r="CI88" s="374"/>
      <c r="CJ88" s="374"/>
      <c r="CK88" s="374"/>
      <c r="CL88" s="374"/>
      <c r="CM88" s="374"/>
      <c r="CN88" s="374"/>
      <c r="CO88" s="374"/>
      <c r="CP88" s="374"/>
      <c r="CQ88" s="374"/>
      <c r="CR88" s="374"/>
      <c r="CS88" s="402"/>
      <c r="CT88" s="378">
        <f>CS88-DW88</f>
        <v>0</v>
      </c>
      <c r="CU88" s="165"/>
      <c r="CV88" s="320"/>
      <c r="CW88" s="373"/>
      <c r="CX88" s="373"/>
      <c r="CY88" s="373"/>
      <c r="CZ88" s="373"/>
      <c r="DA88" s="373"/>
      <c r="DB88" s="373"/>
      <c r="DC88" s="373"/>
      <c r="DD88" s="373"/>
      <c r="DE88" s="373"/>
      <c r="DF88" s="373"/>
      <c r="DG88" s="373"/>
      <c r="DH88" s="373"/>
      <c r="DI88" s="375">
        <f>SUM(CW88:DH88)</f>
        <v>0</v>
      </c>
      <c r="DJ88" s="320"/>
      <c r="DK88" s="373"/>
      <c r="DL88" s="373"/>
      <c r="DM88" s="373"/>
      <c r="DN88" s="373"/>
      <c r="DO88" s="373"/>
      <c r="DP88" s="373"/>
      <c r="DQ88" s="373"/>
      <c r="DR88" s="373"/>
      <c r="DS88" s="373"/>
      <c r="DT88" s="373"/>
      <c r="DU88" s="373"/>
      <c r="DV88" s="373"/>
      <c r="DW88" s="375">
        <f>SUM(DK88:DV88)</f>
        <v>0</v>
      </c>
      <c r="DY88" s="373"/>
      <c r="DZ88" s="373"/>
      <c r="EA88" s="373"/>
      <c r="EB88" s="373"/>
      <c r="EC88" s="373"/>
      <c r="ED88" s="373"/>
      <c r="EE88" s="373"/>
      <c r="EF88" s="373"/>
      <c r="EG88" s="373"/>
      <c r="EH88" s="373"/>
      <c r="EI88" s="373"/>
      <c r="EJ88" s="373"/>
      <c r="EK88" s="375">
        <f>SUM(DY88:EJ88)</f>
        <v>0</v>
      </c>
      <c r="EL88" s="164"/>
      <c r="EM88" s="373"/>
      <c r="EN88" s="373"/>
      <c r="EO88" s="373"/>
      <c r="EP88" s="373"/>
      <c r="EQ88" s="373"/>
      <c r="ER88" s="373"/>
      <c r="ES88" s="373"/>
      <c r="ET88" s="373"/>
      <c r="EU88" s="373"/>
      <c r="EV88" s="373"/>
      <c r="EW88" s="373"/>
      <c r="EX88" s="373"/>
      <c r="EY88" s="375">
        <f>SUM(EM88:EX88)</f>
        <v>0</v>
      </c>
      <c r="EZ88" s="164"/>
    </row>
    <row r="89" spans="1:156" ht="16.5" customHeight="1" outlineLevel="1">
      <c r="A89" s="185" t="s">
        <v>313</v>
      </c>
      <c r="B89" s="176"/>
      <c r="C89" s="176" t="s">
        <v>1164</v>
      </c>
      <c r="D89" s="176">
        <v>48103000</v>
      </c>
      <c r="E89" s="199"/>
      <c r="F89" s="320" t="s">
        <v>525</v>
      </c>
      <c r="G89" s="320"/>
      <c r="H89" s="374"/>
      <c r="I89" s="374"/>
      <c r="J89" s="374"/>
      <c r="K89" s="374"/>
      <c r="L89" s="374"/>
      <c r="M89" s="374"/>
      <c r="N89" s="374"/>
      <c r="O89" s="374"/>
      <c r="P89" s="374"/>
      <c r="Q89" s="374"/>
      <c r="R89" s="374"/>
      <c r="S89" s="377">
        <f>4500000+970000</f>
        <v>5470000</v>
      </c>
      <c r="T89" s="375">
        <f>SUM(H89:S89)</f>
        <v>5470000</v>
      </c>
      <c r="U89" s="374"/>
      <c r="V89" s="775"/>
      <c r="W89" s="320"/>
      <c r="X89" s="374"/>
      <c r="Y89" s="374"/>
      <c r="Z89" s="374"/>
      <c r="AA89" s="374"/>
      <c r="AB89" s="374"/>
      <c r="AC89" s="374"/>
      <c r="AD89" s="374"/>
      <c r="AE89" s="374"/>
      <c r="AF89" s="374"/>
      <c r="AG89" s="374"/>
      <c r="AH89" s="374"/>
      <c r="AI89" s="374"/>
      <c r="AJ89" s="375">
        <f>SUM(X89:AI89)</f>
        <v>0</v>
      </c>
      <c r="AK89" s="320"/>
      <c r="AL89" s="374"/>
      <c r="AM89" s="374"/>
      <c r="AN89" s="374"/>
      <c r="AO89" s="374"/>
      <c r="AP89" s="374"/>
      <c r="AQ89" s="374"/>
      <c r="AR89" s="374"/>
      <c r="AS89" s="374"/>
      <c r="AT89" s="374"/>
      <c r="AU89" s="374"/>
      <c r="AV89" s="374"/>
      <c r="AW89" s="374"/>
      <c r="AX89" s="375">
        <f>SUM(AL89:AW89)</f>
        <v>0</v>
      </c>
      <c r="AY89" s="374"/>
      <c r="AZ89" s="775"/>
      <c r="BA89" s="320"/>
      <c r="BB89" s="374"/>
      <c r="BC89" s="374"/>
      <c r="BD89" s="374"/>
      <c r="BE89" s="374"/>
      <c r="BF89" s="374"/>
      <c r="BG89" s="374"/>
      <c r="BH89" s="374"/>
      <c r="BI89" s="374"/>
      <c r="BJ89" s="374"/>
      <c r="BK89" s="374"/>
      <c r="BL89" s="374"/>
      <c r="BM89" s="374"/>
      <c r="BN89" s="375">
        <f>SUM(BB89:BM89)</f>
        <v>0</v>
      </c>
      <c r="BO89" s="320"/>
      <c r="BP89" s="373"/>
      <c r="BQ89" s="373"/>
      <c r="BR89" s="373"/>
      <c r="BS89" s="373"/>
      <c r="BT89" s="373"/>
      <c r="BU89" s="373"/>
      <c r="BV89" s="373"/>
      <c r="BW89" s="373"/>
      <c r="BX89" s="373"/>
      <c r="BY89" s="373"/>
      <c r="BZ89" s="373"/>
      <c r="CA89" s="373"/>
      <c r="CB89" s="375">
        <f>SUM(BP89:CA89)</f>
        <v>0</v>
      </c>
      <c r="CC89" s="374"/>
      <c r="CD89" s="775"/>
      <c r="CE89" s="320"/>
      <c r="CF89" s="374"/>
      <c r="CG89" s="374"/>
      <c r="CH89" s="374"/>
      <c r="CI89" s="374"/>
      <c r="CJ89" s="374"/>
      <c r="CK89" s="374"/>
      <c r="CL89" s="374"/>
      <c r="CM89" s="374"/>
      <c r="CN89" s="374"/>
      <c r="CO89" s="374"/>
      <c r="CP89" s="374"/>
      <c r="CQ89" s="374"/>
      <c r="CR89" s="374"/>
      <c r="CS89" s="402"/>
      <c r="CT89" s="378">
        <f>CS89-DW89</f>
        <v>0</v>
      </c>
      <c r="CU89" s="165"/>
      <c r="CV89" s="320"/>
      <c r="CW89" s="373"/>
      <c r="CX89" s="373"/>
      <c r="CY89" s="373"/>
      <c r="CZ89" s="373"/>
      <c r="DA89" s="373"/>
      <c r="DB89" s="373"/>
      <c r="DC89" s="373"/>
      <c r="DD89" s="373"/>
      <c r="DE89" s="373"/>
      <c r="DF89" s="373"/>
      <c r="DG89" s="373"/>
      <c r="DH89" s="373"/>
      <c r="DI89" s="375">
        <f>SUM(CW89:DH89)</f>
        <v>0</v>
      </c>
      <c r="DJ89" s="320"/>
      <c r="DK89" s="373"/>
      <c r="DL89" s="373"/>
      <c r="DM89" s="373"/>
      <c r="DN89" s="373"/>
      <c r="DO89" s="373"/>
      <c r="DP89" s="373"/>
      <c r="DQ89" s="373"/>
      <c r="DR89" s="373"/>
      <c r="DS89" s="373"/>
      <c r="DT89" s="373"/>
      <c r="DU89" s="373"/>
      <c r="DV89" s="373"/>
      <c r="DW89" s="375">
        <f>SUM(DK89:DV89)</f>
        <v>0</v>
      </c>
      <c r="DY89" s="373"/>
      <c r="DZ89" s="373"/>
      <c r="EA89" s="373"/>
      <c r="EB89" s="373"/>
      <c r="EC89" s="373"/>
      <c r="ED89" s="373"/>
      <c r="EE89" s="373"/>
      <c r="EF89" s="373"/>
      <c r="EG89" s="373"/>
      <c r="EH89" s="373"/>
      <c r="EI89" s="373"/>
      <c r="EJ89" s="373"/>
      <c r="EK89" s="375">
        <f>SUM(DY89:EJ89)</f>
        <v>0</v>
      </c>
      <c r="EL89" s="164"/>
      <c r="EM89" s="373"/>
      <c r="EN89" s="373"/>
      <c r="EO89" s="373"/>
      <c r="EP89" s="373"/>
      <c r="EQ89" s="373"/>
      <c r="ER89" s="373"/>
      <c r="ES89" s="373"/>
      <c r="ET89" s="373"/>
      <c r="EU89" s="373"/>
      <c r="EV89" s="373"/>
      <c r="EW89" s="373"/>
      <c r="EX89" s="373"/>
      <c r="EY89" s="375">
        <f>SUM(EM89:EX89)</f>
        <v>0</v>
      </c>
      <c r="EZ89" s="164"/>
    </row>
    <row r="90" spans="1:156" ht="16.5" customHeight="1" outlineLevel="1">
      <c r="A90" s="185" t="s">
        <v>313</v>
      </c>
      <c r="B90" s="176"/>
      <c r="C90" s="176" t="s">
        <v>1165</v>
      </c>
      <c r="D90" s="176">
        <v>48103500</v>
      </c>
      <c r="E90" s="199"/>
      <c r="F90" s="320" t="s">
        <v>1109</v>
      </c>
      <c r="G90" s="320"/>
      <c r="H90" s="374"/>
      <c r="I90" s="374"/>
      <c r="J90" s="374"/>
      <c r="K90" s="374"/>
      <c r="L90" s="374"/>
      <c r="M90" s="374"/>
      <c r="N90" s="374"/>
      <c r="O90" s="374"/>
      <c r="P90" s="374"/>
      <c r="Q90" s="374"/>
      <c r="R90" s="374"/>
      <c r="S90" s="374"/>
      <c r="T90" s="375"/>
      <c r="U90" s="374"/>
      <c r="V90" s="775"/>
      <c r="W90" s="320"/>
      <c r="X90" s="374"/>
      <c r="Y90" s="374"/>
      <c r="Z90" s="374"/>
      <c r="AA90" s="374"/>
      <c r="AB90" s="374"/>
      <c r="AC90" s="374"/>
      <c r="AD90" s="374"/>
      <c r="AE90" s="374"/>
      <c r="AF90" s="374"/>
      <c r="AG90" s="374"/>
      <c r="AH90" s="374"/>
      <c r="AI90" s="374"/>
      <c r="AJ90" s="375"/>
      <c r="AK90" s="320"/>
      <c r="AL90" s="374"/>
      <c r="AM90" s="374"/>
      <c r="AN90" s="374"/>
      <c r="AO90" s="374"/>
      <c r="AP90" s="374"/>
      <c r="AQ90" s="374"/>
      <c r="AR90" s="374"/>
      <c r="AS90" s="374"/>
      <c r="AT90" s="374"/>
      <c r="AU90" s="374"/>
      <c r="AV90" s="374"/>
      <c r="AW90" s="374"/>
      <c r="AX90" s="375"/>
      <c r="AY90" s="374"/>
      <c r="AZ90" s="775"/>
      <c r="BA90" s="320"/>
      <c r="BB90" s="374"/>
      <c r="BC90" s="374"/>
      <c r="BD90" s="374"/>
      <c r="BE90" s="374"/>
      <c r="BF90" s="374"/>
      <c r="BG90" s="374"/>
      <c r="BH90" s="374"/>
      <c r="BI90" s="374"/>
      <c r="BJ90" s="374"/>
      <c r="BK90" s="374"/>
      <c r="BL90" s="374"/>
      <c r="BM90" s="374"/>
      <c r="BN90" s="375"/>
      <c r="BO90" s="320"/>
      <c r="BP90" s="373"/>
      <c r="BQ90" s="373"/>
      <c r="BR90" s="373"/>
      <c r="BS90" s="373"/>
      <c r="BT90" s="373"/>
      <c r="BU90" s="373"/>
      <c r="BV90" s="373"/>
      <c r="BW90" s="373"/>
      <c r="BX90" s="373"/>
      <c r="BY90" s="373"/>
      <c r="BZ90" s="373"/>
      <c r="CA90" s="373"/>
      <c r="CB90" s="375"/>
      <c r="CC90" s="374"/>
      <c r="CD90" s="775"/>
      <c r="CE90" s="320"/>
      <c r="CF90" s="374"/>
      <c r="CG90" s="374"/>
      <c r="CH90" s="374"/>
      <c r="CI90" s="374"/>
      <c r="CJ90" s="374"/>
      <c r="CK90" s="374"/>
      <c r="CL90" s="374"/>
      <c r="CM90" s="374"/>
      <c r="CN90" s="374"/>
      <c r="CO90" s="374"/>
      <c r="CP90" s="374"/>
      <c r="CQ90" s="374"/>
      <c r="CR90" s="374"/>
      <c r="CS90" s="402"/>
      <c r="CT90" s="378"/>
      <c r="CU90" s="165"/>
      <c r="CV90" s="320"/>
      <c r="CW90" s="373"/>
      <c r="CX90" s="373"/>
      <c r="CY90" s="373"/>
      <c r="CZ90" s="373"/>
      <c r="DA90" s="373"/>
      <c r="DB90" s="373"/>
      <c r="DC90" s="373"/>
      <c r="DD90" s="373"/>
      <c r="DE90" s="373"/>
      <c r="DF90" s="373"/>
      <c r="DG90" s="373"/>
      <c r="DH90" s="373"/>
      <c r="DI90" s="375"/>
      <c r="DJ90" s="320"/>
      <c r="DK90" s="373"/>
      <c r="DL90" s="373"/>
      <c r="DM90" s="373"/>
      <c r="DN90" s="373"/>
      <c r="DO90" s="373"/>
      <c r="DP90" s="373"/>
      <c r="DQ90" s="373"/>
      <c r="DR90" s="373"/>
      <c r="DS90" s="373"/>
      <c r="DT90" s="373"/>
      <c r="DU90" s="373"/>
      <c r="DV90" s="373"/>
      <c r="DW90" s="375"/>
      <c r="DY90" s="373"/>
      <c r="DZ90" s="373"/>
      <c r="EA90" s="373"/>
      <c r="EB90" s="373"/>
      <c r="EC90" s="373"/>
      <c r="ED90" s="373"/>
      <c r="EE90" s="373"/>
      <c r="EF90" s="373"/>
      <c r="EG90" s="373"/>
      <c r="EH90" s="373"/>
      <c r="EI90" s="373"/>
      <c r="EJ90" s="373"/>
      <c r="EK90" s="375"/>
      <c r="EL90" s="164"/>
      <c r="EM90" s="373"/>
      <c r="EN90" s="373"/>
      <c r="EO90" s="373"/>
      <c r="EP90" s="373"/>
      <c r="EQ90" s="373"/>
      <c r="ER90" s="373"/>
      <c r="ES90" s="373"/>
      <c r="ET90" s="373"/>
      <c r="EU90" s="373"/>
      <c r="EV90" s="373"/>
      <c r="EW90" s="373"/>
      <c r="EX90" s="373"/>
      <c r="EY90" s="375"/>
      <c r="EZ90" s="164"/>
    </row>
    <row r="91" spans="1:156" ht="16.5" customHeight="1" outlineLevel="1">
      <c r="A91" s="185" t="s">
        <v>313</v>
      </c>
      <c r="B91" s="176"/>
      <c r="C91" s="176" t="s">
        <v>1166</v>
      </c>
      <c r="D91" s="176">
        <v>48104000</v>
      </c>
      <c r="E91" s="199"/>
      <c r="F91" s="320" t="s">
        <v>526</v>
      </c>
      <c r="G91" s="320"/>
      <c r="H91" s="374"/>
      <c r="I91" s="374"/>
      <c r="J91" s="374"/>
      <c r="K91" s="374"/>
      <c r="L91" s="374"/>
      <c r="M91" s="374"/>
      <c r="N91" s="374"/>
      <c r="O91" s="374"/>
      <c r="P91" s="374"/>
      <c r="Q91" s="374"/>
      <c r="R91" s="374"/>
      <c r="S91" s="374"/>
      <c r="T91" s="375"/>
      <c r="U91" s="374"/>
      <c r="V91" s="775"/>
      <c r="W91" s="320"/>
      <c r="X91" s="374"/>
      <c r="Y91" s="374"/>
      <c r="Z91" s="374"/>
      <c r="AA91" s="374"/>
      <c r="AB91" s="374"/>
      <c r="AC91" s="374"/>
      <c r="AD91" s="374"/>
      <c r="AE91" s="374"/>
      <c r="AF91" s="374"/>
      <c r="AG91" s="374"/>
      <c r="AH91" s="374"/>
      <c r="AI91" s="374"/>
      <c r="AJ91" s="375"/>
      <c r="AK91" s="320"/>
      <c r="AL91" s="374"/>
      <c r="AM91" s="374"/>
      <c r="AN91" s="374"/>
      <c r="AO91" s="374"/>
      <c r="AP91" s="374"/>
      <c r="AQ91" s="374"/>
      <c r="AR91" s="374"/>
      <c r="AS91" s="374"/>
      <c r="AT91" s="374"/>
      <c r="AU91" s="374"/>
      <c r="AV91" s="374"/>
      <c r="AW91" s="374"/>
      <c r="AX91" s="375"/>
      <c r="AY91" s="374"/>
      <c r="AZ91" s="775"/>
      <c r="BA91" s="320"/>
      <c r="BB91" s="374"/>
      <c r="BC91" s="374"/>
      <c r="BD91" s="374"/>
      <c r="BE91" s="374"/>
      <c r="BF91" s="374"/>
      <c r="BG91" s="374"/>
      <c r="BH91" s="374"/>
      <c r="BI91" s="374"/>
      <c r="BJ91" s="374"/>
      <c r="BK91" s="374"/>
      <c r="BL91" s="374"/>
      <c r="BM91" s="374"/>
      <c r="BN91" s="375"/>
      <c r="BO91" s="320"/>
      <c r="BP91" s="373"/>
      <c r="BQ91" s="373"/>
      <c r="BR91" s="373"/>
      <c r="BS91" s="373"/>
      <c r="BT91" s="373"/>
      <c r="BU91" s="373"/>
      <c r="BV91" s="373"/>
      <c r="BW91" s="373"/>
      <c r="BX91" s="373"/>
      <c r="BY91" s="373"/>
      <c r="BZ91" s="373"/>
      <c r="CA91" s="373"/>
      <c r="CB91" s="375"/>
      <c r="CC91" s="374"/>
      <c r="CD91" s="775"/>
      <c r="CE91" s="320"/>
      <c r="CF91" s="374"/>
      <c r="CG91" s="374"/>
      <c r="CH91" s="374"/>
      <c r="CI91" s="374"/>
      <c r="CJ91" s="374"/>
      <c r="CK91" s="374"/>
      <c r="CL91" s="374"/>
      <c r="CM91" s="374"/>
      <c r="CN91" s="374"/>
      <c r="CO91" s="374"/>
      <c r="CP91" s="374"/>
      <c r="CQ91" s="374"/>
      <c r="CR91" s="374"/>
      <c r="CS91" s="402"/>
      <c r="CT91" s="378"/>
      <c r="CU91" s="165"/>
      <c r="CV91" s="320"/>
      <c r="CW91" s="373"/>
      <c r="CX91" s="373"/>
      <c r="CY91" s="373"/>
      <c r="CZ91" s="373"/>
      <c r="DA91" s="373"/>
      <c r="DB91" s="373"/>
      <c r="DC91" s="373"/>
      <c r="DD91" s="373"/>
      <c r="DE91" s="373"/>
      <c r="DF91" s="373"/>
      <c r="DG91" s="373"/>
      <c r="DH91" s="373"/>
      <c r="DI91" s="375"/>
      <c r="DJ91" s="320"/>
      <c r="DK91" s="373"/>
      <c r="DL91" s="373"/>
      <c r="DM91" s="373"/>
      <c r="DN91" s="373"/>
      <c r="DO91" s="373"/>
      <c r="DP91" s="373"/>
      <c r="DQ91" s="373"/>
      <c r="DR91" s="373"/>
      <c r="DS91" s="373"/>
      <c r="DT91" s="373"/>
      <c r="DU91" s="373"/>
      <c r="DV91" s="373"/>
      <c r="DW91" s="375"/>
      <c r="DY91" s="373"/>
      <c r="DZ91" s="373"/>
      <c r="EA91" s="373"/>
      <c r="EB91" s="373"/>
      <c r="EC91" s="373"/>
      <c r="ED91" s="373"/>
      <c r="EE91" s="373"/>
      <c r="EF91" s="373"/>
      <c r="EG91" s="373"/>
      <c r="EH91" s="373"/>
      <c r="EI91" s="373"/>
      <c r="EJ91" s="373"/>
      <c r="EK91" s="375"/>
      <c r="EL91" s="164"/>
      <c r="EM91" s="373"/>
      <c r="EN91" s="373"/>
      <c r="EO91" s="373"/>
      <c r="EP91" s="373"/>
      <c r="EQ91" s="373"/>
      <c r="ER91" s="373"/>
      <c r="ES91" s="373"/>
      <c r="ET91" s="373"/>
      <c r="EU91" s="373"/>
      <c r="EV91" s="373"/>
      <c r="EW91" s="373"/>
      <c r="EX91" s="373"/>
      <c r="EY91" s="375"/>
      <c r="EZ91" s="164"/>
    </row>
    <row r="92" spans="1:156" ht="16.5" customHeight="1" outlineLevel="1">
      <c r="A92" s="185" t="s">
        <v>313</v>
      </c>
      <c r="B92" s="176"/>
      <c r="C92" s="176" t="s">
        <v>1167</v>
      </c>
      <c r="D92" s="176">
        <v>48104100</v>
      </c>
      <c r="E92" s="199"/>
      <c r="F92" s="320" t="s">
        <v>620</v>
      </c>
      <c r="G92" s="320"/>
      <c r="H92" s="374"/>
      <c r="I92" s="374"/>
      <c r="J92" s="374"/>
      <c r="K92" s="374"/>
      <c r="L92" s="374"/>
      <c r="M92" s="374"/>
      <c r="N92" s="374"/>
      <c r="O92" s="374"/>
      <c r="P92" s="374"/>
      <c r="Q92" s="374"/>
      <c r="R92" s="374"/>
      <c r="S92" s="374"/>
      <c r="T92" s="375"/>
      <c r="U92" s="374"/>
      <c r="V92" s="775"/>
      <c r="W92" s="320"/>
      <c r="X92" s="374"/>
      <c r="Y92" s="374"/>
      <c r="Z92" s="374"/>
      <c r="AA92" s="374"/>
      <c r="AB92" s="374"/>
      <c r="AC92" s="374"/>
      <c r="AD92" s="374"/>
      <c r="AE92" s="374"/>
      <c r="AF92" s="374"/>
      <c r="AG92" s="374"/>
      <c r="AH92" s="374"/>
      <c r="AI92" s="374"/>
      <c r="AJ92" s="375"/>
      <c r="AK92" s="320"/>
      <c r="AL92" s="374"/>
      <c r="AM92" s="374"/>
      <c r="AN92" s="374"/>
      <c r="AO92" s="374"/>
      <c r="AP92" s="374"/>
      <c r="AQ92" s="374"/>
      <c r="AR92" s="374"/>
      <c r="AS92" s="374"/>
      <c r="AT92" s="374"/>
      <c r="AU92" s="374"/>
      <c r="AV92" s="374"/>
      <c r="AW92" s="374"/>
      <c r="AX92" s="375"/>
      <c r="AY92" s="374"/>
      <c r="AZ92" s="775"/>
      <c r="BA92" s="320"/>
      <c r="BB92" s="374"/>
      <c r="BC92" s="374"/>
      <c r="BD92" s="374"/>
      <c r="BE92" s="374"/>
      <c r="BF92" s="374"/>
      <c r="BG92" s="374"/>
      <c r="BH92" s="374"/>
      <c r="BI92" s="374"/>
      <c r="BJ92" s="374"/>
      <c r="BK92" s="374"/>
      <c r="BL92" s="374"/>
      <c r="BM92" s="374"/>
      <c r="BN92" s="375"/>
      <c r="BO92" s="320"/>
      <c r="BP92" s="373"/>
      <c r="BQ92" s="373"/>
      <c r="BR92" s="373"/>
      <c r="BS92" s="373"/>
      <c r="BT92" s="373"/>
      <c r="BU92" s="373"/>
      <c r="BV92" s="373"/>
      <c r="BW92" s="373"/>
      <c r="BX92" s="373"/>
      <c r="BY92" s="373"/>
      <c r="BZ92" s="373"/>
      <c r="CA92" s="373"/>
      <c r="CB92" s="375"/>
      <c r="CC92" s="374"/>
      <c r="CD92" s="775"/>
      <c r="CE92" s="320"/>
      <c r="CF92" s="374"/>
      <c r="CG92" s="374"/>
      <c r="CH92" s="374"/>
      <c r="CI92" s="374"/>
      <c r="CJ92" s="374"/>
      <c r="CK92" s="374"/>
      <c r="CL92" s="374"/>
      <c r="CM92" s="374"/>
      <c r="CN92" s="374"/>
      <c r="CO92" s="374"/>
      <c r="CP92" s="374"/>
      <c r="CQ92" s="374"/>
      <c r="CR92" s="374"/>
      <c r="CS92" s="402"/>
      <c r="CT92" s="378"/>
      <c r="CU92" s="165"/>
      <c r="CV92" s="320"/>
      <c r="CW92" s="373"/>
      <c r="CX92" s="373"/>
      <c r="CY92" s="373"/>
      <c r="CZ92" s="373"/>
      <c r="DA92" s="373"/>
      <c r="DB92" s="373"/>
      <c r="DC92" s="373"/>
      <c r="DD92" s="373"/>
      <c r="DE92" s="373"/>
      <c r="DF92" s="373"/>
      <c r="DG92" s="373"/>
      <c r="DH92" s="373"/>
      <c r="DI92" s="375"/>
      <c r="DJ92" s="320"/>
      <c r="DK92" s="373"/>
      <c r="DL92" s="373"/>
      <c r="DM92" s="373"/>
      <c r="DN92" s="373"/>
      <c r="DO92" s="373"/>
      <c r="DP92" s="373"/>
      <c r="DQ92" s="373"/>
      <c r="DR92" s="373"/>
      <c r="DS92" s="373"/>
      <c r="DT92" s="373"/>
      <c r="DU92" s="373"/>
      <c r="DV92" s="373"/>
      <c r="DW92" s="375"/>
      <c r="DY92" s="373"/>
      <c r="DZ92" s="373"/>
      <c r="EA92" s="373"/>
      <c r="EB92" s="373"/>
      <c r="EC92" s="373"/>
      <c r="ED92" s="373"/>
      <c r="EE92" s="373"/>
      <c r="EF92" s="373"/>
      <c r="EG92" s="373"/>
      <c r="EH92" s="373"/>
      <c r="EI92" s="373"/>
      <c r="EJ92" s="373"/>
      <c r="EK92" s="375"/>
      <c r="EL92" s="164"/>
      <c r="EM92" s="373"/>
      <c r="EN92" s="373"/>
      <c r="EO92" s="373"/>
      <c r="EP92" s="373"/>
      <c r="EQ92" s="373"/>
      <c r="ER92" s="373"/>
      <c r="ES92" s="373"/>
      <c r="ET92" s="373"/>
      <c r="EU92" s="373"/>
      <c r="EV92" s="373"/>
      <c r="EW92" s="373"/>
      <c r="EX92" s="373"/>
      <c r="EY92" s="375"/>
      <c r="EZ92" s="164"/>
    </row>
    <row r="93" spans="1:156" ht="16.5" customHeight="1" outlineLevel="1">
      <c r="A93" s="185" t="s">
        <v>313</v>
      </c>
      <c r="B93" s="176"/>
      <c r="C93" s="176" t="s">
        <v>1168</v>
      </c>
      <c r="D93" s="176">
        <v>48105000</v>
      </c>
      <c r="E93" s="199"/>
      <c r="F93" s="320" t="s">
        <v>527</v>
      </c>
      <c r="G93" s="320"/>
      <c r="H93" s="374"/>
      <c r="I93" s="374"/>
      <c r="J93" s="374"/>
      <c r="K93" s="374"/>
      <c r="L93" s="374"/>
      <c r="M93" s="374"/>
      <c r="N93" s="374"/>
      <c r="O93" s="374"/>
      <c r="P93" s="374"/>
      <c r="Q93" s="374"/>
      <c r="R93" s="374"/>
      <c r="S93" s="374"/>
      <c r="T93" s="375"/>
      <c r="U93" s="374"/>
      <c r="V93" s="775"/>
      <c r="W93" s="320"/>
      <c r="X93" s="374"/>
      <c r="Y93" s="374"/>
      <c r="Z93" s="374"/>
      <c r="AA93" s="374"/>
      <c r="AB93" s="374"/>
      <c r="AC93" s="374"/>
      <c r="AD93" s="374"/>
      <c r="AE93" s="374"/>
      <c r="AF93" s="374"/>
      <c r="AG93" s="374"/>
      <c r="AH93" s="374"/>
      <c r="AI93" s="374"/>
      <c r="AJ93" s="375"/>
      <c r="AK93" s="320"/>
      <c r="AL93" s="374"/>
      <c r="AM93" s="374"/>
      <c r="AN93" s="374"/>
      <c r="AO93" s="374"/>
      <c r="AP93" s="374"/>
      <c r="AQ93" s="374"/>
      <c r="AR93" s="374"/>
      <c r="AS93" s="374"/>
      <c r="AT93" s="374"/>
      <c r="AU93" s="374"/>
      <c r="AV93" s="374"/>
      <c r="AW93" s="374"/>
      <c r="AX93" s="375"/>
      <c r="AY93" s="374"/>
      <c r="AZ93" s="775"/>
      <c r="BA93" s="320"/>
      <c r="BB93" s="374"/>
      <c r="BC93" s="374"/>
      <c r="BD93" s="374"/>
      <c r="BE93" s="374"/>
      <c r="BF93" s="374"/>
      <c r="BG93" s="374"/>
      <c r="BH93" s="374"/>
      <c r="BI93" s="374"/>
      <c r="BJ93" s="374"/>
      <c r="BK93" s="374"/>
      <c r="BL93" s="374"/>
      <c r="BM93" s="374"/>
      <c r="BN93" s="375"/>
      <c r="BO93" s="320"/>
      <c r="BP93" s="373"/>
      <c r="BQ93" s="373"/>
      <c r="BR93" s="373"/>
      <c r="BS93" s="373"/>
      <c r="BT93" s="373"/>
      <c r="BU93" s="373"/>
      <c r="BV93" s="373"/>
      <c r="BW93" s="373"/>
      <c r="BX93" s="373"/>
      <c r="BY93" s="373"/>
      <c r="BZ93" s="373"/>
      <c r="CA93" s="373"/>
      <c r="CB93" s="375"/>
      <c r="CC93" s="374"/>
      <c r="CD93" s="775"/>
      <c r="CE93" s="320"/>
      <c r="CF93" s="374"/>
      <c r="CG93" s="374"/>
      <c r="CH93" s="374"/>
      <c r="CI93" s="374"/>
      <c r="CJ93" s="374"/>
      <c r="CK93" s="374"/>
      <c r="CL93" s="374"/>
      <c r="CM93" s="374"/>
      <c r="CN93" s="374"/>
      <c r="CO93" s="374"/>
      <c r="CP93" s="374"/>
      <c r="CQ93" s="374"/>
      <c r="CR93" s="374"/>
      <c r="CS93" s="402"/>
      <c r="CT93" s="378"/>
      <c r="CU93" s="165"/>
      <c r="CV93" s="320"/>
      <c r="CW93" s="373"/>
      <c r="CX93" s="373"/>
      <c r="CY93" s="373"/>
      <c r="CZ93" s="373"/>
      <c r="DA93" s="373"/>
      <c r="DB93" s="373"/>
      <c r="DC93" s="373"/>
      <c r="DD93" s="373"/>
      <c r="DE93" s="373"/>
      <c r="DF93" s="373"/>
      <c r="DG93" s="373"/>
      <c r="DH93" s="373"/>
      <c r="DI93" s="375"/>
      <c r="DJ93" s="320"/>
      <c r="DK93" s="373"/>
      <c r="DL93" s="373"/>
      <c r="DM93" s="373"/>
      <c r="DN93" s="373"/>
      <c r="DO93" s="373"/>
      <c r="DP93" s="373"/>
      <c r="DQ93" s="373"/>
      <c r="DR93" s="373"/>
      <c r="DS93" s="373"/>
      <c r="DT93" s="373"/>
      <c r="DU93" s="373"/>
      <c r="DV93" s="373"/>
      <c r="DW93" s="375"/>
      <c r="DY93" s="373"/>
      <c r="DZ93" s="373"/>
      <c r="EA93" s="373"/>
      <c r="EB93" s="373"/>
      <c r="EC93" s="373"/>
      <c r="ED93" s="373"/>
      <c r="EE93" s="373"/>
      <c r="EF93" s="373"/>
      <c r="EG93" s="373"/>
      <c r="EH93" s="373"/>
      <c r="EI93" s="373"/>
      <c r="EJ93" s="373"/>
      <c r="EK93" s="375"/>
      <c r="EL93" s="164"/>
      <c r="EM93" s="373"/>
      <c r="EN93" s="373"/>
      <c r="EO93" s="373"/>
      <c r="EP93" s="373"/>
      <c r="EQ93" s="373"/>
      <c r="ER93" s="373"/>
      <c r="ES93" s="373"/>
      <c r="ET93" s="373"/>
      <c r="EU93" s="373"/>
      <c r="EV93" s="373"/>
      <c r="EW93" s="373"/>
      <c r="EX93" s="373"/>
      <c r="EY93" s="375"/>
      <c r="EZ93" s="164"/>
    </row>
    <row r="94" spans="1:156" ht="16.5" customHeight="1" outlineLevel="1">
      <c r="A94" s="185" t="s">
        <v>314</v>
      </c>
      <c r="B94" s="176"/>
      <c r="C94" s="176" t="s">
        <v>1169</v>
      </c>
      <c r="D94" s="176">
        <v>48106000</v>
      </c>
      <c r="E94" s="199"/>
      <c r="F94" s="320" t="s">
        <v>621</v>
      </c>
      <c r="G94" s="320"/>
      <c r="H94" s="374"/>
      <c r="I94" s="374"/>
      <c r="J94" s="374"/>
      <c r="K94" s="374"/>
      <c r="L94" s="374"/>
      <c r="M94" s="374"/>
      <c r="N94" s="374"/>
      <c r="O94" s="374"/>
      <c r="P94" s="374"/>
      <c r="Q94" s="374"/>
      <c r="R94" s="374"/>
      <c r="S94" s="374"/>
      <c r="T94" s="375"/>
      <c r="U94" s="374"/>
      <c r="V94" s="775"/>
      <c r="W94" s="320"/>
      <c r="X94" s="374"/>
      <c r="Y94" s="374"/>
      <c r="Z94" s="374"/>
      <c r="AA94" s="374"/>
      <c r="AB94" s="374"/>
      <c r="AC94" s="374"/>
      <c r="AD94" s="374"/>
      <c r="AE94" s="374"/>
      <c r="AF94" s="374"/>
      <c r="AG94" s="374"/>
      <c r="AH94" s="374"/>
      <c r="AI94" s="374"/>
      <c r="AJ94" s="375"/>
      <c r="AK94" s="320"/>
      <c r="AL94" s="374"/>
      <c r="AM94" s="374"/>
      <c r="AN94" s="374"/>
      <c r="AO94" s="374"/>
      <c r="AP94" s="374"/>
      <c r="AQ94" s="374"/>
      <c r="AR94" s="374"/>
      <c r="AS94" s="374"/>
      <c r="AT94" s="374"/>
      <c r="AU94" s="374"/>
      <c r="AV94" s="374"/>
      <c r="AW94" s="374"/>
      <c r="AX94" s="375"/>
      <c r="AY94" s="374"/>
      <c r="AZ94" s="775"/>
      <c r="BA94" s="320"/>
      <c r="BB94" s="374"/>
      <c r="BC94" s="374"/>
      <c r="BD94" s="374"/>
      <c r="BE94" s="374"/>
      <c r="BF94" s="374"/>
      <c r="BG94" s="374"/>
      <c r="BH94" s="374"/>
      <c r="BI94" s="374"/>
      <c r="BJ94" s="374"/>
      <c r="BK94" s="374"/>
      <c r="BL94" s="374"/>
      <c r="BM94" s="374"/>
      <c r="BN94" s="375"/>
      <c r="BO94" s="320"/>
      <c r="BP94" s="373"/>
      <c r="BQ94" s="373"/>
      <c r="BR94" s="373"/>
      <c r="BS94" s="373"/>
      <c r="BT94" s="373"/>
      <c r="BU94" s="373"/>
      <c r="BV94" s="373"/>
      <c r="BW94" s="373"/>
      <c r="BX94" s="373"/>
      <c r="BY94" s="373"/>
      <c r="BZ94" s="373"/>
      <c r="CA94" s="373"/>
      <c r="CB94" s="375"/>
      <c r="CC94" s="374"/>
      <c r="CD94" s="775"/>
      <c r="CE94" s="320"/>
      <c r="CF94" s="374"/>
      <c r="CG94" s="374"/>
      <c r="CH94" s="374"/>
      <c r="CI94" s="374"/>
      <c r="CJ94" s="374"/>
      <c r="CK94" s="374"/>
      <c r="CL94" s="374"/>
      <c r="CM94" s="374"/>
      <c r="CN94" s="374"/>
      <c r="CO94" s="374"/>
      <c r="CP94" s="374"/>
      <c r="CQ94" s="374"/>
      <c r="CR94" s="374"/>
      <c r="CS94" s="402"/>
      <c r="CT94" s="378"/>
      <c r="CU94" s="165"/>
      <c r="CV94" s="320"/>
      <c r="CW94" s="373"/>
      <c r="CX94" s="373"/>
      <c r="CY94" s="373"/>
      <c r="CZ94" s="373"/>
      <c r="DA94" s="373"/>
      <c r="DB94" s="373"/>
      <c r="DC94" s="373"/>
      <c r="DD94" s="373"/>
      <c r="DE94" s="373"/>
      <c r="DF94" s="373"/>
      <c r="DG94" s="373"/>
      <c r="DH94" s="373"/>
      <c r="DI94" s="375"/>
      <c r="DJ94" s="320"/>
      <c r="DK94" s="373"/>
      <c r="DL94" s="373"/>
      <c r="DM94" s="373"/>
      <c r="DN94" s="373"/>
      <c r="DO94" s="373"/>
      <c r="DP94" s="373"/>
      <c r="DQ94" s="373"/>
      <c r="DR94" s="373"/>
      <c r="DS94" s="373"/>
      <c r="DT94" s="373"/>
      <c r="DU94" s="373"/>
      <c r="DV94" s="373"/>
      <c r="DW94" s="375"/>
      <c r="DY94" s="373"/>
      <c r="DZ94" s="373"/>
      <c r="EA94" s="373"/>
      <c r="EB94" s="373"/>
      <c r="EC94" s="373"/>
      <c r="ED94" s="373"/>
      <c r="EE94" s="373"/>
      <c r="EF94" s="373"/>
      <c r="EG94" s="373"/>
      <c r="EH94" s="373"/>
      <c r="EI94" s="373"/>
      <c r="EJ94" s="373"/>
      <c r="EK94" s="375"/>
      <c r="EL94" s="164"/>
      <c r="EM94" s="373"/>
      <c r="EN94" s="373"/>
      <c r="EO94" s="373"/>
      <c r="EP94" s="373"/>
      <c r="EQ94" s="373"/>
      <c r="ER94" s="373"/>
      <c r="ES94" s="373"/>
      <c r="ET94" s="373"/>
      <c r="EU94" s="373"/>
      <c r="EV94" s="373"/>
      <c r="EW94" s="373"/>
      <c r="EX94" s="373"/>
      <c r="EY94" s="375"/>
      <c r="EZ94" s="164"/>
    </row>
    <row r="95" spans="1:156" ht="16.5" customHeight="1" outlineLevel="1">
      <c r="A95" s="185" t="s">
        <v>314</v>
      </c>
      <c r="B95" s="176"/>
      <c r="C95" s="176" t="s">
        <v>1170</v>
      </c>
      <c r="D95" s="176">
        <v>48107000</v>
      </c>
      <c r="E95" s="199"/>
      <c r="F95" s="320" t="s">
        <v>622</v>
      </c>
      <c r="G95" s="320"/>
      <c r="H95" s="374"/>
      <c r="I95" s="374"/>
      <c r="J95" s="374"/>
      <c r="K95" s="374"/>
      <c r="L95" s="374"/>
      <c r="M95" s="374"/>
      <c r="N95" s="374"/>
      <c r="O95" s="374"/>
      <c r="P95" s="374"/>
      <c r="Q95" s="374"/>
      <c r="R95" s="374"/>
      <c r="S95" s="374"/>
      <c r="T95" s="375"/>
      <c r="U95" s="374"/>
      <c r="V95" s="775"/>
      <c r="W95" s="320"/>
      <c r="X95" s="374"/>
      <c r="Y95" s="374"/>
      <c r="Z95" s="374"/>
      <c r="AA95" s="374"/>
      <c r="AB95" s="374"/>
      <c r="AC95" s="374"/>
      <c r="AD95" s="374"/>
      <c r="AE95" s="374"/>
      <c r="AF95" s="374"/>
      <c r="AG95" s="374"/>
      <c r="AH95" s="374"/>
      <c r="AI95" s="374"/>
      <c r="AJ95" s="375"/>
      <c r="AK95" s="320"/>
      <c r="AL95" s="374"/>
      <c r="AM95" s="374"/>
      <c r="AN95" s="374"/>
      <c r="AO95" s="374"/>
      <c r="AP95" s="374"/>
      <c r="AQ95" s="374"/>
      <c r="AR95" s="374"/>
      <c r="AS95" s="374"/>
      <c r="AT95" s="374"/>
      <c r="AU95" s="374"/>
      <c r="AV95" s="374"/>
      <c r="AW95" s="374"/>
      <c r="AX95" s="375"/>
      <c r="AY95" s="374"/>
      <c r="AZ95" s="775"/>
      <c r="BA95" s="320"/>
      <c r="BB95" s="374"/>
      <c r="BC95" s="374"/>
      <c r="BD95" s="374"/>
      <c r="BE95" s="374"/>
      <c r="BF95" s="374"/>
      <c r="BG95" s="374"/>
      <c r="BH95" s="374"/>
      <c r="BI95" s="374"/>
      <c r="BJ95" s="374"/>
      <c r="BK95" s="374"/>
      <c r="BL95" s="374"/>
      <c r="BM95" s="374"/>
      <c r="BN95" s="375"/>
      <c r="BO95" s="320"/>
      <c r="BP95" s="373"/>
      <c r="BQ95" s="373"/>
      <c r="BR95" s="373"/>
      <c r="BS95" s="373"/>
      <c r="BT95" s="373"/>
      <c r="BU95" s="373"/>
      <c r="BV95" s="373"/>
      <c r="BW95" s="373"/>
      <c r="BX95" s="373"/>
      <c r="BY95" s="373"/>
      <c r="BZ95" s="373"/>
      <c r="CA95" s="373"/>
      <c r="CB95" s="375"/>
      <c r="CC95" s="374"/>
      <c r="CD95" s="775"/>
      <c r="CE95" s="320"/>
      <c r="CF95" s="374"/>
      <c r="CG95" s="374"/>
      <c r="CH95" s="374"/>
      <c r="CI95" s="374"/>
      <c r="CJ95" s="374"/>
      <c r="CK95" s="374"/>
      <c r="CL95" s="374"/>
      <c r="CM95" s="374"/>
      <c r="CN95" s="374"/>
      <c r="CO95" s="374"/>
      <c r="CP95" s="374"/>
      <c r="CQ95" s="374"/>
      <c r="CR95" s="374"/>
      <c r="CS95" s="402"/>
      <c r="CT95" s="378"/>
      <c r="CU95" s="165"/>
      <c r="CV95" s="320"/>
      <c r="CW95" s="373"/>
      <c r="CX95" s="373"/>
      <c r="CY95" s="373"/>
      <c r="CZ95" s="373"/>
      <c r="DA95" s="373"/>
      <c r="DB95" s="373"/>
      <c r="DC95" s="373"/>
      <c r="DD95" s="373"/>
      <c r="DE95" s="373"/>
      <c r="DF95" s="373"/>
      <c r="DG95" s="373"/>
      <c r="DH95" s="373"/>
      <c r="DI95" s="375"/>
      <c r="DJ95" s="320"/>
      <c r="DK95" s="373"/>
      <c r="DL95" s="373"/>
      <c r="DM95" s="373"/>
      <c r="DN95" s="373"/>
      <c r="DO95" s="373"/>
      <c r="DP95" s="373"/>
      <c r="DQ95" s="373"/>
      <c r="DR95" s="373"/>
      <c r="DS95" s="373"/>
      <c r="DT95" s="373"/>
      <c r="DU95" s="373"/>
      <c r="DV95" s="373"/>
      <c r="DW95" s="375"/>
      <c r="DY95" s="373"/>
      <c r="DZ95" s="373"/>
      <c r="EA95" s="373"/>
      <c r="EB95" s="373"/>
      <c r="EC95" s="373"/>
      <c r="ED95" s="373"/>
      <c r="EE95" s="373"/>
      <c r="EF95" s="373"/>
      <c r="EG95" s="373"/>
      <c r="EH95" s="373"/>
      <c r="EI95" s="373"/>
      <c r="EJ95" s="373"/>
      <c r="EK95" s="375"/>
      <c r="EL95" s="164"/>
      <c r="EM95" s="373"/>
      <c r="EN95" s="373"/>
      <c r="EO95" s="373"/>
      <c r="EP95" s="373"/>
      <c r="EQ95" s="373"/>
      <c r="ER95" s="373"/>
      <c r="ES95" s="373"/>
      <c r="ET95" s="373"/>
      <c r="EU95" s="373"/>
      <c r="EV95" s="373"/>
      <c r="EW95" s="373"/>
      <c r="EX95" s="373"/>
      <c r="EY95" s="375"/>
      <c r="EZ95" s="164"/>
    </row>
    <row r="96" spans="1:156" ht="16.5" customHeight="1" outlineLevel="1">
      <c r="A96" s="185" t="s">
        <v>315</v>
      </c>
      <c r="B96" s="176"/>
      <c r="C96" s="176" t="s">
        <v>1171</v>
      </c>
      <c r="D96" s="176">
        <v>48111000</v>
      </c>
      <c r="E96" s="199"/>
      <c r="F96" s="320" t="s">
        <v>623</v>
      </c>
      <c r="G96" s="320"/>
      <c r="H96" s="374"/>
      <c r="I96" s="374"/>
      <c r="J96" s="374"/>
      <c r="K96" s="374"/>
      <c r="L96" s="374"/>
      <c r="M96" s="374"/>
      <c r="N96" s="374"/>
      <c r="O96" s="374"/>
      <c r="P96" s="374"/>
      <c r="Q96" s="374"/>
      <c r="R96" s="374"/>
      <c r="S96" s="374"/>
      <c r="T96" s="375"/>
      <c r="U96" s="374"/>
      <c r="V96" s="775"/>
      <c r="W96" s="320"/>
      <c r="X96" s="374"/>
      <c r="Y96" s="374"/>
      <c r="Z96" s="374"/>
      <c r="AA96" s="374"/>
      <c r="AB96" s="374"/>
      <c r="AC96" s="374"/>
      <c r="AD96" s="374"/>
      <c r="AE96" s="374"/>
      <c r="AF96" s="374"/>
      <c r="AG96" s="374"/>
      <c r="AH96" s="374"/>
      <c r="AI96" s="374"/>
      <c r="AJ96" s="375"/>
      <c r="AK96" s="320"/>
      <c r="AL96" s="374"/>
      <c r="AM96" s="374"/>
      <c r="AN96" s="374"/>
      <c r="AO96" s="374"/>
      <c r="AP96" s="374"/>
      <c r="AQ96" s="374"/>
      <c r="AR96" s="374"/>
      <c r="AS96" s="374"/>
      <c r="AT96" s="374"/>
      <c r="AU96" s="374"/>
      <c r="AV96" s="374"/>
      <c r="AW96" s="374"/>
      <c r="AX96" s="375"/>
      <c r="AY96" s="374"/>
      <c r="AZ96" s="775"/>
      <c r="BA96" s="320"/>
      <c r="BB96" s="374"/>
      <c r="BC96" s="374"/>
      <c r="BD96" s="374"/>
      <c r="BE96" s="374"/>
      <c r="BF96" s="374"/>
      <c r="BG96" s="374"/>
      <c r="BH96" s="374"/>
      <c r="BI96" s="374"/>
      <c r="BJ96" s="374"/>
      <c r="BK96" s="374"/>
      <c r="BL96" s="374"/>
      <c r="BM96" s="374"/>
      <c r="BN96" s="375"/>
      <c r="BO96" s="320"/>
      <c r="BP96" s="373"/>
      <c r="BQ96" s="373"/>
      <c r="BR96" s="373"/>
      <c r="BS96" s="373"/>
      <c r="BT96" s="373"/>
      <c r="BU96" s="373"/>
      <c r="BV96" s="373"/>
      <c r="BW96" s="373"/>
      <c r="BX96" s="373"/>
      <c r="BY96" s="373"/>
      <c r="BZ96" s="373"/>
      <c r="CA96" s="373"/>
      <c r="CB96" s="375"/>
      <c r="CC96" s="374"/>
      <c r="CD96" s="775"/>
      <c r="CE96" s="320"/>
      <c r="CF96" s="374"/>
      <c r="CG96" s="374"/>
      <c r="CH96" s="374"/>
      <c r="CI96" s="374"/>
      <c r="CJ96" s="374"/>
      <c r="CK96" s="374"/>
      <c r="CL96" s="374"/>
      <c r="CM96" s="374"/>
      <c r="CN96" s="374"/>
      <c r="CO96" s="374"/>
      <c r="CP96" s="374"/>
      <c r="CQ96" s="374"/>
      <c r="CR96" s="374"/>
      <c r="CS96" s="402"/>
      <c r="CT96" s="378"/>
      <c r="CU96" s="165"/>
      <c r="CV96" s="320"/>
      <c r="CW96" s="373"/>
      <c r="CX96" s="373"/>
      <c r="CY96" s="373"/>
      <c r="CZ96" s="373"/>
      <c r="DA96" s="373"/>
      <c r="DB96" s="373"/>
      <c r="DC96" s="373"/>
      <c r="DD96" s="373"/>
      <c r="DE96" s="373"/>
      <c r="DF96" s="373"/>
      <c r="DG96" s="373"/>
      <c r="DH96" s="373"/>
      <c r="DI96" s="375"/>
      <c r="DJ96" s="320"/>
      <c r="DK96" s="373"/>
      <c r="DL96" s="373"/>
      <c r="DM96" s="373"/>
      <c r="DN96" s="373"/>
      <c r="DO96" s="373"/>
      <c r="DP96" s="373"/>
      <c r="DQ96" s="373"/>
      <c r="DR96" s="373"/>
      <c r="DS96" s="373"/>
      <c r="DT96" s="373"/>
      <c r="DU96" s="373"/>
      <c r="DV96" s="373"/>
      <c r="DW96" s="375"/>
      <c r="DY96" s="373"/>
      <c r="DZ96" s="373"/>
      <c r="EA96" s="373"/>
      <c r="EB96" s="373"/>
      <c r="EC96" s="373"/>
      <c r="ED96" s="373"/>
      <c r="EE96" s="373"/>
      <c r="EF96" s="373"/>
      <c r="EG96" s="373"/>
      <c r="EH96" s="373"/>
      <c r="EI96" s="373"/>
      <c r="EJ96" s="373"/>
      <c r="EK96" s="375"/>
      <c r="EL96" s="164"/>
      <c r="EM96" s="373"/>
      <c r="EN96" s="373"/>
      <c r="EO96" s="373"/>
      <c r="EP96" s="373"/>
      <c r="EQ96" s="373"/>
      <c r="ER96" s="373"/>
      <c r="ES96" s="373"/>
      <c r="ET96" s="373"/>
      <c r="EU96" s="373"/>
      <c r="EV96" s="373"/>
      <c r="EW96" s="373"/>
      <c r="EX96" s="373"/>
      <c r="EY96" s="375"/>
      <c r="EZ96" s="164"/>
    </row>
    <row r="97" spans="1:157" ht="6.75" customHeight="1" outlineLevel="1">
      <c r="B97" s="176"/>
      <c r="C97" s="176"/>
      <c r="D97" s="176"/>
      <c r="E97" s="324"/>
      <c r="F97" s="325"/>
      <c r="G97" s="325"/>
      <c r="H97" s="374"/>
      <c r="I97" s="374"/>
      <c r="J97" s="374"/>
      <c r="K97" s="374"/>
      <c r="L97" s="374"/>
      <c r="M97" s="374"/>
      <c r="N97" s="374"/>
      <c r="O97" s="374"/>
      <c r="P97" s="374"/>
      <c r="Q97" s="374"/>
      <c r="R97" s="374"/>
      <c r="S97" s="374"/>
      <c r="T97" s="375"/>
      <c r="U97" s="717"/>
      <c r="V97" s="784"/>
      <c r="W97" s="326"/>
      <c r="X97" s="374"/>
      <c r="Y97" s="374"/>
      <c r="Z97" s="374"/>
      <c r="AA97" s="374"/>
      <c r="AB97" s="374"/>
      <c r="AC97" s="374"/>
      <c r="AD97" s="374"/>
      <c r="AE97" s="374"/>
      <c r="AF97" s="374"/>
      <c r="AG97" s="374"/>
      <c r="AH97" s="374"/>
      <c r="AI97" s="374"/>
      <c r="AJ97" s="375"/>
      <c r="AK97" s="326"/>
      <c r="AL97" s="374"/>
      <c r="AM97" s="374"/>
      <c r="AN97" s="374"/>
      <c r="AO97" s="374"/>
      <c r="AP97" s="374"/>
      <c r="AQ97" s="374"/>
      <c r="AR97" s="374"/>
      <c r="AS97" s="374"/>
      <c r="AT97" s="374"/>
      <c r="AU97" s="374"/>
      <c r="AV97" s="374"/>
      <c r="AW97" s="374"/>
      <c r="AX97" s="375"/>
      <c r="AY97" s="717"/>
      <c r="AZ97" s="784"/>
      <c r="BA97" s="326"/>
      <c r="BB97" s="374"/>
      <c r="BC97" s="374"/>
      <c r="BD97" s="374"/>
      <c r="BE97" s="374"/>
      <c r="BF97" s="374"/>
      <c r="BG97" s="374"/>
      <c r="BH97" s="374"/>
      <c r="BI97" s="374"/>
      <c r="BJ97" s="374"/>
      <c r="BK97" s="374"/>
      <c r="BL97" s="374"/>
      <c r="BM97" s="374"/>
      <c r="BN97" s="375"/>
      <c r="BO97" s="326"/>
      <c r="BP97" s="373"/>
      <c r="BQ97" s="373"/>
      <c r="BR97" s="373"/>
      <c r="BS97" s="373"/>
      <c r="BT97" s="373"/>
      <c r="BU97" s="373"/>
      <c r="BV97" s="374"/>
      <c r="BW97" s="373"/>
      <c r="BX97" s="373"/>
      <c r="BY97" s="373"/>
      <c r="BZ97" s="373"/>
      <c r="CA97" s="373"/>
      <c r="CB97" s="375"/>
      <c r="CC97" s="717"/>
      <c r="CD97" s="784"/>
      <c r="CE97" s="326"/>
      <c r="CF97" s="374"/>
      <c r="CG97" s="374"/>
      <c r="CH97" s="374"/>
      <c r="CI97" s="374"/>
      <c r="CJ97" s="374"/>
      <c r="CK97" s="374"/>
      <c r="CL97" s="374"/>
      <c r="CM97" s="374"/>
      <c r="CN97" s="374"/>
      <c r="CO97" s="374"/>
      <c r="CP97" s="374"/>
      <c r="CQ97" s="374"/>
      <c r="CR97" s="374"/>
      <c r="CS97" s="402"/>
      <c r="CT97" s="393"/>
      <c r="CU97" s="163"/>
      <c r="CV97" s="326"/>
      <c r="CW97" s="373"/>
      <c r="CX97" s="373"/>
      <c r="CY97" s="373"/>
      <c r="CZ97" s="373"/>
      <c r="DA97" s="373"/>
      <c r="DB97" s="373"/>
      <c r="DC97" s="374"/>
      <c r="DD97" s="373"/>
      <c r="DE97" s="373"/>
      <c r="DF97" s="373"/>
      <c r="DG97" s="373"/>
      <c r="DH97" s="373"/>
      <c r="DI97" s="375"/>
      <c r="DJ97" s="326"/>
      <c r="DK97" s="373"/>
      <c r="DL97" s="373"/>
      <c r="DM97" s="373"/>
      <c r="DN97" s="373"/>
      <c r="DO97" s="373"/>
      <c r="DP97" s="373"/>
      <c r="DQ97" s="374"/>
      <c r="DR97" s="373"/>
      <c r="DS97" s="373"/>
      <c r="DT97" s="373"/>
      <c r="DU97" s="373"/>
      <c r="DV97" s="373"/>
      <c r="DW97" s="375"/>
      <c r="DY97" s="373"/>
      <c r="DZ97" s="373"/>
      <c r="EA97" s="373"/>
      <c r="EB97" s="373"/>
      <c r="EC97" s="373"/>
      <c r="ED97" s="373"/>
      <c r="EE97" s="374"/>
      <c r="EF97" s="373"/>
      <c r="EG97" s="373"/>
      <c r="EH97" s="373"/>
      <c r="EI97" s="373"/>
      <c r="EJ97" s="373"/>
      <c r="EK97" s="375"/>
      <c r="EL97" s="164"/>
      <c r="EM97" s="373"/>
      <c r="EN97" s="373"/>
      <c r="EO97" s="373"/>
      <c r="EP97" s="373"/>
      <c r="EQ97" s="373"/>
      <c r="ER97" s="373"/>
      <c r="ES97" s="374"/>
      <c r="ET97" s="373"/>
      <c r="EU97" s="373"/>
      <c r="EV97" s="373"/>
      <c r="EW97" s="373"/>
      <c r="EX97" s="373"/>
      <c r="EY97" s="375"/>
      <c r="EZ97" s="164"/>
    </row>
    <row r="98" spans="1:157" s="187" customFormat="1" ht="15.75" customHeight="1" outlineLevel="1">
      <c r="B98" s="199"/>
      <c r="C98" s="199"/>
      <c r="D98" s="199"/>
      <c r="F98" s="199"/>
      <c r="G98" s="19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5">
        <f>SUM(T87:T97)</f>
        <v>5470000</v>
      </c>
      <c r="U98" s="783"/>
      <c r="V98" s="782"/>
      <c r="W98" s="922"/>
      <c r="X98" s="339"/>
      <c r="Y98" s="339"/>
      <c r="Z98" s="339"/>
      <c r="AA98" s="339"/>
      <c r="AB98" s="339"/>
      <c r="AC98" s="339"/>
      <c r="AD98" s="339"/>
      <c r="AE98" s="339"/>
      <c r="AF98" s="339"/>
      <c r="AG98" s="339"/>
      <c r="AH98" s="339"/>
      <c r="AI98" s="339"/>
      <c r="AJ98" s="335">
        <f>SUM(AJ87:AJ97)</f>
        <v>0</v>
      </c>
      <c r="AK98" s="922"/>
      <c r="AL98" s="339"/>
      <c r="AM98" s="339"/>
      <c r="AN98" s="339"/>
      <c r="AO98" s="339"/>
      <c r="AP98" s="339"/>
      <c r="AQ98" s="339"/>
      <c r="AR98" s="339"/>
      <c r="AS98" s="339"/>
      <c r="AT98" s="339"/>
      <c r="AU98" s="339"/>
      <c r="AV98" s="339"/>
      <c r="AW98" s="339"/>
      <c r="AX98" s="335">
        <f>SUM(AX87:AX97)</f>
        <v>0</v>
      </c>
      <c r="AY98" s="783"/>
      <c r="AZ98" s="782"/>
      <c r="BA98" s="922"/>
      <c r="BB98" s="339"/>
      <c r="BC98" s="339"/>
      <c r="BD98" s="339"/>
      <c r="BE98" s="339"/>
      <c r="BF98" s="339"/>
      <c r="BG98" s="339"/>
      <c r="BH98" s="339"/>
      <c r="BI98" s="339"/>
      <c r="BJ98" s="339"/>
      <c r="BK98" s="339"/>
      <c r="BL98" s="339"/>
      <c r="BM98" s="339"/>
      <c r="BN98" s="335">
        <f>SUM(BN87:BN97)</f>
        <v>0</v>
      </c>
      <c r="BO98" s="922"/>
      <c r="BP98" s="338"/>
      <c r="BQ98" s="338"/>
      <c r="BR98" s="338"/>
      <c r="BS98" s="338"/>
      <c r="BT98" s="338"/>
      <c r="BU98" s="338"/>
      <c r="BV98" s="339"/>
      <c r="BW98" s="338"/>
      <c r="BX98" s="338"/>
      <c r="BY98" s="338"/>
      <c r="BZ98" s="338"/>
      <c r="CA98" s="338"/>
      <c r="CB98" s="335">
        <f>SUM(CB87:CB97)</f>
        <v>0</v>
      </c>
      <c r="CC98" s="783"/>
      <c r="CD98" s="782"/>
      <c r="CE98" s="202"/>
      <c r="CF98" s="339"/>
      <c r="CG98" s="339"/>
      <c r="CH98" s="339"/>
      <c r="CI98" s="339"/>
      <c r="CJ98" s="339"/>
      <c r="CK98" s="339"/>
      <c r="CL98" s="339"/>
      <c r="CM98" s="339"/>
      <c r="CN98" s="339"/>
      <c r="CO98" s="339"/>
      <c r="CP98" s="339"/>
      <c r="CQ98" s="339"/>
      <c r="CR98" s="339"/>
      <c r="CS98" s="781"/>
      <c r="CT98" s="342">
        <f>CS98-DW98</f>
        <v>0</v>
      </c>
      <c r="CU98" s="343"/>
      <c r="CV98" s="202"/>
      <c r="CW98" s="338">
        <f t="shared" ref="CW98:DI98" si="264">SUM(CW87:CW97)</f>
        <v>0</v>
      </c>
      <c r="CX98" s="338">
        <f t="shared" si="264"/>
        <v>0</v>
      </c>
      <c r="CY98" s="338">
        <f t="shared" si="264"/>
        <v>0</v>
      </c>
      <c r="CZ98" s="338">
        <f t="shared" si="264"/>
        <v>0</v>
      </c>
      <c r="DA98" s="338">
        <f t="shared" si="264"/>
        <v>0</v>
      </c>
      <c r="DB98" s="338">
        <f t="shared" si="264"/>
        <v>0</v>
      </c>
      <c r="DC98" s="339">
        <f t="shared" si="264"/>
        <v>0</v>
      </c>
      <c r="DD98" s="338">
        <f t="shared" si="264"/>
        <v>0</v>
      </c>
      <c r="DE98" s="338">
        <f t="shared" si="264"/>
        <v>0</v>
      </c>
      <c r="DF98" s="338">
        <f t="shared" si="264"/>
        <v>0</v>
      </c>
      <c r="DG98" s="338">
        <f t="shared" si="264"/>
        <v>0</v>
      </c>
      <c r="DH98" s="338">
        <f t="shared" si="264"/>
        <v>0</v>
      </c>
      <c r="DI98" s="335">
        <f t="shared" si="264"/>
        <v>0</v>
      </c>
      <c r="DJ98" s="202"/>
      <c r="DK98" s="338">
        <f t="shared" ref="DK98:DW98" si="265">SUM(DK87:DK97)</f>
        <v>0</v>
      </c>
      <c r="DL98" s="338">
        <f t="shared" si="265"/>
        <v>0</v>
      </c>
      <c r="DM98" s="338">
        <f t="shared" si="265"/>
        <v>0</v>
      </c>
      <c r="DN98" s="338">
        <f t="shared" si="265"/>
        <v>0</v>
      </c>
      <c r="DO98" s="338">
        <f t="shared" si="265"/>
        <v>0</v>
      </c>
      <c r="DP98" s="338">
        <f t="shared" si="265"/>
        <v>0</v>
      </c>
      <c r="DQ98" s="339">
        <f t="shared" si="265"/>
        <v>0</v>
      </c>
      <c r="DR98" s="338">
        <f t="shared" si="265"/>
        <v>0</v>
      </c>
      <c r="DS98" s="338">
        <f t="shared" si="265"/>
        <v>0</v>
      </c>
      <c r="DT98" s="338">
        <f t="shared" si="265"/>
        <v>0</v>
      </c>
      <c r="DU98" s="338">
        <f t="shared" si="265"/>
        <v>0</v>
      </c>
      <c r="DV98" s="338">
        <f t="shared" si="265"/>
        <v>0</v>
      </c>
      <c r="DW98" s="335">
        <f t="shared" si="265"/>
        <v>0</v>
      </c>
      <c r="DY98" s="338">
        <f t="shared" ref="DY98:EK98" si="266">SUM(DY87:DY97)</f>
        <v>0</v>
      </c>
      <c r="DZ98" s="338">
        <f t="shared" si="266"/>
        <v>0</v>
      </c>
      <c r="EA98" s="338">
        <f t="shared" si="266"/>
        <v>0</v>
      </c>
      <c r="EB98" s="338">
        <f t="shared" si="266"/>
        <v>0</v>
      </c>
      <c r="EC98" s="338">
        <f t="shared" si="266"/>
        <v>0</v>
      </c>
      <c r="ED98" s="338">
        <f t="shared" si="266"/>
        <v>0</v>
      </c>
      <c r="EE98" s="339">
        <f t="shared" si="266"/>
        <v>0</v>
      </c>
      <c r="EF98" s="338">
        <f t="shared" si="266"/>
        <v>0</v>
      </c>
      <c r="EG98" s="338">
        <f t="shared" si="266"/>
        <v>0</v>
      </c>
      <c r="EH98" s="338">
        <f t="shared" si="266"/>
        <v>0</v>
      </c>
      <c r="EI98" s="338">
        <f t="shared" si="266"/>
        <v>0</v>
      </c>
      <c r="EJ98" s="338">
        <f t="shared" si="266"/>
        <v>0</v>
      </c>
      <c r="EK98" s="335">
        <f t="shared" si="266"/>
        <v>0</v>
      </c>
      <c r="EL98" s="168"/>
      <c r="EM98" s="338">
        <f t="shared" ref="EM98:EY98" si="267">SUM(EM87:EM97)</f>
        <v>0</v>
      </c>
      <c r="EN98" s="338">
        <f t="shared" si="267"/>
        <v>0</v>
      </c>
      <c r="EO98" s="338">
        <f t="shared" si="267"/>
        <v>0</v>
      </c>
      <c r="EP98" s="338">
        <f t="shared" si="267"/>
        <v>0</v>
      </c>
      <c r="EQ98" s="338">
        <f t="shared" si="267"/>
        <v>0</v>
      </c>
      <c r="ER98" s="338">
        <f t="shared" si="267"/>
        <v>0</v>
      </c>
      <c r="ES98" s="339">
        <f t="shared" si="267"/>
        <v>0</v>
      </c>
      <c r="ET98" s="338">
        <f t="shared" si="267"/>
        <v>0</v>
      </c>
      <c r="EU98" s="338">
        <f t="shared" si="267"/>
        <v>0</v>
      </c>
      <c r="EV98" s="338">
        <f t="shared" si="267"/>
        <v>0</v>
      </c>
      <c r="EW98" s="338">
        <f t="shared" si="267"/>
        <v>0</v>
      </c>
      <c r="EX98" s="338">
        <f t="shared" si="267"/>
        <v>0</v>
      </c>
      <c r="EY98" s="335">
        <f t="shared" si="267"/>
        <v>0</v>
      </c>
      <c r="EZ98" s="168"/>
    </row>
    <row r="99" spans="1:157" ht="16.5" customHeight="1">
      <c r="H99" s="374"/>
      <c r="I99" s="374"/>
      <c r="J99" s="374"/>
      <c r="K99" s="374"/>
      <c r="L99" s="374"/>
      <c r="M99" s="374"/>
      <c r="N99" s="374"/>
      <c r="O99" s="374"/>
      <c r="P99" s="374"/>
      <c r="Q99" s="374"/>
      <c r="R99" s="374"/>
      <c r="S99" s="374"/>
      <c r="T99" s="375"/>
      <c r="U99" s="780"/>
      <c r="V99" s="364"/>
      <c r="X99" s="374"/>
      <c r="Y99" s="374"/>
      <c r="Z99" s="374"/>
      <c r="AA99" s="374"/>
      <c r="AB99" s="374"/>
      <c r="AC99" s="374"/>
      <c r="AD99" s="374"/>
      <c r="AE99" s="374"/>
      <c r="AF99" s="374"/>
      <c r="AG99" s="374"/>
      <c r="AH99" s="374"/>
      <c r="AI99" s="374"/>
      <c r="AJ99" s="375"/>
      <c r="AL99" s="374"/>
      <c r="AM99" s="374"/>
      <c r="AN99" s="374"/>
      <c r="AO99" s="374"/>
      <c r="AP99" s="374"/>
      <c r="AQ99" s="374"/>
      <c r="AR99" s="374"/>
      <c r="AS99" s="374"/>
      <c r="AT99" s="374"/>
      <c r="AU99" s="374"/>
      <c r="AV99" s="374"/>
      <c r="AW99" s="374"/>
      <c r="AX99" s="375"/>
      <c r="AY99" s="780"/>
      <c r="AZ99" s="364"/>
      <c r="BB99" s="374"/>
      <c r="BC99" s="374"/>
      <c r="BD99" s="374"/>
      <c r="BE99" s="374"/>
      <c r="BF99" s="374"/>
      <c r="BG99" s="374"/>
      <c r="BH99" s="374"/>
      <c r="BI99" s="374"/>
      <c r="BJ99" s="374"/>
      <c r="BK99" s="374"/>
      <c r="BL99" s="374"/>
      <c r="BM99" s="374"/>
      <c r="BN99" s="375"/>
      <c r="BP99" s="373"/>
      <c r="BQ99" s="373"/>
      <c r="BR99" s="373"/>
      <c r="BS99" s="373"/>
      <c r="BT99" s="373"/>
      <c r="BU99" s="373"/>
      <c r="BV99" s="374"/>
      <c r="BW99" s="373"/>
      <c r="BX99" s="373"/>
      <c r="BY99" s="373"/>
      <c r="BZ99" s="373"/>
      <c r="CA99" s="373"/>
      <c r="CB99" s="375"/>
      <c r="CC99" s="780"/>
      <c r="CD99" s="364"/>
      <c r="CE99" s="312"/>
      <c r="CF99" s="374"/>
      <c r="CG99" s="374"/>
      <c r="CH99" s="374"/>
      <c r="CI99" s="374"/>
      <c r="CJ99" s="374"/>
      <c r="CK99" s="374"/>
      <c r="CL99" s="374"/>
      <c r="CM99" s="374"/>
      <c r="CN99" s="374"/>
      <c r="CO99" s="374"/>
      <c r="CP99" s="374"/>
      <c r="CQ99" s="374"/>
      <c r="CR99" s="374"/>
      <c r="CS99" s="402"/>
      <c r="CT99" s="393"/>
      <c r="CU99" s="163"/>
      <c r="CW99" s="373"/>
      <c r="CX99" s="373"/>
      <c r="CY99" s="373"/>
      <c r="CZ99" s="373"/>
      <c r="DA99" s="373"/>
      <c r="DB99" s="373"/>
      <c r="DC99" s="374"/>
      <c r="DD99" s="373"/>
      <c r="DE99" s="373"/>
      <c r="DF99" s="373"/>
      <c r="DG99" s="373"/>
      <c r="DH99" s="373"/>
      <c r="DI99" s="375"/>
      <c r="DK99" s="373"/>
      <c r="DL99" s="373"/>
      <c r="DM99" s="373"/>
      <c r="DN99" s="373"/>
      <c r="DO99" s="373"/>
      <c r="DP99" s="373"/>
      <c r="DQ99" s="374"/>
      <c r="DR99" s="373"/>
      <c r="DS99" s="373"/>
      <c r="DT99" s="373"/>
      <c r="DU99" s="373"/>
      <c r="DV99" s="373"/>
      <c r="DW99" s="375"/>
      <c r="DY99" s="373"/>
      <c r="DZ99" s="373"/>
      <c r="EA99" s="373"/>
      <c r="EB99" s="373"/>
      <c r="EC99" s="373"/>
      <c r="ED99" s="373"/>
      <c r="EE99" s="374"/>
      <c r="EF99" s="373"/>
      <c r="EG99" s="373"/>
      <c r="EH99" s="373"/>
      <c r="EI99" s="373"/>
      <c r="EJ99" s="373"/>
      <c r="EK99" s="375"/>
      <c r="EL99" s="164"/>
      <c r="EM99" s="373"/>
      <c r="EN99" s="373"/>
      <c r="EO99" s="373"/>
      <c r="EP99" s="373"/>
      <c r="EQ99" s="373"/>
      <c r="ER99" s="373"/>
      <c r="ES99" s="373"/>
      <c r="ET99" s="373"/>
      <c r="EU99" s="373"/>
      <c r="EV99" s="373"/>
      <c r="EW99" s="373"/>
      <c r="EX99" s="377"/>
      <c r="EY99" s="375"/>
      <c r="EZ99" s="164"/>
    </row>
    <row r="100" spans="1:157" ht="18" customHeight="1">
      <c r="E100" s="199" t="s">
        <v>316</v>
      </c>
      <c r="F100" s="185"/>
      <c r="G100" s="185"/>
      <c r="H100" s="374"/>
      <c r="I100" s="374"/>
      <c r="J100" s="374"/>
      <c r="K100" s="374"/>
      <c r="L100" s="374"/>
      <c r="M100" s="374"/>
      <c r="N100" s="374"/>
      <c r="O100" s="374"/>
      <c r="P100" s="374"/>
      <c r="Q100" s="374"/>
      <c r="R100" s="374"/>
      <c r="S100" s="374"/>
      <c r="T100" s="375"/>
      <c r="U100" s="779"/>
      <c r="V100" s="364"/>
      <c r="W100" s="953"/>
      <c r="X100" s="374"/>
      <c r="Y100" s="374"/>
      <c r="Z100" s="374"/>
      <c r="AA100" s="374"/>
      <c r="AB100" s="374"/>
      <c r="AC100" s="374"/>
      <c r="AD100" s="374"/>
      <c r="AE100" s="374"/>
      <c r="AF100" s="374"/>
      <c r="AG100" s="374"/>
      <c r="AH100" s="374"/>
      <c r="AI100" s="374"/>
      <c r="AJ100" s="375"/>
      <c r="AK100" s="953"/>
      <c r="AL100" s="374"/>
      <c r="AM100" s="374"/>
      <c r="AN100" s="374"/>
      <c r="AO100" s="374"/>
      <c r="AP100" s="374"/>
      <c r="AQ100" s="374"/>
      <c r="AR100" s="374"/>
      <c r="AS100" s="374"/>
      <c r="AT100" s="374"/>
      <c r="AU100" s="374"/>
      <c r="AV100" s="374"/>
      <c r="AW100" s="374"/>
      <c r="AX100" s="375"/>
      <c r="AY100" s="779"/>
      <c r="AZ100" s="364"/>
      <c r="BA100" s="953"/>
      <c r="BB100" s="374"/>
      <c r="BC100" s="374"/>
      <c r="BD100" s="374"/>
      <c r="BE100" s="374"/>
      <c r="BF100" s="374"/>
      <c r="BG100" s="374"/>
      <c r="BH100" s="374"/>
      <c r="BI100" s="374"/>
      <c r="BJ100" s="374"/>
      <c r="BK100" s="374"/>
      <c r="BL100" s="374"/>
      <c r="BM100" s="374"/>
      <c r="BN100" s="375"/>
      <c r="BO100" s="953"/>
      <c r="BP100" s="373"/>
      <c r="BQ100" s="373"/>
      <c r="BR100" s="373"/>
      <c r="BS100" s="373"/>
      <c r="BT100" s="373"/>
      <c r="BU100" s="373"/>
      <c r="BV100" s="374"/>
      <c r="BW100" s="373"/>
      <c r="BX100" s="373"/>
      <c r="BY100" s="373"/>
      <c r="BZ100" s="373"/>
      <c r="CA100" s="373"/>
      <c r="CB100" s="375"/>
      <c r="CC100" s="779"/>
      <c r="CD100" s="364"/>
      <c r="CE100" s="188"/>
      <c r="CF100" s="374"/>
      <c r="CG100" s="374"/>
      <c r="CH100" s="374"/>
      <c r="CI100" s="374"/>
      <c r="CJ100" s="374"/>
      <c r="CK100" s="374"/>
      <c r="CL100" s="374"/>
      <c r="CM100" s="374"/>
      <c r="CN100" s="374"/>
      <c r="CO100" s="374"/>
      <c r="CP100" s="374"/>
      <c r="CQ100" s="374"/>
      <c r="CR100" s="374"/>
      <c r="CS100" s="402"/>
      <c r="CT100" s="393"/>
      <c r="CU100" s="163"/>
      <c r="CV100" s="188"/>
      <c r="CW100" s="373"/>
      <c r="CX100" s="373"/>
      <c r="CY100" s="373"/>
      <c r="CZ100" s="373"/>
      <c r="DA100" s="373"/>
      <c r="DB100" s="373"/>
      <c r="DC100" s="374"/>
      <c r="DD100" s="373"/>
      <c r="DE100" s="373"/>
      <c r="DF100" s="373"/>
      <c r="DG100" s="373"/>
      <c r="DH100" s="373"/>
      <c r="DI100" s="375"/>
      <c r="DJ100" s="188"/>
      <c r="DK100" s="373"/>
      <c r="DL100" s="373"/>
      <c r="DM100" s="373"/>
      <c r="DN100" s="373"/>
      <c r="DO100" s="373"/>
      <c r="DP100" s="373"/>
      <c r="DQ100" s="374"/>
      <c r="DR100" s="373"/>
      <c r="DS100" s="373"/>
      <c r="DT100" s="373"/>
      <c r="DU100" s="373"/>
      <c r="DV100" s="373"/>
      <c r="DW100" s="375"/>
      <c r="DY100" s="373"/>
      <c r="DZ100" s="373"/>
      <c r="EA100" s="373"/>
      <c r="EB100" s="373"/>
      <c r="EC100" s="373"/>
      <c r="ED100" s="373"/>
      <c r="EE100" s="374"/>
      <c r="EF100" s="373"/>
      <c r="EG100" s="373"/>
      <c r="EH100" s="373"/>
      <c r="EI100" s="373"/>
      <c r="EJ100" s="373"/>
      <c r="EK100" s="375"/>
      <c r="EL100" s="164"/>
      <c r="EM100" s="373"/>
      <c r="EN100" s="373"/>
      <c r="EO100" s="373"/>
      <c r="EP100" s="373"/>
      <c r="EQ100" s="373"/>
      <c r="ER100" s="373"/>
      <c r="ES100" s="373"/>
      <c r="ET100" s="373"/>
      <c r="EU100" s="373"/>
      <c r="EV100" s="373"/>
      <c r="EW100" s="373"/>
      <c r="EX100" s="377"/>
      <c r="EY100" s="375"/>
      <c r="EZ100" s="164"/>
    </row>
    <row r="101" spans="1:157" ht="18.75" customHeight="1">
      <c r="A101" s="185" t="s">
        <v>595</v>
      </c>
      <c r="B101" s="774"/>
      <c r="C101" s="176" t="s">
        <v>1067</v>
      </c>
      <c r="D101" s="176">
        <v>60101000</v>
      </c>
      <c r="E101" s="773"/>
      <c r="F101" s="320" t="s">
        <v>624</v>
      </c>
      <c r="G101" s="329"/>
      <c r="H101" s="373"/>
      <c r="I101" s="373"/>
      <c r="J101" s="373"/>
      <c r="K101" s="373"/>
      <c r="L101" s="373"/>
      <c r="M101" s="373"/>
      <c r="N101" s="374"/>
      <c r="O101" s="373"/>
      <c r="P101" s="373"/>
      <c r="Q101" s="373"/>
      <c r="R101" s="373"/>
      <c r="S101" s="403">
        <v>39997817.921452649</v>
      </c>
      <c r="T101" s="375">
        <f t="shared" ref="T101:T164" si="268">SUM(H101:S101)</f>
        <v>39997817.921452649</v>
      </c>
      <c r="U101" s="378">
        <f t="shared" ref="U101:U166" si="269">AJ101-T101</f>
        <v>-3432077.611452654</v>
      </c>
      <c r="V101" s="165">
        <f t="shared" ref="V101:V166" si="270">U101/AJ101</f>
        <v>-9.386047109550931E-2</v>
      </c>
      <c r="W101" s="329"/>
      <c r="X101" s="373">
        <v>2969236.45</v>
      </c>
      <c r="Y101" s="373">
        <v>2909865.4</v>
      </c>
      <c r="Z101" s="373">
        <v>2862311.36</v>
      </c>
      <c r="AA101" s="373">
        <v>3007721.45</v>
      </c>
      <c r="AB101" s="373">
        <v>2822929.93</v>
      </c>
      <c r="AC101" s="373">
        <v>2826095.77</v>
      </c>
      <c r="AD101" s="374">
        <v>3281962.88</v>
      </c>
      <c r="AE101" s="373">
        <v>3144576.25</v>
      </c>
      <c r="AF101" s="373">
        <v>3100023.56</v>
      </c>
      <c r="AG101" s="373">
        <v>3474732.93</v>
      </c>
      <c r="AH101" s="373">
        <v>3014194.71</v>
      </c>
      <c r="AI101" s="373">
        <v>3152089.62</v>
      </c>
      <c r="AJ101" s="375">
        <f t="shared" ref="AJ101:AJ165" si="271">SUM(X101:AI101)</f>
        <v>36565740.309999995</v>
      </c>
      <c r="AK101" s="329"/>
      <c r="AL101" s="373">
        <v>0</v>
      </c>
      <c r="AM101" s="373">
        <v>0</v>
      </c>
      <c r="AN101" s="373">
        <v>0</v>
      </c>
      <c r="AO101" s="373">
        <v>0</v>
      </c>
      <c r="AP101" s="373">
        <v>0</v>
      </c>
      <c r="AQ101" s="373">
        <v>0</v>
      </c>
      <c r="AR101" s="374">
        <v>0</v>
      </c>
      <c r="AS101" s="373">
        <v>0</v>
      </c>
      <c r="AT101" s="373">
        <v>0</v>
      </c>
      <c r="AU101" s="373">
        <v>0</v>
      </c>
      <c r="AV101" s="373">
        <v>0</v>
      </c>
      <c r="AW101" s="373">
        <v>38896609.703719996</v>
      </c>
      <c r="AX101" s="375">
        <v>38896609</v>
      </c>
      <c r="AY101" s="378">
        <f t="shared" ref="AY101:AY166" si="272">BN101-AX101</f>
        <v>-945305.27000000328</v>
      </c>
      <c r="AZ101" s="165">
        <f t="shared" ref="AZ101:AZ166" si="273">AY101/BN101</f>
        <v>-2.4908374076560436E-2</v>
      </c>
      <c r="BA101" s="329"/>
      <c r="BB101" s="373">
        <v>3783205.81</v>
      </c>
      <c r="BC101" s="373">
        <v>3386703.8800000004</v>
      </c>
      <c r="BD101" s="373">
        <v>3283636.1199999996</v>
      </c>
      <c r="BE101" s="373">
        <v>3323048.02</v>
      </c>
      <c r="BF101" s="373">
        <v>3221616.03</v>
      </c>
      <c r="BG101" s="373">
        <v>2950869.96</v>
      </c>
      <c r="BH101" s="374">
        <v>3157658.86</v>
      </c>
      <c r="BI101" s="373">
        <v>2974578.41</v>
      </c>
      <c r="BJ101" s="373">
        <v>3138987.6799999997</v>
      </c>
      <c r="BK101" s="373">
        <v>3117069.03</v>
      </c>
      <c r="BL101" s="373">
        <v>2812067.63</v>
      </c>
      <c r="BM101" s="373">
        <v>2801862.3</v>
      </c>
      <c r="BN101" s="978">
        <v>37951303.729999997</v>
      </c>
      <c r="BO101" s="329"/>
      <c r="BP101" s="373">
        <v>3537293.5833333335</v>
      </c>
      <c r="BQ101" s="373">
        <v>3537293.5833333335</v>
      </c>
      <c r="BR101" s="373">
        <v>3537293.5833333335</v>
      </c>
      <c r="BS101" s="373">
        <v>3537293.5833333335</v>
      </c>
      <c r="BT101" s="373">
        <v>3537293.5833333335</v>
      </c>
      <c r="BU101" s="373">
        <v>3537293.5833333335</v>
      </c>
      <c r="BV101" s="374">
        <v>3537293.5833333335</v>
      </c>
      <c r="BW101" s="373">
        <v>3537293.5833333335</v>
      </c>
      <c r="BX101" s="373">
        <v>3537293.5833333335</v>
      </c>
      <c r="BY101" s="373">
        <v>3537293.5833333335</v>
      </c>
      <c r="BZ101" s="373">
        <v>3537293.5833333335</v>
      </c>
      <c r="CA101" s="373">
        <v>3537293.5833333395</v>
      </c>
      <c r="CB101" s="375">
        <f>SUM(BP101:CA101)</f>
        <v>42447523</v>
      </c>
      <c r="CC101" s="378">
        <f t="shared" ref="CC101:CC230" si="274">CB101-BN101</f>
        <v>4496219.2700000033</v>
      </c>
      <c r="CD101" s="165">
        <f t="shared" ref="CD101:CD230" si="275">IFERROR(CC101/CB101,"N/A")</f>
        <v>0.10592418478694277</v>
      </c>
      <c r="CE101" s="772"/>
      <c r="CF101" s="373">
        <v>4208401.8100000005</v>
      </c>
      <c r="CG101" s="373">
        <v>4471949.09</v>
      </c>
      <c r="CH101" s="373">
        <v>4122980.2299999995</v>
      </c>
      <c r="CI101" s="373">
        <v>4448796.6800000006</v>
      </c>
      <c r="CJ101" s="373">
        <v>4178021.2899999996</v>
      </c>
      <c r="CK101" s="373">
        <v>4024082.98</v>
      </c>
      <c r="CL101" s="374">
        <v>4945456.24</v>
      </c>
      <c r="CM101" s="373">
        <v>3748171.3800000004</v>
      </c>
      <c r="CN101" s="373">
        <v>3448286.65</v>
      </c>
      <c r="CO101" s="373">
        <v>3821646.95</v>
      </c>
      <c r="CP101" s="373">
        <v>3518132.48</v>
      </c>
      <c r="CQ101" s="373">
        <v>3613336.77</v>
      </c>
      <c r="CR101" s="376">
        <v>0</v>
      </c>
      <c r="CS101" s="978">
        <f t="shared" ref="CS101:CS230" si="276">SUM(CF101:CR101)</f>
        <v>48549262.550000004</v>
      </c>
      <c r="CT101" s="979">
        <f t="shared" ref="CT101:CT230" si="277">CS101-BN101</f>
        <v>10597958.820000008</v>
      </c>
      <c r="CU101" s="165">
        <f t="shared" ref="CU101:CU230" si="278">IFERROR(CT101/CS101,"N/A")</f>
        <v>0.21829288980621203</v>
      </c>
      <c r="CV101" s="329"/>
      <c r="CW101" s="373">
        <v>4165809.54</v>
      </c>
      <c r="CX101" s="373">
        <v>4197743.78</v>
      </c>
      <c r="CY101" s="373">
        <v>4054785.88</v>
      </c>
      <c r="CZ101" s="373">
        <v>4133515.8700000006</v>
      </c>
      <c r="DA101" s="373">
        <v>2854975.71</v>
      </c>
      <c r="DB101" s="373">
        <v>3509968.9499999997</v>
      </c>
      <c r="DC101" s="374">
        <v>3753586.71</v>
      </c>
      <c r="DD101" s="373">
        <v>3604539.6599999997</v>
      </c>
      <c r="DE101" s="373">
        <v>3541514.94</v>
      </c>
      <c r="DF101" s="373">
        <v>3915224.17</v>
      </c>
      <c r="DG101" s="373">
        <v>3700382.3000000003</v>
      </c>
      <c r="DH101" s="373">
        <v>3654822.7799999993</v>
      </c>
      <c r="DI101" s="375">
        <f t="shared" ref="DI101:DI230" si="279">SUM(CW101:DH101)</f>
        <v>45086870.289999999</v>
      </c>
      <c r="DJ101" s="329"/>
      <c r="DK101" s="373">
        <v>3956219.17</v>
      </c>
      <c r="DL101" s="373">
        <v>3823513.07</v>
      </c>
      <c r="DM101" s="373">
        <v>3883343.48</v>
      </c>
      <c r="DN101" s="373">
        <v>4162202.85</v>
      </c>
      <c r="DO101" s="373">
        <v>3875137.78</v>
      </c>
      <c r="DP101" s="373">
        <v>3845979.7</v>
      </c>
      <c r="DQ101" s="374">
        <v>4202576.08</v>
      </c>
      <c r="DR101" s="373">
        <v>3957538.06</v>
      </c>
      <c r="DS101" s="373">
        <v>4028686.33</v>
      </c>
      <c r="DT101" s="373">
        <v>4644321.91</v>
      </c>
      <c r="DU101" s="373">
        <v>3570166.75</v>
      </c>
      <c r="DV101" s="373">
        <v>3863109.68</v>
      </c>
      <c r="DW101" s="375">
        <f t="shared" ref="DW101:DW230" si="280">SUM(DK101:DV101)</f>
        <v>47812794.860000007</v>
      </c>
      <c r="DY101" s="373">
        <v>2951981.92</v>
      </c>
      <c r="DZ101" s="373">
        <v>3217711.01</v>
      </c>
      <c r="EA101" s="373">
        <v>3552378.23</v>
      </c>
      <c r="EB101" s="373">
        <v>3479117.23</v>
      </c>
      <c r="EC101" s="373">
        <v>3188915.21</v>
      </c>
      <c r="ED101" s="373">
        <v>3078635.85</v>
      </c>
      <c r="EE101" s="374">
        <v>3464194.81</v>
      </c>
      <c r="EF101" s="373">
        <v>3324758.73</v>
      </c>
      <c r="EG101" s="373">
        <v>3403949.46</v>
      </c>
      <c r="EH101" s="373">
        <v>2407786.59</v>
      </c>
      <c r="EI101" s="373">
        <v>3265975.45</v>
      </c>
      <c r="EJ101" s="373">
        <v>3307585.19</v>
      </c>
      <c r="EK101" s="375">
        <f t="shared" ref="EK101:EK166" si="281">SUM(DY101:EJ101)</f>
        <v>38642989.68</v>
      </c>
      <c r="EL101" s="177"/>
      <c r="EM101" s="373">
        <v>2215514.5499999998</v>
      </c>
      <c r="EN101" s="373">
        <v>2386435.08</v>
      </c>
      <c r="EO101" s="373">
        <v>2350141.0099999998</v>
      </c>
      <c r="EP101" s="373">
        <v>2491423.75</v>
      </c>
      <c r="EQ101" s="373">
        <v>2327654.37</v>
      </c>
      <c r="ER101" s="373">
        <v>2399706.02</v>
      </c>
      <c r="ES101" s="374">
        <v>2279298.21</v>
      </c>
      <c r="ET101" s="373">
        <v>2488228.15</v>
      </c>
      <c r="EU101" s="373">
        <v>2596643.08</v>
      </c>
      <c r="EV101" s="373">
        <v>2491731.9900000002</v>
      </c>
      <c r="EW101" s="373">
        <v>2442417.6800000002</v>
      </c>
      <c r="EX101" s="373">
        <v>2485254.0299999998</v>
      </c>
      <c r="EY101" s="375">
        <f>SUM(EM101:EX101)</f>
        <v>28954447.920000002</v>
      </c>
      <c r="EZ101" s="164">
        <v>0</v>
      </c>
      <c r="FA101" s="185">
        <v>0</v>
      </c>
    </row>
    <row r="102" spans="1:157" ht="18.75" customHeight="1" outlineLevel="1">
      <c r="A102" s="185" t="s">
        <v>595</v>
      </c>
      <c r="B102" s="774"/>
      <c r="C102" s="176" t="s">
        <v>1066</v>
      </c>
      <c r="D102" s="176">
        <v>60101100</v>
      </c>
      <c r="E102" s="773"/>
      <c r="F102" s="320" t="s">
        <v>336</v>
      </c>
      <c r="G102" s="329"/>
      <c r="H102" s="373"/>
      <c r="I102" s="373"/>
      <c r="J102" s="373"/>
      <c r="K102" s="373"/>
      <c r="L102" s="373"/>
      <c r="M102" s="373"/>
      <c r="N102" s="374"/>
      <c r="O102" s="373"/>
      <c r="P102" s="373"/>
      <c r="Q102" s="373"/>
      <c r="R102" s="373"/>
      <c r="S102" s="377">
        <v>0</v>
      </c>
      <c r="T102" s="375">
        <f t="shared" si="268"/>
        <v>0</v>
      </c>
      <c r="U102" s="378">
        <f t="shared" si="269"/>
        <v>0</v>
      </c>
      <c r="V102" s="165" t="e">
        <f t="shared" si="270"/>
        <v>#DIV/0!</v>
      </c>
      <c r="W102" s="329"/>
      <c r="X102" s="373">
        <v>0</v>
      </c>
      <c r="Y102" s="373">
        <v>0</v>
      </c>
      <c r="Z102" s="373">
        <v>0</v>
      </c>
      <c r="AA102" s="373">
        <v>0</v>
      </c>
      <c r="AB102" s="373">
        <v>0</v>
      </c>
      <c r="AC102" s="373">
        <v>0</v>
      </c>
      <c r="AD102" s="374">
        <v>0</v>
      </c>
      <c r="AE102" s="373">
        <v>0</v>
      </c>
      <c r="AF102" s="373">
        <v>0</v>
      </c>
      <c r="AG102" s="373">
        <v>0</v>
      </c>
      <c r="AH102" s="373">
        <v>0</v>
      </c>
      <c r="AI102" s="373">
        <v>0</v>
      </c>
      <c r="AJ102" s="375">
        <f t="shared" si="271"/>
        <v>0</v>
      </c>
      <c r="AK102" s="329"/>
      <c r="AL102" s="373">
        <v>0</v>
      </c>
      <c r="AM102" s="373">
        <v>0</v>
      </c>
      <c r="AN102" s="373">
        <v>0</v>
      </c>
      <c r="AO102" s="373">
        <v>0</v>
      </c>
      <c r="AP102" s="373">
        <v>0</v>
      </c>
      <c r="AQ102" s="373">
        <v>0</v>
      </c>
      <c r="AR102" s="374">
        <v>0</v>
      </c>
      <c r="AS102" s="373">
        <v>0</v>
      </c>
      <c r="AT102" s="373">
        <v>0</v>
      </c>
      <c r="AU102" s="373">
        <v>0</v>
      </c>
      <c r="AV102" s="373">
        <v>0</v>
      </c>
      <c r="AW102" s="373">
        <v>0</v>
      </c>
      <c r="AX102" s="375">
        <v>0</v>
      </c>
      <c r="AY102" s="378">
        <f t="shared" si="272"/>
        <v>0</v>
      </c>
      <c r="AZ102" s="165" t="e">
        <f t="shared" si="273"/>
        <v>#DIV/0!</v>
      </c>
      <c r="BA102" s="329"/>
      <c r="BB102" s="373">
        <v>0</v>
      </c>
      <c r="BC102" s="373">
        <v>0</v>
      </c>
      <c r="BD102" s="373">
        <v>0</v>
      </c>
      <c r="BE102" s="373">
        <v>0</v>
      </c>
      <c r="BF102" s="373">
        <v>0</v>
      </c>
      <c r="BG102" s="373">
        <v>0</v>
      </c>
      <c r="BH102" s="374">
        <v>0</v>
      </c>
      <c r="BI102" s="373">
        <v>0</v>
      </c>
      <c r="BJ102" s="373">
        <v>0</v>
      </c>
      <c r="BK102" s="373">
        <v>0</v>
      </c>
      <c r="BL102" s="373">
        <v>0</v>
      </c>
      <c r="BM102" s="373">
        <v>0</v>
      </c>
      <c r="BN102" s="375">
        <v>0</v>
      </c>
      <c r="BO102" s="329"/>
      <c r="BP102" s="373">
        <v>0</v>
      </c>
      <c r="BQ102" s="373">
        <v>0</v>
      </c>
      <c r="BR102" s="373">
        <v>0</v>
      </c>
      <c r="BS102" s="373">
        <v>0</v>
      </c>
      <c r="BT102" s="373">
        <v>0</v>
      </c>
      <c r="BU102" s="373">
        <v>0</v>
      </c>
      <c r="BV102" s="374">
        <v>0</v>
      </c>
      <c r="BW102" s="373">
        <v>0</v>
      </c>
      <c r="BX102" s="373">
        <v>0</v>
      </c>
      <c r="BY102" s="373">
        <v>0</v>
      </c>
      <c r="BZ102" s="373">
        <v>0</v>
      </c>
      <c r="CA102" s="373">
        <v>0</v>
      </c>
      <c r="CB102" s="375">
        <f t="shared" ref="CB102:CB230" si="282">SUM(BP102:CA102)</f>
        <v>0</v>
      </c>
      <c r="CC102" s="378">
        <f t="shared" si="274"/>
        <v>0</v>
      </c>
      <c r="CD102" s="165" t="str">
        <f t="shared" si="275"/>
        <v>N/A</v>
      </c>
      <c r="CE102" s="772"/>
      <c r="CF102" s="373">
        <v>0</v>
      </c>
      <c r="CG102" s="373">
        <v>0</v>
      </c>
      <c r="CH102" s="373">
        <v>0</v>
      </c>
      <c r="CI102" s="373">
        <v>0</v>
      </c>
      <c r="CJ102" s="373">
        <v>0</v>
      </c>
      <c r="CK102" s="373">
        <v>0</v>
      </c>
      <c r="CL102" s="374">
        <v>0</v>
      </c>
      <c r="CM102" s="373">
        <v>0</v>
      </c>
      <c r="CN102" s="373">
        <v>0</v>
      </c>
      <c r="CO102" s="373">
        <v>0</v>
      </c>
      <c r="CP102" s="373">
        <v>0</v>
      </c>
      <c r="CQ102" s="373">
        <v>0</v>
      </c>
      <c r="CR102" s="376">
        <v>0</v>
      </c>
      <c r="CS102" s="375">
        <f t="shared" si="276"/>
        <v>0</v>
      </c>
      <c r="CT102" s="378">
        <f t="shared" si="277"/>
        <v>0</v>
      </c>
      <c r="CU102" s="165" t="str">
        <f t="shared" si="278"/>
        <v>N/A</v>
      </c>
      <c r="CV102" s="329"/>
      <c r="CW102" s="373">
        <v>0</v>
      </c>
      <c r="CX102" s="373">
        <v>0</v>
      </c>
      <c r="CY102" s="373">
        <v>0</v>
      </c>
      <c r="CZ102" s="373">
        <v>0</v>
      </c>
      <c r="DA102" s="373">
        <v>0</v>
      </c>
      <c r="DB102" s="373">
        <v>0</v>
      </c>
      <c r="DC102" s="374">
        <v>0</v>
      </c>
      <c r="DD102" s="373">
        <v>0</v>
      </c>
      <c r="DE102" s="373">
        <v>0</v>
      </c>
      <c r="DF102" s="373">
        <v>0</v>
      </c>
      <c r="DG102" s="373">
        <v>0</v>
      </c>
      <c r="DH102" s="373">
        <v>0</v>
      </c>
      <c r="DI102" s="375">
        <f t="shared" si="279"/>
        <v>0</v>
      </c>
      <c r="DJ102" s="329"/>
      <c r="DK102" s="373">
        <v>0</v>
      </c>
      <c r="DL102" s="373">
        <v>0</v>
      </c>
      <c r="DM102" s="373">
        <v>0</v>
      </c>
      <c r="DN102" s="373">
        <v>0</v>
      </c>
      <c r="DO102" s="373">
        <v>0</v>
      </c>
      <c r="DP102" s="373">
        <v>0</v>
      </c>
      <c r="DQ102" s="374">
        <v>0</v>
      </c>
      <c r="DR102" s="373">
        <v>0</v>
      </c>
      <c r="DS102" s="373">
        <v>0</v>
      </c>
      <c r="DT102" s="373">
        <v>0</v>
      </c>
      <c r="DU102" s="373">
        <v>0</v>
      </c>
      <c r="DV102" s="373">
        <v>0</v>
      </c>
      <c r="DW102" s="375">
        <f t="shared" si="280"/>
        <v>0</v>
      </c>
      <c r="DY102" s="373">
        <v>0</v>
      </c>
      <c r="DZ102" s="373">
        <v>0</v>
      </c>
      <c r="EA102" s="373">
        <v>0</v>
      </c>
      <c r="EB102" s="373">
        <v>0</v>
      </c>
      <c r="EC102" s="373">
        <v>0</v>
      </c>
      <c r="ED102" s="373">
        <v>0</v>
      </c>
      <c r="EE102" s="374">
        <v>0</v>
      </c>
      <c r="EF102" s="373">
        <v>0</v>
      </c>
      <c r="EG102" s="373">
        <v>0</v>
      </c>
      <c r="EH102" s="373">
        <v>0</v>
      </c>
      <c r="EI102" s="373">
        <v>0</v>
      </c>
      <c r="EJ102" s="373">
        <v>0</v>
      </c>
      <c r="EK102" s="375">
        <f t="shared" si="281"/>
        <v>0</v>
      </c>
      <c r="EL102" s="177"/>
      <c r="EM102" s="373">
        <v>0</v>
      </c>
      <c r="EN102" s="373">
        <v>0</v>
      </c>
      <c r="EO102" s="373">
        <v>0</v>
      </c>
      <c r="EP102" s="373">
        <v>0</v>
      </c>
      <c r="EQ102" s="373">
        <v>0</v>
      </c>
      <c r="ER102" s="373">
        <v>0</v>
      </c>
      <c r="ES102" s="374">
        <v>0</v>
      </c>
      <c r="ET102" s="373">
        <v>0</v>
      </c>
      <c r="EU102" s="373">
        <v>0</v>
      </c>
      <c r="EV102" s="373">
        <v>0</v>
      </c>
      <c r="EW102" s="373">
        <v>0</v>
      </c>
      <c r="EX102" s="373">
        <v>-2645008</v>
      </c>
      <c r="EY102" s="375">
        <f t="shared" ref="EY102:EY167" si="283">SUM(EM102:EX102)</f>
        <v>-2645008</v>
      </c>
      <c r="EZ102" s="164">
        <v>0</v>
      </c>
      <c r="FA102" s="185">
        <v>0</v>
      </c>
    </row>
    <row r="103" spans="1:157" ht="18.75" customHeight="1" outlineLevel="1">
      <c r="A103" s="185" t="s">
        <v>595</v>
      </c>
      <c r="B103" s="774"/>
      <c r="C103" s="176" t="s">
        <v>1065</v>
      </c>
      <c r="D103" s="176">
        <v>60101200</v>
      </c>
      <c r="E103" s="773"/>
      <c r="F103" s="320" t="s">
        <v>337</v>
      </c>
      <c r="G103" s="329"/>
      <c r="H103" s="373"/>
      <c r="I103" s="373"/>
      <c r="J103" s="373"/>
      <c r="K103" s="373"/>
      <c r="L103" s="373"/>
      <c r="M103" s="373"/>
      <c r="N103" s="374"/>
      <c r="O103" s="373"/>
      <c r="P103" s="373"/>
      <c r="Q103" s="373"/>
      <c r="R103" s="373"/>
      <c r="S103" s="377">
        <v>0</v>
      </c>
      <c r="T103" s="375">
        <f t="shared" si="268"/>
        <v>0</v>
      </c>
      <c r="U103" s="776">
        <f t="shared" si="269"/>
        <v>0</v>
      </c>
      <c r="V103" s="775" t="e">
        <f t="shared" si="270"/>
        <v>#DIV/0!</v>
      </c>
      <c r="W103" s="329"/>
      <c r="X103" s="373">
        <v>0</v>
      </c>
      <c r="Y103" s="373">
        <v>0</v>
      </c>
      <c r="Z103" s="373">
        <v>0</v>
      </c>
      <c r="AA103" s="373">
        <v>0</v>
      </c>
      <c r="AB103" s="373">
        <v>0</v>
      </c>
      <c r="AC103" s="373">
        <v>0</v>
      </c>
      <c r="AD103" s="374">
        <v>0</v>
      </c>
      <c r="AE103" s="373">
        <v>0</v>
      </c>
      <c r="AF103" s="373">
        <v>0</v>
      </c>
      <c r="AG103" s="373">
        <v>0</v>
      </c>
      <c r="AH103" s="373">
        <v>0</v>
      </c>
      <c r="AI103" s="373">
        <v>0</v>
      </c>
      <c r="AJ103" s="375">
        <f t="shared" si="271"/>
        <v>0</v>
      </c>
      <c r="AK103" s="329"/>
      <c r="AL103" s="373">
        <v>0</v>
      </c>
      <c r="AM103" s="373">
        <v>0</v>
      </c>
      <c r="AN103" s="373">
        <v>0</v>
      </c>
      <c r="AO103" s="373">
        <v>0</v>
      </c>
      <c r="AP103" s="373">
        <v>0</v>
      </c>
      <c r="AQ103" s="373">
        <v>0</v>
      </c>
      <c r="AR103" s="374">
        <v>0</v>
      </c>
      <c r="AS103" s="373">
        <v>0</v>
      </c>
      <c r="AT103" s="373">
        <v>0</v>
      </c>
      <c r="AU103" s="373">
        <v>0</v>
      </c>
      <c r="AV103" s="373">
        <v>0</v>
      </c>
      <c r="AW103" s="373">
        <v>0</v>
      </c>
      <c r="AX103" s="375">
        <v>0</v>
      </c>
      <c r="AY103" s="776">
        <f t="shared" si="272"/>
        <v>6903.660000000149</v>
      </c>
      <c r="AZ103" s="775">
        <f t="shared" si="273"/>
        <v>1</v>
      </c>
      <c r="BA103" s="329"/>
      <c r="BB103" s="373">
        <v>0</v>
      </c>
      <c r="BC103" s="373">
        <v>0</v>
      </c>
      <c r="BD103" s="373">
        <v>0</v>
      </c>
      <c r="BE103" s="373">
        <v>0</v>
      </c>
      <c r="BF103" s="373">
        <v>0</v>
      </c>
      <c r="BG103" s="373">
        <v>0</v>
      </c>
      <c r="BH103" s="374">
        <v>0</v>
      </c>
      <c r="BI103" s="373">
        <v>0</v>
      </c>
      <c r="BJ103" s="373">
        <v>0</v>
      </c>
      <c r="BK103" s="373">
        <v>0</v>
      </c>
      <c r="BL103" s="373">
        <v>0</v>
      </c>
      <c r="BM103" s="373">
        <v>0</v>
      </c>
      <c r="BN103" s="375">
        <v>6903.660000000149</v>
      </c>
      <c r="BO103" s="329"/>
      <c r="BP103" s="373">
        <v>0</v>
      </c>
      <c r="BQ103" s="373">
        <v>0</v>
      </c>
      <c r="BR103" s="373">
        <v>0</v>
      </c>
      <c r="BS103" s="373">
        <v>0</v>
      </c>
      <c r="BT103" s="373">
        <v>0</v>
      </c>
      <c r="BU103" s="373">
        <v>0</v>
      </c>
      <c r="BV103" s="374">
        <v>0</v>
      </c>
      <c r="BW103" s="373">
        <v>0</v>
      </c>
      <c r="BX103" s="373">
        <v>0</v>
      </c>
      <c r="BY103" s="373">
        <v>0</v>
      </c>
      <c r="BZ103" s="373">
        <v>0</v>
      </c>
      <c r="CA103" s="373">
        <v>0</v>
      </c>
      <c r="CB103" s="402">
        <f t="shared" si="282"/>
        <v>0</v>
      </c>
      <c r="CC103" s="776">
        <f t="shared" si="274"/>
        <v>-6903.660000000149</v>
      </c>
      <c r="CD103" s="775" t="str">
        <f t="shared" si="275"/>
        <v>N/A</v>
      </c>
      <c r="CE103" s="772"/>
      <c r="CF103" s="373">
        <v>0</v>
      </c>
      <c r="CG103" s="373">
        <v>0</v>
      </c>
      <c r="CH103" s="373">
        <v>0</v>
      </c>
      <c r="CI103" s="373">
        <v>0</v>
      </c>
      <c r="CJ103" s="373">
        <v>0</v>
      </c>
      <c r="CK103" s="373">
        <v>0</v>
      </c>
      <c r="CL103" s="374">
        <v>0</v>
      </c>
      <c r="CM103" s="373">
        <v>0</v>
      </c>
      <c r="CN103" s="373">
        <v>0</v>
      </c>
      <c r="CO103" s="373">
        <v>0</v>
      </c>
      <c r="CP103" s="373">
        <v>0</v>
      </c>
      <c r="CQ103" s="373">
        <v>0</v>
      </c>
      <c r="CR103" s="374">
        <v>0</v>
      </c>
      <c r="CS103" s="375">
        <f t="shared" si="276"/>
        <v>0</v>
      </c>
      <c r="CT103" s="378">
        <f t="shared" si="277"/>
        <v>-6903.660000000149</v>
      </c>
      <c r="CU103" s="165" t="str">
        <f t="shared" si="278"/>
        <v>N/A</v>
      </c>
      <c r="CV103" s="329"/>
      <c r="CW103" s="373">
        <v>0</v>
      </c>
      <c r="CX103" s="373">
        <v>0</v>
      </c>
      <c r="CY103" s="373">
        <v>0</v>
      </c>
      <c r="CZ103" s="373">
        <v>0</v>
      </c>
      <c r="DA103" s="373">
        <v>0</v>
      </c>
      <c r="DB103" s="373">
        <v>0</v>
      </c>
      <c r="DC103" s="374">
        <v>0</v>
      </c>
      <c r="DD103" s="373">
        <v>0</v>
      </c>
      <c r="DE103" s="373">
        <v>0</v>
      </c>
      <c r="DF103" s="373">
        <v>0</v>
      </c>
      <c r="DG103" s="373">
        <v>0</v>
      </c>
      <c r="DH103" s="373">
        <v>0</v>
      </c>
      <c r="DI103" s="375">
        <f t="shared" si="279"/>
        <v>0</v>
      </c>
      <c r="DJ103" s="329"/>
      <c r="DK103" s="373">
        <v>0</v>
      </c>
      <c r="DL103" s="373">
        <v>0</v>
      </c>
      <c r="DM103" s="373">
        <v>0</v>
      </c>
      <c r="DN103" s="373">
        <v>0</v>
      </c>
      <c r="DO103" s="373">
        <v>0</v>
      </c>
      <c r="DP103" s="373">
        <v>0</v>
      </c>
      <c r="DQ103" s="374">
        <v>0</v>
      </c>
      <c r="DR103" s="373">
        <v>0</v>
      </c>
      <c r="DS103" s="373">
        <v>0</v>
      </c>
      <c r="DT103" s="373">
        <v>0</v>
      </c>
      <c r="DU103" s="373">
        <v>0</v>
      </c>
      <c r="DV103" s="373">
        <v>0</v>
      </c>
      <c r="DW103" s="375">
        <f t="shared" si="280"/>
        <v>0</v>
      </c>
      <c r="DY103" s="373">
        <v>0</v>
      </c>
      <c r="DZ103" s="373">
        <v>0</v>
      </c>
      <c r="EA103" s="373">
        <v>0</v>
      </c>
      <c r="EB103" s="373">
        <v>0</v>
      </c>
      <c r="EC103" s="373">
        <v>0</v>
      </c>
      <c r="ED103" s="373">
        <v>0</v>
      </c>
      <c r="EE103" s="374">
        <v>0</v>
      </c>
      <c r="EF103" s="373">
        <v>0</v>
      </c>
      <c r="EG103" s="373">
        <v>0</v>
      </c>
      <c r="EH103" s="373">
        <v>0</v>
      </c>
      <c r="EI103" s="373">
        <v>0</v>
      </c>
      <c r="EJ103" s="373">
        <v>0</v>
      </c>
      <c r="EK103" s="375">
        <f t="shared" si="281"/>
        <v>0</v>
      </c>
      <c r="EL103" s="177"/>
      <c r="EM103" s="373">
        <v>0</v>
      </c>
      <c r="EN103" s="373">
        <v>0</v>
      </c>
      <c r="EO103" s="373">
        <v>0</v>
      </c>
      <c r="EP103" s="373">
        <v>0</v>
      </c>
      <c r="EQ103" s="373">
        <v>0</v>
      </c>
      <c r="ER103" s="373">
        <v>0</v>
      </c>
      <c r="ES103" s="374">
        <v>0</v>
      </c>
      <c r="ET103" s="373">
        <v>0</v>
      </c>
      <c r="EU103" s="373">
        <v>0</v>
      </c>
      <c r="EV103" s="373">
        <v>0</v>
      </c>
      <c r="EW103" s="373">
        <v>0</v>
      </c>
      <c r="EX103" s="373">
        <v>0</v>
      </c>
      <c r="EY103" s="375">
        <f t="shared" si="283"/>
        <v>0</v>
      </c>
      <c r="EZ103" s="164">
        <v>0</v>
      </c>
      <c r="FA103" s="185">
        <v>0</v>
      </c>
    </row>
    <row r="104" spans="1:157" ht="18.75" customHeight="1">
      <c r="A104" s="185" t="s">
        <v>595</v>
      </c>
      <c r="B104" s="774"/>
      <c r="C104" s="176" t="s">
        <v>1064</v>
      </c>
      <c r="D104" s="176">
        <v>60101300</v>
      </c>
      <c r="E104" s="773"/>
      <c r="F104" s="320" t="s">
        <v>625</v>
      </c>
      <c r="G104" s="329"/>
      <c r="H104" s="373"/>
      <c r="I104" s="373"/>
      <c r="J104" s="373"/>
      <c r="K104" s="373"/>
      <c r="L104" s="373"/>
      <c r="M104" s="373"/>
      <c r="N104" s="374"/>
      <c r="O104" s="373"/>
      <c r="P104" s="373"/>
      <c r="Q104" s="373"/>
      <c r="R104" s="373"/>
      <c r="S104" s="377">
        <v>61500</v>
      </c>
      <c r="T104" s="375">
        <f t="shared" si="268"/>
        <v>61500</v>
      </c>
      <c r="U104" s="776">
        <f t="shared" si="269"/>
        <v>-61500</v>
      </c>
      <c r="V104" s="775" t="e">
        <f t="shared" si="270"/>
        <v>#DIV/0!</v>
      </c>
      <c r="W104" s="329"/>
      <c r="X104" s="373">
        <v>0</v>
      </c>
      <c r="Y104" s="373">
        <v>0</v>
      </c>
      <c r="Z104" s="373">
        <v>0</v>
      </c>
      <c r="AA104" s="373">
        <v>0</v>
      </c>
      <c r="AB104" s="373">
        <v>0</v>
      </c>
      <c r="AC104" s="373">
        <v>0</v>
      </c>
      <c r="AD104" s="374">
        <v>0</v>
      </c>
      <c r="AE104" s="373">
        <v>0</v>
      </c>
      <c r="AF104" s="373">
        <v>0</v>
      </c>
      <c r="AG104" s="373">
        <v>0</v>
      </c>
      <c r="AH104" s="373">
        <v>0</v>
      </c>
      <c r="AI104" s="373">
        <v>0</v>
      </c>
      <c r="AJ104" s="375">
        <f t="shared" si="271"/>
        <v>0</v>
      </c>
      <c r="AK104" s="329"/>
      <c r="AL104" s="373">
        <v>0</v>
      </c>
      <c r="AM104" s="373">
        <v>0</v>
      </c>
      <c r="AN104" s="373">
        <v>0</v>
      </c>
      <c r="AO104" s="373">
        <v>0</v>
      </c>
      <c r="AP104" s="373">
        <v>0</v>
      </c>
      <c r="AQ104" s="373">
        <v>0</v>
      </c>
      <c r="AR104" s="374">
        <v>0</v>
      </c>
      <c r="AS104" s="373">
        <v>0</v>
      </c>
      <c r="AT104" s="373">
        <v>0</v>
      </c>
      <c r="AU104" s="373">
        <v>0</v>
      </c>
      <c r="AV104" s="373">
        <v>0</v>
      </c>
      <c r="AW104" s="373">
        <v>0</v>
      </c>
      <c r="AX104" s="375">
        <v>0</v>
      </c>
      <c r="AY104" s="776">
        <f t="shared" si="272"/>
        <v>12716.216216216213</v>
      </c>
      <c r="AZ104" s="775">
        <f t="shared" si="273"/>
        <v>1</v>
      </c>
      <c r="BA104" s="329"/>
      <c r="BB104" s="373">
        <v>2500</v>
      </c>
      <c r="BC104" s="373">
        <v>0</v>
      </c>
      <c r="BD104" s="373">
        <v>6250</v>
      </c>
      <c r="BE104" s="373">
        <v>3500</v>
      </c>
      <c r="BF104" s="373">
        <v>0</v>
      </c>
      <c r="BG104" s="373">
        <v>1250</v>
      </c>
      <c r="BH104" s="374">
        <v>2250</v>
      </c>
      <c r="BI104" s="373">
        <v>0</v>
      </c>
      <c r="BJ104" s="373">
        <v>0</v>
      </c>
      <c r="BK104" s="373">
        <v>0</v>
      </c>
      <c r="BL104" s="373">
        <v>0</v>
      </c>
      <c r="BM104" s="373">
        <v>0</v>
      </c>
      <c r="BN104" s="375">
        <v>12716.216216216213</v>
      </c>
      <c r="BO104" s="329"/>
      <c r="BP104" s="373">
        <v>2465.9999999999995</v>
      </c>
      <c r="BQ104" s="373">
        <v>2465.9999999999995</v>
      </c>
      <c r="BR104" s="373">
        <v>2465.9999999999995</v>
      </c>
      <c r="BS104" s="373">
        <v>2465.9999999999995</v>
      </c>
      <c r="BT104" s="373">
        <v>2465.9999999999995</v>
      </c>
      <c r="BU104" s="373">
        <v>2465.9999999999995</v>
      </c>
      <c r="BV104" s="374">
        <v>2465.9999999999995</v>
      </c>
      <c r="BW104" s="373">
        <v>2465.9999999999995</v>
      </c>
      <c r="BX104" s="373">
        <v>2465.9999999999995</v>
      </c>
      <c r="BY104" s="373">
        <v>2466.9999999999995</v>
      </c>
      <c r="BZ104" s="373">
        <v>2466.9999999999995</v>
      </c>
      <c r="CA104" s="373">
        <v>2467</v>
      </c>
      <c r="CB104" s="402">
        <f t="shared" si="282"/>
        <v>29594.999999999996</v>
      </c>
      <c r="CC104" s="776">
        <f t="shared" si="274"/>
        <v>16878.783783783783</v>
      </c>
      <c r="CD104" s="775">
        <f t="shared" si="275"/>
        <v>0.57032552065496822</v>
      </c>
      <c r="CE104" s="772"/>
      <c r="CF104" s="373">
        <v>5250</v>
      </c>
      <c r="CG104" s="373">
        <v>5250</v>
      </c>
      <c r="CH104" s="373">
        <v>87378.1</v>
      </c>
      <c r="CI104" s="373">
        <v>4150</v>
      </c>
      <c r="CJ104" s="373">
        <v>73500</v>
      </c>
      <c r="CK104" s="373">
        <v>1000</v>
      </c>
      <c r="CL104" s="374">
        <v>-146528.1</v>
      </c>
      <c r="CM104" s="373">
        <v>33694.51</v>
      </c>
      <c r="CN104" s="373">
        <v>500</v>
      </c>
      <c r="CO104" s="373">
        <v>3150</v>
      </c>
      <c r="CP104" s="373">
        <v>3000</v>
      </c>
      <c r="CQ104" s="373">
        <v>-27194.51</v>
      </c>
      <c r="CR104" s="374">
        <v>0</v>
      </c>
      <c r="CS104" s="375">
        <f t="shared" si="276"/>
        <v>43150.000000000015</v>
      </c>
      <c r="CT104" s="378">
        <f t="shared" si="277"/>
        <v>30433.783783783801</v>
      </c>
      <c r="CU104" s="165">
        <f t="shared" si="278"/>
        <v>0.70530205756161746</v>
      </c>
      <c r="CV104" s="329"/>
      <c r="CW104" s="373">
        <v>0</v>
      </c>
      <c r="CX104" s="373">
        <v>0</v>
      </c>
      <c r="CY104" s="373">
        <v>0</v>
      </c>
      <c r="CZ104" s="373">
        <v>0</v>
      </c>
      <c r="DA104" s="373">
        <v>107396.5</v>
      </c>
      <c r="DB104" s="373">
        <v>9750</v>
      </c>
      <c r="DC104" s="374">
        <v>8250</v>
      </c>
      <c r="DD104" s="373">
        <v>19000</v>
      </c>
      <c r="DE104" s="373">
        <v>18500</v>
      </c>
      <c r="DF104" s="373">
        <v>42376.7</v>
      </c>
      <c r="DG104" s="373">
        <v>6000</v>
      </c>
      <c r="DH104" s="373">
        <v>15300</v>
      </c>
      <c r="DI104" s="375">
        <f t="shared" si="279"/>
        <v>226573.2</v>
      </c>
      <c r="DJ104" s="329"/>
      <c r="DK104" s="373">
        <v>0</v>
      </c>
      <c r="DL104" s="373">
        <v>0</v>
      </c>
      <c r="DM104" s="373">
        <v>0</v>
      </c>
      <c r="DN104" s="373">
        <v>0</v>
      </c>
      <c r="DO104" s="373">
        <v>0</v>
      </c>
      <c r="DP104" s="373">
        <v>0</v>
      </c>
      <c r="DQ104" s="374">
        <v>0</v>
      </c>
      <c r="DR104" s="373">
        <v>0</v>
      </c>
      <c r="DS104" s="373">
        <v>0</v>
      </c>
      <c r="DT104" s="373">
        <v>0</v>
      </c>
      <c r="DU104" s="373">
        <v>0</v>
      </c>
      <c r="DV104" s="373">
        <v>0</v>
      </c>
      <c r="DW104" s="375">
        <f t="shared" si="280"/>
        <v>0</v>
      </c>
      <c r="DY104" s="373">
        <v>0</v>
      </c>
      <c r="DZ104" s="373">
        <v>0</v>
      </c>
      <c r="EA104" s="373">
        <v>0</v>
      </c>
      <c r="EB104" s="373">
        <v>0</v>
      </c>
      <c r="EC104" s="373">
        <v>0</v>
      </c>
      <c r="ED104" s="373">
        <v>0</v>
      </c>
      <c r="EE104" s="374">
        <v>0</v>
      </c>
      <c r="EF104" s="373">
        <v>0</v>
      </c>
      <c r="EG104" s="373">
        <v>0</v>
      </c>
      <c r="EH104" s="373">
        <v>0</v>
      </c>
      <c r="EI104" s="373">
        <v>0</v>
      </c>
      <c r="EJ104" s="373">
        <v>0</v>
      </c>
      <c r="EK104" s="375">
        <f t="shared" si="281"/>
        <v>0</v>
      </c>
      <c r="EL104" s="177"/>
      <c r="EM104" s="373">
        <v>0</v>
      </c>
      <c r="EN104" s="373">
        <v>0</v>
      </c>
      <c r="EO104" s="373">
        <v>0</v>
      </c>
      <c r="EP104" s="373">
        <v>0</v>
      </c>
      <c r="EQ104" s="373">
        <v>0</v>
      </c>
      <c r="ER104" s="373">
        <v>0</v>
      </c>
      <c r="ES104" s="374">
        <v>0</v>
      </c>
      <c r="ET104" s="373">
        <v>0</v>
      </c>
      <c r="EU104" s="373">
        <v>0</v>
      </c>
      <c r="EV104" s="373">
        <v>0</v>
      </c>
      <c r="EW104" s="373">
        <v>0</v>
      </c>
      <c r="EX104" s="373">
        <v>0</v>
      </c>
      <c r="EY104" s="375">
        <f t="shared" si="283"/>
        <v>0</v>
      </c>
      <c r="EZ104" s="164">
        <v>0</v>
      </c>
      <c r="FA104" s="185">
        <v>0</v>
      </c>
    </row>
    <row r="105" spans="1:157" ht="18.75" customHeight="1">
      <c r="A105" s="185" t="s">
        <v>103</v>
      </c>
      <c r="B105" s="774"/>
      <c r="C105" s="176" t="s">
        <v>1063</v>
      </c>
      <c r="D105" s="176">
        <v>60102000</v>
      </c>
      <c r="E105" s="773"/>
      <c r="F105" s="320" t="s">
        <v>626</v>
      </c>
      <c r="G105" s="329"/>
      <c r="H105" s="373"/>
      <c r="I105" s="373"/>
      <c r="J105" s="373"/>
      <c r="K105" s="373"/>
      <c r="L105" s="373"/>
      <c r="M105" s="373"/>
      <c r="N105" s="374"/>
      <c r="O105" s="373"/>
      <c r="P105" s="373"/>
      <c r="Q105" s="373"/>
      <c r="R105" s="373"/>
      <c r="S105" s="403">
        <v>1349951.2404999998</v>
      </c>
      <c r="T105" s="375">
        <f t="shared" si="268"/>
        <v>1349951.2404999998</v>
      </c>
      <c r="U105" s="776">
        <f t="shared" si="269"/>
        <v>-113792.91049999977</v>
      </c>
      <c r="V105" s="775">
        <f t="shared" si="270"/>
        <v>-9.2053669613664915E-2</v>
      </c>
      <c r="W105" s="329"/>
      <c r="X105" s="373">
        <v>97024.49</v>
      </c>
      <c r="Y105" s="373">
        <v>96119.609999999986</v>
      </c>
      <c r="Z105" s="373">
        <v>93807.57</v>
      </c>
      <c r="AA105" s="373">
        <v>94244.58</v>
      </c>
      <c r="AB105" s="373">
        <v>98236.18</v>
      </c>
      <c r="AC105" s="373">
        <v>103869.8</v>
      </c>
      <c r="AD105" s="374">
        <v>104430.1</v>
      </c>
      <c r="AE105" s="373">
        <v>97553.150000000009</v>
      </c>
      <c r="AF105" s="373">
        <v>109160.35</v>
      </c>
      <c r="AG105" s="373">
        <v>125794.84</v>
      </c>
      <c r="AH105" s="373">
        <v>113855.62000000001</v>
      </c>
      <c r="AI105" s="373">
        <v>102062.04000000001</v>
      </c>
      <c r="AJ105" s="375">
        <f t="shared" si="271"/>
        <v>1236158.33</v>
      </c>
      <c r="AK105" s="329"/>
      <c r="AL105" s="373">
        <v>0</v>
      </c>
      <c r="AM105" s="373">
        <v>0</v>
      </c>
      <c r="AN105" s="373">
        <v>0</v>
      </c>
      <c r="AO105" s="373">
        <v>0</v>
      </c>
      <c r="AP105" s="373">
        <v>0</v>
      </c>
      <c r="AQ105" s="373">
        <v>0</v>
      </c>
      <c r="AR105" s="374">
        <v>0</v>
      </c>
      <c r="AS105" s="373">
        <v>0</v>
      </c>
      <c r="AT105" s="373">
        <v>0</v>
      </c>
      <c r="AU105" s="373">
        <v>0</v>
      </c>
      <c r="AV105" s="373">
        <v>0</v>
      </c>
      <c r="AW105" s="373">
        <v>1337054.8699999996</v>
      </c>
      <c r="AX105" s="375">
        <v>1337056</v>
      </c>
      <c r="AY105" s="776">
        <f t="shared" si="272"/>
        <v>-59446.266416294267</v>
      </c>
      <c r="AZ105" s="775">
        <f t="shared" si="273"/>
        <v>-4.652928422010922E-2</v>
      </c>
      <c r="BA105" s="329"/>
      <c r="BB105" s="373">
        <v>123783.79000000001</v>
      </c>
      <c r="BC105" s="373">
        <v>111420.79000000001</v>
      </c>
      <c r="BD105" s="373">
        <v>106477.71</v>
      </c>
      <c r="BE105" s="373">
        <v>107194.17000000001</v>
      </c>
      <c r="BF105" s="373">
        <v>101780.67000000001</v>
      </c>
      <c r="BG105" s="373">
        <v>102780.55</v>
      </c>
      <c r="BH105" s="374">
        <v>103614.70000000001</v>
      </c>
      <c r="BI105" s="373">
        <v>100137.51999999999</v>
      </c>
      <c r="BJ105" s="373">
        <v>102814.00999999998</v>
      </c>
      <c r="BK105" s="373">
        <v>124171.72</v>
      </c>
      <c r="BL105" s="373">
        <v>98935.33</v>
      </c>
      <c r="BM105" s="373">
        <v>92226.94</v>
      </c>
      <c r="BN105" s="402">
        <v>1277609.7335837057</v>
      </c>
      <c r="BO105" s="329"/>
      <c r="BP105" s="373">
        <v>115822.24999999999</v>
      </c>
      <c r="BQ105" s="373">
        <v>115822.24999999999</v>
      </c>
      <c r="BR105" s="373">
        <v>115822.24999999999</v>
      </c>
      <c r="BS105" s="373">
        <v>115822.24999999999</v>
      </c>
      <c r="BT105" s="373">
        <v>115822.24999999999</v>
      </c>
      <c r="BU105" s="373">
        <v>115822.24999999999</v>
      </c>
      <c r="BV105" s="374">
        <v>115822.24999999999</v>
      </c>
      <c r="BW105" s="373">
        <v>115822.24999999999</v>
      </c>
      <c r="BX105" s="373">
        <v>115822.24999999999</v>
      </c>
      <c r="BY105" s="373">
        <v>115822.24999999999</v>
      </c>
      <c r="BZ105" s="373">
        <v>115822.24999999999</v>
      </c>
      <c r="CA105" s="373">
        <v>115822.24999999994</v>
      </c>
      <c r="CB105" s="402">
        <f t="shared" si="282"/>
        <v>1389866.9999999998</v>
      </c>
      <c r="CC105" s="776">
        <f t="shared" si="274"/>
        <v>112257.26641629403</v>
      </c>
      <c r="CD105" s="775">
        <f t="shared" si="275"/>
        <v>8.076835151586019E-2</v>
      </c>
      <c r="CE105" s="772"/>
      <c r="CF105" s="373">
        <v>131851.28000000003</v>
      </c>
      <c r="CG105" s="373">
        <v>147448.81</v>
      </c>
      <c r="CH105" s="373">
        <v>125980.04999999999</v>
      </c>
      <c r="CI105" s="373">
        <v>130522.22000000002</v>
      </c>
      <c r="CJ105" s="373">
        <v>137223.57</v>
      </c>
      <c r="CK105" s="373">
        <v>131242.77000000002</v>
      </c>
      <c r="CL105" s="374">
        <v>128393.8</v>
      </c>
      <c r="CM105" s="373">
        <v>115905.97</v>
      </c>
      <c r="CN105" s="373">
        <v>128203.13</v>
      </c>
      <c r="CO105" s="373">
        <v>138743.96</v>
      </c>
      <c r="CP105" s="373">
        <v>112059.44999999998</v>
      </c>
      <c r="CQ105" s="373">
        <v>115270.27</v>
      </c>
      <c r="CR105" s="374">
        <v>0</v>
      </c>
      <c r="CS105" s="402">
        <f t="shared" si="276"/>
        <v>1542845.28</v>
      </c>
      <c r="CT105" s="776">
        <f t="shared" si="277"/>
        <v>265235.5464162943</v>
      </c>
      <c r="CU105" s="165">
        <f t="shared" si="278"/>
        <v>0.17191325005466154</v>
      </c>
      <c r="CV105" s="329"/>
      <c r="CW105" s="373">
        <v>197435.16999999998</v>
      </c>
      <c r="CX105" s="373">
        <v>37183.990000000005</v>
      </c>
      <c r="CY105" s="373">
        <v>120038.76000000001</v>
      </c>
      <c r="CZ105" s="373">
        <v>119499.34000000001</v>
      </c>
      <c r="DA105" s="373">
        <v>129315.59999999999</v>
      </c>
      <c r="DB105" s="373">
        <v>104789.74999999999</v>
      </c>
      <c r="DC105" s="374">
        <v>116558.21999999999</v>
      </c>
      <c r="DD105" s="373">
        <v>117662.15000000001</v>
      </c>
      <c r="DE105" s="373">
        <v>108710.66</v>
      </c>
      <c r="DF105" s="373">
        <v>137699.63999999998</v>
      </c>
      <c r="DG105" s="373">
        <v>112100.73000000001</v>
      </c>
      <c r="DH105" s="373">
        <v>117218.36999999998</v>
      </c>
      <c r="DI105" s="375">
        <f t="shared" si="279"/>
        <v>1418212.3799999997</v>
      </c>
      <c r="DJ105" s="329"/>
      <c r="DK105" s="373">
        <v>185602.8</v>
      </c>
      <c r="DL105" s="373">
        <v>184494.6</v>
      </c>
      <c r="DM105" s="373">
        <v>183043.44</v>
      </c>
      <c r="DN105" s="373">
        <v>201308.47000000003</v>
      </c>
      <c r="DO105" s="373">
        <v>217346.74</v>
      </c>
      <c r="DP105" s="373">
        <v>185345.39</v>
      </c>
      <c r="DQ105" s="374">
        <v>193289.64</v>
      </c>
      <c r="DR105" s="373">
        <v>185665.5</v>
      </c>
      <c r="DS105" s="373">
        <v>186078.55000000002</v>
      </c>
      <c r="DT105" s="373">
        <v>196701.07</v>
      </c>
      <c r="DU105" s="373">
        <v>253187.29000000004</v>
      </c>
      <c r="DV105" s="373">
        <v>187882.08000000002</v>
      </c>
      <c r="DW105" s="375">
        <f t="shared" si="280"/>
        <v>2359945.5700000003</v>
      </c>
      <c r="DY105" s="373">
        <v>177161.12</v>
      </c>
      <c r="DZ105" s="373">
        <v>180935.51</v>
      </c>
      <c r="EA105" s="373">
        <v>179426.19</v>
      </c>
      <c r="EB105" s="373">
        <v>204620.39</v>
      </c>
      <c r="EC105" s="373">
        <v>193549</v>
      </c>
      <c r="ED105" s="373">
        <v>240354.72</v>
      </c>
      <c r="EE105" s="374">
        <v>199913.02</v>
      </c>
      <c r="EF105" s="373">
        <v>194306.33</v>
      </c>
      <c r="EG105" s="373">
        <v>205328.7</v>
      </c>
      <c r="EH105" s="373">
        <v>300427.90000000002</v>
      </c>
      <c r="EI105" s="373">
        <v>213232.38</v>
      </c>
      <c r="EJ105" s="373">
        <v>219390.26</v>
      </c>
      <c r="EK105" s="375">
        <f t="shared" si="281"/>
        <v>2508645.5200000005</v>
      </c>
      <c r="EL105" s="177"/>
      <c r="EM105" s="373">
        <v>153769.59</v>
      </c>
      <c r="EN105" s="373">
        <v>164966.15</v>
      </c>
      <c r="EO105" s="373">
        <v>169890.46</v>
      </c>
      <c r="EP105" s="373">
        <v>168856.98</v>
      </c>
      <c r="EQ105" s="373">
        <v>199084.86</v>
      </c>
      <c r="ER105" s="373">
        <v>174524.53</v>
      </c>
      <c r="ES105" s="374">
        <v>168111.34</v>
      </c>
      <c r="ET105" s="373">
        <v>167020.76999999999</v>
      </c>
      <c r="EU105" s="373">
        <v>170198.39999999999</v>
      </c>
      <c r="EV105" s="373">
        <v>239726.03</v>
      </c>
      <c r="EW105" s="373">
        <v>166678.24</v>
      </c>
      <c r="EX105" s="373">
        <v>169173.66</v>
      </c>
      <c r="EY105" s="375">
        <f t="shared" si="283"/>
        <v>2112001.0099999998</v>
      </c>
      <c r="EZ105" s="164">
        <v>0</v>
      </c>
      <c r="FA105" s="185">
        <v>0</v>
      </c>
    </row>
    <row r="106" spans="1:157" ht="18.75" customHeight="1" collapsed="1">
      <c r="A106" s="185" t="s">
        <v>329</v>
      </c>
      <c r="B106" s="774"/>
      <c r="C106" s="176" t="s">
        <v>1062</v>
      </c>
      <c r="D106" s="176">
        <v>60103000</v>
      </c>
      <c r="E106" s="773"/>
      <c r="F106" s="320" t="s">
        <v>627</v>
      </c>
      <c r="G106" s="329"/>
      <c r="H106" s="373"/>
      <c r="I106" s="373"/>
      <c r="J106" s="373"/>
      <c r="K106" s="373"/>
      <c r="L106" s="373"/>
      <c r="M106" s="373"/>
      <c r="N106" s="374"/>
      <c r="O106" s="373"/>
      <c r="P106" s="373"/>
      <c r="Q106" s="373"/>
      <c r="R106" s="373"/>
      <c r="S106" s="377">
        <v>0</v>
      </c>
      <c r="T106" s="375">
        <f t="shared" si="268"/>
        <v>0</v>
      </c>
      <c r="U106" s="776">
        <f t="shared" si="269"/>
        <v>-294124.76</v>
      </c>
      <c r="V106" s="775">
        <f t="shared" si="270"/>
        <v>1</v>
      </c>
      <c r="W106" s="329"/>
      <c r="X106" s="373">
        <v>-302419.29000000004</v>
      </c>
      <c r="Y106" s="373">
        <v>53816</v>
      </c>
      <c r="Z106" s="373">
        <v>0</v>
      </c>
      <c r="AA106" s="373">
        <v>23814.009999999995</v>
      </c>
      <c r="AB106" s="373">
        <v>0</v>
      </c>
      <c r="AC106" s="373">
        <v>-69335.48000000001</v>
      </c>
      <c r="AD106" s="374">
        <v>0</v>
      </c>
      <c r="AE106" s="373">
        <v>0</v>
      </c>
      <c r="AF106" s="373">
        <v>0</v>
      </c>
      <c r="AG106" s="373">
        <v>0</v>
      </c>
      <c r="AH106" s="373">
        <v>0</v>
      </c>
      <c r="AI106" s="373">
        <v>0</v>
      </c>
      <c r="AJ106" s="375">
        <f t="shared" si="271"/>
        <v>-294124.76</v>
      </c>
      <c r="AK106" s="329"/>
      <c r="AL106" s="373">
        <v>0</v>
      </c>
      <c r="AM106" s="373">
        <v>0</v>
      </c>
      <c r="AN106" s="373">
        <v>0</v>
      </c>
      <c r="AO106" s="373">
        <v>0</v>
      </c>
      <c r="AP106" s="373">
        <v>0</v>
      </c>
      <c r="AQ106" s="373">
        <v>0</v>
      </c>
      <c r="AR106" s="374">
        <v>0</v>
      </c>
      <c r="AS106" s="373">
        <v>0</v>
      </c>
      <c r="AT106" s="373">
        <v>0</v>
      </c>
      <c r="AU106" s="373">
        <v>0</v>
      </c>
      <c r="AV106" s="373">
        <v>0</v>
      </c>
      <c r="AW106" s="373">
        <v>0</v>
      </c>
      <c r="AX106" s="375">
        <v>0</v>
      </c>
      <c r="AY106" s="776">
        <f t="shared" si="272"/>
        <v>91115.63</v>
      </c>
      <c r="AZ106" s="775">
        <f t="shared" si="273"/>
        <v>1</v>
      </c>
      <c r="BA106" s="329"/>
      <c r="BB106" s="373">
        <v>0</v>
      </c>
      <c r="BC106" s="373">
        <v>526674.22</v>
      </c>
      <c r="BD106" s="373">
        <v>141662.87</v>
      </c>
      <c r="BE106" s="373">
        <v>0</v>
      </c>
      <c r="BF106" s="373">
        <v>364499.5</v>
      </c>
      <c r="BG106" s="373">
        <v>-629591.51</v>
      </c>
      <c r="BH106" s="374">
        <v>-159176</v>
      </c>
      <c r="BI106" s="373">
        <v>-177440.29</v>
      </c>
      <c r="BJ106" s="373">
        <v>390548.4</v>
      </c>
      <c r="BK106" s="373">
        <v>-45.18</v>
      </c>
      <c r="BL106" s="373">
        <v>302400</v>
      </c>
      <c r="BM106" s="373">
        <v>-387916.38</v>
      </c>
      <c r="BN106" s="402">
        <v>91115.63</v>
      </c>
      <c r="BO106" s="329"/>
      <c r="BP106" s="373">
        <v>0</v>
      </c>
      <c r="BQ106" s="373">
        <v>0</v>
      </c>
      <c r="BR106" s="373">
        <v>0</v>
      </c>
      <c r="BS106" s="373">
        <v>0</v>
      </c>
      <c r="BT106" s="373">
        <v>0</v>
      </c>
      <c r="BU106" s="373">
        <v>0</v>
      </c>
      <c r="BV106" s="374">
        <v>0</v>
      </c>
      <c r="BW106" s="373">
        <v>0</v>
      </c>
      <c r="BX106" s="373">
        <v>0</v>
      </c>
      <c r="BY106" s="373">
        <v>0</v>
      </c>
      <c r="BZ106" s="373">
        <v>0</v>
      </c>
      <c r="CA106" s="373">
        <v>0</v>
      </c>
      <c r="CB106" s="402">
        <f t="shared" si="282"/>
        <v>0</v>
      </c>
      <c r="CC106" s="776">
        <f t="shared" si="274"/>
        <v>-91115.63</v>
      </c>
      <c r="CD106" s="775" t="str">
        <f t="shared" si="275"/>
        <v>N/A</v>
      </c>
      <c r="CE106" s="772"/>
      <c r="CF106" s="373">
        <v>0</v>
      </c>
      <c r="CG106" s="373">
        <v>0</v>
      </c>
      <c r="CH106" s="373">
        <v>0</v>
      </c>
      <c r="CI106" s="373">
        <v>0</v>
      </c>
      <c r="CJ106" s="373">
        <v>0</v>
      </c>
      <c r="CK106" s="373">
        <v>0</v>
      </c>
      <c r="CL106" s="374">
        <v>0</v>
      </c>
      <c r="CM106" s="373">
        <v>0</v>
      </c>
      <c r="CN106" s="373">
        <v>0</v>
      </c>
      <c r="CO106" s="373">
        <v>416463.4</v>
      </c>
      <c r="CP106" s="373">
        <v>-157795.14000000001</v>
      </c>
      <c r="CQ106" s="373">
        <v>-218634.6</v>
      </c>
      <c r="CR106" s="374">
        <v>0</v>
      </c>
      <c r="CS106" s="402">
        <f t="shared" si="276"/>
        <v>40033.660000000003</v>
      </c>
      <c r="CT106" s="776">
        <f t="shared" si="277"/>
        <v>-51081.97</v>
      </c>
      <c r="CU106" s="165">
        <f t="shared" si="278"/>
        <v>-1.2759755166027786</v>
      </c>
      <c r="CV106" s="329"/>
      <c r="CW106" s="373">
        <v>0</v>
      </c>
      <c r="CX106" s="373">
        <v>0</v>
      </c>
      <c r="CY106" s="373">
        <v>0</v>
      </c>
      <c r="CZ106" s="373">
        <v>318946.37</v>
      </c>
      <c r="DA106" s="373">
        <v>-318946.37</v>
      </c>
      <c r="DB106" s="373">
        <v>0</v>
      </c>
      <c r="DC106" s="374">
        <v>0</v>
      </c>
      <c r="DD106" s="373">
        <v>81300</v>
      </c>
      <c r="DE106" s="373">
        <v>0</v>
      </c>
      <c r="DF106" s="373">
        <v>-81300</v>
      </c>
      <c r="DG106" s="373">
        <v>0</v>
      </c>
      <c r="DH106" s="373">
        <v>0</v>
      </c>
      <c r="DI106" s="375">
        <f t="shared" si="279"/>
        <v>0</v>
      </c>
      <c r="DJ106" s="329"/>
      <c r="DK106" s="373">
        <v>181551.01</v>
      </c>
      <c r="DL106" s="373">
        <v>-109440.58</v>
      </c>
      <c r="DM106" s="373">
        <v>-55933.38</v>
      </c>
      <c r="DN106" s="373">
        <v>0</v>
      </c>
      <c r="DO106" s="373">
        <v>0</v>
      </c>
      <c r="DP106" s="373">
        <v>0</v>
      </c>
      <c r="DQ106" s="374">
        <v>0</v>
      </c>
      <c r="DR106" s="373">
        <v>0</v>
      </c>
      <c r="DS106" s="373">
        <v>0</v>
      </c>
      <c r="DT106" s="373">
        <v>0</v>
      </c>
      <c r="DU106" s="373">
        <v>0</v>
      </c>
      <c r="DV106" s="373">
        <v>0</v>
      </c>
      <c r="DW106" s="375">
        <f t="shared" si="280"/>
        <v>16177.05000000001</v>
      </c>
      <c r="DY106" s="373">
        <v>0</v>
      </c>
      <c r="DZ106" s="373">
        <v>0</v>
      </c>
      <c r="EA106" s="373">
        <v>0</v>
      </c>
      <c r="EB106" s="373">
        <v>47587.67</v>
      </c>
      <c r="EC106" s="373">
        <v>0</v>
      </c>
      <c r="ED106" s="373">
        <v>-44868.81</v>
      </c>
      <c r="EE106" s="374">
        <v>0</v>
      </c>
      <c r="EF106" s="373">
        <v>0</v>
      </c>
      <c r="EG106" s="373">
        <v>0</v>
      </c>
      <c r="EH106" s="373">
        <v>0</v>
      </c>
      <c r="EI106" s="373">
        <v>0</v>
      </c>
      <c r="EJ106" s="373">
        <v>0</v>
      </c>
      <c r="EK106" s="375">
        <f t="shared" si="281"/>
        <v>2718.8600000000006</v>
      </c>
      <c r="EL106" s="177"/>
      <c r="EM106" s="373">
        <v>0</v>
      </c>
      <c r="EN106" s="373">
        <v>0</v>
      </c>
      <c r="EO106" s="373">
        <v>0</v>
      </c>
      <c r="EP106" s="373">
        <v>0</v>
      </c>
      <c r="EQ106" s="373">
        <v>0</v>
      </c>
      <c r="ER106" s="373">
        <v>0</v>
      </c>
      <c r="ES106" s="374">
        <v>0</v>
      </c>
      <c r="ET106" s="373">
        <v>0</v>
      </c>
      <c r="EU106" s="373">
        <v>0</v>
      </c>
      <c r="EV106" s="373">
        <v>0</v>
      </c>
      <c r="EW106" s="373">
        <v>0</v>
      </c>
      <c r="EX106" s="373">
        <v>0</v>
      </c>
      <c r="EY106" s="375">
        <f t="shared" si="283"/>
        <v>0</v>
      </c>
      <c r="EZ106" s="164">
        <v>0</v>
      </c>
      <c r="FA106" s="185">
        <v>0</v>
      </c>
    </row>
    <row r="107" spans="1:157" ht="18.75" customHeight="1">
      <c r="A107" s="185" t="s">
        <v>598</v>
      </c>
      <c r="B107" s="774"/>
      <c r="C107" s="176" t="s">
        <v>1061</v>
      </c>
      <c r="D107" s="176">
        <v>60104000</v>
      </c>
      <c r="E107" s="773"/>
      <c r="F107" s="320" t="s">
        <v>628</v>
      </c>
      <c r="G107" s="329"/>
      <c r="H107" s="373"/>
      <c r="I107" s="373"/>
      <c r="J107" s="373"/>
      <c r="K107" s="373"/>
      <c r="L107" s="373"/>
      <c r="M107" s="373"/>
      <c r="N107" s="374"/>
      <c r="O107" s="373"/>
      <c r="P107" s="373"/>
      <c r="Q107" s="373"/>
      <c r="R107" s="373"/>
      <c r="S107" s="377">
        <v>6190296</v>
      </c>
      <c r="T107" s="375">
        <f t="shared" si="268"/>
        <v>6190296</v>
      </c>
      <c r="U107" s="776">
        <f t="shared" si="269"/>
        <v>-3001520.0399999996</v>
      </c>
      <c r="V107" s="775">
        <f t="shared" si="270"/>
        <v>-0.94127655177129443</v>
      </c>
      <c r="W107" s="778"/>
      <c r="X107" s="373">
        <v>-83460</v>
      </c>
      <c r="Y107" s="373">
        <v>-83460</v>
      </c>
      <c r="Z107" s="373">
        <v>-83460</v>
      </c>
      <c r="AA107" s="373">
        <v>-83460</v>
      </c>
      <c r="AB107" s="373">
        <v>-83460</v>
      </c>
      <c r="AC107" s="373">
        <v>2011687.98</v>
      </c>
      <c r="AD107" s="374">
        <v>265731.33</v>
      </c>
      <c r="AE107" s="373">
        <v>265731.33</v>
      </c>
      <c r="AF107" s="373">
        <v>265731.33</v>
      </c>
      <c r="AG107" s="373">
        <v>265731.33</v>
      </c>
      <c r="AH107" s="373">
        <v>265731.33</v>
      </c>
      <c r="AI107" s="373">
        <v>265731.33</v>
      </c>
      <c r="AJ107" s="375">
        <f t="shared" si="271"/>
        <v>3188775.9600000004</v>
      </c>
      <c r="AK107" s="778"/>
      <c r="AL107" s="373">
        <v>0</v>
      </c>
      <c r="AM107" s="373">
        <v>0</v>
      </c>
      <c r="AN107" s="373">
        <v>0</v>
      </c>
      <c r="AO107" s="373">
        <v>0</v>
      </c>
      <c r="AP107" s="373">
        <v>0</v>
      </c>
      <c r="AQ107" s="373">
        <v>0</v>
      </c>
      <c r="AR107" s="374">
        <v>0</v>
      </c>
      <c r="AS107" s="373">
        <v>0</v>
      </c>
      <c r="AT107" s="373">
        <v>0</v>
      </c>
      <c r="AU107" s="373">
        <v>0</v>
      </c>
      <c r="AV107" s="373">
        <v>0</v>
      </c>
      <c r="AW107" s="373">
        <v>3188776</v>
      </c>
      <c r="AX107" s="375">
        <v>3188776</v>
      </c>
      <c r="AY107" s="776">
        <f t="shared" si="272"/>
        <v>-1594388</v>
      </c>
      <c r="AZ107" s="775">
        <f t="shared" si="273"/>
        <v>-1</v>
      </c>
      <c r="BA107" s="778"/>
      <c r="BB107" s="373">
        <v>0</v>
      </c>
      <c r="BC107" s="373">
        <v>0</v>
      </c>
      <c r="BD107" s="373">
        <v>1594388</v>
      </c>
      <c r="BE107" s="373">
        <v>0</v>
      </c>
      <c r="BF107" s="373">
        <v>0</v>
      </c>
      <c r="BG107" s="373">
        <v>0</v>
      </c>
      <c r="BH107" s="374">
        <v>0</v>
      </c>
      <c r="BI107" s="373">
        <v>0</v>
      </c>
      <c r="BJ107" s="373">
        <v>0</v>
      </c>
      <c r="BK107" s="373">
        <v>0</v>
      </c>
      <c r="BL107" s="373">
        <v>0</v>
      </c>
      <c r="BM107" s="373">
        <v>0</v>
      </c>
      <c r="BN107" s="402">
        <v>1594388</v>
      </c>
      <c r="BO107" s="778"/>
      <c r="BP107" s="373">
        <v>531462.5</v>
      </c>
      <c r="BQ107" s="373">
        <v>531462.5</v>
      </c>
      <c r="BR107" s="373">
        <v>531462.5</v>
      </c>
      <c r="BS107" s="373">
        <v>531462.5</v>
      </c>
      <c r="BT107" s="373">
        <v>531462.5</v>
      </c>
      <c r="BU107" s="373">
        <v>531462.5</v>
      </c>
      <c r="BV107" s="374">
        <v>531462.5</v>
      </c>
      <c r="BW107" s="373">
        <v>531462.5</v>
      </c>
      <c r="BX107" s="373">
        <v>531462.5</v>
      </c>
      <c r="BY107" s="373">
        <v>531462.5</v>
      </c>
      <c r="BZ107" s="373">
        <v>531462.5</v>
      </c>
      <c r="CA107" s="373">
        <v>531462.5</v>
      </c>
      <c r="CB107" s="402">
        <f t="shared" si="282"/>
        <v>6377550</v>
      </c>
      <c r="CC107" s="776">
        <f t="shared" si="274"/>
        <v>4783162</v>
      </c>
      <c r="CD107" s="775">
        <f t="shared" si="275"/>
        <v>0.74999992159998741</v>
      </c>
      <c r="CE107" s="772"/>
      <c r="CF107" s="373">
        <v>632297.58000000007</v>
      </c>
      <c r="CG107" s="373">
        <v>632297.58000000007</v>
      </c>
      <c r="CH107" s="373">
        <v>632297.58000000007</v>
      </c>
      <c r="CI107" s="373">
        <v>632297.58000000007</v>
      </c>
      <c r="CJ107" s="373">
        <v>632297.58000000007</v>
      </c>
      <c r="CK107" s="373">
        <v>632297.58000000007</v>
      </c>
      <c r="CL107" s="374">
        <v>1033311.4799999999</v>
      </c>
      <c r="CM107" s="373">
        <v>689585.27999999991</v>
      </c>
      <c r="CN107" s="373">
        <v>689585.27999999991</v>
      </c>
      <c r="CO107" s="373">
        <v>689585.27999999991</v>
      </c>
      <c r="CP107" s="373">
        <v>689585.27999999991</v>
      </c>
      <c r="CQ107" s="373">
        <v>-7853967.6600000001</v>
      </c>
      <c r="CR107" s="374">
        <v>0</v>
      </c>
      <c r="CS107" s="402">
        <f t="shared" si="276"/>
        <v>-268529.57999999914</v>
      </c>
      <c r="CT107" s="776">
        <f t="shared" si="277"/>
        <v>-1862917.5799999991</v>
      </c>
      <c r="CU107" s="165">
        <f t="shared" si="278"/>
        <v>6.9374762363237785</v>
      </c>
      <c r="CV107" s="329"/>
      <c r="CW107" s="373">
        <v>765815</v>
      </c>
      <c r="CX107" s="373">
        <v>547373</v>
      </c>
      <c r="CY107" s="373">
        <v>656586</v>
      </c>
      <c r="CZ107" s="373">
        <v>656586</v>
      </c>
      <c r="DA107" s="373">
        <v>656586</v>
      </c>
      <c r="DB107" s="373">
        <v>656586</v>
      </c>
      <c r="DC107" s="374">
        <v>656586</v>
      </c>
      <c r="DD107" s="373">
        <v>656586</v>
      </c>
      <c r="DE107" s="373">
        <v>656586</v>
      </c>
      <c r="DF107" s="373">
        <v>656586</v>
      </c>
      <c r="DG107" s="373">
        <v>656586</v>
      </c>
      <c r="DH107" s="373">
        <v>656586</v>
      </c>
      <c r="DI107" s="375">
        <f t="shared" si="279"/>
        <v>7879048</v>
      </c>
      <c r="DJ107" s="329"/>
      <c r="DK107" s="373">
        <v>619393</v>
      </c>
      <c r="DL107" s="373">
        <v>619393</v>
      </c>
      <c r="DM107" s="373">
        <v>619393</v>
      </c>
      <c r="DN107" s="373">
        <v>619393</v>
      </c>
      <c r="DO107" s="373">
        <v>619393</v>
      </c>
      <c r="DP107" s="373">
        <v>619393</v>
      </c>
      <c r="DQ107" s="374">
        <v>619393</v>
      </c>
      <c r="DR107" s="373">
        <v>619393</v>
      </c>
      <c r="DS107" s="373">
        <v>619393</v>
      </c>
      <c r="DT107" s="373">
        <v>619393</v>
      </c>
      <c r="DU107" s="373">
        <v>613790.96</v>
      </c>
      <c r="DV107" s="373">
        <v>619395</v>
      </c>
      <c r="DW107" s="375">
        <f t="shared" si="280"/>
        <v>7427115.96</v>
      </c>
      <c r="DY107" s="373">
        <v>649999.67000000004</v>
      </c>
      <c r="DZ107" s="373">
        <v>649999.67000000004</v>
      </c>
      <c r="EA107" s="373">
        <v>649999.67000000004</v>
      </c>
      <c r="EB107" s="373">
        <v>649999.67000000004</v>
      </c>
      <c r="EC107" s="373">
        <v>649999.67000000004</v>
      </c>
      <c r="ED107" s="373">
        <v>131584.67000000001</v>
      </c>
      <c r="EE107" s="374">
        <v>649999.67000000004</v>
      </c>
      <c r="EF107" s="373">
        <v>649999.67000000004</v>
      </c>
      <c r="EG107" s="373">
        <v>649999.67000000004</v>
      </c>
      <c r="EH107" s="373">
        <v>649999.67000000004</v>
      </c>
      <c r="EI107" s="373">
        <v>649999.67000000004</v>
      </c>
      <c r="EJ107" s="373">
        <v>650003.67000000004</v>
      </c>
      <c r="EK107" s="375">
        <f t="shared" si="281"/>
        <v>7281585.04</v>
      </c>
      <c r="EL107" s="177"/>
      <c r="EM107" s="373">
        <v>0</v>
      </c>
      <c r="EN107" s="373">
        <v>0</v>
      </c>
      <c r="EO107" s="373">
        <v>0</v>
      </c>
      <c r="EP107" s="373">
        <v>0</v>
      </c>
      <c r="EQ107" s="373">
        <v>0</v>
      </c>
      <c r="ER107" s="373">
        <v>0</v>
      </c>
      <c r="ES107" s="374">
        <v>0</v>
      </c>
      <c r="ET107" s="373">
        <v>0</v>
      </c>
      <c r="EU107" s="373">
        <v>0</v>
      </c>
      <c r="EV107" s="373">
        <v>0</v>
      </c>
      <c r="EW107" s="373">
        <v>0</v>
      </c>
      <c r="EX107" s="373">
        <v>5894453</v>
      </c>
      <c r="EY107" s="375">
        <f t="shared" si="283"/>
        <v>5894453</v>
      </c>
      <c r="EZ107" s="164">
        <v>0</v>
      </c>
      <c r="FA107" s="185">
        <v>0</v>
      </c>
    </row>
    <row r="108" spans="1:157" ht="18.75" customHeight="1">
      <c r="A108" s="185" t="s">
        <v>599</v>
      </c>
      <c r="B108" s="774"/>
      <c r="C108" s="176" t="s">
        <v>1060</v>
      </c>
      <c r="D108" s="176">
        <v>60104100</v>
      </c>
      <c r="E108" s="773"/>
      <c r="F108" s="320" t="s">
        <v>629</v>
      </c>
      <c r="G108" s="329"/>
      <c r="H108" s="373"/>
      <c r="I108" s="373"/>
      <c r="J108" s="373"/>
      <c r="K108" s="373"/>
      <c r="L108" s="373"/>
      <c r="M108" s="373"/>
      <c r="N108" s="374"/>
      <c r="O108" s="373"/>
      <c r="P108" s="373"/>
      <c r="Q108" s="373"/>
      <c r="R108" s="373"/>
      <c r="S108" s="377"/>
      <c r="T108" s="375">
        <f t="shared" si="268"/>
        <v>0</v>
      </c>
      <c r="U108" s="776">
        <f t="shared" si="269"/>
        <v>0</v>
      </c>
      <c r="V108" s="775" t="e">
        <f t="shared" si="270"/>
        <v>#DIV/0!</v>
      </c>
      <c r="W108" s="329"/>
      <c r="X108" s="373">
        <v>0</v>
      </c>
      <c r="Y108" s="373">
        <v>0</v>
      </c>
      <c r="Z108" s="373">
        <v>0</v>
      </c>
      <c r="AA108" s="373">
        <v>0</v>
      </c>
      <c r="AB108" s="373">
        <v>0</v>
      </c>
      <c r="AC108" s="373">
        <v>0</v>
      </c>
      <c r="AD108" s="374">
        <v>0</v>
      </c>
      <c r="AE108" s="373">
        <v>0</v>
      </c>
      <c r="AF108" s="373">
        <v>0</v>
      </c>
      <c r="AG108" s="373">
        <v>0</v>
      </c>
      <c r="AH108" s="373">
        <v>0</v>
      </c>
      <c r="AI108" s="373">
        <v>0</v>
      </c>
      <c r="AJ108" s="375">
        <f t="shared" si="271"/>
        <v>0</v>
      </c>
      <c r="AK108" s="329"/>
      <c r="AL108" s="373">
        <v>0</v>
      </c>
      <c r="AM108" s="373">
        <v>0</v>
      </c>
      <c r="AN108" s="373">
        <v>0</v>
      </c>
      <c r="AO108" s="373">
        <v>0</v>
      </c>
      <c r="AP108" s="373">
        <v>0</v>
      </c>
      <c r="AQ108" s="373">
        <v>0</v>
      </c>
      <c r="AR108" s="374">
        <v>0</v>
      </c>
      <c r="AS108" s="373">
        <v>0</v>
      </c>
      <c r="AT108" s="373">
        <v>0</v>
      </c>
      <c r="AU108" s="373">
        <v>0</v>
      </c>
      <c r="AV108" s="373">
        <v>0</v>
      </c>
      <c r="AW108" s="373">
        <v>0</v>
      </c>
      <c r="AX108" s="375">
        <v>0</v>
      </c>
      <c r="AY108" s="776">
        <f t="shared" si="272"/>
        <v>0</v>
      </c>
      <c r="AZ108" s="775" t="e">
        <f t="shared" si="273"/>
        <v>#DIV/0!</v>
      </c>
      <c r="BA108" s="329"/>
      <c r="BB108" s="373">
        <v>0</v>
      </c>
      <c r="BC108" s="373">
        <v>0</v>
      </c>
      <c r="BD108" s="373">
        <v>0</v>
      </c>
      <c r="BE108" s="373">
        <v>0</v>
      </c>
      <c r="BF108" s="373">
        <v>0</v>
      </c>
      <c r="BG108" s="373">
        <v>0</v>
      </c>
      <c r="BH108" s="374">
        <v>0</v>
      </c>
      <c r="BI108" s="373">
        <v>0</v>
      </c>
      <c r="BJ108" s="373">
        <v>0</v>
      </c>
      <c r="BK108" s="373">
        <v>0</v>
      </c>
      <c r="BL108" s="373">
        <v>0</v>
      </c>
      <c r="BM108" s="373">
        <v>0</v>
      </c>
      <c r="BN108" s="402">
        <v>0</v>
      </c>
      <c r="BO108" s="329"/>
      <c r="BP108" s="373">
        <v>0</v>
      </c>
      <c r="BQ108" s="373">
        <v>0</v>
      </c>
      <c r="BR108" s="373">
        <v>0</v>
      </c>
      <c r="BS108" s="373">
        <v>0</v>
      </c>
      <c r="BT108" s="373">
        <v>0</v>
      </c>
      <c r="BU108" s="373">
        <v>0</v>
      </c>
      <c r="BV108" s="374">
        <v>0</v>
      </c>
      <c r="BW108" s="373">
        <v>0</v>
      </c>
      <c r="BX108" s="373">
        <v>0</v>
      </c>
      <c r="BY108" s="373">
        <v>0</v>
      </c>
      <c r="BZ108" s="373">
        <v>0</v>
      </c>
      <c r="CA108" s="373">
        <v>0</v>
      </c>
      <c r="CB108" s="402">
        <f t="shared" si="282"/>
        <v>0</v>
      </c>
      <c r="CC108" s="776">
        <f t="shared" si="274"/>
        <v>0</v>
      </c>
      <c r="CD108" s="775" t="str">
        <f t="shared" si="275"/>
        <v>N/A</v>
      </c>
      <c r="CE108" s="772"/>
      <c r="CF108" s="373">
        <v>0</v>
      </c>
      <c r="CG108" s="373">
        <v>0</v>
      </c>
      <c r="CH108" s="373">
        <v>0</v>
      </c>
      <c r="CI108" s="373">
        <v>0</v>
      </c>
      <c r="CJ108" s="373">
        <v>0</v>
      </c>
      <c r="CK108" s="373">
        <v>0</v>
      </c>
      <c r="CL108" s="374">
        <v>0</v>
      </c>
      <c r="CM108" s="373">
        <v>0</v>
      </c>
      <c r="CN108" s="373">
        <v>0</v>
      </c>
      <c r="CO108" s="373">
        <v>0</v>
      </c>
      <c r="CP108" s="373">
        <v>0</v>
      </c>
      <c r="CQ108" s="373">
        <v>0</v>
      </c>
      <c r="CR108" s="374">
        <v>0</v>
      </c>
      <c r="CS108" s="402">
        <f t="shared" si="276"/>
        <v>0</v>
      </c>
      <c r="CT108" s="776">
        <f t="shared" si="277"/>
        <v>0</v>
      </c>
      <c r="CU108" s="165" t="str">
        <f t="shared" si="278"/>
        <v>N/A</v>
      </c>
      <c r="CV108" s="329"/>
      <c r="CW108" s="373">
        <v>0</v>
      </c>
      <c r="CX108" s="373">
        <v>0</v>
      </c>
      <c r="CY108" s="373">
        <v>0</v>
      </c>
      <c r="CZ108" s="373">
        <v>0</v>
      </c>
      <c r="DA108" s="373">
        <v>0</v>
      </c>
      <c r="DB108" s="373">
        <v>0</v>
      </c>
      <c r="DC108" s="374">
        <v>0</v>
      </c>
      <c r="DD108" s="373">
        <v>0</v>
      </c>
      <c r="DE108" s="373">
        <v>0</v>
      </c>
      <c r="DF108" s="373">
        <v>0</v>
      </c>
      <c r="DG108" s="373">
        <v>0</v>
      </c>
      <c r="DH108" s="373">
        <v>0</v>
      </c>
      <c r="DI108" s="375">
        <f t="shared" si="279"/>
        <v>0</v>
      </c>
      <c r="DJ108" s="329"/>
      <c r="DK108" s="373">
        <v>0</v>
      </c>
      <c r="DL108" s="373">
        <v>0</v>
      </c>
      <c r="DM108" s="373">
        <v>0</v>
      </c>
      <c r="DN108" s="373">
        <v>0</v>
      </c>
      <c r="DO108" s="373">
        <v>0</v>
      </c>
      <c r="DP108" s="373">
        <v>0</v>
      </c>
      <c r="DQ108" s="374">
        <v>0</v>
      </c>
      <c r="DR108" s="373">
        <v>0</v>
      </c>
      <c r="DS108" s="373">
        <v>0</v>
      </c>
      <c r="DT108" s="373">
        <v>0</v>
      </c>
      <c r="DU108" s="373">
        <v>0</v>
      </c>
      <c r="DV108" s="373">
        <v>0</v>
      </c>
      <c r="DW108" s="375">
        <f t="shared" si="280"/>
        <v>0</v>
      </c>
      <c r="DY108" s="373">
        <v>0</v>
      </c>
      <c r="DZ108" s="373">
        <v>0</v>
      </c>
      <c r="EA108" s="373">
        <v>0</v>
      </c>
      <c r="EB108" s="373">
        <v>0</v>
      </c>
      <c r="EC108" s="373">
        <v>0</v>
      </c>
      <c r="ED108" s="373">
        <v>0</v>
      </c>
      <c r="EE108" s="374">
        <v>0</v>
      </c>
      <c r="EF108" s="373">
        <v>0</v>
      </c>
      <c r="EG108" s="373">
        <v>0</v>
      </c>
      <c r="EH108" s="373">
        <v>0</v>
      </c>
      <c r="EI108" s="373">
        <v>0</v>
      </c>
      <c r="EJ108" s="373">
        <v>0</v>
      </c>
      <c r="EK108" s="375">
        <f t="shared" si="281"/>
        <v>0</v>
      </c>
      <c r="EL108" s="177"/>
      <c r="EM108" s="373">
        <v>0</v>
      </c>
      <c r="EN108" s="373">
        <v>0</v>
      </c>
      <c r="EO108" s="373">
        <v>0</v>
      </c>
      <c r="EP108" s="373">
        <v>0</v>
      </c>
      <c r="EQ108" s="373">
        <v>0</v>
      </c>
      <c r="ER108" s="373">
        <v>0</v>
      </c>
      <c r="ES108" s="374">
        <v>0</v>
      </c>
      <c r="ET108" s="373">
        <v>0</v>
      </c>
      <c r="EU108" s="373">
        <v>0</v>
      </c>
      <c r="EV108" s="373">
        <v>0</v>
      </c>
      <c r="EW108" s="373">
        <v>0</v>
      </c>
      <c r="EX108" s="373">
        <v>0</v>
      </c>
      <c r="EY108" s="375">
        <f t="shared" si="283"/>
        <v>0</v>
      </c>
      <c r="EZ108" s="164">
        <v>0</v>
      </c>
      <c r="FA108" s="185">
        <v>0</v>
      </c>
    </row>
    <row r="109" spans="1:157" ht="18.75" customHeight="1">
      <c r="A109" s="185" t="s">
        <v>596</v>
      </c>
      <c r="B109" s="774"/>
      <c r="C109" s="176" t="s">
        <v>1059</v>
      </c>
      <c r="D109" s="176">
        <v>60104200</v>
      </c>
      <c r="E109" s="773"/>
      <c r="F109" s="320" t="s">
        <v>597</v>
      </c>
      <c r="G109" s="329"/>
      <c r="H109" s="373"/>
      <c r="I109" s="373"/>
      <c r="J109" s="373"/>
      <c r="K109" s="373"/>
      <c r="L109" s="373"/>
      <c r="M109" s="373"/>
      <c r="N109" s="374"/>
      <c r="O109" s="373"/>
      <c r="P109" s="373"/>
      <c r="Q109" s="373"/>
      <c r="R109" s="373"/>
      <c r="S109" s="403">
        <v>3250989.8929166663</v>
      </c>
      <c r="T109" s="375">
        <f t="shared" si="268"/>
        <v>3250989.8929166663</v>
      </c>
      <c r="U109" s="776">
        <f t="shared" si="269"/>
        <v>-233252.44291666616</v>
      </c>
      <c r="V109" s="775">
        <f t="shared" si="270"/>
        <v>-7.7293815907234123E-2</v>
      </c>
      <c r="W109" s="329"/>
      <c r="X109" s="373">
        <v>243845.36</v>
      </c>
      <c r="Y109" s="373">
        <v>238852.30999999997</v>
      </c>
      <c r="Z109" s="373">
        <v>234834.93000000002</v>
      </c>
      <c r="AA109" s="373">
        <v>246931.62999999998</v>
      </c>
      <c r="AB109" s="373">
        <v>227086.21999999997</v>
      </c>
      <c r="AC109" s="373">
        <v>227369.38999999998</v>
      </c>
      <c r="AD109" s="374">
        <v>273515.36</v>
      </c>
      <c r="AE109" s="373">
        <v>262078.55</v>
      </c>
      <c r="AF109" s="373">
        <v>258341.36</v>
      </c>
      <c r="AG109" s="373">
        <v>289554.91000000003</v>
      </c>
      <c r="AH109" s="373">
        <v>252677.30999999997</v>
      </c>
      <c r="AI109" s="373">
        <v>262650.12</v>
      </c>
      <c r="AJ109" s="375">
        <f t="shared" si="271"/>
        <v>3017737.45</v>
      </c>
      <c r="AK109" s="329"/>
      <c r="AL109" s="373">
        <v>0</v>
      </c>
      <c r="AM109" s="373">
        <v>0</v>
      </c>
      <c r="AN109" s="373">
        <v>0</v>
      </c>
      <c r="AO109" s="373">
        <v>0</v>
      </c>
      <c r="AP109" s="373">
        <v>0</v>
      </c>
      <c r="AQ109" s="373">
        <v>0</v>
      </c>
      <c r="AR109" s="374">
        <v>0</v>
      </c>
      <c r="AS109" s="373">
        <v>0</v>
      </c>
      <c r="AT109" s="373">
        <v>0</v>
      </c>
      <c r="AU109" s="373">
        <v>0</v>
      </c>
      <c r="AV109" s="373">
        <v>0</v>
      </c>
      <c r="AW109" s="373">
        <v>3102342.2733333344</v>
      </c>
      <c r="AX109" s="375">
        <v>3102342</v>
      </c>
      <c r="AY109" s="776">
        <f t="shared" si="272"/>
        <v>284846.63583333092</v>
      </c>
      <c r="AZ109" s="775">
        <f t="shared" si="273"/>
        <v>8.4095297445178074E-2</v>
      </c>
      <c r="BA109" s="329"/>
      <c r="BB109" s="373">
        <v>298595.20000000001</v>
      </c>
      <c r="BC109" s="373">
        <v>298595.20000000001</v>
      </c>
      <c r="BD109" s="373">
        <v>298595.20000000001</v>
      </c>
      <c r="BE109" s="373">
        <v>298595.20000000001</v>
      </c>
      <c r="BF109" s="373">
        <v>327327.26999999996</v>
      </c>
      <c r="BG109" s="373">
        <v>298595.20000000001</v>
      </c>
      <c r="BH109" s="374">
        <v>298595.20000000001</v>
      </c>
      <c r="BI109" s="373">
        <v>54544.619999999995</v>
      </c>
      <c r="BJ109" s="373">
        <v>261582.31</v>
      </c>
      <c r="BK109" s="373">
        <v>259755.74999999997</v>
      </c>
      <c r="BL109" s="373">
        <v>234338.97</v>
      </c>
      <c r="BM109" s="373">
        <v>228711.41999999998</v>
      </c>
      <c r="BN109" s="402">
        <v>3387188.6358333309</v>
      </c>
      <c r="BO109" s="329"/>
      <c r="BP109" s="373">
        <v>292923.33333333337</v>
      </c>
      <c r="BQ109" s="373">
        <v>292923.33333333337</v>
      </c>
      <c r="BR109" s="373">
        <v>292923.33333333337</v>
      </c>
      <c r="BS109" s="373">
        <v>292923.33333333337</v>
      </c>
      <c r="BT109" s="373">
        <v>292923.33333333337</v>
      </c>
      <c r="BU109" s="373">
        <v>292923.33333333337</v>
      </c>
      <c r="BV109" s="374">
        <v>292923.33333333337</v>
      </c>
      <c r="BW109" s="373">
        <v>292923.33333333337</v>
      </c>
      <c r="BX109" s="373">
        <v>292923.33333333337</v>
      </c>
      <c r="BY109" s="373">
        <v>292923.33333333337</v>
      </c>
      <c r="BZ109" s="373">
        <v>292923.33333333337</v>
      </c>
      <c r="CA109" s="373">
        <v>292923.33333333308</v>
      </c>
      <c r="CB109" s="402">
        <f t="shared" si="282"/>
        <v>3515080.0000000009</v>
      </c>
      <c r="CC109" s="776">
        <f t="shared" si="274"/>
        <v>127891.36416667001</v>
      </c>
      <c r="CD109" s="775">
        <f t="shared" si="275"/>
        <v>3.6383628300542231E-2</v>
      </c>
      <c r="CE109" s="772"/>
      <c r="CF109" s="373">
        <v>350700.15999999992</v>
      </c>
      <c r="CG109" s="373">
        <v>372662.42999999993</v>
      </c>
      <c r="CH109" s="373">
        <v>343581.69000000006</v>
      </c>
      <c r="CI109" s="373">
        <v>370733.05999999994</v>
      </c>
      <c r="CJ109" s="373">
        <v>348168.44000000006</v>
      </c>
      <c r="CK109" s="373">
        <v>335340.25</v>
      </c>
      <c r="CL109" s="374">
        <v>399298.18000000005</v>
      </c>
      <c r="CM109" s="373">
        <v>312347.62</v>
      </c>
      <c r="CN109" s="373">
        <v>287357.21999999997</v>
      </c>
      <c r="CO109" s="373">
        <v>318470.58</v>
      </c>
      <c r="CP109" s="373">
        <v>293389.84999999998</v>
      </c>
      <c r="CQ109" s="373">
        <v>-2162028.17</v>
      </c>
      <c r="CR109" s="374">
        <v>0</v>
      </c>
      <c r="CS109" s="402">
        <f t="shared" si="276"/>
        <v>1570021.31</v>
      </c>
      <c r="CT109" s="776">
        <f t="shared" si="277"/>
        <v>-1817167.3258333309</v>
      </c>
      <c r="CU109" s="165">
        <f t="shared" si="278"/>
        <v>-1.1574157078373228</v>
      </c>
      <c r="CV109" s="329"/>
      <c r="CW109" s="373">
        <v>0</v>
      </c>
      <c r="CX109" s="373">
        <v>0</v>
      </c>
      <c r="CY109" s="373">
        <v>0</v>
      </c>
      <c r="CZ109" s="373">
        <v>0</v>
      </c>
      <c r="DA109" s="373">
        <v>1510494.52</v>
      </c>
      <c r="DB109" s="373">
        <v>380775.56000000006</v>
      </c>
      <c r="DC109" s="374">
        <v>312286.56000000006</v>
      </c>
      <c r="DD109" s="373">
        <v>299800.32000000001</v>
      </c>
      <c r="DE109" s="373">
        <v>294889.95</v>
      </c>
      <c r="DF109" s="373">
        <v>321964.34999999998</v>
      </c>
      <c r="DG109" s="373">
        <v>303638.18999999994</v>
      </c>
      <c r="DH109" s="373">
        <v>300772.11999999994</v>
      </c>
      <c r="DI109" s="375">
        <f t="shared" si="279"/>
        <v>3724621.5700000003</v>
      </c>
      <c r="DJ109" s="329"/>
      <c r="DK109" s="373">
        <v>0</v>
      </c>
      <c r="DL109" s="373">
        <v>0</v>
      </c>
      <c r="DM109" s="373">
        <v>0</v>
      </c>
      <c r="DN109" s="373">
        <v>0</v>
      </c>
      <c r="DO109" s="373">
        <v>0</v>
      </c>
      <c r="DP109" s="373">
        <v>0</v>
      </c>
      <c r="DQ109" s="374">
        <v>0</v>
      </c>
      <c r="DR109" s="373">
        <v>0</v>
      </c>
      <c r="DS109" s="373">
        <v>0</v>
      </c>
      <c r="DT109" s="373">
        <v>0</v>
      </c>
      <c r="DU109" s="373">
        <v>0</v>
      </c>
      <c r="DV109" s="373">
        <v>0</v>
      </c>
      <c r="DW109" s="375">
        <f t="shared" si="280"/>
        <v>0</v>
      </c>
      <c r="DY109" s="373">
        <v>0</v>
      </c>
      <c r="DZ109" s="373">
        <v>0</v>
      </c>
      <c r="EA109" s="373">
        <v>0</v>
      </c>
      <c r="EB109" s="373">
        <v>0</v>
      </c>
      <c r="EC109" s="373">
        <v>0</v>
      </c>
      <c r="ED109" s="373">
        <v>0</v>
      </c>
      <c r="EE109" s="374">
        <v>0</v>
      </c>
      <c r="EF109" s="373">
        <v>0</v>
      </c>
      <c r="EG109" s="373">
        <v>0</v>
      </c>
      <c r="EH109" s="373">
        <v>0</v>
      </c>
      <c r="EI109" s="373">
        <v>0</v>
      </c>
      <c r="EJ109" s="373">
        <v>0</v>
      </c>
      <c r="EK109" s="375">
        <f t="shared" si="281"/>
        <v>0</v>
      </c>
      <c r="EL109" s="177"/>
      <c r="EM109" s="373">
        <v>0</v>
      </c>
      <c r="EN109" s="373">
        <v>0</v>
      </c>
      <c r="EO109" s="373">
        <v>0</v>
      </c>
      <c r="EP109" s="373">
        <v>0</v>
      </c>
      <c r="EQ109" s="373">
        <v>0</v>
      </c>
      <c r="ER109" s="373">
        <v>0</v>
      </c>
      <c r="ES109" s="374">
        <v>0</v>
      </c>
      <c r="ET109" s="373">
        <v>0</v>
      </c>
      <c r="EU109" s="373">
        <v>0</v>
      </c>
      <c r="EV109" s="373">
        <v>0</v>
      </c>
      <c r="EW109" s="373">
        <v>0</v>
      </c>
      <c r="EX109" s="373">
        <v>0</v>
      </c>
      <c r="EY109" s="375">
        <f t="shared" si="283"/>
        <v>0</v>
      </c>
      <c r="EZ109" s="164">
        <v>0</v>
      </c>
      <c r="FA109" s="185">
        <v>0</v>
      </c>
    </row>
    <row r="110" spans="1:157" ht="18.75" customHeight="1">
      <c r="A110" s="185" t="s">
        <v>329</v>
      </c>
      <c r="B110" s="774"/>
      <c r="C110" s="176" t="s">
        <v>1058</v>
      </c>
      <c r="D110" s="176">
        <v>60105000</v>
      </c>
      <c r="E110" s="773"/>
      <c r="F110" s="320" t="s">
        <v>630</v>
      </c>
      <c r="G110" s="329"/>
      <c r="H110" s="373"/>
      <c r="I110" s="373"/>
      <c r="J110" s="373"/>
      <c r="K110" s="373"/>
      <c r="L110" s="373"/>
      <c r="M110" s="373"/>
      <c r="N110" s="374"/>
      <c r="O110" s="373"/>
      <c r="P110" s="373"/>
      <c r="Q110" s="373"/>
      <c r="R110" s="373"/>
      <c r="S110" s="377">
        <v>0</v>
      </c>
      <c r="T110" s="375">
        <f t="shared" si="268"/>
        <v>0</v>
      </c>
      <c r="U110" s="776">
        <f t="shared" si="269"/>
        <v>0</v>
      </c>
      <c r="V110" s="775" t="e">
        <f t="shared" si="270"/>
        <v>#DIV/0!</v>
      </c>
      <c r="W110" s="329"/>
      <c r="X110" s="373">
        <v>0</v>
      </c>
      <c r="Y110" s="373">
        <v>0</v>
      </c>
      <c r="Z110" s="373">
        <v>0</v>
      </c>
      <c r="AA110" s="373">
        <v>0</v>
      </c>
      <c r="AB110" s="373">
        <v>0</v>
      </c>
      <c r="AC110" s="373">
        <v>0</v>
      </c>
      <c r="AD110" s="374">
        <v>0</v>
      </c>
      <c r="AE110" s="373">
        <v>0</v>
      </c>
      <c r="AF110" s="373">
        <v>0</v>
      </c>
      <c r="AG110" s="373">
        <v>0</v>
      </c>
      <c r="AH110" s="373">
        <v>0</v>
      </c>
      <c r="AI110" s="373">
        <v>0</v>
      </c>
      <c r="AJ110" s="375">
        <f t="shared" si="271"/>
        <v>0</v>
      </c>
      <c r="AK110" s="329"/>
      <c r="AL110" s="373">
        <v>0</v>
      </c>
      <c r="AM110" s="373">
        <v>0</v>
      </c>
      <c r="AN110" s="373">
        <v>0</v>
      </c>
      <c r="AO110" s="373">
        <v>0</v>
      </c>
      <c r="AP110" s="373">
        <v>0</v>
      </c>
      <c r="AQ110" s="373">
        <v>0</v>
      </c>
      <c r="AR110" s="374">
        <v>0</v>
      </c>
      <c r="AS110" s="373">
        <v>0</v>
      </c>
      <c r="AT110" s="373">
        <v>0</v>
      </c>
      <c r="AU110" s="373">
        <v>0</v>
      </c>
      <c r="AV110" s="373">
        <v>0</v>
      </c>
      <c r="AW110" s="373">
        <v>0</v>
      </c>
      <c r="AX110" s="375">
        <v>0</v>
      </c>
      <c r="AY110" s="776">
        <f t="shared" si="272"/>
        <v>0</v>
      </c>
      <c r="AZ110" s="775" t="e">
        <f t="shared" si="273"/>
        <v>#DIV/0!</v>
      </c>
      <c r="BA110" s="329"/>
      <c r="BB110" s="373">
        <v>0</v>
      </c>
      <c r="BC110" s="373">
        <v>0</v>
      </c>
      <c r="BD110" s="373">
        <v>0</v>
      </c>
      <c r="BE110" s="373">
        <v>0</v>
      </c>
      <c r="BF110" s="373">
        <v>0</v>
      </c>
      <c r="BG110" s="373">
        <v>0</v>
      </c>
      <c r="BH110" s="374">
        <v>0</v>
      </c>
      <c r="BI110" s="373">
        <v>0</v>
      </c>
      <c r="BJ110" s="373">
        <v>0</v>
      </c>
      <c r="BK110" s="373">
        <v>0</v>
      </c>
      <c r="BL110" s="373">
        <v>0</v>
      </c>
      <c r="BM110" s="373">
        <v>0</v>
      </c>
      <c r="BN110" s="402">
        <v>0</v>
      </c>
      <c r="BO110" s="329"/>
      <c r="BP110" s="373">
        <v>0</v>
      </c>
      <c r="BQ110" s="373">
        <v>0</v>
      </c>
      <c r="BR110" s="373">
        <v>0</v>
      </c>
      <c r="BS110" s="373">
        <v>0</v>
      </c>
      <c r="BT110" s="373">
        <v>0</v>
      </c>
      <c r="BU110" s="373">
        <v>240</v>
      </c>
      <c r="BV110" s="374">
        <v>-240</v>
      </c>
      <c r="BW110" s="373">
        <v>0</v>
      </c>
      <c r="BX110" s="373">
        <v>0</v>
      </c>
      <c r="BY110" s="373">
        <v>0</v>
      </c>
      <c r="BZ110" s="373">
        <v>0</v>
      </c>
      <c r="CA110" s="373">
        <v>0</v>
      </c>
      <c r="CB110" s="402">
        <f t="shared" si="282"/>
        <v>0</v>
      </c>
      <c r="CC110" s="776">
        <f t="shared" si="274"/>
        <v>0</v>
      </c>
      <c r="CD110" s="775" t="str">
        <f t="shared" si="275"/>
        <v>N/A</v>
      </c>
      <c r="CE110" s="772"/>
      <c r="CF110" s="373">
        <v>28162.1</v>
      </c>
      <c r="CG110" s="373">
        <v>26200</v>
      </c>
      <c r="CH110" s="373">
        <v>29825</v>
      </c>
      <c r="CI110" s="373">
        <v>26200</v>
      </c>
      <c r="CJ110" s="373">
        <v>29002</v>
      </c>
      <c r="CK110" s="373">
        <v>74235.100000000006</v>
      </c>
      <c r="CL110" s="374">
        <v>-19957.7</v>
      </c>
      <c r="CM110" s="373">
        <v>29944</v>
      </c>
      <c r="CN110" s="373">
        <v>715</v>
      </c>
      <c r="CO110" s="373">
        <v>2782</v>
      </c>
      <c r="CP110" s="373">
        <v>0</v>
      </c>
      <c r="CQ110" s="373">
        <v>76100</v>
      </c>
      <c r="CR110" s="374">
        <v>0</v>
      </c>
      <c r="CS110" s="402">
        <f t="shared" si="276"/>
        <v>303207.5</v>
      </c>
      <c r="CT110" s="776">
        <f t="shared" si="277"/>
        <v>303207.5</v>
      </c>
      <c r="CU110" s="165">
        <f t="shared" si="278"/>
        <v>1</v>
      </c>
      <c r="CV110" s="329"/>
      <c r="CW110" s="373">
        <v>24838.6</v>
      </c>
      <c r="CX110" s="373">
        <v>26988.5</v>
      </c>
      <c r="CY110" s="373">
        <v>28377</v>
      </c>
      <c r="CZ110" s="373">
        <v>26200</v>
      </c>
      <c r="DA110" s="373">
        <v>26200</v>
      </c>
      <c r="DB110" s="373">
        <v>26200</v>
      </c>
      <c r="DC110" s="374">
        <v>33917.4</v>
      </c>
      <c r="DD110" s="373">
        <v>28228</v>
      </c>
      <c r="DE110" s="373">
        <v>26200</v>
      </c>
      <c r="DF110" s="373">
        <v>27591</v>
      </c>
      <c r="DG110" s="373">
        <v>28290</v>
      </c>
      <c r="DH110" s="373">
        <v>26200</v>
      </c>
      <c r="DI110" s="375">
        <f t="shared" si="279"/>
        <v>329230.5</v>
      </c>
      <c r="DJ110" s="329"/>
      <c r="DK110" s="373">
        <v>25698</v>
      </c>
      <c r="DL110" s="373">
        <v>24163.1</v>
      </c>
      <c r="DM110" s="373">
        <v>25466</v>
      </c>
      <c r="DN110" s="373">
        <v>24000</v>
      </c>
      <c r="DO110" s="373">
        <v>27954</v>
      </c>
      <c r="DP110" s="373">
        <v>24000</v>
      </c>
      <c r="DQ110" s="374">
        <v>26377.559999999998</v>
      </c>
      <c r="DR110" s="373">
        <v>25692</v>
      </c>
      <c r="DS110" s="373">
        <v>24000</v>
      </c>
      <c r="DT110" s="373">
        <v>25729.1</v>
      </c>
      <c r="DU110" s="373">
        <v>26963</v>
      </c>
      <c r="DV110" s="373">
        <v>23273</v>
      </c>
      <c r="DW110" s="375">
        <f t="shared" si="280"/>
        <v>303315.76</v>
      </c>
      <c r="DY110" s="373">
        <v>0</v>
      </c>
      <c r="DZ110" s="373">
        <v>49996.34</v>
      </c>
      <c r="EA110" s="373">
        <v>26148.1</v>
      </c>
      <c r="EB110" s="373">
        <v>24000</v>
      </c>
      <c r="EC110" s="373">
        <v>25243</v>
      </c>
      <c r="ED110" s="373">
        <v>26954</v>
      </c>
      <c r="EE110" s="374">
        <v>24000</v>
      </c>
      <c r="EF110" s="373">
        <v>26007</v>
      </c>
      <c r="EG110" s="373">
        <v>25430</v>
      </c>
      <c r="EH110" s="373">
        <v>24000</v>
      </c>
      <c r="EI110" s="373">
        <v>25542.1</v>
      </c>
      <c r="EJ110" s="373">
        <v>24000</v>
      </c>
      <c r="EK110" s="375">
        <f t="shared" si="281"/>
        <v>301320.53999999998</v>
      </c>
      <c r="EL110" s="177"/>
      <c r="EM110" s="373">
        <v>0</v>
      </c>
      <c r="EN110" s="373">
        <v>0</v>
      </c>
      <c r="EO110" s="373">
        <v>0</v>
      </c>
      <c r="EP110" s="373">
        <v>0</v>
      </c>
      <c r="EQ110" s="373">
        <v>0</v>
      </c>
      <c r="ER110" s="373">
        <v>0</v>
      </c>
      <c r="ES110" s="374">
        <v>0</v>
      </c>
      <c r="ET110" s="373">
        <v>0</v>
      </c>
      <c r="EU110" s="373">
        <v>0</v>
      </c>
      <c r="EV110" s="373">
        <v>0</v>
      </c>
      <c r="EW110" s="373">
        <v>0</v>
      </c>
      <c r="EX110" s="373">
        <v>0</v>
      </c>
      <c r="EY110" s="375">
        <f t="shared" si="283"/>
        <v>0</v>
      </c>
      <c r="EZ110" s="164">
        <v>0</v>
      </c>
      <c r="FA110" s="185">
        <v>0</v>
      </c>
    </row>
    <row r="111" spans="1:157" ht="18.75" customHeight="1">
      <c r="A111" s="185" t="s">
        <v>600</v>
      </c>
      <c r="B111" s="774"/>
      <c r="C111" s="176" t="s">
        <v>1057</v>
      </c>
      <c r="D111" s="176">
        <v>60106000</v>
      </c>
      <c r="E111" s="773"/>
      <c r="F111" s="320" t="s">
        <v>631</v>
      </c>
      <c r="G111" s="329"/>
      <c r="H111" s="373"/>
      <c r="I111" s="373"/>
      <c r="J111" s="373"/>
      <c r="K111" s="373"/>
      <c r="L111" s="373"/>
      <c r="M111" s="373"/>
      <c r="N111" s="374"/>
      <c r="O111" s="373"/>
      <c r="P111" s="373"/>
      <c r="Q111" s="373"/>
      <c r="R111" s="373"/>
      <c r="S111" s="377">
        <v>2556549</v>
      </c>
      <c r="T111" s="375">
        <f t="shared" si="268"/>
        <v>2556549</v>
      </c>
      <c r="U111" s="776">
        <f t="shared" si="269"/>
        <v>-1815709.74</v>
      </c>
      <c r="V111" s="775">
        <f t="shared" si="270"/>
        <v>-2.4508821792192816</v>
      </c>
      <c r="W111" s="329"/>
      <c r="X111" s="373">
        <v>0</v>
      </c>
      <c r="Y111" s="373">
        <v>10762.119999999999</v>
      </c>
      <c r="Z111" s="373">
        <v>180985</v>
      </c>
      <c r="AA111" s="373">
        <v>4845</v>
      </c>
      <c r="AB111" s="373">
        <v>121375</v>
      </c>
      <c r="AC111" s="373">
        <v>27243</v>
      </c>
      <c r="AD111" s="374">
        <v>71200</v>
      </c>
      <c r="AE111" s="373">
        <v>2185</v>
      </c>
      <c r="AF111" s="373">
        <v>1765</v>
      </c>
      <c r="AG111" s="373">
        <v>1375</v>
      </c>
      <c r="AH111" s="373">
        <v>1325</v>
      </c>
      <c r="AI111" s="373">
        <v>317779.14</v>
      </c>
      <c r="AJ111" s="375">
        <f t="shared" si="271"/>
        <v>740839.26</v>
      </c>
      <c r="AK111" s="329"/>
      <c r="AL111" s="373">
        <v>0</v>
      </c>
      <c r="AM111" s="373">
        <v>0</v>
      </c>
      <c r="AN111" s="373">
        <v>0</v>
      </c>
      <c r="AO111" s="373">
        <v>0</v>
      </c>
      <c r="AP111" s="373">
        <v>0</v>
      </c>
      <c r="AQ111" s="373">
        <v>0</v>
      </c>
      <c r="AR111" s="374">
        <v>0</v>
      </c>
      <c r="AS111" s="373">
        <v>0</v>
      </c>
      <c r="AT111" s="373">
        <v>0</v>
      </c>
      <c r="AU111" s="373">
        <v>0</v>
      </c>
      <c r="AV111" s="373">
        <v>0</v>
      </c>
      <c r="AW111" s="373">
        <v>1169391.2476397967</v>
      </c>
      <c r="AX111" s="375">
        <v>1169391</v>
      </c>
      <c r="AY111" s="776">
        <f t="shared" si="272"/>
        <v>-893446.4632363132</v>
      </c>
      <c r="AZ111" s="775">
        <f t="shared" si="273"/>
        <v>-3.2377755099440226</v>
      </c>
      <c r="BA111" s="329"/>
      <c r="BB111" s="373">
        <v>11287.6</v>
      </c>
      <c r="BC111" s="373">
        <v>10857.6</v>
      </c>
      <c r="BD111" s="373">
        <v>10857.6</v>
      </c>
      <c r="BE111" s="373">
        <v>10857.6</v>
      </c>
      <c r="BF111" s="373">
        <v>123287.6</v>
      </c>
      <c r="BG111" s="373">
        <v>10857.6</v>
      </c>
      <c r="BH111" s="374">
        <v>10905.6</v>
      </c>
      <c r="BI111" s="373">
        <v>10857.6</v>
      </c>
      <c r="BJ111" s="373">
        <v>11287.6</v>
      </c>
      <c r="BK111" s="373">
        <v>16737.599999999999</v>
      </c>
      <c r="BL111" s="373">
        <v>36111.599999999999</v>
      </c>
      <c r="BM111" s="373">
        <v>16137.6</v>
      </c>
      <c r="BN111" s="402">
        <v>275944.5367636868</v>
      </c>
      <c r="BO111" s="329"/>
      <c r="BP111" s="373">
        <v>103691.91666666667</v>
      </c>
      <c r="BQ111" s="373">
        <v>103691.91666666667</v>
      </c>
      <c r="BR111" s="373">
        <v>103691.91666666667</v>
      </c>
      <c r="BS111" s="373">
        <v>103691.91666666667</v>
      </c>
      <c r="BT111" s="373">
        <v>103691.91666666667</v>
      </c>
      <c r="BU111" s="373">
        <v>103691.91666666667</v>
      </c>
      <c r="BV111" s="374">
        <v>103691.91666666667</v>
      </c>
      <c r="BW111" s="373">
        <v>103691.91666666667</v>
      </c>
      <c r="BX111" s="373">
        <v>103691.91666666667</v>
      </c>
      <c r="BY111" s="373">
        <v>103691.91666666667</v>
      </c>
      <c r="BZ111" s="373">
        <v>104291.91666666667</v>
      </c>
      <c r="CA111" s="373">
        <v>103091.91666666674</v>
      </c>
      <c r="CB111" s="402">
        <f t="shared" si="282"/>
        <v>1244303</v>
      </c>
      <c r="CC111" s="776">
        <f t="shared" si="274"/>
        <v>968358.4632363132</v>
      </c>
      <c r="CD111" s="775">
        <f t="shared" si="275"/>
        <v>0.77823364826438035</v>
      </c>
      <c r="CE111" s="772"/>
      <c r="CF111" s="373">
        <v>11248</v>
      </c>
      <c r="CG111" s="373">
        <v>13947</v>
      </c>
      <c r="CH111" s="373">
        <v>5508</v>
      </c>
      <c r="CI111" s="373">
        <v>12732</v>
      </c>
      <c r="CJ111" s="373">
        <v>82740</v>
      </c>
      <c r="CK111" s="373">
        <v>0</v>
      </c>
      <c r="CL111" s="374">
        <v>0</v>
      </c>
      <c r="CM111" s="373">
        <v>0</v>
      </c>
      <c r="CN111" s="373">
        <v>36090</v>
      </c>
      <c r="CO111" s="373">
        <v>0</v>
      </c>
      <c r="CP111" s="373">
        <v>0</v>
      </c>
      <c r="CQ111" s="373">
        <v>2660</v>
      </c>
      <c r="CR111" s="374">
        <v>0</v>
      </c>
      <c r="CS111" s="402">
        <f t="shared" si="276"/>
        <v>164925</v>
      </c>
      <c r="CT111" s="776">
        <f t="shared" si="277"/>
        <v>-111019.5367636868</v>
      </c>
      <c r="CU111" s="165">
        <f t="shared" si="278"/>
        <v>-0.67315165538085076</v>
      </c>
      <c r="CV111" s="329"/>
      <c r="CW111" s="373">
        <v>24537</v>
      </c>
      <c r="CX111" s="373">
        <v>205699</v>
      </c>
      <c r="CY111" s="373">
        <v>91231.4</v>
      </c>
      <c r="CZ111" s="373">
        <v>55455</v>
      </c>
      <c r="DA111" s="373">
        <v>104282</v>
      </c>
      <c r="DB111" s="373">
        <v>34531</v>
      </c>
      <c r="DC111" s="374">
        <v>126226</v>
      </c>
      <c r="DD111" s="373">
        <v>31031</v>
      </c>
      <c r="DE111" s="373">
        <v>172236</v>
      </c>
      <c r="DF111" s="373">
        <v>132172</v>
      </c>
      <c r="DG111" s="373">
        <v>351942</v>
      </c>
      <c r="DH111" s="373">
        <v>268956.09999999998</v>
      </c>
      <c r="DI111" s="375">
        <f t="shared" si="279"/>
        <v>1598298.5</v>
      </c>
      <c r="DJ111" s="329"/>
      <c r="DK111" s="373">
        <v>341276.00000000006</v>
      </c>
      <c r="DL111" s="373">
        <v>122850</v>
      </c>
      <c r="DM111" s="373">
        <v>162500</v>
      </c>
      <c r="DN111" s="373">
        <v>132600</v>
      </c>
      <c r="DO111" s="373">
        <v>0</v>
      </c>
      <c r="DP111" s="373">
        <v>0</v>
      </c>
      <c r="DQ111" s="374">
        <v>1250</v>
      </c>
      <c r="DR111" s="373">
        <v>136416</v>
      </c>
      <c r="DS111" s="373">
        <v>594</v>
      </c>
      <c r="DT111" s="373">
        <v>215728.26</v>
      </c>
      <c r="DU111" s="373">
        <v>212960</v>
      </c>
      <c r="DV111" s="373">
        <v>6981.5</v>
      </c>
      <c r="DW111" s="375">
        <f t="shared" si="280"/>
        <v>1333155.76</v>
      </c>
      <c r="DY111" s="373">
        <v>0</v>
      </c>
      <c r="DZ111" s="373">
        <v>602710</v>
      </c>
      <c r="EA111" s="373">
        <v>38502</v>
      </c>
      <c r="EB111" s="373">
        <v>2932</v>
      </c>
      <c r="EC111" s="373">
        <v>297500</v>
      </c>
      <c r="ED111" s="373">
        <v>0</v>
      </c>
      <c r="EE111" s="374">
        <v>53000</v>
      </c>
      <c r="EF111" s="373">
        <v>219000</v>
      </c>
      <c r="EG111" s="373">
        <v>65520</v>
      </c>
      <c r="EH111" s="373">
        <v>81900</v>
      </c>
      <c r="EI111" s="373">
        <v>264459.79999999993</v>
      </c>
      <c r="EJ111" s="373">
        <v>2999.9999999999709</v>
      </c>
      <c r="EK111" s="375">
        <f t="shared" si="281"/>
        <v>1628523.7999999998</v>
      </c>
      <c r="EL111" s="177"/>
      <c r="EM111" s="373">
        <v>2800</v>
      </c>
      <c r="EN111" s="373">
        <v>440000</v>
      </c>
      <c r="EO111" s="373">
        <v>11320</v>
      </c>
      <c r="EP111" s="373">
        <v>172000</v>
      </c>
      <c r="EQ111" s="373">
        <v>441300</v>
      </c>
      <c r="ER111" s="373">
        <v>6493.04</v>
      </c>
      <c r="ES111" s="374">
        <v>2460</v>
      </c>
      <c r="ET111" s="373">
        <v>8780</v>
      </c>
      <c r="EU111" s="373">
        <v>221000</v>
      </c>
      <c r="EV111" s="373">
        <v>466640</v>
      </c>
      <c r="EW111" s="373">
        <v>0</v>
      </c>
      <c r="EX111" s="373">
        <v>1732</v>
      </c>
      <c r="EY111" s="375">
        <f t="shared" si="283"/>
        <v>1774525.04</v>
      </c>
      <c r="EZ111" s="164">
        <v>0</v>
      </c>
      <c r="FA111" s="185">
        <v>0</v>
      </c>
    </row>
    <row r="112" spans="1:157" ht="18.75" customHeight="1">
      <c r="A112" s="185" t="s">
        <v>329</v>
      </c>
      <c r="B112" s="774"/>
      <c r="C112" s="176" t="s">
        <v>1056</v>
      </c>
      <c r="D112" s="176">
        <v>60107000</v>
      </c>
      <c r="E112" s="773"/>
      <c r="F112" s="320" t="s">
        <v>632</v>
      </c>
      <c r="G112" s="329"/>
      <c r="H112" s="373"/>
      <c r="I112" s="373"/>
      <c r="J112" s="373"/>
      <c r="K112" s="373"/>
      <c r="L112" s="373"/>
      <c r="M112" s="373"/>
      <c r="N112" s="374"/>
      <c r="O112" s="373"/>
      <c r="P112" s="373"/>
      <c r="Q112" s="373"/>
      <c r="R112" s="373"/>
      <c r="S112" s="377">
        <v>913930</v>
      </c>
      <c r="T112" s="375">
        <f t="shared" si="268"/>
        <v>913930</v>
      </c>
      <c r="U112" s="776">
        <f t="shared" si="269"/>
        <v>-278685.66000000003</v>
      </c>
      <c r="V112" s="775">
        <f t="shared" si="270"/>
        <v>-0.43870624648147205</v>
      </c>
      <c r="W112" s="329"/>
      <c r="X112" s="373">
        <v>6524.1</v>
      </c>
      <c r="Y112" s="373">
        <v>35702.800000000003</v>
      </c>
      <c r="Z112" s="373">
        <v>40312.129999999997</v>
      </c>
      <c r="AA112" s="373">
        <v>23693.1</v>
      </c>
      <c r="AB112" s="373">
        <v>110023.6</v>
      </c>
      <c r="AC112" s="373">
        <v>23146.3</v>
      </c>
      <c r="AD112" s="374">
        <v>50702.8</v>
      </c>
      <c r="AE112" s="373">
        <v>127883.25</v>
      </c>
      <c r="AF112" s="373">
        <v>27219</v>
      </c>
      <c r="AG112" s="373">
        <v>38659.449999999997</v>
      </c>
      <c r="AH112" s="373">
        <v>28632.91</v>
      </c>
      <c r="AI112" s="373">
        <v>122744.9</v>
      </c>
      <c r="AJ112" s="375">
        <f t="shared" si="271"/>
        <v>635244.34</v>
      </c>
      <c r="AK112" s="329"/>
      <c r="AL112" s="373">
        <v>55873</v>
      </c>
      <c r="AM112" s="373">
        <v>35273</v>
      </c>
      <c r="AN112" s="373">
        <v>55573</v>
      </c>
      <c r="AO112" s="373">
        <v>35873</v>
      </c>
      <c r="AP112" s="373">
        <v>55273</v>
      </c>
      <c r="AQ112" s="373">
        <v>64073</v>
      </c>
      <c r="AR112" s="374">
        <v>55873</v>
      </c>
      <c r="AS112" s="373">
        <v>35273</v>
      </c>
      <c r="AT112" s="373">
        <v>57973</v>
      </c>
      <c r="AU112" s="373">
        <v>35873</v>
      </c>
      <c r="AV112" s="373">
        <v>55273</v>
      </c>
      <c r="AW112" s="373">
        <v>139863</v>
      </c>
      <c r="AX112" s="375">
        <v>676066</v>
      </c>
      <c r="AY112" s="776">
        <f t="shared" si="272"/>
        <v>72986.789999999921</v>
      </c>
      <c r="AZ112" s="775">
        <f t="shared" si="273"/>
        <v>9.743877998238272E-2</v>
      </c>
      <c r="BA112" s="329"/>
      <c r="BB112" s="373">
        <v>4392.76</v>
      </c>
      <c r="BC112" s="373">
        <v>132115.5</v>
      </c>
      <c r="BD112" s="373">
        <v>60881.45</v>
      </c>
      <c r="BE112" s="373">
        <v>21180.52</v>
      </c>
      <c r="BF112" s="373">
        <v>86997.5</v>
      </c>
      <c r="BG112" s="373">
        <v>39938.339999999997</v>
      </c>
      <c r="BH112" s="374">
        <v>13966.77</v>
      </c>
      <c r="BI112" s="373">
        <v>106054.8</v>
      </c>
      <c r="BJ112" s="373">
        <v>31544.12</v>
      </c>
      <c r="BK112" s="373">
        <v>98443.63</v>
      </c>
      <c r="BL112" s="373">
        <v>24223.9</v>
      </c>
      <c r="BM112" s="373">
        <v>138063.5</v>
      </c>
      <c r="BN112" s="402">
        <v>749052.78999999992</v>
      </c>
      <c r="BO112" s="329"/>
      <c r="BP112" s="373">
        <v>35568.699999999997</v>
      </c>
      <c r="BQ112" s="373">
        <v>46533</v>
      </c>
      <c r="BR112" s="373">
        <v>30521</v>
      </c>
      <c r="BS112" s="373">
        <v>35073.5</v>
      </c>
      <c r="BT112" s="373">
        <v>83962.7</v>
      </c>
      <c r="BU112" s="373">
        <v>29623.5</v>
      </c>
      <c r="BV112" s="374">
        <v>73567.900000000009</v>
      </c>
      <c r="BW112" s="373">
        <v>29144.5</v>
      </c>
      <c r="BX112" s="373">
        <v>44724.36</v>
      </c>
      <c r="BY112" s="373">
        <v>71863.7</v>
      </c>
      <c r="BZ112" s="373">
        <v>62822.5</v>
      </c>
      <c r="CA112" s="373">
        <v>87122.5</v>
      </c>
      <c r="CB112" s="402">
        <f t="shared" si="282"/>
        <v>630527.8600000001</v>
      </c>
      <c r="CC112" s="776">
        <f t="shared" si="274"/>
        <v>-118524.92999999982</v>
      </c>
      <c r="CD112" s="775">
        <f t="shared" si="275"/>
        <v>-0.18797730840949645</v>
      </c>
      <c r="CE112" s="772"/>
      <c r="CF112" s="373">
        <v>33983.24</v>
      </c>
      <c r="CG112" s="373">
        <v>69134.48</v>
      </c>
      <c r="CH112" s="373">
        <v>27314.699999999997</v>
      </c>
      <c r="CI112" s="373">
        <v>29909.08</v>
      </c>
      <c r="CJ112" s="373">
        <v>78639.5</v>
      </c>
      <c r="CK112" s="373">
        <v>23687.050000000003</v>
      </c>
      <c r="CL112" s="374">
        <v>73306.899999999994</v>
      </c>
      <c r="CM112" s="373">
        <v>22007.200000000001</v>
      </c>
      <c r="CN112" s="373">
        <v>32139.460000000003</v>
      </c>
      <c r="CO112" s="373">
        <v>139284.20000000001</v>
      </c>
      <c r="CP112" s="373">
        <v>48198.5</v>
      </c>
      <c r="CQ112" s="373">
        <v>16242.3</v>
      </c>
      <c r="CR112" s="374">
        <v>0</v>
      </c>
      <c r="CS112" s="402">
        <f t="shared" si="276"/>
        <v>593846.6100000001</v>
      </c>
      <c r="CT112" s="776">
        <f t="shared" si="277"/>
        <v>-155206.17999999982</v>
      </c>
      <c r="CU112" s="165">
        <f t="shared" si="278"/>
        <v>-0.26135735623715994</v>
      </c>
      <c r="CV112" s="329"/>
      <c r="CW112" s="373">
        <v>14948.4</v>
      </c>
      <c r="CX112" s="373">
        <v>23885.4</v>
      </c>
      <c r="CY112" s="373">
        <v>68892.84</v>
      </c>
      <c r="CZ112" s="373">
        <v>110392.9</v>
      </c>
      <c r="DA112" s="373">
        <v>46250.520000000004</v>
      </c>
      <c r="DB112" s="373">
        <v>35856.400000000001</v>
      </c>
      <c r="DC112" s="374">
        <v>78536</v>
      </c>
      <c r="DD112" s="373">
        <v>121577.77</v>
      </c>
      <c r="DE112" s="373">
        <v>62902.559999999998</v>
      </c>
      <c r="DF112" s="373">
        <v>317445.39</v>
      </c>
      <c r="DG112" s="373">
        <v>37243.46</v>
      </c>
      <c r="DH112" s="373">
        <v>115401.70000000001</v>
      </c>
      <c r="DI112" s="375">
        <f t="shared" si="279"/>
        <v>1033333.3400000001</v>
      </c>
      <c r="DJ112" s="329"/>
      <c r="DK112" s="373">
        <v>109752.5</v>
      </c>
      <c r="DL112" s="373">
        <v>49898</v>
      </c>
      <c r="DM112" s="373">
        <v>47215.08</v>
      </c>
      <c r="DN112" s="373">
        <v>105311</v>
      </c>
      <c r="DO112" s="373">
        <v>117871.03999999999</v>
      </c>
      <c r="DP112" s="373">
        <v>33914.03</v>
      </c>
      <c r="DQ112" s="374">
        <v>49668.4</v>
      </c>
      <c r="DR112" s="373">
        <v>64363.95</v>
      </c>
      <c r="DS112" s="373">
        <v>58426.2</v>
      </c>
      <c r="DT112" s="373">
        <v>112854.3</v>
      </c>
      <c r="DU112" s="373">
        <v>92807.5</v>
      </c>
      <c r="DV112" s="373">
        <v>74867.25</v>
      </c>
      <c r="DW112" s="375">
        <f t="shared" si="280"/>
        <v>916949.25</v>
      </c>
      <c r="DY112" s="373">
        <v>-3386.4</v>
      </c>
      <c r="DZ112" s="373">
        <v>15086.6</v>
      </c>
      <c r="EA112" s="373">
        <v>147049.70000000001</v>
      </c>
      <c r="EB112" s="373">
        <v>43381.1</v>
      </c>
      <c r="EC112" s="373">
        <v>88461.9</v>
      </c>
      <c r="ED112" s="373">
        <v>24058.9</v>
      </c>
      <c r="EE112" s="374">
        <v>29272</v>
      </c>
      <c r="EF112" s="373">
        <v>-88754.86</v>
      </c>
      <c r="EG112" s="373">
        <v>128607.9</v>
      </c>
      <c r="EH112" s="373">
        <v>202863.8</v>
      </c>
      <c r="EI112" s="373">
        <v>136099.85</v>
      </c>
      <c r="EJ112" s="373">
        <v>253439.81</v>
      </c>
      <c r="EK112" s="375">
        <f t="shared" si="281"/>
        <v>976180.3</v>
      </c>
      <c r="EL112" s="177"/>
      <c r="EM112" s="373">
        <v>-15222.4</v>
      </c>
      <c r="EN112" s="373">
        <v>30507.7</v>
      </c>
      <c r="EO112" s="373">
        <v>30545.200000000001</v>
      </c>
      <c r="EP112" s="373">
        <v>57491.96</v>
      </c>
      <c r="EQ112" s="373">
        <v>199620.3</v>
      </c>
      <c r="ER112" s="373">
        <v>36889</v>
      </c>
      <c r="ES112" s="374">
        <v>38011.300000000003</v>
      </c>
      <c r="ET112" s="373">
        <v>100794.5</v>
      </c>
      <c r="EU112" s="373">
        <v>169100</v>
      </c>
      <c r="EV112" s="373">
        <v>159177.1</v>
      </c>
      <c r="EW112" s="373">
        <v>138788.4</v>
      </c>
      <c r="EX112" s="373">
        <v>152818.6</v>
      </c>
      <c r="EY112" s="375">
        <f t="shared" si="283"/>
        <v>1098521.6600000001</v>
      </c>
      <c r="EZ112" s="164">
        <v>0</v>
      </c>
      <c r="FA112" s="185">
        <v>0</v>
      </c>
    </row>
    <row r="113" spans="1:157" ht="18.75" customHeight="1">
      <c r="A113" s="185" t="s">
        <v>338</v>
      </c>
      <c r="B113" s="774"/>
      <c r="C113" s="176" t="s">
        <v>1055</v>
      </c>
      <c r="D113" s="176">
        <v>60108000</v>
      </c>
      <c r="E113" s="773"/>
      <c r="F113" s="320" t="s">
        <v>603</v>
      </c>
      <c r="G113" s="329"/>
      <c r="H113" s="373"/>
      <c r="I113" s="373"/>
      <c r="J113" s="373"/>
      <c r="K113" s="373"/>
      <c r="L113" s="373"/>
      <c r="M113" s="373"/>
      <c r="N113" s="374"/>
      <c r="O113" s="373"/>
      <c r="P113" s="373"/>
      <c r="Q113" s="373"/>
      <c r="R113" s="373"/>
      <c r="S113" s="377">
        <v>6676810</v>
      </c>
      <c r="T113" s="375">
        <f t="shared" si="268"/>
        <v>6676810</v>
      </c>
      <c r="U113" s="776">
        <f t="shared" si="269"/>
        <v>-345949.26000000071</v>
      </c>
      <c r="V113" s="775">
        <f t="shared" si="270"/>
        <v>-5.4644901255559881E-2</v>
      </c>
      <c r="W113" s="329"/>
      <c r="X113" s="373">
        <v>229510.5</v>
      </c>
      <c r="Y113" s="373">
        <v>279767</v>
      </c>
      <c r="Z113" s="373">
        <v>401339</v>
      </c>
      <c r="AA113" s="373">
        <v>1382779.4</v>
      </c>
      <c r="AB113" s="373">
        <v>761554.3</v>
      </c>
      <c r="AC113" s="373">
        <v>278584.8</v>
      </c>
      <c r="AD113" s="374">
        <v>588850</v>
      </c>
      <c r="AE113" s="373">
        <v>603525.80000000005</v>
      </c>
      <c r="AF113" s="373">
        <v>434553.64</v>
      </c>
      <c r="AG113" s="373">
        <v>435934</v>
      </c>
      <c r="AH113" s="373">
        <v>108562</v>
      </c>
      <c r="AI113" s="373">
        <v>825900.3</v>
      </c>
      <c r="AJ113" s="375">
        <f t="shared" si="271"/>
        <v>6330860.7399999993</v>
      </c>
      <c r="AK113" s="329"/>
      <c r="AL113" s="373">
        <v>334710</v>
      </c>
      <c r="AM113" s="373">
        <v>299710</v>
      </c>
      <c r="AN113" s="373">
        <v>347210</v>
      </c>
      <c r="AO113" s="373">
        <v>299710</v>
      </c>
      <c r="AP113" s="373">
        <v>334710</v>
      </c>
      <c r="AQ113" s="373">
        <v>319410</v>
      </c>
      <c r="AR113" s="374">
        <v>334710</v>
      </c>
      <c r="AS113" s="373">
        <v>299710</v>
      </c>
      <c r="AT113" s="373">
        <v>815110</v>
      </c>
      <c r="AU113" s="373">
        <v>299710</v>
      </c>
      <c r="AV113" s="373">
        <v>647610</v>
      </c>
      <c r="AW113" s="373">
        <v>388779.62</v>
      </c>
      <c r="AX113" s="375">
        <v>4721090</v>
      </c>
      <c r="AY113" s="776">
        <f t="shared" si="272"/>
        <v>-450926.68000000063</v>
      </c>
      <c r="AZ113" s="775">
        <f t="shared" si="273"/>
        <v>-0.10559939894757953</v>
      </c>
      <c r="BA113" s="329"/>
      <c r="BB113" s="373">
        <v>34107</v>
      </c>
      <c r="BC113" s="373">
        <v>130131.1</v>
      </c>
      <c r="BD113" s="373">
        <v>185728.5</v>
      </c>
      <c r="BE113" s="373">
        <v>288453.5</v>
      </c>
      <c r="BF113" s="373">
        <v>220641.5</v>
      </c>
      <c r="BG113" s="373">
        <v>1129142.2</v>
      </c>
      <c r="BH113" s="374">
        <v>437757.6</v>
      </c>
      <c r="BI113" s="373">
        <v>316781.3</v>
      </c>
      <c r="BJ113" s="373">
        <v>308930.42</v>
      </c>
      <c r="BK113" s="373">
        <v>318764.90000000002</v>
      </c>
      <c r="BL113" s="373">
        <v>408587.8</v>
      </c>
      <c r="BM113" s="373">
        <v>491637.5</v>
      </c>
      <c r="BN113" s="402">
        <v>4270163.3199999994</v>
      </c>
      <c r="BO113" s="329"/>
      <c r="BP113" s="373">
        <v>80063</v>
      </c>
      <c r="BQ113" s="373">
        <v>84335</v>
      </c>
      <c r="BR113" s="373">
        <v>83220</v>
      </c>
      <c r="BS113" s="373">
        <v>122663</v>
      </c>
      <c r="BT113" s="373">
        <v>148767.9</v>
      </c>
      <c r="BU113" s="373">
        <v>89093</v>
      </c>
      <c r="BV113" s="374">
        <v>130740.70000000001</v>
      </c>
      <c r="BW113" s="373">
        <v>79247</v>
      </c>
      <c r="BX113" s="373">
        <v>76189</v>
      </c>
      <c r="BY113" s="373">
        <v>598299.4</v>
      </c>
      <c r="BZ113" s="373">
        <v>104960</v>
      </c>
      <c r="CA113" s="373">
        <v>109960</v>
      </c>
      <c r="CB113" s="402">
        <f t="shared" si="282"/>
        <v>1707538</v>
      </c>
      <c r="CC113" s="776">
        <f t="shared" si="274"/>
        <v>-2562625.3199999994</v>
      </c>
      <c r="CD113" s="775">
        <f t="shared" si="275"/>
        <v>-1.500772058952714</v>
      </c>
      <c r="CE113" s="772"/>
      <c r="CF113" s="373">
        <v>16662.900000000001</v>
      </c>
      <c r="CG113" s="373">
        <v>82049</v>
      </c>
      <c r="CH113" s="373">
        <v>123476.5</v>
      </c>
      <c r="CI113" s="373">
        <v>115161</v>
      </c>
      <c r="CJ113" s="373">
        <v>117055.4</v>
      </c>
      <c r="CK113" s="373">
        <v>154648.79999999999</v>
      </c>
      <c r="CL113" s="374">
        <v>414288.6</v>
      </c>
      <c r="CM113" s="373">
        <v>91467.86</v>
      </c>
      <c r="CN113" s="373">
        <v>36515.51</v>
      </c>
      <c r="CO113" s="373">
        <v>403406.6</v>
      </c>
      <c r="CP113" s="373">
        <v>41430.9</v>
      </c>
      <c r="CQ113" s="373">
        <v>38579.47</v>
      </c>
      <c r="CR113" s="374">
        <v>0</v>
      </c>
      <c r="CS113" s="402">
        <f t="shared" si="276"/>
        <v>1634742.5399999998</v>
      </c>
      <c r="CT113" s="776">
        <f t="shared" si="277"/>
        <v>-2635420.7799999993</v>
      </c>
      <c r="CU113" s="165">
        <f t="shared" si="278"/>
        <v>-1.6121320119313709</v>
      </c>
      <c r="CV113" s="329"/>
      <c r="CW113" s="373">
        <v>71765</v>
      </c>
      <c r="CX113" s="373">
        <v>108240.4</v>
      </c>
      <c r="CY113" s="373">
        <v>171956.36</v>
      </c>
      <c r="CZ113" s="373">
        <v>87292.2</v>
      </c>
      <c r="DA113" s="373">
        <v>56652.959999999999</v>
      </c>
      <c r="DB113" s="373">
        <v>254357.1</v>
      </c>
      <c r="DC113" s="374">
        <v>58281.7</v>
      </c>
      <c r="DD113" s="373">
        <v>128709.1</v>
      </c>
      <c r="DE113" s="373">
        <v>32192</v>
      </c>
      <c r="DF113" s="373">
        <v>313005.25</v>
      </c>
      <c r="DG113" s="373">
        <v>429798.3</v>
      </c>
      <c r="DH113" s="373">
        <v>535034.74</v>
      </c>
      <c r="DI113" s="375">
        <f t="shared" si="279"/>
        <v>2247285.11</v>
      </c>
      <c r="DJ113" s="329"/>
      <c r="DK113" s="373">
        <v>88749.1</v>
      </c>
      <c r="DL113" s="373">
        <v>56500.17</v>
      </c>
      <c r="DM113" s="373">
        <v>95250.14</v>
      </c>
      <c r="DN113" s="373">
        <v>23866.44</v>
      </c>
      <c r="DO113" s="373">
        <v>124965.3</v>
      </c>
      <c r="DP113" s="373">
        <v>61712.5</v>
      </c>
      <c r="DQ113" s="374">
        <v>49089.26</v>
      </c>
      <c r="DR113" s="373">
        <v>144691.5</v>
      </c>
      <c r="DS113" s="373">
        <v>204756.3</v>
      </c>
      <c r="DT113" s="373">
        <v>567804.92000000004</v>
      </c>
      <c r="DU113" s="373">
        <v>208784.45</v>
      </c>
      <c r="DV113" s="373">
        <v>90212.5</v>
      </c>
      <c r="DW113" s="375">
        <f t="shared" si="280"/>
        <v>1716382.5799999998</v>
      </c>
      <c r="DY113" s="373">
        <v>36680</v>
      </c>
      <c r="DZ113" s="373">
        <v>53553.3</v>
      </c>
      <c r="EA113" s="373">
        <v>57904</v>
      </c>
      <c r="EB113" s="373">
        <v>42633</v>
      </c>
      <c r="EC113" s="373">
        <v>58674</v>
      </c>
      <c r="ED113" s="373">
        <v>90800</v>
      </c>
      <c r="EE113" s="374">
        <v>19303.400000000001</v>
      </c>
      <c r="EF113" s="373">
        <v>122688.2</v>
      </c>
      <c r="EG113" s="373">
        <v>129975.08</v>
      </c>
      <c r="EH113" s="373">
        <v>147608.17000000001</v>
      </c>
      <c r="EI113" s="373">
        <v>105437.42</v>
      </c>
      <c r="EJ113" s="373">
        <v>63070</v>
      </c>
      <c r="EK113" s="375">
        <f t="shared" si="281"/>
        <v>928326.57000000007</v>
      </c>
      <c r="EL113" s="177"/>
      <c r="EM113" s="373">
        <v>46054</v>
      </c>
      <c r="EN113" s="373">
        <v>50439.5</v>
      </c>
      <c r="EO113" s="373">
        <v>22326.1</v>
      </c>
      <c r="EP113" s="373">
        <v>38236.699999999997</v>
      </c>
      <c r="EQ113" s="373">
        <v>40223</v>
      </c>
      <c r="ER113" s="373">
        <v>33568</v>
      </c>
      <c r="ES113" s="374">
        <v>31332</v>
      </c>
      <c r="ET113" s="373">
        <v>102479</v>
      </c>
      <c r="EU113" s="373">
        <v>25712</v>
      </c>
      <c r="EV113" s="373">
        <v>128183</v>
      </c>
      <c r="EW113" s="373">
        <v>581751</v>
      </c>
      <c r="EX113" s="373">
        <v>151567</v>
      </c>
      <c r="EY113" s="375">
        <f t="shared" si="283"/>
        <v>1251871.3</v>
      </c>
      <c r="EZ113" s="164">
        <v>0</v>
      </c>
      <c r="FA113" s="185">
        <v>0</v>
      </c>
    </row>
    <row r="114" spans="1:157" ht="18.75" customHeight="1">
      <c r="A114" s="185" t="s">
        <v>604</v>
      </c>
      <c r="B114" s="774"/>
      <c r="C114" s="176" t="s">
        <v>1054</v>
      </c>
      <c r="D114" s="176">
        <v>60109000</v>
      </c>
      <c r="E114" s="773"/>
      <c r="F114" s="320" t="s">
        <v>633</v>
      </c>
      <c r="G114" s="210"/>
      <c r="H114" s="373"/>
      <c r="I114" s="373"/>
      <c r="J114" s="373"/>
      <c r="K114" s="373"/>
      <c r="L114" s="373"/>
      <c r="M114" s="373"/>
      <c r="N114" s="374"/>
      <c r="O114" s="373"/>
      <c r="P114" s="373"/>
      <c r="Q114" s="373"/>
      <c r="R114" s="373"/>
      <c r="S114" s="403">
        <v>1809920</v>
      </c>
      <c r="T114" s="375">
        <f t="shared" si="268"/>
        <v>1809920</v>
      </c>
      <c r="U114" s="776">
        <f t="shared" si="269"/>
        <v>-84753.870000000345</v>
      </c>
      <c r="V114" s="775">
        <f t="shared" si="270"/>
        <v>-4.9127946883585273E-2</v>
      </c>
      <c r="W114" s="329"/>
      <c r="X114" s="373">
        <v>123897.53</v>
      </c>
      <c r="Y114" s="373">
        <v>166574.29999999999</v>
      </c>
      <c r="Z114" s="373">
        <v>146497.1</v>
      </c>
      <c r="AA114" s="373">
        <v>144479.89000000001</v>
      </c>
      <c r="AB114" s="373">
        <v>147810.5</v>
      </c>
      <c r="AC114" s="373">
        <v>144951.95000000001</v>
      </c>
      <c r="AD114" s="374">
        <v>147775.47</v>
      </c>
      <c r="AE114" s="373">
        <v>151455.99000000002</v>
      </c>
      <c r="AF114" s="373">
        <v>146883.9</v>
      </c>
      <c r="AG114" s="373">
        <v>143652.4</v>
      </c>
      <c r="AH114" s="373">
        <v>130370.7</v>
      </c>
      <c r="AI114" s="373">
        <v>130816.4</v>
      </c>
      <c r="AJ114" s="375">
        <f t="shared" si="271"/>
        <v>1725166.1299999997</v>
      </c>
      <c r="AK114" s="329"/>
      <c r="AL114" s="373">
        <v>14435</v>
      </c>
      <c r="AM114" s="373">
        <v>13935</v>
      </c>
      <c r="AN114" s="373">
        <v>14435</v>
      </c>
      <c r="AO114" s="373">
        <v>13935</v>
      </c>
      <c r="AP114" s="373">
        <v>14435</v>
      </c>
      <c r="AQ114" s="373">
        <v>13935</v>
      </c>
      <c r="AR114" s="374">
        <v>14435</v>
      </c>
      <c r="AS114" s="373">
        <v>13935</v>
      </c>
      <c r="AT114" s="373">
        <v>14436</v>
      </c>
      <c r="AU114" s="373">
        <v>13936</v>
      </c>
      <c r="AV114" s="373">
        <v>14436</v>
      </c>
      <c r="AW114" s="373">
        <v>1614426.4</v>
      </c>
      <c r="AX114" s="375">
        <v>1737514</v>
      </c>
      <c r="AY114" s="776">
        <f t="shared" si="272"/>
        <v>-258986.05999999982</v>
      </c>
      <c r="AZ114" s="775">
        <f t="shared" si="273"/>
        <v>-0.17516480615171859</v>
      </c>
      <c r="BA114" s="329"/>
      <c r="BB114" s="373">
        <v>24341.5</v>
      </c>
      <c r="BC114" s="373">
        <v>205377.5</v>
      </c>
      <c r="BD114" s="373">
        <v>139716.20000000001</v>
      </c>
      <c r="BE114" s="373">
        <v>140265</v>
      </c>
      <c r="BF114" s="373">
        <v>119929.9</v>
      </c>
      <c r="BG114" s="373">
        <v>103765.04</v>
      </c>
      <c r="BH114" s="374">
        <v>134038.1</v>
      </c>
      <c r="BI114" s="373">
        <v>142018.4</v>
      </c>
      <c r="BJ114" s="373">
        <v>142283.5</v>
      </c>
      <c r="BK114" s="373">
        <v>62952.5</v>
      </c>
      <c r="BL114" s="373">
        <v>96424</v>
      </c>
      <c r="BM114" s="373">
        <v>169835.3</v>
      </c>
      <c r="BN114" s="402">
        <v>1478527.9400000002</v>
      </c>
      <c r="BO114" s="329"/>
      <c r="BP114" s="373">
        <v>107375.9</v>
      </c>
      <c r="BQ114" s="373">
        <v>142218.23333333334</v>
      </c>
      <c r="BR114" s="373">
        <v>141936.66666666669</v>
      </c>
      <c r="BS114" s="373">
        <v>144172.06666666665</v>
      </c>
      <c r="BT114" s="373">
        <v>142950.06666666665</v>
      </c>
      <c r="BU114" s="373">
        <v>146711.66666666669</v>
      </c>
      <c r="BV114" s="374">
        <v>143055.86666666667</v>
      </c>
      <c r="BW114" s="373">
        <v>143654.56666666665</v>
      </c>
      <c r="BX114" s="373">
        <v>143206.56666666665</v>
      </c>
      <c r="BY114" s="373">
        <v>146357.76666666666</v>
      </c>
      <c r="BZ114" s="373">
        <v>144019.99666666667</v>
      </c>
      <c r="CA114" s="373">
        <v>147970.03666666668</v>
      </c>
      <c r="CB114" s="402">
        <f t="shared" si="282"/>
        <v>1693629.4</v>
      </c>
      <c r="CC114" s="776">
        <f t="shared" si="274"/>
        <v>215101.45999999973</v>
      </c>
      <c r="CD114" s="775">
        <f t="shared" si="275"/>
        <v>0.12700621517316582</v>
      </c>
      <c r="CE114" s="777"/>
      <c r="CF114" s="373">
        <v>6142.3999999999942</v>
      </c>
      <c r="CG114" s="373">
        <v>15266.199999999997</v>
      </c>
      <c r="CH114" s="373">
        <v>3503.6000000000058</v>
      </c>
      <c r="CI114" s="373">
        <v>6551</v>
      </c>
      <c r="CJ114" s="373">
        <v>5604.2999999999884</v>
      </c>
      <c r="CK114" s="373">
        <v>7788.0999999999913</v>
      </c>
      <c r="CL114" s="374">
        <v>7668.2999999999884</v>
      </c>
      <c r="CM114" s="373">
        <v>7266.7000000000007</v>
      </c>
      <c r="CN114" s="373">
        <v>4270</v>
      </c>
      <c r="CO114" s="373">
        <v>6739.5</v>
      </c>
      <c r="CP114" s="373">
        <v>4315.5</v>
      </c>
      <c r="CQ114" s="373">
        <v>2636</v>
      </c>
      <c r="CR114" s="374">
        <v>0</v>
      </c>
      <c r="CS114" s="402">
        <f t="shared" si="276"/>
        <v>77751.599999999962</v>
      </c>
      <c r="CT114" s="776">
        <f t="shared" si="277"/>
        <v>-1400776.3400000003</v>
      </c>
      <c r="CU114" s="165">
        <f t="shared" si="278"/>
        <v>-18.016045200356018</v>
      </c>
      <c r="CV114" s="330"/>
      <c r="CW114" s="373">
        <v>9755.4199999999983</v>
      </c>
      <c r="CX114" s="373">
        <v>3737.7</v>
      </c>
      <c r="CY114" s="373">
        <v>24222.300000000003</v>
      </c>
      <c r="CZ114" s="373">
        <v>15565</v>
      </c>
      <c r="DA114" s="373">
        <v>15639.700000000012</v>
      </c>
      <c r="DB114" s="373">
        <v>23737.4</v>
      </c>
      <c r="DC114" s="374">
        <v>17963</v>
      </c>
      <c r="DD114" s="373">
        <v>25913</v>
      </c>
      <c r="DE114" s="373">
        <v>24426.83</v>
      </c>
      <c r="DF114" s="373">
        <v>-74586.099999999991</v>
      </c>
      <c r="DG114" s="373">
        <v>5628.6999999999971</v>
      </c>
      <c r="DH114" s="373">
        <v>20359.020000000004</v>
      </c>
      <c r="DI114" s="375">
        <f t="shared" si="279"/>
        <v>112361.97000000004</v>
      </c>
      <c r="DJ114" s="330"/>
      <c r="DK114" s="373">
        <v>7041.9000000000015</v>
      </c>
      <c r="DL114" s="373">
        <v>9559.5999999999985</v>
      </c>
      <c r="DM114" s="373">
        <v>7814.4000000000015</v>
      </c>
      <c r="DN114" s="373">
        <v>14428.400000000001</v>
      </c>
      <c r="DO114" s="373">
        <v>14536.399999999994</v>
      </c>
      <c r="DP114" s="373">
        <v>6750.6000000000058</v>
      </c>
      <c r="DQ114" s="374">
        <v>8076.3800000000047</v>
      </c>
      <c r="DR114" s="373">
        <v>11800.300000000003</v>
      </c>
      <c r="DS114" s="373">
        <v>7075.9199999999983</v>
      </c>
      <c r="DT114" s="373">
        <v>8327.18</v>
      </c>
      <c r="DU114" s="373">
        <v>16367.899999999994</v>
      </c>
      <c r="DV114" s="373">
        <v>19771.5</v>
      </c>
      <c r="DW114" s="375">
        <f t="shared" si="280"/>
        <v>131550.48000000001</v>
      </c>
      <c r="DY114" s="373">
        <v>-4028.1</v>
      </c>
      <c r="DZ114" s="373">
        <v>8501.2999999999993</v>
      </c>
      <c r="EA114" s="373">
        <v>6204.7</v>
      </c>
      <c r="EB114" s="373">
        <v>8782.7000000000007</v>
      </c>
      <c r="EC114" s="373">
        <v>6269.9</v>
      </c>
      <c r="ED114" s="373">
        <v>6464.9000000000015</v>
      </c>
      <c r="EE114" s="374">
        <v>4762.7999999999993</v>
      </c>
      <c r="EF114" s="373">
        <v>8496.6999999999971</v>
      </c>
      <c r="EG114" s="373">
        <v>11638</v>
      </c>
      <c r="EH114" s="373">
        <v>9072.3000000000029</v>
      </c>
      <c r="EI114" s="373">
        <v>5334.1999999999971</v>
      </c>
      <c r="EJ114" s="373">
        <v>13732.599999999999</v>
      </c>
      <c r="EK114" s="375">
        <f t="shared" si="281"/>
        <v>85232</v>
      </c>
      <c r="EL114" s="177"/>
      <c r="EM114" s="373">
        <v>-5541.8</v>
      </c>
      <c r="EN114" s="373">
        <v>2797.3</v>
      </c>
      <c r="EO114" s="373">
        <v>8687.7000000000007</v>
      </c>
      <c r="EP114" s="373">
        <v>5307.3</v>
      </c>
      <c r="EQ114" s="373">
        <v>7147.2</v>
      </c>
      <c r="ER114" s="373">
        <v>5572.4</v>
      </c>
      <c r="ES114" s="374">
        <v>3371.1</v>
      </c>
      <c r="ET114" s="373">
        <v>7637.6</v>
      </c>
      <c r="EU114" s="373">
        <v>11650.1</v>
      </c>
      <c r="EV114" s="373">
        <v>6389.9</v>
      </c>
      <c r="EW114" s="373">
        <v>11252.1</v>
      </c>
      <c r="EX114" s="373">
        <v>20904.13</v>
      </c>
      <c r="EY114" s="375">
        <f t="shared" si="283"/>
        <v>85175.03</v>
      </c>
      <c r="EZ114" s="164">
        <v>0</v>
      </c>
      <c r="FA114" s="185">
        <v>0</v>
      </c>
    </row>
    <row r="115" spans="1:157" ht="18.75" customHeight="1">
      <c r="A115" s="185" t="s">
        <v>317</v>
      </c>
      <c r="B115" s="774"/>
      <c r="C115" s="176" t="s">
        <v>1053</v>
      </c>
      <c r="D115" s="176">
        <v>60110000</v>
      </c>
      <c r="E115" s="773"/>
      <c r="F115" s="320" t="s">
        <v>634</v>
      </c>
      <c r="G115" s="329"/>
      <c r="H115" s="373"/>
      <c r="I115" s="373"/>
      <c r="J115" s="373"/>
      <c r="K115" s="373"/>
      <c r="L115" s="373"/>
      <c r="M115" s="373"/>
      <c r="N115" s="374"/>
      <c r="O115" s="373"/>
      <c r="P115" s="373"/>
      <c r="Q115" s="373"/>
      <c r="R115" s="373"/>
      <c r="S115" s="403">
        <v>320000</v>
      </c>
      <c r="T115" s="375">
        <f t="shared" si="268"/>
        <v>320000</v>
      </c>
      <c r="U115" s="776">
        <f t="shared" si="269"/>
        <v>-320000</v>
      </c>
      <c r="V115" s="775" t="e">
        <f t="shared" si="270"/>
        <v>#DIV/0!</v>
      </c>
      <c r="W115" s="329"/>
      <c r="X115" s="373">
        <v>0</v>
      </c>
      <c r="Y115" s="373">
        <v>0</v>
      </c>
      <c r="Z115" s="373">
        <v>0</v>
      </c>
      <c r="AA115" s="373">
        <v>0</v>
      </c>
      <c r="AB115" s="373">
        <v>0</v>
      </c>
      <c r="AC115" s="373">
        <v>0</v>
      </c>
      <c r="AD115" s="374">
        <v>0</v>
      </c>
      <c r="AE115" s="373">
        <v>0</v>
      </c>
      <c r="AF115" s="373">
        <v>0</v>
      </c>
      <c r="AG115" s="373">
        <v>0</v>
      </c>
      <c r="AH115" s="373">
        <v>0</v>
      </c>
      <c r="AI115" s="373">
        <v>0</v>
      </c>
      <c r="AJ115" s="375">
        <f t="shared" si="271"/>
        <v>0</v>
      </c>
      <c r="AK115" s="329"/>
      <c r="AL115" s="373">
        <v>416.66666666666669</v>
      </c>
      <c r="AM115" s="373">
        <v>416.66666666666669</v>
      </c>
      <c r="AN115" s="373">
        <v>416.66666666666669</v>
      </c>
      <c r="AO115" s="373">
        <v>416.66666666666669</v>
      </c>
      <c r="AP115" s="373">
        <v>416.66666666666669</v>
      </c>
      <c r="AQ115" s="373">
        <v>110416.66666666667</v>
      </c>
      <c r="AR115" s="374">
        <v>416.66666666666669</v>
      </c>
      <c r="AS115" s="373">
        <v>30416.666666666668</v>
      </c>
      <c r="AT115" s="373">
        <v>100416.66666666667</v>
      </c>
      <c r="AU115" s="373">
        <v>30416.666666666668</v>
      </c>
      <c r="AV115" s="373">
        <v>416.66666666666669</v>
      </c>
      <c r="AW115" s="373">
        <v>143416.66666666666</v>
      </c>
      <c r="AX115" s="375">
        <v>424000</v>
      </c>
      <c r="AY115" s="776">
        <f t="shared" si="272"/>
        <v>-427777.6</v>
      </c>
      <c r="AZ115" s="775">
        <f t="shared" si="273"/>
        <v>113.24057602710714</v>
      </c>
      <c r="BA115" s="329"/>
      <c r="BB115" s="373">
        <v>135.4</v>
      </c>
      <c r="BC115" s="373">
        <v>0</v>
      </c>
      <c r="BD115" s="373">
        <v>0</v>
      </c>
      <c r="BE115" s="373">
        <v>15925</v>
      </c>
      <c r="BF115" s="373">
        <v>0</v>
      </c>
      <c r="BG115" s="373">
        <v>0</v>
      </c>
      <c r="BH115" s="374">
        <v>-15925</v>
      </c>
      <c r="BI115" s="373">
        <v>0</v>
      </c>
      <c r="BJ115" s="373">
        <v>0</v>
      </c>
      <c r="BK115" s="373">
        <v>0</v>
      </c>
      <c r="BL115" s="373">
        <v>0</v>
      </c>
      <c r="BM115" s="373">
        <v>0</v>
      </c>
      <c r="BN115" s="402">
        <v>-3777.6000000000004</v>
      </c>
      <c r="BO115" s="329"/>
      <c r="BP115" s="373">
        <v>89777</v>
      </c>
      <c r="BQ115" s="373">
        <v>49258.79</v>
      </c>
      <c r="BR115" s="373">
        <v>78383.209999999992</v>
      </c>
      <c r="BS115" s="373">
        <v>61282.33</v>
      </c>
      <c r="BT115" s="373">
        <v>201569.34</v>
      </c>
      <c r="BU115" s="373">
        <v>110872.85</v>
      </c>
      <c r="BV115" s="374">
        <v>110049.23</v>
      </c>
      <c r="BW115" s="373">
        <v>52047.290000000008</v>
      </c>
      <c r="BX115" s="373">
        <v>145869.47999999998</v>
      </c>
      <c r="BY115" s="373">
        <v>132278.37</v>
      </c>
      <c r="BZ115" s="373">
        <v>40400</v>
      </c>
      <c r="CA115" s="373">
        <v>57400</v>
      </c>
      <c r="CB115" s="402">
        <f t="shared" si="282"/>
        <v>1129187.8900000001</v>
      </c>
      <c r="CC115" s="776">
        <f t="shared" si="274"/>
        <v>1132965.4900000002</v>
      </c>
      <c r="CD115" s="775">
        <f t="shared" si="275"/>
        <v>1.0033454131358068</v>
      </c>
      <c r="CE115" s="772"/>
      <c r="CF115" s="373">
        <v>89512.85</v>
      </c>
      <c r="CG115" s="373">
        <v>93583.55</v>
      </c>
      <c r="CH115" s="373">
        <v>105307.13</v>
      </c>
      <c r="CI115" s="373">
        <v>39908.85</v>
      </c>
      <c r="CJ115" s="373">
        <v>223575.46</v>
      </c>
      <c r="CK115" s="373">
        <v>147909.42000000001</v>
      </c>
      <c r="CL115" s="374">
        <v>111198.52</v>
      </c>
      <c r="CM115" s="373">
        <v>46758.19</v>
      </c>
      <c r="CN115" s="373">
        <v>145199.07</v>
      </c>
      <c r="CO115" s="373">
        <v>92995.06</v>
      </c>
      <c r="CP115" s="373">
        <v>32041.729999999996</v>
      </c>
      <c r="CQ115" s="373">
        <v>0</v>
      </c>
      <c r="CR115" s="374">
        <v>0</v>
      </c>
      <c r="CS115" s="402">
        <f t="shared" si="276"/>
        <v>1127989.83</v>
      </c>
      <c r="CT115" s="776">
        <f t="shared" si="277"/>
        <v>1131767.4300000002</v>
      </c>
      <c r="CU115" s="165">
        <f t="shared" si="278"/>
        <v>1.0033489663643511</v>
      </c>
      <c r="CV115" s="329"/>
      <c r="CW115" s="373">
        <v>181006.98</v>
      </c>
      <c r="CX115" s="373">
        <v>82973.16</v>
      </c>
      <c r="CY115" s="373">
        <v>159524.88</v>
      </c>
      <c r="CZ115" s="373">
        <v>106562.66</v>
      </c>
      <c r="DA115" s="373">
        <v>103479.84</v>
      </c>
      <c r="DB115" s="373">
        <v>109889.80000000002</v>
      </c>
      <c r="DC115" s="374">
        <v>77086.040000000008</v>
      </c>
      <c r="DD115" s="373">
        <v>194256.68</v>
      </c>
      <c r="DE115" s="373">
        <v>27171.41</v>
      </c>
      <c r="DF115" s="373">
        <v>41909.54</v>
      </c>
      <c r="DG115" s="373">
        <v>371354.81</v>
      </c>
      <c r="DH115" s="373">
        <v>93900.02</v>
      </c>
      <c r="DI115" s="375">
        <f t="shared" si="279"/>
        <v>1549115.82</v>
      </c>
      <c r="DJ115" s="329"/>
      <c r="DK115" s="373">
        <v>236547.43</v>
      </c>
      <c r="DL115" s="373">
        <v>49134.76</v>
      </c>
      <c r="DM115" s="373">
        <v>90817.319999999992</v>
      </c>
      <c r="DN115" s="373">
        <v>223010.88</v>
      </c>
      <c r="DO115" s="373">
        <v>104750.49</v>
      </c>
      <c r="DP115" s="373">
        <v>335205.57</v>
      </c>
      <c r="DQ115" s="374">
        <v>50397.97</v>
      </c>
      <c r="DR115" s="373">
        <v>104736.71</v>
      </c>
      <c r="DS115" s="373">
        <v>151028.54999999999</v>
      </c>
      <c r="DT115" s="373">
        <v>93523.14</v>
      </c>
      <c r="DU115" s="373">
        <v>203437.22</v>
      </c>
      <c r="DV115" s="373">
        <v>179467.25</v>
      </c>
      <c r="DW115" s="375">
        <f t="shared" si="280"/>
        <v>1822057.2899999998</v>
      </c>
      <c r="DY115" s="373">
        <v>145905.18</v>
      </c>
      <c r="DZ115" s="373">
        <v>12703.71</v>
      </c>
      <c r="EA115" s="373">
        <v>311623.78999999998</v>
      </c>
      <c r="EB115" s="373">
        <v>139426.49</v>
      </c>
      <c r="EC115" s="373">
        <v>125202.59</v>
      </c>
      <c r="ED115" s="373">
        <v>58309.49</v>
      </c>
      <c r="EE115" s="374">
        <v>141788.70000000001</v>
      </c>
      <c r="EF115" s="373">
        <v>162244.65</v>
      </c>
      <c r="EG115" s="373">
        <v>217367.74</v>
      </c>
      <c r="EH115" s="373">
        <v>190929.38</v>
      </c>
      <c r="EI115" s="373">
        <v>521730.04000000004</v>
      </c>
      <c r="EJ115" s="373">
        <v>157264.38</v>
      </c>
      <c r="EK115" s="375">
        <f t="shared" si="281"/>
        <v>2184496.1399999997</v>
      </c>
      <c r="EL115" s="177"/>
      <c r="EM115" s="373">
        <v>197145.57</v>
      </c>
      <c r="EN115" s="373">
        <v>78484.13</v>
      </c>
      <c r="EO115" s="373">
        <v>303289.87</v>
      </c>
      <c r="EP115" s="373">
        <v>152301.07</v>
      </c>
      <c r="EQ115" s="373">
        <v>469874.53</v>
      </c>
      <c r="ER115" s="373">
        <v>269150.76999999996</v>
      </c>
      <c r="ES115" s="374">
        <v>142842.82</v>
      </c>
      <c r="ET115" s="373">
        <v>157408.34</v>
      </c>
      <c r="EU115" s="373">
        <v>110775.19</v>
      </c>
      <c r="EV115" s="373">
        <v>168430.25</v>
      </c>
      <c r="EW115" s="373">
        <v>56448.56</v>
      </c>
      <c r="EX115" s="373">
        <v>587813.87</v>
      </c>
      <c r="EY115" s="375">
        <f t="shared" si="283"/>
        <v>2693964.97</v>
      </c>
      <c r="EZ115" s="164">
        <v>0</v>
      </c>
      <c r="FA115" s="185">
        <v>0</v>
      </c>
    </row>
    <row r="116" spans="1:157" ht="18.75" customHeight="1">
      <c r="A116" s="185" t="s">
        <v>329</v>
      </c>
      <c r="B116" s="774"/>
      <c r="C116" s="176" t="s">
        <v>1052</v>
      </c>
      <c r="D116" s="176">
        <v>60111000</v>
      </c>
      <c r="E116" s="773"/>
      <c r="F116" s="320" t="s">
        <v>635</v>
      </c>
      <c r="G116" s="329"/>
      <c r="H116" s="373"/>
      <c r="I116" s="373"/>
      <c r="J116" s="373"/>
      <c r="K116" s="373"/>
      <c r="L116" s="373"/>
      <c r="M116" s="373"/>
      <c r="N116" s="374"/>
      <c r="O116" s="373"/>
      <c r="P116" s="373"/>
      <c r="Q116" s="373"/>
      <c r="R116" s="373"/>
      <c r="S116" s="403">
        <v>0</v>
      </c>
      <c r="T116" s="375">
        <f t="shared" si="268"/>
        <v>0</v>
      </c>
      <c r="U116" s="776">
        <f t="shared" si="269"/>
        <v>0</v>
      </c>
      <c r="V116" s="775" t="e">
        <f t="shared" si="270"/>
        <v>#DIV/0!</v>
      </c>
      <c r="W116" s="329"/>
      <c r="X116" s="373">
        <v>0</v>
      </c>
      <c r="Y116" s="373">
        <v>0</v>
      </c>
      <c r="Z116" s="373">
        <v>0</v>
      </c>
      <c r="AA116" s="373">
        <v>0</v>
      </c>
      <c r="AB116" s="373">
        <v>0</v>
      </c>
      <c r="AC116" s="373">
        <v>0</v>
      </c>
      <c r="AD116" s="374">
        <v>0</v>
      </c>
      <c r="AE116" s="373">
        <v>0</v>
      </c>
      <c r="AF116" s="373">
        <v>0</v>
      </c>
      <c r="AG116" s="373">
        <v>0</v>
      </c>
      <c r="AH116" s="373">
        <v>0</v>
      </c>
      <c r="AI116" s="373">
        <v>0</v>
      </c>
      <c r="AJ116" s="375">
        <f t="shared" si="271"/>
        <v>0</v>
      </c>
      <c r="AK116" s="329"/>
      <c r="AL116" s="373">
        <v>0</v>
      </c>
      <c r="AM116" s="373">
        <v>0</v>
      </c>
      <c r="AN116" s="373">
        <v>0</v>
      </c>
      <c r="AO116" s="373">
        <v>0</v>
      </c>
      <c r="AP116" s="373">
        <v>0</v>
      </c>
      <c r="AQ116" s="373">
        <v>0</v>
      </c>
      <c r="AR116" s="374">
        <v>0</v>
      </c>
      <c r="AS116" s="373">
        <v>0</v>
      </c>
      <c r="AT116" s="373">
        <v>0</v>
      </c>
      <c r="AU116" s="373">
        <v>0</v>
      </c>
      <c r="AV116" s="373">
        <v>0</v>
      </c>
      <c r="AW116" s="373">
        <v>0</v>
      </c>
      <c r="AX116" s="375">
        <v>0</v>
      </c>
      <c r="AY116" s="776">
        <f t="shared" si="272"/>
        <v>0</v>
      </c>
      <c r="AZ116" s="775" t="e">
        <f t="shared" si="273"/>
        <v>#DIV/0!</v>
      </c>
      <c r="BA116" s="329"/>
      <c r="BB116" s="373">
        <v>0</v>
      </c>
      <c r="BC116" s="373">
        <v>0</v>
      </c>
      <c r="BD116" s="373">
        <v>0</v>
      </c>
      <c r="BE116" s="373">
        <v>0</v>
      </c>
      <c r="BF116" s="373">
        <v>0</v>
      </c>
      <c r="BG116" s="373">
        <v>0</v>
      </c>
      <c r="BH116" s="374">
        <v>0</v>
      </c>
      <c r="BI116" s="373">
        <v>0</v>
      </c>
      <c r="BJ116" s="373">
        <v>0</v>
      </c>
      <c r="BK116" s="373">
        <v>0</v>
      </c>
      <c r="BL116" s="373">
        <v>0</v>
      </c>
      <c r="BM116" s="373">
        <v>0</v>
      </c>
      <c r="BN116" s="375">
        <f t="shared" ref="BN116:BN151" si="284">SUM(BB116:BM116)</f>
        <v>0</v>
      </c>
      <c r="BO116" s="329"/>
      <c r="BP116" s="373">
        <v>0</v>
      </c>
      <c r="BQ116" s="373">
        <v>0</v>
      </c>
      <c r="BR116" s="373">
        <v>0</v>
      </c>
      <c r="BS116" s="373">
        <v>0</v>
      </c>
      <c r="BT116" s="373">
        <v>0</v>
      </c>
      <c r="BU116" s="373">
        <v>0</v>
      </c>
      <c r="BV116" s="374">
        <v>0</v>
      </c>
      <c r="BW116" s="373">
        <v>0</v>
      </c>
      <c r="BX116" s="373">
        <v>0</v>
      </c>
      <c r="BY116" s="373">
        <v>0</v>
      </c>
      <c r="BZ116" s="373">
        <v>0</v>
      </c>
      <c r="CA116" s="373">
        <v>0</v>
      </c>
      <c r="CB116" s="402">
        <f t="shared" si="282"/>
        <v>0</v>
      </c>
      <c r="CC116" s="776">
        <f t="shared" si="274"/>
        <v>0</v>
      </c>
      <c r="CD116" s="775" t="str">
        <f t="shared" si="275"/>
        <v>N/A</v>
      </c>
      <c r="CE116" s="772"/>
      <c r="CF116" s="373">
        <v>0</v>
      </c>
      <c r="CG116" s="373">
        <v>0</v>
      </c>
      <c r="CH116" s="373">
        <v>0</v>
      </c>
      <c r="CI116" s="373">
        <v>0</v>
      </c>
      <c r="CJ116" s="373">
        <v>0</v>
      </c>
      <c r="CK116" s="373">
        <v>0</v>
      </c>
      <c r="CL116" s="374">
        <v>0</v>
      </c>
      <c r="CM116" s="373">
        <v>0</v>
      </c>
      <c r="CN116" s="373">
        <v>0</v>
      </c>
      <c r="CO116" s="373">
        <v>0</v>
      </c>
      <c r="CP116" s="373">
        <v>0</v>
      </c>
      <c r="CQ116" s="373">
        <v>0</v>
      </c>
      <c r="CR116" s="374">
        <v>0</v>
      </c>
      <c r="CS116" s="375">
        <f t="shared" si="276"/>
        <v>0</v>
      </c>
      <c r="CT116" s="378">
        <f t="shared" si="277"/>
        <v>0</v>
      </c>
      <c r="CU116" s="165" t="str">
        <f t="shared" si="278"/>
        <v>N/A</v>
      </c>
      <c r="CV116" s="329"/>
      <c r="CW116" s="373">
        <v>0</v>
      </c>
      <c r="CX116" s="373">
        <v>0</v>
      </c>
      <c r="CY116" s="373">
        <v>0</v>
      </c>
      <c r="CZ116" s="373">
        <v>0</v>
      </c>
      <c r="DA116" s="373">
        <v>0</v>
      </c>
      <c r="DB116" s="373">
        <v>0</v>
      </c>
      <c r="DC116" s="374">
        <v>0</v>
      </c>
      <c r="DD116" s="373">
        <v>0</v>
      </c>
      <c r="DE116" s="373">
        <v>0</v>
      </c>
      <c r="DF116" s="373">
        <v>0</v>
      </c>
      <c r="DG116" s="373">
        <v>0</v>
      </c>
      <c r="DH116" s="373">
        <v>0</v>
      </c>
      <c r="DI116" s="375">
        <f t="shared" si="279"/>
        <v>0</v>
      </c>
      <c r="DJ116" s="329"/>
      <c r="DK116" s="373">
        <v>0</v>
      </c>
      <c r="DL116" s="373">
        <v>0</v>
      </c>
      <c r="DM116" s="373">
        <v>0</v>
      </c>
      <c r="DN116" s="373">
        <v>0</v>
      </c>
      <c r="DO116" s="373">
        <v>0</v>
      </c>
      <c r="DP116" s="373">
        <v>0</v>
      </c>
      <c r="DQ116" s="374">
        <v>0</v>
      </c>
      <c r="DR116" s="373">
        <v>0</v>
      </c>
      <c r="DS116" s="373">
        <v>0</v>
      </c>
      <c r="DT116" s="373">
        <v>0</v>
      </c>
      <c r="DU116" s="373">
        <v>0</v>
      </c>
      <c r="DV116" s="373">
        <v>0</v>
      </c>
      <c r="DW116" s="375">
        <f t="shared" si="280"/>
        <v>0</v>
      </c>
      <c r="DY116" s="373">
        <v>14142.51</v>
      </c>
      <c r="DZ116" s="373">
        <v>0</v>
      </c>
      <c r="EA116" s="373">
        <v>28237.89</v>
      </c>
      <c r="EB116" s="373">
        <v>10280.58</v>
      </c>
      <c r="EC116" s="373">
        <v>8326</v>
      </c>
      <c r="ED116" s="373">
        <v>430.93</v>
      </c>
      <c r="EE116" s="374">
        <v>6908</v>
      </c>
      <c r="EF116" s="373">
        <v>0</v>
      </c>
      <c r="EG116" s="373">
        <v>-1270</v>
      </c>
      <c r="EH116" s="373">
        <v>0</v>
      </c>
      <c r="EI116" s="373">
        <v>20071</v>
      </c>
      <c r="EJ116" s="373">
        <v>0</v>
      </c>
      <c r="EK116" s="375">
        <f t="shared" si="281"/>
        <v>87126.91</v>
      </c>
      <c r="EL116" s="177"/>
      <c r="EM116" s="373">
        <v>0</v>
      </c>
      <c r="EN116" s="373">
        <v>0</v>
      </c>
      <c r="EO116" s="373">
        <v>0</v>
      </c>
      <c r="EP116" s="373">
        <v>0</v>
      </c>
      <c r="EQ116" s="373">
        <v>0</v>
      </c>
      <c r="ER116" s="373">
        <v>0</v>
      </c>
      <c r="ES116" s="374">
        <v>0</v>
      </c>
      <c r="ET116" s="373">
        <v>459.73</v>
      </c>
      <c r="EU116" s="373">
        <v>0</v>
      </c>
      <c r="EV116" s="373">
        <v>0</v>
      </c>
      <c r="EW116" s="373">
        <v>11670.76</v>
      </c>
      <c r="EX116" s="373">
        <v>0</v>
      </c>
      <c r="EY116" s="375">
        <f t="shared" si="283"/>
        <v>12130.49</v>
      </c>
      <c r="EZ116" s="164">
        <v>0</v>
      </c>
      <c r="FA116" s="185">
        <v>0</v>
      </c>
    </row>
    <row r="117" spans="1:157" ht="18.75" customHeight="1">
      <c r="A117" s="185" t="s">
        <v>329</v>
      </c>
      <c r="B117" s="774"/>
      <c r="C117" s="176" t="s">
        <v>1051</v>
      </c>
      <c r="D117" s="176">
        <v>60112000</v>
      </c>
      <c r="E117" s="773"/>
      <c r="F117" s="320" t="s">
        <v>636</v>
      </c>
      <c r="G117" s="329"/>
      <c r="H117" s="373"/>
      <c r="I117" s="373"/>
      <c r="J117" s="373"/>
      <c r="K117" s="373"/>
      <c r="L117" s="373"/>
      <c r="M117" s="373"/>
      <c r="N117" s="374"/>
      <c r="O117" s="373"/>
      <c r="P117" s="373"/>
      <c r="Q117" s="373"/>
      <c r="R117" s="373"/>
      <c r="S117" s="403">
        <v>160000</v>
      </c>
      <c r="T117" s="375">
        <f t="shared" si="268"/>
        <v>160000</v>
      </c>
      <c r="U117" s="776">
        <f t="shared" si="269"/>
        <v>1022.1100000000151</v>
      </c>
      <c r="V117" s="775">
        <f t="shared" si="270"/>
        <v>6.3476376008239806E-3</v>
      </c>
      <c r="W117" s="329"/>
      <c r="X117" s="373">
        <v>5394.62</v>
      </c>
      <c r="Y117" s="373">
        <v>0</v>
      </c>
      <c r="Z117" s="373">
        <v>661.66</v>
      </c>
      <c r="AA117" s="373">
        <v>0</v>
      </c>
      <c r="AB117" s="373">
        <v>2619.79</v>
      </c>
      <c r="AC117" s="373">
        <v>287.02</v>
      </c>
      <c r="AD117" s="374">
        <v>1620.69</v>
      </c>
      <c r="AE117" s="373">
        <v>1680.57</v>
      </c>
      <c r="AF117" s="373">
        <v>0</v>
      </c>
      <c r="AG117" s="373">
        <v>137438.04</v>
      </c>
      <c r="AH117" s="373">
        <v>6024.59</v>
      </c>
      <c r="AI117" s="373">
        <v>5295.13</v>
      </c>
      <c r="AJ117" s="375">
        <f t="shared" si="271"/>
        <v>161022.11000000002</v>
      </c>
      <c r="AK117" s="329"/>
      <c r="AL117" s="373">
        <v>833.33333333333337</v>
      </c>
      <c r="AM117" s="373">
        <v>833.33333333333337</v>
      </c>
      <c r="AN117" s="373">
        <v>833.33333333333337</v>
      </c>
      <c r="AO117" s="373">
        <v>833.33333333333337</v>
      </c>
      <c r="AP117" s="373">
        <v>833.33333333333337</v>
      </c>
      <c r="AQ117" s="373">
        <v>833.33333333333337</v>
      </c>
      <c r="AR117" s="374">
        <v>833.33333333333337</v>
      </c>
      <c r="AS117" s="373">
        <v>833.33333333333337</v>
      </c>
      <c r="AT117" s="373">
        <v>833.33333333333337</v>
      </c>
      <c r="AU117" s="373">
        <v>833.33333333333337</v>
      </c>
      <c r="AV117" s="373">
        <v>833.33333333333337</v>
      </c>
      <c r="AW117" s="373">
        <v>100833.33333333333</v>
      </c>
      <c r="AX117" s="375">
        <v>110000</v>
      </c>
      <c r="AY117" s="776">
        <f t="shared" si="272"/>
        <v>10278.869999999995</v>
      </c>
      <c r="AZ117" s="775">
        <f t="shared" si="273"/>
        <v>8.5458651216127945E-2</v>
      </c>
      <c r="BA117" s="329"/>
      <c r="BB117" s="373">
        <v>1692.85</v>
      </c>
      <c r="BC117" s="373">
        <v>0</v>
      </c>
      <c r="BD117" s="373">
        <v>0</v>
      </c>
      <c r="BE117" s="373">
        <v>0</v>
      </c>
      <c r="BF117" s="373">
        <v>0</v>
      </c>
      <c r="BG117" s="373">
        <v>0</v>
      </c>
      <c r="BH117" s="374">
        <v>0</v>
      </c>
      <c r="BI117" s="373">
        <v>1722.92</v>
      </c>
      <c r="BJ117" s="373">
        <v>0</v>
      </c>
      <c r="BK117" s="373">
        <v>2227.04</v>
      </c>
      <c r="BL117" s="373">
        <v>0</v>
      </c>
      <c r="BM117" s="373">
        <v>114636.06</v>
      </c>
      <c r="BN117" s="375">
        <v>120278.87</v>
      </c>
      <c r="BO117" s="329"/>
      <c r="BP117" s="373">
        <v>2500</v>
      </c>
      <c r="BQ117" s="373">
        <v>4500</v>
      </c>
      <c r="BR117" s="373">
        <v>2500</v>
      </c>
      <c r="BS117" s="373">
        <v>4500</v>
      </c>
      <c r="BT117" s="373">
        <v>2500</v>
      </c>
      <c r="BU117" s="373">
        <v>4500</v>
      </c>
      <c r="BV117" s="374">
        <v>2500</v>
      </c>
      <c r="BW117" s="373">
        <v>4500</v>
      </c>
      <c r="BX117" s="373">
        <v>102500</v>
      </c>
      <c r="BY117" s="373">
        <v>4500</v>
      </c>
      <c r="BZ117" s="373">
        <v>2500</v>
      </c>
      <c r="CA117" s="373">
        <v>5500</v>
      </c>
      <c r="CB117" s="402">
        <f t="shared" si="282"/>
        <v>143000</v>
      </c>
      <c r="CC117" s="776">
        <f t="shared" si="274"/>
        <v>22721.130000000005</v>
      </c>
      <c r="CD117" s="775">
        <f t="shared" si="275"/>
        <v>0.15888902097902102</v>
      </c>
      <c r="CE117" s="772"/>
      <c r="CF117" s="373">
        <v>4253.6099999999997</v>
      </c>
      <c r="CG117" s="373">
        <v>2817.42</v>
      </c>
      <c r="CH117" s="373">
        <v>3172.58</v>
      </c>
      <c r="CI117" s="373">
        <v>3581.54</v>
      </c>
      <c r="CJ117" s="373">
        <v>123.31</v>
      </c>
      <c r="CK117" s="373">
        <v>1501.06</v>
      </c>
      <c r="CL117" s="374">
        <v>2702.05</v>
      </c>
      <c r="CM117" s="373">
        <v>1489.35</v>
      </c>
      <c r="CN117" s="373">
        <v>104875.53</v>
      </c>
      <c r="CO117" s="373">
        <v>3143.64</v>
      </c>
      <c r="CP117" s="373">
        <v>7123.94</v>
      </c>
      <c r="CQ117" s="373">
        <v>113.99</v>
      </c>
      <c r="CR117" s="374">
        <v>0</v>
      </c>
      <c r="CS117" s="375">
        <f t="shared" si="276"/>
        <v>134898.01999999999</v>
      </c>
      <c r="CT117" s="378">
        <f t="shared" si="277"/>
        <v>14619.149999999994</v>
      </c>
      <c r="CU117" s="165">
        <f t="shared" si="278"/>
        <v>0.10837186490950716</v>
      </c>
      <c r="CV117" s="329"/>
      <c r="CW117" s="373">
        <v>0</v>
      </c>
      <c r="CX117" s="373">
        <v>1808.52</v>
      </c>
      <c r="CY117" s="373">
        <v>7408.79</v>
      </c>
      <c r="CZ117" s="373">
        <v>1810.24</v>
      </c>
      <c r="DA117" s="373">
        <v>1783.54</v>
      </c>
      <c r="DB117" s="373">
        <v>2341.14</v>
      </c>
      <c r="DC117" s="374">
        <v>4334.6000000000004</v>
      </c>
      <c r="DD117" s="373">
        <v>5398.12</v>
      </c>
      <c r="DE117" s="373">
        <v>0</v>
      </c>
      <c r="DF117" s="373">
        <v>109988.28</v>
      </c>
      <c r="DG117" s="373">
        <v>3923.26</v>
      </c>
      <c r="DH117" s="373">
        <v>5527.13</v>
      </c>
      <c r="DI117" s="375">
        <f t="shared" si="279"/>
        <v>144323.62000000002</v>
      </c>
      <c r="DJ117" s="329"/>
      <c r="DK117" s="373">
        <v>0</v>
      </c>
      <c r="DL117" s="373">
        <v>5811.19</v>
      </c>
      <c r="DM117" s="373">
        <v>0</v>
      </c>
      <c r="DN117" s="373">
        <v>4182.41</v>
      </c>
      <c r="DO117" s="373">
        <v>2636.97</v>
      </c>
      <c r="DP117" s="373">
        <v>1066.8</v>
      </c>
      <c r="DQ117" s="374">
        <v>3011.4</v>
      </c>
      <c r="DR117" s="373">
        <v>1254.96</v>
      </c>
      <c r="DS117" s="373">
        <v>939.2</v>
      </c>
      <c r="DT117" s="373">
        <v>25302.71</v>
      </c>
      <c r="DU117" s="373">
        <v>0</v>
      </c>
      <c r="DV117" s="373">
        <v>3347.13</v>
      </c>
      <c r="DW117" s="375">
        <f t="shared" si="280"/>
        <v>47552.77</v>
      </c>
      <c r="DY117" s="373">
        <v>501.45</v>
      </c>
      <c r="DZ117" s="373">
        <v>505.93</v>
      </c>
      <c r="EA117" s="373">
        <v>0</v>
      </c>
      <c r="EB117" s="373">
        <v>0</v>
      </c>
      <c r="EC117" s="373">
        <v>9084.65</v>
      </c>
      <c r="ED117" s="373">
        <v>9568.5300000000007</v>
      </c>
      <c r="EE117" s="374">
        <v>2552.04</v>
      </c>
      <c r="EF117" s="373">
        <v>6504.86</v>
      </c>
      <c r="EG117" s="373">
        <v>7167.38</v>
      </c>
      <c r="EH117" s="373">
        <v>137485.44</v>
      </c>
      <c r="EI117" s="373">
        <v>1033.58</v>
      </c>
      <c r="EJ117" s="373">
        <v>2945.88</v>
      </c>
      <c r="EK117" s="375">
        <f t="shared" si="281"/>
        <v>177349.74</v>
      </c>
      <c r="EL117" s="177"/>
      <c r="EM117" s="373">
        <v>0</v>
      </c>
      <c r="EN117" s="373">
        <v>0</v>
      </c>
      <c r="EO117" s="373">
        <v>0</v>
      </c>
      <c r="EP117" s="373">
        <v>0</v>
      </c>
      <c r="EQ117" s="373">
        <v>0</v>
      </c>
      <c r="ER117" s="373">
        <v>0</v>
      </c>
      <c r="ES117" s="374">
        <v>0</v>
      </c>
      <c r="ET117" s="373">
        <v>0</v>
      </c>
      <c r="EU117" s="373">
        <v>0</v>
      </c>
      <c r="EV117" s="373">
        <v>531.52</v>
      </c>
      <c r="EW117" s="373">
        <v>1252.46</v>
      </c>
      <c r="EX117" s="373">
        <v>833.25</v>
      </c>
      <c r="EY117" s="375">
        <f t="shared" si="283"/>
        <v>2617.23</v>
      </c>
      <c r="EZ117" s="164">
        <v>0</v>
      </c>
      <c r="FA117" s="185">
        <v>0</v>
      </c>
    </row>
    <row r="118" spans="1:157" ht="18.75" customHeight="1">
      <c r="A118" s="185" t="s">
        <v>601</v>
      </c>
      <c r="B118" s="774"/>
      <c r="C118" s="176" t="s">
        <v>1050</v>
      </c>
      <c r="D118" s="176">
        <v>60113000</v>
      </c>
      <c r="E118" s="773"/>
      <c r="F118" s="320" t="s">
        <v>602</v>
      </c>
      <c r="G118" s="329"/>
      <c r="H118" s="373"/>
      <c r="I118" s="373"/>
      <c r="J118" s="373"/>
      <c r="K118" s="373"/>
      <c r="L118" s="373"/>
      <c r="M118" s="373"/>
      <c r="N118" s="374"/>
      <c r="O118" s="373"/>
      <c r="P118" s="373"/>
      <c r="Q118" s="373"/>
      <c r="R118" s="373"/>
      <c r="S118" s="403">
        <v>813593.06623362261</v>
      </c>
      <c r="T118" s="375">
        <f t="shared" si="268"/>
        <v>813593.06623362261</v>
      </c>
      <c r="U118" s="776">
        <f t="shared" si="269"/>
        <v>-469211.18623362266</v>
      </c>
      <c r="V118" s="775">
        <f t="shared" si="270"/>
        <v>-1.3624735024781871</v>
      </c>
      <c r="W118" s="329"/>
      <c r="X118" s="373">
        <v>36396.71</v>
      </c>
      <c r="Y118" s="373">
        <v>36396.71</v>
      </c>
      <c r="Z118" s="373">
        <v>36397.689999999995</v>
      </c>
      <c r="AA118" s="373">
        <v>36397.689999999995</v>
      </c>
      <c r="AB118" s="373">
        <v>3835.58</v>
      </c>
      <c r="AC118" s="373">
        <v>-736.73999999999978</v>
      </c>
      <c r="AD118" s="374">
        <v>33249.040000000001</v>
      </c>
      <c r="AE118" s="373">
        <v>32489.040000000001</v>
      </c>
      <c r="AF118" s="373">
        <v>32489.040000000001</v>
      </c>
      <c r="AG118" s="373">
        <v>32489.040000000001</v>
      </c>
      <c r="AH118" s="373">
        <v>32489.040000000001</v>
      </c>
      <c r="AI118" s="373">
        <v>32489.040000000001</v>
      </c>
      <c r="AJ118" s="375">
        <f t="shared" si="271"/>
        <v>344381.87999999995</v>
      </c>
      <c r="AK118" s="329"/>
      <c r="AL118" s="373">
        <v>0</v>
      </c>
      <c r="AM118" s="373">
        <v>0</v>
      </c>
      <c r="AN118" s="373">
        <v>0</v>
      </c>
      <c r="AO118" s="373">
        <v>0</v>
      </c>
      <c r="AP118" s="373">
        <v>0</v>
      </c>
      <c r="AQ118" s="373">
        <v>0</v>
      </c>
      <c r="AR118" s="374">
        <v>0</v>
      </c>
      <c r="AS118" s="373">
        <v>0</v>
      </c>
      <c r="AT118" s="373">
        <v>0</v>
      </c>
      <c r="AU118" s="373">
        <v>0</v>
      </c>
      <c r="AV118" s="373">
        <v>0</v>
      </c>
      <c r="AW118" s="373">
        <v>407368.92951600003</v>
      </c>
      <c r="AX118" s="375">
        <v>407369</v>
      </c>
      <c r="AY118" s="776">
        <f t="shared" si="272"/>
        <v>29259.010000000126</v>
      </c>
      <c r="AZ118" s="775">
        <f t="shared" si="273"/>
        <v>6.7011298702527394E-2</v>
      </c>
      <c r="BA118" s="329"/>
      <c r="BB118" s="373">
        <v>38857.740000000005</v>
      </c>
      <c r="BC118" s="373">
        <v>38857.740000000005</v>
      </c>
      <c r="BD118" s="373">
        <v>38857.71</v>
      </c>
      <c r="BE118" s="373">
        <v>34375.279999999999</v>
      </c>
      <c r="BF118" s="373">
        <v>51136.130000000005</v>
      </c>
      <c r="BG118" s="373">
        <v>12453.79</v>
      </c>
      <c r="BH118" s="374">
        <v>36396.71</v>
      </c>
      <c r="BI118" s="373">
        <v>40106.070000000007</v>
      </c>
      <c r="BJ118" s="373">
        <v>36396.71</v>
      </c>
      <c r="BK118" s="373">
        <v>36396.71</v>
      </c>
      <c r="BL118" s="373">
        <v>36396.71</v>
      </c>
      <c r="BM118" s="373">
        <v>36396.71</v>
      </c>
      <c r="BN118" s="375">
        <v>436628.01000000013</v>
      </c>
      <c r="BO118" s="329"/>
      <c r="BP118" s="373">
        <v>40197.080000000016</v>
      </c>
      <c r="BQ118" s="373">
        <v>82794.06</v>
      </c>
      <c r="BR118" s="373">
        <v>40197.080000000016</v>
      </c>
      <c r="BS118" s="373">
        <v>34375.27583333334</v>
      </c>
      <c r="BT118" s="373">
        <v>40490.225833333338</v>
      </c>
      <c r="BU118" s="373">
        <v>34375.27583333334</v>
      </c>
      <c r="BV118" s="374">
        <v>34375.27583333334</v>
      </c>
      <c r="BW118" s="373">
        <v>34375.27583333334</v>
      </c>
      <c r="BX118" s="373">
        <v>34375.27583333334</v>
      </c>
      <c r="BY118" s="373">
        <v>34375.27583333334</v>
      </c>
      <c r="BZ118" s="373">
        <v>34375.27583333334</v>
      </c>
      <c r="CA118" s="373">
        <v>34375.27583333334</v>
      </c>
      <c r="CB118" s="402">
        <f t="shared" si="282"/>
        <v>478680.65249999997</v>
      </c>
      <c r="CC118" s="776">
        <f t="shared" si="274"/>
        <v>42052.642499999842</v>
      </c>
      <c r="CD118" s="775">
        <f t="shared" si="275"/>
        <v>8.7851143095865655E-2</v>
      </c>
      <c r="CE118" s="772"/>
      <c r="CF118" s="373">
        <v>34838</v>
      </c>
      <c r="CG118" s="373">
        <v>105512.29</v>
      </c>
      <c r="CH118" s="373">
        <v>37213</v>
      </c>
      <c r="CI118" s="373">
        <v>14346</v>
      </c>
      <c r="CJ118" s="373">
        <v>1961.1900000000023</v>
      </c>
      <c r="CK118" s="373">
        <v>42959.740000000005</v>
      </c>
      <c r="CL118" s="374">
        <v>39779.740000000005</v>
      </c>
      <c r="CM118" s="373">
        <v>53445.740000000005</v>
      </c>
      <c r="CN118" s="373">
        <v>40312.740000000005</v>
      </c>
      <c r="CO118" s="373">
        <v>40619.56</v>
      </c>
      <c r="CP118" s="373">
        <v>39167.740000000005</v>
      </c>
      <c r="CQ118" s="373">
        <v>38857.740000000005</v>
      </c>
      <c r="CR118" s="374">
        <v>0</v>
      </c>
      <c r="CS118" s="375">
        <f t="shared" si="276"/>
        <v>489013.47999999992</v>
      </c>
      <c r="CT118" s="378">
        <f t="shared" si="277"/>
        <v>52385.469999999797</v>
      </c>
      <c r="CU118" s="165">
        <f t="shared" si="278"/>
        <v>0.10712479745957065</v>
      </c>
      <c r="CV118" s="329"/>
      <c r="CW118" s="373">
        <v>32236</v>
      </c>
      <c r="CX118" s="373">
        <v>28246</v>
      </c>
      <c r="CY118" s="373">
        <v>41516</v>
      </c>
      <c r="CZ118" s="373">
        <v>52459.59</v>
      </c>
      <c r="DA118" s="373">
        <v>73613</v>
      </c>
      <c r="DB118" s="373">
        <v>35558</v>
      </c>
      <c r="DC118" s="374">
        <v>45303</v>
      </c>
      <c r="DD118" s="373">
        <v>119360.85</v>
      </c>
      <c r="DE118" s="373">
        <v>1714.3000000000029</v>
      </c>
      <c r="DF118" s="373">
        <v>45239</v>
      </c>
      <c r="DG118" s="373">
        <v>40589.85</v>
      </c>
      <c r="DH118" s="373">
        <v>83744.450000000012</v>
      </c>
      <c r="DI118" s="375">
        <f t="shared" si="279"/>
        <v>599580.03999999992</v>
      </c>
      <c r="DJ118" s="329"/>
      <c r="DK118" s="373">
        <v>1860</v>
      </c>
      <c r="DL118" s="373">
        <v>7571.630000000001</v>
      </c>
      <c r="DM118" s="373">
        <v>53663.5</v>
      </c>
      <c r="DN118" s="373">
        <v>40520</v>
      </c>
      <c r="DO118" s="373">
        <v>54543.28</v>
      </c>
      <c r="DP118" s="373">
        <v>36496.080000000002</v>
      </c>
      <c r="DQ118" s="374">
        <v>37791</v>
      </c>
      <c r="DR118" s="373">
        <v>32791</v>
      </c>
      <c r="DS118" s="373">
        <v>34396</v>
      </c>
      <c r="DT118" s="373">
        <v>33976.86</v>
      </c>
      <c r="DU118" s="373">
        <v>28246</v>
      </c>
      <c r="DV118" s="373">
        <v>62896.419999999991</v>
      </c>
      <c r="DW118" s="375">
        <f t="shared" si="280"/>
        <v>424751.76999999996</v>
      </c>
      <c r="DY118" s="373">
        <v>34708.589999999997</v>
      </c>
      <c r="DZ118" s="373">
        <v>4618</v>
      </c>
      <c r="EA118" s="373">
        <v>13653.94</v>
      </c>
      <c r="EB118" s="373">
        <v>6584.54</v>
      </c>
      <c r="EC118" s="373">
        <v>139584.5</v>
      </c>
      <c r="ED118" s="373">
        <v>0</v>
      </c>
      <c r="EE118" s="374">
        <v>2235</v>
      </c>
      <c r="EF118" s="373">
        <v>8038</v>
      </c>
      <c r="EG118" s="373">
        <v>7185</v>
      </c>
      <c r="EH118" s="373">
        <v>435</v>
      </c>
      <c r="EI118" s="373">
        <v>5765</v>
      </c>
      <c r="EJ118" s="373">
        <v>3787.75</v>
      </c>
      <c r="EK118" s="375">
        <f t="shared" si="281"/>
        <v>226595.32</v>
      </c>
      <c r="EL118" s="177"/>
      <c r="EM118" s="373">
        <v>3256.1</v>
      </c>
      <c r="EN118" s="373">
        <v>11472.22</v>
      </c>
      <c r="EO118" s="373">
        <v>110256.06</v>
      </c>
      <c r="EP118" s="373">
        <v>7391</v>
      </c>
      <c r="EQ118" s="373">
        <v>1153</v>
      </c>
      <c r="ER118" s="373">
        <v>2169</v>
      </c>
      <c r="ES118" s="374">
        <v>4953</v>
      </c>
      <c r="ET118" s="373">
        <v>3127</v>
      </c>
      <c r="EU118" s="373">
        <v>818</v>
      </c>
      <c r="EV118" s="373">
        <v>409</v>
      </c>
      <c r="EW118" s="373">
        <v>1636</v>
      </c>
      <c r="EX118" s="373">
        <v>1153</v>
      </c>
      <c r="EY118" s="375">
        <f t="shared" si="283"/>
        <v>147793.38</v>
      </c>
      <c r="EZ118" s="164">
        <v>0</v>
      </c>
      <c r="FA118" s="185">
        <v>0</v>
      </c>
    </row>
    <row r="119" spans="1:157" ht="18.75" customHeight="1">
      <c r="A119" s="185" t="s">
        <v>329</v>
      </c>
      <c r="B119" s="774"/>
      <c r="C119" s="176" t="s">
        <v>1049</v>
      </c>
      <c r="D119" s="176">
        <v>60113100</v>
      </c>
      <c r="E119" s="773"/>
      <c r="F119" s="320" t="s">
        <v>637</v>
      </c>
      <c r="G119" s="329"/>
      <c r="H119" s="373"/>
      <c r="I119" s="373"/>
      <c r="J119" s="373"/>
      <c r="K119" s="373"/>
      <c r="L119" s="373"/>
      <c r="M119" s="373"/>
      <c r="N119" s="374"/>
      <c r="O119" s="373"/>
      <c r="P119" s="373"/>
      <c r="Q119" s="373"/>
      <c r="R119" s="373"/>
      <c r="S119" s="403">
        <v>441672.94151657901</v>
      </c>
      <c r="T119" s="375">
        <f t="shared" si="268"/>
        <v>441672.94151657901</v>
      </c>
      <c r="U119" s="776">
        <f t="shared" si="269"/>
        <v>-283961.36151657905</v>
      </c>
      <c r="V119" s="775">
        <f t="shared" si="270"/>
        <v>-1.8005105364905933</v>
      </c>
      <c r="W119" s="329"/>
      <c r="X119" s="373">
        <v>12300.479999999996</v>
      </c>
      <c r="Y119" s="373">
        <v>12300.479999999996</v>
      </c>
      <c r="Z119" s="373">
        <v>12300.449999999997</v>
      </c>
      <c r="AA119" s="373">
        <v>1091.5999999999999</v>
      </c>
      <c r="AB119" s="373">
        <v>14727.239999999998</v>
      </c>
      <c r="AC119" s="373">
        <v>14063.110000000004</v>
      </c>
      <c r="AD119" s="374">
        <v>15154.71</v>
      </c>
      <c r="AE119" s="373">
        <v>15154.71</v>
      </c>
      <c r="AF119" s="373">
        <v>15154.71</v>
      </c>
      <c r="AG119" s="373">
        <v>15154.699999999997</v>
      </c>
      <c r="AH119" s="373">
        <v>15154.689999999995</v>
      </c>
      <c r="AI119" s="373">
        <v>15154.699999999997</v>
      </c>
      <c r="AJ119" s="375">
        <f t="shared" si="271"/>
        <v>157711.57999999996</v>
      </c>
      <c r="AK119" s="329"/>
      <c r="AL119" s="373">
        <v>0</v>
      </c>
      <c r="AM119" s="373">
        <v>0</v>
      </c>
      <c r="AN119" s="373">
        <v>0</v>
      </c>
      <c r="AO119" s="373">
        <v>0</v>
      </c>
      <c r="AP119" s="373">
        <v>0</v>
      </c>
      <c r="AQ119" s="373">
        <v>0</v>
      </c>
      <c r="AR119" s="374">
        <v>0</v>
      </c>
      <c r="AS119" s="373">
        <v>0</v>
      </c>
      <c r="AT119" s="373">
        <v>0</v>
      </c>
      <c r="AU119" s="373">
        <v>0</v>
      </c>
      <c r="AV119" s="373">
        <v>0</v>
      </c>
      <c r="AW119" s="373">
        <v>234906.42309073987</v>
      </c>
      <c r="AX119" s="375">
        <v>234906</v>
      </c>
      <c r="AY119" s="776">
        <f t="shared" si="272"/>
        <v>-114403.82</v>
      </c>
      <c r="AZ119" s="775">
        <f t="shared" si="273"/>
        <v>-0.94939211888116892</v>
      </c>
      <c r="BA119" s="329"/>
      <c r="BB119" s="373">
        <v>15066.360000000004</v>
      </c>
      <c r="BC119" s="373">
        <v>15066.360000000004</v>
      </c>
      <c r="BD119" s="373">
        <v>21850.149999999998</v>
      </c>
      <c r="BE119" s="373">
        <v>11563.250000000004</v>
      </c>
      <c r="BF119" s="373">
        <v>11479.46</v>
      </c>
      <c r="BG119" s="373">
        <v>-3072.4800000000014</v>
      </c>
      <c r="BH119" s="374">
        <v>12300.479999999996</v>
      </c>
      <c r="BI119" s="373">
        <v>12300.479999999996</v>
      </c>
      <c r="BJ119" s="373">
        <v>12300.479999999996</v>
      </c>
      <c r="BK119" s="373">
        <v>12300.479999999996</v>
      </c>
      <c r="BL119" s="373">
        <v>-12953.320000000005</v>
      </c>
      <c r="BM119" s="373">
        <v>12300.479999999996</v>
      </c>
      <c r="BN119" s="375">
        <v>120502.18</v>
      </c>
      <c r="BO119" s="329"/>
      <c r="BP119" s="373">
        <v>11563.250250506491</v>
      </c>
      <c r="BQ119" s="373">
        <v>28778.050250506501</v>
      </c>
      <c r="BR119" s="373">
        <v>11563.250250506491</v>
      </c>
      <c r="BS119" s="373">
        <v>11563.250250506491</v>
      </c>
      <c r="BT119" s="373">
        <v>11563.250250506491</v>
      </c>
      <c r="BU119" s="373">
        <v>11563.250250506491</v>
      </c>
      <c r="BV119" s="374">
        <v>11563.250250506491</v>
      </c>
      <c r="BW119" s="373">
        <v>11563.250250506491</v>
      </c>
      <c r="BX119" s="373">
        <v>11563.250250506491</v>
      </c>
      <c r="BY119" s="373">
        <v>11563.250250506491</v>
      </c>
      <c r="BZ119" s="373">
        <v>11563.250250506491</v>
      </c>
      <c r="CA119" s="373">
        <v>11563.250250506491</v>
      </c>
      <c r="CB119" s="402">
        <f t="shared" si="282"/>
        <v>155973.80300607794</v>
      </c>
      <c r="CC119" s="776">
        <f t="shared" si="274"/>
        <v>35471.623006077949</v>
      </c>
      <c r="CD119" s="775">
        <f t="shared" si="275"/>
        <v>0.22742038933740497</v>
      </c>
      <c r="CE119" s="772"/>
      <c r="CF119" s="373">
        <v>8777</v>
      </c>
      <c r="CG119" s="373">
        <v>14706.599999999999</v>
      </c>
      <c r="CH119" s="373">
        <v>9977</v>
      </c>
      <c r="CI119" s="373">
        <v>0</v>
      </c>
      <c r="CJ119" s="373">
        <v>2168</v>
      </c>
      <c r="CK119" s="373">
        <v>1209.06</v>
      </c>
      <c r="CL119" s="374">
        <v>4850.8900000000003</v>
      </c>
      <c r="CM119" s="373">
        <v>108747.97</v>
      </c>
      <c r="CN119" s="373">
        <v>15446.36</v>
      </c>
      <c r="CO119" s="373">
        <v>15066.36</v>
      </c>
      <c r="CP119" s="373">
        <v>14756.360000000004</v>
      </c>
      <c r="CQ119" s="373">
        <v>15066.360000000004</v>
      </c>
      <c r="CR119" s="374">
        <v>0</v>
      </c>
      <c r="CS119" s="375">
        <f t="shared" si="276"/>
        <v>210771.96000000002</v>
      </c>
      <c r="CT119" s="378">
        <f t="shared" si="277"/>
        <v>90269.780000000028</v>
      </c>
      <c r="CU119" s="165">
        <f t="shared" si="278"/>
        <v>0.42828173159276034</v>
      </c>
      <c r="CV119" s="329"/>
      <c r="CW119" s="373">
        <v>27811.63</v>
      </c>
      <c r="CX119" s="373">
        <v>31196.440000000002</v>
      </c>
      <c r="CY119" s="373">
        <v>34520.06</v>
      </c>
      <c r="CZ119" s="373">
        <v>25474.31</v>
      </c>
      <c r="DA119" s="373">
        <v>19631.599999999999</v>
      </c>
      <c r="DB119" s="373">
        <v>60504.619999999995</v>
      </c>
      <c r="DC119" s="374">
        <v>24980.6</v>
      </c>
      <c r="DD119" s="373">
        <v>26934.800000000003</v>
      </c>
      <c r="DE119" s="373">
        <v>21474.5</v>
      </c>
      <c r="DF119" s="373">
        <v>74008.7</v>
      </c>
      <c r="DG119" s="373">
        <v>38283.86</v>
      </c>
      <c r="DH119" s="373">
        <v>-227486.96000000002</v>
      </c>
      <c r="DI119" s="375">
        <f t="shared" si="279"/>
        <v>157334.15999999997</v>
      </c>
      <c r="DJ119" s="329"/>
      <c r="DK119" s="373">
        <v>19526.22</v>
      </c>
      <c r="DL119" s="373">
        <v>45525.5</v>
      </c>
      <c r="DM119" s="373">
        <v>69042.459999999992</v>
      </c>
      <c r="DN119" s="373">
        <v>33859.74</v>
      </c>
      <c r="DO119" s="373">
        <v>20522.5</v>
      </c>
      <c r="DP119" s="373">
        <v>25209.5</v>
      </c>
      <c r="DQ119" s="374">
        <v>20844.5</v>
      </c>
      <c r="DR119" s="373">
        <v>130002.51999999999</v>
      </c>
      <c r="DS119" s="373">
        <v>18956.5</v>
      </c>
      <c r="DT119" s="373">
        <v>55904.359999999993</v>
      </c>
      <c r="DU119" s="373">
        <v>23737.899999999998</v>
      </c>
      <c r="DV119" s="373">
        <v>19856.88</v>
      </c>
      <c r="DW119" s="375">
        <f t="shared" si="280"/>
        <v>482988.57999999996</v>
      </c>
      <c r="DY119" s="373">
        <v>71168.12</v>
      </c>
      <c r="DZ119" s="373">
        <v>146108.23000000001</v>
      </c>
      <c r="EA119" s="373">
        <v>7383.3</v>
      </c>
      <c r="EB119" s="373">
        <v>56788.649999999994</v>
      </c>
      <c r="EC119" s="373">
        <v>16373.75</v>
      </c>
      <c r="ED119" s="373">
        <v>88365.35</v>
      </c>
      <c r="EE119" s="374">
        <v>5353.5</v>
      </c>
      <c r="EF119" s="373">
        <v>40773.15</v>
      </c>
      <c r="EG119" s="373">
        <v>594.27</v>
      </c>
      <c r="EH119" s="373">
        <v>30281.14</v>
      </c>
      <c r="EI119" s="373">
        <v>1079.53</v>
      </c>
      <c r="EJ119" s="373">
        <v>17908.71</v>
      </c>
      <c r="EK119" s="375">
        <f t="shared" si="281"/>
        <v>482177.70000000013</v>
      </c>
      <c r="EL119" s="177"/>
      <c r="EM119" s="373">
        <v>31884.94</v>
      </c>
      <c r="EN119" s="373">
        <v>46044.77</v>
      </c>
      <c r="EO119" s="373">
        <v>5060.5800000000017</v>
      </c>
      <c r="EP119" s="373">
        <v>68153.94</v>
      </c>
      <c r="EQ119" s="373">
        <v>21089.05</v>
      </c>
      <c r="ER119" s="373">
        <v>3165.3899999999994</v>
      </c>
      <c r="ES119" s="374">
        <v>3317.2</v>
      </c>
      <c r="ET119" s="373">
        <v>887.43</v>
      </c>
      <c r="EU119" s="373">
        <v>10984.37</v>
      </c>
      <c r="EV119" s="373">
        <v>115711.59999999999</v>
      </c>
      <c r="EW119" s="373">
        <v>29922.43</v>
      </c>
      <c r="EX119" s="373">
        <v>41298.85</v>
      </c>
      <c r="EY119" s="375">
        <f t="shared" si="283"/>
        <v>377520.54999999993</v>
      </c>
      <c r="EZ119" s="164">
        <v>0</v>
      </c>
      <c r="FA119" s="185">
        <v>0</v>
      </c>
    </row>
    <row r="120" spans="1:157" ht="18.75" customHeight="1">
      <c r="A120" s="185" t="s">
        <v>318</v>
      </c>
      <c r="B120" s="774"/>
      <c r="C120" s="176" t="s">
        <v>1048</v>
      </c>
      <c r="D120" s="176">
        <v>60114000</v>
      </c>
      <c r="E120" s="773"/>
      <c r="F120" s="320" t="s">
        <v>638</v>
      </c>
      <c r="G120" s="329"/>
      <c r="H120" s="373"/>
      <c r="I120" s="373"/>
      <c r="J120" s="373"/>
      <c r="K120" s="373"/>
      <c r="L120" s="373"/>
      <c r="M120" s="373"/>
      <c r="N120" s="374"/>
      <c r="O120" s="373"/>
      <c r="P120" s="373"/>
      <c r="Q120" s="373"/>
      <c r="R120" s="373"/>
      <c r="S120" s="377">
        <v>370700</v>
      </c>
      <c r="T120" s="375">
        <f t="shared" si="268"/>
        <v>370700</v>
      </c>
      <c r="U120" s="776">
        <f t="shared" si="269"/>
        <v>-358237.7</v>
      </c>
      <c r="V120" s="775">
        <f t="shared" si="270"/>
        <v>-28.745713070620994</v>
      </c>
      <c r="W120" s="329"/>
      <c r="X120" s="373">
        <v>3334</v>
      </c>
      <c r="Y120" s="373">
        <v>0</v>
      </c>
      <c r="Z120" s="373">
        <v>1600</v>
      </c>
      <c r="AA120" s="373">
        <v>0</v>
      </c>
      <c r="AB120" s="373">
        <v>0</v>
      </c>
      <c r="AC120" s="373">
        <v>0</v>
      </c>
      <c r="AD120" s="374">
        <v>-467</v>
      </c>
      <c r="AE120" s="373">
        <v>4945.3</v>
      </c>
      <c r="AF120" s="373">
        <v>0</v>
      </c>
      <c r="AG120" s="373">
        <v>3050</v>
      </c>
      <c r="AH120" s="373">
        <v>0</v>
      </c>
      <c r="AI120" s="373">
        <v>0</v>
      </c>
      <c r="AJ120" s="375">
        <f t="shared" si="271"/>
        <v>12462.3</v>
      </c>
      <c r="AK120" s="329"/>
      <c r="AL120" s="373">
        <v>5025</v>
      </c>
      <c r="AM120" s="373">
        <v>25</v>
      </c>
      <c r="AN120" s="373">
        <v>25</v>
      </c>
      <c r="AO120" s="373">
        <v>25</v>
      </c>
      <c r="AP120" s="373">
        <v>25</v>
      </c>
      <c r="AQ120" s="373">
        <v>25</v>
      </c>
      <c r="AR120" s="374">
        <v>5025</v>
      </c>
      <c r="AS120" s="373">
        <v>25</v>
      </c>
      <c r="AT120" s="373">
        <v>25</v>
      </c>
      <c r="AU120" s="373">
        <v>25</v>
      </c>
      <c r="AV120" s="373">
        <v>25</v>
      </c>
      <c r="AW120" s="373">
        <v>4525</v>
      </c>
      <c r="AX120" s="375">
        <v>-117200</v>
      </c>
      <c r="AY120" s="776">
        <f t="shared" si="272"/>
        <v>95000</v>
      </c>
      <c r="AZ120" s="775">
        <f t="shared" si="273"/>
        <v>-4.2792792792792795</v>
      </c>
      <c r="BA120" s="329"/>
      <c r="BB120" s="373">
        <v>-3000</v>
      </c>
      <c r="BC120" s="373">
        <v>0</v>
      </c>
      <c r="BD120" s="373">
        <v>-6000</v>
      </c>
      <c r="BE120" s="373">
        <v>0</v>
      </c>
      <c r="BF120" s="373">
        <v>0</v>
      </c>
      <c r="BG120" s="373">
        <v>0</v>
      </c>
      <c r="BH120" s="374">
        <v>200</v>
      </c>
      <c r="BI120" s="373">
        <v>4600</v>
      </c>
      <c r="BJ120" s="373">
        <v>0</v>
      </c>
      <c r="BK120" s="373">
        <v>0</v>
      </c>
      <c r="BL120" s="373">
        <v>0</v>
      </c>
      <c r="BM120" s="373">
        <v>0</v>
      </c>
      <c r="BN120" s="375">
        <v>-22200</v>
      </c>
      <c r="BO120" s="329"/>
      <c r="BP120" s="373">
        <v>291.66666666666669</v>
      </c>
      <c r="BQ120" s="373">
        <v>291.66666666666669</v>
      </c>
      <c r="BR120" s="373">
        <v>15291.666666666668</v>
      </c>
      <c r="BS120" s="373">
        <v>291.66666666666669</v>
      </c>
      <c r="BT120" s="373">
        <v>291.66666666666669</v>
      </c>
      <c r="BU120" s="373">
        <v>16791.666666666668</v>
      </c>
      <c r="BV120" s="374">
        <v>291.66666666666788</v>
      </c>
      <c r="BW120" s="373">
        <v>291.66666666666669</v>
      </c>
      <c r="BX120" s="373">
        <v>15291.666666666672</v>
      </c>
      <c r="BY120" s="373">
        <v>291.66666666666697</v>
      </c>
      <c r="BZ120" s="373">
        <v>291.66666666666652</v>
      </c>
      <c r="CA120" s="373">
        <v>30791.666666666672</v>
      </c>
      <c r="CB120" s="402">
        <f t="shared" si="282"/>
        <v>80500</v>
      </c>
      <c r="CC120" s="776">
        <f t="shared" si="274"/>
        <v>102700</v>
      </c>
      <c r="CD120" s="775">
        <f t="shared" si="275"/>
        <v>1.2757763975155278</v>
      </c>
      <c r="CE120" s="772"/>
      <c r="CF120" s="373">
        <v>25380</v>
      </c>
      <c r="CG120" s="373">
        <v>15000</v>
      </c>
      <c r="CH120" s="373">
        <v>0</v>
      </c>
      <c r="CI120" s="373">
        <v>9480</v>
      </c>
      <c r="CJ120" s="373">
        <v>6690.5400000000009</v>
      </c>
      <c r="CK120" s="373">
        <v>24119.46</v>
      </c>
      <c r="CL120" s="374">
        <v>0</v>
      </c>
      <c r="CM120" s="373">
        <v>9000</v>
      </c>
      <c r="CN120" s="373">
        <v>-8120</v>
      </c>
      <c r="CO120" s="373">
        <v>2075</v>
      </c>
      <c r="CP120" s="373">
        <v>0</v>
      </c>
      <c r="CQ120" s="373">
        <v>0</v>
      </c>
      <c r="CR120" s="374">
        <v>0</v>
      </c>
      <c r="CS120" s="375">
        <f t="shared" si="276"/>
        <v>83625</v>
      </c>
      <c r="CT120" s="378">
        <f t="shared" si="277"/>
        <v>105825</v>
      </c>
      <c r="CU120" s="165">
        <f t="shared" si="278"/>
        <v>1.2654708520179372</v>
      </c>
      <c r="CV120" s="329"/>
      <c r="CW120" s="373">
        <v>81307.520000000004</v>
      </c>
      <c r="CX120" s="373">
        <v>29913.71</v>
      </c>
      <c r="CY120" s="373">
        <v>91733.26</v>
      </c>
      <c r="CZ120" s="373">
        <v>35612.49</v>
      </c>
      <c r="DA120" s="373">
        <v>26195.61</v>
      </c>
      <c r="DB120" s="373">
        <v>0</v>
      </c>
      <c r="DC120" s="374">
        <v>10276.049999999999</v>
      </c>
      <c r="DD120" s="373">
        <v>11090</v>
      </c>
      <c r="DE120" s="373">
        <v>44040</v>
      </c>
      <c r="DF120" s="373">
        <v>-11040</v>
      </c>
      <c r="DG120" s="373">
        <v>360</v>
      </c>
      <c r="DH120" s="373">
        <v>26162.199999999997</v>
      </c>
      <c r="DI120" s="375">
        <f t="shared" si="279"/>
        <v>345650.83999999997</v>
      </c>
      <c r="DJ120" s="329"/>
      <c r="DK120" s="373">
        <v>66326.210000000006</v>
      </c>
      <c r="DL120" s="373">
        <v>29829.119999999999</v>
      </c>
      <c r="DM120" s="373">
        <v>49583.35</v>
      </c>
      <c r="DN120" s="373">
        <v>30083.37</v>
      </c>
      <c r="DO120" s="373">
        <v>20961.84</v>
      </c>
      <c r="DP120" s="373">
        <v>13513.5</v>
      </c>
      <c r="DQ120" s="374">
        <v>13387.76</v>
      </c>
      <c r="DR120" s="373">
        <v>132569.12</v>
      </c>
      <c r="DS120" s="373">
        <v>17295.650000000001</v>
      </c>
      <c r="DT120" s="373">
        <v>-57087.5</v>
      </c>
      <c r="DU120" s="373">
        <v>29912.5</v>
      </c>
      <c r="DV120" s="373">
        <v>38522.76</v>
      </c>
      <c r="DW120" s="375">
        <f t="shared" si="280"/>
        <v>384897.68000000005</v>
      </c>
      <c r="DY120" s="373">
        <v>149983</v>
      </c>
      <c r="DZ120" s="373">
        <v>1500</v>
      </c>
      <c r="EA120" s="373">
        <v>40897.75</v>
      </c>
      <c r="EB120" s="373">
        <v>146988.48000000001</v>
      </c>
      <c r="EC120" s="373">
        <v>33454.300000000003</v>
      </c>
      <c r="ED120" s="373">
        <v>36476.36</v>
      </c>
      <c r="EE120" s="374">
        <v>40599.08</v>
      </c>
      <c r="EF120" s="373">
        <v>189642</v>
      </c>
      <c r="EG120" s="373">
        <v>20870</v>
      </c>
      <c r="EH120" s="373">
        <v>0</v>
      </c>
      <c r="EI120" s="373">
        <v>-8000</v>
      </c>
      <c r="EJ120" s="373">
        <v>60700</v>
      </c>
      <c r="EK120" s="375">
        <f t="shared" si="281"/>
        <v>713110.97</v>
      </c>
      <c r="EL120" s="177"/>
      <c r="EM120" s="373">
        <v>3529</v>
      </c>
      <c r="EN120" s="373">
        <v>4250</v>
      </c>
      <c r="EO120" s="373">
        <v>149302.97</v>
      </c>
      <c r="EP120" s="373">
        <v>84423.11</v>
      </c>
      <c r="EQ120" s="373">
        <v>38544.67</v>
      </c>
      <c r="ER120" s="373">
        <v>118176.6</v>
      </c>
      <c r="ES120" s="374">
        <v>21971.58</v>
      </c>
      <c r="ET120" s="373">
        <v>50390</v>
      </c>
      <c r="EU120" s="373">
        <v>33800</v>
      </c>
      <c r="EV120" s="373">
        <v>11560</v>
      </c>
      <c r="EW120" s="373">
        <v>26531.51</v>
      </c>
      <c r="EX120" s="373">
        <v>193526</v>
      </c>
      <c r="EY120" s="375">
        <f t="shared" si="283"/>
        <v>736005.44</v>
      </c>
      <c r="EZ120" s="164">
        <v>0</v>
      </c>
      <c r="FA120" s="185">
        <v>0</v>
      </c>
    </row>
    <row r="121" spans="1:157" ht="18.75" customHeight="1">
      <c r="A121" s="185" t="s">
        <v>319</v>
      </c>
      <c r="B121" s="774"/>
      <c r="C121" s="176" t="s">
        <v>1047</v>
      </c>
      <c r="D121" s="176">
        <v>60115000</v>
      </c>
      <c r="E121" s="773"/>
      <c r="F121" s="320" t="s">
        <v>639</v>
      </c>
      <c r="G121" s="329"/>
      <c r="H121" s="373"/>
      <c r="I121" s="373"/>
      <c r="J121" s="373"/>
      <c r="K121" s="373"/>
      <c r="L121" s="373"/>
      <c r="M121" s="373"/>
      <c r="N121" s="374"/>
      <c r="O121" s="373"/>
      <c r="P121" s="373"/>
      <c r="Q121" s="373"/>
      <c r="R121" s="373"/>
      <c r="S121" s="377">
        <v>50000</v>
      </c>
      <c r="T121" s="375">
        <f t="shared" si="268"/>
        <v>50000</v>
      </c>
      <c r="U121" s="776">
        <f t="shared" si="269"/>
        <v>-43779.7</v>
      </c>
      <c r="V121" s="775">
        <f t="shared" si="270"/>
        <v>-7.0381975145893279</v>
      </c>
      <c r="W121" s="329"/>
      <c r="X121" s="373">
        <v>2127.8000000000002</v>
      </c>
      <c r="Y121" s="373">
        <v>0</v>
      </c>
      <c r="Z121" s="373">
        <v>4092.5</v>
      </c>
      <c r="AA121" s="373">
        <v>0</v>
      </c>
      <c r="AB121" s="373">
        <v>0</v>
      </c>
      <c r="AC121" s="373">
        <v>0</v>
      </c>
      <c r="AD121" s="374">
        <v>0</v>
      </c>
      <c r="AE121" s="373">
        <v>0</v>
      </c>
      <c r="AF121" s="373">
        <v>0</v>
      </c>
      <c r="AG121" s="373">
        <v>0</v>
      </c>
      <c r="AH121" s="373">
        <v>0</v>
      </c>
      <c r="AI121" s="373">
        <v>0</v>
      </c>
      <c r="AJ121" s="375">
        <f t="shared" si="271"/>
        <v>6220.3</v>
      </c>
      <c r="AK121" s="329"/>
      <c r="AL121" s="373">
        <v>0</v>
      </c>
      <c r="AM121" s="373">
        <v>0</v>
      </c>
      <c r="AN121" s="373">
        <v>0</v>
      </c>
      <c r="AO121" s="373">
        <v>0</v>
      </c>
      <c r="AP121" s="373">
        <v>0</v>
      </c>
      <c r="AQ121" s="373">
        <v>0</v>
      </c>
      <c r="AR121" s="374">
        <v>0</v>
      </c>
      <c r="AS121" s="373">
        <v>0</v>
      </c>
      <c r="AT121" s="373">
        <v>0</v>
      </c>
      <c r="AU121" s="373">
        <v>0</v>
      </c>
      <c r="AV121" s="373">
        <v>0</v>
      </c>
      <c r="AW121" s="373">
        <v>4114</v>
      </c>
      <c r="AX121" s="375">
        <v>136114</v>
      </c>
      <c r="AY121" s="776">
        <f t="shared" si="272"/>
        <v>-132000</v>
      </c>
      <c r="AZ121" s="775">
        <f t="shared" si="273"/>
        <v>-32.085561497326204</v>
      </c>
      <c r="BA121" s="329"/>
      <c r="BB121" s="373">
        <v>0</v>
      </c>
      <c r="BC121" s="373">
        <v>0</v>
      </c>
      <c r="BD121" s="373">
        <v>0</v>
      </c>
      <c r="BE121" s="373">
        <v>0</v>
      </c>
      <c r="BF121" s="373">
        <v>0</v>
      </c>
      <c r="BG121" s="373">
        <v>0</v>
      </c>
      <c r="BH121" s="374">
        <v>0</v>
      </c>
      <c r="BI121" s="373">
        <v>0</v>
      </c>
      <c r="BJ121" s="373">
        <v>0</v>
      </c>
      <c r="BK121" s="373">
        <v>0</v>
      </c>
      <c r="BL121" s="373">
        <v>0</v>
      </c>
      <c r="BM121" s="373">
        <v>4114</v>
      </c>
      <c r="BN121" s="375">
        <v>4114</v>
      </c>
      <c r="BO121" s="329"/>
      <c r="BP121" s="373">
        <v>0</v>
      </c>
      <c r="BQ121" s="373">
        <v>0</v>
      </c>
      <c r="BR121" s="373">
        <v>0</v>
      </c>
      <c r="BS121" s="373">
        <v>0</v>
      </c>
      <c r="BT121" s="373">
        <v>0</v>
      </c>
      <c r="BU121" s="373">
        <v>0</v>
      </c>
      <c r="BV121" s="374">
        <v>0</v>
      </c>
      <c r="BW121" s="373">
        <v>0</v>
      </c>
      <c r="BX121" s="373">
        <v>0</v>
      </c>
      <c r="BY121" s="373">
        <v>0</v>
      </c>
      <c r="BZ121" s="373">
        <v>0</v>
      </c>
      <c r="CA121" s="373">
        <v>125000</v>
      </c>
      <c r="CB121" s="402">
        <f t="shared" si="282"/>
        <v>125000</v>
      </c>
      <c r="CC121" s="776">
        <f t="shared" si="274"/>
        <v>120886</v>
      </c>
      <c r="CD121" s="775">
        <f t="shared" si="275"/>
        <v>0.96708799999999995</v>
      </c>
      <c r="CE121" s="772"/>
      <c r="CF121" s="373">
        <v>0</v>
      </c>
      <c r="CG121" s="373">
        <v>50752.9</v>
      </c>
      <c r="CH121" s="373">
        <v>2421.5</v>
      </c>
      <c r="CI121" s="373">
        <v>0</v>
      </c>
      <c r="CJ121" s="373">
        <v>191846.9</v>
      </c>
      <c r="CK121" s="373">
        <v>0</v>
      </c>
      <c r="CL121" s="374">
        <v>105000</v>
      </c>
      <c r="CM121" s="373">
        <v>0</v>
      </c>
      <c r="CN121" s="373">
        <v>412</v>
      </c>
      <c r="CO121" s="373">
        <v>4440</v>
      </c>
      <c r="CP121" s="373">
        <v>0</v>
      </c>
      <c r="CQ121" s="373">
        <v>0</v>
      </c>
      <c r="CR121" s="374">
        <v>0</v>
      </c>
      <c r="CS121" s="375">
        <f t="shared" si="276"/>
        <v>354873.3</v>
      </c>
      <c r="CT121" s="378">
        <f t="shared" si="277"/>
        <v>350759.3</v>
      </c>
      <c r="CU121" s="165">
        <f t="shared" si="278"/>
        <v>0.98840713009403636</v>
      </c>
      <c r="CV121" s="329"/>
      <c r="CW121" s="373">
        <v>0</v>
      </c>
      <c r="CX121" s="373">
        <v>23101</v>
      </c>
      <c r="CY121" s="373">
        <v>29262.799999999999</v>
      </c>
      <c r="CZ121" s="373">
        <v>123080.72</v>
      </c>
      <c r="DA121" s="373">
        <v>52275</v>
      </c>
      <c r="DB121" s="373">
        <v>0</v>
      </c>
      <c r="DC121" s="374">
        <v>177237.63</v>
      </c>
      <c r="DD121" s="373">
        <v>264491.09999999998</v>
      </c>
      <c r="DE121" s="373">
        <v>0</v>
      </c>
      <c r="DF121" s="373">
        <v>121790</v>
      </c>
      <c r="DG121" s="373">
        <v>720</v>
      </c>
      <c r="DH121" s="373">
        <v>195746.31</v>
      </c>
      <c r="DI121" s="375">
        <f t="shared" si="279"/>
        <v>987704.56</v>
      </c>
      <c r="DJ121" s="329"/>
      <c r="DK121" s="373">
        <v>0</v>
      </c>
      <c r="DL121" s="373">
        <v>15286</v>
      </c>
      <c r="DM121" s="373">
        <v>42803</v>
      </c>
      <c r="DN121" s="373">
        <v>6474.49</v>
      </c>
      <c r="DO121" s="373">
        <v>39638</v>
      </c>
      <c r="DP121" s="373">
        <v>5339.8</v>
      </c>
      <c r="DQ121" s="374">
        <v>35236</v>
      </c>
      <c r="DR121" s="373">
        <v>16550</v>
      </c>
      <c r="DS121" s="373">
        <v>102850</v>
      </c>
      <c r="DT121" s="373">
        <v>48408</v>
      </c>
      <c r="DU121" s="373">
        <v>0</v>
      </c>
      <c r="DV121" s="373">
        <v>63712.34</v>
      </c>
      <c r="DW121" s="375">
        <f t="shared" si="280"/>
        <v>376297.63</v>
      </c>
      <c r="DY121" s="373">
        <v>0</v>
      </c>
      <c r="DZ121" s="373">
        <v>0</v>
      </c>
      <c r="EA121" s="373">
        <v>0</v>
      </c>
      <c r="EB121" s="373">
        <v>0</v>
      </c>
      <c r="EC121" s="373">
        <v>0</v>
      </c>
      <c r="ED121" s="373">
        <v>0</v>
      </c>
      <c r="EE121" s="374">
        <v>0</v>
      </c>
      <c r="EF121" s="373">
        <v>0</v>
      </c>
      <c r="EG121" s="373">
        <v>0</v>
      </c>
      <c r="EH121" s="373">
        <v>0</v>
      </c>
      <c r="EI121" s="373">
        <v>0</v>
      </c>
      <c r="EJ121" s="373">
        <v>0</v>
      </c>
      <c r="EK121" s="375">
        <f t="shared" si="281"/>
        <v>0</v>
      </c>
      <c r="EL121" s="177"/>
      <c r="EM121" s="373">
        <v>0</v>
      </c>
      <c r="EN121" s="373">
        <v>0</v>
      </c>
      <c r="EO121" s="373">
        <v>0</v>
      </c>
      <c r="EP121" s="373">
        <v>0</v>
      </c>
      <c r="EQ121" s="373">
        <v>0</v>
      </c>
      <c r="ER121" s="373">
        <v>0</v>
      </c>
      <c r="ES121" s="374">
        <v>0</v>
      </c>
      <c r="ET121" s="373">
        <v>0</v>
      </c>
      <c r="EU121" s="373">
        <v>0</v>
      </c>
      <c r="EV121" s="373">
        <v>0</v>
      </c>
      <c r="EW121" s="373">
        <v>0</v>
      </c>
      <c r="EX121" s="373">
        <v>0</v>
      </c>
      <c r="EY121" s="375">
        <f t="shared" si="283"/>
        <v>0</v>
      </c>
      <c r="EZ121" s="164">
        <v>0</v>
      </c>
      <c r="FA121" s="185">
        <v>0</v>
      </c>
    </row>
    <row r="122" spans="1:157" ht="18.75" customHeight="1">
      <c r="A122" s="185" t="s">
        <v>323</v>
      </c>
      <c r="B122" s="774"/>
      <c r="C122" s="176" t="s">
        <v>1046</v>
      </c>
      <c r="D122" s="176">
        <v>60116000</v>
      </c>
      <c r="E122" s="773"/>
      <c r="F122" s="320" t="s">
        <v>640</v>
      </c>
      <c r="G122" s="329"/>
      <c r="H122" s="373"/>
      <c r="I122" s="373"/>
      <c r="J122" s="373"/>
      <c r="K122" s="373"/>
      <c r="L122" s="373"/>
      <c r="M122" s="373"/>
      <c r="N122" s="374"/>
      <c r="O122" s="373"/>
      <c r="P122" s="373"/>
      <c r="Q122" s="373"/>
      <c r="R122" s="373"/>
      <c r="S122" s="377">
        <v>1648788</v>
      </c>
      <c r="T122" s="375">
        <f t="shared" si="268"/>
        <v>1648788</v>
      </c>
      <c r="U122" s="776">
        <f t="shared" si="269"/>
        <v>555</v>
      </c>
      <c r="V122" s="775">
        <f t="shared" si="270"/>
        <v>3.3649762359921496E-4</v>
      </c>
      <c r="W122" s="329"/>
      <c r="X122" s="373">
        <v>122626.71</v>
      </c>
      <c r="Y122" s="373">
        <v>137475.71</v>
      </c>
      <c r="Z122" s="373">
        <v>156928.71</v>
      </c>
      <c r="AA122" s="373">
        <v>130713.71</v>
      </c>
      <c r="AB122" s="373">
        <v>108398.71</v>
      </c>
      <c r="AC122" s="373">
        <v>180817.71</v>
      </c>
      <c r="AD122" s="374">
        <v>122466.38</v>
      </c>
      <c r="AE122" s="373">
        <v>135881.32</v>
      </c>
      <c r="AF122" s="373">
        <v>124925.55</v>
      </c>
      <c r="AG122" s="373">
        <v>145066.06</v>
      </c>
      <c r="AH122" s="373">
        <v>124528.72</v>
      </c>
      <c r="AI122" s="373">
        <v>159513.71</v>
      </c>
      <c r="AJ122" s="375">
        <f t="shared" si="271"/>
        <v>1649343</v>
      </c>
      <c r="AK122" s="329"/>
      <c r="AL122" s="373">
        <v>145879</v>
      </c>
      <c r="AM122" s="373">
        <v>134314</v>
      </c>
      <c r="AN122" s="373">
        <v>146355</v>
      </c>
      <c r="AO122" s="373">
        <v>145279</v>
      </c>
      <c r="AP122" s="373">
        <v>134314</v>
      </c>
      <c r="AQ122" s="373">
        <v>135114</v>
      </c>
      <c r="AR122" s="374">
        <v>145779</v>
      </c>
      <c r="AS122" s="373">
        <v>134504</v>
      </c>
      <c r="AT122" s="373">
        <v>150115</v>
      </c>
      <c r="AU122" s="373">
        <v>146579</v>
      </c>
      <c r="AV122" s="373">
        <v>134314</v>
      </c>
      <c r="AW122" s="373">
        <v>134314</v>
      </c>
      <c r="AX122" s="375">
        <v>1686860</v>
      </c>
      <c r="AY122" s="776">
        <f t="shared" si="272"/>
        <v>-8787.4799999999814</v>
      </c>
      <c r="AZ122" s="775">
        <f t="shared" si="273"/>
        <v>-5.2366509166123414E-3</v>
      </c>
      <c r="BA122" s="329"/>
      <c r="BB122" s="373">
        <v>117632.9</v>
      </c>
      <c r="BC122" s="373">
        <v>131608.9</v>
      </c>
      <c r="BD122" s="373">
        <v>135014.9</v>
      </c>
      <c r="BE122" s="373">
        <v>152582.9</v>
      </c>
      <c r="BF122" s="373">
        <v>183438.9</v>
      </c>
      <c r="BG122" s="373">
        <v>144198.9</v>
      </c>
      <c r="BH122" s="374">
        <v>141927.9</v>
      </c>
      <c r="BI122" s="373">
        <v>136512.88</v>
      </c>
      <c r="BJ122" s="373">
        <v>124238.5</v>
      </c>
      <c r="BK122" s="373">
        <v>129106</v>
      </c>
      <c r="BL122" s="373">
        <v>154057.13</v>
      </c>
      <c r="BM122" s="373">
        <v>127752.71</v>
      </c>
      <c r="BN122" s="375">
        <v>1678072.52</v>
      </c>
      <c r="BO122" s="329"/>
      <c r="BP122" s="373">
        <v>142894</v>
      </c>
      <c r="BQ122" s="373">
        <v>122429</v>
      </c>
      <c r="BR122" s="373">
        <v>134147</v>
      </c>
      <c r="BS122" s="373">
        <v>134894</v>
      </c>
      <c r="BT122" s="373">
        <v>122429</v>
      </c>
      <c r="BU122" s="373">
        <v>123029</v>
      </c>
      <c r="BV122" s="374">
        <v>135134</v>
      </c>
      <c r="BW122" s="373">
        <v>122809</v>
      </c>
      <c r="BX122" s="373">
        <v>140487</v>
      </c>
      <c r="BY122" s="373">
        <v>138194</v>
      </c>
      <c r="BZ122" s="373">
        <v>122429</v>
      </c>
      <c r="CA122" s="373">
        <v>122429</v>
      </c>
      <c r="CB122" s="402">
        <f t="shared" si="282"/>
        <v>1561304</v>
      </c>
      <c r="CC122" s="776">
        <f t="shared" si="274"/>
        <v>-116768.52000000002</v>
      </c>
      <c r="CD122" s="775">
        <f t="shared" si="275"/>
        <v>-7.4789099368220424E-2</v>
      </c>
      <c r="CE122" s="772"/>
      <c r="CF122" s="373">
        <v>121425</v>
      </c>
      <c r="CG122" s="373">
        <v>135420</v>
      </c>
      <c r="CH122" s="373">
        <v>121861</v>
      </c>
      <c r="CI122" s="373">
        <v>124363</v>
      </c>
      <c r="CJ122" s="373">
        <v>129882</v>
      </c>
      <c r="CK122" s="373">
        <v>125037</v>
      </c>
      <c r="CL122" s="374">
        <v>124176</v>
      </c>
      <c r="CM122" s="373">
        <v>135735</v>
      </c>
      <c r="CN122" s="373">
        <v>123343.5</v>
      </c>
      <c r="CO122" s="373">
        <v>128943.8</v>
      </c>
      <c r="CP122" s="373">
        <v>122295.9</v>
      </c>
      <c r="CQ122" s="373">
        <v>129657.9</v>
      </c>
      <c r="CR122" s="374">
        <v>0</v>
      </c>
      <c r="CS122" s="375">
        <f t="shared" si="276"/>
        <v>1522140.0999999999</v>
      </c>
      <c r="CT122" s="378">
        <f t="shared" si="277"/>
        <v>-155932.42000000016</v>
      </c>
      <c r="CU122" s="165">
        <f t="shared" si="278"/>
        <v>-0.10244288288574763</v>
      </c>
      <c r="CV122" s="329"/>
      <c r="CW122" s="373">
        <v>124353</v>
      </c>
      <c r="CX122" s="373">
        <v>130708</v>
      </c>
      <c r="CY122" s="373">
        <v>117263</v>
      </c>
      <c r="CZ122" s="373">
        <v>122788</v>
      </c>
      <c r="DA122" s="373">
        <v>130440</v>
      </c>
      <c r="DB122" s="373">
        <v>154514.79999999999</v>
      </c>
      <c r="DC122" s="374">
        <v>120094</v>
      </c>
      <c r="DD122" s="373">
        <v>165211</v>
      </c>
      <c r="DE122" s="373">
        <v>137512</v>
      </c>
      <c r="DF122" s="373">
        <v>124870</v>
      </c>
      <c r="DG122" s="373">
        <v>126201.23</v>
      </c>
      <c r="DH122" s="373">
        <v>122445</v>
      </c>
      <c r="DI122" s="375">
        <f t="shared" si="279"/>
        <v>1576400.03</v>
      </c>
      <c r="DJ122" s="329"/>
      <c r="DK122" s="373">
        <v>124964</v>
      </c>
      <c r="DL122" s="373">
        <v>127748</v>
      </c>
      <c r="DM122" s="373">
        <v>113354</v>
      </c>
      <c r="DN122" s="373">
        <v>123098.75</v>
      </c>
      <c r="DO122" s="373">
        <v>118604</v>
      </c>
      <c r="DP122" s="373">
        <v>119496</v>
      </c>
      <c r="DQ122" s="374">
        <v>120587</v>
      </c>
      <c r="DR122" s="373">
        <v>130148</v>
      </c>
      <c r="DS122" s="373">
        <v>116632</v>
      </c>
      <c r="DT122" s="373">
        <v>128295</v>
      </c>
      <c r="DU122" s="373">
        <v>118730</v>
      </c>
      <c r="DV122" s="373">
        <v>122484</v>
      </c>
      <c r="DW122" s="375">
        <f t="shared" si="280"/>
        <v>1464140.75</v>
      </c>
      <c r="DY122" s="373">
        <v>125971.6</v>
      </c>
      <c r="DZ122" s="373">
        <v>135333</v>
      </c>
      <c r="EA122" s="373">
        <v>109018</v>
      </c>
      <c r="EB122" s="373">
        <v>126161</v>
      </c>
      <c r="EC122" s="373">
        <v>116632</v>
      </c>
      <c r="ED122" s="373">
        <v>112354</v>
      </c>
      <c r="EE122" s="374">
        <v>222763.95</v>
      </c>
      <c r="EF122" s="373">
        <v>150345</v>
      </c>
      <c r="EG122" s="373">
        <v>122714.49</v>
      </c>
      <c r="EH122" s="373">
        <v>155173.91</v>
      </c>
      <c r="EI122" s="373">
        <v>142044.5</v>
      </c>
      <c r="EJ122" s="373">
        <v>118425</v>
      </c>
      <c r="EK122" s="375">
        <f t="shared" si="281"/>
        <v>1636936.45</v>
      </c>
      <c r="EL122" s="177"/>
      <c r="EM122" s="373">
        <v>120569.8</v>
      </c>
      <c r="EN122" s="373">
        <v>123237.69</v>
      </c>
      <c r="EO122" s="373">
        <v>108903.32</v>
      </c>
      <c r="EP122" s="373">
        <v>124495.8</v>
      </c>
      <c r="EQ122" s="373">
        <v>109552</v>
      </c>
      <c r="ER122" s="373">
        <v>111191.25</v>
      </c>
      <c r="ES122" s="374">
        <v>123910.04</v>
      </c>
      <c r="ET122" s="373">
        <v>122116.96</v>
      </c>
      <c r="EU122" s="373">
        <v>109172.51</v>
      </c>
      <c r="EV122" s="373">
        <v>130918.51</v>
      </c>
      <c r="EW122" s="373">
        <v>110151.81</v>
      </c>
      <c r="EX122" s="373">
        <v>112496.38</v>
      </c>
      <c r="EY122" s="375">
        <f t="shared" si="283"/>
        <v>1406716.0699999998</v>
      </c>
      <c r="EZ122" s="164">
        <v>0</v>
      </c>
      <c r="FA122" s="185">
        <v>0</v>
      </c>
    </row>
    <row r="123" spans="1:157" ht="18.75" customHeight="1">
      <c r="A123" s="185" t="s">
        <v>322</v>
      </c>
      <c r="B123" s="774"/>
      <c r="C123" s="176" t="s">
        <v>1045</v>
      </c>
      <c r="D123" s="176">
        <v>60117000</v>
      </c>
      <c r="E123" s="773"/>
      <c r="F123" s="320" t="s">
        <v>350</v>
      </c>
      <c r="G123" s="329"/>
      <c r="H123" s="373"/>
      <c r="I123" s="373"/>
      <c r="J123" s="373"/>
      <c r="K123" s="373"/>
      <c r="L123" s="373"/>
      <c r="M123" s="373"/>
      <c r="N123" s="374"/>
      <c r="O123" s="373"/>
      <c r="P123" s="373"/>
      <c r="Q123" s="373"/>
      <c r="R123" s="373"/>
      <c r="S123" s="403">
        <v>5376096</v>
      </c>
      <c r="T123" s="375">
        <f t="shared" si="268"/>
        <v>5376096</v>
      </c>
      <c r="U123" s="776">
        <f t="shared" si="269"/>
        <v>0</v>
      </c>
      <c r="V123" s="775">
        <f t="shared" si="270"/>
        <v>0</v>
      </c>
      <c r="W123" s="329"/>
      <c r="X123" s="373">
        <v>448008</v>
      </c>
      <c r="Y123" s="373">
        <v>448008</v>
      </c>
      <c r="Z123" s="373">
        <v>448008</v>
      </c>
      <c r="AA123" s="373">
        <v>448008</v>
      </c>
      <c r="AB123" s="373">
        <v>448008</v>
      </c>
      <c r="AC123" s="373">
        <v>448008</v>
      </c>
      <c r="AD123" s="374">
        <v>448008</v>
      </c>
      <c r="AE123" s="373">
        <v>448008</v>
      </c>
      <c r="AF123" s="373">
        <v>448008</v>
      </c>
      <c r="AG123" s="373">
        <v>448008</v>
      </c>
      <c r="AH123" s="373">
        <v>448008</v>
      </c>
      <c r="AI123" s="373">
        <v>448008</v>
      </c>
      <c r="AJ123" s="375">
        <f t="shared" si="271"/>
        <v>5376096</v>
      </c>
      <c r="AK123" s="329"/>
      <c r="AL123" s="373">
        <v>0</v>
      </c>
      <c r="AM123" s="373">
        <v>0</v>
      </c>
      <c r="AN123" s="373">
        <v>0</v>
      </c>
      <c r="AO123" s="373">
        <v>0</v>
      </c>
      <c r="AP123" s="373">
        <v>0</v>
      </c>
      <c r="AQ123" s="373">
        <v>0</v>
      </c>
      <c r="AR123" s="374">
        <v>0</v>
      </c>
      <c r="AS123" s="373">
        <v>0</v>
      </c>
      <c r="AT123" s="373">
        <v>0</v>
      </c>
      <c r="AU123" s="373">
        <v>0</v>
      </c>
      <c r="AV123" s="373">
        <v>0</v>
      </c>
      <c r="AW123" s="373">
        <v>5376096</v>
      </c>
      <c r="AX123" s="375">
        <v>5376096</v>
      </c>
      <c r="AY123" s="776">
        <f t="shared" si="272"/>
        <v>0</v>
      </c>
      <c r="AZ123" s="775">
        <f t="shared" si="273"/>
        <v>0</v>
      </c>
      <c r="BA123" s="329"/>
      <c r="BB123" s="373">
        <v>448008</v>
      </c>
      <c r="BC123" s="373">
        <v>448008</v>
      </c>
      <c r="BD123" s="373">
        <v>448008</v>
      </c>
      <c r="BE123" s="373">
        <v>448008</v>
      </c>
      <c r="BF123" s="373">
        <v>448008</v>
      </c>
      <c r="BG123" s="373">
        <v>448008</v>
      </c>
      <c r="BH123" s="374">
        <v>448008</v>
      </c>
      <c r="BI123" s="373">
        <v>448008</v>
      </c>
      <c r="BJ123" s="373">
        <v>448008</v>
      </c>
      <c r="BK123" s="373">
        <v>448008</v>
      </c>
      <c r="BL123" s="373">
        <v>448008</v>
      </c>
      <c r="BM123" s="373">
        <v>448008</v>
      </c>
      <c r="BN123" s="375">
        <v>5376096</v>
      </c>
      <c r="BO123" s="329"/>
      <c r="BP123" s="373">
        <v>448008</v>
      </c>
      <c r="BQ123" s="373">
        <v>448008</v>
      </c>
      <c r="BR123" s="373">
        <v>448008</v>
      </c>
      <c r="BS123" s="373">
        <v>448008</v>
      </c>
      <c r="BT123" s="373">
        <v>448008</v>
      </c>
      <c r="BU123" s="373">
        <v>448008</v>
      </c>
      <c r="BV123" s="374">
        <v>448008</v>
      </c>
      <c r="BW123" s="373">
        <v>448008</v>
      </c>
      <c r="BX123" s="373">
        <v>448008</v>
      </c>
      <c r="BY123" s="373">
        <v>448008</v>
      </c>
      <c r="BZ123" s="373">
        <v>448008</v>
      </c>
      <c r="CA123" s="373">
        <v>448008</v>
      </c>
      <c r="CB123" s="402">
        <f t="shared" si="282"/>
        <v>5376096</v>
      </c>
      <c r="CC123" s="776">
        <f t="shared" si="274"/>
        <v>0</v>
      </c>
      <c r="CD123" s="775">
        <f t="shared" si="275"/>
        <v>0</v>
      </c>
      <c r="CE123" s="772"/>
      <c r="CF123" s="373">
        <v>448008</v>
      </c>
      <c r="CG123" s="373">
        <v>448008</v>
      </c>
      <c r="CH123" s="373">
        <v>448008</v>
      </c>
      <c r="CI123" s="373">
        <v>448008</v>
      </c>
      <c r="CJ123" s="373">
        <v>448008</v>
      </c>
      <c r="CK123" s="373">
        <v>448008</v>
      </c>
      <c r="CL123" s="374">
        <v>448008</v>
      </c>
      <c r="CM123" s="373">
        <v>448008</v>
      </c>
      <c r="CN123" s="373">
        <v>448008</v>
      </c>
      <c r="CO123" s="373">
        <v>448008</v>
      </c>
      <c r="CP123" s="373">
        <v>448008</v>
      </c>
      <c r="CQ123" s="373">
        <v>448008</v>
      </c>
      <c r="CR123" s="374">
        <v>0</v>
      </c>
      <c r="CS123" s="375">
        <f t="shared" si="276"/>
        <v>5376096</v>
      </c>
      <c r="CT123" s="378">
        <f t="shared" si="277"/>
        <v>0</v>
      </c>
      <c r="CU123" s="165">
        <f t="shared" si="278"/>
        <v>0</v>
      </c>
      <c r="CV123" s="329"/>
      <c r="CW123" s="373">
        <v>418008</v>
      </c>
      <c r="CX123" s="373">
        <v>418008</v>
      </c>
      <c r="CY123" s="373">
        <v>418008</v>
      </c>
      <c r="CZ123" s="373">
        <v>441008</v>
      </c>
      <c r="DA123" s="373">
        <v>480508</v>
      </c>
      <c r="DB123" s="373">
        <v>448008</v>
      </c>
      <c r="DC123" s="374">
        <v>448008</v>
      </c>
      <c r="DD123" s="373">
        <v>448008</v>
      </c>
      <c r="DE123" s="373">
        <v>448008</v>
      </c>
      <c r="DF123" s="373">
        <v>448008</v>
      </c>
      <c r="DG123" s="373">
        <v>448008</v>
      </c>
      <c r="DH123" s="373">
        <v>448008</v>
      </c>
      <c r="DI123" s="375">
        <f t="shared" si="279"/>
        <v>5311596</v>
      </c>
      <c r="DJ123" s="329"/>
      <c r="DK123" s="373">
        <v>418008</v>
      </c>
      <c r="DL123" s="373">
        <v>418008</v>
      </c>
      <c r="DM123" s="373">
        <v>418008</v>
      </c>
      <c r="DN123" s="373">
        <v>418008</v>
      </c>
      <c r="DO123" s="373">
        <v>418008</v>
      </c>
      <c r="DP123" s="373">
        <v>418008</v>
      </c>
      <c r="DQ123" s="374">
        <v>418008</v>
      </c>
      <c r="DR123" s="373">
        <v>418008</v>
      </c>
      <c r="DS123" s="373">
        <v>418008</v>
      </c>
      <c r="DT123" s="373">
        <v>418008</v>
      </c>
      <c r="DU123" s="373">
        <v>418008</v>
      </c>
      <c r="DV123" s="373">
        <v>660558</v>
      </c>
      <c r="DW123" s="375">
        <f t="shared" si="280"/>
        <v>5258646</v>
      </c>
      <c r="DY123" s="373">
        <v>418008</v>
      </c>
      <c r="DZ123" s="373">
        <v>418008</v>
      </c>
      <c r="EA123" s="373">
        <v>418008</v>
      </c>
      <c r="EB123" s="373">
        <v>418008</v>
      </c>
      <c r="EC123" s="373">
        <v>418008</v>
      </c>
      <c r="ED123" s="373">
        <v>418008</v>
      </c>
      <c r="EE123" s="374">
        <v>418008</v>
      </c>
      <c r="EF123" s="373">
        <v>418008</v>
      </c>
      <c r="EG123" s="373">
        <v>418008</v>
      </c>
      <c r="EH123" s="373">
        <v>660558</v>
      </c>
      <c r="EI123" s="373">
        <v>418008</v>
      </c>
      <c r="EJ123" s="373">
        <v>418008</v>
      </c>
      <c r="EK123" s="375">
        <f t="shared" si="281"/>
        <v>5258646</v>
      </c>
      <c r="EL123" s="177"/>
      <c r="EM123" s="373">
        <v>497127.66</v>
      </c>
      <c r="EN123" s="373">
        <v>338888.34</v>
      </c>
      <c r="EO123" s="373">
        <v>418008</v>
      </c>
      <c r="EP123" s="373">
        <v>424778</v>
      </c>
      <c r="EQ123" s="373">
        <v>411238</v>
      </c>
      <c r="ER123" s="373">
        <v>418008</v>
      </c>
      <c r="ES123" s="374">
        <v>418008</v>
      </c>
      <c r="ET123" s="373">
        <v>427451.35</v>
      </c>
      <c r="EU123" s="373">
        <v>408564.65</v>
      </c>
      <c r="EV123" s="373">
        <v>660558</v>
      </c>
      <c r="EW123" s="373">
        <v>418008</v>
      </c>
      <c r="EX123" s="373">
        <v>418008</v>
      </c>
      <c r="EY123" s="375">
        <f t="shared" si="283"/>
        <v>5258646</v>
      </c>
      <c r="EZ123" s="164">
        <v>0</v>
      </c>
      <c r="FA123" s="185">
        <v>0</v>
      </c>
    </row>
    <row r="124" spans="1:157" ht="18.75" customHeight="1" collapsed="1">
      <c r="A124" s="185" t="s">
        <v>605</v>
      </c>
      <c r="B124" s="774"/>
      <c r="C124" s="176" t="s">
        <v>1044</v>
      </c>
      <c r="D124" s="176">
        <v>60201000</v>
      </c>
      <c r="E124" s="773"/>
      <c r="F124" s="320" t="s">
        <v>641</v>
      </c>
      <c r="G124" s="329"/>
      <c r="H124" s="373"/>
      <c r="I124" s="373"/>
      <c r="J124" s="373"/>
      <c r="K124" s="373"/>
      <c r="L124" s="373"/>
      <c r="M124" s="373"/>
      <c r="N124" s="374"/>
      <c r="O124" s="373"/>
      <c r="P124" s="373"/>
      <c r="Q124" s="373"/>
      <c r="R124" s="373"/>
      <c r="S124" s="377">
        <v>797940</v>
      </c>
      <c r="T124" s="375">
        <f t="shared" si="268"/>
        <v>797940</v>
      </c>
      <c r="U124" s="776">
        <f t="shared" si="269"/>
        <v>-144348</v>
      </c>
      <c r="V124" s="775">
        <f t="shared" si="270"/>
        <v>-0.22085337641831601</v>
      </c>
      <c r="W124" s="329"/>
      <c r="X124" s="373">
        <v>54466</v>
      </c>
      <c r="Y124" s="373">
        <v>54466</v>
      </c>
      <c r="Z124" s="373">
        <v>54466</v>
      </c>
      <c r="AA124" s="373">
        <v>54466</v>
      </c>
      <c r="AB124" s="373">
        <v>54466</v>
      </c>
      <c r="AC124" s="373">
        <v>54466</v>
      </c>
      <c r="AD124" s="374">
        <v>54466</v>
      </c>
      <c r="AE124" s="373">
        <v>54466</v>
      </c>
      <c r="AF124" s="373">
        <v>54466</v>
      </c>
      <c r="AG124" s="373">
        <v>54466</v>
      </c>
      <c r="AH124" s="373">
        <v>54466</v>
      </c>
      <c r="AI124" s="373">
        <v>54466</v>
      </c>
      <c r="AJ124" s="375">
        <f t="shared" si="271"/>
        <v>653592</v>
      </c>
      <c r="AK124" s="329"/>
      <c r="AL124" s="373">
        <v>55394</v>
      </c>
      <c r="AM124" s="373">
        <v>55394</v>
      </c>
      <c r="AN124" s="373">
        <v>55394</v>
      </c>
      <c r="AO124" s="373">
        <v>55394</v>
      </c>
      <c r="AP124" s="373">
        <v>55394</v>
      </c>
      <c r="AQ124" s="373">
        <v>55394</v>
      </c>
      <c r="AR124" s="374">
        <v>55394</v>
      </c>
      <c r="AS124" s="373">
        <v>55394</v>
      </c>
      <c r="AT124" s="373">
        <v>55394</v>
      </c>
      <c r="AU124" s="373">
        <v>55394</v>
      </c>
      <c r="AV124" s="373">
        <v>55394</v>
      </c>
      <c r="AW124" s="373">
        <v>55394</v>
      </c>
      <c r="AX124" s="375">
        <v>664728</v>
      </c>
      <c r="AY124" s="776">
        <f t="shared" si="272"/>
        <v>31.599999999976717</v>
      </c>
      <c r="AZ124" s="775">
        <f t="shared" si="273"/>
        <v>4.7535981428439268E-5</v>
      </c>
      <c r="BA124" s="329"/>
      <c r="BB124" s="373">
        <v>62366</v>
      </c>
      <c r="BC124" s="373">
        <v>59052.94</v>
      </c>
      <c r="BD124" s="373">
        <v>54466</v>
      </c>
      <c r="BE124" s="373">
        <v>54466</v>
      </c>
      <c r="BF124" s="373">
        <v>54466</v>
      </c>
      <c r="BG124" s="373">
        <v>54466</v>
      </c>
      <c r="BH124" s="374">
        <v>54466</v>
      </c>
      <c r="BI124" s="373">
        <v>54466</v>
      </c>
      <c r="BJ124" s="373">
        <v>54466</v>
      </c>
      <c r="BK124" s="373">
        <v>54466</v>
      </c>
      <c r="BL124" s="373">
        <v>54466</v>
      </c>
      <c r="BM124" s="373">
        <v>54466</v>
      </c>
      <c r="BN124" s="375">
        <v>664759.6</v>
      </c>
      <c r="BO124" s="329"/>
      <c r="BP124" s="373">
        <v>59633</v>
      </c>
      <c r="BQ124" s="373">
        <v>59633</v>
      </c>
      <c r="BR124" s="373">
        <v>23733</v>
      </c>
      <c r="BS124" s="373">
        <v>23733</v>
      </c>
      <c r="BT124" s="373">
        <v>23733</v>
      </c>
      <c r="BU124" s="373">
        <v>23733</v>
      </c>
      <c r="BV124" s="374">
        <v>23733</v>
      </c>
      <c r="BW124" s="373">
        <v>23733</v>
      </c>
      <c r="BX124" s="373">
        <v>23733</v>
      </c>
      <c r="BY124" s="373">
        <v>23733</v>
      </c>
      <c r="BZ124" s="373">
        <v>23733</v>
      </c>
      <c r="CA124" s="373">
        <v>23737</v>
      </c>
      <c r="CB124" s="402">
        <f t="shared" si="282"/>
        <v>356600</v>
      </c>
      <c r="CC124" s="776">
        <f t="shared" si="274"/>
        <v>-308159.59999999998</v>
      </c>
      <c r="CD124" s="775">
        <f t="shared" si="275"/>
        <v>-0.86416040381379688</v>
      </c>
      <c r="CE124" s="772"/>
      <c r="CF124" s="373">
        <v>56187</v>
      </c>
      <c r="CG124" s="373">
        <v>57939</v>
      </c>
      <c r="CH124" s="373">
        <v>57939</v>
      </c>
      <c r="CI124" s="373">
        <v>57939</v>
      </c>
      <c r="CJ124" s="373">
        <v>57939</v>
      </c>
      <c r="CK124" s="373">
        <v>57939</v>
      </c>
      <c r="CL124" s="374">
        <v>57939</v>
      </c>
      <c r="CM124" s="373">
        <v>57939</v>
      </c>
      <c r="CN124" s="373">
        <v>57939</v>
      </c>
      <c r="CO124" s="373">
        <v>57939</v>
      </c>
      <c r="CP124" s="373">
        <v>62366</v>
      </c>
      <c r="CQ124" s="373">
        <v>62366</v>
      </c>
      <c r="CR124" s="374">
        <v>0</v>
      </c>
      <c r="CS124" s="375">
        <f t="shared" si="276"/>
        <v>702370</v>
      </c>
      <c r="CT124" s="378">
        <f t="shared" si="277"/>
        <v>37610.400000000023</v>
      </c>
      <c r="CU124" s="165">
        <f t="shared" si="278"/>
        <v>5.3547845152839703E-2</v>
      </c>
      <c r="CV124" s="329"/>
      <c r="CW124" s="373">
        <v>53559</v>
      </c>
      <c r="CX124" s="373">
        <v>56187</v>
      </c>
      <c r="CY124" s="373">
        <v>56187</v>
      </c>
      <c r="CZ124" s="373">
        <v>56187</v>
      </c>
      <c r="DA124" s="373">
        <v>56187</v>
      </c>
      <c r="DB124" s="373">
        <v>56187</v>
      </c>
      <c r="DC124" s="374">
        <v>56187</v>
      </c>
      <c r="DD124" s="373">
        <v>56187</v>
      </c>
      <c r="DE124" s="373">
        <v>56187</v>
      </c>
      <c r="DF124" s="373">
        <v>56187</v>
      </c>
      <c r="DG124" s="373">
        <v>56187</v>
      </c>
      <c r="DH124" s="373">
        <v>56187</v>
      </c>
      <c r="DI124" s="375">
        <f t="shared" si="279"/>
        <v>671616</v>
      </c>
      <c r="DJ124" s="329"/>
      <c r="DK124" s="373">
        <v>53559</v>
      </c>
      <c r="DL124" s="373">
        <v>53559</v>
      </c>
      <c r="DM124" s="373">
        <v>53559</v>
      </c>
      <c r="DN124" s="373">
        <v>53559</v>
      </c>
      <c r="DO124" s="373">
        <v>53559</v>
      </c>
      <c r="DP124" s="373">
        <v>53559</v>
      </c>
      <c r="DQ124" s="374">
        <v>53559</v>
      </c>
      <c r="DR124" s="373">
        <v>53559</v>
      </c>
      <c r="DS124" s="373">
        <v>54387</v>
      </c>
      <c r="DT124" s="373">
        <v>53559</v>
      </c>
      <c r="DU124" s="373">
        <v>53559</v>
      </c>
      <c r="DV124" s="373">
        <v>53559</v>
      </c>
      <c r="DW124" s="375">
        <f t="shared" si="280"/>
        <v>643536</v>
      </c>
      <c r="DY124" s="373">
        <v>53559</v>
      </c>
      <c r="DZ124" s="373">
        <v>53559</v>
      </c>
      <c r="EA124" s="373">
        <v>53559</v>
      </c>
      <c r="EB124" s="373">
        <v>53559</v>
      </c>
      <c r="EC124" s="373">
        <v>53559</v>
      </c>
      <c r="ED124" s="373">
        <v>53559</v>
      </c>
      <c r="EE124" s="374">
        <v>53559</v>
      </c>
      <c r="EF124" s="373">
        <v>53559</v>
      </c>
      <c r="EG124" s="373">
        <v>53559</v>
      </c>
      <c r="EH124" s="373">
        <v>53559</v>
      </c>
      <c r="EI124" s="373">
        <v>53559</v>
      </c>
      <c r="EJ124" s="373">
        <v>53559</v>
      </c>
      <c r="EK124" s="375">
        <f t="shared" si="281"/>
        <v>642708</v>
      </c>
      <c r="EL124" s="177"/>
      <c r="EM124" s="373">
        <v>53559</v>
      </c>
      <c r="EN124" s="373">
        <v>53559</v>
      </c>
      <c r="EO124" s="373">
        <v>53559</v>
      </c>
      <c r="EP124" s="373">
        <v>53559</v>
      </c>
      <c r="EQ124" s="373">
        <v>53559</v>
      </c>
      <c r="ER124" s="373">
        <v>53559</v>
      </c>
      <c r="ES124" s="374">
        <v>53559</v>
      </c>
      <c r="ET124" s="373">
        <v>53559</v>
      </c>
      <c r="EU124" s="373">
        <v>53559</v>
      </c>
      <c r="EV124" s="373">
        <v>53559</v>
      </c>
      <c r="EW124" s="373">
        <v>53559</v>
      </c>
      <c r="EX124" s="373">
        <v>53559</v>
      </c>
      <c r="EY124" s="375">
        <f t="shared" si="283"/>
        <v>642708</v>
      </c>
      <c r="EZ124" s="164">
        <v>0</v>
      </c>
      <c r="FA124" s="185">
        <v>0</v>
      </c>
    </row>
    <row r="125" spans="1:157" ht="18.75" customHeight="1">
      <c r="A125" s="185" t="s">
        <v>606</v>
      </c>
      <c r="B125" s="774"/>
      <c r="C125" s="176" t="s">
        <v>1043</v>
      </c>
      <c r="D125" s="176">
        <v>60205000</v>
      </c>
      <c r="E125" s="773"/>
      <c r="F125" s="320" t="s">
        <v>607</v>
      </c>
      <c r="G125" s="329"/>
      <c r="H125" s="373"/>
      <c r="I125" s="373"/>
      <c r="J125" s="373"/>
      <c r="K125" s="373"/>
      <c r="L125" s="373"/>
      <c r="M125" s="373"/>
      <c r="N125" s="374"/>
      <c r="O125" s="373"/>
      <c r="P125" s="373"/>
      <c r="Q125" s="373"/>
      <c r="R125" s="373"/>
      <c r="S125" s="377">
        <v>4328320</v>
      </c>
      <c r="T125" s="375">
        <f t="shared" si="268"/>
        <v>4328320</v>
      </c>
      <c r="U125" s="776">
        <f t="shared" si="269"/>
        <v>-330731.56999999983</v>
      </c>
      <c r="V125" s="775">
        <f t="shared" si="270"/>
        <v>-8.2732771467421876E-2</v>
      </c>
      <c r="W125" s="329"/>
      <c r="X125" s="373">
        <v>365574.16000000003</v>
      </c>
      <c r="Y125" s="373">
        <v>-324906.82999999996</v>
      </c>
      <c r="Z125" s="373">
        <v>815950.87</v>
      </c>
      <c r="AA125" s="373">
        <v>402440.16000000003</v>
      </c>
      <c r="AB125" s="373">
        <v>282001.52</v>
      </c>
      <c r="AC125" s="373">
        <v>335958.17000000004</v>
      </c>
      <c r="AD125" s="374">
        <v>239390.15999999968</v>
      </c>
      <c r="AE125" s="373">
        <v>463750.20999999996</v>
      </c>
      <c r="AF125" s="373">
        <v>377143.18000000005</v>
      </c>
      <c r="AG125" s="373">
        <v>239390.16</v>
      </c>
      <c r="AH125" s="373">
        <v>687789.52</v>
      </c>
      <c r="AI125" s="373">
        <v>113107.15</v>
      </c>
      <c r="AJ125" s="375">
        <f t="shared" si="271"/>
        <v>3997588.43</v>
      </c>
      <c r="AK125" s="329"/>
      <c r="AL125" s="373">
        <v>146503.50333333336</v>
      </c>
      <c r="AM125" s="373">
        <v>18613.333333333336</v>
      </c>
      <c r="AN125" s="373">
        <v>18613.333333333336</v>
      </c>
      <c r="AO125" s="373">
        <v>18613.333333333336</v>
      </c>
      <c r="AP125" s="373">
        <v>18613.333333333336</v>
      </c>
      <c r="AQ125" s="373">
        <v>18613.333333333336</v>
      </c>
      <c r="AR125" s="374">
        <v>19613.333333333336</v>
      </c>
      <c r="AS125" s="373">
        <v>19613.333333333336</v>
      </c>
      <c r="AT125" s="373">
        <v>19613.333333333336</v>
      </c>
      <c r="AU125" s="373">
        <v>19613.333333333336</v>
      </c>
      <c r="AV125" s="373">
        <v>19613.333333333336</v>
      </c>
      <c r="AW125" s="373">
        <v>3343829.3783333334</v>
      </c>
      <c r="AX125" s="375">
        <v>3681466</v>
      </c>
      <c r="AY125" s="776">
        <f t="shared" si="272"/>
        <v>5445772.2800000012</v>
      </c>
      <c r="AZ125" s="775">
        <f t="shared" si="273"/>
        <v>0.59665060919172153</v>
      </c>
      <c r="BA125" s="329"/>
      <c r="BB125" s="373">
        <v>1021014.2600000001</v>
      </c>
      <c r="BC125" s="373">
        <v>833970.92</v>
      </c>
      <c r="BD125" s="373">
        <v>1007841.9</v>
      </c>
      <c r="BE125" s="373">
        <v>583139.16</v>
      </c>
      <c r="BF125" s="373">
        <v>583138.5</v>
      </c>
      <c r="BG125" s="373">
        <v>836557</v>
      </c>
      <c r="BH125" s="374">
        <v>557579.24</v>
      </c>
      <c r="BI125" s="373">
        <v>558658.17000000004</v>
      </c>
      <c r="BJ125" s="373">
        <v>912358.17</v>
      </c>
      <c r="BK125" s="373">
        <v>525655.15</v>
      </c>
      <c r="BL125" s="373">
        <v>494713.17000000004</v>
      </c>
      <c r="BM125" s="373">
        <v>1212612.2999999998</v>
      </c>
      <c r="BN125" s="375">
        <v>9127238.2800000012</v>
      </c>
      <c r="BO125" s="329"/>
      <c r="BP125" s="373">
        <v>872356</v>
      </c>
      <c r="BQ125" s="373">
        <v>872356</v>
      </c>
      <c r="BR125" s="373">
        <v>988525</v>
      </c>
      <c r="BS125" s="373">
        <v>588525</v>
      </c>
      <c r="BT125" s="373">
        <v>588525</v>
      </c>
      <c r="BU125" s="373">
        <v>888525</v>
      </c>
      <c r="BV125" s="374">
        <v>588525</v>
      </c>
      <c r="BW125" s="373">
        <v>588525</v>
      </c>
      <c r="BX125" s="373">
        <v>688525</v>
      </c>
      <c r="BY125" s="373">
        <v>588525</v>
      </c>
      <c r="BZ125" s="373">
        <v>268800</v>
      </c>
      <c r="CA125" s="373">
        <v>268800</v>
      </c>
      <c r="CB125" s="402">
        <f t="shared" si="282"/>
        <v>7790512</v>
      </c>
      <c r="CC125" s="776">
        <f t="shared" si="274"/>
        <v>-1336726.2800000012</v>
      </c>
      <c r="CD125" s="775">
        <f t="shared" si="275"/>
        <v>-0.17158388049463261</v>
      </c>
      <c r="CE125" s="772"/>
      <c r="CF125" s="373">
        <v>1263817.47</v>
      </c>
      <c r="CG125" s="373">
        <v>1319703.53</v>
      </c>
      <c r="CH125" s="373">
        <v>1290341.76</v>
      </c>
      <c r="CI125" s="373">
        <v>1311703.27</v>
      </c>
      <c r="CJ125" s="373">
        <v>1460511.91</v>
      </c>
      <c r="CK125" s="373">
        <v>1296087.8700000001</v>
      </c>
      <c r="CL125" s="374">
        <v>1296107.47</v>
      </c>
      <c r="CM125" s="373">
        <v>1296107.47</v>
      </c>
      <c r="CN125" s="373">
        <v>1925430.1</v>
      </c>
      <c r="CO125" s="373">
        <v>1341937.21</v>
      </c>
      <c r="CP125" s="373">
        <v>1329974.2999999998</v>
      </c>
      <c r="CQ125" s="373">
        <v>2273471.19</v>
      </c>
      <c r="CR125" s="374">
        <v>0</v>
      </c>
      <c r="CS125" s="375">
        <f t="shared" si="276"/>
        <v>17405193.550000001</v>
      </c>
      <c r="CT125" s="378">
        <f t="shared" si="277"/>
        <v>8277955.2699999996</v>
      </c>
      <c r="CU125" s="165">
        <f t="shared" si="278"/>
        <v>0.47560259793836074</v>
      </c>
      <c r="CV125" s="329"/>
      <c r="CW125" s="373">
        <v>1002877.52</v>
      </c>
      <c r="CX125" s="373">
        <v>787475.52</v>
      </c>
      <c r="CY125" s="373">
        <v>1017082.3700000001</v>
      </c>
      <c r="CZ125" s="373">
        <v>1083279.46</v>
      </c>
      <c r="DA125" s="373">
        <v>1023003.8799999999</v>
      </c>
      <c r="DB125" s="373">
        <v>1017144.6499999999</v>
      </c>
      <c r="DC125" s="374">
        <v>1017186.3999999999</v>
      </c>
      <c r="DD125" s="373">
        <v>1007345.1299999999</v>
      </c>
      <c r="DE125" s="373">
        <v>1231049.8</v>
      </c>
      <c r="DF125" s="373">
        <v>1017185.04</v>
      </c>
      <c r="DG125" s="373">
        <v>1017185.04</v>
      </c>
      <c r="DH125" s="373">
        <v>1608641.58</v>
      </c>
      <c r="DI125" s="375">
        <f t="shared" si="279"/>
        <v>12829456.389999999</v>
      </c>
      <c r="DJ125" s="329"/>
      <c r="DK125" s="373">
        <v>1022902.53</v>
      </c>
      <c r="DL125" s="373">
        <v>757259.48</v>
      </c>
      <c r="DM125" s="373">
        <v>975659.48</v>
      </c>
      <c r="DN125" s="373">
        <v>990738.48</v>
      </c>
      <c r="DO125" s="373">
        <v>985241.48</v>
      </c>
      <c r="DP125" s="373">
        <v>983241.48</v>
      </c>
      <c r="DQ125" s="374">
        <v>996738.48</v>
      </c>
      <c r="DR125" s="373">
        <v>997241.48</v>
      </c>
      <c r="DS125" s="373">
        <v>993741.48</v>
      </c>
      <c r="DT125" s="373">
        <v>1018240.3300000001</v>
      </c>
      <c r="DU125" s="373">
        <v>1022759.47</v>
      </c>
      <c r="DV125" s="373">
        <v>1105259.47</v>
      </c>
      <c r="DW125" s="375">
        <f t="shared" si="280"/>
        <v>11849023.640000002</v>
      </c>
      <c r="DY125" s="373">
        <v>1001813.43</v>
      </c>
      <c r="DZ125" s="373">
        <v>951029.23</v>
      </c>
      <c r="EA125" s="373">
        <v>943592.05</v>
      </c>
      <c r="EB125" s="373">
        <v>989655.65999999992</v>
      </c>
      <c r="EC125" s="373">
        <v>927700</v>
      </c>
      <c r="ED125" s="373">
        <v>929598.74</v>
      </c>
      <c r="EE125" s="374">
        <v>957864.48</v>
      </c>
      <c r="EF125" s="373">
        <v>996048.87999999989</v>
      </c>
      <c r="EG125" s="373">
        <v>969101.48</v>
      </c>
      <c r="EH125" s="373">
        <v>1004684.48</v>
      </c>
      <c r="EI125" s="373">
        <v>1002548.8799999999</v>
      </c>
      <c r="EJ125" s="373">
        <v>875784.48</v>
      </c>
      <c r="EK125" s="375">
        <f t="shared" si="281"/>
        <v>11549421.789999999</v>
      </c>
      <c r="EL125" s="177"/>
      <c r="EM125" s="373">
        <v>1035757.1299999999</v>
      </c>
      <c r="EN125" s="373">
        <v>964635</v>
      </c>
      <c r="EO125" s="373">
        <v>917975</v>
      </c>
      <c r="EP125" s="373">
        <v>957171.64999999991</v>
      </c>
      <c r="EQ125" s="373">
        <v>1061992</v>
      </c>
      <c r="ER125" s="373">
        <v>961283</v>
      </c>
      <c r="ES125" s="374">
        <v>982308.14999999991</v>
      </c>
      <c r="ET125" s="373">
        <v>936725</v>
      </c>
      <c r="EU125" s="373">
        <v>939490</v>
      </c>
      <c r="EV125" s="373">
        <v>997724.14999999991</v>
      </c>
      <c r="EW125" s="373">
        <v>940226</v>
      </c>
      <c r="EX125" s="373">
        <v>864696.52</v>
      </c>
      <c r="EY125" s="375">
        <f t="shared" si="283"/>
        <v>11559983.6</v>
      </c>
      <c r="EZ125" s="164">
        <v>0</v>
      </c>
      <c r="FA125" s="185">
        <v>0</v>
      </c>
    </row>
    <row r="126" spans="1:157" ht="18.75" customHeight="1">
      <c r="A126" s="210" t="s">
        <v>619</v>
      </c>
      <c r="B126" s="774"/>
      <c r="C126" s="176" t="s">
        <v>1042</v>
      </c>
      <c r="D126" s="176">
        <v>60206000</v>
      </c>
      <c r="E126" s="773"/>
      <c r="F126" s="320" t="s">
        <v>709</v>
      </c>
      <c r="G126" s="329"/>
      <c r="H126" s="373"/>
      <c r="I126" s="373"/>
      <c r="J126" s="373"/>
      <c r="K126" s="373"/>
      <c r="L126" s="373"/>
      <c r="M126" s="373"/>
      <c r="N126" s="374"/>
      <c r="O126" s="373"/>
      <c r="P126" s="373"/>
      <c r="Q126" s="373"/>
      <c r="R126" s="373"/>
      <c r="S126" s="377">
        <v>181599</v>
      </c>
      <c r="T126" s="375">
        <f t="shared" si="268"/>
        <v>181599</v>
      </c>
      <c r="U126" s="776">
        <f t="shared" si="269"/>
        <v>-181599</v>
      </c>
      <c r="V126" s="775" t="e">
        <f t="shared" si="270"/>
        <v>#DIV/0!</v>
      </c>
      <c r="W126" s="329"/>
      <c r="X126" s="373">
        <v>0</v>
      </c>
      <c r="Y126" s="373">
        <v>0</v>
      </c>
      <c r="Z126" s="373">
        <v>0</v>
      </c>
      <c r="AA126" s="373">
        <v>0</v>
      </c>
      <c r="AB126" s="373">
        <v>0</v>
      </c>
      <c r="AC126" s="373">
        <v>0</v>
      </c>
      <c r="AD126" s="374">
        <v>0</v>
      </c>
      <c r="AE126" s="373">
        <v>0</v>
      </c>
      <c r="AF126" s="373">
        <v>0</v>
      </c>
      <c r="AG126" s="373">
        <v>0</v>
      </c>
      <c r="AH126" s="373">
        <v>0</v>
      </c>
      <c r="AI126" s="373">
        <v>0</v>
      </c>
      <c r="AJ126" s="375">
        <f t="shared" si="271"/>
        <v>0</v>
      </c>
      <c r="AK126" s="329"/>
      <c r="AL126" s="373">
        <v>0</v>
      </c>
      <c r="AM126" s="373">
        <v>0</v>
      </c>
      <c r="AN126" s="373">
        <v>0</v>
      </c>
      <c r="AO126" s="373">
        <v>0</v>
      </c>
      <c r="AP126" s="373">
        <v>0</v>
      </c>
      <c r="AQ126" s="373">
        <v>0</v>
      </c>
      <c r="AR126" s="374">
        <v>0</v>
      </c>
      <c r="AS126" s="373">
        <v>0</v>
      </c>
      <c r="AT126" s="373">
        <v>0</v>
      </c>
      <c r="AU126" s="373">
        <v>0</v>
      </c>
      <c r="AV126" s="373">
        <v>0</v>
      </c>
      <c r="AW126" s="373">
        <v>0</v>
      </c>
      <c r="AX126" s="375">
        <v>0</v>
      </c>
      <c r="AY126" s="776">
        <f t="shared" si="272"/>
        <v>31170</v>
      </c>
      <c r="AZ126" s="775">
        <f t="shared" si="273"/>
        <v>1</v>
      </c>
      <c r="BA126" s="329"/>
      <c r="BB126" s="373">
        <v>0</v>
      </c>
      <c r="BC126" s="373">
        <v>0</v>
      </c>
      <c r="BD126" s="373">
        <v>0</v>
      </c>
      <c r="BE126" s="373">
        <v>0</v>
      </c>
      <c r="BF126" s="373">
        <v>0</v>
      </c>
      <c r="BG126" s="373">
        <v>0</v>
      </c>
      <c r="BH126" s="374">
        <v>0</v>
      </c>
      <c r="BI126" s="373">
        <v>0</v>
      </c>
      <c r="BJ126" s="373">
        <v>0</v>
      </c>
      <c r="BK126" s="373">
        <v>0</v>
      </c>
      <c r="BL126" s="373">
        <v>0</v>
      </c>
      <c r="BM126" s="373">
        <v>0</v>
      </c>
      <c r="BN126" s="375">
        <v>31170</v>
      </c>
      <c r="BO126" s="329"/>
      <c r="BP126" s="373">
        <v>0</v>
      </c>
      <c r="BQ126" s="373">
        <v>0</v>
      </c>
      <c r="BR126" s="373">
        <v>0</v>
      </c>
      <c r="BS126" s="373">
        <v>0</v>
      </c>
      <c r="BT126" s="373">
        <v>0</v>
      </c>
      <c r="BU126" s="373">
        <v>0</v>
      </c>
      <c r="BV126" s="374">
        <v>0</v>
      </c>
      <c r="BW126" s="373">
        <v>0</v>
      </c>
      <c r="BX126" s="373">
        <v>0</v>
      </c>
      <c r="BY126" s="373">
        <v>0</v>
      </c>
      <c r="BZ126" s="373">
        <v>0</v>
      </c>
      <c r="CA126" s="373">
        <v>0</v>
      </c>
      <c r="CB126" s="402">
        <f t="shared" si="282"/>
        <v>0</v>
      </c>
      <c r="CC126" s="776">
        <f t="shared" si="274"/>
        <v>-31170</v>
      </c>
      <c r="CD126" s="775" t="str">
        <f t="shared" si="275"/>
        <v>N/A</v>
      </c>
      <c r="CE126" s="772"/>
      <c r="CF126" s="373">
        <v>0</v>
      </c>
      <c r="CG126" s="373">
        <v>0</v>
      </c>
      <c r="CH126" s="373">
        <v>0</v>
      </c>
      <c r="CI126" s="373">
        <v>0</v>
      </c>
      <c r="CJ126" s="373">
        <v>0</v>
      </c>
      <c r="CK126" s="373">
        <v>0</v>
      </c>
      <c r="CL126" s="374">
        <v>0</v>
      </c>
      <c r="CM126" s="373">
        <v>0</v>
      </c>
      <c r="CN126" s="373">
        <v>0</v>
      </c>
      <c r="CO126" s="373">
        <v>0</v>
      </c>
      <c r="CP126" s="373">
        <v>0</v>
      </c>
      <c r="CQ126" s="373">
        <v>0</v>
      </c>
      <c r="CR126" s="374">
        <v>0</v>
      </c>
      <c r="CS126" s="375">
        <f t="shared" si="276"/>
        <v>0</v>
      </c>
      <c r="CT126" s="378">
        <f t="shared" si="277"/>
        <v>-31170</v>
      </c>
      <c r="CU126" s="165" t="str">
        <f t="shared" si="278"/>
        <v>N/A</v>
      </c>
      <c r="CV126" s="329"/>
      <c r="CW126" s="373">
        <v>0</v>
      </c>
      <c r="CX126" s="373">
        <v>0</v>
      </c>
      <c r="CY126" s="373">
        <v>0</v>
      </c>
      <c r="CZ126" s="373">
        <v>0</v>
      </c>
      <c r="DA126" s="373">
        <v>0</v>
      </c>
      <c r="DB126" s="373">
        <v>0</v>
      </c>
      <c r="DC126" s="374">
        <v>0</v>
      </c>
      <c r="DD126" s="373">
        <v>0</v>
      </c>
      <c r="DE126" s="373">
        <v>0</v>
      </c>
      <c r="DF126" s="373">
        <v>0</v>
      </c>
      <c r="DG126" s="373">
        <v>0</v>
      </c>
      <c r="DH126" s="373">
        <v>0</v>
      </c>
      <c r="DI126" s="375">
        <f t="shared" si="279"/>
        <v>0</v>
      </c>
      <c r="DJ126" s="329"/>
      <c r="DK126" s="373">
        <v>0</v>
      </c>
      <c r="DL126" s="373">
        <v>0</v>
      </c>
      <c r="DM126" s="373">
        <v>0</v>
      </c>
      <c r="DN126" s="373">
        <v>0</v>
      </c>
      <c r="DO126" s="373">
        <v>0</v>
      </c>
      <c r="DP126" s="373">
        <v>0</v>
      </c>
      <c r="DQ126" s="374">
        <v>0</v>
      </c>
      <c r="DR126" s="373">
        <v>0</v>
      </c>
      <c r="DS126" s="373">
        <v>0</v>
      </c>
      <c r="DT126" s="373">
        <v>0</v>
      </c>
      <c r="DU126" s="373">
        <v>0</v>
      </c>
      <c r="DV126" s="373">
        <v>0</v>
      </c>
      <c r="DW126" s="375">
        <f t="shared" si="280"/>
        <v>0</v>
      </c>
      <c r="DY126" s="373">
        <v>0</v>
      </c>
      <c r="DZ126" s="373">
        <v>0</v>
      </c>
      <c r="EA126" s="373">
        <v>0</v>
      </c>
      <c r="EB126" s="373">
        <v>0</v>
      </c>
      <c r="EC126" s="373">
        <v>0</v>
      </c>
      <c r="ED126" s="373">
        <v>0</v>
      </c>
      <c r="EE126" s="374">
        <v>0</v>
      </c>
      <c r="EF126" s="373">
        <v>0</v>
      </c>
      <c r="EG126" s="373">
        <v>0</v>
      </c>
      <c r="EH126" s="373">
        <v>0</v>
      </c>
      <c r="EI126" s="373">
        <v>0</v>
      </c>
      <c r="EJ126" s="373">
        <v>0</v>
      </c>
      <c r="EK126" s="375">
        <f t="shared" si="281"/>
        <v>0</v>
      </c>
      <c r="EL126" s="177"/>
      <c r="EM126" s="373">
        <v>0</v>
      </c>
      <c r="EN126" s="373">
        <v>0</v>
      </c>
      <c r="EO126" s="373">
        <v>0</v>
      </c>
      <c r="EP126" s="373">
        <v>0</v>
      </c>
      <c r="EQ126" s="373">
        <v>0</v>
      </c>
      <c r="ER126" s="373">
        <v>0</v>
      </c>
      <c r="ES126" s="374">
        <v>0</v>
      </c>
      <c r="ET126" s="373">
        <v>0</v>
      </c>
      <c r="EU126" s="373">
        <v>0</v>
      </c>
      <c r="EV126" s="373">
        <v>0</v>
      </c>
      <c r="EW126" s="373">
        <v>0</v>
      </c>
      <c r="EX126" s="373">
        <v>0</v>
      </c>
      <c r="EY126" s="375">
        <f t="shared" si="283"/>
        <v>0</v>
      </c>
      <c r="EZ126" s="164">
        <v>0</v>
      </c>
      <c r="FA126" s="185">
        <v>0</v>
      </c>
    </row>
    <row r="127" spans="1:157" ht="18.75" customHeight="1">
      <c r="A127" s="210" t="s">
        <v>442</v>
      </c>
      <c r="B127" s="774"/>
      <c r="C127" s="176" t="s">
        <v>1041</v>
      </c>
      <c r="D127" s="176">
        <v>60211000</v>
      </c>
      <c r="E127" s="773"/>
      <c r="F127" s="320" t="s">
        <v>642</v>
      </c>
      <c r="G127" s="329"/>
      <c r="H127" s="373"/>
      <c r="I127" s="373"/>
      <c r="J127" s="373"/>
      <c r="K127" s="373"/>
      <c r="L127" s="373"/>
      <c r="M127" s="373"/>
      <c r="N127" s="374"/>
      <c r="O127" s="373"/>
      <c r="P127" s="373"/>
      <c r="Q127" s="373"/>
      <c r="R127" s="373"/>
      <c r="S127" s="377">
        <v>4364120</v>
      </c>
      <c r="T127" s="375">
        <f t="shared" si="268"/>
        <v>4364120</v>
      </c>
      <c r="U127" s="776">
        <f t="shared" si="269"/>
        <v>-3074617.98</v>
      </c>
      <c r="V127" s="775">
        <f t="shared" si="270"/>
        <v>-2.3843452218865075</v>
      </c>
      <c r="W127" s="329"/>
      <c r="X127" s="373">
        <v>91476.870000000112</v>
      </c>
      <c r="Y127" s="373">
        <v>99002.300000000047</v>
      </c>
      <c r="Z127" s="373">
        <v>125282</v>
      </c>
      <c r="AA127" s="373">
        <v>142228.19999999995</v>
      </c>
      <c r="AB127" s="373">
        <v>141430.25</v>
      </c>
      <c r="AC127" s="373">
        <v>140953.17999999993</v>
      </c>
      <c r="AD127" s="374">
        <v>151739.27000000002</v>
      </c>
      <c r="AE127" s="373">
        <v>100343.64999999991</v>
      </c>
      <c r="AF127" s="373">
        <v>90579.860000000102</v>
      </c>
      <c r="AG127" s="373">
        <v>78795.379999999888</v>
      </c>
      <c r="AH127" s="373">
        <v>70884.600000000093</v>
      </c>
      <c r="AI127" s="373">
        <v>56786.459999999963</v>
      </c>
      <c r="AJ127" s="375">
        <f t="shared" si="271"/>
        <v>1289502.02</v>
      </c>
      <c r="AK127" s="329"/>
      <c r="AL127" s="373">
        <v>80278.795500000007</v>
      </c>
      <c r="AM127" s="373">
        <v>87078.390000000014</v>
      </c>
      <c r="AN127" s="373">
        <v>85644.174000000014</v>
      </c>
      <c r="AO127" s="373">
        <v>97495.062000000005</v>
      </c>
      <c r="AP127" s="373">
        <v>87776.209499999997</v>
      </c>
      <c r="AQ127" s="373">
        <v>77268.985499999995</v>
      </c>
      <c r="AR127" s="374">
        <v>89445.006000000008</v>
      </c>
      <c r="AS127" s="373">
        <v>59466.687000000005</v>
      </c>
      <c r="AT127" s="373">
        <v>57436.354500000001</v>
      </c>
      <c r="AU127" s="373">
        <v>56505.445500000002</v>
      </c>
      <c r="AV127" s="373">
        <v>51954.105000000003</v>
      </c>
      <c r="AW127" s="373">
        <v>312250</v>
      </c>
      <c r="AX127" s="375">
        <v>1142599</v>
      </c>
      <c r="AY127" s="776">
        <f t="shared" si="272"/>
        <v>266192.4299999997</v>
      </c>
      <c r="AZ127" s="775">
        <f t="shared" si="273"/>
        <v>0.18895091518266813</v>
      </c>
      <c r="BA127" s="329"/>
      <c r="BB127" s="373">
        <v>86785.709999999963</v>
      </c>
      <c r="BC127" s="373">
        <v>105493</v>
      </c>
      <c r="BD127" s="373">
        <v>121161.17999999993</v>
      </c>
      <c r="BE127" s="373">
        <v>144805.43999999994</v>
      </c>
      <c r="BF127" s="373">
        <v>137528.3899999999</v>
      </c>
      <c r="BG127" s="373">
        <v>123234.51000000001</v>
      </c>
      <c r="BH127" s="374">
        <v>127770.71999999997</v>
      </c>
      <c r="BI127" s="373">
        <v>80129.939999999944</v>
      </c>
      <c r="BJ127" s="373">
        <v>80868.290000000037</v>
      </c>
      <c r="BK127" s="373">
        <v>69932.709999999963</v>
      </c>
      <c r="BL127" s="373">
        <v>63124.100000000093</v>
      </c>
      <c r="BM127" s="373">
        <v>72481.439999999944</v>
      </c>
      <c r="BN127" s="375">
        <v>1408791.4299999997</v>
      </c>
      <c r="BO127" s="329"/>
      <c r="BP127" s="373">
        <v>118883.33333333326</v>
      </c>
      <c r="BQ127" s="373">
        <v>118883.33333333349</v>
      </c>
      <c r="BR127" s="373">
        <v>112083.33333333349</v>
      </c>
      <c r="BS127" s="373">
        <v>112083.33333333349</v>
      </c>
      <c r="BT127" s="373">
        <v>112083.33333333349</v>
      </c>
      <c r="BU127" s="373">
        <v>112083.33333333349</v>
      </c>
      <c r="BV127" s="374">
        <v>112083.33333333349</v>
      </c>
      <c r="BW127" s="373">
        <v>112083.33333333349</v>
      </c>
      <c r="BX127" s="373">
        <v>112083.33333333326</v>
      </c>
      <c r="BY127" s="373">
        <v>112083.33333333326</v>
      </c>
      <c r="BZ127" s="373">
        <v>112083.33333333326</v>
      </c>
      <c r="CA127" s="373">
        <v>112083.33333333326</v>
      </c>
      <c r="CB127" s="402">
        <f t="shared" si="282"/>
        <v>1358600.0000000007</v>
      </c>
      <c r="CC127" s="776">
        <f t="shared" si="274"/>
        <v>-50191.429999999003</v>
      </c>
      <c r="CD127" s="775">
        <f t="shared" si="275"/>
        <v>-3.6943493301927706E-2</v>
      </c>
      <c r="CE127" s="772"/>
      <c r="CF127" s="373">
        <v>132927.51</v>
      </c>
      <c r="CG127" s="373">
        <v>151227.83000000002</v>
      </c>
      <c r="CH127" s="373">
        <v>161132.57999999999</v>
      </c>
      <c r="CI127" s="373">
        <v>129775.25</v>
      </c>
      <c r="CJ127" s="373">
        <v>182594.05</v>
      </c>
      <c r="CK127" s="373">
        <v>193942.09</v>
      </c>
      <c r="CL127" s="374">
        <v>160064.20000000019</v>
      </c>
      <c r="CM127" s="373">
        <v>142255.90999999992</v>
      </c>
      <c r="CN127" s="373">
        <v>110922.9</v>
      </c>
      <c r="CO127" s="373">
        <v>80212.770000000019</v>
      </c>
      <c r="CP127" s="373">
        <v>90408.150000000023</v>
      </c>
      <c r="CQ127" s="373">
        <v>77226.060000000056</v>
      </c>
      <c r="CR127" s="374">
        <v>0</v>
      </c>
      <c r="CS127" s="375">
        <f t="shared" si="276"/>
        <v>1612689.3000000003</v>
      </c>
      <c r="CT127" s="378">
        <f t="shared" si="277"/>
        <v>203897.87000000058</v>
      </c>
      <c r="CU127" s="165">
        <f t="shared" si="278"/>
        <v>0.12643344877404503</v>
      </c>
      <c r="CV127" s="329"/>
      <c r="CW127" s="373">
        <v>88958</v>
      </c>
      <c r="CX127" s="373">
        <v>121728</v>
      </c>
      <c r="CY127" s="373">
        <v>134200.46</v>
      </c>
      <c r="CZ127" s="373">
        <v>123542.51000000001</v>
      </c>
      <c r="DA127" s="373">
        <v>139641.57999999999</v>
      </c>
      <c r="DB127" s="373">
        <v>115082.10999999999</v>
      </c>
      <c r="DC127" s="374">
        <v>108565.04000000001</v>
      </c>
      <c r="DD127" s="373">
        <v>94461.040000000008</v>
      </c>
      <c r="DE127" s="373">
        <v>108463.60999999999</v>
      </c>
      <c r="DF127" s="373">
        <v>88822.959999999992</v>
      </c>
      <c r="DG127" s="373">
        <v>8250.11</v>
      </c>
      <c r="DH127" s="373">
        <v>95011.760000000009</v>
      </c>
      <c r="DI127" s="375">
        <f t="shared" si="279"/>
        <v>1226727.1800000002</v>
      </c>
      <c r="DJ127" s="329"/>
      <c r="DK127" s="373">
        <v>83036.160000000003</v>
      </c>
      <c r="DL127" s="373">
        <v>100951.92</v>
      </c>
      <c r="DM127" s="373">
        <v>141958.82</v>
      </c>
      <c r="DN127" s="373">
        <v>133767.82</v>
      </c>
      <c r="DO127" s="373">
        <v>101515.1</v>
      </c>
      <c r="DP127" s="373">
        <v>106598.47</v>
      </c>
      <c r="DQ127" s="374">
        <v>128657.06</v>
      </c>
      <c r="DR127" s="373">
        <v>93659.58</v>
      </c>
      <c r="DS127" s="373">
        <v>82763.66</v>
      </c>
      <c r="DT127" s="373">
        <v>85623.48</v>
      </c>
      <c r="DU127" s="373">
        <v>70340</v>
      </c>
      <c r="DV127" s="373">
        <v>102944.18</v>
      </c>
      <c r="DW127" s="375">
        <f t="shared" si="280"/>
        <v>1231816.25</v>
      </c>
      <c r="DY127" s="373">
        <v>9177.76</v>
      </c>
      <c r="DZ127" s="373">
        <v>103337.38</v>
      </c>
      <c r="EA127" s="373">
        <v>106561.45</v>
      </c>
      <c r="EB127" s="373">
        <v>141948.09</v>
      </c>
      <c r="EC127" s="373">
        <v>128796.92</v>
      </c>
      <c r="ED127" s="373">
        <v>136227.95000000001</v>
      </c>
      <c r="EE127" s="374">
        <v>132863.01999999999</v>
      </c>
      <c r="EF127" s="373">
        <v>116194.62</v>
      </c>
      <c r="EG127" s="373">
        <v>109318.37</v>
      </c>
      <c r="EH127" s="373">
        <v>102620.57</v>
      </c>
      <c r="EI127" s="373">
        <v>73919.11</v>
      </c>
      <c r="EJ127" s="373">
        <v>153266.29999999999</v>
      </c>
      <c r="EK127" s="375">
        <f t="shared" si="281"/>
        <v>1314231.5400000003</v>
      </c>
      <c r="EL127" s="177"/>
      <c r="EM127" s="373">
        <v>5354</v>
      </c>
      <c r="EN127" s="373">
        <v>95905.73</v>
      </c>
      <c r="EO127" s="373">
        <v>115303.01</v>
      </c>
      <c r="EP127" s="373">
        <v>141217.14000000001</v>
      </c>
      <c r="EQ127" s="373">
        <v>134380.25</v>
      </c>
      <c r="ER127" s="373">
        <v>119085.87999999999</v>
      </c>
      <c r="ES127" s="374">
        <v>125788.79999999999</v>
      </c>
      <c r="ET127" s="373">
        <v>114810.58</v>
      </c>
      <c r="EU127" s="373">
        <v>101066.56</v>
      </c>
      <c r="EV127" s="373">
        <v>86684.3</v>
      </c>
      <c r="EW127" s="373">
        <v>70598.600000000006</v>
      </c>
      <c r="EX127" s="373">
        <v>146245</v>
      </c>
      <c r="EY127" s="375">
        <f t="shared" si="283"/>
        <v>1256439.8500000001</v>
      </c>
      <c r="EZ127" s="164">
        <v>0</v>
      </c>
      <c r="FA127" s="185">
        <v>0</v>
      </c>
    </row>
    <row r="128" spans="1:157" ht="18.75" customHeight="1">
      <c r="A128" s="210" t="s">
        <v>442</v>
      </c>
      <c r="B128" s="774"/>
      <c r="C128" s="176" t="s">
        <v>1040</v>
      </c>
      <c r="D128" s="176">
        <v>60215000</v>
      </c>
      <c r="E128" s="773"/>
      <c r="F128" s="320" t="s">
        <v>643</v>
      </c>
      <c r="G128" s="329"/>
      <c r="H128" s="373"/>
      <c r="I128" s="373"/>
      <c r="J128" s="373"/>
      <c r="K128" s="373"/>
      <c r="L128" s="373"/>
      <c r="M128" s="373"/>
      <c r="N128" s="374"/>
      <c r="O128" s="373"/>
      <c r="P128" s="373"/>
      <c r="Q128" s="373"/>
      <c r="R128" s="373"/>
      <c r="S128" s="377">
        <v>10996</v>
      </c>
      <c r="T128" s="375">
        <f t="shared" si="268"/>
        <v>10996</v>
      </c>
      <c r="U128" s="378">
        <f t="shared" si="269"/>
        <v>-282.91000000000349</v>
      </c>
      <c r="V128" s="165">
        <f t="shared" si="270"/>
        <v>-2.6407880452792201E-2</v>
      </c>
      <c r="W128" s="329"/>
      <c r="X128" s="373">
        <v>2453.6299999999992</v>
      </c>
      <c r="Y128" s="373">
        <v>153.79999999999927</v>
      </c>
      <c r="Z128" s="373">
        <v>1.9200000000000728</v>
      </c>
      <c r="AA128" s="373">
        <v>0</v>
      </c>
      <c r="AB128" s="373">
        <v>3806.2999999999993</v>
      </c>
      <c r="AC128" s="373">
        <v>0</v>
      </c>
      <c r="AD128" s="374">
        <v>0</v>
      </c>
      <c r="AE128" s="373">
        <v>0</v>
      </c>
      <c r="AF128" s="373">
        <v>3313.1400000000003</v>
      </c>
      <c r="AG128" s="373">
        <v>984.30000000000018</v>
      </c>
      <c r="AH128" s="373">
        <v>0</v>
      </c>
      <c r="AI128" s="373">
        <v>0</v>
      </c>
      <c r="AJ128" s="375">
        <f t="shared" si="271"/>
        <v>10713.089999999997</v>
      </c>
      <c r="AK128" s="329"/>
      <c r="AL128" s="373">
        <v>1500</v>
      </c>
      <c r="AM128" s="373">
        <v>1500</v>
      </c>
      <c r="AN128" s="373">
        <v>1500</v>
      </c>
      <c r="AO128" s="373">
        <v>1500</v>
      </c>
      <c r="AP128" s="373">
        <v>1500</v>
      </c>
      <c r="AQ128" s="373">
        <v>1500</v>
      </c>
      <c r="AR128" s="374">
        <v>1500</v>
      </c>
      <c r="AS128" s="373">
        <v>1500</v>
      </c>
      <c r="AT128" s="373">
        <v>1500</v>
      </c>
      <c r="AU128" s="373">
        <v>1500</v>
      </c>
      <c r="AV128" s="373">
        <v>1500</v>
      </c>
      <c r="AW128" s="373">
        <v>5500</v>
      </c>
      <c r="AX128" s="375">
        <v>22000</v>
      </c>
      <c r="AY128" s="378">
        <f t="shared" si="272"/>
        <v>-19455.580000000005</v>
      </c>
      <c r="AZ128" s="165">
        <f t="shared" si="273"/>
        <v>-7.6463712751825748</v>
      </c>
      <c r="BA128" s="329"/>
      <c r="BB128" s="373">
        <v>0</v>
      </c>
      <c r="BC128" s="373">
        <v>0</v>
      </c>
      <c r="BD128" s="373">
        <v>0</v>
      </c>
      <c r="BE128" s="373">
        <v>0</v>
      </c>
      <c r="BF128" s="373">
        <v>0</v>
      </c>
      <c r="BG128" s="373">
        <v>0</v>
      </c>
      <c r="BH128" s="374">
        <v>0</v>
      </c>
      <c r="BI128" s="373">
        <v>0</v>
      </c>
      <c r="BJ128" s="373">
        <v>13770.519999999999</v>
      </c>
      <c r="BK128" s="373">
        <v>2640.1999999999971</v>
      </c>
      <c r="BL128" s="373">
        <v>0</v>
      </c>
      <c r="BM128" s="373">
        <v>0</v>
      </c>
      <c r="BN128" s="375">
        <v>2544.4199999999946</v>
      </c>
      <c r="BO128" s="329"/>
      <c r="BP128" s="373">
        <v>3375</v>
      </c>
      <c r="BQ128" s="373">
        <v>3375</v>
      </c>
      <c r="BR128" s="373">
        <v>3375</v>
      </c>
      <c r="BS128" s="373">
        <v>3375</v>
      </c>
      <c r="BT128" s="373">
        <v>3375</v>
      </c>
      <c r="BU128" s="373">
        <v>3375</v>
      </c>
      <c r="BV128" s="374">
        <v>3375</v>
      </c>
      <c r="BW128" s="373">
        <v>3375</v>
      </c>
      <c r="BX128" s="373">
        <v>3375</v>
      </c>
      <c r="BY128" s="373">
        <v>3375</v>
      </c>
      <c r="BZ128" s="373">
        <v>3375</v>
      </c>
      <c r="CA128" s="373">
        <v>3375</v>
      </c>
      <c r="CB128" s="375">
        <f t="shared" si="282"/>
        <v>40500</v>
      </c>
      <c r="CC128" s="378">
        <f t="shared" si="274"/>
        <v>37955.58</v>
      </c>
      <c r="CD128" s="165">
        <f t="shared" si="275"/>
        <v>0.9371748148148149</v>
      </c>
      <c r="CE128" s="772"/>
      <c r="CF128" s="373">
        <v>2401.9600000000009</v>
      </c>
      <c r="CG128" s="373">
        <v>967.19999999999891</v>
      </c>
      <c r="CH128" s="373">
        <v>0</v>
      </c>
      <c r="CI128" s="373">
        <v>0</v>
      </c>
      <c r="CJ128" s="373">
        <v>6786.94</v>
      </c>
      <c r="CK128" s="373">
        <v>0</v>
      </c>
      <c r="CL128" s="374">
        <v>0</v>
      </c>
      <c r="CM128" s="373">
        <v>0</v>
      </c>
      <c r="CN128" s="373">
        <v>21745</v>
      </c>
      <c r="CO128" s="373">
        <v>0</v>
      </c>
      <c r="CP128" s="373">
        <v>0</v>
      </c>
      <c r="CQ128" s="373">
        <v>0</v>
      </c>
      <c r="CR128" s="376">
        <v>0</v>
      </c>
      <c r="CS128" s="375">
        <f t="shared" si="276"/>
        <v>31901.1</v>
      </c>
      <c r="CT128" s="378">
        <f t="shared" si="277"/>
        <v>29356.680000000004</v>
      </c>
      <c r="CU128" s="165">
        <f t="shared" si="278"/>
        <v>0.92024036788700092</v>
      </c>
      <c r="CV128" s="329"/>
      <c r="CW128" s="373">
        <v>0</v>
      </c>
      <c r="CX128" s="373">
        <v>0</v>
      </c>
      <c r="CY128" s="373">
        <v>0</v>
      </c>
      <c r="CZ128" s="373">
        <v>0</v>
      </c>
      <c r="DA128" s="373">
        <v>0</v>
      </c>
      <c r="DB128" s="373">
        <v>0</v>
      </c>
      <c r="DC128" s="374">
        <v>0</v>
      </c>
      <c r="DD128" s="373">
        <v>0</v>
      </c>
      <c r="DE128" s="373">
        <v>0</v>
      </c>
      <c r="DF128" s="373">
        <v>0</v>
      </c>
      <c r="DG128" s="373">
        <v>0</v>
      </c>
      <c r="DH128" s="373">
        <v>0</v>
      </c>
      <c r="DI128" s="375">
        <f t="shared" si="279"/>
        <v>0</v>
      </c>
      <c r="DJ128" s="329"/>
      <c r="DK128" s="373">
        <v>0</v>
      </c>
      <c r="DL128" s="373">
        <v>0</v>
      </c>
      <c r="DM128" s="373">
        <v>0</v>
      </c>
      <c r="DN128" s="373">
        <v>0</v>
      </c>
      <c r="DO128" s="373">
        <v>0</v>
      </c>
      <c r="DP128" s="373">
        <v>0</v>
      </c>
      <c r="DQ128" s="374">
        <v>0</v>
      </c>
      <c r="DR128" s="373">
        <v>0</v>
      </c>
      <c r="DS128" s="373">
        <v>0</v>
      </c>
      <c r="DT128" s="373">
        <v>0</v>
      </c>
      <c r="DU128" s="373">
        <v>0</v>
      </c>
      <c r="DV128" s="373">
        <v>0</v>
      </c>
      <c r="DW128" s="375">
        <f t="shared" si="280"/>
        <v>0</v>
      </c>
      <c r="DY128" s="373">
        <v>0</v>
      </c>
      <c r="DZ128" s="373">
        <v>0</v>
      </c>
      <c r="EA128" s="373">
        <v>0</v>
      </c>
      <c r="EB128" s="373">
        <v>0</v>
      </c>
      <c r="EC128" s="373">
        <v>0</v>
      </c>
      <c r="ED128" s="373">
        <v>0</v>
      </c>
      <c r="EE128" s="374">
        <v>0</v>
      </c>
      <c r="EF128" s="373">
        <v>0</v>
      </c>
      <c r="EG128" s="373">
        <v>0</v>
      </c>
      <c r="EH128" s="373">
        <v>0</v>
      </c>
      <c r="EI128" s="373">
        <v>0</v>
      </c>
      <c r="EJ128" s="373">
        <v>0</v>
      </c>
      <c r="EK128" s="375">
        <f t="shared" si="281"/>
        <v>0</v>
      </c>
      <c r="EL128" s="177"/>
      <c r="EM128" s="373">
        <v>0</v>
      </c>
      <c r="EN128" s="373">
        <v>0</v>
      </c>
      <c r="EO128" s="373">
        <v>0</v>
      </c>
      <c r="EP128" s="373">
        <v>0</v>
      </c>
      <c r="EQ128" s="373">
        <v>0</v>
      </c>
      <c r="ER128" s="373">
        <v>0</v>
      </c>
      <c r="ES128" s="374">
        <v>0</v>
      </c>
      <c r="ET128" s="373">
        <v>0</v>
      </c>
      <c r="EU128" s="373">
        <v>0</v>
      </c>
      <c r="EV128" s="373">
        <v>0</v>
      </c>
      <c r="EW128" s="373">
        <v>0</v>
      </c>
      <c r="EX128" s="373">
        <v>0</v>
      </c>
      <c r="EY128" s="375">
        <f t="shared" si="283"/>
        <v>0</v>
      </c>
      <c r="EZ128" s="164">
        <v>0</v>
      </c>
      <c r="FA128" s="185">
        <v>0</v>
      </c>
    </row>
    <row r="129" spans="1:157" ht="18.75" customHeight="1">
      <c r="A129" s="210" t="s">
        <v>1039</v>
      </c>
      <c r="B129" s="774"/>
      <c r="C129" s="176" t="s">
        <v>1038</v>
      </c>
      <c r="D129" s="176">
        <v>60221000</v>
      </c>
      <c r="E129" s="773"/>
      <c r="F129" s="320" t="s">
        <v>1037</v>
      </c>
      <c r="G129" s="329"/>
      <c r="H129" s="373"/>
      <c r="I129" s="373"/>
      <c r="J129" s="373"/>
      <c r="K129" s="373"/>
      <c r="L129" s="373"/>
      <c r="M129" s="373"/>
      <c r="N129" s="374"/>
      <c r="O129" s="373"/>
      <c r="P129" s="373"/>
      <c r="Q129" s="373"/>
      <c r="R129" s="373"/>
      <c r="S129" s="377">
        <v>1462465</v>
      </c>
      <c r="T129" s="375">
        <f t="shared" si="268"/>
        <v>1462465</v>
      </c>
      <c r="U129" s="378">
        <f t="shared" si="269"/>
        <v>-6685</v>
      </c>
      <c r="V129" s="165">
        <f t="shared" si="270"/>
        <v>-4.5920400060448698E-3</v>
      </c>
      <c r="W129" s="329"/>
      <c r="X129" s="373">
        <v>121315</v>
      </c>
      <c r="Y129" s="373">
        <v>121315</v>
      </c>
      <c r="Z129" s="373">
        <v>121315</v>
      </c>
      <c r="AA129" s="373">
        <v>121315</v>
      </c>
      <c r="AB129" s="373">
        <v>121315</v>
      </c>
      <c r="AC129" s="373">
        <v>121315</v>
      </c>
      <c r="AD129" s="374">
        <v>121315</v>
      </c>
      <c r="AE129" s="373">
        <v>121315</v>
      </c>
      <c r="AF129" s="373">
        <v>121315</v>
      </c>
      <c r="AG129" s="373">
        <v>121315</v>
      </c>
      <c r="AH129" s="373">
        <v>121315</v>
      </c>
      <c r="AI129" s="373">
        <v>121315</v>
      </c>
      <c r="AJ129" s="375">
        <f t="shared" si="271"/>
        <v>1455780</v>
      </c>
      <c r="AK129" s="329"/>
      <c r="AL129" s="373">
        <v>500</v>
      </c>
      <c r="AM129" s="373">
        <v>0</v>
      </c>
      <c r="AN129" s="373">
        <v>0</v>
      </c>
      <c r="AO129" s="373">
        <v>0</v>
      </c>
      <c r="AP129" s="373">
        <v>500</v>
      </c>
      <c r="AQ129" s="373">
        <v>0</v>
      </c>
      <c r="AR129" s="374">
        <v>0</v>
      </c>
      <c r="AS129" s="373">
        <v>0</v>
      </c>
      <c r="AT129" s="373">
        <v>500</v>
      </c>
      <c r="AU129" s="373">
        <v>0</v>
      </c>
      <c r="AV129" s="373">
        <v>0</v>
      </c>
      <c r="AW129" s="373">
        <v>1455780</v>
      </c>
      <c r="AX129" s="375">
        <v>1457280</v>
      </c>
      <c r="AY129" s="378">
        <f t="shared" si="272"/>
        <v>31283.39000000013</v>
      </c>
      <c r="AZ129" s="165">
        <f t="shared" si="273"/>
        <v>2.1015826541320573E-2</v>
      </c>
      <c r="BA129" s="329"/>
      <c r="BB129" s="373">
        <v>0</v>
      </c>
      <c r="BC129" s="373">
        <v>0</v>
      </c>
      <c r="BD129" s="373">
        <v>345648.39</v>
      </c>
      <c r="BE129" s="373">
        <v>127700</v>
      </c>
      <c r="BF129" s="373">
        <v>127700</v>
      </c>
      <c r="BG129" s="373">
        <v>127700</v>
      </c>
      <c r="BH129" s="374">
        <v>127700</v>
      </c>
      <c r="BI129" s="373">
        <v>127700</v>
      </c>
      <c r="BJ129" s="373">
        <v>127700</v>
      </c>
      <c r="BK129" s="373">
        <v>127700</v>
      </c>
      <c r="BL129" s="373">
        <v>127700</v>
      </c>
      <c r="BM129" s="373">
        <v>121315</v>
      </c>
      <c r="BN129" s="375">
        <v>1488563.3900000001</v>
      </c>
      <c r="BO129" s="329"/>
      <c r="BP129" s="373">
        <v>50000</v>
      </c>
      <c r="BQ129" s="373">
        <v>199135.09090909091</v>
      </c>
      <c r="BR129" s="373">
        <v>199135.09090909091</v>
      </c>
      <c r="BS129" s="373">
        <v>199135.09090909091</v>
      </c>
      <c r="BT129" s="373">
        <v>199135.09090909091</v>
      </c>
      <c r="BU129" s="373">
        <v>199135.09090909091</v>
      </c>
      <c r="BV129" s="374">
        <v>199135.09090909091</v>
      </c>
      <c r="BW129" s="373">
        <v>199135.09090909091</v>
      </c>
      <c r="BX129" s="373">
        <v>199135.09090909091</v>
      </c>
      <c r="BY129" s="373">
        <v>199135.09090909091</v>
      </c>
      <c r="BZ129" s="373">
        <v>199135.09090909091</v>
      </c>
      <c r="CA129" s="373">
        <v>199135.09090909091</v>
      </c>
      <c r="CB129" s="375">
        <f t="shared" si="282"/>
        <v>2240485.9999999995</v>
      </c>
      <c r="CC129" s="378">
        <f t="shared" si="274"/>
        <v>751922.6099999994</v>
      </c>
      <c r="CD129" s="165">
        <f t="shared" si="275"/>
        <v>0.33560692189105379</v>
      </c>
      <c r="CE129" s="772"/>
      <c r="CF129" s="373">
        <v>0</v>
      </c>
      <c r="CG129" s="373">
        <v>0</v>
      </c>
      <c r="CH129" s="373">
        <v>0</v>
      </c>
      <c r="CI129" s="373">
        <v>0</v>
      </c>
      <c r="CJ129" s="373">
        <v>0</v>
      </c>
      <c r="CK129" s="373">
        <v>0</v>
      </c>
      <c r="CL129" s="374">
        <v>0</v>
      </c>
      <c r="CM129" s="373">
        <v>0</v>
      </c>
      <c r="CN129" s="373">
        <v>0</v>
      </c>
      <c r="CO129" s="373">
        <v>0</v>
      </c>
      <c r="CP129" s="373">
        <v>0</v>
      </c>
      <c r="CQ129" s="373">
        <v>0</v>
      </c>
      <c r="CR129" s="376">
        <v>0</v>
      </c>
      <c r="CS129" s="375">
        <f t="shared" si="276"/>
        <v>0</v>
      </c>
      <c r="CT129" s="378">
        <f t="shared" si="277"/>
        <v>-1488563.3900000001</v>
      </c>
      <c r="CU129" s="165" t="str">
        <f t="shared" si="278"/>
        <v>N/A</v>
      </c>
      <c r="CV129" s="329"/>
      <c r="CW129" s="373">
        <v>0</v>
      </c>
      <c r="CX129" s="373">
        <v>0</v>
      </c>
      <c r="CY129" s="373">
        <v>0</v>
      </c>
      <c r="CZ129" s="373">
        <v>0</v>
      </c>
      <c r="DA129" s="373">
        <v>0</v>
      </c>
      <c r="DB129" s="373">
        <v>0</v>
      </c>
      <c r="DC129" s="374">
        <v>0</v>
      </c>
      <c r="DD129" s="373">
        <v>0</v>
      </c>
      <c r="DE129" s="373">
        <v>0</v>
      </c>
      <c r="DF129" s="373">
        <v>0</v>
      </c>
      <c r="DG129" s="373">
        <v>0</v>
      </c>
      <c r="DH129" s="373">
        <v>0</v>
      </c>
      <c r="DI129" s="375">
        <f t="shared" si="279"/>
        <v>0</v>
      </c>
      <c r="DJ129" s="329"/>
      <c r="DK129" s="373">
        <v>0</v>
      </c>
      <c r="DL129" s="373">
        <v>0</v>
      </c>
      <c r="DM129" s="373">
        <v>0</v>
      </c>
      <c r="DN129" s="373">
        <v>0</v>
      </c>
      <c r="DO129" s="373">
        <v>0</v>
      </c>
      <c r="DP129" s="373">
        <v>0</v>
      </c>
      <c r="DQ129" s="374">
        <v>0</v>
      </c>
      <c r="DR129" s="373">
        <v>0</v>
      </c>
      <c r="DS129" s="373">
        <v>0</v>
      </c>
      <c r="DT129" s="373">
        <v>0</v>
      </c>
      <c r="DU129" s="373">
        <v>0</v>
      </c>
      <c r="DV129" s="373">
        <v>0</v>
      </c>
      <c r="DW129" s="375">
        <f t="shared" si="280"/>
        <v>0</v>
      </c>
      <c r="DY129" s="373">
        <v>0</v>
      </c>
      <c r="DZ129" s="373">
        <v>0</v>
      </c>
      <c r="EA129" s="373">
        <v>0</v>
      </c>
      <c r="EB129" s="373">
        <v>0</v>
      </c>
      <c r="EC129" s="373">
        <v>0</v>
      </c>
      <c r="ED129" s="373">
        <v>0</v>
      </c>
      <c r="EE129" s="374">
        <v>0</v>
      </c>
      <c r="EF129" s="373">
        <v>0</v>
      </c>
      <c r="EG129" s="373">
        <v>0</v>
      </c>
      <c r="EH129" s="373">
        <v>0</v>
      </c>
      <c r="EI129" s="373">
        <v>0</v>
      </c>
      <c r="EJ129" s="373">
        <v>0</v>
      </c>
      <c r="EK129" s="375">
        <f t="shared" si="281"/>
        <v>0</v>
      </c>
      <c r="EL129" s="177"/>
      <c r="EM129" s="373">
        <v>0</v>
      </c>
      <c r="EN129" s="373">
        <v>0</v>
      </c>
      <c r="EO129" s="373">
        <v>0</v>
      </c>
      <c r="EP129" s="373">
        <v>0</v>
      </c>
      <c r="EQ129" s="373">
        <v>0</v>
      </c>
      <c r="ER129" s="373">
        <v>0</v>
      </c>
      <c r="ES129" s="374">
        <v>0</v>
      </c>
      <c r="ET129" s="373">
        <v>0</v>
      </c>
      <c r="EU129" s="373">
        <v>0</v>
      </c>
      <c r="EV129" s="373">
        <v>0</v>
      </c>
      <c r="EW129" s="373">
        <v>0</v>
      </c>
      <c r="EX129" s="373">
        <v>0</v>
      </c>
      <c r="EY129" s="375">
        <f t="shared" si="283"/>
        <v>0</v>
      </c>
      <c r="EZ129" s="164">
        <v>0</v>
      </c>
      <c r="FA129" s="185">
        <v>0</v>
      </c>
    </row>
    <row r="130" spans="1:157" ht="18.75" customHeight="1" outlineLevel="1">
      <c r="A130" s="185" t="s">
        <v>329</v>
      </c>
      <c r="B130" s="774"/>
      <c r="C130" s="176" t="s">
        <v>1036</v>
      </c>
      <c r="D130" s="176">
        <v>60301000</v>
      </c>
      <c r="E130" s="773"/>
      <c r="F130" s="320" t="s">
        <v>333</v>
      </c>
      <c r="G130" s="329"/>
      <c r="H130" s="373"/>
      <c r="I130" s="373"/>
      <c r="J130" s="373"/>
      <c r="K130" s="373"/>
      <c r="L130" s="373"/>
      <c r="M130" s="373"/>
      <c r="N130" s="374"/>
      <c r="O130" s="373"/>
      <c r="P130" s="373"/>
      <c r="Q130" s="373"/>
      <c r="R130" s="373"/>
      <c r="S130" s="403">
        <v>299267</v>
      </c>
      <c r="T130" s="375">
        <f t="shared" si="268"/>
        <v>299267</v>
      </c>
      <c r="U130" s="378">
        <f t="shared" si="269"/>
        <v>270664.35000000009</v>
      </c>
      <c r="V130" s="165">
        <f t="shared" si="270"/>
        <v>0.47490693396669625</v>
      </c>
      <c r="W130" s="329"/>
      <c r="X130" s="373">
        <v>0</v>
      </c>
      <c r="Y130" s="373">
        <v>0</v>
      </c>
      <c r="Z130" s="373">
        <v>734</v>
      </c>
      <c r="AA130" s="373">
        <v>0</v>
      </c>
      <c r="AB130" s="373">
        <v>0</v>
      </c>
      <c r="AC130" s="373">
        <v>0</v>
      </c>
      <c r="AD130" s="374">
        <v>116644.5</v>
      </c>
      <c r="AE130" s="373">
        <v>111883.8</v>
      </c>
      <c r="AF130" s="373">
        <v>113963.85</v>
      </c>
      <c r="AG130" s="373">
        <v>113689.2</v>
      </c>
      <c r="AH130" s="373">
        <v>0</v>
      </c>
      <c r="AI130" s="373">
        <v>113016</v>
      </c>
      <c r="AJ130" s="375">
        <f t="shared" si="271"/>
        <v>569931.35000000009</v>
      </c>
      <c r="AK130" s="329"/>
      <c r="AL130" s="373">
        <v>0</v>
      </c>
      <c r="AM130" s="373">
        <v>0</v>
      </c>
      <c r="AN130" s="373">
        <v>0</v>
      </c>
      <c r="AO130" s="373">
        <v>0</v>
      </c>
      <c r="AP130" s="373">
        <v>0</v>
      </c>
      <c r="AQ130" s="373">
        <v>0</v>
      </c>
      <c r="AR130" s="374">
        <v>0</v>
      </c>
      <c r="AS130" s="373">
        <v>0</v>
      </c>
      <c r="AT130" s="373">
        <v>0</v>
      </c>
      <c r="AU130" s="373">
        <v>0</v>
      </c>
      <c r="AV130" s="373">
        <v>0</v>
      </c>
      <c r="AW130" s="373">
        <v>0</v>
      </c>
      <c r="AX130" s="375">
        <v>0</v>
      </c>
      <c r="AY130" s="378">
        <f t="shared" si="272"/>
        <v>121347.9</v>
      </c>
      <c r="AZ130" s="165">
        <f t="shared" si="273"/>
        <v>1</v>
      </c>
      <c r="BA130" s="329"/>
      <c r="BB130" s="373">
        <v>0</v>
      </c>
      <c r="BC130" s="373">
        <v>0</v>
      </c>
      <c r="BD130" s="373">
        <v>0</v>
      </c>
      <c r="BE130" s="373">
        <v>0</v>
      </c>
      <c r="BF130" s="373">
        <v>0</v>
      </c>
      <c r="BG130" s="373">
        <v>0</v>
      </c>
      <c r="BH130" s="374">
        <v>0</v>
      </c>
      <c r="BI130" s="373">
        <v>0</v>
      </c>
      <c r="BJ130" s="373">
        <v>0</v>
      </c>
      <c r="BK130" s="373">
        <v>0</v>
      </c>
      <c r="BL130" s="373">
        <v>0</v>
      </c>
      <c r="BM130" s="373">
        <v>121347.9</v>
      </c>
      <c r="BN130" s="375">
        <v>121347.9</v>
      </c>
      <c r="BO130" s="329"/>
      <c r="BP130" s="373">
        <v>0</v>
      </c>
      <c r="BQ130" s="373">
        <v>0</v>
      </c>
      <c r="BR130" s="373">
        <v>0</v>
      </c>
      <c r="BS130" s="373">
        <v>0</v>
      </c>
      <c r="BT130" s="373">
        <v>0</v>
      </c>
      <c r="BU130" s="373">
        <v>0</v>
      </c>
      <c r="BV130" s="374">
        <v>0</v>
      </c>
      <c r="BW130" s="373">
        <v>0</v>
      </c>
      <c r="BX130" s="373">
        <v>0</v>
      </c>
      <c r="BY130" s="373">
        <v>0</v>
      </c>
      <c r="BZ130" s="373">
        <v>0</v>
      </c>
      <c r="CA130" s="373">
        <v>0</v>
      </c>
      <c r="CB130" s="375">
        <f t="shared" si="282"/>
        <v>0</v>
      </c>
      <c r="CC130" s="378">
        <f t="shared" si="274"/>
        <v>-121347.9</v>
      </c>
      <c r="CD130" s="165" t="str">
        <f t="shared" si="275"/>
        <v>N/A</v>
      </c>
      <c r="CE130" s="772"/>
      <c r="CF130" s="373">
        <v>0</v>
      </c>
      <c r="CG130" s="373">
        <v>0</v>
      </c>
      <c r="CH130" s="373">
        <v>0</v>
      </c>
      <c r="CI130" s="373">
        <v>0</v>
      </c>
      <c r="CJ130" s="373">
        <v>0</v>
      </c>
      <c r="CK130" s="373">
        <v>0</v>
      </c>
      <c r="CL130" s="374">
        <v>0</v>
      </c>
      <c r="CM130" s="373">
        <v>0</v>
      </c>
      <c r="CN130" s="373">
        <v>0</v>
      </c>
      <c r="CO130" s="373">
        <v>0</v>
      </c>
      <c r="CP130" s="373">
        <v>0</v>
      </c>
      <c r="CQ130" s="373">
        <v>0</v>
      </c>
      <c r="CR130" s="376">
        <v>0</v>
      </c>
      <c r="CS130" s="375">
        <f t="shared" si="276"/>
        <v>0</v>
      </c>
      <c r="CT130" s="378">
        <f t="shared" si="277"/>
        <v>-121347.9</v>
      </c>
      <c r="CU130" s="165" t="str">
        <f t="shared" si="278"/>
        <v>N/A</v>
      </c>
      <c r="CV130" s="329"/>
      <c r="CW130" s="373">
        <v>0</v>
      </c>
      <c r="CX130" s="373">
        <v>0</v>
      </c>
      <c r="CY130" s="373">
        <v>0</v>
      </c>
      <c r="CZ130" s="373">
        <v>0</v>
      </c>
      <c r="DA130" s="373">
        <v>0</v>
      </c>
      <c r="DB130" s="373">
        <v>0</v>
      </c>
      <c r="DC130" s="374">
        <v>0</v>
      </c>
      <c r="DD130" s="373">
        <v>0</v>
      </c>
      <c r="DE130" s="373">
        <v>0</v>
      </c>
      <c r="DF130" s="373">
        <v>0</v>
      </c>
      <c r="DG130" s="373">
        <v>0</v>
      </c>
      <c r="DH130" s="373">
        <v>0</v>
      </c>
      <c r="DI130" s="375">
        <f t="shared" si="279"/>
        <v>0</v>
      </c>
      <c r="DJ130" s="329"/>
      <c r="DK130" s="373">
        <v>0</v>
      </c>
      <c r="DL130" s="373">
        <v>0</v>
      </c>
      <c r="DM130" s="373">
        <v>0</v>
      </c>
      <c r="DN130" s="373">
        <v>0</v>
      </c>
      <c r="DO130" s="373">
        <v>0</v>
      </c>
      <c r="DP130" s="373">
        <v>0</v>
      </c>
      <c r="DQ130" s="374">
        <v>0</v>
      </c>
      <c r="DR130" s="373">
        <v>0</v>
      </c>
      <c r="DS130" s="373">
        <v>0</v>
      </c>
      <c r="DT130" s="373">
        <v>0</v>
      </c>
      <c r="DU130" s="373">
        <v>0</v>
      </c>
      <c r="DV130" s="373">
        <v>0</v>
      </c>
      <c r="DW130" s="375">
        <f t="shared" si="280"/>
        <v>0</v>
      </c>
      <c r="DY130" s="373">
        <v>0</v>
      </c>
      <c r="DZ130" s="373">
        <v>0</v>
      </c>
      <c r="EA130" s="373">
        <v>0</v>
      </c>
      <c r="EB130" s="373">
        <v>0</v>
      </c>
      <c r="EC130" s="373">
        <v>0</v>
      </c>
      <c r="ED130" s="373">
        <v>0</v>
      </c>
      <c r="EE130" s="374">
        <v>0</v>
      </c>
      <c r="EF130" s="373">
        <v>0</v>
      </c>
      <c r="EG130" s="373">
        <v>0</v>
      </c>
      <c r="EH130" s="373">
        <v>0</v>
      </c>
      <c r="EI130" s="373">
        <v>0</v>
      </c>
      <c r="EJ130" s="373">
        <v>0</v>
      </c>
      <c r="EK130" s="375">
        <f t="shared" si="281"/>
        <v>0</v>
      </c>
      <c r="EL130" s="177"/>
      <c r="EM130" s="373">
        <v>0</v>
      </c>
      <c r="EN130" s="373">
        <v>0</v>
      </c>
      <c r="EO130" s="373">
        <v>0</v>
      </c>
      <c r="EP130" s="373">
        <v>0</v>
      </c>
      <c r="EQ130" s="373">
        <v>0</v>
      </c>
      <c r="ER130" s="373">
        <v>0</v>
      </c>
      <c r="ES130" s="374">
        <v>0</v>
      </c>
      <c r="ET130" s="373">
        <v>0</v>
      </c>
      <c r="EU130" s="373">
        <v>0</v>
      </c>
      <c r="EV130" s="373">
        <v>0</v>
      </c>
      <c r="EW130" s="373">
        <v>0</v>
      </c>
      <c r="EX130" s="373">
        <v>0</v>
      </c>
      <c r="EY130" s="375">
        <f t="shared" si="283"/>
        <v>0</v>
      </c>
      <c r="EZ130" s="164">
        <v>0</v>
      </c>
      <c r="FA130" s="185">
        <v>0</v>
      </c>
    </row>
    <row r="131" spans="1:157" ht="18.75" customHeight="1">
      <c r="A131" s="185" t="s">
        <v>329</v>
      </c>
      <c r="B131" s="774"/>
      <c r="C131" s="176" t="s">
        <v>1035</v>
      </c>
      <c r="D131" s="176">
        <v>60302000</v>
      </c>
      <c r="E131" s="773"/>
      <c r="F131" s="320" t="s">
        <v>644</v>
      </c>
      <c r="G131" s="329"/>
      <c r="H131" s="373"/>
      <c r="I131" s="373"/>
      <c r="J131" s="373"/>
      <c r="K131" s="373"/>
      <c r="L131" s="373"/>
      <c r="M131" s="373"/>
      <c r="N131" s="374"/>
      <c r="O131" s="373"/>
      <c r="P131" s="373"/>
      <c r="Q131" s="373"/>
      <c r="R131" s="373"/>
      <c r="S131" s="377">
        <v>1010740</v>
      </c>
      <c r="T131" s="375">
        <f t="shared" si="268"/>
        <v>1010740</v>
      </c>
      <c r="U131" s="378">
        <f t="shared" si="269"/>
        <v>271078.84000000008</v>
      </c>
      <c r="V131" s="165">
        <f t="shared" si="270"/>
        <v>0.21147983750964378</v>
      </c>
      <c r="W131" s="954"/>
      <c r="X131" s="373">
        <v>24631.979999999996</v>
      </c>
      <c r="Y131" s="373">
        <v>49919.15</v>
      </c>
      <c r="Z131" s="373">
        <v>39032.89</v>
      </c>
      <c r="AA131" s="373">
        <v>63135.15</v>
      </c>
      <c r="AB131" s="373">
        <v>62167.17</v>
      </c>
      <c r="AC131" s="373">
        <v>91324.71</v>
      </c>
      <c r="AD131" s="374">
        <v>214283.25</v>
      </c>
      <c r="AE131" s="373">
        <v>56126.02</v>
      </c>
      <c r="AF131" s="373">
        <v>92114.31</v>
      </c>
      <c r="AG131" s="373">
        <v>128732.12000000001</v>
      </c>
      <c r="AH131" s="373">
        <v>67750.84</v>
      </c>
      <c r="AI131" s="373">
        <v>392601.25</v>
      </c>
      <c r="AJ131" s="375">
        <f t="shared" si="271"/>
        <v>1281818.8400000001</v>
      </c>
      <c r="AK131" s="954"/>
      <c r="AL131" s="373">
        <v>31808.116666666669</v>
      </c>
      <c r="AM131" s="373">
        <v>5666.6666666666642</v>
      </c>
      <c r="AN131" s="373">
        <v>36716.666666666657</v>
      </c>
      <c r="AO131" s="373">
        <v>5666.666666666667</v>
      </c>
      <c r="AP131" s="373">
        <v>5466.666666666667</v>
      </c>
      <c r="AQ131" s="373">
        <v>36916.666666666664</v>
      </c>
      <c r="AR131" s="374">
        <v>14967.836666666666</v>
      </c>
      <c r="AS131" s="373">
        <v>5666.666666666667</v>
      </c>
      <c r="AT131" s="373">
        <v>36716.666666666664</v>
      </c>
      <c r="AU131" s="373">
        <v>5666.6666666666642</v>
      </c>
      <c r="AV131" s="373">
        <v>5466.666666666667</v>
      </c>
      <c r="AW131" s="373">
        <v>562692.66666666674</v>
      </c>
      <c r="AX131" s="375">
        <v>741419</v>
      </c>
      <c r="AY131" s="378">
        <f t="shared" si="272"/>
        <v>-26145.569999999949</v>
      </c>
      <c r="AZ131" s="165">
        <f t="shared" si="273"/>
        <v>-3.6553252089903503E-2</v>
      </c>
      <c r="BA131" s="954"/>
      <c r="BB131" s="373">
        <v>77771.920000000013</v>
      </c>
      <c r="BC131" s="373">
        <v>62966.170000000013</v>
      </c>
      <c r="BD131" s="373">
        <v>38531.74</v>
      </c>
      <c r="BE131" s="373">
        <v>54718.93</v>
      </c>
      <c r="BF131" s="373">
        <v>25472.7</v>
      </c>
      <c r="BG131" s="373">
        <v>84624.54</v>
      </c>
      <c r="BH131" s="374">
        <v>31868.19</v>
      </c>
      <c r="BI131" s="373">
        <v>43481.78</v>
      </c>
      <c r="BJ131" s="373">
        <v>82959.33</v>
      </c>
      <c r="BK131" s="373">
        <v>55999.25</v>
      </c>
      <c r="BL131" s="373">
        <v>50688.880000000005</v>
      </c>
      <c r="BM131" s="373">
        <v>111935.5</v>
      </c>
      <c r="BN131" s="375">
        <v>715273.43</v>
      </c>
      <c r="BO131" s="954"/>
      <c r="BP131" s="373">
        <v>77152.833333333343</v>
      </c>
      <c r="BQ131" s="373">
        <v>77152.833333333343</v>
      </c>
      <c r="BR131" s="373">
        <v>80857.833333333343</v>
      </c>
      <c r="BS131" s="373">
        <v>77152.833333333343</v>
      </c>
      <c r="BT131" s="373">
        <v>77152.833333333343</v>
      </c>
      <c r="BU131" s="373">
        <v>80857.833333333343</v>
      </c>
      <c r="BV131" s="374">
        <v>77152.833333333343</v>
      </c>
      <c r="BW131" s="373">
        <v>77152.833333333343</v>
      </c>
      <c r="BX131" s="373">
        <v>80857.833333333343</v>
      </c>
      <c r="BY131" s="373">
        <v>77152.833333333343</v>
      </c>
      <c r="BZ131" s="373">
        <v>72652.833333333343</v>
      </c>
      <c r="CA131" s="373">
        <v>91061.833333333343</v>
      </c>
      <c r="CB131" s="375">
        <f t="shared" si="282"/>
        <v>946358.00000000035</v>
      </c>
      <c r="CC131" s="378">
        <f t="shared" si="274"/>
        <v>231084.5700000003</v>
      </c>
      <c r="CD131" s="165">
        <f t="shared" si="275"/>
        <v>0.2441830364407552</v>
      </c>
      <c r="CE131" s="772"/>
      <c r="CF131" s="373">
        <v>125801.43000000001</v>
      </c>
      <c r="CG131" s="373">
        <v>73555.649999999994</v>
      </c>
      <c r="CH131" s="373">
        <v>168049.36000000002</v>
      </c>
      <c r="CI131" s="373">
        <v>145634.03</v>
      </c>
      <c r="CJ131" s="373">
        <v>145559.31</v>
      </c>
      <c r="CK131" s="373">
        <v>197387.80000000002</v>
      </c>
      <c r="CL131" s="374">
        <v>140107.21000000002</v>
      </c>
      <c r="CM131" s="373">
        <v>114615.84000000001</v>
      </c>
      <c r="CN131" s="373">
        <v>92517.33</v>
      </c>
      <c r="CO131" s="373">
        <v>185453.76</v>
      </c>
      <c r="CP131" s="373">
        <v>93320.19</v>
      </c>
      <c r="CQ131" s="373">
        <v>46375.799999999996</v>
      </c>
      <c r="CR131" s="376">
        <v>0</v>
      </c>
      <c r="CS131" s="375">
        <f t="shared" si="276"/>
        <v>1528377.7100000002</v>
      </c>
      <c r="CT131" s="378">
        <f t="shared" si="277"/>
        <v>813104.28000000014</v>
      </c>
      <c r="CU131" s="165">
        <f t="shared" si="278"/>
        <v>0.53200480135240913</v>
      </c>
      <c r="CV131" s="329"/>
      <c r="CW131" s="373">
        <v>41522.019999999997</v>
      </c>
      <c r="CX131" s="373">
        <v>10239.66</v>
      </c>
      <c r="CY131" s="373">
        <v>33449.75</v>
      </c>
      <c r="CZ131" s="373">
        <v>21218.42</v>
      </c>
      <c r="DA131" s="373">
        <v>29528.59</v>
      </c>
      <c r="DB131" s="373">
        <v>69159.45</v>
      </c>
      <c r="DC131" s="374">
        <v>52325.67</v>
      </c>
      <c r="DD131" s="373">
        <v>56921.919999999998</v>
      </c>
      <c r="DE131" s="373">
        <v>18143.73</v>
      </c>
      <c r="DF131" s="373">
        <v>50708.87</v>
      </c>
      <c r="DG131" s="373">
        <v>25058.880000000001</v>
      </c>
      <c r="DH131" s="373">
        <v>144966.44</v>
      </c>
      <c r="DI131" s="375">
        <f t="shared" si="279"/>
        <v>553243.39999999991</v>
      </c>
      <c r="DJ131" s="329"/>
      <c r="DK131" s="373">
        <v>26858.97</v>
      </c>
      <c r="DL131" s="373">
        <v>42461.27</v>
      </c>
      <c r="DM131" s="373">
        <v>27888.560000000001</v>
      </c>
      <c r="DN131" s="373">
        <v>80519.950000000012</v>
      </c>
      <c r="DO131" s="373">
        <v>25771.9</v>
      </c>
      <c r="DP131" s="373">
        <v>37828.409999999996</v>
      </c>
      <c r="DQ131" s="374">
        <v>61782.34</v>
      </c>
      <c r="DR131" s="373">
        <v>32974.519999999997</v>
      </c>
      <c r="DS131" s="373">
        <v>25428.13</v>
      </c>
      <c r="DT131" s="373">
        <v>254301.38000000003</v>
      </c>
      <c r="DU131" s="373">
        <v>22190.98</v>
      </c>
      <c r="DV131" s="373">
        <v>57448.65</v>
      </c>
      <c r="DW131" s="375">
        <f t="shared" si="280"/>
        <v>695455.06</v>
      </c>
      <c r="DY131" s="373">
        <v>29112.67</v>
      </c>
      <c r="DZ131" s="373">
        <v>14707.3</v>
      </c>
      <c r="EA131" s="373">
        <v>35008.019999999997</v>
      </c>
      <c r="EB131" s="373">
        <v>19044.72</v>
      </c>
      <c r="EC131" s="373">
        <v>43100.93</v>
      </c>
      <c r="ED131" s="373">
        <v>50284.04</v>
      </c>
      <c r="EE131" s="374">
        <v>23340.240000000002</v>
      </c>
      <c r="EF131" s="373">
        <v>24777.64</v>
      </c>
      <c r="EG131" s="373">
        <v>25586.080000000002</v>
      </c>
      <c r="EH131" s="373">
        <v>25131.25</v>
      </c>
      <c r="EI131" s="373">
        <v>16256.3</v>
      </c>
      <c r="EJ131" s="373">
        <v>60645.35</v>
      </c>
      <c r="EK131" s="375">
        <f t="shared" si="281"/>
        <v>366994.54</v>
      </c>
      <c r="EL131" s="177"/>
      <c r="EM131" s="373">
        <v>17655</v>
      </c>
      <c r="EN131" s="373">
        <v>28009.15</v>
      </c>
      <c r="EO131" s="373">
        <v>39469.72</v>
      </c>
      <c r="EP131" s="373">
        <v>24052.82</v>
      </c>
      <c r="EQ131" s="373">
        <v>27684.69</v>
      </c>
      <c r="ER131" s="373">
        <v>68675.27</v>
      </c>
      <c r="ES131" s="374">
        <v>23738.99</v>
      </c>
      <c r="ET131" s="373">
        <v>19695.43</v>
      </c>
      <c r="EU131" s="373">
        <v>30925.349999999995</v>
      </c>
      <c r="EV131" s="373">
        <v>33161.620000000003</v>
      </c>
      <c r="EW131" s="373">
        <v>27914.89</v>
      </c>
      <c r="EX131" s="373">
        <v>67388.259999999995</v>
      </c>
      <c r="EY131" s="375">
        <f t="shared" si="283"/>
        <v>408371.19</v>
      </c>
      <c r="EZ131" s="164">
        <v>0</v>
      </c>
      <c r="FA131" s="185">
        <v>0</v>
      </c>
    </row>
    <row r="132" spans="1:157" ht="18.75" customHeight="1">
      <c r="A132" s="185" t="s">
        <v>608</v>
      </c>
      <c r="B132" s="774"/>
      <c r="C132" s="176" t="s">
        <v>1034</v>
      </c>
      <c r="D132" s="176">
        <v>60302100</v>
      </c>
      <c r="E132" s="773"/>
      <c r="F132" s="320" t="s">
        <v>645</v>
      </c>
      <c r="G132" s="329"/>
      <c r="H132" s="373"/>
      <c r="I132" s="373"/>
      <c r="J132" s="373"/>
      <c r="K132" s="373"/>
      <c r="L132" s="373"/>
      <c r="M132" s="373"/>
      <c r="N132" s="374"/>
      <c r="O132" s="373"/>
      <c r="P132" s="373"/>
      <c r="Q132" s="373"/>
      <c r="R132" s="373"/>
      <c r="S132" s="377">
        <v>12000</v>
      </c>
      <c r="T132" s="375">
        <f t="shared" si="268"/>
        <v>12000</v>
      </c>
      <c r="U132" s="378">
        <f t="shared" si="269"/>
        <v>-12000</v>
      </c>
      <c r="V132" s="165" t="e">
        <f t="shared" si="270"/>
        <v>#DIV/0!</v>
      </c>
      <c r="W132" s="329"/>
      <c r="X132" s="373">
        <v>0</v>
      </c>
      <c r="Y132" s="373">
        <v>0</v>
      </c>
      <c r="Z132" s="373">
        <v>0</v>
      </c>
      <c r="AA132" s="373">
        <v>0</v>
      </c>
      <c r="AB132" s="373">
        <v>0</v>
      </c>
      <c r="AC132" s="373">
        <v>0</v>
      </c>
      <c r="AD132" s="374">
        <v>0</v>
      </c>
      <c r="AE132" s="373">
        <v>0</v>
      </c>
      <c r="AF132" s="373">
        <v>0</v>
      </c>
      <c r="AG132" s="373">
        <v>0</v>
      </c>
      <c r="AH132" s="373">
        <v>0</v>
      </c>
      <c r="AI132" s="373">
        <v>0</v>
      </c>
      <c r="AJ132" s="375">
        <f t="shared" si="271"/>
        <v>0</v>
      </c>
      <c r="AK132" s="329"/>
      <c r="AL132" s="373">
        <v>0</v>
      </c>
      <c r="AM132" s="373">
        <v>0</v>
      </c>
      <c r="AN132" s="373">
        <v>0</v>
      </c>
      <c r="AO132" s="373">
        <v>0</v>
      </c>
      <c r="AP132" s="373">
        <v>0</v>
      </c>
      <c r="AQ132" s="373">
        <v>0</v>
      </c>
      <c r="AR132" s="374">
        <v>0</v>
      </c>
      <c r="AS132" s="373">
        <v>0</v>
      </c>
      <c r="AT132" s="373">
        <v>0</v>
      </c>
      <c r="AU132" s="373">
        <v>0</v>
      </c>
      <c r="AV132" s="373">
        <v>0</v>
      </c>
      <c r="AW132" s="373">
        <v>0</v>
      </c>
      <c r="AX132" s="375">
        <v>12000</v>
      </c>
      <c r="AY132" s="378">
        <f t="shared" si="272"/>
        <v>-12000</v>
      </c>
      <c r="AZ132" s="165" t="e">
        <f t="shared" si="273"/>
        <v>#DIV/0!</v>
      </c>
      <c r="BA132" s="329"/>
      <c r="BB132" s="373">
        <v>0</v>
      </c>
      <c r="BC132" s="373">
        <v>0</v>
      </c>
      <c r="BD132" s="373">
        <v>0</v>
      </c>
      <c r="BE132" s="373">
        <v>0</v>
      </c>
      <c r="BF132" s="373">
        <v>0</v>
      </c>
      <c r="BG132" s="373">
        <v>0</v>
      </c>
      <c r="BH132" s="374">
        <v>0</v>
      </c>
      <c r="BI132" s="373">
        <v>0</v>
      </c>
      <c r="BJ132" s="373">
        <v>0</v>
      </c>
      <c r="BK132" s="373">
        <v>0</v>
      </c>
      <c r="BL132" s="373">
        <v>0</v>
      </c>
      <c r="BM132" s="373">
        <v>0</v>
      </c>
      <c r="BN132" s="375">
        <f t="shared" si="284"/>
        <v>0</v>
      </c>
      <c r="BO132" s="329"/>
      <c r="BP132" s="373">
        <v>0</v>
      </c>
      <c r="BQ132" s="373">
        <v>0</v>
      </c>
      <c r="BR132" s="373">
        <v>0</v>
      </c>
      <c r="BS132" s="373">
        <v>0</v>
      </c>
      <c r="BT132" s="373">
        <v>0</v>
      </c>
      <c r="BU132" s="373">
        <v>0</v>
      </c>
      <c r="BV132" s="374">
        <v>0</v>
      </c>
      <c r="BW132" s="373">
        <v>0</v>
      </c>
      <c r="BX132" s="373">
        <v>0</v>
      </c>
      <c r="BY132" s="373">
        <v>0</v>
      </c>
      <c r="BZ132" s="373">
        <v>0</v>
      </c>
      <c r="CA132" s="373">
        <v>0</v>
      </c>
      <c r="CB132" s="375">
        <f t="shared" si="282"/>
        <v>0</v>
      </c>
      <c r="CC132" s="378">
        <f t="shared" si="274"/>
        <v>0</v>
      </c>
      <c r="CD132" s="165" t="str">
        <f t="shared" si="275"/>
        <v>N/A</v>
      </c>
      <c r="CE132" s="772"/>
      <c r="CF132" s="373">
        <v>0</v>
      </c>
      <c r="CG132" s="373">
        <v>0</v>
      </c>
      <c r="CH132" s="373">
        <v>0</v>
      </c>
      <c r="CI132" s="373">
        <v>816.6</v>
      </c>
      <c r="CJ132" s="373">
        <v>0</v>
      </c>
      <c r="CK132" s="373">
        <v>0</v>
      </c>
      <c r="CL132" s="374">
        <v>0</v>
      </c>
      <c r="CM132" s="373">
        <v>0</v>
      </c>
      <c r="CN132" s="373">
        <v>0</v>
      </c>
      <c r="CO132" s="373">
        <v>0</v>
      </c>
      <c r="CP132" s="373">
        <v>0</v>
      </c>
      <c r="CQ132" s="373">
        <v>0</v>
      </c>
      <c r="CR132" s="376">
        <v>0</v>
      </c>
      <c r="CS132" s="375">
        <f t="shared" si="276"/>
        <v>816.6</v>
      </c>
      <c r="CT132" s="378">
        <f t="shared" si="277"/>
        <v>816.6</v>
      </c>
      <c r="CU132" s="165">
        <f t="shared" si="278"/>
        <v>1</v>
      </c>
      <c r="CV132" s="329"/>
      <c r="CW132" s="373">
        <v>87169.15</v>
      </c>
      <c r="CX132" s="373">
        <v>101296.66</v>
      </c>
      <c r="CY132" s="373">
        <v>102029.39</v>
      </c>
      <c r="CZ132" s="373">
        <v>78295.199999999997</v>
      </c>
      <c r="DA132" s="373">
        <v>113253.25</v>
      </c>
      <c r="DB132" s="373">
        <v>74355.710000000006</v>
      </c>
      <c r="DC132" s="374">
        <v>110898.41</v>
      </c>
      <c r="DD132" s="373">
        <v>100933.49</v>
      </c>
      <c r="DE132" s="373">
        <v>99326.49</v>
      </c>
      <c r="DF132" s="373">
        <v>135662.26</v>
      </c>
      <c r="DG132" s="373">
        <v>83324.13</v>
      </c>
      <c r="DH132" s="373">
        <v>0</v>
      </c>
      <c r="DI132" s="375">
        <f t="shared" si="279"/>
        <v>1086544.1400000001</v>
      </c>
      <c r="DJ132" s="329"/>
      <c r="DK132" s="373">
        <v>83711.600000000006</v>
      </c>
      <c r="DL132" s="373">
        <v>101347.11</v>
      </c>
      <c r="DM132" s="373">
        <v>97787.98</v>
      </c>
      <c r="DN132" s="373">
        <v>75588.34</v>
      </c>
      <c r="DO132" s="373">
        <v>96193.01</v>
      </c>
      <c r="DP132" s="373">
        <v>108889.29</v>
      </c>
      <c r="DQ132" s="374">
        <v>72227.34</v>
      </c>
      <c r="DR132" s="373">
        <v>126403.06</v>
      </c>
      <c r="DS132" s="373">
        <v>105758.36</v>
      </c>
      <c r="DT132" s="373">
        <v>123357.6</v>
      </c>
      <c r="DU132" s="373">
        <v>89784.9</v>
      </c>
      <c r="DV132" s="373">
        <v>97625.38</v>
      </c>
      <c r="DW132" s="375">
        <f t="shared" si="280"/>
        <v>1178673.9699999997</v>
      </c>
      <c r="DY132" s="373">
        <v>74705.2</v>
      </c>
      <c r="DZ132" s="373">
        <v>74144.95</v>
      </c>
      <c r="EA132" s="373">
        <v>109590.23</v>
      </c>
      <c r="EB132" s="373">
        <v>61905.38</v>
      </c>
      <c r="EC132" s="373">
        <v>79181.42</v>
      </c>
      <c r="ED132" s="373">
        <v>92643.86</v>
      </c>
      <c r="EE132" s="374">
        <v>60894.1</v>
      </c>
      <c r="EF132" s="373">
        <v>86468.85</v>
      </c>
      <c r="EG132" s="373">
        <v>92470.28</v>
      </c>
      <c r="EH132" s="373">
        <v>95397.41</v>
      </c>
      <c r="EI132" s="373">
        <v>94628.38</v>
      </c>
      <c r="EJ132" s="373">
        <v>92381.77</v>
      </c>
      <c r="EK132" s="375">
        <f t="shared" si="281"/>
        <v>1014411.8300000001</v>
      </c>
      <c r="EL132" s="177"/>
      <c r="EM132" s="373">
        <v>84703.35</v>
      </c>
      <c r="EN132" s="373">
        <v>51107.95</v>
      </c>
      <c r="EO132" s="373">
        <v>92917.4</v>
      </c>
      <c r="EP132" s="373">
        <v>49187.69</v>
      </c>
      <c r="EQ132" s="373">
        <v>58973.3</v>
      </c>
      <c r="ER132" s="373">
        <v>67823.039999999994</v>
      </c>
      <c r="ES132" s="374">
        <v>77330.89</v>
      </c>
      <c r="ET132" s="373">
        <v>64847</v>
      </c>
      <c r="EU132" s="373">
        <v>90251.03</v>
      </c>
      <c r="EV132" s="373">
        <v>73433.740000000005</v>
      </c>
      <c r="EW132" s="373">
        <v>71859.25</v>
      </c>
      <c r="EX132" s="373">
        <v>84351.29</v>
      </c>
      <c r="EY132" s="375">
        <f t="shared" si="283"/>
        <v>866785.93</v>
      </c>
      <c r="EZ132" s="164">
        <v>0</v>
      </c>
      <c r="FA132" s="185">
        <v>0</v>
      </c>
    </row>
    <row r="133" spans="1:157" ht="18.75" customHeight="1">
      <c r="A133" s="185" t="s">
        <v>329</v>
      </c>
      <c r="B133" s="774"/>
      <c r="C133" s="176" t="s">
        <v>1033</v>
      </c>
      <c r="D133" s="176">
        <v>60303000</v>
      </c>
      <c r="E133" s="773"/>
      <c r="F133" s="320" t="s">
        <v>334</v>
      </c>
      <c r="G133" s="329"/>
      <c r="H133" s="373"/>
      <c r="I133" s="373"/>
      <c r="J133" s="373"/>
      <c r="K133" s="373"/>
      <c r="L133" s="373"/>
      <c r="M133" s="373"/>
      <c r="N133" s="374"/>
      <c r="O133" s="373"/>
      <c r="P133" s="373"/>
      <c r="Q133" s="373"/>
      <c r="R133" s="373"/>
      <c r="S133" s="377">
        <v>699030</v>
      </c>
      <c r="T133" s="375">
        <f t="shared" si="268"/>
        <v>699030</v>
      </c>
      <c r="U133" s="378">
        <f t="shared" si="269"/>
        <v>12716.360000000102</v>
      </c>
      <c r="V133" s="165">
        <f t="shared" si="270"/>
        <v>1.7866420841267248E-2</v>
      </c>
      <c r="W133" s="329"/>
      <c r="X133" s="373">
        <v>50780.82</v>
      </c>
      <c r="Y133" s="373">
        <v>53593.16</v>
      </c>
      <c r="Z133" s="373">
        <v>41602.410000000003</v>
      </c>
      <c r="AA133" s="373">
        <v>99340.25</v>
      </c>
      <c r="AB133" s="373">
        <v>66691.289999999994</v>
      </c>
      <c r="AC133" s="373">
        <v>52321.19</v>
      </c>
      <c r="AD133" s="374">
        <v>61307.38</v>
      </c>
      <c r="AE133" s="373">
        <v>102200.16</v>
      </c>
      <c r="AF133" s="373">
        <v>44943.88</v>
      </c>
      <c r="AG133" s="373">
        <v>39179</v>
      </c>
      <c r="AH133" s="373">
        <v>20609.28</v>
      </c>
      <c r="AI133" s="373">
        <v>79177.539999999994</v>
      </c>
      <c r="AJ133" s="375">
        <f t="shared" si="271"/>
        <v>711746.3600000001</v>
      </c>
      <c r="AK133" s="329"/>
      <c r="AL133" s="373">
        <v>46645</v>
      </c>
      <c r="AM133" s="373">
        <v>40645</v>
      </c>
      <c r="AN133" s="373">
        <v>45645</v>
      </c>
      <c r="AO133" s="373">
        <v>160645</v>
      </c>
      <c r="AP133" s="373">
        <v>51605</v>
      </c>
      <c r="AQ133" s="373">
        <v>55339</v>
      </c>
      <c r="AR133" s="374">
        <v>54067.08</v>
      </c>
      <c r="AS133" s="373">
        <v>42845</v>
      </c>
      <c r="AT133" s="373">
        <v>61645</v>
      </c>
      <c r="AU133" s="373">
        <v>50645</v>
      </c>
      <c r="AV133" s="373">
        <v>80645</v>
      </c>
      <c r="AW133" s="373">
        <v>95745</v>
      </c>
      <c r="AX133" s="375">
        <v>786116</v>
      </c>
      <c r="AY133" s="378">
        <f t="shared" si="272"/>
        <v>-144257.84999999998</v>
      </c>
      <c r="AZ133" s="165">
        <f t="shared" si="273"/>
        <v>-0.22475035956153236</v>
      </c>
      <c r="BA133" s="329"/>
      <c r="BB133" s="373">
        <v>20553.16</v>
      </c>
      <c r="BC133" s="373">
        <v>90144.34</v>
      </c>
      <c r="BD133" s="373">
        <v>85909.55</v>
      </c>
      <c r="BE133" s="373">
        <v>44879.03</v>
      </c>
      <c r="BF133" s="373">
        <v>80143.27</v>
      </c>
      <c r="BG133" s="373">
        <v>50017.66</v>
      </c>
      <c r="BH133" s="374">
        <v>43659.4</v>
      </c>
      <c r="BI133" s="373">
        <v>49481.57</v>
      </c>
      <c r="BJ133" s="373">
        <v>34971.99</v>
      </c>
      <c r="BK133" s="373">
        <v>57856.7</v>
      </c>
      <c r="BL133" s="373">
        <v>39094.31</v>
      </c>
      <c r="BM133" s="373">
        <v>45247.17</v>
      </c>
      <c r="BN133" s="375">
        <v>641858.15</v>
      </c>
      <c r="BO133" s="329"/>
      <c r="BP133" s="373">
        <v>43788</v>
      </c>
      <c r="BQ133" s="373">
        <v>46890.7</v>
      </c>
      <c r="BR133" s="373">
        <v>50684.770000000004</v>
      </c>
      <c r="BS133" s="373">
        <v>68370.09</v>
      </c>
      <c r="BT133" s="373">
        <v>41295.5</v>
      </c>
      <c r="BU133" s="373">
        <v>64187.06</v>
      </c>
      <c r="BV133" s="374">
        <v>49622.080000000002</v>
      </c>
      <c r="BW133" s="373">
        <v>39197.22</v>
      </c>
      <c r="BX133" s="373">
        <v>35975.26</v>
      </c>
      <c r="BY133" s="373">
        <v>66476.86</v>
      </c>
      <c r="BZ133" s="373">
        <v>44966.146000000001</v>
      </c>
      <c r="CA133" s="373">
        <v>57566.146000000008</v>
      </c>
      <c r="CB133" s="375">
        <f t="shared" si="282"/>
        <v>609019.83199999994</v>
      </c>
      <c r="CC133" s="378">
        <f t="shared" si="274"/>
        <v>-32838.318000000087</v>
      </c>
      <c r="CD133" s="165">
        <f t="shared" si="275"/>
        <v>-5.3919948537899318E-2</v>
      </c>
      <c r="CE133" s="772"/>
      <c r="CF133" s="373">
        <v>38083.67</v>
      </c>
      <c r="CG133" s="373">
        <v>33287.64</v>
      </c>
      <c r="CH133" s="373">
        <v>35514.22</v>
      </c>
      <c r="CI133" s="373">
        <v>101916.43</v>
      </c>
      <c r="CJ133" s="373">
        <v>44076.32</v>
      </c>
      <c r="CK133" s="373">
        <v>38475.279999999999</v>
      </c>
      <c r="CL133" s="374">
        <v>38594.14</v>
      </c>
      <c r="CM133" s="373">
        <v>30933.18</v>
      </c>
      <c r="CN133" s="373">
        <v>79130</v>
      </c>
      <c r="CO133" s="373">
        <v>44362.28</v>
      </c>
      <c r="CP133" s="373">
        <v>30327.68</v>
      </c>
      <c r="CQ133" s="373">
        <v>39650.81</v>
      </c>
      <c r="CR133" s="376">
        <v>0</v>
      </c>
      <c r="CS133" s="375">
        <f t="shared" si="276"/>
        <v>554351.65</v>
      </c>
      <c r="CT133" s="378">
        <f t="shared" si="277"/>
        <v>-87506.5</v>
      </c>
      <c r="CU133" s="165">
        <f t="shared" si="278"/>
        <v>-0.15785377386357557</v>
      </c>
      <c r="CV133" s="329"/>
      <c r="CW133" s="373">
        <v>97394.68</v>
      </c>
      <c r="CX133" s="373">
        <v>33560.120000000003</v>
      </c>
      <c r="CY133" s="373">
        <v>52020.71</v>
      </c>
      <c r="CZ133" s="373">
        <v>75420.399999999994</v>
      </c>
      <c r="DA133" s="373">
        <v>138177.87</v>
      </c>
      <c r="DB133" s="373">
        <v>77687.41</v>
      </c>
      <c r="DC133" s="374">
        <v>79832</v>
      </c>
      <c r="DD133" s="373">
        <v>72340.3</v>
      </c>
      <c r="DE133" s="373">
        <v>55612.26</v>
      </c>
      <c r="DF133" s="373">
        <v>58919.94</v>
      </c>
      <c r="DG133" s="373">
        <v>33421.699999999997</v>
      </c>
      <c r="DH133" s="373">
        <v>45557.060000000005</v>
      </c>
      <c r="DI133" s="375">
        <f t="shared" si="279"/>
        <v>819944.45</v>
      </c>
      <c r="DJ133" s="329"/>
      <c r="DK133" s="373">
        <v>55603.839999999997</v>
      </c>
      <c r="DL133" s="373">
        <v>45304.37</v>
      </c>
      <c r="DM133" s="373">
        <v>96559.44</v>
      </c>
      <c r="DN133" s="373">
        <v>125483.48</v>
      </c>
      <c r="DO133" s="373">
        <v>66205.72</v>
      </c>
      <c r="DP133" s="373">
        <v>66164.12</v>
      </c>
      <c r="DQ133" s="374">
        <v>62990.559999999998</v>
      </c>
      <c r="DR133" s="373">
        <v>85163.32</v>
      </c>
      <c r="DS133" s="373">
        <v>138805.66</v>
      </c>
      <c r="DT133" s="373">
        <v>54466.9</v>
      </c>
      <c r="DU133" s="373">
        <v>47539.35</v>
      </c>
      <c r="DV133" s="373">
        <v>59362.13</v>
      </c>
      <c r="DW133" s="375">
        <f t="shared" si="280"/>
        <v>903648.89</v>
      </c>
      <c r="DY133" s="373">
        <v>44587.19</v>
      </c>
      <c r="DZ133" s="373">
        <v>121676.48</v>
      </c>
      <c r="EA133" s="373">
        <v>41934.06</v>
      </c>
      <c r="EB133" s="373">
        <v>131163.47</v>
      </c>
      <c r="EC133" s="373">
        <v>62875.46</v>
      </c>
      <c r="ED133" s="373">
        <v>64118.82</v>
      </c>
      <c r="EE133" s="374">
        <v>59776.6</v>
      </c>
      <c r="EF133" s="373">
        <v>36696.31</v>
      </c>
      <c r="EG133" s="373">
        <v>55696.99</v>
      </c>
      <c r="EH133" s="373">
        <v>72991.67</v>
      </c>
      <c r="EI133" s="373">
        <v>63973.94</v>
      </c>
      <c r="EJ133" s="373">
        <v>109537.98999999999</v>
      </c>
      <c r="EK133" s="375">
        <f t="shared" si="281"/>
        <v>865028.98</v>
      </c>
      <c r="EL133" s="177"/>
      <c r="EM133" s="373">
        <v>52881.27</v>
      </c>
      <c r="EN133" s="373">
        <v>62738.45</v>
      </c>
      <c r="EO133" s="373">
        <v>40889.269999999997</v>
      </c>
      <c r="EP133" s="373">
        <v>64206.43</v>
      </c>
      <c r="EQ133" s="373">
        <v>87039.95</v>
      </c>
      <c r="ER133" s="373">
        <v>57750.59</v>
      </c>
      <c r="ES133" s="374">
        <v>55733.3</v>
      </c>
      <c r="ET133" s="373">
        <v>50497.41</v>
      </c>
      <c r="EU133" s="373">
        <v>41044.81</v>
      </c>
      <c r="EV133" s="373">
        <v>58342.38</v>
      </c>
      <c r="EW133" s="373">
        <v>45255.48</v>
      </c>
      <c r="EX133" s="373">
        <v>109808.67</v>
      </c>
      <c r="EY133" s="375">
        <f t="shared" si="283"/>
        <v>726188.00999999989</v>
      </c>
      <c r="EZ133" s="164">
        <v>0</v>
      </c>
      <c r="FA133" s="185">
        <v>0</v>
      </c>
    </row>
    <row r="134" spans="1:157" ht="18.75" customHeight="1">
      <c r="A134" s="185" t="s">
        <v>609</v>
      </c>
      <c r="B134" s="774"/>
      <c r="C134" s="176" t="s">
        <v>1032</v>
      </c>
      <c r="D134" s="176">
        <v>60304000</v>
      </c>
      <c r="E134" s="773"/>
      <c r="F134" s="320" t="s">
        <v>339</v>
      </c>
      <c r="G134" s="329"/>
      <c r="H134" s="373"/>
      <c r="I134" s="373"/>
      <c r="J134" s="373"/>
      <c r="K134" s="373"/>
      <c r="L134" s="373"/>
      <c r="M134" s="373"/>
      <c r="N134" s="374"/>
      <c r="O134" s="373"/>
      <c r="P134" s="373"/>
      <c r="Q134" s="373"/>
      <c r="R134" s="373"/>
      <c r="S134" s="377">
        <v>1265324</v>
      </c>
      <c r="T134" s="375">
        <f t="shared" si="268"/>
        <v>1265324</v>
      </c>
      <c r="U134" s="378">
        <f t="shared" si="269"/>
        <v>147959.76</v>
      </c>
      <c r="V134" s="165">
        <f t="shared" si="270"/>
        <v>0.10469218156161365</v>
      </c>
      <c r="W134" s="329"/>
      <c r="X134" s="373">
        <v>151961.5</v>
      </c>
      <c r="Y134" s="373">
        <v>147373.29999999999</v>
      </c>
      <c r="Z134" s="373">
        <v>102689.9</v>
      </c>
      <c r="AA134" s="373">
        <v>84777.2</v>
      </c>
      <c r="AB134" s="373">
        <v>100383.4</v>
      </c>
      <c r="AC134" s="373">
        <v>86137.4</v>
      </c>
      <c r="AD134" s="374">
        <v>50339.7</v>
      </c>
      <c r="AE134" s="373">
        <v>263486.13</v>
      </c>
      <c r="AF134" s="373">
        <v>112281.73</v>
      </c>
      <c r="AG134" s="373">
        <v>104450.8</v>
      </c>
      <c r="AH134" s="373">
        <v>24937</v>
      </c>
      <c r="AI134" s="373">
        <v>184465.7</v>
      </c>
      <c r="AJ134" s="375">
        <f t="shared" si="271"/>
        <v>1413283.76</v>
      </c>
      <c r="AK134" s="329"/>
      <c r="AL134" s="373">
        <v>105727</v>
      </c>
      <c r="AM134" s="373">
        <v>115727</v>
      </c>
      <c r="AN134" s="373">
        <v>120227</v>
      </c>
      <c r="AO134" s="373">
        <v>117727</v>
      </c>
      <c r="AP134" s="373">
        <v>107727</v>
      </c>
      <c r="AQ134" s="373">
        <v>130227</v>
      </c>
      <c r="AR134" s="374">
        <v>107727</v>
      </c>
      <c r="AS134" s="373">
        <v>117727</v>
      </c>
      <c r="AT134" s="373">
        <v>140227</v>
      </c>
      <c r="AU134" s="373">
        <v>117727</v>
      </c>
      <c r="AV134" s="373">
        <v>127727</v>
      </c>
      <c r="AW134" s="373">
        <v>128727</v>
      </c>
      <c r="AX134" s="375">
        <v>1437224</v>
      </c>
      <c r="AY134" s="378">
        <f t="shared" si="272"/>
        <v>-193219.66000000015</v>
      </c>
      <c r="AZ134" s="165">
        <f t="shared" si="273"/>
        <v>-0.15532072822189685</v>
      </c>
      <c r="BA134" s="329"/>
      <c r="BB134" s="373">
        <v>52513.599999999999</v>
      </c>
      <c r="BC134" s="373">
        <v>149711</v>
      </c>
      <c r="BD134" s="373">
        <v>120006.6</v>
      </c>
      <c r="BE134" s="373">
        <v>103907.65</v>
      </c>
      <c r="BF134" s="373">
        <v>95102.9</v>
      </c>
      <c r="BG134" s="373">
        <v>105446.75</v>
      </c>
      <c r="BH134" s="374">
        <v>102785.5</v>
      </c>
      <c r="BI134" s="373">
        <v>163754.1</v>
      </c>
      <c r="BJ134" s="373">
        <v>74179.64</v>
      </c>
      <c r="BK134" s="373">
        <v>151166.39999999999</v>
      </c>
      <c r="BL134" s="373">
        <v>60556</v>
      </c>
      <c r="BM134" s="373">
        <v>67224.2</v>
      </c>
      <c r="BN134" s="375">
        <v>1244004.3399999999</v>
      </c>
      <c r="BO134" s="329"/>
      <c r="BP134" s="373">
        <v>97828.333333333328</v>
      </c>
      <c r="BQ134" s="373">
        <v>190421.33333333334</v>
      </c>
      <c r="BR134" s="373">
        <v>178692.63333333333</v>
      </c>
      <c r="BS134" s="373">
        <v>123159.33333333333</v>
      </c>
      <c r="BT134" s="373">
        <v>150709.93333333335</v>
      </c>
      <c r="BU134" s="373">
        <v>151872.23333333334</v>
      </c>
      <c r="BV134" s="374">
        <v>127292.13333333333</v>
      </c>
      <c r="BW134" s="373">
        <v>131469.20333333331</v>
      </c>
      <c r="BX134" s="373">
        <v>132803.33333333331</v>
      </c>
      <c r="BY134" s="373">
        <v>152919.13333333333</v>
      </c>
      <c r="BZ134" s="373">
        <v>144016.76033333334</v>
      </c>
      <c r="CA134" s="373">
        <v>146016.76033333334</v>
      </c>
      <c r="CB134" s="375">
        <f t="shared" si="282"/>
        <v>1727201.1240000001</v>
      </c>
      <c r="CC134" s="378">
        <f t="shared" si="274"/>
        <v>483196.78400000022</v>
      </c>
      <c r="CD134" s="165">
        <f t="shared" si="275"/>
        <v>0.27975710372453427</v>
      </c>
      <c r="CE134" s="772"/>
      <c r="CF134" s="373">
        <v>42505.2</v>
      </c>
      <c r="CG134" s="373">
        <v>213754.1</v>
      </c>
      <c r="CH134" s="373">
        <v>206664.5</v>
      </c>
      <c r="CI134" s="373">
        <v>143625.75</v>
      </c>
      <c r="CJ134" s="373">
        <v>205023.88</v>
      </c>
      <c r="CK134" s="373">
        <v>145097.4</v>
      </c>
      <c r="CL134" s="374">
        <v>133998.18</v>
      </c>
      <c r="CM134" s="373">
        <v>135118.97</v>
      </c>
      <c r="CN134" s="373">
        <v>78168.399999999994</v>
      </c>
      <c r="CO134" s="373">
        <v>108279.65</v>
      </c>
      <c r="CP134" s="373">
        <v>393551.7</v>
      </c>
      <c r="CQ134" s="373">
        <v>40369.300000000003</v>
      </c>
      <c r="CR134" s="376">
        <v>0</v>
      </c>
      <c r="CS134" s="375">
        <f t="shared" si="276"/>
        <v>1846157.0299999998</v>
      </c>
      <c r="CT134" s="378">
        <f t="shared" si="277"/>
        <v>602152.68999999994</v>
      </c>
      <c r="CU134" s="165">
        <f t="shared" si="278"/>
        <v>0.32616547791711953</v>
      </c>
      <c r="CV134" s="329"/>
      <c r="CW134" s="373">
        <v>79523.899999999994</v>
      </c>
      <c r="CX134" s="373">
        <v>124846.53</v>
      </c>
      <c r="CY134" s="373">
        <v>164043.5</v>
      </c>
      <c r="CZ134" s="373">
        <v>145648</v>
      </c>
      <c r="DA134" s="373">
        <v>74005.399999999994</v>
      </c>
      <c r="DB134" s="373">
        <v>119992.6</v>
      </c>
      <c r="DC134" s="374">
        <v>134830.6</v>
      </c>
      <c r="DD134" s="373">
        <v>272565.5</v>
      </c>
      <c r="DE134" s="373">
        <v>119118.58</v>
      </c>
      <c r="DF134" s="373">
        <v>335399</v>
      </c>
      <c r="DG134" s="373">
        <v>122314.1</v>
      </c>
      <c r="DH134" s="373">
        <v>124499.4</v>
      </c>
      <c r="DI134" s="375">
        <f t="shared" si="279"/>
        <v>1816787.1099999999</v>
      </c>
      <c r="DJ134" s="329"/>
      <c r="DK134" s="373">
        <v>102410</v>
      </c>
      <c r="DL134" s="373">
        <v>77199.900000000009</v>
      </c>
      <c r="DM134" s="373">
        <v>103245.6</v>
      </c>
      <c r="DN134" s="373">
        <v>124031.7</v>
      </c>
      <c r="DO134" s="373">
        <v>125283.18</v>
      </c>
      <c r="DP134" s="373">
        <v>60679.1</v>
      </c>
      <c r="DQ134" s="374">
        <v>246278.74</v>
      </c>
      <c r="DR134" s="373">
        <v>67187.240000000005</v>
      </c>
      <c r="DS134" s="373">
        <v>141344.84</v>
      </c>
      <c r="DT134" s="373">
        <v>194887.26</v>
      </c>
      <c r="DU134" s="373">
        <v>116472.49</v>
      </c>
      <c r="DV134" s="373">
        <v>143235.17000000001</v>
      </c>
      <c r="DW134" s="375">
        <f t="shared" si="280"/>
        <v>1502255.22</v>
      </c>
      <c r="DY134" s="373">
        <v>12618.199999999999</v>
      </c>
      <c r="DZ134" s="373">
        <v>113814.90000000001</v>
      </c>
      <c r="EA134" s="373">
        <v>155283.1</v>
      </c>
      <c r="EB134" s="373">
        <v>93649.9</v>
      </c>
      <c r="EC134" s="373">
        <v>55411.5</v>
      </c>
      <c r="ED134" s="373">
        <v>140887.9</v>
      </c>
      <c r="EE134" s="374">
        <v>44013.5</v>
      </c>
      <c r="EF134" s="373">
        <v>65153.5</v>
      </c>
      <c r="EG134" s="373">
        <v>206918.59</v>
      </c>
      <c r="EH134" s="373">
        <v>259745.12</v>
      </c>
      <c r="EI134" s="373">
        <v>103371.7</v>
      </c>
      <c r="EJ134" s="373">
        <v>111578.4</v>
      </c>
      <c r="EK134" s="375">
        <f t="shared" si="281"/>
        <v>1362446.3099999998</v>
      </c>
      <c r="EL134" s="177"/>
      <c r="EM134" s="373">
        <v>47616.2</v>
      </c>
      <c r="EN134" s="373">
        <v>84282.8</v>
      </c>
      <c r="EO134" s="373">
        <v>45279.1</v>
      </c>
      <c r="EP134" s="373">
        <v>84239.4</v>
      </c>
      <c r="EQ134" s="373">
        <v>84186.7</v>
      </c>
      <c r="ER134" s="373">
        <v>91269.5</v>
      </c>
      <c r="ES134" s="374">
        <v>94821.63</v>
      </c>
      <c r="ET134" s="373">
        <v>149218.94999999998</v>
      </c>
      <c r="EU134" s="373">
        <v>63435.4</v>
      </c>
      <c r="EV134" s="373">
        <v>588521.36</v>
      </c>
      <c r="EW134" s="373">
        <v>166889.29999999999</v>
      </c>
      <c r="EX134" s="373">
        <v>101081.3</v>
      </c>
      <c r="EY134" s="375">
        <f t="shared" si="283"/>
        <v>1600841.6400000001</v>
      </c>
      <c r="EZ134" s="164">
        <v>0</v>
      </c>
      <c r="FA134" s="185">
        <v>0</v>
      </c>
    </row>
    <row r="135" spans="1:157" ht="18.75" customHeight="1">
      <c r="A135" s="185" t="s">
        <v>329</v>
      </c>
      <c r="B135" s="774"/>
      <c r="C135" s="176" t="s">
        <v>1031</v>
      </c>
      <c r="D135" s="176">
        <v>60305000</v>
      </c>
      <c r="E135" s="773"/>
      <c r="F135" s="320" t="s">
        <v>340</v>
      </c>
      <c r="G135" s="329"/>
      <c r="H135" s="373"/>
      <c r="I135" s="373"/>
      <c r="J135" s="373"/>
      <c r="K135" s="373"/>
      <c r="L135" s="373"/>
      <c r="M135" s="373"/>
      <c r="N135" s="374"/>
      <c r="O135" s="373"/>
      <c r="P135" s="373"/>
      <c r="Q135" s="373"/>
      <c r="R135" s="373"/>
      <c r="S135" s="377">
        <v>414610</v>
      </c>
      <c r="T135" s="375">
        <f t="shared" si="268"/>
        <v>414610</v>
      </c>
      <c r="U135" s="776">
        <f t="shared" si="269"/>
        <v>-130986.79999999999</v>
      </c>
      <c r="V135" s="775">
        <f t="shared" si="270"/>
        <v>-0.46183386972574875</v>
      </c>
      <c r="W135" s="329"/>
      <c r="X135" s="373">
        <v>26101.599999999999</v>
      </c>
      <c r="Y135" s="373">
        <v>23327</v>
      </c>
      <c r="Z135" s="373">
        <v>22562.54</v>
      </c>
      <c r="AA135" s="373">
        <v>-1939.9999999999995</v>
      </c>
      <c r="AB135" s="373">
        <v>37489.1</v>
      </c>
      <c r="AC135" s="373">
        <v>23836.1</v>
      </c>
      <c r="AD135" s="374">
        <v>25183.699999999997</v>
      </c>
      <c r="AE135" s="373">
        <v>23150.199999999997</v>
      </c>
      <c r="AF135" s="373">
        <v>27660.959999999999</v>
      </c>
      <c r="AG135" s="373">
        <v>29529.200000000001</v>
      </c>
      <c r="AH135" s="373">
        <v>26548.400000000001</v>
      </c>
      <c r="AI135" s="373">
        <v>20174.400000000001</v>
      </c>
      <c r="AJ135" s="375">
        <f t="shared" si="271"/>
        <v>283623.2</v>
      </c>
      <c r="AK135" s="329"/>
      <c r="AL135" s="373">
        <v>2080</v>
      </c>
      <c r="AM135" s="373">
        <v>1880</v>
      </c>
      <c r="AN135" s="373">
        <v>2205</v>
      </c>
      <c r="AO135" s="373">
        <v>1880</v>
      </c>
      <c r="AP135" s="373">
        <v>2080</v>
      </c>
      <c r="AQ135" s="373">
        <v>2565</v>
      </c>
      <c r="AR135" s="374">
        <v>2700</v>
      </c>
      <c r="AS135" s="373">
        <v>1880</v>
      </c>
      <c r="AT135" s="373">
        <v>2205</v>
      </c>
      <c r="AU135" s="373">
        <v>1880</v>
      </c>
      <c r="AV135" s="373">
        <v>2080</v>
      </c>
      <c r="AW135" s="373">
        <v>393655</v>
      </c>
      <c r="AX135" s="375">
        <v>401090</v>
      </c>
      <c r="AY135" s="776">
        <f t="shared" si="272"/>
        <v>-82490.649999999965</v>
      </c>
      <c r="AZ135" s="775">
        <f t="shared" si="273"/>
        <v>-0.25891656715558259</v>
      </c>
      <c r="BA135" s="329"/>
      <c r="BB135" s="373">
        <v>14978.500000000004</v>
      </c>
      <c r="BC135" s="373">
        <v>24812</v>
      </c>
      <c r="BD135" s="373">
        <v>54554.8</v>
      </c>
      <c r="BE135" s="373">
        <v>12042.100000000002</v>
      </c>
      <c r="BF135" s="373">
        <v>35765.9</v>
      </c>
      <c r="BG135" s="373">
        <v>16859.400000000001</v>
      </c>
      <c r="BH135" s="374">
        <v>-27522.200000000004</v>
      </c>
      <c r="BI135" s="373">
        <v>19238</v>
      </c>
      <c r="BJ135" s="373">
        <v>12622.5</v>
      </c>
      <c r="BK135" s="373">
        <v>114628.25</v>
      </c>
      <c r="BL135" s="373">
        <v>28592.7</v>
      </c>
      <c r="BM135" s="373">
        <v>21908.5</v>
      </c>
      <c r="BN135" s="375">
        <v>318599.35000000003</v>
      </c>
      <c r="BO135" s="329"/>
      <c r="BP135" s="373">
        <v>36408.933333333334</v>
      </c>
      <c r="BQ135" s="373">
        <v>38262.933333333334</v>
      </c>
      <c r="BR135" s="373">
        <v>38482.933333333334</v>
      </c>
      <c r="BS135" s="373">
        <v>37642.933333333334</v>
      </c>
      <c r="BT135" s="373">
        <v>38002.933333333334</v>
      </c>
      <c r="BU135" s="373">
        <v>37942.933333333334</v>
      </c>
      <c r="BV135" s="374">
        <v>37442.933333333334</v>
      </c>
      <c r="BW135" s="373">
        <v>38262.933333333334</v>
      </c>
      <c r="BX135" s="373">
        <v>38002.933333333334</v>
      </c>
      <c r="BY135" s="373">
        <v>37676.266666666663</v>
      </c>
      <c r="BZ135" s="373">
        <v>37476.266666666663</v>
      </c>
      <c r="CA135" s="373">
        <v>44676.266666666706</v>
      </c>
      <c r="CB135" s="402">
        <f t="shared" si="282"/>
        <v>460281.20000000013</v>
      </c>
      <c r="CC135" s="776">
        <f t="shared" si="274"/>
        <v>141681.85000000009</v>
      </c>
      <c r="CD135" s="775">
        <f t="shared" si="275"/>
        <v>0.30781585257012462</v>
      </c>
      <c r="CE135" s="772"/>
      <c r="CF135" s="373">
        <v>77634.400000000009</v>
      </c>
      <c r="CG135" s="373">
        <v>32230.21</v>
      </c>
      <c r="CH135" s="373">
        <v>30867.16</v>
      </c>
      <c r="CI135" s="373">
        <v>36586.1</v>
      </c>
      <c r="CJ135" s="373">
        <v>54690.39</v>
      </c>
      <c r="CK135" s="373">
        <v>35651.839999999997</v>
      </c>
      <c r="CL135" s="374">
        <v>24026.5</v>
      </c>
      <c r="CM135" s="373">
        <v>13025.399999999994</v>
      </c>
      <c r="CN135" s="373">
        <v>12581.599999999999</v>
      </c>
      <c r="CO135" s="373">
        <v>-59434.060000000005</v>
      </c>
      <c r="CP135" s="373">
        <v>10911.699999999997</v>
      </c>
      <c r="CQ135" s="373">
        <v>19636.199999999997</v>
      </c>
      <c r="CR135" s="374">
        <v>0</v>
      </c>
      <c r="CS135" s="375">
        <f t="shared" si="276"/>
        <v>288407.44</v>
      </c>
      <c r="CT135" s="378">
        <f t="shared" si="277"/>
        <v>-30191.910000000033</v>
      </c>
      <c r="CU135" s="165">
        <f t="shared" si="278"/>
        <v>-0.10468492074961738</v>
      </c>
      <c r="CV135" s="329"/>
      <c r="CW135" s="373">
        <v>26343.53</v>
      </c>
      <c r="CX135" s="373">
        <v>14304.33</v>
      </c>
      <c r="CY135" s="373">
        <v>13923.9</v>
      </c>
      <c r="CZ135" s="373">
        <v>7556.67</v>
      </c>
      <c r="DA135" s="373">
        <v>-4695.66</v>
      </c>
      <c r="DB135" s="373">
        <v>9716.9</v>
      </c>
      <c r="DC135" s="374">
        <v>13564.4</v>
      </c>
      <c r="DD135" s="373">
        <v>10272.4</v>
      </c>
      <c r="DE135" s="373">
        <v>24106.100000000002</v>
      </c>
      <c r="DF135" s="373">
        <v>14090.72</v>
      </c>
      <c r="DG135" s="373">
        <v>4331.1000000000004</v>
      </c>
      <c r="DH135" s="373">
        <v>756.5</v>
      </c>
      <c r="DI135" s="375">
        <f t="shared" si="279"/>
        <v>134270.88999999998</v>
      </c>
      <c r="DJ135" s="329"/>
      <c r="DK135" s="373">
        <v>51613.87</v>
      </c>
      <c r="DL135" s="373">
        <v>8681.65</v>
      </c>
      <c r="DM135" s="373">
        <v>17598.2</v>
      </c>
      <c r="DN135" s="373">
        <v>21907.1</v>
      </c>
      <c r="DO135" s="373">
        <v>11384.300000000001</v>
      </c>
      <c r="DP135" s="373">
        <v>19204.09</v>
      </c>
      <c r="DQ135" s="374">
        <v>20006.5</v>
      </c>
      <c r="DR135" s="373">
        <v>10469.66</v>
      </c>
      <c r="DS135" s="373">
        <v>8374.4</v>
      </c>
      <c r="DT135" s="373">
        <v>11014</v>
      </c>
      <c r="DU135" s="373">
        <v>11283.39</v>
      </c>
      <c r="DV135" s="373">
        <v>30410.989999999998</v>
      </c>
      <c r="DW135" s="375">
        <f t="shared" si="280"/>
        <v>221948.15000000002</v>
      </c>
      <c r="DY135" s="373">
        <v>14170.3</v>
      </c>
      <c r="DZ135" s="373">
        <v>3263.85</v>
      </c>
      <c r="EA135" s="373">
        <v>19804.900000000001</v>
      </c>
      <c r="EB135" s="373">
        <v>22712.460000000003</v>
      </c>
      <c r="EC135" s="373">
        <v>27354.83</v>
      </c>
      <c r="ED135" s="373">
        <v>20536.3</v>
      </c>
      <c r="EE135" s="374">
        <v>17053.91</v>
      </c>
      <c r="EF135" s="373">
        <v>9835.2800000000007</v>
      </c>
      <c r="EG135" s="373">
        <v>22674.45</v>
      </c>
      <c r="EH135" s="373">
        <v>6031</v>
      </c>
      <c r="EI135" s="373">
        <v>15949.2</v>
      </c>
      <c r="EJ135" s="373">
        <v>10820.85</v>
      </c>
      <c r="EK135" s="375">
        <f t="shared" si="281"/>
        <v>190207.33000000005</v>
      </c>
      <c r="EL135" s="177"/>
      <c r="EM135" s="373">
        <v>18369.7</v>
      </c>
      <c r="EN135" s="373">
        <v>3864.5</v>
      </c>
      <c r="EO135" s="373">
        <v>8869.1</v>
      </c>
      <c r="EP135" s="373">
        <v>14567.7</v>
      </c>
      <c r="EQ135" s="373">
        <v>34103.82</v>
      </c>
      <c r="ER135" s="373">
        <v>17101.3</v>
      </c>
      <c r="ES135" s="374">
        <v>14225.9</v>
      </c>
      <c r="ET135" s="373">
        <v>34724.9</v>
      </c>
      <c r="EU135" s="373">
        <v>3753</v>
      </c>
      <c r="EV135" s="373">
        <v>6439.3</v>
      </c>
      <c r="EW135" s="373">
        <v>23089.200000000001</v>
      </c>
      <c r="EX135" s="373">
        <v>26325.9</v>
      </c>
      <c r="EY135" s="375">
        <f t="shared" si="283"/>
        <v>205434.32</v>
      </c>
      <c r="EZ135" s="164">
        <v>0</v>
      </c>
      <c r="FA135" s="185">
        <v>0</v>
      </c>
    </row>
    <row r="136" spans="1:157" ht="18.75" customHeight="1">
      <c r="A136" s="185" t="s">
        <v>610</v>
      </c>
      <c r="B136" s="774"/>
      <c r="C136" s="176" t="s">
        <v>1030</v>
      </c>
      <c r="D136" s="176">
        <v>60306000</v>
      </c>
      <c r="E136" s="773"/>
      <c r="F136" s="320" t="s">
        <v>579</v>
      </c>
      <c r="G136" s="329"/>
      <c r="H136" s="373"/>
      <c r="I136" s="373"/>
      <c r="J136" s="373"/>
      <c r="K136" s="373"/>
      <c r="L136" s="373"/>
      <c r="M136" s="373"/>
      <c r="N136" s="374"/>
      <c r="O136" s="373"/>
      <c r="P136" s="373"/>
      <c r="Q136" s="373"/>
      <c r="R136" s="373"/>
      <c r="S136" s="377">
        <v>80120</v>
      </c>
      <c r="T136" s="375">
        <f t="shared" si="268"/>
        <v>80120</v>
      </c>
      <c r="U136" s="776">
        <f t="shared" si="269"/>
        <v>-78516</v>
      </c>
      <c r="V136" s="775">
        <f t="shared" si="270"/>
        <v>-48.950124688279303</v>
      </c>
      <c r="W136" s="329"/>
      <c r="X136" s="373">
        <v>434</v>
      </c>
      <c r="Y136" s="373">
        <v>0</v>
      </c>
      <c r="Z136" s="373">
        <v>0</v>
      </c>
      <c r="AA136" s="373">
        <v>0</v>
      </c>
      <c r="AB136" s="373">
        <v>0</v>
      </c>
      <c r="AC136" s="373">
        <v>0</v>
      </c>
      <c r="AD136" s="374">
        <v>0</v>
      </c>
      <c r="AE136" s="373">
        <v>0</v>
      </c>
      <c r="AF136" s="373">
        <v>0</v>
      </c>
      <c r="AG136" s="373">
        <v>1170</v>
      </c>
      <c r="AH136" s="373">
        <v>0</v>
      </c>
      <c r="AI136" s="373">
        <v>0</v>
      </c>
      <c r="AJ136" s="375">
        <f t="shared" si="271"/>
        <v>1604</v>
      </c>
      <c r="AK136" s="329"/>
      <c r="AL136" s="373">
        <v>3133</v>
      </c>
      <c r="AM136" s="373">
        <v>3233</v>
      </c>
      <c r="AN136" s="373">
        <v>3133</v>
      </c>
      <c r="AO136" s="373">
        <v>3233</v>
      </c>
      <c r="AP136" s="373">
        <v>3133</v>
      </c>
      <c r="AQ136" s="373">
        <v>3233</v>
      </c>
      <c r="AR136" s="374">
        <v>3133</v>
      </c>
      <c r="AS136" s="373">
        <v>3233</v>
      </c>
      <c r="AT136" s="373">
        <v>3133</v>
      </c>
      <c r="AU136" s="373">
        <v>3233</v>
      </c>
      <c r="AV136" s="373">
        <v>3133</v>
      </c>
      <c r="AW136" s="373">
        <v>92233</v>
      </c>
      <c r="AX136" s="375">
        <v>143196</v>
      </c>
      <c r="AY136" s="776">
        <f t="shared" si="272"/>
        <v>-138396</v>
      </c>
      <c r="AZ136" s="775">
        <f t="shared" si="273"/>
        <v>-28.8325</v>
      </c>
      <c r="BA136" s="329"/>
      <c r="BB136" s="373">
        <v>0</v>
      </c>
      <c r="BC136" s="373">
        <v>0</v>
      </c>
      <c r="BD136" s="373">
        <v>0</v>
      </c>
      <c r="BE136" s="373">
        <v>0</v>
      </c>
      <c r="BF136" s="373">
        <v>0</v>
      </c>
      <c r="BG136" s="373">
        <v>0</v>
      </c>
      <c r="BH136" s="374">
        <v>0</v>
      </c>
      <c r="BI136" s="373">
        <v>0</v>
      </c>
      <c r="BJ136" s="373">
        <v>0</v>
      </c>
      <c r="BK136" s="373">
        <v>0</v>
      </c>
      <c r="BL136" s="373">
        <v>0</v>
      </c>
      <c r="BM136" s="373">
        <v>10800</v>
      </c>
      <c r="BN136" s="375">
        <v>4800</v>
      </c>
      <c r="BO136" s="329"/>
      <c r="BP136" s="373">
        <v>5000</v>
      </c>
      <c r="BQ136" s="373">
        <v>5000</v>
      </c>
      <c r="BR136" s="373">
        <v>5000</v>
      </c>
      <c r="BS136" s="373">
        <v>5333.333333333333</v>
      </c>
      <c r="BT136" s="373">
        <v>5333.333333333333</v>
      </c>
      <c r="BU136" s="373">
        <v>5333.3333333333321</v>
      </c>
      <c r="BV136" s="374">
        <v>5333.333333333333</v>
      </c>
      <c r="BW136" s="373">
        <v>5333.333333333333</v>
      </c>
      <c r="BX136" s="373">
        <v>5333.3333333333321</v>
      </c>
      <c r="BY136" s="373">
        <v>5333.3333333333321</v>
      </c>
      <c r="BZ136" s="373">
        <v>5333.333333333333</v>
      </c>
      <c r="CA136" s="373">
        <v>30333.333333333336</v>
      </c>
      <c r="CB136" s="402">
        <f t="shared" si="282"/>
        <v>88000</v>
      </c>
      <c r="CC136" s="776">
        <f t="shared" si="274"/>
        <v>83200</v>
      </c>
      <c r="CD136" s="775">
        <f t="shared" si="275"/>
        <v>0.94545454545454544</v>
      </c>
      <c r="CE136" s="772"/>
      <c r="CF136" s="373">
        <v>0</v>
      </c>
      <c r="CG136" s="373">
        <v>0</v>
      </c>
      <c r="CH136" s="373">
        <v>0</v>
      </c>
      <c r="CI136" s="373">
        <v>0</v>
      </c>
      <c r="CJ136" s="373">
        <v>10800</v>
      </c>
      <c r="CK136" s="373">
        <v>0</v>
      </c>
      <c r="CL136" s="374">
        <v>0</v>
      </c>
      <c r="CM136" s="373">
        <v>0</v>
      </c>
      <c r="CN136" s="373">
        <v>0</v>
      </c>
      <c r="CO136" s="373">
        <v>7593.36</v>
      </c>
      <c r="CP136" s="373">
        <v>0</v>
      </c>
      <c r="CQ136" s="373">
        <v>0</v>
      </c>
      <c r="CR136" s="374">
        <v>0</v>
      </c>
      <c r="CS136" s="375">
        <f t="shared" si="276"/>
        <v>18393.36</v>
      </c>
      <c r="CT136" s="378">
        <f t="shared" si="277"/>
        <v>13593.36</v>
      </c>
      <c r="CU136" s="165">
        <f t="shared" si="278"/>
        <v>0.73903626091154639</v>
      </c>
      <c r="CV136" s="329"/>
      <c r="CW136" s="373">
        <v>0</v>
      </c>
      <c r="CX136" s="373">
        <v>0</v>
      </c>
      <c r="CY136" s="373">
        <v>1161.07</v>
      </c>
      <c r="CZ136" s="373">
        <v>0</v>
      </c>
      <c r="DA136" s="373">
        <v>33727.300000000003</v>
      </c>
      <c r="DB136" s="373">
        <v>0</v>
      </c>
      <c r="DC136" s="374">
        <v>6354.75</v>
      </c>
      <c r="DD136" s="373">
        <v>0</v>
      </c>
      <c r="DE136" s="373">
        <v>0</v>
      </c>
      <c r="DF136" s="373">
        <v>54.84</v>
      </c>
      <c r="DG136" s="373">
        <v>0</v>
      </c>
      <c r="DH136" s="373">
        <v>38952.480000000003</v>
      </c>
      <c r="DI136" s="375">
        <f t="shared" si="279"/>
        <v>80250.44</v>
      </c>
      <c r="DJ136" s="329"/>
      <c r="DK136" s="373">
        <v>0</v>
      </c>
      <c r="DL136" s="373">
        <v>0</v>
      </c>
      <c r="DM136" s="373">
        <v>0</v>
      </c>
      <c r="DN136" s="373">
        <v>0</v>
      </c>
      <c r="DO136" s="373">
        <v>0</v>
      </c>
      <c r="DP136" s="373">
        <v>0</v>
      </c>
      <c r="DQ136" s="374">
        <v>0</v>
      </c>
      <c r="DR136" s="373">
        <v>0</v>
      </c>
      <c r="DS136" s="373">
        <v>0</v>
      </c>
      <c r="DT136" s="373">
        <v>0</v>
      </c>
      <c r="DU136" s="373">
        <v>0</v>
      </c>
      <c r="DV136" s="373">
        <v>0</v>
      </c>
      <c r="DW136" s="375">
        <f t="shared" si="280"/>
        <v>0</v>
      </c>
      <c r="DY136" s="373">
        <v>0</v>
      </c>
      <c r="DZ136" s="373">
        <v>0</v>
      </c>
      <c r="EA136" s="373">
        <v>0</v>
      </c>
      <c r="EB136" s="373">
        <v>0</v>
      </c>
      <c r="EC136" s="373">
        <v>0</v>
      </c>
      <c r="ED136" s="373">
        <v>0</v>
      </c>
      <c r="EE136" s="374">
        <v>0</v>
      </c>
      <c r="EF136" s="373">
        <v>0</v>
      </c>
      <c r="EG136" s="373">
        <v>0</v>
      </c>
      <c r="EH136" s="373">
        <v>0</v>
      </c>
      <c r="EI136" s="373">
        <v>0</v>
      </c>
      <c r="EJ136" s="373">
        <v>0</v>
      </c>
      <c r="EK136" s="375">
        <f t="shared" si="281"/>
        <v>0</v>
      </c>
      <c r="EL136" s="177"/>
      <c r="EM136" s="373">
        <v>0</v>
      </c>
      <c r="EN136" s="373">
        <v>0</v>
      </c>
      <c r="EO136" s="373">
        <v>0</v>
      </c>
      <c r="EP136" s="373">
        <v>0</v>
      </c>
      <c r="EQ136" s="373">
        <v>0</v>
      </c>
      <c r="ER136" s="373">
        <v>0</v>
      </c>
      <c r="ES136" s="374">
        <v>0</v>
      </c>
      <c r="ET136" s="373">
        <v>0</v>
      </c>
      <c r="EU136" s="373">
        <v>0</v>
      </c>
      <c r="EV136" s="373">
        <v>0</v>
      </c>
      <c r="EW136" s="373">
        <v>0</v>
      </c>
      <c r="EX136" s="373">
        <v>0</v>
      </c>
      <c r="EY136" s="375">
        <f t="shared" si="283"/>
        <v>0</v>
      </c>
      <c r="EZ136" s="164">
        <v>0</v>
      </c>
      <c r="FA136" s="185">
        <v>0</v>
      </c>
    </row>
    <row r="137" spans="1:157" ht="18.75" customHeight="1">
      <c r="A137" s="185" t="s">
        <v>329</v>
      </c>
      <c r="B137" s="774"/>
      <c r="C137" s="176" t="s">
        <v>1029</v>
      </c>
      <c r="D137" s="176">
        <v>60307000</v>
      </c>
      <c r="E137" s="773"/>
      <c r="F137" s="320" t="s">
        <v>646</v>
      </c>
      <c r="G137" s="329"/>
      <c r="H137" s="373"/>
      <c r="I137" s="373"/>
      <c r="J137" s="373"/>
      <c r="K137" s="373"/>
      <c r="L137" s="373"/>
      <c r="M137" s="373"/>
      <c r="N137" s="374"/>
      <c r="O137" s="373"/>
      <c r="P137" s="373"/>
      <c r="Q137" s="373"/>
      <c r="R137" s="373"/>
      <c r="S137" s="377">
        <v>364420</v>
      </c>
      <c r="T137" s="375">
        <f t="shared" si="268"/>
        <v>364420</v>
      </c>
      <c r="U137" s="776">
        <f t="shared" si="269"/>
        <v>88135.32</v>
      </c>
      <c r="V137" s="775">
        <f t="shared" si="270"/>
        <v>0.19475037880451831</v>
      </c>
      <c r="W137" s="329"/>
      <c r="X137" s="373">
        <v>24768.199999999997</v>
      </c>
      <c r="Y137" s="373">
        <v>26760.75</v>
      </c>
      <c r="Z137" s="373">
        <v>27528.04</v>
      </c>
      <c r="AA137" s="373">
        <v>30187.5</v>
      </c>
      <c r="AB137" s="373">
        <v>62404.5</v>
      </c>
      <c r="AC137" s="373">
        <v>28883.809999999998</v>
      </c>
      <c r="AD137" s="374">
        <v>32466.1</v>
      </c>
      <c r="AE137" s="373">
        <v>24292.2</v>
      </c>
      <c r="AF137" s="373">
        <v>55097.38</v>
      </c>
      <c r="AG137" s="373">
        <v>47016.89</v>
      </c>
      <c r="AH137" s="373">
        <v>6493.75</v>
      </c>
      <c r="AI137" s="373">
        <v>86656.200000000012</v>
      </c>
      <c r="AJ137" s="375">
        <f t="shared" si="271"/>
        <v>452555.32</v>
      </c>
      <c r="AK137" s="329"/>
      <c r="AL137" s="373">
        <v>10735</v>
      </c>
      <c r="AM137" s="373">
        <v>10895</v>
      </c>
      <c r="AN137" s="373">
        <v>9895</v>
      </c>
      <c r="AO137" s="373">
        <v>11335</v>
      </c>
      <c r="AP137" s="373">
        <v>10095</v>
      </c>
      <c r="AQ137" s="373">
        <v>10895</v>
      </c>
      <c r="AR137" s="374">
        <v>10735</v>
      </c>
      <c r="AS137" s="373">
        <v>10895</v>
      </c>
      <c r="AT137" s="373">
        <v>9895</v>
      </c>
      <c r="AU137" s="373">
        <v>11335</v>
      </c>
      <c r="AV137" s="373">
        <v>10095</v>
      </c>
      <c r="AW137" s="373">
        <v>148255</v>
      </c>
      <c r="AX137" s="375">
        <v>205060</v>
      </c>
      <c r="AY137" s="776">
        <f t="shared" si="272"/>
        <v>414504.71000000008</v>
      </c>
      <c r="AZ137" s="775">
        <f t="shared" si="273"/>
        <v>0.66902569386174371</v>
      </c>
      <c r="BA137" s="329"/>
      <c r="BB137" s="373">
        <v>8355.9699999999975</v>
      </c>
      <c r="BC137" s="373">
        <v>167386.9</v>
      </c>
      <c r="BD137" s="373">
        <v>54445.06</v>
      </c>
      <c r="BE137" s="373">
        <v>53821.189999999995</v>
      </c>
      <c r="BF137" s="373">
        <v>13472.449999999997</v>
      </c>
      <c r="BG137" s="373">
        <v>29146.100000000006</v>
      </c>
      <c r="BH137" s="374">
        <v>80213.200000000012</v>
      </c>
      <c r="BI137" s="373">
        <v>81204.95</v>
      </c>
      <c r="BJ137" s="373">
        <v>24837</v>
      </c>
      <c r="BK137" s="373">
        <v>42667.58</v>
      </c>
      <c r="BL137" s="373">
        <v>12563.009999999998</v>
      </c>
      <c r="BM137" s="373">
        <v>39599.700000000004</v>
      </c>
      <c r="BN137" s="375">
        <v>619564.71000000008</v>
      </c>
      <c r="BO137" s="329"/>
      <c r="BP137" s="373">
        <v>24700</v>
      </c>
      <c r="BQ137" s="373">
        <v>55012.130000000005</v>
      </c>
      <c r="BR137" s="373">
        <v>25795</v>
      </c>
      <c r="BS137" s="373">
        <v>24319</v>
      </c>
      <c r="BT137" s="373">
        <v>24319</v>
      </c>
      <c r="BU137" s="373">
        <v>25619</v>
      </c>
      <c r="BV137" s="374">
        <v>25512.799999999996</v>
      </c>
      <c r="BW137" s="373">
        <v>24319</v>
      </c>
      <c r="BX137" s="373">
        <v>26996.57</v>
      </c>
      <c r="BY137" s="373">
        <v>26871.699999999997</v>
      </c>
      <c r="BZ137" s="373">
        <v>27946.42</v>
      </c>
      <c r="CA137" s="373">
        <v>29246.420000000006</v>
      </c>
      <c r="CB137" s="402">
        <f t="shared" si="282"/>
        <v>340657.04</v>
      </c>
      <c r="CC137" s="776">
        <f t="shared" si="274"/>
        <v>-278907.6700000001</v>
      </c>
      <c r="CD137" s="775">
        <f t="shared" si="275"/>
        <v>-0.81873449613722971</v>
      </c>
      <c r="CE137" s="772"/>
      <c r="CF137" s="373">
        <v>9747.1999999999971</v>
      </c>
      <c r="CG137" s="373">
        <v>52711.01</v>
      </c>
      <c r="CH137" s="373">
        <v>8912.5299999999988</v>
      </c>
      <c r="CI137" s="373">
        <v>36012.799999999996</v>
      </c>
      <c r="CJ137" s="373">
        <v>5412.9</v>
      </c>
      <c r="CK137" s="373">
        <v>6237.9</v>
      </c>
      <c r="CL137" s="374">
        <v>10208.6</v>
      </c>
      <c r="CM137" s="373">
        <v>2488.9000000000015</v>
      </c>
      <c r="CN137" s="373">
        <v>54664.759999999995</v>
      </c>
      <c r="CO137" s="373">
        <v>9395.2000000000007</v>
      </c>
      <c r="CP137" s="373">
        <v>6464.4</v>
      </c>
      <c r="CQ137" s="373">
        <v>279070.41000000003</v>
      </c>
      <c r="CR137" s="374">
        <v>0</v>
      </c>
      <c r="CS137" s="375">
        <f t="shared" si="276"/>
        <v>481326.61</v>
      </c>
      <c r="CT137" s="378">
        <f t="shared" si="277"/>
        <v>-138238.10000000009</v>
      </c>
      <c r="CU137" s="165">
        <f t="shared" si="278"/>
        <v>-0.28720228038088336</v>
      </c>
      <c r="CV137" s="329"/>
      <c r="CW137" s="373">
        <v>63124.6</v>
      </c>
      <c r="CX137" s="373">
        <v>81846.58</v>
      </c>
      <c r="CY137" s="373">
        <v>58020.899999999994</v>
      </c>
      <c r="CZ137" s="373">
        <v>65897.319999999992</v>
      </c>
      <c r="DA137" s="373">
        <v>75149.55</v>
      </c>
      <c r="DB137" s="373">
        <v>31978.44</v>
      </c>
      <c r="DC137" s="374">
        <v>107877.65999999999</v>
      </c>
      <c r="DD137" s="373">
        <v>85443.17</v>
      </c>
      <c r="DE137" s="373">
        <v>72211.750000000015</v>
      </c>
      <c r="DF137" s="373">
        <v>184334.69</v>
      </c>
      <c r="DG137" s="373">
        <v>16821.169999999998</v>
      </c>
      <c r="DH137" s="373">
        <v>169389.16999999998</v>
      </c>
      <c r="DI137" s="375">
        <f t="shared" si="279"/>
        <v>1012095</v>
      </c>
      <c r="DJ137" s="329"/>
      <c r="DK137" s="373">
        <v>57085.51</v>
      </c>
      <c r="DL137" s="373">
        <v>30220.959999999999</v>
      </c>
      <c r="DM137" s="373">
        <v>131390.32999999999</v>
      </c>
      <c r="DN137" s="373">
        <v>74911.490000000005</v>
      </c>
      <c r="DO137" s="373">
        <v>58668.54</v>
      </c>
      <c r="DP137" s="373">
        <v>44987.039999999994</v>
      </c>
      <c r="DQ137" s="374">
        <v>63526.61</v>
      </c>
      <c r="DR137" s="373">
        <v>54803.560000000005</v>
      </c>
      <c r="DS137" s="373">
        <v>86103.6</v>
      </c>
      <c r="DT137" s="373">
        <v>101743.3</v>
      </c>
      <c r="DU137" s="373">
        <v>46223.770000000004</v>
      </c>
      <c r="DV137" s="373">
        <v>80731.78</v>
      </c>
      <c r="DW137" s="375">
        <f t="shared" si="280"/>
        <v>830396.49</v>
      </c>
      <c r="DY137" s="373">
        <v>65195.969999999994</v>
      </c>
      <c r="DZ137" s="373">
        <v>37448.35</v>
      </c>
      <c r="EA137" s="373">
        <v>42361.74</v>
      </c>
      <c r="EB137" s="373">
        <v>90600.15</v>
      </c>
      <c r="EC137" s="373">
        <v>63862.7</v>
      </c>
      <c r="ED137" s="373">
        <v>58980.850000000006</v>
      </c>
      <c r="EE137" s="374">
        <v>60877.87</v>
      </c>
      <c r="EF137" s="373">
        <v>58157.75</v>
      </c>
      <c r="EG137" s="373">
        <v>41923.35</v>
      </c>
      <c r="EH137" s="373">
        <v>67295.839999999997</v>
      </c>
      <c r="EI137" s="373">
        <v>55001.24</v>
      </c>
      <c r="EJ137" s="373">
        <v>144154.26999999999</v>
      </c>
      <c r="EK137" s="375">
        <f t="shared" si="281"/>
        <v>785860.08</v>
      </c>
      <c r="EL137" s="177"/>
      <c r="EM137" s="373">
        <v>48613.83</v>
      </c>
      <c r="EN137" s="373">
        <v>78545.05</v>
      </c>
      <c r="EO137" s="373">
        <v>61920.52</v>
      </c>
      <c r="EP137" s="373">
        <v>61662.67</v>
      </c>
      <c r="EQ137" s="373">
        <v>40164.960000000006</v>
      </c>
      <c r="ER137" s="373">
        <v>63535.78</v>
      </c>
      <c r="ES137" s="374">
        <v>66303</v>
      </c>
      <c r="ET137" s="373">
        <v>72810.049999999988</v>
      </c>
      <c r="EU137" s="373">
        <v>24222.500000000015</v>
      </c>
      <c r="EV137" s="373">
        <v>110182.9</v>
      </c>
      <c r="EW137" s="373">
        <v>63310.650000000009</v>
      </c>
      <c r="EX137" s="373">
        <v>60565.65</v>
      </c>
      <c r="EY137" s="375">
        <f t="shared" si="283"/>
        <v>751837.56</v>
      </c>
      <c r="EZ137" s="164">
        <v>0</v>
      </c>
      <c r="FA137" s="185">
        <v>0</v>
      </c>
    </row>
    <row r="138" spans="1:157" ht="18.75" customHeight="1">
      <c r="A138" s="185" t="s">
        <v>325</v>
      </c>
      <c r="B138" s="774"/>
      <c r="C138" s="176" t="s">
        <v>1028</v>
      </c>
      <c r="D138" s="176">
        <v>60308000</v>
      </c>
      <c r="E138" s="773"/>
      <c r="F138" s="320" t="s">
        <v>647</v>
      </c>
      <c r="G138" s="329"/>
      <c r="H138" s="373"/>
      <c r="I138" s="373"/>
      <c r="J138" s="373"/>
      <c r="K138" s="373"/>
      <c r="L138" s="373"/>
      <c r="M138" s="373"/>
      <c r="N138" s="374"/>
      <c r="O138" s="373"/>
      <c r="P138" s="373"/>
      <c r="Q138" s="373"/>
      <c r="R138" s="373"/>
      <c r="S138" s="377">
        <v>3994037.92</v>
      </c>
      <c r="T138" s="375">
        <f t="shared" si="268"/>
        <v>3994037.92</v>
      </c>
      <c r="U138" s="776">
        <f t="shared" si="269"/>
        <v>-1381816.04</v>
      </c>
      <c r="V138" s="775">
        <f t="shared" si="270"/>
        <v>-0.52898111396264702</v>
      </c>
      <c r="W138" s="329"/>
      <c r="X138" s="373">
        <v>141150.19</v>
      </c>
      <c r="Y138" s="373">
        <v>184353.01</v>
      </c>
      <c r="Z138" s="373">
        <v>262892.29999999993</v>
      </c>
      <c r="AA138" s="373">
        <v>202187.89999999991</v>
      </c>
      <c r="AB138" s="373">
        <v>263736.09999999998</v>
      </c>
      <c r="AC138" s="373">
        <v>195314.02000000002</v>
      </c>
      <c r="AD138" s="374">
        <v>202807.34000000003</v>
      </c>
      <c r="AE138" s="373">
        <v>227015.91000000003</v>
      </c>
      <c r="AF138" s="373">
        <v>202778.44000000006</v>
      </c>
      <c r="AG138" s="373">
        <v>265083.09000000003</v>
      </c>
      <c r="AH138" s="373">
        <v>162845.12</v>
      </c>
      <c r="AI138" s="373">
        <v>302058.45999999996</v>
      </c>
      <c r="AJ138" s="375">
        <f t="shared" si="271"/>
        <v>2612221.88</v>
      </c>
      <c r="AK138" s="329"/>
      <c r="AL138" s="373">
        <v>57476</v>
      </c>
      <c r="AM138" s="373">
        <v>56476</v>
      </c>
      <c r="AN138" s="373">
        <v>59476</v>
      </c>
      <c r="AO138" s="373">
        <v>56476</v>
      </c>
      <c r="AP138" s="373">
        <v>59476</v>
      </c>
      <c r="AQ138" s="373">
        <v>56476</v>
      </c>
      <c r="AR138" s="374">
        <v>59476</v>
      </c>
      <c r="AS138" s="373">
        <v>56476</v>
      </c>
      <c r="AT138" s="373">
        <v>59477</v>
      </c>
      <c r="AU138" s="373">
        <v>56477</v>
      </c>
      <c r="AV138" s="373">
        <v>59477</v>
      </c>
      <c r="AW138" s="373">
        <v>4675230.2999999989</v>
      </c>
      <c r="AX138" s="375">
        <v>5190469</v>
      </c>
      <c r="AY138" s="776">
        <f t="shared" si="272"/>
        <v>-2644510.87</v>
      </c>
      <c r="AZ138" s="775">
        <f t="shared" si="273"/>
        <v>-1.0387094896961249</v>
      </c>
      <c r="BA138" s="329"/>
      <c r="BB138" s="373">
        <v>276604.94</v>
      </c>
      <c r="BC138" s="373">
        <v>296027.48</v>
      </c>
      <c r="BD138" s="373">
        <v>33121.520000000019</v>
      </c>
      <c r="BE138" s="373">
        <v>137403.75</v>
      </c>
      <c r="BF138" s="373">
        <v>184029.94</v>
      </c>
      <c r="BG138" s="373">
        <v>339402.12</v>
      </c>
      <c r="BH138" s="374">
        <v>349758.95</v>
      </c>
      <c r="BI138" s="373">
        <v>166196.46999999997</v>
      </c>
      <c r="BJ138" s="373">
        <v>156644.40000000002</v>
      </c>
      <c r="BK138" s="373">
        <v>158691.4</v>
      </c>
      <c r="BL138" s="373">
        <v>110893.35</v>
      </c>
      <c r="BM138" s="373">
        <v>277366.19</v>
      </c>
      <c r="BN138" s="375">
        <v>2545958.13</v>
      </c>
      <c r="BO138" s="329"/>
      <c r="BP138" s="373">
        <v>237055.83333333337</v>
      </c>
      <c r="BQ138" s="373">
        <v>231760.83333333337</v>
      </c>
      <c r="BR138" s="373">
        <v>235510.83333333337</v>
      </c>
      <c r="BS138" s="373">
        <v>230760.83333333302</v>
      </c>
      <c r="BT138" s="373">
        <v>315760.83333333337</v>
      </c>
      <c r="BU138" s="373">
        <v>324510.83333333337</v>
      </c>
      <c r="BV138" s="374">
        <v>284594.16666666698</v>
      </c>
      <c r="BW138" s="373">
        <v>520094.16666666663</v>
      </c>
      <c r="BX138" s="373">
        <v>520844.16666666663</v>
      </c>
      <c r="BY138" s="373">
        <v>230094.16666666663</v>
      </c>
      <c r="BZ138" s="373">
        <v>230694.16666666663</v>
      </c>
      <c r="CA138" s="373">
        <v>235744.16666666651</v>
      </c>
      <c r="CB138" s="402">
        <f t="shared" si="282"/>
        <v>3597424.9999999995</v>
      </c>
      <c r="CC138" s="776">
        <f t="shared" si="274"/>
        <v>1051466.8699999996</v>
      </c>
      <c r="CD138" s="775">
        <f t="shared" si="275"/>
        <v>0.29228319422920557</v>
      </c>
      <c r="CE138" s="772"/>
      <c r="CF138" s="373">
        <v>280395.67000000004</v>
      </c>
      <c r="CG138" s="373">
        <v>208143.39</v>
      </c>
      <c r="CH138" s="373">
        <v>255544.72</v>
      </c>
      <c r="CI138" s="373">
        <v>214300.23</v>
      </c>
      <c r="CJ138" s="373">
        <v>247908.87</v>
      </c>
      <c r="CK138" s="373">
        <v>178581.37</v>
      </c>
      <c r="CL138" s="374">
        <v>175251.52000000002</v>
      </c>
      <c r="CM138" s="373">
        <v>271381.99</v>
      </c>
      <c r="CN138" s="373">
        <v>340775.05</v>
      </c>
      <c r="CO138" s="373">
        <v>186780.84999999998</v>
      </c>
      <c r="CP138" s="373">
        <v>265880.93999999994</v>
      </c>
      <c r="CQ138" s="373">
        <v>328547.20000000001</v>
      </c>
      <c r="CR138" s="374">
        <v>0</v>
      </c>
      <c r="CS138" s="375">
        <f t="shared" si="276"/>
        <v>2953491.8000000003</v>
      </c>
      <c r="CT138" s="378">
        <f t="shared" si="277"/>
        <v>407533.67000000039</v>
      </c>
      <c r="CU138" s="165">
        <f t="shared" si="278"/>
        <v>0.13798368087563351</v>
      </c>
      <c r="CV138" s="329"/>
      <c r="CW138" s="373">
        <v>246524.38</v>
      </c>
      <c r="CX138" s="373">
        <v>192158.24</v>
      </c>
      <c r="CY138" s="373">
        <v>146833.68</v>
      </c>
      <c r="CZ138" s="373">
        <v>202899.46</v>
      </c>
      <c r="DA138" s="373">
        <v>142296.85999999999</v>
      </c>
      <c r="DB138" s="373">
        <v>243520.22</v>
      </c>
      <c r="DC138" s="374">
        <v>158487.46</v>
      </c>
      <c r="DD138" s="373">
        <v>359901.5</v>
      </c>
      <c r="DE138" s="373">
        <v>190580.86000000002</v>
      </c>
      <c r="DF138" s="373">
        <v>228472.55</v>
      </c>
      <c r="DG138" s="373">
        <v>193920.33000000002</v>
      </c>
      <c r="DH138" s="373">
        <v>278641.46000000002</v>
      </c>
      <c r="DI138" s="375">
        <f t="shared" si="279"/>
        <v>2584237</v>
      </c>
      <c r="DJ138" s="329"/>
      <c r="DK138" s="373">
        <v>930</v>
      </c>
      <c r="DL138" s="373">
        <v>160819.44</v>
      </c>
      <c r="DM138" s="373">
        <v>99183.19</v>
      </c>
      <c r="DN138" s="373">
        <v>57630.37</v>
      </c>
      <c r="DO138" s="373">
        <v>58550.5</v>
      </c>
      <c r="DP138" s="373">
        <v>29760</v>
      </c>
      <c r="DQ138" s="374">
        <v>50537.5</v>
      </c>
      <c r="DR138" s="373">
        <v>91076.29</v>
      </c>
      <c r="DS138" s="373">
        <v>144229.67000000001</v>
      </c>
      <c r="DT138" s="373">
        <v>147590</v>
      </c>
      <c r="DU138" s="373">
        <v>170327.48</v>
      </c>
      <c r="DV138" s="373">
        <v>365765.97</v>
      </c>
      <c r="DW138" s="375">
        <f t="shared" si="280"/>
        <v>1376400.4100000001</v>
      </c>
      <c r="DY138" s="373">
        <v>130359.74</v>
      </c>
      <c r="DZ138" s="373">
        <v>20827.63</v>
      </c>
      <c r="EA138" s="373">
        <v>10171</v>
      </c>
      <c r="EB138" s="373">
        <v>32868.639999999999</v>
      </c>
      <c r="EC138" s="373">
        <v>97938.36</v>
      </c>
      <c r="ED138" s="373">
        <v>14775.2</v>
      </c>
      <c r="EE138" s="374">
        <v>45202.07</v>
      </c>
      <c r="EF138" s="373">
        <v>15198.84</v>
      </c>
      <c r="EG138" s="373">
        <v>37590.519999999997</v>
      </c>
      <c r="EH138" s="373">
        <v>10680</v>
      </c>
      <c r="EI138" s="373">
        <v>59257.58</v>
      </c>
      <c r="EJ138" s="373">
        <v>102904.51</v>
      </c>
      <c r="EK138" s="375">
        <f t="shared" si="281"/>
        <v>577774.09000000008</v>
      </c>
      <c r="EL138" s="177"/>
      <c r="EM138" s="373">
        <v>79420.649999999994</v>
      </c>
      <c r="EN138" s="373">
        <v>19568.560000000001</v>
      </c>
      <c r="EO138" s="373">
        <v>23264.05</v>
      </c>
      <c r="EP138" s="373">
        <v>23362.76</v>
      </c>
      <c r="EQ138" s="373">
        <v>21940.86</v>
      </c>
      <c r="ER138" s="373">
        <v>165086.79999999999</v>
      </c>
      <c r="ES138" s="374">
        <v>15750.76</v>
      </c>
      <c r="ET138" s="373">
        <v>21689.89</v>
      </c>
      <c r="EU138" s="373">
        <v>19704.52</v>
      </c>
      <c r="EV138" s="373">
        <v>2941</v>
      </c>
      <c r="EW138" s="373">
        <v>0</v>
      </c>
      <c r="EX138" s="373">
        <v>76719.08</v>
      </c>
      <c r="EY138" s="375">
        <f t="shared" si="283"/>
        <v>469448.93000000005</v>
      </c>
      <c r="EZ138" s="164">
        <v>0</v>
      </c>
      <c r="FA138" s="185">
        <v>0</v>
      </c>
    </row>
    <row r="139" spans="1:157" ht="18.75" customHeight="1">
      <c r="A139" s="185" t="s">
        <v>329</v>
      </c>
      <c r="B139" s="774"/>
      <c r="C139" s="176" t="s">
        <v>1027</v>
      </c>
      <c r="D139" s="176">
        <v>60309000</v>
      </c>
      <c r="E139" s="773"/>
      <c r="F139" s="320" t="s">
        <v>344</v>
      </c>
      <c r="G139" s="329"/>
      <c r="H139" s="373"/>
      <c r="I139" s="373"/>
      <c r="J139" s="373"/>
      <c r="K139" s="373"/>
      <c r="L139" s="373"/>
      <c r="M139" s="373"/>
      <c r="N139" s="374"/>
      <c r="O139" s="373"/>
      <c r="P139" s="373"/>
      <c r="Q139" s="373"/>
      <c r="R139" s="373"/>
      <c r="S139" s="377">
        <v>75234</v>
      </c>
      <c r="T139" s="375">
        <f t="shared" si="268"/>
        <v>75234</v>
      </c>
      <c r="U139" s="776">
        <f t="shared" si="269"/>
        <v>42816.350000000006</v>
      </c>
      <c r="V139" s="775">
        <f t="shared" si="270"/>
        <v>0.36269566333348441</v>
      </c>
      <c r="W139" s="329"/>
      <c r="X139" s="373">
        <v>13598.900000000001</v>
      </c>
      <c r="Y139" s="373">
        <v>5682.66</v>
      </c>
      <c r="Z139" s="373">
        <v>11202.6</v>
      </c>
      <c r="AA139" s="373">
        <v>8303.5</v>
      </c>
      <c r="AB139" s="373">
        <v>10752</v>
      </c>
      <c r="AC139" s="373">
        <v>8258.6500000000015</v>
      </c>
      <c r="AD139" s="374">
        <v>7016.02</v>
      </c>
      <c r="AE139" s="373">
        <v>15897.44</v>
      </c>
      <c r="AF139" s="373">
        <v>10269.93</v>
      </c>
      <c r="AG139" s="373">
        <v>7017.66</v>
      </c>
      <c r="AH139" s="373">
        <v>6570.12</v>
      </c>
      <c r="AI139" s="373">
        <v>13480.87</v>
      </c>
      <c r="AJ139" s="375">
        <f t="shared" si="271"/>
        <v>118050.35</v>
      </c>
      <c r="AK139" s="329"/>
      <c r="AL139" s="373">
        <v>4871</v>
      </c>
      <c r="AM139" s="373">
        <v>4881</v>
      </c>
      <c r="AN139" s="373">
        <v>4921</v>
      </c>
      <c r="AO139" s="373">
        <v>4871</v>
      </c>
      <c r="AP139" s="373">
        <v>4871</v>
      </c>
      <c r="AQ139" s="373">
        <v>4921</v>
      </c>
      <c r="AR139" s="374">
        <v>4891</v>
      </c>
      <c r="AS139" s="373">
        <v>4861</v>
      </c>
      <c r="AT139" s="373">
        <v>4921</v>
      </c>
      <c r="AU139" s="373">
        <v>4871</v>
      </c>
      <c r="AV139" s="373">
        <v>4891</v>
      </c>
      <c r="AW139" s="373">
        <v>108615</v>
      </c>
      <c r="AX139" s="375">
        <v>344386</v>
      </c>
      <c r="AY139" s="776">
        <f t="shared" si="272"/>
        <v>-183542.65</v>
      </c>
      <c r="AZ139" s="775">
        <f t="shared" si="273"/>
        <v>-1.1411267546964172</v>
      </c>
      <c r="BA139" s="329"/>
      <c r="BB139" s="373">
        <v>11148</v>
      </c>
      <c r="BC139" s="373">
        <v>13582.3</v>
      </c>
      <c r="BD139" s="373">
        <v>12760.300000000001</v>
      </c>
      <c r="BE139" s="373">
        <v>12794.3</v>
      </c>
      <c r="BF139" s="373">
        <v>14544.9</v>
      </c>
      <c r="BG139" s="373">
        <v>13055.36</v>
      </c>
      <c r="BH139" s="374">
        <v>11547</v>
      </c>
      <c r="BI139" s="373">
        <v>12937.64</v>
      </c>
      <c r="BJ139" s="373">
        <v>11655.05</v>
      </c>
      <c r="BK139" s="373">
        <v>21779.8</v>
      </c>
      <c r="BL139" s="373">
        <v>13961.7</v>
      </c>
      <c r="BM139" s="373">
        <v>13952</v>
      </c>
      <c r="BN139" s="375">
        <v>160843.35</v>
      </c>
      <c r="BO139" s="329"/>
      <c r="BP139" s="373">
        <v>12930</v>
      </c>
      <c r="BQ139" s="373">
        <v>14044</v>
      </c>
      <c r="BR139" s="373">
        <v>14955</v>
      </c>
      <c r="BS139" s="373">
        <v>15388</v>
      </c>
      <c r="BT139" s="373">
        <v>13983</v>
      </c>
      <c r="BU139" s="373">
        <v>13973</v>
      </c>
      <c r="BV139" s="374">
        <v>14187.2</v>
      </c>
      <c r="BW139" s="373">
        <v>16592</v>
      </c>
      <c r="BX139" s="373">
        <v>14159</v>
      </c>
      <c r="BY139" s="373">
        <v>13795</v>
      </c>
      <c r="BZ139" s="373">
        <v>14417.620000000003</v>
      </c>
      <c r="CA139" s="373">
        <v>14387.620000000003</v>
      </c>
      <c r="CB139" s="402">
        <f t="shared" si="282"/>
        <v>172811.44</v>
      </c>
      <c r="CC139" s="776">
        <f t="shared" si="274"/>
        <v>11968.089999999997</v>
      </c>
      <c r="CD139" s="775">
        <f t="shared" si="275"/>
        <v>6.9255195142173431E-2</v>
      </c>
      <c r="CE139" s="772"/>
      <c r="CF139" s="373">
        <v>6418.9000000000005</v>
      </c>
      <c r="CG139" s="373">
        <v>12768.5</v>
      </c>
      <c r="CH139" s="373">
        <v>12960.7</v>
      </c>
      <c r="CI139" s="373">
        <v>15110.099999999999</v>
      </c>
      <c r="CJ139" s="373">
        <v>13372.5</v>
      </c>
      <c r="CK139" s="373">
        <v>12341.9</v>
      </c>
      <c r="CL139" s="374">
        <v>12690.7</v>
      </c>
      <c r="CM139" s="373">
        <v>14835.8</v>
      </c>
      <c r="CN139" s="373">
        <v>14204.300000000001</v>
      </c>
      <c r="CO139" s="373">
        <v>9825.1999999999989</v>
      </c>
      <c r="CP139" s="373">
        <v>12823.300000000001</v>
      </c>
      <c r="CQ139" s="373">
        <v>14636</v>
      </c>
      <c r="CR139" s="374">
        <v>0</v>
      </c>
      <c r="CS139" s="375">
        <f t="shared" si="276"/>
        <v>151987.9</v>
      </c>
      <c r="CT139" s="378">
        <f t="shared" si="277"/>
        <v>-8855.4500000000116</v>
      </c>
      <c r="CU139" s="165">
        <f t="shared" si="278"/>
        <v>-5.826417760887552E-2</v>
      </c>
      <c r="CV139" s="329"/>
      <c r="CW139" s="373">
        <v>7315.6</v>
      </c>
      <c r="CX139" s="373">
        <v>8600.6</v>
      </c>
      <c r="CY139" s="373">
        <v>11039.2</v>
      </c>
      <c r="CZ139" s="373">
        <v>7874.4000000000005</v>
      </c>
      <c r="DA139" s="373">
        <v>7267.3</v>
      </c>
      <c r="DB139" s="373">
        <v>7316.3000000000011</v>
      </c>
      <c r="DC139" s="374">
        <v>8434.1</v>
      </c>
      <c r="DD139" s="373">
        <v>9711.4</v>
      </c>
      <c r="DE139" s="373">
        <v>8154.5399999999991</v>
      </c>
      <c r="DF139" s="373">
        <v>11751.66</v>
      </c>
      <c r="DG139" s="373">
        <v>7745.6299999999992</v>
      </c>
      <c r="DH139" s="373">
        <v>10706.37</v>
      </c>
      <c r="DI139" s="375">
        <f t="shared" si="279"/>
        <v>105917.1</v>
      </c>
      <c r="DJ139" s="329"/>
      <c r="DK139" s="373">
        <v>6390.7</v>
      </c>
      <c r="DL139" s="373">
        <v>7370.4000000000005</v>
      </c>
      <c r="DM139" s="373">
        <v>10095.9</v>
      </c>
      <c r="DN139" s="373">
        <v>10118</v>
      </c>
      <c r="DO139" s="373">
        <v>8204.7000000000007</v>
      </c>
      <c r="DP139" s="373">
        <v>8901</v>
      </c>
      <c r="DQ139" s="374">
        <v>7447.9</v>
      </c>
      <c r="DR139" s="373">
        <v>9167.25</v>
      </c>
      <c r="DS139" s="373">
        <v>9233</v>
      </c>
      <c r="DT139" s="373">
        <v>8884.4</v>
      </c>
      <c r="DU139" s="373">
        <v>6450.8</v>
      </c>
      <c r="DV139" s="373">
        <v>11712.2</v>
      </c>
      <c r="DW139" s="375">
        <f t="shared" si="280"/>
        <v>103976.25</v>
      </c>
      <c r="DY139" s="373">
        <v>1092.8</v>
      </c>
      <c r="DZ139" s="373">
        <v>11713.8</v>
      </c>
      <c r="EA139" s="373">
        <v>8865.06</v>
      </c>
      <c r="EB139" s="373">
        <v>6238</v>
      </c>
      <c r="EC139" s="373">
        <v>6384.2</v>
      </c>
      <c r="ED139" s="373">
        <v>7778.7000000000007</v>
      </c>
      <c r="EE139" s="374">
        <v>6145.7</v>
      </c>
      <c r="EF139" s="373">
        <v>6965.7</v>
      </c>
      <c r="EG139" s="373">
        <v>4010.5</v>
      </c>
      <c r="EH139" s="373">
        <v>7606.1</v>
      </c>
      <c r="EI139" s="373">
        <v>8819.7999999999993</v>
      </c>
      <c r="EJ139" s="373">
        <v>7859.4</v>
      </c>
      <c r="EK139" s="375">
        <f t="shared" si="281"/>
        <v>83479.759999999995</v>
      </c>
      <c r="EL139" s="177"/>
      <c r="EM139" s="373">
        <v>5756.15</v>
      </c>
      <c r="EN139" s="373">
        <v>4144.2</v>
      </c>
      <c r="EO139" s="373">
        <v>9882.9</v>
      </c>
      <c r="EP139" s="373">
        <v>7116.4</v>
      </c>
      <c r="EQ139" s="373">
        <v>1108.42</v>
      </c>
      <c r="ER139" s="373">
        <v>8736.6</v>
      </c>
      <c r="ES139" s="374">
        <v>7337.9</v>
      </c>
      <c r="ET139" s="373">
        <v>8734.64</v>
      </c>
      <c r="EU139" s="373">
        <v>2497.54</v>
      </c>
      <c r="EV139" s="373">
        <v>2480.3000000000002</v>
      </c>
      <c r="EW139" s="373">
        <v>13393.9</v>
      </c>
      <c r="EX139" s="373">
        <v>7755.11</v>
      </c>
      <c r="EY139" s="375">
        <f t="shared" si="283"/>
        <v>78944.06</v>
      </c>
      <c r="EZ139" s="164">
        <v>0</v>
      </c>
      <c r="FA139" s="185">
        <v>0</v>
      </c>
    </row>
    <row r="140" spans="1:157" ht="18.75" customHeight="1">
      <c r="A140" s="185" t="s">
        <v>329</v>
      </c>
      <c r="B140" s="774"/>
      <c r="C140" s="176" t="s">
        <v>1026</v>
      </c>
      <c r="D140" s="176">
        <v>60310000</v>
      </c>
      <c r="E140" s="773"/>
      <c r="F140" s="320" t="s">
        <v>341</v>
      </c>
      <c r="G140" s="329"/>
      <c r="H140" s="373"/>
      <c r="I140" s="373"/>
      <c r="J140" s="373"/>
      <c r="K140" s="373"/>
      <c r="L140" s="373"/>
      <c r="M140" s="373"/>
      <c r="N140" s="374"/>
      <c r="O140" s="373"/>
      <c r="P140" s="373"/>
      <c r="Q140" s="373"/>
      <c r="R140" s="373"/>
      <c r="S140" s="377">
        <v>648693.52</v>
      </c>
      <c r="T140" s="375">
        <f t="shared" si="268"/>
        <v>648693.52</v>
      </c>
      <c r="U140" s="776">
        <f t="shared" si="269"/>
        <v>-98644.540000000037</v>
      </c>
      <c r="V140" s="775">
        <f t="shared" si="270"/>
        <v>-0.17933773825014646</v>
      </c>
      <c r="W140" s="329"/>
      <c r="X140" s="373">
        <v>41560.32</v>
      </c>
      <c r="Y140" s="373">
        <v>36715.17</v>
      </c>
      <c r="Z140" s="373">
        <v>41122.31</v>
      </c>
      <c r="AA140" s="373">
        <v>54518.729999999996</v>
      </c>
      <c r="AB140" s="373">
        <v>60174.73</v>
      </c>
      <c r="AC140" s="373">
        <v>13566.629999999997</v>
      </c>
      <c r="AD140" s="374">
        <v>41046.85</v>
      </c>
      <c r="AE140" s="373">
        <v>74684.12000000001</v>
      </c>
      <c r="AF140" s="373">
        <v>41097.310000000005</v>
      </c>
      <c r="AG140" s="373">
        <v>49013.810000000005</v>
      </c>
      <c r="AH140" s="373">
        <v>49557.65</v>
      </c>
      <c r="AI140" s="373">
        <v>46991.35</v>
      </c>
      <c r="AJ140" s="375">
        <f t="shared" si="271"/>
        <v>550048.98</v>
      </c>
      <c r="AK140" s="329"/>
      <c r="AL140" s="373">
        <v>1877</v>
      </c>
      <c r="AM140" s="373">
        <v>2077</v>
      </c>
      <c r="AN140" s="373">
        <v>2852</v>
      </c>
      <c r="AO140" s="373">
        <v>2077</v>
      </c>
      <c r="AP140" s="373">
        <v>1877</v>
      </c>
      <c r="AQ140" s="373">
        <v>2852</v>
      </c>
      <c r="AR140" s="374">
        <v>1876</v>
      </c>
      <c r="AS140" s="373">
        <v>2076</v>
      </c>
      <c r="AT140" s="373">
        <v>2851</v>
      </c>
      <c r="AU140" s="373">
        <v>2076</v>
      </c>
      <c r="AV140" s="373">
        <v>1876</v>
      </c>
      <c r="AW140" s="373">
        <v>508532.1</v>
      </c>
      <c r="AX140" s="375">
        <v>532899</v>
      </c>
      <c r="AY140" s="776">
        <f t="shared" si="272"/>
        <v>-3491.8499999999767</v>
      </c>
      <c r="AZ140" s="775">
        <f t="shared" si="273"/>
        <v>-6.5957741598313821E-3</v>
      </c>
      <c r="BA140" s="329"/>
      <c r="BB140" s="373">
        <v>42444.58</v>
      </c>
      <c r="BC140" s="373">
        <v>41905.75</v>
      </c>
      <c r="BD140" s="373">
        <v>49187.75</v>
      </c>
      <c r="BE140" s="373">
        <v>41972.43</v>
      </c>
      <c r="BF140" s="373">
        <v>46492.61</v>
      </c>
      <c r="BG140" s="373">
        <v>40128.339999999997</v>
      </c>
      <c r="BH140" s="374">
        <v>43154.79</v>
      </c>
      <c r="BI140" s="373">
        <v>42570.25</v>
      </c>
      <c r="BJ140" s="373">
        <v>44551.13</v>
      </c>
      <c r="BK140" s="373">
        <v>40334.949999999997</v>
      </c>
      <c r="BL140" s="373">
        <v>53467.78</v>
      </c>
      <c r="BM140" s="373">
        <v>44726.62</v>
      </c>
      <c r="BN140" s="375">
        <v>529407.15</v>
      </c>
      <c r="BO140" s="329"/>
      <c r="BP140" s="373">
        <v>45053.313333333332</v>
      </c>
      <c r="BQ140" s="373">
        <v>45485.753333333334</v>
      </c>
      <c r="BR140" s="373">
        <v>53041.333333333328</v>
      </c>
      <c r="BS140" s="373">
        <v>45890.573333333334</v>
      </c>
      <c r="BT140" s="373">
        <v>45115.593333333331</v>
      </c>
      <c r="BU140" s="373">
        <v>52729.633333333331</v>
      </c>
      <c r="BV140" s="374">
        <v>44739.23333333333</v>
      </c>
      <c r="BW140" s="373">
        <v>44923.833333333328</v>
      </c>
      <c r="BX140" s="373">
        <v>52893.763333333336</v>
      </c>
      <c r="BY140" s="373">
        <v>44723.833333333328</v>
      </c>
      <c r="BZ140" s="373">
        <v>45197.186333333331</v>
      </c>
      <c r="CA140" s="373">
        <v>52972.186333333331</v>
      </c>
      <c r="CB140" s="402">
        <f t="shared" si="282"/>
        <v>572766.23599999992</v>
      </c>
      <c r="CC140" s="776">
        <f t="shared" si="274"/>
        <v>43359.085999999894</v>
      </c>
      <c r="CD140" s="775">
        <f t="shared" si="275"/>
        <v>7.5701190598811585E-2</v>
      </c>
      <c r="CE140" s="772"/>
      <c r="CF140" s="373">
        <v>40023.99</v>
      </c>
      <c r="CG140" s="373">
        <v>33224.710000000006</v>
      </c>
      <c r="CH140" s="373">
        <v>32373.549999999996</v>
      </c>
      <c r="CI140" s="373">
        <v>32068.999999999996</v>
      </c>
      <c r="CJ140" s="373">
        <v>45615.28</v>
      </c>
      <c r="CK140" s="373">
        <v>44148.85</v>
      </c>
      <c r="CL140" s="374">
        <v>45732.25</v>
      </c>
      <c r="CM140" s="373">
        <v>41098.129999999997</v>
      </c>
      <c r="CN140" s="373">
        <v>43596.65</v>
      </c>
      <c r="CO140" s="373">
        <v>45739.119999999995</v>
      </c>
      <c r="CP140" s="373">
        <v>43495.38</v>
      </c>
      <c r="CQ140" s="373">
        <v>44858.79</v>
      </c>
      <c r="CR140" s="374">
        <v>0</v>
      </c>
      <c r="CS140" s="375">
        <f t="shared" si="276"/>
        <v>491975.7</v>
      </c>
      <c r="CT140" s="378">
        <f t="shared" si="277"/>
        <v>-37431.450000000012</v>
      </c>
      <c r="CU140" s="165">
        <f t="shared" si="278"/>
        <v>-7.608394073121906E-2</v>
      </c>
      <c r="CV140" s="329"/>
      <c r="CW140" s="373">
        <v>20892.150000000001</v>
      </c>
      <c r="CX140" s="373">
        <v>24310.04</v>
      </c>
      <c r="CY140" s="373">
        <v>22448.400000000001</v>
      </c>
      <c r="CZ140" s="373">
        <v>25180.75</v>
      </c>
      <c r="DA140" s="373">
        <v>29112.559999999998</v>
      </c>
      <c r="DB140" s="373">
        <v>21610.46</v>
      </c>
      <c r="DC140" s="374">
        <v>21573.97</v>
      </c>
      <c r="DD140" s="373">
        <v>22315.58</v>
      </c>
      <c r="DE140" s="373">
        <v>22596.840000000004</v>
      </c>
      <c r="DF140" s="373">
        <v>23434.949999999997</v>
      </c>
      <c r="DG140" s="373">
        <v>29404.370000000003</v>
      </c>
      <c r="DH140" s="373">
        <v>29532.050000000003</v>
      </c>
      <c r="DI140" s="375">
        <f t="shared" si="279"/>
        <v>292412.11999999994</v>
      </c>
      <c r="DJ140" s="329"/>
      <c r="DK140" s="373">
        <v>15785.789999999999</v>
      </c>
      <c r="DL140" s="373">
        <v>18918.689999999999</v>
      </c>
      <c r="DM140" s="373">
        <v>16127.96</v>
      </c>
      <c r="DN140" s="373">
        <v>30770.489999999998</v>
      </c>
      <c r="DO140" s="373">
        <v>36107.9</v>
      </c>
      <c r="DP140" s="373">
        <v>25342.730000000003</v>
      </c>
      <c r="DQ140" s="374">
        <v>24671.15</v>
      </c>
      <c r="DR140" s="373">
        <v>27177.84</v>
      </c>
      <c r="DS140" s="373">
        <v>23792.940000000002</v>
      </c>
      <c r="DT140" s="373">
        <v>26911.63</v>
      </c>
      <c r="DU140" s="373">
        <v>23505.920000000002</v>
      </c>
      <c r="DV140" s="373">
        <v>25292.3</v>
      </c>
      <c r="DW140" s="375">
        <f t="shared" si="280"/>
        <v>294405.33999999997</v>
      </c>
      <c r="DY140" s="373">
        <v>2895.78</v>
      </c>
      <c r="DZ140" s="373">
        <v>27961.339999999997</v>
      </c>
      <c r="EA140" s="373">
        <v>16078.810000000001</v>
      </c>
      <c r="EB140" s="373">
        <v>14883.71</v>
      </c>
      <c r="EC140" s="373">
        <v>14069.599999999999</v>
      </c>
      <c r="ED140" s="373">
        <v>26548.14</v>
      </c>
      <c r="EE140" s="374">
        <v>7196.23</v>
      </c>
      <c r="EF140" s="373">
        <v>21109.11</v>
      </c>
      <c r="EG140" s="373">
        <v>17850.54</v>
      </c>
      <c r="EH140" s="373">
        <v>17315.25</v>
      </c>
      <c r="EI140" s="373">
        <v>18856.650000000001</v>
      </c>
      <c r="EJ140" s="373">
        <v>20167.03</v>
      </c>
      <c r="EK140" s="375">
        <f t="shared" si="281"/>
        <v>204932.18999999997</v>
      </c>
      <c r="EL140" s="177"/>
      <c r="EM140" s="373">
        <v>17541.330000000002</v>
      </c>
      <c r="EN140" s="373">
        <v>5113.37</v>
      </c>
      <c r="EO140" s="373">
        <v>20951.12</v>
      </c>
      <c r="EP140" s="373">
        <v>19692.45</v>
      </c>
      <c r="EQ140" s="373">
        <v>14945.42</v>
      </c>
      <c r="ER140" s="373">
        <v>14723.740000000002</v>
      </c>
      <c r="ES140" s="374">
        <v>20437.310000000001</v>
      </c>
      <c r="ET140" s="373">
        <v>19272.57</v>
      </c>
      <c r="EU140" s="373">
        <v>18196.249999999996</v>
      </c>
      <c r="EV140" s="373">
        <v>2573.1999999999998</v>
      </c>
      <c r="EW140" s="373">
        <v>29333.879999999997</v>
      </c>
      <c r="EX140" s="373">
        <v>16453.29</v>
      </c>
      <c r="EY140" s="375">
        <f t="shared" si="283"/>
        <v>199233.93000000002</v>
      </c>
      <c r="EZ140" s="164">
        <v>0</v>
      </c>
      <c r="FA140" s="185">
        <v>0</v>
      </c>
    </row>
    <row r="141" spans="1:157" ht="18.75" customHeight="1">
      <c r="A141" s="185" t="s">
        <v>329</v>
      </c>
      <c r="B141" s="774"/>
      <c r="C141" s="176" t="s">
        <v>1025</v>
      </c>
      <c r="D141" s="176">
        <v>60311000</v>
      </c>
      <c r="E141" s="773"/>
      <c r="F141" s="320" t="s">
        <v>342</v>
      </c>
      <c r="G141" s="210"/>
      <c r="H141" s="373"/>
      <c r="I141" s="373"/>
      <c r="J141" s="373"/>
      <c r="K141" s="373"/>
      <c r="L141" s="373"/>
      <c r="M141" s="373"/>
      <c r="N141" s="374"/>
      <c r="O141" s="373"/>
      <c r="P141" s="373"/>
      <c r="Q141" s="373"/>
      <c r="R141" s="373"/>
      <c r="S141" s="377">
        <v>257385</v>
      </c>
      <c r="T141" s="375">
        <f t="shared" si="268"/>
        <v>257385</v>
      </c>
      <c r="U141" s="776">
        <f t="shared" si="269"/>
        <v>30665.800000000047</v>
      </c>
      <c r="V141" s="775">
        <f t="shared" si="270"/>
        <v>0.10645969391510123</v>
      </c>
      <c r="W141" s="329"/>
      <c r="X141" s="373">
        <v>27971.63</v>
      </c>
      <c r="Y141" s="373">
        <v>15024.75</v>
      </c>
      <c r="Z141" s="373">
        <v>13724.75</v>
      </c>
      <c r="AA141" s="373">
        <v>14374.75</v>
      </c>
      <c r="AB141" s="373">
        <v>50731.13</v>
      </c>
      <c r="AC141" s="373">
        <v>17693.16</v>
      </c>
      <c r="AD141" s="374">
        <v>17693.16</v>
      </c>
      <c r="AE141" s="373">
        <v>18293.16</v>
      </c>
      <c r="AF141" s="373">
        <v>26473.16</v>
      </c>
      <c r="AG141" s="373">
        <v>48224.83</v>
      </c>
      <c r="AH141" s="373">
        <v>19029.830000000002</v>
      </c>
      <c r="AI141" s="373">
        <v>18816.490000000002</v>
      </c>
      <c r="AJ141" s="375">
        <f t="shared" si="271"/>
        <v>288050.80000000005</v>
      </c>
      <c r="AK141" s="329"/>
      <c r="AL141" s="373">
        <v>22498</v>
      </c>
      <c r="AM141" s="373">
        <v>22498</v>
      </c>
      <c r="AN141" s="373">
        <v>40998</v>
      </c>
      <c r="AO141" s="373">
        <v>25498</v>
      </c>
      <c r="AP141" s="373">
        <v>25498</v>
      </c>
      <c r="AQ141" s="373">
        <v>40998</v>
      </c>
      <c r="AR141" s="374">
        <v>25498</v>
      </c>
      <c r="AS141" s="373">
        <v>25498</v>
      </c>
      <c r="AT141" s="373">
        <v>43814</v>
      </c>
      <c r="AU141" s="373">
        <v>28649</v>
      </c>
      <c r="AV141" s="373">
        <v>25499</v>
      </c>
      <c r="AW141" s="373">
        <v>123142</v>
      </c>
      <c r="AX141" s="375">
        <v>450088</v>
      </c>
      <c r="AY141" s="776">
        <f t="shared" si="272"/>
        <v>-98074.290000000037</v>
      </c>
      <c r="AZ141" s="775">
        <f t="shared" si="273"/>
        <v>-0.27860929053019001</v>
      </c>
      <c r="BA141" s="329"/>
      <c r="BB141" s="373">
        <v>26794.75</v>
      </c>
      <c r="BC141" s="373">
        <v>49044.75</v>
      </c>
      <c r="BD141" s="373">
        <v>17500.990000000002</v>
      </c>
      <c r="BE141" s="373">
        <v>16494.75</v>
      </c>
      <c r="BF141" s="373">
        <v>-5320.75</v>
      </c>
      <c r="BG141" s="373">
        <v>101569.75</v>
      </c>
      <c r="BH141" s="374">
        <v>14074.75</v>
      </c>
      <c r="BI141" s="373">
        <v>15674.75</v>
      </c>
      <c r="BJ141" s="373">
        <v>55170.75</v>
      </c>
      <c r="BK141" s="373">
        <v>31859.72</v>
      </c>
      <c r="BL141" s="373">
        <v>14074.75</v>
      </c>
      <c r="BM141" s="373">
        <v>15074.75</v>
      </c>
      <c r="BN141" s="375">
        <v>352013.70999999996</v>
      </c>
      <c r="BO141" s="329"/>
      <c r="BP141" s="373">
        <v>32220</v>
      </c>
      <c r="BQ141" s="373">
        <v>29920</v>
      </c>
      <c r="BR141" s="373">
        <v>22675</v>
      </c>
      <c r="BS141" s="373">
        <v>24675</v>
      </c>
      <c r="BT141" s="373">
        <v>27868</v>
      </c>
      <c r="BU141" s="373">
        <v>78750</v>
      </c>
      <c r="BV141" s="374">
        <v>22675</v>
      </c>
      <c r="BW141" s="373">
        <v>25675</v>
      </c>
      <c r="BX141" s="373">
        <v>37130</v>
      </c>
      <c r="BY141" s="373">
        <v>46900</v>
      </c>
      <c r="BZ141" s="373">
        <v>26946.3</v>
      </c>
      <c r="CA141" s="373">
        <v>34946.300000000003</v>
      </c>
      <c r="CB141" s="402">
        <f t="shared" si="282"/>
        <v>410380.6</v>
      </c>
      <c r="CC141" s="776">
        <f t="shared" si="274"/>
        <v>58366.890000000014</v>
      </c>
      <c r="CD141" s="775">
        <f t="shared" si="275"/>
        <v>0.14222624071410786</v>
      </c>
      <c r="CE141" s="777"/>
      <c r="CF141" s="373">
        <v>27994.12</v>
      </c>
      <c r="CG141" s="373">
        <v>24287.45</v>
      </c>
      <c r="CH141" s="373">
        <v>18234.87</v>
      </c>
      <c r="CI141" s="373">
        <v>16042.09</v>
      </c>
      <c r="CJ141" s="373">
        <v>20650.740000000002</v>
      </c>
      <c r="CK141" s="373">
        <v>71504.52</v>
      </c>
      <c r="CL141" s="374">
        <v>22346.799999999999</v>
      </c>
      <c r="CM141" s="373">
        <v>20705.47</v>
      </c>
      <c r="CN141" s="373">
        <v>31792.67</v>
      </c>
      <c r="CO141" s="373">
        <v>69015.75</v>
      </c>
      <c r="CP141" s="373">
        <v>18994.75</v>
      </c>
      <c r="CQ141" s="373">
        <v>20109.75</v>
      </c>
      <c r="CR141" s="374">
        <v>0</v>
      </c>
      <c r="CS141" s="375">
        <f t="shared" si="276"/>
        <v>361678.98</v>
      </c>
      <c r="CT141" s="378">
        <f t="shared" si="277"/>
        <v>9665.2700000000186</v>
      </c>
      <c r="CU141" s="165">
        <f t="shared" si="278"/>
        <v>2.6723339022909263E-2</v>
      </c>
      <c r="CV141" s="330"/>
      <c r="CW141" s="373">
        <v>50530</v>
      </c>
      <c r="CX141" s="373">
        <v>10300</v>
      </c>
      <c r="CY141" s="373">
        <v>15697</v>
      </c>
      <c r="CZ141" s="373">
        <v>34975</v>
      </c>
      <c r="DA141" s="373">
        <v>18245</v>
      </c>
      <c r="DB141" s="373">
        <v>20535</v>
      </c>
      <c r="DC141" s="374">
        <v>17045</v>
      </c>
      <c r="DD141" s="373">
        <v>15495</v>
      </c>
      <c r="DE141" s="373">
        <v>28550</v>
      </c>
      <c r="DF141" s="373">
        <v>148189</v>
      </c>
      <c r="DG141" s="373">
        <v>-22960.99</v>
      </c>
      <c r="DH141" s="373">
        <v>26862.29</v>
      </c>
      <c r="DI141" s="375">
        <f t="shared" si="279"/>
        <v>363462.3</v>
      </c>
      <c r="DJ141" s="330"/>
      <c r="DK141" s="373">
        <v>16216.82</v>
      </c>
      <c r="DL141" s="373">
        <v>35611.03</v>
      </c>
      <c r="DM141" s="373">
        <v>27520</v>
      </c>
      <c r="DN141" s="373">
        <v>19795.18</v>
      </c>
      <c r="DO141" s="373">
        <v>13140</v>
      </c>
      <c r="DP141" s="373">
        <v>8670</v>
      </c>
      <c r="DQ141" s="374">
        <v>18110</v>
      </c>
      <c r="DR141" s="373">
        <v>11340</v>
      </c>
      <c r="DS141" s="373">
        <v>28885</v>
      </c>
      <c r="DT141" s="373">
        <v>69010</v>
      </c>
      <c r="DU141" s="373">
        <v>23340</v>
      </c>
      <c r="DV141" s="373">
        <v>16340</v>
      </c>
      <c r="DW141" s="375">
        <f t="shared" si="280"/>
        <v>287978.03000000003</v>
      </c>
      <c r="DY141" s="373">
        <v>23969.02</v>
      </c>
      <c r="DZ141" s="373">
        <v>10940</v>
      </c>
      <c r="EA141" s="373">
        <v>11540</v>
      </c>
      <c r="EB141" s="373">
        <v>10940</v>
      </c>
      <c r="EC141" s="373">
        <v>12902.5</v>
      </c>
      <c r="ED141" s="373">
        <v>10940</v>
      </c>
      <c r="EE141" s="374">
        <v>10940</v>
      </c>
      <c r="EF141" s="373">
        <v>10940</v>
      </c>
      <c r="EG141" s="373">
        <v>15780</v>
      </c>
      <c r="EH141" s="373">
        <v>36262.32</v>
      </c>
      <c r="EI141" s="373">
        <v>9240</v>
      </c>
      <c r="EJ141" s="373">
        <v>21824.55</v>
      </c>
      <c r="EK141" s="375">
        <f t="shared" si="281"/>
        <v>186218.38999999998</v>
      </c>
      <c r="EL141" s="177"/>
      <c r="EM141" s="373">
        <v>16931.560000000001</v>
      </c>
      <c r="EN141" s="373">
        <v>13150</v>
      </c>
      <c r="EO141" s="373">
        <v>10840</v>
      </c>
      <c r="EP141" s="373">
        <v>13887.6</v>
      </c>
      <c r="EQ141" s="373">
        <v>38340</v>
      </c>
      <c r="ER141" s="373">
        <v>18758.849999999999</v>
      </c>
      <c r="ES141" s="374">
        <v>10940</v>
      </c>
      <c r="ET141" s="373">
        <v>10940</v>
      </c>
      <c r="EU141" s="373">
        <v>17922.13</v>
      </c>
      <c r="EV141" s="373">
        <v>26498</v>
      </c>
      <c r="EW141" s="373">
        <v>16790</v>
      </c>
      <c r="EX141" s="373">
        <v>23749.95</v>
      </c>
      <c r="EY141" s="375">
        <f t="shared" si="283"/>
        <v>218748.09000000003</v>
      </c>
      <c r="EZ141" s="164">
        <v>0</v>
      </c>
      <c r="FA141" s="185">
        <v>0</v>
      </c>
    </row>
    <row r="142" spans="1:157" ht="18.75" customHeight="1">
      <c r="A142" s="185" t="s">
        <v>329</v>
      </c>
      <c r="B142" s="774"/>
      <c r="C142" s="176" t="s">
        <v>1024</v>
      </c>
      <c r="D142" s="176">
        <v>60312000</v>
      </c>
      <c r="E142" s="773"/>
      <c r="F142" s="320" t="s">
        <v>343</v>
      </c>
      <c r="G142" s="329"/>
      <c r="H142" s="373"/>
      <c r="I142" s="373"/>
      <c r="J142" s="373"/>
      <c r="K142" s="373"/>
      <c r="L142" s="373"/>
      <c r="M142" s="373"/>
      <c r="N142" s="374"/>
      <c r="O142" s="373"/>
      <c r="P142" s="373"/>
      <c r="Q142" s="373"/>
      <c r="R142" s="373"/>
      <c r="S142" s="377">
        <v>81000</v>
      </c>
      <c r="T142" s="375">
        <f t="shared" si="268"/>
        <v>81000</v>
      </c>
      <c r="U142" s="776">
        <f t="shared" si="269"/>
        <v>1383.1299999999901</v>
      </c>
      <c r="V142" s="775">
        <f t="shared" si="270"/>
        <v>1.6788995514008635E-2</v>
      </c>
      <c r="W142" s="329"/>
      <c r="X142" s="373">
        <v>4379.74</v>
      </c>
      <c r="Y142" s="373">
        <v>10384.709999999999</v>
      </c>
      <c r="Z142" s="373">
        <v>5846.53</v>
      </c>
      <c r="AA142" s="373">
        <v>11524.92</v>
      </c>
      <c r="AB142" s="373">
        <v>9168.07</v>
      </c>
      <c r="AC142" s="373">
        <v>3536</v>
      </c>
      <c r="AD142" s="374">
        <v>8534.36</v>
      </c>
      <c r="AE142" s="373">
        <v>6034.39</v>
      </c>
      <c r="AF142" s="373">
        <v>5240.4799999999996</v>
      </c>
      <c r="AG142" s="373">
        <v>5306.84</v>
      </c>
      <c r="AH142" s="373">
        <v>8145.39</v>
      </c>
      <c r="AI142" s="373">
        <v>4281.7</v>
      </c>
      <c r="AJ142" s="375">
        <f t="shared" si="271"/>
        <v>82383.12999999999</v>
      </c>
      <c r="AK142" s="329"/>
      <c r="AL142" s="373">
        <v>0</v>
      </c>
      <c r="AM142" s="373">
        <v>0</v>
      </c>
      <c r="AN142" s="373">
        <v>175</v>
      </c>
      <c r="AO142" s="373">
        <v>0</v>
      </c>
      <c r="AP142" s="373">
        <v>0</v>
      </c>
      <c r="AQ142" s="373">
        <v>175</v>
      </c>
      <c r="AR142" s="374">
        <v>0</v>
      </c>
      <c r="AS142" s="373">
        <v>0</v>
      </c>
      <c r="AT142" s="373">
        <v>175</v>
      </c>
      <c r="AU142" s="373">
        <v>0</v>
      </c>
      <c r="AV142" s="373">
        <v>0</v>
      </c>
      <c r="AW142" s="373">
        <v>98373.8</v>
      </c>
      <c r="AX142" s="375">
        <v>98899</v>
      </c>
      <c r="AY142" s="776">
        <f t="shared" si="272"/>
        <v>17261.48000000001</v>
      </c>
      <c r="AZ142" s="775">
        <f t="shared" si="273"/>
        <v>0.14860028126605546</v>
      </c>
      <c r="BA142" s="329"/>
      <c r="BB142" s="373">
        <v>5736.98</v>
      </c>
      <c r="BC142" s="373">
        <v>10536.54</v>
      </c>
      <c r="BD142" s="373">
        <v>50026.47</v>
      </c>
      <c r="BE142" s="373">
        <v>5631.6</v>
      </c>
      <c r="BF142" s="373">
        <v>5527.03</v>
      </c>
      <c r="BG142" s="373">
        <v>5307.28</v>
      </c>
      <c r="BH142" s="374">
        <v>6313.02</v>
      </c>
      <c r="BI142" s="373">
        <v>4008.57</v>
      </c>
      <c r="BJ142" s="373">
        <v>6723.99</v>
      </c>
      <c r="BK142" s="373">
        <v>4155.1499999999996</v>
      </c>
      <c r="BL142" s="373">
        <v>7063.76</v>
      </c>
      <c r="BM142" s="373">
        <v>5130.09</v>
      </c>
      <c r="BN142" s="375">
        <v>116160.48000000001</v>
      </c>
      <c r="BO142" s="329"/>
      <c r="BP142" s="373">
        <v>14042.333333333334</v>
      </c>
      <c r="BQ142" s="373">
        <v>14042.333333333334</v>
      </c>
      <c r="BR142" s="373">
        <v>14142.333333333334</v>
      </c>
      <c r="BS142" s="373">
        <v>14042.333333333334</v>
      </c>
      <c r="BT142" s="373">
        <v>14042.333333333334</v>
      </c>
      <c r="BU142" s="373">
        <v>14042.333333333334</v>
      </c>
      <c r="BV142" s="374">
        <v>14142.333333333334</v>
      </c>
      <c r="BW142" s="373">
        <v>14042.333333333334</v>
      </c>
      <c r="BX142" s="373">
        <v>14042.333333333334</v>
      </c>
      <c r="BY142" s="373">
        <v>14042.333333333334</v>
      </c>
      <c r="BZ142" s="373">
        <v>14042.333333333334</v>
      </c>
      <c r="CA142" s="373">
        <v>14092.333333333334</v>
      </c>
      <c r="CB142" s="402">
        <f t="shared" si="282"/>
        <v>168758</v>
      </c>
      <c r="CC142" s="776">
        <f t="shared" si="274"/>
        <v>52597.51999999999</v>
      </c>
      <c r="CD142" s="775">
        <f t="shared" si="275"/>
        <v>0.31167423174012487</v>
      </c>
      <c r="CE142" s="772"/>
      <c r="CF142" s="373">
        <v>14522.42</v>
      </c>
      <c r="CG142" s="373">
        <v>25188.559999999998</v>
      </c>
      <c r="CH142" s="373">
        <v>18299.02</v>
      </c>
      <c r="CI142" s="373">
        <v>17871.2</v>
      </c>
      <c r="CJ142" s="373">
        <v>23253.55</v>
      </c>
      <c r="CK142" s="373">
        <v>11708.51</v>
      </c>
      <c r="CL142" s="374">
        <v>15739.58</v>
      </c>
      <c r="CM142" s="373">
        <v>7093.04</v>
      </c>
      <c r="CN142" s="373">
        <v>4753.7299999999996</v>
      </c>
      <c r="CO142" s="373">
        <v>5487.99</v>
      </c>
      <c r="CP142" s="373">
        <v>7614.94</v>
      </c>
      <c r="CQ142" s="373">
        <v>4617.32</v>
      </c>
      <c r="CR142" s="374">
        <v>0</v>
      </c>
      <c r="CS142" s="375">
        <f t="shared" si="276"/>
        <v>156149.86000000002</v>
      </c>
      <c r="CT142" s="378">
        <f t="shared" si="277"/>
        <v>39989.380000000005</v>
      </c>
      <c r="CU142" s="165">
        <f t="shared" si="278"/>
        <v>0.25609616300648619</v>
      </c>
      <c r="CV142" s="329"/>
      <c r="CW142" s="373">
        <v>33764.04</v>
      </c>
      <c r="CX142" s="373">
        <v>26384.92</v>
      </c>
      <c r="CY142" s="373">
        <v>21064.7</v>
      </c>
      <c r="CZ142" s="373">
        <v>17614.419999999998</v>
      </c>
      <c r="DA142" s="373">
        <v>12795.73</v>
      </c>
      <c r="DB142" s="373">
        <v>14536.99</v>
      </c>
      <c r="DC142" s="374">
        <v>17076.11</v>
      </c>
      <c r="DD142" s="373">
        <v>25300.55</v>
      </c>
      <c r="DE142" s="373">
        <v>20158.39</v>
      </c>
      <c r="DF142" s="373">
        <v>26263.03</v>
      </c>
      <c r="DG142" s="373">
        <v>19364.7</v>
      </c>
      <c r="DH142" s="373">
        <v>25461.14</v>
      </c>
      <c r="DI142" s="375">
        <f t="shared" si="279"/>
        <v>259784.71999999997</v>
      </c>
      <c r="DJ142" s="329"/>
      <c r="DK142" s="373">
        <v>25187.97</v>
      </c>
      <c r="DL142" s="373">
        <v>16576.96</v>
      </c>
      <c r="DM142" s="373">
        <v>10084.549999999999</v>
      </c>
      <c r="DN142" s="373">
        <v>8869.06</v>
      </c>
      <c r="DO142" s="373">
        <v>16869.68</v>
      </c>
      <c r="DP142" s="373">
        <v>17716.12</v>
      </c>
      <c r="DQ142" s="374">
        <v>17605.809999999998</v>
      </c>
      <c r="DR142" s="373">
        <v>27651.68</v>
      </c>
      <c r="DS142" s="373">
        <v>25221.5</v>
      </c>
      <c r="DT142" s="373">
        <v>9437.0499999999993</v>
      </c>
      <c r="DU142" s="373">
        <v>37260.770000000004</v>
      </c>
      <c r="DV142" s="373">
        <v>6776.92</v>
      </c>
      <c r="DW142" s="375">
        <f t="shared" si="280"/>
        <v>219258.06999999998</v>
      </c>
      <c r="DY142" s="373">
        <v>22851.57</v>
      </c>
      <c r="DZ142" s="373">
        <v>17801.47</v>
      </c>
      <c r="EA142" s="373">
        <v>18435.61</v>
      </c>
      <c r="EB142" s="373">
        <v>11890.14</v>
      </c>
      <c r="EC142" s="373">
        <v>34279.07</v>
      </c>
      <c r="ED142" s="373">
        <v>13892.99</v>
      </c>
      <c r="EE142" s="374">
        <v>17314.580000000002</v>
      </c>
      <c r="EF142" s="373">
        <v>11454.03</v>
      </c>
      <c r="EG142" s="373">
        <v>25153.84</v>
      </c>
      <c r="EH142" s="373">
        <v>23355.759999999998</v>
      </c>
      <c r="EI142" s="373">
        <v>14335.82</v>
      </c>
      <c r="EJ142" s="373">
        <v>16727.04</v>
      </c>
      <c r="EK142" s="375">
        <f t="shared" si="281"/>
        <v>227491.92000000004</v>
      </c>
      <c r="EL142" s="177"/>
      <c r="EM142" s="373">
        <v>11270.92</v>
      </c>
      <c r="EN142" s="373">
        <v>19817.43</v>
      </c>
      <c r="EO142" s="373">
        <v>8912.98</v>
      </c>
      <c r="EP142" s="373">
        <v>13796.64</v>
      </c>
      <c r="EQ142" s="373">
        <v>11916.22</v>
      </c>
      <c r="ER142" s="373">
        <v>10735.16</v>
      </c>
      <c r="ES142" s="374">
        <v>20010.97</v>
      </c>
      <c r="ET142" s="373">
        <v>25963.03</v>
      </c>
      <c r="EU142" s="373">
        <v>21473.5</v>
      </c>
      <c r="EV142" s="373">
        <v>19453.18</v>
      </c>
      <c r="EW142" s="373">
        <v>10142.950000000001</v>
      </c>
      <c r="EX142" s="373">
        <v>20062.939999999999</v>
      </c>
      <c r="EY142" s="375">
        <f t="shared" si="283"/>
        <v>193555.92</v>
      </c>
      <c r="EZ142" s="164">
        <v>0</v>
      </c>
      <c r="FA142" s="185">
        <v>0</v>
      </c>
    </row>
    <row r="143" spans="1:157" ht="18.75" customHeight="1">
      <c r="A143" s="185" t="s">
        <v>329</v>
      </c>
      <c r="B143" s="774"/>
      <c r="C143" s="176" t="s">
        <v>1023</v>
      </c>
      <c r="D143" s="176">
        <v>60313000</v>
      </c>
      <c r="E143" s="773"/>
      <c r="F143" s="320" t="s">
        <v>348</v>
      </c>
      <c r="G143" s="329"/>
      <c r="H143" s="373"/>
      <c r="I143" s="373"/>
      <c r="J143" s="373"/>
      <c r="K143" s="373"/>
      <c r="L143" s="373"/>
      <c r="M143" s="373"/>
      <c r="N143" s="374"/>
      <c r="O143" s="373"/>
      <c r="P143" s="373"/>
      <c r="Q143" s="373"/>
      <c r="R143" s="373"/>
      <c r="S143" s="377">
        <v>0</v>
      </c>
      <c r="T143" s="375">
        <f t="shared" si="268"/>
        <v>0</v>
      </c>
      <c r="U143" s="776">
        <f t="shared" si="269"/>
        <v>0</v>
      </c>
      <c r="V143" s="775" t="e">
        <f t="shared" si="270"/>
        <v>#DIV/0!</v>
      </c>
      <c r="W143" s="329"/>
      <c r="X143" s="373">
        <v>0</v>
      </c>
      <c r="Y143" s="373">
        <v>0</v>
      </c>
      <c r="Z143" s="373">
        <v>0</v>
      </c>
      <c r="AA143" s="373">
        <v>0</v>
      </c>
      <c r="AB143" s="373">
        <v>0</v>
      </c>
      <c r="AC143" s="373">
        <v>0</v>
      </c>
      <c r="AD143" s="374">
        <v>0</v>
      </c>
      <c r="AE143" s="373">
        <v>0</v>
      </c>
      <c r="AF143" s="373">
        <v>0</v>
      </c>
      <c r="AG143" s="373">
        <v>0</v>
      </c>
      <c r="AH143" s="373">
        <v>0</v>
      </c>
      <c r="AI143" s="373">
        <v>0</v>
      </c>
      <c r="AJ143" s="375">
        <f t="shared" si="271"/>
        <v>0</v>
      </c>
      <c r="AK143" s="329"/>
      <c r="AL143" s="373">
        <v>0</v>
      </c>
      <c r="AM143" s="373">
        <v>0</v>
      </c>
      <c r="AN143" s="373">
        <v>0</v>
      </c>
      <c r="AO143" s="373">
        <v>0</v>
      </c>
      <c r="AP143" s="373">
        <v>0</v>
      </c>
      <c r="AQ143" s="373">
        <v>0</v>
      </c>
      <c r="AR143" s="374">
        <v>0</v>
      </c>
      <c r="AS143" s="373">
        <v>0</v>
      </c>
      <c r="AT143" s="373">
        <v>0</v>
      </c>
      <c r="AU143" s="373">
        <v>0</v>
      </c>
      <c r="AV143" s="373">
        <v>0</v>
      </c>
      <c r="AW143" s="373">
        <v>0</v>
      </c>
      <c r="AX143" s="375">
        <v>0</v>
      </c>
      <c r="AY143" s="776">
        <f t="shared" si="272"/>
        <v>540625.48</v>
      </c>
      <c r="AZ143" s="775">
        <f t="shared" si="273"/>
        <v>1</v>
      </c>
      <c r="BA143" s="329"/>
      <c r="BB143" s="373">
        <v>0</v>
      </c>
      <c r="BC143" s="373">
        <v>0</v>
      </c>
      <c r="BD143" s="373">
        <v>0</v>
      </c>
      <c r="BE143" s="373">
        <v>0</v>
      </c>
      <c r="BF143" s="373">
        <v>0</v>
      </c>
      <c r="BG143" s="373">
        <v>0</v>
      </c>
      <c r="BH143" s="374">
        <v>0</v>
      </c>
      <c r="BI143" s="373">
        <v>0</v>
      </c>
      <c r="BJ143" s="373">
        <v>0</v>
      </c>
      <c r="BK143" s="373">
        <v>0</v>
      </c>
      <c r="BL143" s="373">
        <v>0</v>
      </c>
      <c r="BM143" s="373">
        <v>540625.48</v>
      </c>
      <c r="BN143" s="402">
        <v>540625.48</v>
      </c>
      <c r="BO143" s="329"/>
      <c r="BP143" s="373">
        <v>0</v>
      </c>
      <c r="BQ143" s="373">
        <v>0</v>
      </c>
      <c r="BR143" s="373">
        <v>0</v>
      </c>
      <c r="BS143" s="373">
        <v>0</v>
      </c>
      <c r="BT143" s="373">
        <v>0</v>
      </c>
      <c r="BU143" s="373">
        <v>0</v>
      </c>
      <c r="BV143" s="374">
        <v>0</v>
      </c>
      <c r="BW143" s="373">
        <v>0</v>
      </c>
      <c r="BX143" s="373">
        <v>0</v>
      </c>
      <c r="BY143" s="373">
        <v>0</v>
      </c>
      <c r="BZ143" s="373">
        <v>0</v>
      </c>
      <c r="CA143" s="373">
        <v>0</v>
      </c>
      <c r="CB143" s="402">
        <f t="shared" si="282"/>
        <v>0</v>
      </c>
      <c r="CC143" s="776">
        <f t="shared" si="274"/>
        <v>-540625.48</v>
      </c>
      <c r="CD143" s="775" t="str">
        <f t="shared" si="275"/>
        <v>N/A</v>
      </c>
      <c r="CE143" s="772"/>
      <c r="CF143" s="373">
        <v>4355</v>
      </c>
      <c r="CG143" s="373">
        <v>0</v>
      </c>
      <c r="CH143" s="373">
        <v>0</v>
      </c>
      <c r="CI143" s="373">
        <v>556761.61</v>
      </c>
      <c r="CJ143" s="373">
        <v>0</v>
      </c>
      <c r="CK143" s="373">
        <v>0</v>
      </c>
      <c r="CL143" s="374">
        <v>0</v>
      </c>
      <c r="CM143" s="373">
        <v>0</v>
      </c>
      <c r="CN143" s="373">
        <v>0</v>
      </c>
      <c r="CO143" s="373">
        <v>0</v>
      </c>
      <c r="CP143" s="373">
        <v>0</v>
      </c>
      <c r="CQ143" s="373">
        <v>0</v>
      </c>
      <c r="CR143" s="374">
        <v>0</v>
      </c>
      <c r="CS143" s="402">
        <f t="shared" si="276"/>
        <v>561116.61</v>
      </c>
      <c r="CT143" s="776">
        <f t="shared" si="277"/>
        <v>20491.130000000005</v>
      </c>
      <c r="CU143" s="165">
        <f t="shared" si="278"/>
        <v>3.6518487663375364E-2</v>
      </c>
      <c r="CV143" s="329"/>
      <c r="CW143" s="373">
        <v>0</v>
      </c>
      <c r="CX143" s="373">
        <v>0</v>
      </c>
      <c r="CY143" s="373">
        <v>0</v>
      </c>
      <c r="CZ143" s="373">
        <v>0</v>
      </c>
      <c r="DA143" s="373">
        <v>0</v>
      </c>
      <c r="DB143" s="373">
        <v>0</v>
      </c>
      <c r="DC143" s="374">
        <v>0</v>
      </c>
      <c r="DD143" s="373">
        <v>0</v>
      </c>
      <c r="DE143" s="373">
        <v>950</v>
      </c>
      <c r="DF143" s="373">
        <v>0</v>
      </c>
      <c r="DG143" s="373">
        <v>0</v>
      </c>
      <c r="DH143" s="373">
        <v>0</v>
      </c>
      <c r="DI143" s="375">
        <f t="shared" si="279"/>
        <v>950</v>
      </c>
      <c r="DJ143" s="329"/>
      <c r="DK143" s="373">
        <v>0</v>
      </c>
      <c r="DL143" s="373">
        <v>0</v>
      </c>
      <c r="DM143" s="373">
        <v>0</v>
      </c>
      <c r="DN143" s="373">
        <v>0</v>
      </c>
      <c r="DO143" s="373">
        <v>0</v>
      </c>
      <c r="DP143" s="373">
        <v>0</v>
      </c>
      <c r="DQ143" s="374">
        <v>0</v>
      </c>
      <c r="DR143" s="373">
        <v>0</v>
      </c>
      <c r="DS143" s="373">
        <v>0</v>
      </c>
      <c r="DT143" s="373">
        <v>0</v>
      </c>
      <c r="DU143" s="373">
        <v>0</v>
      </c>
      <c r="DV143" s="373">
        <v>0</v>
      </c>
      <c r="DW143" s="375">
        <f t="shared" si="280"/>
        <v>0</v>
      </c>
      <c r="DY143" s="373">
        <v>0</v>
      </c>
      <c r="DZ143" s="373">
        <v>0</v>
      </c>
      <c r="EA143" s="373">
        <v>0</v>
      </c>
      <c r="EB143" s="373">
        <v>0</v>
      </c>
      <c r="EC143" s="373">
        <v>0</v>
      </c>
      <c r="ED143" s="373">
        <v>0</v>
      </c>
      <c r="EE143" s="374">
        <v>0</v>
      </c>
      <c r="EF143" s="373">
        <v>0</v>
      </c>
      <c r="EG143" s="373">
        <v>0</v>
      </c>
      <c r="EH143" s="373">
        <v>0</v>
      </c>
      <c r="EI143" s="373">
        <v>0</v>
      </c>
      <c r="EJ143" s="373">
        <v>0</v>
      </c>
      <c r="EK143" s="375">
        <f t="shared" si="281"/>
        <v>0</v>
      </c>
      <c r="EL143" s="177"/>
      <c r="EM143" s="373">
        <v>0</v>
      </c>
      <c r="EN143" s="373">
        <v>0</v>
      </c>
      <c r="EO143" s="373">
        <v>0</v>
      </c>
      <c r="EP143" s="373">
        <v>0</v>
      </c>
      <c r="EQ143" s="373">
        <v>0</v>
      </c>
      <c r="ER143" s="373">
        <v>0</v>
      </c>
      <c r="ES143" s="374">
        <v>0</v>
      </c>
      <c r="ET143" s="373">
        <v>0</v>
      </c>
      <c r="EU143" s="373">
        <v>0</v>
      </c>
      <c r="EV143" s="373">
        <v>0</v>
      </c>
      <c r="EW143" s="373">
        <v>0</v>
      </c>
      <c r="EX143" s="373">
        <v>0</v>
      </c>
      <c r="EY143" s="375">
        <f t="shared" si="283"/>
        <v>0</v>
      </c>
      <c r="EZ143" s="164">
        <v>0</v>
      </c>
      <c r="FA143" s="185">
        <v>0</v>
      </c>
    </row>
    <row r="144" spans="1:157" ht="18.75" hidden="1" customHeight="1" outlineLevel="1">
      <c r="A144" s="185" t="s">
        <v>349</v>
      </c>
      <c r="B144" s="774"/>
      <c r="C144" s="176" t="s">
        <v>1022</v>
      </c>
      <c r="D144" s="176">
        <v>60314000</v>
      </c>
      <c r="E144" s="773"/>
      <c r="F144" s="320" t="s">
        <v>349</v>
      </c>
      <c r="G144" s="329"/>
      <c r="H144" s="373"/>
      <c r="I144" s="373"/>
      <c r="J144" s="373"/>
      <c r="K144" s="373"/>
      <c r="L144" s="373"/>
      <c r="M144" s="373"/>
      <c r="N144" s="374"/>
      <c r="O144" s="373"/>
      <c r="P144" s="373"/>
      <c r="Q144" s="373"/>
      <c r="R144" s="373"/>
      <c r="S144" s="377">
        <v>50000</v>
      </c>
      <c r="T144" s="375">
        <f t="shared" si="268"/>
        <v>50000</v>
      </c>
      <c r="U144" s="776">
        <f t="shared" si="269"/>
        <v>-50000</v>
      </c>
      <c r="V144" s="775" t="e">
        <f t="shared" si="270"/>
        <v>#DIV/0!</v>
      </c>
      <c r="W144" s="329"/>
      <c r="X144" s="373">
        <v>0</v>
      </c>
      <c r="Y144" s="373">
        <v>0</v>
      </c>
      <c r="Z144" s="373">
        <v>0</v>
      </c>
      <c r="AA144" s="373">
        <v>0</v>
      </c>
      <c r="AB144" s="373">
        <v>0</v>
      </c>
      <c r="AC144" s="373">
        <v>0</v>
      </c>
      <c r="AD144" s="374">
        <v>0</v>
      </c>
      <c r="AE144" s="373">
        <v>0</v>
      </c>
      <c r="AF144" s="373">
        <v>0</v>
      </c>
      <c r="AG144" s="373">
        <v>0</v>
      </c>
      <c r="AH144" s="373">
        <v>0</v>
      </c>
      <c r="AI144" s="373">
        <v>0</v>
      </c>
      <c r="AJ144" s="375">
        <f t="shared" si="271"/>
        <v>0</v>
      </c>
      <c r="AK144" s="329"/>
      <c r="AL144" s="373">
        <v>0</v>
      </c>
      <c r="AM144" s="373">
        <v>0</v>
      </c>
      <c r="AN144" s="373">
        <v>0</v>
      </c>
      <c r="AO144" s="373">
        <v>0</v>
      </c>
      <c r="AP144" s="373">
        <v>0</v>
      </c>
      <c r="AQ144" s="373">
        <v>0</v>
      </c>
      <c r="AR144" s="374">
        <v>0</v>
      </c>
      <c r="AS144" s="373">
        <v>0</v>
      </c>
      <c r="AT144" s="373">
        <v>0</v>
      </c>
      <c r="AU144" s="373">
        <v>0</v>
      </c>
      <c r="AV144" s="373">
        <v>0</v>
      </c>
      <c r="AW144" s="373">
        <v>0</v>
      </c>
      <c r="AX144" s="375">
        <v>0</v>
      </c>
      <c r="AY144" s="776">
        <f t="shared" si="272"/>
        <v>-180000</v>
      </c>
      <c r="AZ144" s="775">
        <f t="shared" si="273"/>
        <v>1</v>
      </c>
      <c r="BA144" s="329"/>
      <c r="BB144" s="373">
        <v>0</v>
      </c>
      <c r="BC144" s="373">
        <v>0</v>
      </c>
      <c r="BD144" s="373">
        <v>0</v>
      </c>
      <c r="BE144" s="373">
        <v>0</v>
      </c>
      <c r="BF144" s="373">
        <v>0</v>
      </c>
      <c r="BG144" s="373">
        <v>0</v>
      </c>
      <c r="BH144" s="374">
        <v>0</v>
      </c>
      <c r="BI144" s="373">
        <v>0</v>
      </c>
      <c r="BJ144" s="373">
        <v>0</v>
      </c>
      <c r="BK144" s="373">
        <v>0</v>
      </c>
      <c r="BL144" s="373">
        <v>0</v>
      </c>
      <c r="BM144" s="373">
        <v>0</v>
      </c>
      <c r="BN144" s="375">
        <v>-180000</v>
      </c>
      <c r="BO144" s="329"/>
      <c r="BP144" s="373">
        <v>0</v>
      </c>
      <c r="BQ144" s="373">
        <v>0</v>
      </c>
      <c r="BR144" s="373">
        <v>0</v>
      </c>
      <c r="BS144" s="373">
        <v>0</v>
      </c>
      <c r="BT144" s="373">
        <v>0</v>
      </c>
      <c r="BU144" s="373">
        <v>0</v>
      </c>
      <c r="BV144" s="374">
        <v>0</v>
      </c>
      <c r="BW144" s="373">
        <v>0</v>
      </c>
      <c r="BX144" s="373">
        <v>0</v>
      </c>
      <c r="BY144" s="373">
        <v>0</v>
      </c>
      <c r="BZ144" s="373">
        <v>0</v>
      </c>
      <c r="CA144" s="373">
        <v>0</v>
      </c>
      <c r="CB144" s="402">
        <f t="shared" si="282"/>
        <v>0</v>
      </c>
      <c r="CC144" s="776">
        <f t="shared" si="274"/>
        <v>180000</v>
      </c>
      <c r="CD144" s="775" t="str">
        <f t="shared" si="275"/>
        <v>N/A</v>
      </c>
      <c r="CE144" s="772"/>
      <c r="CF144" s="373">
        <v>0</v>
      </c>
      <c r="CG144" s="373">
        <v>0</v>
      </c>
      <c r="CH144" s="373">
        <v>0</v>
      </c>
      <c r="CI144" s="373">
        <v>0</v>
      </c>
      <c r="CJ144" s="373">
        <v>0</v>
      </c>
      <c r="CK144" s="373">
        <v>0</v>
      </c>
      <c r="CL144" s="374">
        <v>0</v>
      </c>
      <c r="CM144" s="373">
        <v>0</v>
      </c>
      <c r="CN144" s="373">
        <v>0</v>
      </c>
      <c r="CO144" s="373">
        <v>0</v>
      </c>
      <c r="CP144" s="373">
        <v>0</v>
      </c>
      <c r="CQ144" s="373">
        <v>0</v>
      </c>
      <c r="CR144" s="374">
        <v>0</v>
      </c>
      <c r="CS144" s="375">
        <f t="shared" si="276"/>
        <v>0</v>
      </c>
      <c r="CT144" s="378">
        <f t="shared" si="277"/>
        <v>180000</v>
      </c>
      <c r="CU144" s="165" t="str">
        <f t="shared" si="278"/>
        <v>N/A</v>
      </c>
      <c r="CV144" s="329"/>
      <c r="CW144" s="373">
        <v>0</v>
      </c>
      <c r="CX144" s="373">
        <v>0</v>
      </c>
      <c r="CY144" s="373">
        <v>0</v>
      </c>
      <c r="CZ144" s="373">
        <v>0</v>
      </c>
      <c r="DA144" s="373">
        <v>0</v>
      </c>
      <c r="DB144" s="373">
        <v>0</v>
      </c>
      <c r="DC144" s="374">
        <v>0</v>
      </c>
      <c r="DD144" s="373">
        <v>0</v>
      </c>
      <c r="DE144" s="373">
        <v>0</v>
      </c>
      <c r="DF144" s="373">
        <v>0</v>
      </c>
      <c r="DG144" s="373">
        <v>0</v>
      </c>
      <c r="DH144" s="373">
        <v>0</v>
      </c>
      <c r="DI144" s="375">
        <f t="shared" si="279"/>
        <v>0</v>
      </c>
      <c r="DJ144" s="329"/>
      <c r="DK144" s="373">
        <v>0</v>
      </c>
      <c r="DL144" s="373">
        <v>0</v>
      </c>
      <c r="DM144" s="373">
        <v>0</v>
      </c>
      <c r="DN144" s="373">
        <v>0</v>
      </c>
      <c r="DO144" s="373">
        <v>0</v>
      </c>
      <c r="DP144" s="373">
        <v>0</v>
      </c>
      <c r="DQ144" s="374">
        <v>0</v>
      </c>
      <c r="DR144" s="373">
        <v>0</v>
      </c>
      <c r="DS144" s="373">
        <v>0</v>
      </c>
      <c r="DT144" s="373">
        <v>0</v>
      </c>
      <c r="DU144" s="373">
        <v>0</v>
      </c>
      <c r="DV144" s="373">
        <v>0</v>
      </c>
      <c r="DW144" s="375">
        <f t="shared" si="280"/>
        <v>0</v>
      </c>
      <c r="DY144" s="373">
        <v>0</v>
      </c>
      <c r="DZ144" s="373">
        <v>0</v>
      </c>
      <c r="EA144" s="373">
        <v>0</v>
      </c>
      <c r="EB144" s="373">
        <v>0</v>
      </c>
      <c r="EC144" s="373">
        <v>0</v>
      </c>
      <c r="ED144" s="373">
        <v>0</v>
      </c>
      <c r="EE144" s="374">
        <v>0</v>
      </c>
      <c r="EF144" s="373">
        <v>0</v>
      </c>
      <c r="EG144" s="373">
        <v>0</v>
      </c>
      <c r="EH144" s="373">
        <v>0</v>
      </c>
      <c r="EI144" s="373">
        <v>0</v>
      </c>
      <c r="EJ144" s="373">
        <v>0</v>
      </c>
      <c r="EK144" s="375">
        <f t="shared" si="281"/>
        <v>0</v>
      </c>
      <c r="EL144" s="177"/>
      <c r="EM144" s="373">
        <v>0</v>
      </c>
      <c r="EN144" s="373">
        <v>0</v>
      </c>
      <c r="EO144" s="373">
        <v>0</v>
      </c>
      <c r="EP144" s="373">
        <v>0</v>
      </c>
      <c r="EQ144" s="373">
        <v>0</v>
      </c>
      <c r="ER144" s="373">
        <v>0</v>
      </c>
      <c r="ES144" s="374">
        <v>0</v>
      </c>
      <c r="ET144" s="373">
        <v>0</v>
      </c>
      <c r="EU144" s="373">
        <v>0</v>
      </c>
      <c r="EV144" s="373">
        <v>0</v>
      </c>
      <c r="EW144" s="373">
        <v>0</v>
      </c>
      <c r="EX144" s="373">
        <v>0</v>
      </c>
      <c r="EY144" s="375">
        <f t="shared" si="283"/>
        <v>0</v>
      </c>
      <c r="EZ144" s="164">
        <v>0</v>
      </c>
      <c r="FA144" s="185">
        <v>0</v>
      </c>
    </row>
    <row r="145" spans="1:157" ht="18.75" customHeight="1" collapsed="1">
      <c r="A145" s="185" t="s">
        <v>329</v>
      </c>
      <c r="B145" s="774"/>
      <c r="C145" s="176" t="s">
        <v>1021</v>
      </c>
      <c r="D145" s="176">
        <v>60315000</v>
      </c>
      <c r="E145" s="773"/>
      <c r="F145" s="320" t="s">
        <v>648</v>
      </c>
      <c r="G145" s="329"/>
      <c r="H145" s="373"/>
      <c r="I145" s="373"/>
      <c r="J145" s="373"/>
      <c r="K145" s="373"/>
      <c r="L145" s="373"/>
      <c r="M145" s="373"/>
      <c r="N145" s="374"/>
      <c r="O145" s="373"/>
      <c r="P145" s="373"/>
      <c r="Q145" s="373"/>
      <c r="R145" s="373"/>
      <c r="S145" s="377">
        <v>26345.279999999995</v>
      </c>
      <c r="T145" s="375">
        <f t="shared" si="268"/>
        <v>26345.279999999995</v>
      </c>
      <c r="U145" s="776">
        <f t="shared" si="269"/>
        <v>19241.320000000003</v>
      </c>
      <c r="V145" s="775">
        <f t="shared" si="270"/>
        <v>0.42208280503481294</v>
      </c>
      <c r="W145" s="329"/>
      <c r="X145" s="373">
        <v>0</v>
      </c>
      <c r="Y145" s="373">
        <v>2140</v>
      </c>
      <c r="Z145" s="373">
        <v>10007</v>
      </c>
      <c r="AA145" s="373">
        <v>972</v>
      </c>
      <c r="AB145" s="373">
        <v>1052</v>
      </c>
      <c r="AC145" s="373">
        <v>3699</v>
      </c>
      <c r="AD145" s="374">
        <v>417.6</v>
      </c>
      <c r="AE145" s="373">
        <v>0</v>
      </c>
      <c r="AF145" s="373">
        <v>199</v>
      </c>
      <c r="AG145" s="373">
        <v>12255</v>
      </c>
      <c r="AH145" s="373">
        <v>0</v>
      </c>
      <c r="AI145" s="373">
        <v>14845</v>
      </c>
      <c r="AJ145" s="375">
        <f t="shared" si="271"/>
        <v>45586.6</v>
      </c>
      <c r="AK145" s="329"/>
      <c r="AL145" s="373">
        <v>0</v>
      </c>
      <c r="AM145" s="373">
        <v>0</v>
      </c>
      <c r="AN145" s="373">
        <v>0</v>
      </c>
      <c r="AO145" s="373">
        <v>0</v>
      </c>
      <c r="AP145" s="373">
        <v>0</v>
      </c>
      <c r="AQ145" s="373">
        <v>0</v>
      </c>
      <c r="AR145" s="374">
        <v>0</v>
      </c>
      <c r="AS145" s="373">
        <v>0</v>
      </c>
      <c r="AT145" s="373">
        <v>0</v>
      </c>
      <c r="AU145" s="373">
        <v>0</v>
      </c>
      <c r="AV145" s="373">
        <v>0</v>
      </c>
      <c r="AW145" s="373">
        <v>44500</v>
      </c>
      <c r="AX145" s="375">
        <v>44500</v>
      </c>
      <c r="AY145" s="776">
        <f t="shared" si="272"/>
        <v>15539.899999999994</v>
      </c>
      <c r="AZ145" s="775">
        <f t="shared" si="273"/>
        <v>0.25882621390108906</v>
      </c>
      <c r="BA145" s="329"/>
      <c r="BB145" s="373">
        <v>14577</v>
      </c>
      <c r="BC145" s="373">
        <v>98802</v>
      </c>
      <c r="BD145" s="373">
        <v>-51300</v>
      </c>
      <c r="BE145" s="373">
        <v>6750</v>
      </c>
      <c r="BF145" s="373">
        <v>6848</v>
      </c>
      <c r="BG145" s="373">
        <v>543</v>
      </c>
      <c r="BH145" s="374">
        <v>0</v>
      </c>
      <c r="BI145" s="373">
        <v>1363.9</v>
      </c>
      <c r="BJ145" s="373">
        <v>-28426</v>
      </c>
      <c r="BK145" s="373">
        <v>20459</v>
      </c>
      <c r="BL145" s="373">
        <v>1926</v>
      </c>
      <c r="BM145" s="373">
        <v>3662</v>
      </c>
      <c r="BN145" s="375">
        <v>60039.899999999994</v>
      </c>
      <c r="BO145" s="329"/>
      <c r="BP145" s="373">
        <v>6040</v>
      </c>
      <c r="BQ145" s="373">
        <v>6040</v>
      </c>
      <c r="BR145" s="373">
        <v>6040</v>
      </c>
      <c r="BS145" s="373">
        <v>6040</v>
      </c>
      <c r="BT145" s="373">
        <v>6040</v>
      </c>
      <c r="BU145" s="373">
        <v>6040</v>
      </c>
      <c r="BV145" s="374">
        <v>6040</v>
      </c>
      <c r="BW145" s="373">
        <v>6040</v>
      </c>
      <c r="BX145" s="373">
        <v>6040</v>
      </c>
      <c r="BY145" s="373">
        <v>6040</v>
      </c>
      <c r="BZ145" s="373">
        <v>6040</v>
      </c>
      <c r="CA145" s="373">
        <v>9040</v>
      </c>
      <c r="CB145" s="402">
        <f t="shared" si="282"/>
        <v>75480</v>
      </c>
      <c r="CC145" s="776">
        <f t="shared" si="274"/>
        <v>15440.100000000006</v>
      </c>
      <c r="CD145" s="775">
        <f t="shared" si="275"/>
        <v>0.20455882352941185</v>
      </c>
      <c r="CE145" s="772"/>
      <c r="CF145" s="373">
        <v>11855</v>
      </c>
      <c r="CG145" s="373">
        <v>11092</v>
      </c>
      <c r="CH145" s="373">
        <v>915</v>
      </c>
      <c r="CI145" s="373">
        <v>0</v>
      </c>
      <c r="CJ145" s="373">
        <v>672.1</v>
      </c>
      <c r="CK145" s="373">
        <v>1875</v>
      </c>
      <c r="CL145" s="374">
        <v>0</v>
      </c>
      <c r="CM145" s="373">
        <v>0</v>
      </c>
      <c r="CN145" s="373">
        <v>5875</v>
      </c>
      <c r="CO145" s="373">
        <v>9549.77</v>
      </c>
      <c r="CP145" s="373">
        <v>734</v>
      </c>
      <c r="CQ145" s="373">
        <v>9234</v>
      </c>
      <c r="CR145" s="374">
        <v>0</v>
      </c>
      <c r="CS145" s="375">
        <f t="shared" si="276"/>
        <v>51801.869999999995</v>
      </c>
      <c r="CT145" s="378">
        <f t="shared" si="277"/>
        <v>-8238.0299999999988</v>
      </c>
      <c r="CU145" s="165">
        <f t="shared" si="278"/>
        <v>-0.15902958715583046</v>
      </c>
      <c r="CV145" s="329"/>
      <c r="CW145" s="373">
        <v>0</v>
      </c>
      <c r="CX145" s="373">
        <v>0</v>
      </c>
      <c r="CY145" s="373">
        <v>0</v>
      </c>
      <c r="CZ145" s="373">
        <v>0</v>
      </c>
      <c r="DA145" s="373">
        <v>0</v>
      </c>
      <c r="DB145" s="373">
        <v>0</v>
      </c>
      <c r="DC145" s="374">
        <v>0</v>
      </c>
      <c r="DD145" s="373">
        <v>0</v>
      </c>
      <c r="DE145" s="373">
        <v>0</v>
      </c>
      <c r="DF145" s="373">
        <v>1920</v>
      </c>
      <c r="DG145" s="373">
        <v>720</v>
      </c>
      <c r="DH145" s="373">
        <v>85040</v>
      </c>
      <c r="DI145" s="375">
        <f t="shared" si="279"/>
        <v>87680</v>
      </c>
      <c r="DJ145" s="329"/>
      <c r="DK145" s="373">
        <v>0</v>
      </c>
      <c r="DL145" s="373">
        <v>0</v>
      </c>
      <c r="DM145" s="373">
        <v>0</v>
      </c>
      <c r="DN145" s="373">
        <v>0</v>
      </c>
      <c r="DO145" s="373">
        <v>0</v>
      </c>
      <c r="DP145" s="373">
        <v>0</v>
      </c>
      <c r="DQ145" s="374">
        <v>0</v>
      </c>
      <c r="DR145" s="373">
        <v>0</v>
      </c>
      <c r="DS145" s="373">
        <v>0</v>
      </c>
      <c r="DT145" s="373">
        <v>0</v>
      </c>
      <c r="DU145" s="373">
        <v>0</v>
      </c>
      <c r="DV145" s="373">
        <v>0</v>
      </c>
      <c r="DW145" s="375">
        <f t="shared" si="280"/>
        <v>0</v>
      </c>
      <c r="DY145" s="373">
        <v>0</v>
      </c>
      <c r="DZ145" s="373">
        <v>0</v>
      </c>
      <c r="EA145" s="373">
        <v>0</v>
      </c>
      <c r="EB145" s="373">
        <v>0</v>
      </c>
      <c r="EC145" s="373">
        <v>0</v>
      </c>
      <c r="ED145" s="373">
        <v>0</v>
      </c>
      <c r="EE145" s="374">
        <v>0</v>
      </c>
      <c r="EF145" s="373">
        <v>0</v>
      </c>
      <c r="EG145" s="373">
        <v>0</v>
      </c>
      <c r="EH145" s="373">
        <v>0</v>
      </c>
      <c r="EI145" s="373">
        <v>0</v>
      </c>
      <c r="EJ145" s="373">
        <v>0</v>
      </c>
      <c r="EK145" s="375">
        <f t="shared" si="281"/>
        <v>0</v>
      </c>
      <c r="EL145" s="177"/>
      <c r="EM145" s="373">
        <v>0</v>
      </c>
      <c r="EN145" s="373">
        <v>0</v>
      </c>
      <c r="EO145" s="373">
        <v>0</v>
      </c>
      <c r="EP145" s="373">
        <v>0</v>
      </c>
      <c r="EQ145" s="373">
        <v>0</v>
      </c>
      <c r="ER145" s="373">
        <v>0</v>
      </c>
      <c r="ES145" s="374">
        <v>0</v>
      </c>
      <c r="ET145" s="373">
        <v>0</v>
      </c>
      <c r="EU145" s="373">
        <v>0</v>
      </c>
      <c r="EV145" s="373">
        <v>0</v>
      </c>
      <c r="EW145" s="373">
        <v>0</v>
      </c>
      <c r="EX145" s="373">
        <v>0</v>
      </c>
      <c r="EY145" s="375">
        <f t="shared" si="283"/>
        <v>0</v>
      </c>
      <c r="EZ145" s="164">
        <v>0</v>
      </c>
      <c r="FA145" s="185">
        <v>0</v>
      </c>
    </row>
    <row r="146" spans="1:157" ht="18.75" customHeight="1">
      <c r="A146" s="185" t="s">
        <v>329</v>
      </c>
      <c r="B146" s="774"/>
      <c r="C146" s="176" t="s">
        <v>1020</v>
      </c>
      <c r="D146" s="176">
        <v>60316000</v>
      </c>
      <c r="E146" s="773"/>
      <c r="F146" s="320" t="s">
        <v>649</v>
      </c>
      <c r="G146" s="329"/>
      <c r="H146" s="373"/>
      <c r="I146" s="373"/>
      <c r="J146" s="373"/>
      <c r="K146" s="373"/>
      <c r="L146" s="373"/>
      <c r="M146" s="373"/>
      <c r="N146" s="374"/>
      <c r="O146" s="373"/>
      <c r="P146" s="373"/>
      <c r="Q146" s="373"/>
      <c r="R146" s="373"/>
      <c r="S146" s="377">
        <v>176599.14</v>
      </c>
      <c r="T146" s="375">
        <f t="shared" si="268"/>
        <v>176599.14</v>
      </c>
      <c r="U146" s="776">
        <f t="shared" si="269"/>
        <v>-28858.880000000005</v>
      </c>
      <c r="V146" s="775">
        <f t="shared" si="270"/>
        <v>-0.19533524578879177</v>
      </c>
      <c r="W146" s="329"/>
      <c r="X146" s="373">
        <v>11086</v>
      </c>
      <c r="Y146" s="373">
        <v>12881.55</v>
      </c>
      <c r="Z146" s="373">
        <v>11603.62</v>
      </c>
      <c r="AA146" s="373">
        <v>11086</v>
      </c>
      <c r="AB146" s="373">
        <v>11086</v>
      </c>
      <c r="AC146" s="373">
        <v>11086</v>
      </c>
      <c r="AD146" s="374">
        <v>12395.09</v>
      </c>
      <c r="AE146" s="373">
        <v>22172</v>
      </c>
      <c r="AF146" s="373">
        <v>11086</v>
      </c>
      <c r="AG146" s="373">
        <v>11086</v>
      </c>
      <c r="AH146" s="373">
        <v>11086</v>
      </c>
      <c r="AI146" s="373">
        <v>11086</v>
      </c>
      <c r="AJ146" s="375">
        <f t="shared" si="271"/>
        <v>147740.26</v>
      </c>
      <c r="AK146" s="329"/>
      <c r="AL146" s="373">
        <v>0</v>
      </c>
      <c r="AM146" s="373">
        <v>0</v>
      </c>
      <c r="AN146" s="373">
        <v>0</v>
      </c>
      <c r="AO146" s="373">
        <v>0</v>
      </c>
      <c r="AP146" s="373">
        <v>0</v>
      </c>
      <c r="AQ146" s="373">
        <v>0</v>
      </c>
      <c r="AR146" s="374">
        <v>0</v>
      </c>
      <c r="AS146" s="373">
        <v>0</v>
      </c>
      <c r="AT146" s="373">
        <v>0</v>
      </c>
      <c r="AU146" s="373">
        <v>0</v>
      </c>
      <c r="AV146" s="373">
        <v>0</v>
      </c>
      <c r="AW146" s="373">
        <v>144000</v>
      </c>
      <c r="AX146" s="375">
        <v>144000</v>
      </c>
      <c r="AY146" s="776">
        <f t="shared" si="272"/>
        <v>3040.0200000000186</v>
      </c>
      <c r="AZ146" s="775">
        <f t="shared" si="273"/>
        <v>2.0674779560013786E-2</v>
      </c>
      <c r="BA146" s="329"/>
      <c r="BB146" s="373">
        <v>11086</v>
      </c>
      <c r="BC146" s="373">
        <v>11086</v>
      </c>
      <c r="BD146" s="373">
        <v>11086</v>
      </c>
      <c r="BE146" s="373">
        <v>11086</v>
      </c>
      <c r="BF146" s="373">
        <v>11086</v>
      </c>
      <c r="BG146" s="373">
        <v>11086</v>
      </c>
      <c r="BH146" s="374">
        <v>11086</v>
      </c>
      <c r="BI146" s="373">
        <v>11086</v>
      </c>
      <c r="BJ146" s="373">
        <v>14756.32</v>
      </c>
      <c r="BK146" s="373">
        <v>11086</v>
      </c>
      <c r="BL146" s="373">
        <v>11086</v>
      </c>
      <c r="BM146" s="373">
        <v>21423.7</v>
      </c>
      <c r="BN146" s="375">
        <v>147040.02000000002</v>
      </c>
      <c r="BO146" s="329"/>
      <c r="BP146" s="373">
        <v>11086</v>
      </c>
      <c r="BQ146" s="373">
        <v>11086</v>
      </c>
      <c r="BR146" s="373">
        <v>11086</v>
      </c>
      <c r="BS146" s="373">
        <v>11086</v>
      </c>
      <c r="BT146" s="373">
        <v>11086</v>
      </c>
      <c r="BU146" s="373">
        <v>11086</v>
      </c>
      <c r="BV146" s="374">
        <v>11086</v>
      </c>
      <c r="BW146" s="373">
        <v>11086</v>
      </c>
      <c r="BX146" s="373">
        <v>11086</v>
      </c>
      <c r="BY146" s="373">
        <v>11086</v>
      </c>
      <c r="BZ146" s="373">
        <v>11086</v>
      </c>
      <c r="CA146" s="373">
        <v>11086</v>
      </c>
      <c r="CB146" s="402">
        <f t="shared" si="282"/>
        <v>133032</v>
      </c>
      <c r="CC146" s="776">
        <f t="shared" si="274"/>
        <v>-14008.020000000019</v>
      </c>
      <c r="CD146" s="775">
        <f t="shared" si="275"/>
        <v>-0.10529812375969705</v>
      </c>
      <c r="CE146" s="772"/>
      <c r="CF146" s="373">
        <v>11086</v>
      </c>
      <c r="CG146" s="373">
        <v>11086</v>
      </c>
      <c r="CH146" s="373">
        <v>11086</v>
      </c>
      <c r="CI146" s="373">
        <v>11086</v>
      </c>
      <c r="CJ146" s="373">
        <v>11086</v>
      </c>
      <c r="CK146" s="373">
        <v>11086</v>
      </c>
      <c r="CL146" s="374">
        <v>11086</v>
      </c>
      <c r="CM146" s="373">
        <v>11086</v>
      </c>
      <c r="CN146" s="373">
        <v>0</v>
      </c>
      <c r="CO146" s="373">
        <v>0</v>
      </c>
      <c r="CP146" s="373">
        <v>0</v>
      </c>
      <c r="CQ146" s="373">
        <v>44344</v>
      </c>
      <c r="CR146" s="374">
        <v>0</v>
      </c>
      <c r="CS146" s="375">
        <f t="shared" si="276"/>
        <v>133032</v>
      </c>
      <c r="CT146" s="378">
        <f t="shared" si="277"/>
        <v>-14008.020000000019</v>
      </c>
      <c r="CU146" s="165">
        <f t="shared" si="278"/>
        <v>-0.10529812375969705</v>
      </c>
      <c r="CV146" s="329"/>
      <c r="CW146" s="373">
        <v>0</v>
      </c>
      <c r="CX146" s="373">
        <v>0</v>
      </c>
      <c r="CY146" s="373">
        <v>0</v>
      </c>
      <c r="CZ146" s="373">
        <v>0</v>
      </c>
      <c r="DA146" s="373">
        <v>0</v>
      </c>
      <c r="DB146" s="373">
        <v>0</v>
      </c>
      <c r="DC146" s="374">
        <v>0</v>
      </c>
      <c r="DD146" s="373">
        <v>0</v>
      </c>
      <c r="DE146" s="373">
        <v>11086</v>
      </c>
      <c r="DF146" s="373">
        <v>11086</v>
      </c>
      <c r="DG146" s="373">
        <v>11086</v>
      </c>
      <c r="DH146" s="373">
        <v>11086</v>
      </c>
      <c r="DI146" s="375">
        <f t="shared" si="279"/>
        <v>44344</v>
      </c>
      <c r="DJ146" s="329"/>
      <c r="DK146" s="373">
        <v>0</v>
      </c>
      <c r="DL146" s="373">
        <v>0</v>
      </c>
      <c r="DM146" s="373">
        <v>0</v>
      </c>
      <c r="DN146" s="373">
        <v>0</v>
      </c>
      <c r="DO146" s="373">
        <v>0</v>
      </c>
      <c r="DP146" s="373">
        <v>0</v>
      </c>
      <c r="DQ146" s="374">
        <v>0</v>
      </c>
      <c r="DR146" s="373">
        <v>0</v>
      </c>
      <c r="DS146" s="373">
        <v>0</v>
      </c>
      <c r="DT146" s="373">
        <v>0</v>
      </c>
      <c r="DU146" s="373">
        <v>0</v>
      </c>
      <c r="DV146" s="373">
        <v>0</v>
      </c>
      <c r="DW146" s="375">
        <f t="shared" si="280"/>
        <v>0</v>
      </c>
      <c r="DY146" s="373">
        <v>0</v>
      </c>
      <c r="DZ146" s="373">
        <v>0</v>
      </c>
      <c r="EA146" s="373">
        <v>0</v>
      </c>
      <c r="EB146" s="373">
        <v>0</v>
      </c>
      <c r="EC146" s="373">
        <v>0</v>
      </c>
      <c r="ED146" s="373">
        <v>0</v>
      </c>
      <c r="EE146" s="374">
        <v>0</v>
      </c>
      <c r="EF146" s="373">
        <v>0</v>
      </c>
      <c r="EG146" s="373">
        <v>0</v>
      </c>
      <c r="EH146" s="373">
        <v>0</v>
      </c>
      <c r="EI146" s="373">
        <v>0</v>
      </c>
      <c r="EJ146" s="373">
        <v>0</v>
      </c>
      <c r="EK146" s="375">
        <f t="shared" si="281"/>
        <v>0</v>
      </c>
      <c r="EL146" s="177"/>
      <c r="EM146" s="373">
        <v>0</v>
      </c>
      <c r="EN146" s="373">
        <v>0</v>
      </c>
      <c r="EO146" s="373">
        <v>0</v>
      </c>
      <c r="EP146" s="373">
        <v>0</v>
      </c>
      <c r="EQ146" s="373">
        <v>0</v>
      </c>
      <c r="ER146" s="373">
        <v>0</v>
      </c>
      <c r="ES146" s="374">
        <v>0</v>
      </c>
      <c r="ET146" s="373">
        <v>0</v>
      </c>
      <c r="EU146" s="373">
        <v>0</v>
      </c>
      <c r="EV146" s="373">
        <v>0</v>
      </c>
      <c r="EW146" s="373">
        <v>0</v>
      </c>
      <c r="EX146" s="373">
        <v>0</v>
      </c>
      <c r="EY146" s="375">
        <f t="shared" si="283"/>
        <v>0</v>
      </c>
      <c r="EZ146" s="164">
        <v>0</v>
      </c>
      <c r="FA146" s="185">
        <v>0</v>
      </c>
    </row>
    <row r="147" spans="1:157" ht="18.75" customHeight="1">
      <c r="A147" s="185" t="s">
        <v>329</v>
      </c>
      <c r="B147" s="774"/>
      <c r="C147" s="176" t="s">
        <v>1019</v>
      </c>
      <c r="D147" s="176">
        <v>60317000</v>
      </c>
      <c r="E147" s="773"/>
      <c r="F147" s="320" t="s">
        <v>650</v>
      </c>
      <c r="G147" s="329"/>
      <c r="H147" s="373"/>
      <c r="I147" s="373"/>
      <c r="J147" s="373"/>
      <c r="K147" s="373"/>
      <c r="L147" s="373"/>
      <c r="M147" s="373"/>
      <c r="N147" s="374"/>
      <c r="O147" s="373"/>
      <c r="P147" s="373"/>
      <c r="Q147" s="373"/>
      <c r="R147" s="373"/>
      <c r="S147" s="377">
        <v>671120</v>
      </c>
      <c r="T147" s="375">
        <f t="shared" si="268"/>
        <v>671120</v>
      </c>
      <c r="U147" s="776">
        <f t="shared" si="269"/>
        <v>-459193.18</v>
      </c>
      <c r="V147" s="775">
        <f t="shared" si="270"/>
        <v>-2.1667535048183142</v>
      </c>
      <c r="W147" s="329"/>
      <c r="X147" s="373">
        <v>13362.27</v>
      </c>
      <c r="Y147" s="373">
        <v>13362.27</v>
      </c>
      <c r="Z147" s="373">
        <v>13362.27</v>
      </c>
      <c r="AA147" s="373">
        <v>17287.250000000004</v>
      </c>
      <c r="AB147" s="373">
        <v>16683.099999999999</v>
      </c>
      <c r="AC147" s="373">
        <v>82148.02</v>
      </c>
      <c r="AD147" s="374">
        <v>15668.039999999997</v>
      </c>
      <c r="AE147" s="373">
        <v>11477.940000000002</v>
      </c>
      <c r="AF147" s="373">
        <v>7712.34</v>
      </c>
      <c r="AG147" s="373">
        <v>5980.2599999999984</v>
      </c>
      <c r="AH147" s="373">
        <v>7441.5299999999988</v>
      </c>
      <c r="AI147" s="373">
        <v>7441.5299999999988</v>
      </c>
      <c r="AJ147" s="375">
        <f t="shared" si="271"/>
        <v>211926.82</v>
      </c>
      <c r="AK147" s="329"/>
      <c r="AL147" s="373">
        <v>0</v>
      </c>
      <c r="AM147" s="373">
        <v>0</v>
      </c>
      <c r="AN147" s="373">
        <v>0</v>
      </c>
      <c r="AO147" s="373">
        <v>0</v>
      </c>
      <c r="AP147" s="373">
        <v>0</v>
      </c>
      <c r="AQ147" s="373">
        <v>3093</v>
      </c>
      <c r="AR147" s="374">
        <v>0</v>
      </c>
      <c r="AS147" s="373">
        <v>0</v>
      </c>
      <c r="AT147" s="373">
        <v>0</v>
      </c>
      <c r="AU147" s="373">
        <v>0</v>
      </c>
      <c r="AV147" s="373">
        <v>0</v>
      </c>
      <c r="AW147" s="373">
        <v>385153.39999999991</v>
      </c>
      <c r="AX147" s="375">
        <v>388246</v>
      </c>
      <c r="AY147" s="776">
        <f t="shared" si="272"/>
        <v>-27945.130000000063</v>
      </c>
      <c r="AZ147" s="775">
        <f t="shared" si="273"/>
        <v>-7.7560539889898319E-2</v>
      </c>
      <c r="BA147" s="329"/>
      <c r="BB147" s="373">
        <v>36815.31</v>
      </c>
      <c r="BC147" s="373">
        <v>23187.599999999999</v>
      </c>
      <c r="BD147" s="373">
        <v>20585.419999999998</v>
      </c>
      <c r="BE147" s="373">
        <v>20138.419999999998</v>
      </c>
      <c r="BF147" s="373">
        <v>35417.97</v>
      </c>
      <c r="BG147" s="373">
        <v>23725.42</v>
      </c>
      <c r="BH147" s="374">
        <v>126487.43000000001</v>
      </c>
      <c r="BI147" s="373">
        <v>17825.41</v>
      </c>
      <c r="BJ147" s="373">
        <v>25007.070000000003</v>
      </c>
      <c r="BK147" s="373">
        <v>15397.030000000002</v>
      </c>
      <c r="BL147" s="373">
        <v>-1982.9599999999991</v>
      </c>
      <c r="BM147" s="373">
        <v>17696.750000000004</v>
      </c>
      <c r="BN147" s="375">
        <v>360300.86999999994</v>
      </c>
      <c r="BO147" s="329"/>
      <c r="BP147" s="373">
        <v>24593</v>
      </c>
      <c r="BQ147" s="373">
        <v>14593.333333333328</v>
      </c>
      <c r="BR147" s="373">
        <v>14593.333333333328</v>
      </c>
      <c r="BS147" s="373">
        <v>14593.333333333328</v>
      </c>
      <c r="BT147" s="373">
        <v>14593.333333333328</v>
      </c>
      <c r="BU147" s="373">
        <v>79593.333333333328</v>
      </c>
      <c r="BV147" s="374">
        <v>14593.333333333328</v>
      </c>
      <c r="BW147" s="373">
        <v>14593.333333333328</v>
      </c>
      <c r="BX147" s="373">
        <v>14593.333333333314</v>
      </c>
      <c r="BY147" s="373">
        <v>14593.333333333343</v>
      </c>
      <c r="BZ147" s="373">
        <v>14593.333333333343</v>
      </c>
      <c r="CA147" s="373">
        <v>83593.333333333343</v>
      </c>
      <c r="CB147" s="402">
        <f t="shared" si="282"/>
        <v>319119.66666666663</v>
      </c>
      <c r="CC147" s="776">
        <f t="shared" si="274"/>
        <v>-41181.203333333309</v>
      </c>
      <c r="CD147" s="775">
        <f t="shared" si="275"/>
        <v>-0.12904627208810901</v>
      </c>
      <c r="CE147" s="772"/>
      <c r="CF147" s="373">
        <v>34343.18</v>
      </c>
      <c r="CG147" s="373">
        <v>14824.14</v>
      </c>
      <c r="CH147" s="373">
        <v>800.35000000000036</v>
      </c>
      <c r="CI147" s="373">
        <v>12465</v>
      </c>
      <c r="CJ147" s="373">
        <v>138612.72</v>
      </c>
      <c r="CK147" s="373">
        <v>-89555.06</v>
      </c>
      <c r="CL147" s="374">
        <v>12018</v>
      </c>
      <c r="CM147" s="373">
        <v>-1181.3499999999999</v>
      </c>
      <c r="CN147" s="373">
        <v>26308</v>
      </c>
      <c r="CO147" s="373">
        <v>18938.559999999998</v>
      </c>
      <c r="CP147" s="373">
        <v>36733.21</v>
      </c>
      <c r="CQ147" s="373">
        <v>122057.77</v>
      </c>
      <c r="CR147" s="374">
        <v>0</v>
      </c>
      <c r="CS147" s="375">
        <f t="shared" si="276"/>
        <v>326364.52</v>
      </c>
      <c r="CT147" s="378">
        <f t="shared" si="277"/>
        <v>-33936.349999999919</v>
      </c>
      <c r="CU147" s="165">
        <f t="shared" si="278"/>
        <v>-0.10398296358930167</v>
      </c>
      <c r="CV147" s="329"/>
      <c r="CW147" s="373">
        <v>0</v>
      </c>
      <c r="CX147" s="373">
        <v>0</v>
      </c>
      <c r="CY147" s="373">
        <v>0</v>
      </c>
      <c r="CZ147" s="373">
        <v>0</v>
      </c>
      <c r="DA147" s="373">
        <v>0</v>
      </c>
      <c r="DB147" s="373">
        <v>0</v>
      </c>
      <c r="DC147" s="374">
        <v>0</v>
      </c>
      <c r="DD147" s="373">
        <v>0</v>
      </c>
      <c r="DE147" s="373">
        <v>0</v>
      </c>
      <c r="DF147" s="373">
        <v>0</v>
      </c>
      <c r="DG147" s="373">
        <v>0</v>
      </c>
      <c r="DH147" s="373">
        <v>271853.46000000002</v>
      </c>
      <c r="DI147" s="375">
        <f t="shared" si="279"/>
        <v>271853.46000000002</v>
      </c>
      <c r="DJ147" s="329"/>
      <c r="DK147" s="373">
        <v>0</v>
      </c>
      <c r="DL147" s="373">
        <v>0</v>
      </c>
      <c r="DM147" s="373">
        <v>0</v>
      </c>
      <c r="DN147" s="373">
        <v>0</v>
      </c>
      <c r="DO147" s="373">
        <v>0</v>
      </c>
      <c r="DP147" s="373">
        <v>0</v>
      </c>
      <c r="DQ147" s="374">
        <v>0</v>
      </c>
      <c r="DR147" s="373">
        <v>0</v>
      </c>
      <c r="DS147" s="373">
        <v>0</v>
      </c>
      <c r="DT147" s="373">
        <v>0</v>
      </c>
      <c r="DU147" s="373">
        <v>0</v>
      </c>
      <c r="DV147" s="373">
        <v>0</v>
      </c>
      <c r="DW147" s="375">
        <f t="shared" si="280"/>
        <v>0</v>
      </c>
      <c r="DY147" s="373">
        <v>0</v>
      </c>
      <c r="DZ147" s="373">
        <v>0</v>
      </c>
      <c r="EA147" s="373">
        <v>0</v>
      </c>
      <c r="EB147" s="373">
        <v>0</v>
      </c>
      <c r="EC147" s="373">
        <v>0</v>
      </c>
      <c r="ED147" s="373">
        <v>0</v>
      </c>
      <c r="EE147" s="374">
        <v>0</v>
      </c>
      <c r="EF147" s="373">
        <v>0</v>
      </c>
      <c r="EG147" s="373">
        <v>0</v>
      </c>
      <c r="EH147" s="373">
        <v>0</v>
      </c>
      <c r="EI147" s="373">
        <v>0</v>
      </c>
      <c r="EJ147" s="373">
        <v>0</v>
      </c>
      <c r="EK147" s="375">
        <f t="shared" si="281"/>
        <v>0</v>
      </c>
      <c r="EL147" s="177"/>
      <c r="EM147" s="373">
        <v>0</v>
      </c>
      <c r="EN147" s="373">
        <v>0</v>
      </c>
      <c r="EO147" s="373">
        <v>0</v>
      </c>
      <c r="EP147" s="373">
        <v>0</v>
      </c>
      <c r="EQ147" s="373">
        <v>0</v>
      </c>
      <c r="ER147" s="373">
        <v>0</v>
      </c>
      <c r="ES147" s="374">
        <v>0</v>
      </c>
      <c r="ET147" s="373">
        <v>0</v>
      </c>
      <c r="EU147" s="373">
        <v>0</v>
      </c>
      <c r="EV147" s="373">
        <v>0</v>
      </c>
      <c r="EW147" s="373">
        <v>0</v>
      </c>
      <c r="EX147" s="373">
        <v>0</v>
      </c>
      <c r="EY147" s="375">
        <f t="shared" si="283"/>
        <v>0</v>
      </c>
      <c r="EZ147" s="164">
        <v>0</v>
      </c>
      <c r="FA147" s="185">
        <v>0</v>
      </c>
    </row>
    <row r="148" spans="1:157" ht="18.75" customHeight="1">
      <c r="A148" s="185" t="s">
        <v>329</v>
      </c>
      <c r="B148" s="774"/>
      <c r="C148" s="176" t="s">
        <v>1018</v>
      </c>
      <c r="D148" s="176">
        <v>60318000</v>
      </c>
      <c r="E148" s="773"/>
      <c r="F148" s="320" t="s">
        <v>771</v>
      </c>
      <c r="G148" s="329"/>
      <c r="H148" s="373"/>
      <c r="I148" s="373"/>
      <c r="J148" s="373"/>
      <c r="K148" s="373"/>
      <c r="L148" s="373"/>
      <c r="M148" s="373"/>
      <c r="N148" s="374"/>
      <c r="O148" s="373"/>
      <c r="P148" s="373"/>
      <c r="Q148" s="373"/>
      <c r="R148" s="373"/>
      <c r="S148" s="377">
        <v>50000</v>
      </c>
      <c r="T148" s="375">
        <f t="shared" si="268"/>
        <v>50000</v>
      </c>
      <c r="U148" s="776">
        <f t="shared" si="269"/>
        <v>129794.20000000001</v>
      </c>
      <c r="V148" s="775">
        <f t="shared" si="270"/>
        <v>0.7219042660997963</v>
      </c>
      <c r="W148" s="329"/>
      <c r="X148" s="373">
        <v>2880</v>
      </c>
      <c r="Y148" s="373">
        <v>2014</v>
      </c>
      <c r="Z148" s="373">
        <v>16230</v>
      </c>
      <c r="AA148" s="373">
        <v>4400</v>
      </c>
      <c r="AB148" s="373">
        <v>-19.8</v>
      </c>
      <c r="AC148" s="373">
        <v>4344</v>
      </c>
      <c r="AD148" s="374">
        <v>28197</v>
      </c>
      <c r="AE148" s="373">
        <v>43490</v>
      </c>
      <c r="AF148" s="373">
        <v>0</v>
      </c>
      <c r="AG148" s="373">
        <v>6865</v>
      </c>
      <c r="AH148" s="373">
        <v>44146</v>
      </c>
      <c r="AI148" s="373">
        <v>27248</v>
      </c>
      <c r="AJ148" s="375">
        <f t="shared" si="271"/>
        <v>179794.2</v>
      </c>
      <c r="AK148" s="329"/>
      <c r="AL148" s="373">
        <v>21000</v>
      </c>
      <c r="AM148" s="373">
        <v>7000</v>
      </c>
      <c r="AN148" s="373">
        <v>7000</v>
      </c>
      <c r="AO148" s="373">
        <v>7000</v>
      </c>
      <c r="AP148" s="373">
        <v>21000</v>
      </c>
      <c r="AQ148" s="373">
        <v>7000</v>
      </c>
      <c r="AR148" s="374">
        <v>7000</v>
      </c>
      <c r="AS148" s="373">
        <v>7000</v>
      </c>
      <c r="AT148" s="373">
        <v>21000</v>
      </c>
      <c r="AU148" s="373">
        <v>7000</v>
      </c>
      <c r="AV148" s="373">
        <v>7000</v>
      </c>
      <c r="AW148" s="373">
        <v>177000</v>
      </c>
      <c r="AX148" s="375">
        <v>296000</v>
      </c>
      <c r="AY148" s="776">
        <f t="shared" si="272"/>
        <v>-121946.69999999998</v>
      </c>
      <c r="AZ148" s="775">
        <f t="shared" si="273"/>
        <v>-0.70062848564204161</v>
      </c>
      <c r="BA148" s="329"/>
      <c r="BB148" s="373">
        <v>30900</v>
      </c>
      <c r="BC148" s="373">
        <v>4754.29</v>
      </c>
      <c r="BD148" s="373">
        <v>40485</v>
      </c>
      <c r="BE148" s="373">
        <v>1036</v>
      </c>
      <c r="BF148" s="373">
        <v>9254.9500000000007</v>
      </c>
      <c r="BG148" s="373">
        <v>14245.5</v>
      </c>
      <c r="BH148" s="374">
        <v>12247.600000000002</v>
      </c>
      <c r="BI148" s="373">
        <v>48776.46</v>
      </c>
      <c r="BJ148" s="373">
        <v>-753.62</v>
      </c>
      <c r="BK148" s="373">
        <v>20767.5</v>
      </c>
      <c r="BL148" s="373">
        <v>-4239.1000000000004</v>
      </c>
      <c r="BM148" s="373">
        <v>17203.72</v>
      </c>
      <c r="BN148" s="375">
        <v>174053.30000000002</v>
      </c>
      <c r="BO148" s="329"/>
      <c r="BP148" s="373">
        <v>14833.333333333334</v>
      </c>
      <c r="BQ148" s="373">
        <v>16833.333333333336</v>
      </c>
      <c r="BR148" s="373">
        <v>14833.333333333336</v>
      </c>
      <c r="BS148" s="373">
        <v>16833.333333333336</v>
      </c>
      <c r="BT148" s="373">
        <v>14833.333333333334</v>
      </c>
      <c r="BU148" s="373">
        <v>16833.333333333336</v>
      </c>
      <c r="BV148" s="374">
        <v>14833.333333333334</v>
      </c>
      <c r="BW148" s="373">
        <v>16833.333333333336</v>
      </c>
      <c r="BX148" s="373">
        <v>14833.333333333336</v>
      </c>
      <c r="BY148" s="373">
        <v>16833.333333333336</v>
      </c>
      <c r="BZ148" s="373">
        <v>14833.333333333334</v>
      </c>
      <c r="CA148" s="373">
        <v>16833.333333333343</v>
      </c>
      <c r="CB148" s="402">
        <f t="shared" si="282"/>
        <v>190000.00000000003</v>
      </c>
      <c r="CC148" s="776">
        <f t="shared" si="274"/>
        <v>15946.700000000012</v>
      </c>
      <c r="CD148" s="775">
        <f t="shared" si="275"/>
        <v>8.3930000000000046E-2</v>
      </c>
      <c r="CE148" s="772"/>
      <c r="CF148" s="373">
        <v>26180</v>
      </c>
      <c r="CG148" s="373">
        <v>43116</v>
      </c>
      <c r="CH148" s="373">
        <v>47538.41</v>
      </c>
      <c r="CI148" s="373">
        <v>1205.2</v>
      </c>
      <c r="CJ148" s="373">
        <v>14147</v>
      </c>
      <c r="CK148" s="373">
        <v>162471</v>
      </c>
      <c r="CL148" s="374">
        <v>40613</v>
      </c>
      <c r="CM148" s="373">
        <v>41009</v>
      </c>
      <c r="CN148" s="373">
        <v>100567.8</v>
      </c>
      <c r="CO148" s="373">
        <v>66963</v>
      </c>
      <c r="CP148" s="373">
        <v>15245</v>
      </c>
      <c r="CQ148" s="373">
        <v>0</v>
      </c>
      <c r="CR148" s="374">
        <v>0</v>
      </c>
      <c r="CS148" s="375">
        <f t="shared" si="276"/>
        <v>559055.40999999992</v>
      </c>
      <c r="CT148" s="378">
        <f t="shared" si="277"/>
        <v>385002.10999999987</v>
      </c>
      <c r="CU148" s="165">
        <f t="shared" si="278"/>
        <v>0.68866538649541009</v>
      </c>
      <c r="CV148" s="329"/>
      <c r="CW148" s="373">
        <v>0</v>
      </c>
      <c r="CX148" s="373">
        <v>0</v>
      </c>
      <c r="CY148" s="373">
        <v>0</v>
      </c>
      <c r="CZ148" s="373">
        <v>0</v>
      </c>
      <c r="DA148" s="373">
        <v>0</v>
      </c>
      <c r="DB148" s="373">
        <v>0</v>
      </c>
      <c r="DC148" s="374">
        <v>0</v>
      </c>
      <c r="DD148" s="373">
        <v>0</v>
      </c>
      <c r="DE148" s="373">
        <v>0</v>
      </c>
      <c r="DF148" s="373">
        <v>0</v>
      </c>
      <c r="DG148" s="373">
        <v>0</v>
      </c>
      <c r="DH148" s="373">
        <v>0</v>
      </c>
      <c r="DI148" s="375">
        <f t="shared" si="279"/>
        <v>0</v>
      </c>
      <c r="DJ148" s="329"/>
      <c r="DK148" s="373">
        <v>0</v>
      </c>
      <c r="DL148" s="373">
        <v>0</v>
      </c>
      <c r="DM148" s="373">
        <v>0</v>
      </c>
      <c r="DN148" s="373">
        <v>0</v>
      </c>
      <c r="DO148" s="373">
        <v>0</v>
      </c>
      <c r="DP148" s="373">
        <v>0</v>
      </c>
      <c r="DQ148" s="374">
        <v>0</v>
      </c>
      <c r="DR148" s="373">
        <v>0</v>
      </c>
      <c r="DS148" s="373">
        <v>0</v>
      </c>
      <c r="DT148" s="373">
        <v>0</v>
      </c>
      <c r="DU148" s="373">
        <v>0</v>
      </c>
      <c r="DV148" s="373">
        <v>0</v>
      </c>
      <c r="DW148" s="375">
        <f t="shared" si="280"/>
        <v>0</v>
      </c>
      <c r="DY148" s="373">
        <v>0</v>
      </c>
      <c r="DZ148" s="373">
        <v>0</v>
      </c>
      <c r="EA148" s="373">
        <v>0</v>
      </c>
      <c r="EB148" s="373">
        <v>0</v>
      </c>
      <c r="EC148" s="373">
        <v>0</v>
      </c>
      <c r="ED148" s="373">
        <v>0</v>
      </c>
      <c r="EE148" s="374">
        <v>0</v>
      </c>
      <c r="EF148" s="373">
        <v>0</v>
      </c>
      <c r="EG148" s="373">
        <v>0</v>
      </c>
      <c r="EH148" s="373">
        <v>0</v>
      </c>
      <c r="EI148" s="373">
        <v>0</v>
      </c>
      <c r="EJ148" s="373">
        <v>0</v>
      </c>
      <c r="EK148" s="375">
        <f t="shared" si="281"/>
        <v>0</v>
      </c>
      <c r="EL148" s="177"/>
      <c r="EM148" s="373">
        <v>0</v>
      </c>
      <c r="EN148" s="373">
        <v>0</v>
      </c>
      <c r="EO148" s="373">
        <v>0</v>
      </c>
      <c r="EP148" s="373">
        <v>0</v>
      </c>
      <c r="EQ148" s="373">
        <v>0</v>
      </c>
      <c r="ER148" s="373">
        <v>0</v>
      </c>
      <c r="ES148" s="374">
        <v>0</v>
      </c>
      <c r="ET148" s="373">
        <v>0</v>
      </c>
      <c r="EU148" s="373">
        <v>0</v>
      </c>
      <c r="EV148" s="373">
        <v>0</v>
      </c>
      <c r="EW148" s="373">
        <v>0</v>
      </c>
      <c r="EX148" s="373">
        <v>0</v>
      </c>
      <c r="EY148" s="375">
        <f t="shared" si="283"/>
        <v>0</v>
      </c>
      <c r="EZ148" s="164">
        <v>0</v>
      </c>
      <c r="FA148" s="185">
        <v>0</v>
      </c>
    </row>
    <row r="149" spans="1:157" ht="18.75" customHeight="1">
      <c r="A149" s="185" t="s">
        <v>329</v>
      </c>
      <c r="B149" s="774"/>
      <c r="C149" s="176" t="s">
        <v>1017</v>
      </c>
      <c r="D149" s="176">
        <v>60319000</v>
      </c>
      <c r="E149" s="773"/>
      <c r="F149" s="320" t="s">
        <v>772</v>
      </c>
      <c r="G149" s="329"/>
      <c r="H149" s="373"/>
      <c r="I149" s="373"/>
      <c r="J149" s="373"/>
      <c r="K149" s="373"/>
      <c r="L149" s="373"/>
      <c r="M149" s="373"/>
      <c r="N149" s="374"/>
      <c r="O149" s="373"/>
      <c r="P149" s="373"/>
      <c r="Q149" s="373"/>
      <c r="R149" s="373"/>
      <c r="S149" s="377">
        <v>617640</v>
      </c>
      <c r="T149" s="375">
        <f t="shared" si="268"/>
        <v>617640</v>
      </c>
      <c r="U149" s="776">
        <f t="shared" si="269"/>
        <v>-493560.18</v>
      </c>
      <c r="V149" s="775">
        <f t="shared" si="270"/>
        <v>-3.9777635073938695</v>
      </c>
      <c r="W149" s="329"/>
      <c r="X149" s="373">
        <v>111.70000000000005</v>
      </c>
      <c r="Y149" s="373">
        <v>398.5</v>
      </c>
      <c r="Z149" s="373">
        <v>22751.5</v>
      </c>
      <c r="AA149" s="373">
        <v>0</v>
      </c>
      <c r="AB149" s="373">
        <v>45677.740000000005</v>
      </c>
      <c r="AC149" s="373">
        <v>24782</v>
      </c>
      <c r="AD149" s="374">
        <v>2540</v>
      </c>
      <c r="AE149" s="373">
        <v>1111.9599999999991</v>
      </c>
      <c r="AF149" s="373">
        <v>52</v>
      </c>
      <c r="AG149" s="373">
        <v>5097.58</v>
      </c>
      <c r="AH149" s="373">
        <v>15442.599999999999</v>
      </c>
      <c r="AI149" s="373">
        <v>6114.2400000000016</v>
      </c>
      <c r="AJ149" s="375">
        <f t="shared" si="271"/>
        <v>124079.81999999999</v>
      </c>
      <c r="AK149" s="329"/>
      <c r="AL149" s="373">
        <v>8530</v>
      </c>
      <c r="AM149" s="373">
        <v>6530</v>
      </c>
      <c r="AN149" s="373">
        <v>6530</v>
      </c>
      <c r="AO149" s="373">
        <v>8530</v>
      </c>
      <c r="AP149" s="373">
        <v>6530</v>
      </c>
      <c r="AQ149" s="373">
        <v>6530</v>
      </c>
      <c r="AR149" s="374">
        <v>8530</v>
      </c>
      <c r="AS149" s="373">
        <v>6530</v>
      </c>
      <c r="AT149" s="373">
        <v>6530</v>
      </c>
      <c r="AU149" s="373">
        <v>8530</v>
      </c>
      <c r="AV149" s="373">
        <v>6530</v>
      </c>
      <c r="AW149" s="373">
        <v>119279</v>
      </c>
      <c r="AX149" s="375">
        <v>-100891</v>
      </c>
      <c r="AY149" s="776">
        <f t="shared" si="272"/>
        <v>193787.63999999998</v>
      </c>
      <c r="AZ149" s="775">
        <f t="shared" si="273"/>
        <v>2.0860565032276734</v>
      </c>
      <c r="BA149" s="329"/>
      <c r="BB149" s="373">
        <v>23036</v>
      </c>
      <c r="BC149" s="373">
        <v>1611.5</v>
      </c>
      <c r="BD149" s="373">
        <v>3124.0999999999985</v>
      </c>
      <c r="BE149" s="373">
        <v>-2568.63</v>
      </c>
      <c r="BF149" s="373">
        <v>23240</v>
      </c>
      <c r="BG149" s="373">
        <v>-1588.7999999999993</v>
      </c>
      <c r="BH149" s="374">
        <v>2998.1000000000022</v>
      </c>
      <c r="BI149" s="373">
        <v>2873.7000000000007</v>
      </c>
      <c r="BJ149" s="373">
        <v>2883.7000000000007</v>
      </c>
      <c r="BK149" s="373">
        <v>960.39999999999782</v>
      </c>
      <c r="BL149" s="373">
        <v>1641.4000000000015</v>
      </c>
      <c r="BM149" s="373">
        <v>1982.8000000000029</v>
      </c>
      <c r="BN149" s="375">
        <v>92896.639999999985</v>
      </c>
      <c r="BO149" s="329"/>
      <c r="BP149" s="373">
        <v>41743.333333333343</v>
      </c>
      <c r="BQ149" s="373">
        <v>41743.333333333343</v>
      </c>
      <c r="BR149" s="373">
        <v>46493.333333333343</v>
      </c>
      <c r="BS149" s="373">
        <v>41743.333333333343</v>
      </c>
      <c r="BT149" s="373">
        <v>41743.333333333343</v>
      </c>
      <c r="BU149" s="373">
        <v>46493.333333333343</v>
      </c>
      <c r="BV149" s="374">
        <v>41743.333333333343</v>
      </c>
      <c r="BW149" s="373">
        <v>41743.333333333343</v>
      </c>
      <c r="BX149" s="373">
        <v>46493.333333333343</v>
      </c>
      <c r="BY149" s="373">
        <v>41743.333333333343</v>
      </c>
      <c r="BZ149" s="373">
        <v>41743.333333333343</v>
      </c>
      <c r="CA149" s="373">
        <v>46493.333333333372</v>
      </c>
      <c r="CB149" s="402">
        <f t="shared" si="282"/>
        <v>519920.00000000023</v>
      </c>
      <c r="CC149" s="776">
        <f t="shared" si="274"/>
        <v>427023.36000000022</v>
      </c>
      <c r="CD149" s="775">
        <f t="shared" si="275"/>
        <v>0.82132512694260662</v>
      </c>
      <c r="CE149" s="772"/>
      <c r="CF149" s="373">
        <v>0</v>
      </c>
      <c r="CG149" s="373">
        <v>1220</v>
      </c>
      <c r="CH149" s="373">
        <v>0</v>
      </c>
      <c r="CI149" s="373">
        <v>500</v>
      </c>
      <c r="CJ149" s="373">
        <v>6347.4999999999964</v>
      </c>
      <c r="CK149" s="373">
        <v>36992</v>
      </c>
      <c r="CL149" s="374">
        <v>5407.7999999999993</v>
      </c>
      <c r="CM149" s="373">
        <v>839.34000000000015</v>
      </c>
      <c r="CN149" s="373">
        <v>22880</v>
      </c>
      <c r="CO149" s="373">
        <v>6985.5400000000009</v>
      </c>
      <c r="CP149" s="373">
        <v>70700.599999999977</v>
      </c>
      <c r="CQ149" s="373">
        <v>-5403</v>
      </c>
      <c r="CR149" s="374">
        <v>0</v>
      </c>
      <c r="CS149" s="375">
        <f t="shared" si="276"/>
        <v>146469.77999999997</v>
      </c>
      <c r="CT149" s="378">
        <f t="shared" si="277"/>
        <v>53573.139999999985</v>
      </c>
      <c r="CU149" s="165">
        <f t="shared" si="278"/>
        <v>0.36576241187772657</v>
      </c>
      <c r="CV149" s="329"/>
      <c r="CW149" s="373">
        <v>0</v>
      </c>
      <c r="CX149" s="373">
        <v>0</v>
      </c>
      <c r="CY149" s="373">
        <v>0</v>
      </c>
      <c r="CZ149" s="373">
        <v>0</v>
      </c>
      <c r="DA149" s="373">
        <v>0</v>
      </c>
      <c r="DB149" s="373">
        <v>0</v>
      </c>
      <c r="DC149" s="374">
        <v>0</v>
      </c>
      <c r="DD149" s="373">
        <v>0</v>
      </c>
      <c r="DE149" s="373">
        <v>0</v>
      </c>
      <c r="DF149" s="373">
        <v>0</v>
      </c>
      <c r="DG149" s="373">
        <v>0</v>
      </c>
      <c r="DH149" s="373">
        <v>0</v>
      </c>
      <c r="DI149" s="375">
        <f t="shared" si="279"/>
        <v>0</v>
      </c>
      <c r="DJ149" s="329"/>
      <c r="DK149" s="373">
        <v>0</v>
      </c>
      <c r="DL149" s="373">
        <v>0</v>
      </c>
      <c r="DM149" s="373">
        <v>0</v>
      </c>
      <c r="DN149" s="373">
        <v>0</v>
      </c>
      <c r="DO149" s="373">
        <v>0</v>
      </c>
      <c r="DP149" s="373">
        <v>0</v>
      </c>
      <c r="DQ149" s="374">
        <v>0</v>
      </c>
      <c r="DR149" s="373">
        <v>0</v>
      </c>
      <c r="DS149" s="373">
        <v>0</v>
      </c>
      <c r="DT149" s="373">
        <v>0</v>
      </c>
      <c r="DU149" s="373">
        <v>0</v>
      </c>
      <c r="DV149" s="373">
        <v>0</v>
      </c>
      <c r="DW149" s="375">
        <f t="shared" si="280"/>
        <v>0</v>
      </c>
      <c r="DY149" s="373">
        <v>0</v>
      </c>
      <c r="DZ149" s="373">
        <v>0</v>
      </c>
      <c r="EA149" s="373">
        <v>0</v>
      </c>
      <c r="EB149" s="373">
        <v>0</v>
      </c>
      <c r="EC149" s="373">
        <v>0</v>
      </c>
      <c r="ED149" s="373">
        <v>0</v>
      </c>
      <c r="EE149" s="374">
        <v>0</v>
      </c>
      <c r="EF149" s="373">
        <v>0</v>
      </c>
      <c r="EG149" s="373">
        <v>0</v>
      </c>
      <c r="EH149" s="373">
        <v>0</v>
      </c>
      <c r="EI149" s="373">
        <v>0</v>
      </c>
      <c r="EJ149" s="373">
        <v>0</v>
      </c>
      <c r="EK149" s="375">
        <f t="shared" si="281"/>
        <v>0</v>
      </c>
      <c r="EL149" s="177"/>
      <c r="EM149" s="373">
        <v>0</v>
      </c>
      <c r="EN149" s="373">
        <v>0</v>
      </c>
      <c r="EO149" s="373">
        <v>0</v>
      </c>
      <c r="EP149" s="373">
        <v>0</v>
      </c>
      <c r="EQ149" s="373">
        <v>0</v>
      </c>
      <c r="ER149" s="373">
        <v>0</v>
      </c>
      <c r="ES149" s="374">
        <v>0</v>
      </c>
      <c r="ET149" s="373">
        <v>0</v>
      </c>
      <c r="EU149" s="373">
        <v>0</v>
      </c>
      <c r="EV149" s="373">
        <v>0</v>
      </c>
      <c r="EW149" s="373">
        <v>0</v>
      </c>
      <c r="EX149" s="373">
        <v>0</v>
      </c>
      <c r="EY149" s="375">
        <f t="shared" si="283"/>
        <v>0</v>
      </c>
      <c r="EZ149" s="164">
        <v>0</v>
      </c>
      <c r="FA149" s="185">
        <v>0</v>
      </c>
    </row>
    <row r="150" spans="1:157" ht="18.75" customHeight="1">
      <c r="A150" s="185" t="s">
        <v>329</v>
      </c>
      <c r="B150" s="774"/>
      <c r="C150" s="176" t="s">
        <v>1016</v>
      </c>
      <c r="D150" s="176">
        <v>60320000</v>
      </c>
      <c r="E150" s="773"/>
      <c r="F150" s="320" t="s">
        <v>773</v>
      </c>
      <c r="G150" s="329"/>
      <c r="H150" s="373"/>
      <c r="I150" s="373"/>
      <c r="J150" s="373"/>
      <c r="K150" s="373"/>
      <c r="L150" s="373"/>
      <c r="M150" s="373"/>
      <c r="N150" s="374"/>
      <c r="O150" s="373"/>
      <c r="P150" s="373"/>
      <c r="Q150" s="373"/>
      <c r="R150" s="373"/>
      <c r="S150" s="377">
        <v>1150180</v>
      </c>
      <c r="T150" s="375">
        <f t="shared" si="268"/>
        <v>1150180</v>
      </c>
      <c r="U150" s="776">
        <f t="shared" si="269"/>
        <v>-847670.61</v>
      </c>
      <c r="V150" s="775">
        <f t="shared" si="270"/>
        <v>-2.8021299107442581</v>
      </c>
      <c r="W150" s="329"/>
      <c r="X150" s="373">
        <v>15498.740000000002</v>
      </c>
      <c r="Y150" s="373">
        <v>20200.780000000002</v>
      </c>
      <c r="Z150" s="373">
        <v>24963.869999999995</v>
      </c>
      <c r="AA150" s="373">
        <v>27900.37</v>
      </c>
      <c r="AB150" s="373">
        <v>22620.52</v>
      </c>
      <c r="AC150" s="373">
        <v>12018.07</v>
      </c>
      <c r="AD150" s="374">
        <v>19049.600000000006</v>
      </c>
      <c r="AE150" s="373">
        <v>14976.400000000001</v>
      </c>
      <c r="AF150" s="373">
        <v>36570.400000000001</v>
      </c>
      <c r="AG150" s="373">
        <v>20733.97</v>
      </c>
      <c r="AH150" s="373">
        <v>12215.5</v>
      </c>
      <c r="AI150" s="373">
        <v>75761.17</v>
      </c>
      <c r="AJ150" s="375">
        <f t="shared" si="271"/>
        <v>302509.39</v>
      </c>
      <c r="AK150" s="329"/>
      <c r="AL150" s="373">
        <v>571</v>
      </c>
      <c r="AM150" s="373">
        <v>471</v>
      </c>
      <c r="AN150" s="373">
        <v>571</v>
      </c>
      <c r="AO150" s="373">
        <v>471</v>
      </c>
      <c r="AP150" s="373">
        <v>571</v>
      </c>
      <c r="AQ150" s="373">
        <v>471</v>
      </c>
      <c r="AR150" s="374">
        <v>571</v>
      </c>
      <c r="AS150" s="373">
        <v>471</v>
      </c>
      <c r="AT150" s="373">
        <v>571</v>
      </c>
      <c r="AU150" s="373">
        <v>571</v>
      </c>
      <c r="AV150" s="373">
        <v>571</v>
      </c>
      <c r="AW150" s="373">
        <v>657971</v>
      </c>
      <c r="AX150" s="375">
        <v>763852</v>
      </c>
      <c r="AY150" s="776">
        <f t="shared" si="272"/>
        <v>436694.16999999993</v>
      </c>
      <c r="AZ150" s="775">
        <f t="shared" si="273"/>
        <v>0.36374625225783691</v>
      </c>
      <c r="BA150" s="329"/>
      <c r="BB150" s="373">
        <v>5591.9000000000015</v>
      </c>
      <c r="BC150" s="373">
        <v>60229.75</v>
      </c>
      <c r="BD150" s="373">
        <v>122443.87</v>
      </c>
      <c r="BE150" s="373">
        <v>111663.62</v>
      </c>
      <c r="BF150" s="373">
        <v>137814.5</v>
      </c>
      <c r="BG150" s="373">
        <v>114088.9</v>
      </c>
      <c r="BH150" s="374">
        <v>141656.49</v>
      </c>
      <c r="BI150" s="373">
        <v>116010.2</v>
      </c>
      <c r="BJ150" s="373">
        <v>114502.7</v>
      </c>
      <c r="BK150" s="373">
        <v>117075</v>
      </c>
      <c r="BL150" s="373">
        <v>141269.34</v>
      </c>
      <c r="BM150" s="373">
        <v>19043</v>
      </c>
      <c r="BN150" s="375">
        <v>1200546.17</v>
      </c>
      <c r="BO150" s="329"/>
      <c r="BP150" s="373">
        <v>1200</v>
      </c>
      <c r="BQ150" s="373">
        <v>156070</v>
      </c>
      <c r="BR150" s="373">
        <v>155070</v>
      </c>
      <c r="BS150" s="373">
        <v>156070</v>
      </c>
      <c r="BT150" s="373">
        <v>157155.29999999999</v>
      </c>
      <c r="BU150" s="373">
        <v>156070</v>
      </c>
      <c r="BV150" s="374">
        <v>155070</v>
      </c>
      <c r="BW150" s="373">
        <v>156070</v>
      </c>
      <c r="BX150" s="373">
        <v>155070</v>
      </c>
      <c r="BY150" s="373">
        <v>155070</v>
      </c>
      <c r="BZ150" s="373">
        <v>156070</v>
      </c>
      <c r="CA150" s="373">
        <v>155070</v>
      </c>
      <c r="CB150" s="402">
        <f t="shared" si="282"/>
        <v>1714055.3</v>
      </c>
      <c r="CC150" s="776">
        <f t="shared" si="274"/>
        <v>513509.13000000012</v>
      </c>
      <c r="CD150" s="775">
        <f t="shared" si="275"/>
        <v>0.29958725952424059</v>
      </c>
      <c r="CE150" s="772"/>
      <c r="CF150" s="373">
        <v>5396</v>
      </c>
      <c r="CG150" s="373">
        <v>12632</v>
      </c>
      <c r="CH150" s="373">
        <v>2008</v>
      </c>
      <c r="CI150" s="373">
        <v>1304.0100000000002</v>
      </c>
      <c r="CJ150" s="373">
        <v>7298.2000000000007</v>
      </c>
      <c r="CK150" s="373">
        <v>8453.0499999999956</v>
      </c>
      <c r="CL150" s="374">
        <v>6299.1999999999971</v>
      </c>
      <c r="CM150" s="373">
        <v>1714.2999999999993</v>
      </c>
      <c r="CN150" s="373">
        <v>9805.0400000000009</v>
      </c>
      <c r="CO150" s="373">
        <v>665.70000000000073</v>
      </c>
      <c r="CP150" s="373">
        <v>5543.5999999999985</v>
      </c>
      <c r="CQ150" s="373">
        <v>16972.5</v>
      </c>
      <c r="CR150" s="374">
        <v>0</v>
      </c>
      <c r="CS150" s="375">
        <f t="shared" si="276"/>
        <v>78091.600000000006</v>
      </c>
      <c r="CT150" s="378">
        <f t="shared" si="277"/>
        <v>-1122454.5699999998</v>
      </c>
      <c r="CU150" s="165">
        <f t="shared" si="278"/>
        <v>-14.373563481859762</v>
      </c>
      <c r="CV150" s="329"/>
      <c r="CW150" s="373">
        <v>0</v>
      </c>
      <c r="CX150" s="373">
        <v>0</v>
      </c>
      <c r="CY150" s="373">
        <v>0</v>
      </c>
      <c r="CZ150" s="373">
        <v>0</v>
      </c>
      <c r="DA150" s="373">
        <v>0</v>
      </c>
      <c r="DB150" s="373">
        <v>0</v>
      </c>
      <c r="DC150" s="374">
        <v>0</v>
      </c>
      <c r="DD150" s="373">
        <v>0</v>
      </c>
      <c r="DE150" s="373">
        <v>0</v>
      </c>
      <c r="DF150" s="373">
        <v>0</v>
      </c>
      <c r="DG150" s="373">
        <v>0</v>
      </c>
      <c r="DH150" s="373">
        <v>0</v>
      </c>
      <c r="DI150" s="375">
        <f t="shared" si="279"/>
        <v>0</v>
      </c>
      <c r="DJ150" s="329"/>
      <c r="DK150" s="373">
        <v>0</v>
      </c>
      <c r="DL150" s="373">
        <v>0</v>
      </c>
      <c r="DM150" s="373">
        <v>0</v>
      </c>
      <c r="DN150" s="373">
        <v>0</v>
      </c>
      <c r="DO150" s="373">
        <v>0</v>
      </c>
      <c r="DP150" s="373">
        <v>0</v>
      </c>
      <c r="DQ150" s="374">
        <v>0</v>
      </c>
      <c r="DR150" s="373">
        <v>0</v>
      </c>
      <c r="DS150" s="373">
        <v>0</v>
      </c>
      <c r="DT150" s="373">
        <v>0</v>
      </c>
      <c r="DU150" s="373">
        <v>0</v>
      </c>
      <c r="DV150" s="373">
        <v>0</v>
      </c>
      <c r="DW150" s="375">
        <f t="shared" si="280"/>
        <v>0</v>
      </c>
      <c r="DY150" s="373">
        <v>0</v>
      </c>
      <c r="DZ150" s="373">
        <v>0</v>
      </c>
      <c r="EA150" s="373">
        <v>0</v>
      </c>
      <c r="EB150" s="373">
        <v>0</v>
      </c>
      <c r="EC150" s="373">
        <v>0</v>
      </c>
      <c r="ED150" s="373">
        <v>0</v>
      </c>
      <c r="EE150" s="374">
        <v>0</v>
      </c>
      <c r="EF150" s="373">
        <v>0</v>
      </c>
      <c r="EG150" s="373">
        <v>0</v>
      </c>
      <c r="EH150" s="373">
        <v>0</v>
      </c>
      <c r="EI150" s="373">
        <v>0</v>
      </c>
      <c r="EJ150" s="373">
        <v>0</v>
      </c>
      <c r="EK150" s="375">
        <f t="shared" si="281"/>
        <v>0</v>
      </c>
      <c r="EL150" s="177"/>
      <c r="EM150" s="373">
        <v>0</v>
      </c>
      <c r="EN150" s="373">
        <v>0</v>
      </c>
      <c r="EO150" s="373">
        <v>0</v>
      </c>
      <c r="EP150" s="373">
        <v>0</v>
      </c>
      <c r="EQ150" s="373">
        <v>0</v>
      </c>
      <c r="ER150" s="373">
        <v>0</v>
      </c>
      <c r="ES150" s="374">
        <v>0</v>
      </c>
      <c r="ET150" s="373">
        <v>0</v>
      </c>
      <c r="EU150" s="373">
        <v>0</v>
      </c>
      <c r="EV150" s="373">
        <v>0</v>
      </c>
      <c r="EW150" s="373">
        <v>0</v>
      </c>
      <c r="EX150" s="373">
        <v>0</v>
      </c>
      <c r="EY150" s="375">
        <f t="shared" si="283"/>
        <v>0</v>
      </c>
      <c r="EZ150" s="164">
        <v>0</v>
      </c>
      <c r="FA150" s="185">
        <v>0</v>
      </c>
    </row>
    <row r="151" spans="1:157" ht="18.75" hidden="1" customHeight="1" outlineLevel="1" collapsed="1">
      <c r="A151" s="185" t="s">
        <v>329</v>
      </c>
      <c r="B151" s="774"/>
      <c r="C151" s="176" t="s">
        <v>1015</v>
      </c>
      <c r="D151" s="176">
        <v>60399999</v>
      </c>
      <c r="E151" s="773"/>
      <c r="F151" s="320" t="s">
        <v>651</v>
      </c>
      <c r="G151" s="329"/>
      <c r="H151" s="373"/>
      <c r="I151" s="373"/>
      <c r="J151" s="373"/>
      <c r="K151" s="373"/>
      <c r="L151" s="373"/>
      <c r="M151" s="373"/>
      <c r="N151" s="374"/>
      <c r="O151" s="373"/>
      <c r="P151" s="373"/>
      <c r="Q151" s="373"/>
      <c r="R151" s="373"/>
      <c r="S151" s="377">
        <v>0</v>
      </c>
      <c r="T151" s="375">
        <f t="shared" si="268"/>
        <v>0</v>
      </c>
      <c r="U151" s="776">
        <f t="shared" si="269"/>
        <v>0</v>
      </c>
      <c r="V151" s="775" t="e">
        <f t="shared" si="270"/>
        <v>#DIV/0!</v>
      </c>
      <c r="W151" s="329"/>
      <c r="X151" s="373">
        <v>0</v>
      </c>
      <c r="Y151" s="373">
        <v>0</v>
      </c>
      <c r="Z151" s="373">
        <v>0</v>
      </c>
      <c r="AA151" s="373">
        <v>0</v>
      </c>
      <c r="AB151" s="373">
        <v>0</v>
      </c>
      <c r="AC151" s="373">
        <v>0</v>
      </c>
      <c r="AD151" s="374">
        <v>0</v>
      </c>
      <c r="AE151" s="373">
        <v>0</v>
      </c>
      <c r="AF151" s="373">
        <v>0</v>
      </c>
      <c r="AG151" s="373">
        <v>0</v>
      </c>
      <c r="AH151" s="373">
        <v>0</v>
      </c>
      <c r="AI151" s="373">
        <v>0</v>
      </c>
      <c r="AJ151" s="375">
        <f t="shared" si="271"/>
        <v>0</v>
      </c>
      <c r="AK151" s="329"/>
      <c r="AL151" s="373">
        <v>0</v>
      </c>
      <c r="AM151" s="373">
        <v>0</v>
      </c>
      <c r="AN151" s="373">
        <v>0</v>
      </c>
      <c r="AO151" s="373">
        <v>0</v>
      </c>
      <c r="AP151" s="373">
        <v>0</v>
      </c>
      <c r="AQ151" s="373">
        <v>0</v>
      </c>
      <c r="AR151" s="374">
        <v>0</v>
      </c>
      <c r="AS151" s="373">
        <v>0</v>
      </c>
      <c r="AT151" s="373">
        <v>0</v>
      </c>
      <c r="AU151" s="373">
        <v>0</v>
      </c>
      <c r="AV151" s="373">
        <v>0</v>
      </c>
      <c r="AW151" s="373">
        <v>0</v>
      </c>
      <c r="AX151" s="375">
        <v>200000</v>
      </c>
      <c r="AY151" s="776">
        <f t="shared" si="272"/>
        <v>-200000</v>
      </c>
      <c r="AZ151" s="775" t="e">
        <f t="shared" si="273"/>
        <v>#DIV/0!</v>
      </c>
      <c r="BA151" s="329"/>
      <c r="BB151" s="373">
        <v>0</v>
      </c>
      <c r="BC151" s="373">
        <v>0</v>
      </c>
      <c r="BD151" s="373">
        <v>0</v>
      </c>
      <c r="BE151" s="373">
        <v>0</v>
      </c>
      <c r="BF151" s="373">
        <v>0</v>
      </c>
      <c r="BG151" s="373">
        <v>0</v>
      </c>
      <c r="BH151" s="374">
        <v>0</v>
      </c>
      <c r="BI151" s="373">
        <v>0</v>
      </c>
      <c r="BJ151" s="373">
        <v>0</v>
      </c>
      <c r="BK151" s="373">
        <v>0</v>
      </c>
      <c r="BL151" s="373">
        <v>0</v>
      </c>
      <c r="BM151" s="373">
        <v>0</v>
      </c>
      <c r="BN151" s="375">
        <f t="shared" si="284"/>
        <v>0</v>
      </c>
      <c r="BO151" s="329"/>
      <c r="BP151" s="373">
        <v>0</v>
      </c>
      <c r="BQ151" s="373">
        <v>0</v>
      </c>
      <c r="BR151" s="373">
        <v>0</v>
      </c>
      <c r="BS151" s="373">
        <v>0</v>
      </c>
      <c r="BT151" s="373">
        <v>0</v>
      </c>
      <c r="BU151" s="373">
        <v>0</v>
      </c>
      <c r="BV151" s="374">
        <v>0</v>
      </c>
      <c r="BW151" s="373">
        <v>0</v>
      </c>
      <c r="BX151" s="373">
        <v>0</v>
      </c>
      <c r="BY151" s="373">
        <v>0</v>
      </c>
      <c r="BZ151" s="373">
        <v>0</v>
      </c>
      <c r="CA151" s="373">
        <v>0</v>
      </c>
      <c r="CB151" s="402">
        <f t="shared" si="282"/>
        <v>0</v>
      </c>
      <c r="CC151" s="776">
        <f t="shared" si="274"/>
        <v>0</v>
      </c>
      <c r="CD151" s="775" t="str">
        <f t="shared" si="275"/>
        <v>N/A</v>
      </c>
      <c r="CE151" s="772"/>
      <c r="CF151" s="373">
        <v>0</v>
      </c>
      <c r="CG151" s="373">
        <v>0</v>
      </c>
      <c r="CH151" s="373">
        <v>0</v>
      </c>
      <c r="CI151" s="373">
        <v>0</v>
      </c>
      <c r="CJ151" s="373">
        <v>0</v>
      </c>
      <c r="CK151" s="373">
        <v>0</v>
      </c>
      <c r="CL151" s="374">
        <v>0</v>
      </c>
      <c r="CM151" s="373">
        <v>0</v>
      </c>
      <c r="CN151" s="373">
        <v>0</v>
      </c>
      <c r="CO151" s="373">
        <v>0</v>
      </c>
      <c r="CP151" s="373">
        <v>0</v>
      </c>
      <c r="CQ151" s="373">
        <v>0</v>
      </c>
      <c r="CR151" s="374">
        <v>0</v>
      </c>
      <c r="CS151" s="375">
        <f t="shared" si="276"/>
        <v>0</v>
      </c>
      <c r="CT151" s="378">
        <f t="shared" si="277"/>
        <v>0</v>
      </c>
      <c r="CU151" s="165" t="str">
        <f t="shared" si="278"/>
        <v>N/A</v>
      </c>
      <c r="CV151" s="329"/>
      <c r="CW151" s="373">
        <v>0</v>
      </c>
      <c r="CX151" s="373">
        <v>0</v>
      </c>
      <c r="CY151" s="373">
        <v>0</v>
      </c>
      <c r="CZ151" s="373">
        <v>0</v>
      </c>
      <c r="DA151" s="373">
        <v>0</v>
      </c>
      <c r="DB151" s="373">
        <v>0</v>
      </c>
      <c r="DC151" s="374">
        <v>0</v>
      </c>
      <c r="DD151" s="373">
        <v>0</v>
      </c>
      <c r="DE151" s="373">
        <v>0</v>
      </c>
      <c r="DF151" s="373">
        <v>0</v>
      </c>
      <c r="DG151" s="373">
        <v>0</v>
      </c>
      <c r="DH151" s="373">
        <v>0</v>
      </c>
      <c r="DI151" s="375">
        <f t="shared" si="279"/>
        <v>0</v>
      </c>
      <c r="DJ151" s="329"/>
      <c r="DK151" s="373">
        <v>0</v>
      </c>
      <c r="DL151" s="373">
        <v>0</v>
      </c>
      <c r="DM151" s="373">
        <v>0</v>
      </c>
      <c r="DN151" s="373">
        <v>0</v>
      </c>
      <c r="DO151" s="373">
        <v>0</v>
      </c>
      <c r="DP151" s="373">
        <v>0</v>
      </c>
      <c r="DQ151" s="374">
        <v>0</v>
      </c>
      <c r="DR151" s="373">
        <v>0</v>
      </c>
      <c r="DS151" s="373">
        <v>0</v>
      </c>
      <c r="DT151" s="373">
        <v>0</v>
      </c>
      <c r="DU151" s="373">
        <v>0</v>
      </c>
      <c r="DV151" s="373">
        <v>0</v>
      </c>
      <c r="DW151" s="375">
        <f t="shared" si="280"/>
        <v>0</v>
      </c>
      <c r="DY151" s="373">
        <v>0</v>
      </c>
      <c r="DZ151" s="373">
        <v>0</v>
      </c>
      <c r="EA151" s="373">
        <v>0</v>
      </c>
      <c r="EB151" s="373">
        <v>0</v>
      </c>
      <c r="EC151" s="373">
        <v>0</v>
      </c>
      <c r="ED151" s="373">
        <v>0</v>
      </c>
      <c r="EE151" s="374">
        <v>0</v>
      </c>
      <c r="EF151" s="373">
        <v>0</v>
      </c>
      <c r="EG151" s="373">
        <v>0</v>
      </c>
      <c r="EH151" s="373">
        <v>0</v>
      </c>
      <c r="EI151" s="373">
        <v>0</v>
      </c>
      <c r="EJ151" s="373">
        <v>0</v>
      </c>
      <c r="EK151" s="375">
        <f t="shared" si="281"/>
        <v>0</v>
      </c>
      <c r="EL151" s="177"/>
      <c r="EM151" s="373">
        <v>0</v>
      </c>
      <c r="EN151" s="373">
        <v>0</v>
      </c>
      <c r="EO151" s="373">
        <v>0</v>
      </c>
      <c r="EP151" s="373">
        <v>0</v>
      </c>
      <c r="EQ151" s="373">
        <v>0</v>
      </c>
      <c r="ER151" s="373">
        <v>0</v>
      </c>
      <c r="ES151" s="374">
        <v>0</v>
      </c>
      <c r="ET151" s="373">
        <v>0</v>
      </c>
      <c r="EU151" s="373">
        <v>0</v>
      </c>
      <c r="EV151" s="373">
        <v>0</v>
      </c>
      <c r="EW151" s="373">
        <v>0</v>
      </c>
      <c r="EX151" s="373">
        <v>0</v>
      </c>
      <c r="EY151" s="375">
        <f t="shared" si="283"/>
        <v>0</v>
      </c>
      <c r="EZ151" s="164">
        <v>0</v>
      </c>
      <c r="FA151" s="185">
        <v>0</v>
      </c>
    </row>
    <row r="152" spans="1:157" ht="18.75" customHeight="1" collapsed="1">
      <c r="A152" s="185" t="s">
        <v>329</v>
      </c>
      <c r="B152" s="774"/>
      <c r="C152" s="176" t="s">
        <v>1014</v>
      </c>
      <c r="D152" s="176">
        <v>60401000</v>
      </c>
      <c r="E152" s="773"/>
      <c r="F152" s="320" t="s">
        <v>352</v>
      </c>
      <c r="G152" s="329"/>
      <c r="H152" s="373"/>
      <c r="I152" s="373"/>
      <c r="J152" s="373"/>
      <c r="K152" s="373"/>
      <c r="L152" s="373"/>
      <c r="M152" s="373"/>
      <c r="N152" s="374"/>
      <c r="O152" s="373"/>
      <c r="P152" s="373"/>
      <c r="Q152" s="373"/>
      <c r="R152" s="373"/>
      <c r="S152" s="377">
        <v>2640000</v>
      </c>
      <c r="T152" s="375">
        <f t="shared" si="268"/>
        <v>2640000</v>
      </c>
      <c r="U152" s="776">
        <f t="shared" si="269"/>
        <v>0</v>
      </c>
      <c r="V152" s="775">
        <f t="shared" si="270"/>
        <v>0</v>
      </c>
      <c r="W152" s="329"/>
      <c r="X152" s="373">
        <v>220000</v>
      </c>
      <c r="Y152" s="373">
        <v>220000</v>
      </c>
      <c r="Z152" s="373">
        <v>220000</v>
      </c>
      <c r="AA152" s="373">
        <v>220000</v>
      </c>
      <c r="AB152" s="373">
        <v>220000</v>
      </c>
      <c r="AC152" s="373">
        <v>220000</v>
      </c>
      <c r="AD152" s="374">
        <v>220000</v>
      </c>
      <c r="AE152" s="373">
        <v>220000</v>
      </c>
      <c r="AF152" s="373">
        <v>220000</v>
      </c>
      <c r="AG152" s="373">
        <v>220000</v>
      </c>
      <c r="AH152" s="373">
        <v>220000</v>
      </c>
      <c r="AI152" s="373">
        <v>220000</v>
      </c>
      <c r="AJ152" s="375">
        <f t="shared" si="271"/>
        <v>2640000</v>
      </c>
      <c r="AK152" s="329"/>
      <c r="AL152" s="373">
        <v>220000</v>
      </c>
      <c r="AM152" s="373">
        <v>220000</v>
      </c>
      <c r="AN152" s="373">
        <v>220000</v>
      </c>
      <c r="AO152" s="373">
        <v>220000</v>
      </c>
      <c r="AP152" s="373">
        <v>220000</v>
      </c>
      <c r="AQ152" s="373">
        <v>220000</v>
      </c>
      <c r="AR152" s="374">
        <v>220000</v>
      </c>
      <c r="AS152" s="373">
        <v>220000</v>
      </c>
      <c r="AT152" s="373">
        <v>220000</v>
      </c>
      <c r="AU152" s="373">
        <v>220000</v>
      </c>
      <c r="AV152" s="373">
        <v>220000</v>
      </c>
      <c r="AW152" s="373">
        <v>220000</v>
      </c>
      <c r="AX152" s="375">
        <v>2640000</v>
      </c>
      <c r="AY152" s="776">
        <f t="shared" si="272"/>
        <v>0</v>
      </c>
      <c r="AZ152" s="775">
        <f t="shared" si="273"/>
        <v>0</v>
      </c>
      <c r="BA152" s="329"/>
      <c r="BB152" s="373">
        <v>220000</v>
      </c>
      <c r="BC152" s="373">
        <v>220000</v>
      </c>
      <c r="BD152" s="373">
        <v>220000</v>
      </c>
      <c r="BE152" s="373">
        <v>220000</v>
      </c>
      <c r="BF152" s="373">
        <v>220000</v>
      </c>
      <c r="BG152" s="373">
        <v>220000</v>
      </c>
      <c r="BH152" s="374">
        <v>220000</v>
      </c>
      <c r="BI152" s="373">
        <v>220000</v>
      </c>
      <c r="BJ152" s="373">
        <v>220000</v>
      </c>
      <c r="BK152" s="373">
        <v>220000</v>
      </c>
      <c r="BL152" s="373">
        <v>220000</v>
      </c>
      <c r="BM152" s="373">
        <v>220000</v>
      </c>
      <c r="BN152" s="375">
        <v>2640000</v>
      </c>
      <c r="BO152" s="329"/>
      <c r="BP152" s="373">
        <v>220000</v>
      </c>
      <c r="BQ152" s="373">
        <v>220000</v>
      </c>
      <c r="BR152" s="373">
        <v>220000</v>
      </c>
      <c r="BS152" s="373">
        <v>220000</v>
      </c>
      <c r="BT152" s="373">
        <v>220000</v>
      </c>
      <c r="BU152" s="373">
        <v>220000</v>
      </c>
      <c r="BV152" s="374">
        <v>220000</v>
      </c>
      <c r="BW152" s="373">
        <v>220000</v>
      </c>
      <c r="BX152" s="373">
        <v>220000</v>
      </c>
      <c r="BY152" s="373">
        <v>220000</v>
      </c>
      <c r="BZ152" s="373">
        <v>220000</v>
      </c>
      <c r="CA152" s="373">
        <v>220000</v>
      </c>
      <c r="CB152" s="402">
        <f t="shared" si="282"/>
        <v>2640000</v>
      </c>
      <c r="CC152" s="776">
        <f t="shared" si="274"/>
        <v>0</v>
      </c>
      <c r="CD152" s="775">
        <f t="shared" si="275"/>
        <v>0</v>
      </c>
      <c r="CE152" s="772"/>
      <c r="CF152" s="373">
        <v>220000</v>
      </c>
      <c r="CG152" s="373">
        <v>220000</v>
      </c>
      <c r="CH152" s="373">
        <v>220000</v>
      </c>
      <c r="CI152" s="373">
        <v>220000</v>
      </c>
      <c r="CJ152" s="373">
        <v>220000</v>
      </c>
      <c r="CK152" s="373">
        <v>220000</v>
      </c>
      <c r="CL152" s="374">
        <v>220000</v>
      </c>
      <c r="CM152" s="373">
        <v>220000</v>
      </c>
      <c r="CN152" s="373">
        <v>220000</v>
      </c>
      <c r="CO152" s="373">
        <v>220000</v>
      </c>
      <c r="CP152" s="373">
        <v>220000</v>
      </c>
      <c r="CQ152" s="373">
        <v>220000</v>
      </c>
      <c r="CR152" s="374">
        <v>0</v>
      </c>
      <c r="CS152" s="375">
        <f t="shared" si="276"/>
        <v>2640000</v>
      </c>
      <c r="CT152" s="378">
        <f t="shared" si="277"/>
        <v>0</v>
      </c>
      <c r="CU152" s="165">
        <f t="shared" si="278"/>
        <v>0</v>
      </c>
      <c r="CV152" s="329"/>
      <c r="CW152" s="373">
        <v>200000</v>
      </c>
      <c r="CX152" s="373">
        <v>200000</v>
      </c>
      <c r="CY152" s="373">
        <v>200000</v>
      </c>
      <c r="CZ152" s="373">
        <v>200000</v>
      </c>
      <c r="DA152" s="373">
        <v>200000</v>
      </c>
      <c r="DB152" s="373">
        <v>200000</v>
      </c>
      <c r="DC152" s="374">
        <v>220000</v>
      </c>
      <c r="DD152" s="373">
        <v>20166.740000000002</v>
      </c>
      <c r="DE152" s="373">
        <v>419833.26</v>
      </c>
      <c r="DF152" s="373">
        <v>220000</v>
      </c>
      <c r="DG152" s="373">
        <v>220000</v>
      </c>
      <c r="DH152" s="373">
        <v>220000</v>
      </c>
      <c r="DI152" s="375">
        <f t="shared" si="279"/>
        <v>2520000</v>
      </c>
      <c r="DJ152" s="329"/>
      <c r="DK152" s="373">
        <v>200000</v>
      </c>
      <c r="DL152" s="373">
        <v>200000</v>
      </c>
      <c r="DM152" s="373">
        <v>200000</v>
      </c>
      <c r="DN152" s="373">
        <v>200000</v>
      </c>
      <c r="DO152" s="373">
        <v>200000</v>
      </c>
      <c r="DP152" s="373">
        <v>200000</v>
      </c>
      <c r="DQ152" s="374">
        <v>200000</v>
      </c>
      <c r="DR152" s="373">
        <v>200000</v>
      </c>
      <c r="DS152" s="373">
        <v>200000</v>
      </c>
      <c r="DT152" s="373">
        <v>200000</v>
      </c>
      <c r="DU152" s="373">
        <v>200000</v>
      </c>
      <c r="DV152" s="373">
        <v>200000</v>
      </c>
      <c r="DW152" s="375">
        <f t="shared" si="280"/>
        <v>2400000</v>
      </c>
      <c r="DY152" s="373">
        <v>200000</v>
      </c>
      <c r="DZ152" s="373">
        <v>200000</v>
      </c>
      <c r="EA152" s="373">
        <v>200000</v>
      </c>
      <c r="EB152" s="373">
        <v>200000</v>
      </c>
      <c r="EC152" s="373">
        <v>200000</v>
      </c>
      <c r="ED152" s="373">
        <v>200000</v>
      </c>
      <c r="EE152" s="374">
        <v>200000</v>
      </c>
      <c r="EF152" s="373">
        <v>200000</v>
      </c>
      <c r="EG152" s="373">
        <v>200000</v>
      </c>
      <c r="EH152" s="373">
        <v>200000</v>
      </c>
      <c r="EI152" s="373">
        <v>200000</v>
      </c>
      <c r="EJ152" s="373">
        <v>200000</v>
      </c>
      <c r="EK152" s="375">
        <f t="shared" si="281"/>
        <v>2400000</v>
      </c>
      <c r="EL152" s="177"/>
      <c r="EM152" s="373">
        <v>200000</v>
      </c>
      <c r="EN152" s="373">
        <v>200000</v>
      </c>
      <c r="EO152" s="373">
        <v>200000</v>
      </c>
      <c r="EP152" s="373">
        <v>200000</v>
      </c>
      <c r="EQ152" s="373">
        <v>200000</v>
      </c>
      <c r="ER152" s="373">
        <v>200000</v>
      </c>
      <c r="ES152" s="374">
        <v>200000</v>
      </c>
      <c r="ET152" s="373">
        <v>200000</v>
      </c>
      <c r="EU152" s="373">
        <v>200000</v>
      </c>
      <c r="EV152" s="373">
        <v>200000</v>
      </c>
      <c r="EW152" s="373">
        <v>200000</v>
      </c>
      <c r="EX152" s="373">
        <v>200000</v>
      </c>
      <c r="EY152" s="375">
        <f t="shared" si="283"/>
        <v>2400000</v>
      </c>
      <c r="EZ152" s="164">
        <v>0</v>
      </c>
      <c r="FA152" s="185">
        <v>0</v>
      </c>
    </row>
    <row r="153" spans="1:157" ht="18.75" customHeight="1">
      <c r="A153" s="185" t="s">
        <v>329</v>
      </c>
      <c r="B153" s="774"/>
      <c r="C153" s="176" t="s">
        <v>1013</v>
      </c>
      <c r="D153" s="176">
        <v>60402000</v>
      </c>
      <c r="E153" s="773"/>
      <c r="F153" s="320" t="s">
        <v>351</v>
      </c>
      <c r="G153" s="329"/>
      <c r="H153" s="373"/>
      <c r="I153" s="373"/>
      <c r="J153" s="373"/>
      <c r="K153" s="373"/>
      <c r="L153" s="373"/>
      <c r="M153" s="373"/>
      <c r="N153" s="374"/>
      <c r="O153" s="373"/>
      <c r="P153" s="373"/>
      <c r="Q153" s="373"/>
      <c r="R153" s="373"/>
      <c r="S153" s="377">
        <v>105000</v>
      </c>
      <c r="T153" s="375">
        <f t="shared" si="268"/>
        <v>105000</v>
      </c>
      <c r="U153" s="776">
        <f t="shared" si="269"/>
        <v>-45322.080000000002</v>
      </c>
      <c r="V153" s="775">
        <f t="shared" si="270"/>
        <v>-0.75944469914501045</v>
      </c>
      <c r="W153" s="329"/>
      <c r="X153" s="373">
        <v>0</v>
      </c>
      <c r="Y153" s="373">
        <v>9512.4</v>
      </c>
      <c r="Z153" s="373">
        <v>0</v>
      </c>
      <c r="AA153" s="373">
        <v>0</v>
      </c>
      <c r="AB153" s="373">
        <v>4011.14</v>
      </c>
      <c r="AC153" s="373">
        <v>0</v>
      </c>
      <c r="AD153" s="374">
        <v>6619.28</v>
      </c>
      <c r="AE153" s="373">
        <v>2187</v>
      </c>
      <c r="AF153" s="373">
        <v>29129.599999999999</v>
      </c>
      <c r="AG153" s="373">
        <v>2647.5</v>
      </c>
      <c r="AH153" s="373">
        <v>0</v>
      </c>
      <c r="AI153" s="373">
        <v>5571</v>
      </c>
      <c r="AJ153" s="375">
        <f t="shared" si="271"/>
        <v>59677.919999999998</v>
      </c>
      <c r="AK153" s="329"/>
      <c r="AL153" s="373">
        <v>0</v>
      </c>
      <c r="AM153" s="373">
        <v>0</v>
      </c>
      <c r="AN153" s="373">
        <v>0</v>
      </c>
      <c r="AO153" s="373">
        <v>0</v>
      </c>
      <c r="AP153" s="373">
        <v>0</v>
      </c>
      <c r="AQ153" s="373">
        <v>0</v>
      </c>
      <c r="AR153" s="374">
        <v>0</v>
      </c>
      <c r="AS153" s="373">
        <v>0</v>
      </c>
      <c r="AT153" s="373">
        <v>0</v>
      </c>
      <c r="AU153" s="373">
        <v>0</v>
      </c>
      <c r="AV153" s="373">
        <v>0</v>
      </c>
      <c r="AW153" s="373">
        <v>86899.549999999988</v>
      </c>
      <c r="AX153" s="375">
        <v>86900</v>
      </c>
      <c r="AY153" s="776">
        <f t="shared" si="272"/>
        <v>-0.45000000001164153</v>
      </c>
      <c r="AZ153" s="775">
        <f t="shared" si="273"/>
        <v>-5.178392753606222E-6</v>
      </c>
      <c r="BA153" s="329"/>
      <c r="BB153" s="373">
        <v>0</v>
      </c>
      <c r="BC153" s="373">
        <v>11392.5</v>
      </c>
      <c r="BD153" s="373">
        <v>7135.35</v>
      </c>
      <c r="BE153" s="373">
        <v>0</v>
      </c>
      <c r="BF153" s="373">
        <v>0</v>
      </c>
      <c r="BG153" s="373">
        <v>2954.6</v>
      </c>
      <c r="BH153" s="374">
        <v>9766.5</v>
      </c>
      <c r="BI153" s="373">
        <v>9834.5</v>
      </c>
      <c r="BJ153" s="373">
        <v>0</v>
      </c>
      <c r="BK153" s="373">
        <v>6913.6</v>
      </c>
      <c r="BL153" s="373">
        <v>0</v>
      </c>
      <c r="BM153" s="373">
        <v>38902.5</v>
      </c>
      <c r="BN153" s="375">
        <v>86899.549999999988</v>
      </c>
      <c r="BO153" s="329"/>
      <c r="BP153" s="373">
        <v>0</v>
      </c>
      <c r="BQ153" s="373">
        <v>0</v>
      </c>
      <c r="BR153" s="373">
        <v>0</v>
      </c>
      <c r="BS153" s="373">
        <v>0</v>
      </c>
      <c r="BT153" s="373">
        <v>0</v>
      </c>
      <c r="BU153" s="373">
        <v>0</v>
      </c>
      <c r="BV153" s="374">
        <v>0</v>
      </c>
      <c r="BW153" s="373">
        <v>0</v>
      </c>
      <c r="BX153" s="373">
        <v>200000</v>
      </c>
      <c r="BY153" s="373">
        <v>0</v>
      </c>
      <c r="BZ153" s="373">
        <v>0</v>
      </c>
      <c r="CA153" s="373">
        <v>0</v>
      </c>
      <c r="CB153" s="402">
        <f t="shared" si="282"/>
        <v>200000</v>
      </c>
      <c r="CC153" s="776">
        <f t="shared" si="274"/>
        <v>113100.45000000001</v>
      </c>
      <c r="CD153" s="775">
        <f t="shared" si="275"/>
        <v>0.5655022500000001</v>
      </c>
      <c r="CE153" s="772"/>
      <c r="CF153" s="373">
        <v>16873.8</v>
      </c>
      <c r="CG153" s="373">
        <v>2330</v>
      </c>
      <c r="CH153" s="373">
        <v>17300.5</v>
      </c>
      <c r="CI153" s="373">
        <v>0</v>
      </c>
      <c r="CJ153" s="373">
        <v>21281.25</v>
      </c>
      <c r="CK153" s="373">
        <v>0</v>
      </c>
      <c r="CL153" s="374">
        <v>31813</v>
      </c>
      <c r="CM153" s="373">
        <v>4444</v>
      </c>
      <c r="CN153" s="373">
        <v>1444.4</v>
      </c>
      <c r="CO153" s="373">
        <v>228276</v>
      </c>
      <c r="CP153" s="373">
        <v>13777.2</v>
      </c>
      <c r="CQ153" s="373">
        <v>0</v>
      </c>
      <c r="CR153" s="374">
        <v>0</v>
      </c>
      <c r="CS153" s="375">
        <f t="shared" si="276"/>
        <v>337540.15</v>
      </c>
      <c r="CT153" s="378">
        <f t="shared" si="277"/>
        <v>250640.60000000003</v>
      </c>
      <c r="CU153" s="165">
        <f t="shared" si="278"/>
        <v>0.74255047880970615</v>
      </c>
      <c r="CV153" s="329"/>
      <c r="CW153" s="373">
        <v>8977.7199999999993</v>
      </c>
      <c r="CX153" s="373">
        <v>2473</v>
      </c>
      <c r="CY153" s="373">
        <v>8914.75</v>
      </c>
      <c r="CZ153" s="373">
        <v>12130.42</v>
      </c>
      <c r="DA153" s="373">
        <v>2473</v>
      </c>
      <c r="DB153" s="373">
        <v>8781.5</v>
      </c>
      <c r="DC153" s="374">
        <v>2473</v>
      </c>
      <c r="DD153" s="373">
        <v>2473</v>
      </c>
      <c r="DE153" s="373">
        <v>79320</v>
      </c>
      <c r="DF153" s="373">
        <v>48717</v>
      </c>
      <c r="DG153" s="373">
        <v>7153</v>
      </c>
      <c r="DH153" s="373">
        <v>162922.6</v>
      </c>
      <c r="DI153" s="375">
        <f t="shared" si="279"/>
        <v>346808.99</v>
      </c>
      <c r="DJ153" s="329"/>
      <c r="DK153" s="373">
        <v>47240.08</v>
      </c>
      <c r="DL153" s="373">
        <v>2045.5</v>
      </c>
      <c r="DM153" s="373">
        <v>5995.5</v>
      </c>
      <c r="DN153" s="373">
        <v>9909.15</v>
      </c>
      <c r="DO153" s="373">
        <v>0</v>
      </c>
      <c r="DP153" s="373">
        <v>21684.61</v>
      </c>
      <c r="DQ153" s="374">
        <v>0</v>
      </c>
      <c r="DR153" s="373">
        <v>0</v>
      </c>
      <c r="DS153" s="373">
        <v>0</v>
      </c>
      <c r="DT153" s="373">
        <v>0</v>
      </c>
      <c r="DU153" s="373">
        <v>2250</v>
      </c>
      <c r="DV153" s="373">
        <v>0</v>
      </c>
      <c r="DW153" s="375">
        <f t="shared" si="280"/>
        <v>89124.84</v>
      </c>
      <c r="DY153" s="373">
        <v>30426.73</v>
      </c>
      <c r="DZ153" s="373">
        <v>14364</v>
      </c>
      <c r="EA153" s="373">
        <v>53644.5</v>
      </c>
      <c r="EB153" s="373">
        <v>41389.35</v>
      </c>
      <c r="EC153" s="373">
        <v>21078</v>
      </c>
      <c r="ED153" s="373">
        <v>5331.4</v>
      </c>
      <c r="EE153" s="374">
        <v>10806.6</v>
      </c>
      <c r="EF153" s="373">
        <v>121453.2</v>
      </c>
      <c r="EG153" s="373">
        <v>42224.800000000003</v>
      </c>
      <c r="EH153" s="373">
        <v>0</v>
      </c>
      <c r="EI153" s="373">
        <v>2603.6</v>
      </c>
      <c r="EJ153" s="373">
        <v>6786</v>
      </c>
      <c r="EK153" s="375">
        <f t="shared" si="281"/>
        <v>350108.17999999993</v>
      </c>
      <c r="EL153" s="177"/>
      <c r="EM153" s="373">
        <v>25491.46</v>
      </c>
      <c r="EN153" s="373">
        <v>6787.8</v>
      </c>
      <c r="EO153" s="373">
        <v>18551.599999999999</v>
      </c>
      <c r="EP153" s="373">
        <v>116650</v>
      </c>
      <c r="EQ153" s="373">
        <v>79061.7</v>
      </c>
      <c r="ER153" s="373">
        <v>34048</v>
      </c>
      <c r="ES153" s="374">
        <v>4876</v>
      </c>
      <c r="ET153" s="373">
        <v>11165.7</v>
      </c>
      <c r="EU153" s="373">
        <v>18473.5</v>
      </c>
      <c r="EV153" s="373">
        <v>28536.6</v>
      </c>
      <c r="EW153" s="373">
        <v>28392</v>
      </c>
      <c r="EX153" s="373">
        <v>7122</v>
      </c>
      <c r="EY153" s="375">
        <f t="shared" si="283"/>
        <v>379156.36</v>
      </c>
      <c r="EZ153" s="164">
        <v>0</v>
      </c>
      <c r="FA153" s="185">
        <v>0</v>
      </c>
    </row>
    <row r="154" spans="1:157" ht="18.75" customHeight="1">
      <c r="A154" s="955" t="s">
        <v>329</v>
      </c>
      <c r="B154" s="774"/>
      <c r="C154" s="176" t="s">
        <v>1012</v>
      </c>
      <c r="D154" s="176">
        <v>60403000</v>
      </c>
      <c r="E154" s="773"/>
      <c r="F154" s="320" t="s">
        <v>353</v>
      </c>
      <c r="G154" s="329"/>
      <c r="H154" s="373"/>
      <c r="I154" s="373"/>
      <c r="J154" s="373"/>
      <c r="K154" s="373"/>
      <c r="L154" s="373"/>
      <c r="M154" s="373"/>
      <c r="N154" s="374"/>
      <c r="O154" s="373"/>
      <c r="P154" s="373"/>
      <c r="Q154" s="373"/>
      <c r="R154" s="373"/>
      <c r="S154" s="377">
        <v>200000</v>
      </c>
      <c r="T154" s="375">
        <f t="shared" si="268"/>
        <v>200000</v>
      </c>
      <c r="U154" s="776">
        <f t="shared" si="269"/>
        <v>-112345</v>
      </c>
      <c r="V154" s="775">
        <f t="shared" si="270"/>
        <v>-1.2816724659175176</v>
      </c>
      <c r="W154" s="329"/>
      <c r="X154" s="373">
        <v>42055</v>
      </c>
      <c r="Y154" s="373">
        <v>0</v>
      </c>
      <c r="Z154" s="373">
        <v>0</v>
      </c>
      <c r="AA154" s="373">
        <v>0</v>
      </c>
      <c r="AB154" s="373">
        <v>0</v>
      </c>
      <c r="AC154" s="373">
        <v>0</v>
      </c>
      <c r="AD154" s="374">
        <v>0</v>
      </c>
      <c r="AE154" s="373">
        <v>0</v>
      </c>
      <c r="AF154" s="373">
        <v>-400</v>
      </c>
      <c r="AG154" s="373">
        <v>-1600</v>
      </c>
      <c r="AH154" s="373">
        <v>1600</v>
      </c>
      <c r="AI154" s="373">
        <v>46000</v>
      </c>
      <c r="AJ154" s="375">
        <f t="shared" si="271"/>
        <v>87655</v>
      </c>
      <c r="AK154" s="329"/>
      <c r="AL154" s="373">
        <v>0</v>
      </c>
      <c r="AM154" s="373">
        <v>0</v>
      </c>
      <c r="AN154" s="373">
        <v>45000</v>
      </c>
      <c r="AO154" s="373">
        <v>0</v>
      </c>
      <c r="AP154" s="373">
        <v>0</v>
      </c>
      <c r="AQ154" s="373">
        <v>0</v>
      </c>
      <c r="AR154" s="374">
        <v>0</v>
      </c>
      <c r="AS154" s="373">
        <v>0</v>
      </c>
      <c r="AT154" s="373">
        <v>0</v>
      </c>
      <c r="AU154" s="373">
        <v>0</v>
      </c>
      <c r="AV154" s="373">
        <v>0</v>
      </c>
      <c r="AW154" s="373">
        <v>0</v>
      </c>
      <c r="AX154" s="375">
        <v>45000</v>
      </c>
      <c r="AY154" s="776">
        <f t="shared" si="272"/>
        <v>6300</v>
      </c>
      <c r="AZ154" s="775">
        <f t="shared" si="273"/>
        <v>0.12280701754385964</v>
      </c>
      <c r="BA154" s="329"/>
      <c r="BB154" s="373">
        <v>2000</v>
      </c>
      <c r="BC154" s="373">
        <v>0</v>
      </c>
      <c r="BD154" s="373">
        <v>55250</v>
      </c>
      <c r="BE154" s="373">
        <v>70750</v>
      </c>
      <c r="BF154" s="373">
        <v>5000</v>
      </c>
      <c r="BG154" s="373">
        <v>0</v>
      </c>
      <c r="BH154" s="374">
        <v>8400</v>
      </c>
      <c r="BI154" s="373">
        <v>0</v>
      </c>
      <c r="BJ154" s="373">
        <v>0</v>
      </c>
      <c r="BK154" s="373">
        <v>-90100</v>
      </c>
      <c r="BL154" s="373">
        <v>0</v>
      </c>
      <c r="BM154" s="373">
        <v>0</v>
      </c>
      <c r="BN154" s="375">
        <v>51300</v>
      </c>
      <c r="BO154" s="329"/>
      <c r="BP154" s="373">
        <v>0</v>
      </c>
      <c r="BQ154" s="373">
        <v>0</v>
      </c>
      <c r="BR154" s="373">
        <v>12500</v>
      </c>
      <c r="BS154" s="373">
        <v>0</v>
      </c>
      <c r="BT154" s="373">
        <v>0</v>
      </c>
      <c r="BU154" s="373">
        <v>12500</v>
      </c>
      <c r="BV154" s="374">
        <v>0</v>
      </c>
      <c r="BW154" s="373">
        <v>0</v>
      </c>
      <c r="BX154" s="373">
        <v>12500</v>
      </c>
      <c r="BY154" s="373">
        <v>0</v>
      </c>
      <c r="BZ154" s="373">
        <v>0</v>
      </c>
      <c r="CA154" s="373">
        <v>12500</v>
      </c>
      <c r="CB154" s="402">
        <f t="shared" si="282"/>
        <v>50000</v>
      </c>
      <c r="CC154" s="776">
        <f t="shared" si="274"/>
        <v>-1300</v>
      </c>
      <c r="CD154" s="775">
        <f t="shared" si="275"/>
        <v>-2.5999999999999999E-2</v>
      </c>
      <c r="CE154" s="772"/>
      <c r="CF154" s="373">
        <v>83050</v>
      </c>
      <c r="CG154" s="373">
        <v>6000</v>
      </c>
      <c r="CH154" s="373">
        <v>2400</v>
      </c>
      <c r="CI154" s="373">
        <v>58524</v>
      </c>
      <c r="CJ154" s="373">
        <v>144350</v>
      </c>
      <c r="CK154" s="373">
        <v>278600</v>
      </c>
      <c r="CL154" s="374">
        <v>73936</v>
      </c>
      <c r="CM154" s="373">
        <v>-265400</v>
      </c>
      <c r="CN154" s="373">
        <v>18300</v>
      </c>
      <c r="CO154" s="373">
        <v>5660</v>
      </c>
      <c r="CP154" s="373">
        <v>49200</v>
      </c>
      <c r="CQ154" s="373">
        <v>242600</v>
      </c>
      <c r="CR154" s="374">
        <v>0</v>
      </c>
      <c r="CS154" s="375">
        <f t="shared" si="276"/>
        <v>697220</v>
      </c>
      <c r="CT154" s="378">
        <f t="shared" si="277"/>
        <v>645920</v>
      </c>
      <c r="CU154" s="165">
        <f t="shared" si="278"/>
        <v>0.92642207624566131</v>
      </c>
      <c r="CV154" s="329"/>
      <c r="CW154" s="373">
        <v>0</v>
      </c>
      <c r="CX154" s="373">
        <v>0</v>
      </c>
      <c r="CY154" s="373">
        <v>0</v>
      </c>
      <c r="CZ154" s="373">
        <v>0</v>
      </c>
      <c r="DA154" s="373">
        <v>0</v>
      </c>
      <c r="DB154" s="373">
        <v>0</v>
      </c>
      <c r="DC154" s="374">
        <v>0</v>
      </c>
      <c r="DD154" s="373">
        <v>11600</v>
      </c>
      <c r="DE154" s="373">
        <v>170050</v>
      </c>
      <c r="DF154" s="373">
        <v>75750</v>
      </c>
      <c r="DG154" s="373">
        <v>-24050</v>
      </c>
      <c r="DH154" s="373">
        <v>340450</v>
      </c>
      <c r="DI154" s="375">
        <f t="shared" si="279"/>
        <v>573800</v>
      </c>
      <c r="DJ154" s="329"/>
      <c r="DK154" s="373">
        <v>381760.06</v>
      </c>
      <c r="DL154" s="373">
        <v>0</v>
      </c>
      <c r="DM154" s="373">
        <v>2250</v>
      </c>
      <c r="DN154" s="373">
        <v>69000</v>
      </c>
      <c r="DO154" s="373">
        <v>0</v>
      </c>
      <c r="DP154" s="373">
        <v>0</v>
      </c>
      <c r="DQ154" s="374">
        <v>1760</v>
      </c>
      <c r="DR154" s="373">
        <v>0</v>
      </c>
      <c r="DS154" s="373">
        <v>0</v>
      </c>
      <c r="DT154" s="373">
        <v>0</v>
      </c>
      <c r="DU154" s="373">
        <v>0</v>
      </c>
      <c r="DV154" s="373">
        <v>0</v>
      </c>
      <c r="DW154" s="375">
        <f t="shared" si="280"/>
        <v>454770.06</v>
      </c>
      <c r="DY154" s="373">
        <v>0</v>
      </c>
      <c r="DZ154" s="373">
        <v>0</v>
      </c>
      <c r="EA154" s="373">
        <v>0</v>
      </c>
      <c r="EB154" s="373">
        <v>0</v>
      </c>
      <c r="EC154" s="373">
        <v>0</v>
      </c>
      <c r="ED154" s="373">
        <v>0</v>
      </c>
      <c r="EE154" s="374">
        <v>0</v>
      </c>
      <c r="EF154" s="373">
        <v>0</v>
      </c>
      <c r="EG154" s="373">
        <v>0</v>
      </c>
      <c r="EH154" s="373">
        <v>0</v>
      </c>
      <c r="EI154" s="373">
        <v>0</v>
      </c>
      <c r="EJ154" s="373">
        <v>0</v>
      </c>
      <c r="EK154" s="375">
        <f t="shared" si="281"/>
        <v>0</v>
      </c>
      <c r="EL154" s="177"/>
      <c r="EM154" s="373">
        <v>0</v>
      </c>
      <c r="EN154" s="373">
        <v>0</v>
      </c>
      <c r="EO154" s="373">
        <v>0</v>
      </c>
      <c r="EP154" s="373">
        <v>0</v>
      </c>
      <c r="EQ154" s="373">
        <v>0</v>
      </c>
      <c r="ER154" s="373">
        <v>0</v>
      </c>
      <c r="ES154" s="374">
        <v>0</v>
      </c>
      <c r="ET154" s="373">
        <v>0</v>
      </c>
      <c r="EU154" s="373">
        <v>0</v>
      </c>
      <c r="EV154" s="373">
        <v>0</v>
      </c>
      <c r="EW154" s="373">
        <v>0</v>
      </c>
      <c r="EX154" s="373">
        <v>0</v>
      </c>
      <c r="EY154" s="375">
        <f t="shared" si="283"/>
        <v>0</v>
      </c>
      <c r="EZ154" s="164">
        <v>0</v>
      </c>
      <c r="FA154" s="185">
        <v>0</v>
      </c>
    </row>
    <row r="155" spans="1:157" ht="18.75" customHeight="1">
      <c r="A155" s="185" t="s">
        <v>611</v>
      </c>
      <c r="B155" s="774"/>
      <c r="C155" s="176" t="s">
        <v>1011</v>
      </c>
      <c r="D155" s="176">
        <v>60404000</v>
      </c>
      <c r="E155" s="773"/>
      <c r="F155" s="320" t="s">
        <v>357</v>
      </c>
      <c r="G155" s="329"/>
      <c r="H155" s="373"/>
      <c r="I155" s="373"/>
      <c r="J155" s="373"/>
      <c r="K155" s="373"/>
      <c r="L155" s="373"/>
      <c r="M155" s="373"/>
      <c r="N155" s="374"/>
      <c r="O155" s="373"/>
      <c r="P155" s="373"/>
      <c r="Q155" s="373"/>
      <c r="R155" s="373"/>
      <c r="S155" s="1523">
        <f>1744600-S233</f>
        <v>1173200</v>
      </c>
      <c r="T155" s="981">
        <f t="shared" si="268"/>
        <v>1173200</v>
      </c>
      <c r="U155" s="378">
        <f t="shared" si="269"/>
        <v>-726847.95</v>
      </c>
      <c r="V155" s="165">
        <f t="shared" si="270"/>
        <v>-1.6284185319637268</v>
      </c>
      <c r="W155" s="329"/>
      <c r="X155" s="373">
        <v>7060</v>
      </c>
      <c r="Y155" s="373">
        <v>2980</v>
      </c>
      <c r="Z155" s="373">
        <v>37030</v>
      </c>
      <c r="AA155" s="373">
        <v>6006</v>
      </c>
      <c r="AB155" s="373">
        <v>13428</v>
      </c>
      <c r="AC155" s="373">
        <v>33978.299999999996</v>
      </c>
      <c r="AD155" s="374">
        <v>68655.899999999994</v>
      </c>
      <c r="AE155" s="373">
        <v>21864</v>
      </c>
      <c r="AF155" s="373">
        <v>2820</v>
      </c>
      <c r="AG155" s="373">
        <v>2820</v>
      </c>
      <c r="AH155" s="373">
        <v>12495.599999999999</v>
      </c>
      <c r="AI155" s="373">
        <v>237214.25</v>
      </c>
      <c r="AJ155" s="375">
        <f t="shared" si="271"/>
        <v>446352.05</v>
      </c>
      <c r="AK155" s="329"/>
      <c r="AL155" s="373">
        <v>0</v>
      </c>
      <c r="AM155" s="373">
        <v>0</v>
      </c>
      <c r="AN155" s="373">
        <v>0</v>
      </c>
      <c r="AO155" s="373">
        <v>0</v>
      </c>
      <c r="AP155" s="373">
        <v>0</v>
      </c>
      <c r="AQ155" s="373">
        <v>0</v>
      </c>
      <c r="AR155" s="374">
        <v>0</v>
      </c>
      <c r="AS155" s="373">
        <v>0</v>
      </c>
      <c r="AT155" s="373">
        <v>0</v>
      </c>
      <c r="AU155" s="373">
        <v>0</v>
      </c>
      <c r="AV155" s="373">
        <v>0</v>
      </c>
      <c r="AW155" s="373">
        <v>1017456.8</v>
      </c>
      <c r="AX155" s="375">
        <v>1017456.8</v>
      </c>
      <c r="AY155" s="378">
        <f t="shared" si="272"/>
        <v>-708355.68</v>
      </c>
      <c r="AZ155" s="165">
        <f t="shared" si="273"/>
        <v>-2.2916632589361048</v>
      </c>
      <c r="BA155" s="329"/>
      <c r="BB155" s="373">
        <v>51244</v>
      </c>
      <c r="BC155" s="373">
        <v>110064.9</v>
      </c>
      <c r="BD155" s="373">
        <v>36290</v>
      </c>
      <c r="BE155" s="373">
        <v>6046.4000000000015</v>
      </c>
      <c r="BF155" s="373">
        <v>38231.399999999994</v>
      </c>
      <c r="BG155" s="373">
        <v>10429.4</v>
      </c>
      <c r="BH155" s="374">
        <v>8115.6</v>
      </c>
      <c r="BI155" s="373">
        <v>38189.700000000004</v>
      </c>
      <c r="BJ155" s="373">
        <v>16919.140000000014</v>
      </c>
      <c r="BK155" s="373">
        <v>18749</v>
      </c>
      <c r="BL155" s="373">
        <v>4080</v>
      </c>
      <c r="BM155" s="373">
        <v>12352</v>
      </c>
      <c r="BN155" s="375">
        <v>309101.12</v>
      </c>
      <c r="BO155" s="329"/>
      <c r="BP155" s="373">
        <v>0</v>
      </c>
      <c r="BQ155" s="373">
        <v>0</v>
      </c>
      <c r="BR155" s="373">
        <v>176372.75</v>
      </c>
      <c r="BS155" s="373">
        <v>0</v>
      </c>
      <c r="BT155" s="373">
        <v>0</v>
      </c>
      <c r="BU155" s="373">
        <v>221372.75</v>
      </c>
      <c r="BV155" s="374">
        <v>0</v>
      </c>
      <c r="BW155" s="373">
        <v>0</v>
      </c>
      <c r="BX155" s="373">
        <v>176372.75</v>
      </c>
      <c r="BY155" s="373">
        <v>0</v>
      </c>
      <c r="BZ155" s="373">
        <v>0</v>
      </c>
      <c r="CA155" s="373">
        <v>226672.75</v>
      </c>
      <c r="CB155" s="375">
        <f t="shared" si="282"/>
        <v>800791</v>
      </c>
      <c r="CC155" s="378">
        <f t="shared" si="274"/>
        <v>491689.88</v>
      </c>
      <c r="CD155" s="165">
        <f t="shared" si="275"/>
        <v>0.61400525230678171</v>
      </c>
      <c r="CE155" s="772"/>
      <c r="CF155" s="373">
        <v>67618.490000000005</v>
      </c>
      <c r="CG155" s="373">
        <v>104973.9</v>
      </c>
      <c r="CH155" s="373">
        <v>62146.7</v>
      </c>
      <c r="CI155" s="373">
        <v>89925.280000000013</v>
      </c>
      <c r="CJ155" s="373">
        <v>61951.200000000012</v>
      </c>
      <c r="CK155" s="373">
        <v>20996</v>
      </c>
      <c r="CL155" s="374">
        <v>23252.5</v>
      </c>
      <c r="CM155" s="373">
        <v>12645</v>
      </c>
      <c r="CN155" s="373">
        <v>69685.47</v>
      </c>
      <c r="CO155" s="373">
        <v>42781.2</v>
      </c>
      <c r="CP155" s="373">
        <v>8653</v>
      </c>
      <c r="CQ155" s="373">
        <v>5917.6399999999994</v>
      </c>
      <c r="CR155" s="376">
        <v>0</v>
      </c>
      <c r="CS155" s="375">
        <f t="shared" si="276"/>
        <v>570546.38</v>
      </c>
      <c r="CT155" s="378">
        <f t="shared" si="277"/>
        <v>261445.26</v>
      </c>
      <c r="CU155" s="165">
        <f t="shared" si="278"/>
        <v>0.45823664677357168</v>
      </c>
      <c r="CV155" s="329"/>
      <c r="CW155" s="373">
        <v>30151.040000000037</v>
      </c>
      <c r="CX155" s="373">
        <v>260950.76</v>
      </c>
      <c r="CY155" s="373">
        <v>43518.14</v>
      </c>
      <c r="CZ155" s="373">
        <v>129572.04</v>
      </c>
      <c r="DA155" s="373">
        <v>31441.82</v>
      </c>
      <c r="DB155" s="373">
        <v>14779.64</v>
      </c>
      <c r="DC155" s="374">
        <v>157020.29</v>
      </c>
      <c r="DD155" s="373">
        <v>32771.019999999997</v>
      </c>
      <c r="DE155" s="373">
        <v>196018.94</v>
      </c>
      <c r="DF155" s="373">
        <v>225283.54000000004</v>
      </c>
      <c r="DG155" s="373">
        <v>126020.44</v>
      </c>
      <c r="DH155" s="373">
        <v>155563.66</v>
      </c>
      <c r="DI155" s="375">
        <f t="shared" si="279"/>
        <v>1403091.33</v>
      </c>
      <c r="DJ155" s="329"/>
      <c r="DK155" s="373">
        <v>131271.72</v>
      </c>
      <c r="DL155" s="373">
        <v>78744.100000000006</v>
      </c>
      <c r="DM155" s="373">
        <v>112335.75</v>
      </c>
      <c r="DN155" s="373">
        <v>142898.99</v>
      </c>
      <c r="DO155" s="373">
        <v>68208.51999999999</v>
      </c>
      <c r="DP155" s="373">
        <v>64047.37</v>
      </c>
      <c r="DQ155" s="374">
        <v>362321.39999999997</v>
      </c>
      <c r="DR155" s="373">
        <v>102761</v>
      </c>
      <c r="DS155" s="373">
        <v>206995.52</v>
      </c>
      <c r="DT155" s="373">
        <v>104983.57999999999</v>
      </c>
      <c r="DU155" s="373">
        <v>60299.06</v>
      </c>
      <c r="DV155" s="373">
        <v>610407.80000000005</v>
      </c>
      <c r="DW155" s="375">
        <f t="shared" si="280"/>
        <v>2045274.81</v>
      </c>
      <c r="DY155" s="373">
        <v>0</v>
      </c>
      <c r="DZ155" s="373">
        <v>0</v>
      </c>
      <c r="EA155" s="373">
        <v>47023.85</v>
      </c>
      <c r="EB155" s="373">
        <v>99431</v>
      </c>
      <c r="EC155" s="373">
        <v>199595.5</v>
      </c>
      <c r="ED155" s="373">
        <v>73793.3</v>
      </c>
      <c r="EE155" s="374">
        <v>329704.5</v>
      </c>
      <c r="EF155" s="373">
        <v>783148.6</v>
      </c>
      <c r="EG155" s="373">
        <v>32307.9</v>
      </c>
      <c r="EH155" s="373">
        <v>68697.2</v>
      </c>
      <c r="EI155" s="373">
        <v>126697.60000000001</v>
      </c>
      <c r="EJ155" s="373">
        <v>376284.2</v>
      </c>
      <c r="EK155" s="375">
        <f t="shared" si="281"/>
        <v>2136683.65</v>
      </c>
      <c r="EL155" s="177"/>
      <c r="EM155" s="373">
        <v>0</v>
      </c>
      <c r="EN155" s="373">
        <v>0</v>
      </c>
      <c r="EO155" s="373">
        <v>0</v>
      </c>
      <c r="EP155" s="373">
        <v>0</v>
      </c>
      <c r="EQ155" s="373">
        <v>0</v>
      </c>
      <c r="ER155" s="373">
        <v>0</v>
      </c>
      <c r="ES155" s="374">
        <v>0</v>
      </c>
      <c r="ET155" s="373">
        <v>0</v>
      </c>
      <c r="EU155" s="373">
        <v>0</v>
      </c>
      <c r="EV155" s="373">
        <v>0</v>
      </c>
      <c r="EW155" s="373">
        <v>0</v>
      </c>
      <c r="EX155" s="373">
        <v>0</v>
      </c>
      <c r="EY155" s="375">
        <f t="shared" si="283"/>
        <v>0</v>
      </c>
      <c r="EZ155" s="164">
        <v>0</v>
      </c>
      <c r="FA155" s="185">
        <v>0</v>
      </c>
    </row>
    <row r="156" spans="1:157" ht="18.75" customHeight="1">
      <c r="A156" s="188" t="s">
        <v>612</v>
      </c>
      <c r="B156" s="774"/>
      <c r="C156" s="494" t="s">
        <v>1010</v>
      </c>
      <c r="D156" s="312">
        <v>60404200</v>
      </c>
      <c r="E156" s="773"/>
      <c r="F156" s="320" t="s">
        <v>1009</v>
      </c>
      <c r="G156" s="329"/>
      <c r="H156" s="373"/>
      <c r="I156" s="373"/>
      <c r="J156" s="373"/>
      <c r="K156" s="373"/>
      <c r="L156" s="373"/>
      <c r="M156" s="373"/>
      <c r="N156" s="374"/>
      <c r="O156" s="373"/>
      <c r="P156" s="373"/>
      <c r="Q156" s="373"/>
      <c r="R156" s="373"/>
      <c r="S156" s="403">
        <v>850000</v>
      </c>
      <c r="T156" s="375">
        <f t="shared" si="268"/>
        <v>850000</v>
      </c>
      <c r="U156" s="378">
        <f t="shared" si="269"/>
        <v>-850000</v>
      </c>
      <c r="V156" s="165" t="e">
        <f t="shared" si="270"/>
        <v>#DIV/0!</v>
      </c>
      <c r="W156" s="329"/>
      <c r="X156" s="373">
        <v>0</v>
      </c>
      <c r="Y156" s="373">
        <v>0</v>
      </c>
      <c r="Z156" s="373">
        <v>0</v>
      </c>
      <c r="AA156" s="373">
        <v>0</v>
      </c>
      <c r="AB156" s="373">
        <v>0</v>
      </c>
      <c r="AC156" s="373">
        <v>0</v>
      </c>
      <c r="AD156" s="374">
        <v>0</v>
      </c>
      <c r="AE156" s="373">
        <v>0</v>
      </c>
      <c r="AF156" s="373">
        <v>0</v>
      </c>
      <c r="AG156" s="373">
        <v>0</v>
      </c>
      <c r="AH156" s="373">
        <v>0</v>
      </c>
      <c r="AI156" s="373">
        <v>0</v>
      </c>
      <c r="AJ156" s="375">
        <f t="shared" si="271"/>
        <v>0</v>
      </c>
      <c r="AK156" s="329"/>
      <c r="AL156" s="373">
        <v>0</v>
      </c>
      <c r="AM156" s="373">
        <v>0</v>
      </c>
      <c r="AN156" s="373">
        <v>0</v>
      </c>
      <c r="AO156" s="373">
        <v>0</v>
      </c>
      <c r="AP156" s="373">
        <v>0</v>
      </c>
      <c r="AQ156" s="373">
        <v>0</v>
      </c>
      <c r="AR156" s="374">
        <v>0</v>
      </c>
      <c r="AS156" s="373">
        <v>0</v>
      </c>
      <c r="AT156" s="373">
        <v>0</v>
      </c>
      <c r="AU156" s="373">
        <v>0</v>
      </c>
      <c r="AV156" s="373">
        <v>0</v>
      </c>
      <c r="AW156" s="373">
        <v>0</v>
      </c>
      <c r="AX156" s="375">
        <v>0</v>
      </c>
      <c r="AY156" s="378">
        <f t="shared" si="272"/>
        <v>2792722.7300000004</v>
      </c>
      <c r="AZ156" s="165">
        <f t="shared" si="273"/>
        <v>1</v>
      </c>
      <c r="BA156" s="329"/>
      <c r="BB156" s="373">
        <v>319417.73</v>
      </c>
      <c r="BC156" s="373">
        <v>0</v>
      </c>
      <c r="BD156" s="373">
        <v>315881.56</v>
      </c>
      <c r="BE156" s="373">
        <v>0</v>
      </c>
      <c r="BF156" s="373">
        <v>775451.37</v>
      </c>
      <c r="BG156" s="373">
        <v>714008.33000000007</v>
      </c>
      <c r="BH156" s="374">
        <v>653648.32000000007</v>
      </c>
      <c r="BI156" s="373">
        <v>0</v>
      </c>
      <c r="BJ156" s="373">
        <v>0</v>
      </c>
      <c r="BK156" s="373">
        <v>0</v>
      </c>
      <c r="BL156" s="373">
        <v>0</v>
      </c>
      <c r="BM156" s="373">
        <v>0</v>
      </c>
      <c r="BN156" s="402">
        <v>2792722.7300000004</v>
      </c>
      <c r="BO156" s="329"/>
      <c r="BP156" s="374">
        <v>316666.66666666669</v>
      </c>
      <c r="BQ156" s="374">
        <v>316666.66666666669</v>
      </c>
      <c r="BR156" s="374">
        <v>316666.66666666669</v>
      </c>
      <c r="BS156" s="374">
        <v>316666.66666666669</v>
      </c>
      <c r="BT156" s="374">
        <v>316666.66666666669</v>
      </c>
      <c r="BU156" s="374">
        <v>316666.66666666669</v>
      </c>
      <c r="BV156" s="374">
        <v>316666.66666666669</v>
      </c>
      <c r="BW156" s="374">
        <v>316666.66666666669</v>
      </c>
      <c r="BX156" s="374">
        <v>316666.66666666669</v>
      </c>
      <c r="BY156" s="374">
        <v>316666.66666666669</v>
      </c>
      <c r="BZ156" s="374">
        <v>316666.66666666669</v>
      </c>
      <c r="CA156" s="374">
        <v>316666.66666666698</v>
      </c>
      <c r="CB156" s="402">
        <f t="shared" si="282"/>
        <v>3800000</v>
      </c>
      <c r="CC156" s="776">
        <f t="shared" si="274"/>
        <v>1007277.2699999996</v>
      </c>
      <c r="CD156" s="775">
        <f t="shared" si="275"/>
        <v>0.26507296578947359</v>
      </c>
      <c r="CE156" s="772"/>
      <c r="CF156" s="374">
        <v>0</v>
      </c>
      <c r="CG156" s="374">
        <v>461448.84</v>
      </c>
      <c r="CH156" s="374">
        <v>184696.66</v>
      </c>
      <c r="CI156" s="374">
        <v>734399.45</v>
      </c>
      <c r="CJ156" s="374">
        <v>856207.78</v>
      </c>
      <c r="CK156" s="374">
        <v>1587677.84</v>
      </c>
      <c r="CL156" s="374">
        <v>1151890.26</v>
      </c>
      <c r="CM156" s="374">
        <v>2433225.77</v>
      </c>
      <c r="CN156" s="374">
        <v>-868127.66</v>
      </c>
      <c r="CO156" s="374">
        <v>243388.7</v>
      </c>
      <c r="CP156" s="374">
        <v>411437.51</v>
      </c>
      <c r="CQ156" s="374">
        <v>357343.21</v>
      </c>
      <c r="CR156" s="374">
        <v>0</v>
      </c>
      <c r="CS156" s="402">
        <f t="shared" si="276"/>
        <v>7553588.3599999994</v>
      </c>
      <c r="CT156" s="776">
        <f t="shared" si="277"/>
        <v>4760865.629999999</v>
      </c>
      <c r="CU156" s="165">
        <f t="shared" si="278"/>
        <v>0.63027867062641996</v>
      </c>
      <c r="CV156" s="329"/>
      <c r="CW156" s="373">
        <v>0</v>
      </c>
      <c r="CX156" s="373">
        <v>0</v>
      </c>
      <c r="CY156" s="373">
        <v>0</v>
      </c>
      <c r="CZ156" s="373">
        <v>0</v>
      </c>
      <c r="DA156" s="373">
        <v>0</v>
      </c>
      <c r="DB156" s="373">
        <v>0</v>
      </c>
      <c r="DC156" s="374">
        <v>0</v>
      </c>
      <c r="DD156" s="373">
        <v>0</v>
      </c>
      <c r="DE156" s="373">
        <v>0</v>
      </c>
      <c r="DF156" s="373">
        <v>0</v>
      </c>
      <c r="DG156" s="373">
        <v>0</v>
      </c>
      <c r="DH156" s="373">
        <v>0</v>
      </c>
      <c r="DI156" s="375">
        <f t="shared" si="279"/>
        <v>0</v>
      </c>
      <c r="DJ156" s="329"/>
      <c r="DK156" s="373">
        <v>0</v>
      </c>
      <c r="DL156" s="373">
        <v>0</v>
      </c>
      <c r="DM156" s="373">
        <v>0</v>
      </c>
      <c r="DN156" s="373">
        <v>0</v>
      </c>
      <c r="DO156" s="373">
        <v>0</v>
      </c>
      <c r="DP156" s="373">
        <v>0</v>
      </c>
      <c r="DQ156" s="374">
        <v>0</v>
      </c>
      <c r="DR156" s="373">
        <v>0</v>
      </c>
      <c r="DS156" s="373">
        <v>0</v>
      </c>
      <c r="DT156" s="373">
        <v>0</v>
      </c>
      <c r="DU156" s="373">
        <v>0</v>
      </c>
      <c r="DV156" s="373">
        <v>0</v>
      </c>
      <c r="DW156" s="375">
        <f t="shared" si="280"/>
        <v>0</v>
      </c>
      <c r="DY156" s="373">
        <v>0</v>
      </c>
      <c r="DZ156" s="373">
        <v>0</v>
      </c>
      <c r="EA156" s="373">
        <v>0</v>
      </c>
      <c r="EB156" s="373">
        <v>0</v>
      </c>
      <c r="EC156" s="373">
        <v>0</v>
      </c>
      <c r="ED156" s="373">
        <v>0</v>
      </c>
      <c r="EE156" s="374">
        <v>0</v>
      </c>
      <c r="EF156" s="373">
        <v>0</v>
      </c>
      <c r="EG156" s="373">
        <v>0</v>
      </c>
      <c r="EH156" s="373">
        <v>0</v>
      </c>
      <c r="EI156" s="373">
        <v>0</v>
      </c>
      <c r="EJ156" s="373">
        <v>0</v>
      </c>
      <c r="EK156" s="375">
        <f t="shared" si="281"/>
        <v>0</v>
      </c>
      <c r="EL156" s="177"/>
      <c r="EM156" s="373">
        <v>0</v>
      </c>
      <c r="EN156" s="373">
        <v>0</v>
      </c>
      <c r="EO156" s="373">
        <v>0</v>
      </c>
      <c r="EP156" s="373">
        <v>0</v>
      </c>
      <c r="EQ156" s="373">
        <v>0</v>
      </c>
      <c r="ER156" s="373">
        <v>0</v>
      </c>
      <c r="ES156" s="374">
        <v>0</v>
      </c>
      <c r="ET156" s="373">
        <v>0</v>
      </c>
      <c r="EU156" s="373">
        <v>0</v>
      </c>
      <c r="EV156" s="373">
        <v>0</v>
      </c>
      <c r="EW156" s="373">
        <v>0</v>
      </c>
      <c r="EX156" s="373">
        <v>0</v>
      </c>
      <c r="EY156" s="375">
        <f t="shared" si="283"/>
        <v>0</v>
      </c>
      <c r="EZ156" s="164">
        <v>0</v>
      </c>
      <c r="FA156" s="185">
        <v>0</v>
      </c>
    </row>
    <row r="157" spans="1:157" ht="18.75" customHeight="1">
      <c r="A157" s="188" t="s">
        <v>329</v>
      </c>
      <c r="B157" s="774"/>
      <c r="C157" s="494" t="s">
        <v>1670</v>
      </c>
      <c r="D157" s="312">
        <v>60404300</v>
      </c>
      <c r="E157" s="773"/>
      <c r="F157" s="320" t="s">
        <v>1671</v>
      </c>
      <c r="G157" s="329"/>
      <c r="H157" s="373"/>
      <c r="I157" s="373"/>
      <c r="J157" s="373"/>
      <c r="K157" s="373"/>
      <c r="L157" s="373"/>
      <c r="M157" s="373"/>
      <c r="N157" s="374"/>
      <c r="O157" s="373"/>
      <c r="P157" s="373"/>
      <c r="Q157" s="373"/>
      <c r="R157" s="373"/>
      <c r="S157" s="377">
        <v>0</v>
      </c>
      <c r="T157" s="375">
        <f t="shared" si="268"/>
        <v>0</v>
      </c>
      <c r="U157" s="378"/>
      <c r="V157" s="165"/>
      <c r="W157" s="329"/>
      <c r="X157" s="373">
        <v>0</v>
      </c>
      <c r="Y157" s="373">
        <v>0</v>
      </c>
      <c r="Z157" s="373">
        <v>0</v>
      </c>
      <c r="AA157" s="373">
        <v>0</v>
      </c>
      <c r="AB157" s="373">
        <v>0</v>
      </c>
      <c r="AC157" s="373">
        <v>0</v>
      </c>
      <c r="AD157" s="373">
        <v>0</v>
      </c>
      <c r="AE157" s="373">
        <v>0</v>
      </c>
      <c r="AF157" s="373">
        <v>0</v>
      </c>
      <c r="AG157" s="373">
        <v>0</v>
      </c>
      <c r="AH157" s="373">
        <v>1252655.29</v>
      </c>
      <c r="AI157" s="373">
        <v>0</v>
      </c>
      <c r="AJ157" s="375">
        <f t="shared" si="271"/>
        <v>1252655.29</v>
      </c>
      <c r="AK157" s="329"/>
      <c r="AL157" s="373"/>
      <c r="AM157" s="373"/>
      <c r="AN157" s="373"/>
      <c r="AO157" s="373"/>
      <c r="AP157" s="373"/>
      <c r="AQ157" s="373"/>
      <c r="AR157" s="374"/>
      <c r="AS157" s="373"/>
      <c r="AT157" s="373"/>
      <c r="AU157" s="373"/>
      <c r="AV157" s="373"/>
      <c r="AW157" s="373"/>
      <c r="AX157" s="375">
        <v>0</v>
      </c>
      <c r="AY157" s="378">
        <f t="shared" ref="AY157" si="285">BN157-AX157</f>
        <v>0</v>
      </c>
      <c r="AZ157" s="165" t="e">
        <f t="shared" ref="AZ157" si="286">AY157/BN157</f>
        <v>#DIV/0!</v>
      </c>
      <c r="BA157" s="329"/>
      <c r="BB157" s="373"/>
      <c r="BC157" s="373"/>
      <c r="BD157" s="373"/>
      <c r="BE157" s="373"/>
      <c r="BF157" s="373"/>
      <c r="BG157" s="373"/>
      <c r="BH157" s="374"/>
      <c r="BI157" s="373"/>
      <c r="BJ157" s="373"/>
      <c r="BK157" s="373"/>
      <c r="BL157" s="373"/>
      <c r="BM157" s="373"/>
      <c r="BN157" s="402"/>
      <c r="BO157" s="329"/>
      <c r="BP157" s="374"/>
      <c r="BQ157" s="374"/>
      <c r="BR157" s="374"/>
      <c r="BS157" s="374"/>
      <c r="BT157" s="374"/>
      <c r="BU157" s="374"/>
      <c r="BV157" s="374"/>
      <c r="BW157" s="374"/>
      <c r="BX157" s="374"/>
      <c r="BY157" s="374"/>
      <c r="BZ157" s="374"/>
      <c r="CA157" s="374"/>
      <c r="CB157" s="402"/>
      <c r="CC157" s="776"/>
      <c r="CD157" s="775"/>
      <c r="CE157" s="772"/>
      <c r="CF157" s="374"/>
      <c r="CG157" s="374"/>
      <c r="CH157" s="374"/>
      <c r="CI157" s="374"/>
      <c r="CJ157" s="374"/>
      <c r="CK157" s="374"/>
      <c r="CL157" s="374"/>
      <c r="CM157" s="374"/>
      <c r="CN157" s="374"/>
      <c r="CO157" s="374"/>
      <c r="CP157" s="374"/>
      <c r="CQ157" s="374"/>
      <c r="CR157" s="374"/>
      <c r="CS157" s="402"/>
      <c r="CT157" s="776"/>
      <c r="CU157" s="165"/>
      <c r="CV157" s="329"/>
      <c r="CW157" s="373"/>
      <c r="CX157" s="373"/>
      <c r="CY157" s="373"/>
      <c r="CZ157" s="373"/>
      <c r="DA157" s="373"/>
      <c r="DB157" s="373"/>
      <c r="DC157" s="374"/>
      <c r="DD157" s="373"/>
      <c r="DE157" s="373"/>
      <c r="DF157" s="373"/>
      <c r="DG157" s="373"/>
      <c r="DH157" s="373"/>
      <c r="DI157" s="375"/>
      <c r="DJ157" s="329"/>
      <c r="DK157" s="373"/>
      <c r="DL157" s="373"/>
      <c r="DM157" s="373"/>
      <c r="DN157" s="373"/>
      <c r="DO157" s="373"/>
      <c r="DP157" s="373"/>
      <c r="DQ157" s="374"/>
      <c r="DR157" s="373"/>
      <c r="DS157" s="373"/>
      <c r="DT157" s="373"/>
      <c r="DU157" s="373"/>
      <c r="DV157" s="373"/>
      <c r="DW157" s="375"/>
      <c r="DY157" s="373"/>
      <c r="DZ157" s="373"/>
      <c r="EA157" s="373"/>
      <c r="EB157" s="373"/>
      <c r="EC157" s="373"/>
      <c r="ED157" s="373"/>
      <c r="EE157" s="374"/>
      <c r="EF157" s="373"/>
      <c r="EG157" s="373"/>
      <c r="EH157" s="373"/>
      <c r="EI157" s="373"/>
      <c r="EJ157" s="373"/>
      <c r="EK157" s="375"/>
      <c r="EL157" s="177"/>
      <c r="EM157" s="373"/>
      <c r="EN157" s="373"/>
      <c r="EO157" s="373"/>
      <c r="EP157" s="373"/>
      <c r="EQ157" s="373"/>
      <c r="ER157" s="373"/>
      <c r="ES157" s="374"/>
      <c r="ET157" s="373"/>
      <c r="EU157" s="373"/>
      <c r="EV157" s="373"/>
      <c r="EW157" s="373"/>
      <c r="EX157" s="373"/>
      <c r="EY157" s="375"/>
      <c r="EZ157" s="164"/>
    </row>
    <row r="158" spans="1:157" ht="18.75" customHeight="1">
      <c r="A158" s="185" t="s">
        <v>329</v>
      </c>
      <c r="B158" s="774"/>
      <c r="C158" s="176" t="s">
        <v>1008</v>
      </c>
      <c r="D158" s="176">
        <v>60404500</v>
      </c>
      <c r="E158" s="773"/>
      <c r="F158" s="320" t="s">
        <v>652</v>
      </c>
      <c r="G158" s="329"/>
      <c r="H158" s="373"/>
      <c r="I158" s="373"/>
      <c r="J158" s="373"/>
      <c r="K158" s="373"/>
      <c r="L158" s="373"/>
      <c r="M158" s="373"/>
      <c r="N158" s="374"/>
      <c r="O158" s="373"/>
      <c r="P158" s="373"/>
      <c r="Q158" s="373"/>
      <c r="R158" s="373"/>
      <c r="S158" s="377">
        <v>1367200</v>
      </c>
      <c r="T158" s="375">
        <f t="shared" si="268"/>
        <v>1367200</v>
      </c>
      <c r="U158" s="378">
        <f t="shared" si="269"/>
        <v>-1299271.1599999999</v>
      </c>
      <c r="V158" s="165">
        <f t="shared" si="270"/>
        <v>-19.12694460850501</v>
      </c>
      <c r="W158" s="329"/>
      <c r="X158" s="373">
        <v>-0.47999999999592546</v>
      </c>
      <c r="Y158" s="373">
        <v>0</v>
      </c>
      <c r="Z158" s="373">
        <v>0</v>
      </c>
      <c r="AA158" s="373">
        <v>38312</v>
      </c>
      <c r="AB158" s="373">
        <v>825</v>
      </c>
      <c r="AC158" s="373">
        <v>0</v>
      </c>
      <c r="AD158" s="374">
        <v>0</v>
      </c>
      <c r="AE158" s="373">
        <v>0</v>
      </c>
      <c r="AF158" s="373">
        <v>0</v>
      </c>
      <c r="AG158" s="373">
        <v>835</v>
      </c>
      <c r="AH158" s="373">
        <v>33185.32</v>
      </c>
      <c r="AI158" s="373">
        <v>-5227.9999999999709</v>
      </c>
      <c r="AJ158" s="375">
        <f t="shared" si="271"/>
        <v>67928.840000000026</v>
      </c>
      <c r="AK158" s="329"/>
      <c r="AL158" s="373">
        <v>10</v>
      </c>
      <c r="AM158" s="373">
        <v>10</v>
      </c>
      <c r="AN158" s="373">
        <v>10</v>
      </c>
      <c r="AO158" s="373">
        <v>10</v>
      </c>
      <c r="AP158" s="373">
        <v>10</v>
      </c>
      <c r="AQ158" s="373">
        <v>10</v>
      </c>
      <c r="AR158" s="374">
        <v>10</v>
      </c>
      <c r="AS158" s="373">
        <v>10</v>
      </c>
      <c r="AT158" s="373">
        <v>10</v>
      </c>
      <c r="AU158" s="373">
        <v>10</v>
      </c>
      <c r="AV158" s="373">
        <v>10</v>
      </c>
      <c r="AW158" s="373">
        <v>10010</v>
      </c>
      <c r="AX158" s="375">
        <v>10120</v>
      </c>
      <c r="AY158" s="378">
        <f t="shared" si="272"/>
        <v>-87813.97</v>
      </c>
      <c r="AZ158" s="165">
        <f t="shared" si="273"/>
        <v>1.1302546388091637</v>
      </c>
      <c r="BA158" s="329"/>
      <c r="BB158" s="373">
        <v>31492.080000000002</v>
      </c>
      <c r="BC158" s="373">
        <v>0</v>
      </c>
      <c r="BD158" s="373">
        <v>4680</v>
      </c>
      <c r="BE158" s="373">
        <v>-31186.079999999994</v>
      </c>
      <c r="BF158" s="373">
        <v>0</v>
      </c>
      <c r="BG158" s="373">
        <v>0</v>
      </c>
      <c r="BH158" s="374">
        <v>0</v>
      </c>
      <c r="BI158" s="373">
        <v>0</v>
      </c>
      <c r="BJ158" s="373">
        <v>30471.059999999998</v>
      </c>
      <c r="BK158" s="373">
        <v>0</v>
      </c>
      <c r="BL158" s="373">
        <v>0</v>
      </c>
      <c r="BM158" s="373">
        <v>0</v>
      </c>
      <c r="BN158" s="402">
        <v>-77693.97</v>
      </c>
      <c r="BO158" s="329"/>
      <c r="BP158" s="374">
        <v>1354.166666666657</v>
      </c>
      <c r="BQ158" s="374">
        <v>954.16666666665697</v>
      </c>
      <c r="BR158" s="374">
        <v>954.16666666665697</v>
      </c>
      <c r="BS158" s="374">
        <v>954.16666666665697</v>
      </c>
      <c r="BT158" s="374">
        <v>954.16666666665697</v>
      </c>
      <c r="BU158" s="374">
        <v>954.16666666665697</v>
      </c>
      <c r="BV158" s="374">
        <v>954.16666666665697</v>
      </c>
      <c r="BW158" s="374">
        <v>954.16666666665697</v>
      </c>
      <c r="BX158" s="374">
        <v>954.16666666665697</v>
      </c>
      <c r="BY158" s="374">
        <v>954.16666666665697</v>
      </c>
      <c r="BZ158" s="374">
        <v>954.16666666665697</v>
      </c>
      <c r="CA158" s="374">
        <v>954.16666666665697</v>
      </c>
      <c r="CB158" s="402">
        <f t="shared" si="282"/>
        <v>11849.999999999884</v>
      </c>
      <c r="CC158" s="776">
        <f t="shared" si="274"/>
        <v>89543.969999999885</v>
      </c>
      <c r="CD158" s="775">
        <f t="shared" si="275"/>
        <v>7.5564531645570261</v>
      </c>
      <c r="CE158" s="772"/>
      <c r="CF158" s="374">
        <v>0</v>
      </c>
      <c r="CG158" s="374">
        <v>4554.8000000000175</v>
      </c>
      <c r="CH158" s="374">
        <v>0</v>
      </c>
      <c r="CI158" s="374">
        <v>0</v>
      </c>
      <c r="CJ158" s="374">
        <v>2207</v>
      </c>
      <c r="CK158" s="374">
        <v>0</v>
      </c>
      <c r="CL158" s="374">
        <v>0</v>
      </c>
      <c r="CM158" s="374">
        <v>0</v>
      </c>
      <c r="CN158" s="374">
        <v>330</v>
      </c>
      <c r="CO158" s="374">
        <v>0</v>
      </c>
      <c r="CP158" s="374">
        <v>0</v>
      </c>
      <c r="CQ158" s="374">
        <v>0</v>
      </c>
      <c r="CR158" s="374">
        <v>0</v>
      </c>
      <c r="CS158" s="402">
        <f t="shared" si="276"/>
        <v>7091.8000000000175</v>
      </c>
      <c r="CT158" s="776">
        <f t="shared" si="277"/>
        <v>84785.770000000019</v>
      </c>
      <c r="CU158" s="165">
        <f t="shared" si="278"/>
        <v>11.955465467159227</v>
      </c>
      <c r="CV158" s="329"/>
      <c r="CW158" s="373">
        <v>0</v>
      </c>
      <c r="CX158" s="373">
        <v>0</v>
      </c>
      <c r="CY158" s="373">
        <v>0</v>
      </c>
      <c r="CZ158" s="373">
        <v>0</v>
      </c>
      <c r="DA158" s="373">
        <v>0</v>
      </c>
      <c r="DB158" s="373">
        <v>0</v>
      </c>
      <c r="DC158" s="374">
        <v>0</v>
      </c>
      <c r="DD158" s="373">
        <v>0</v>
      </c>
      <c r="DE158" s="373">
        <v>0</v>
      </c>
      <c r="DF158" s="373">
        <v>0</v>
      </c>
      <c r="DG158" s="373">
        <v>1561</v>
      </c>
      <c r="DH158" s="373">
        <v>0</v>
      </c>
      <c r="DI158" s="375">
        <f t="shared" si="279"/>
        <v>1561</v>
      </c>
      <c r="DJ158" s="329"/>
      <c r="DK158" s="373">
        <v>0</v>
      </c>
      <c r="DL158" s="373">
        <v>0</v>
      </c>
      <c r="DM158" s="373">
        <v>0</v>
      </c>
      <c r="DN158" s="373">
        <v>0</v>
      </c>
      <c r="DO158" s="373">
        <v>0</v>
      </c>
      <c r="DP158" s="373">
        <v>0</v>
      </c>
      <c r="DQ158" s="374">
        <v>0</v>
      </c>
      <c r="DR158" s="373">
        <v>0</v>
      </c>
      <c r="DS158" s="373">
        <v>0</v>
      </c>
      <c r="DT158" s="373">
        <v>0</v>
      </c>
      <c r="DU158" s="373">
        <v>0</v>
      </c>
      <c r="DV158" s="373">
        <v>0</v>
      </c>
      <c r="DW158" s="375">
        <f t="shared" si="280"/>
        <v>0</v>
      </c>
      <c r="DY158" s="373">
        <v>0</v>
      </c>
      <c r="DZ158" s="373">
        <v>0</v>
      </c>
      <c r="EA158" s="373">
        <v>0</v>
      </c>
      <c r="EB158" s="373">
        <v>0</v>
      </c>
      <c r="EC158" s="373">
        <v>0</v>
      </c>
      <c r="ED158" s="373">
        <v>0</v>
      </c>
      <c r="EE158" s="374">
        <v>0</v>
      </c>
      <c r="EF158" s="373">
        <v>0</v>
      </c>
      <c r="EG158" s="373">
        <v>0</v>
      </c>
      <c r="EH158" s="373">
        <v>0</v>
      </c>
      <c r="EI158" s="373">
        <v>0</v>
      </c>
      <c r="EJ158" s="373">
        <v>0</v>
      </c>
      <c r="EK158" s="375">
        <f t="shared" si="281"/>
        <v>0</v>
      </c>
      <c r="EL158" s="177"/>
      <c r="EM158" s="373">
        <v>0</v>
      </c>
      <c r="EN158" s="373">
        <v>0</v>
      </c>
      <c r="EO158" s="373">
        <v>0</v>
      </c>
      <c r="EP158" s="373">
        <v>0</v>
      </c>
      <c r="EQ158" s="373">
        <v>0</v>
      </c>
      <c r="ER158" s="373">
        <v>0</v>
      </c>
      <c r="ES158" s="374">
        <v>0</v>
      </c>
      <c r="ET158" s="373">
        <v>0</v>
      </c>
      <c r="EU158" s="373">
        <v>0</v>
      </c>
      <c r="EV158" s="373">
        <v>0</v>
      </c>
      <c r="EW158" s="373">
        <v>0</v>
      </c>
      <c r="EX158" s="373">
        <v>0</v>
      </c>
      <c r="EY158" s="375">
        <f t="shared" si="283"/>
        <v>0</v>
      </c>
      <c r="EZ158" s="164">
        <v>0</v>
      </c>
      <c r="FA158" s="185">
        <v>0</v>
      </c>
    </row>
    <row r="159" spans="1:157" ht="18.75" customHeight="1">
      <c r="A159" s="185" t="s">
        <v>611</v>
      </c>
      <c r="B159" s="774"/>
      <c r="C159" s="176" t="s">
        <v>1007</v>
      </c>
      <c r="D159" s="176">
        <v>60405000</v>
      </c>
      <c r="E159" s="773"/>
      <c r="F159" s="320" t="s">
        <v>653</v>
      </c>
      <c r="G159" s="329"/>
      <c r="H159" s="373"/>
      <c r="I159" s="373"/>
      <c r="J159" s="373"/>
      <c r="K159" s="373"/>
      <c r="L159" s="373"/>
      <c r="M159" s="373"/>
      <c r="N159" s="374"/>
      <c r="O159" s="373"/>
      <c r="P159" s="373"/>
      <c r="Q159" s="373"/>
      <c r="R159" s="373"/>
      <c r="S159" s="377">
        <v>314000</v>
      </c>
      <c r="T159" s="375">
        <f t="shared" si="268"/>
        <v>314000</v>
      </c>
      <c r="U159" s="378">
        <f t="shared" si="269"/>
        <v>-249717.34</v>
      </c>
      <c r="V159" s="165">
        <f t="shared" si="270"/>
        <v>-3.8846765208533682</v>
      </c>
      <c r="W159" s="954"/>
      <c r="X159" s="373">
        <v>0</v>
      </c>
      <c r="Y159" s="373">
        <v>0</v>
      </c>
      <c r="Z159" s="373">
        <v>0</v>
      </c>
      <c r="AA159" s="373">
        <v>0</v>
      </c>
      <c r="AB159" s="373">
        <v>0</v>
      </c>
      <c r="AC159" s="373">
        <v>0</v>
      </c>
      <c r="AD159" s="374">
        <v>0</v>
      </c>
      <c r="AE159" s="373">
        <v>53580</v>
      </c>
      <c r="AF159" s="373">
        <v>0</v>
      </c>
      <c r="AG159" s="373">
        <v>0</v>
      </c>
      <c r="AH159" s="373">
        <v>558</v>
      </c>
      <c r="AI159" s="373">
        <v>10144.66</v>
      </c>
      <c r="AJ159" s="375">
        <f t="shared" si="271"/>
        <v>64282.66</v>
      </c>
      <c r="AK159" s="954"/>
      <c r="AL159" s="373">
        <v>0</v>
      </c>
      <c r="AM159" s="373">
        <v>0</v>
      </c>
      <c r="AN159" s="373">
        <v>0</v>
      </c>
      <c r="AO159" s="373">
        <v>0</v>
      </c>
      <c r="AP159" s="373">
        <v>0</v>
      </c>
      <c r="AQ159" s="373">
        <v>0</v>
      </c>
      <c r="AR159" s="374">
        <v>0</v>
      </c>
      <c r="AS159" s="373">
        <v>0</v>
      </c>
      <c r="AT159" s="373">
        <v>0</v>
      </c>
      <c r="AU159" s="373">
        <v>0</v>
      </c>
      <c r="AV159" s="373">
        <v>0</v>
      </c>
      <c r="AW159" s="373">
        <v>0</v>
      </c>
      <c r="AX159" s="375">
        <v>0</v>
      </c>
      <c r="AY159" s="378">
        <f t="shared" si="272"/>
        <v>750999.71</v>
      </c>
      <c r="AZ159" s="165">
        <f t="shared" si="273"/>
        <v>1</v>
      </c>
      <c r="BA159" s="954"/>
      <c r="BB159" s="373">
        <v>72753.050000000017</v>
      </c>
      <c r="BC159" s="373">
        <v>8892</v>
      </c>
      <c r="BD159" s="373">
        <v>64005.150000000009</v>
      </c>
      <c r="BE159" s="373">
        <v>1940</v>
      </c>
      <c r="BF159" s="373">
        <v>58640.619999999995</v>
      </c>
      <c r="BG159" s="373">
        <v>342836.54000000004</v>
      </c>
      <c r="BH159" s="374">
        <v>102508.69999999998</v>
      </c>
      <c r="BI159" s="373">
        <v>1273.2599999999984</v>
      </c>
      <c r="BJ159" s="373">
        <v>12497.399999999994</v>
      </c>
      <c r="BK159" s="373">
        <v>0</v>
      </c>
      <c r="BL159" s="373">
        <v>0</v>
      </c>
      <c r="BM159" s="373">
        <v>0</v>
      </c>
      <c r="BN159" s="402">
        <v>750999.71</v>
      </c>
      <c r="BO159" s="954"/>
      <c r="BP159" s="374">
        <v>144620.25</v>
      </c>
      <c r="BQ159" s="374">
        <v>144620.25</v>
      </c>
      <c r="BR159" s="374">
        <v>144620.25</v>
      </c>
      <c r="BS159" s="374">
        <v>144620.25</v>
      </c>
      <c r="BT159" s="374">
        <v>144620.25</v>
      </c>
      <c r="BU159" s="374">
        <v>144620.25</v>
      </c>
      <c r="BV159" s="374">
        <v>144620.25</v>
      </c>
      <c r="BW159" s="374">
        <v>144620.25</v>
      </c>
      <c r="BX159" s="374">
        <v>144620.25</v>
      </c>
      <c r="BY159" s="374">
        <v>144620.25</v>
      </c>
      <c r="BZ159" s="374">
        <v>144620.25</v>
      </c>
      <c r="CA159" s="374">
        <v>144620.24999999994</v>
      </c>
      <c r="CB159" s="402">
        <f t="shared" si="282"/>
        <v>1735443</v>
      </c>
      <c r="CC159" s="776">
        <f t="shared" si="274"/>
        <v>984443.29</v>
      </c>
      <c r="CD159" s="775">
        <f t="shared" si="275"/>
        <v>0.56725763392978046</v>
      </c>
      <c r="CE159" s="772"/>
      <c r="CF159" s="374">
        <v>139593.04999999999</v>
      </c>
      <c r="CG159" s="374">
        <v>120314.69</v>
      </c>
      <c r="CH159" s="374">
        <v>64281.78</v>
      </c>
      <c r="CI159" s="374">
        <v>155512.53999999998</v>
      </c>
      <c r="CJ159" s="374">
        <v>156747.1</v>
      </c>
      <c r="CK159" s="374">
        <v>241445.57</v>
      </c>
      <c r="CL159" s="374">
        <v>71154.210000000006</v>
      </c>
      <c r="CM159" s="374">
        <v>482404.63000000006</v>
      </c>
      <c r="CN159" s="374">
        <v>143843.34999999998</v>
      </c>
      <c r="CO159" s="374">
        <v>369.4800000000032</v>
      </c>
      <c r="CP159" s="374">
        <v>797.32999999999993</v>
      </c>
      <c r="CQ159" s="374">
        <v>86177.270000000019</v>
      </c>
      <c r="CR159" s="374">
        <v>0</v>
      </c>
      <c r="CS159" s="402">
        <f t="shared" si="276"/>
        <v>1662641</v>
      </c>
      <c r="CT159" s="776">
        <f t="shared" si="277"/>
        <v>911641.29</v>
      </c>
      <c r="CU159" s="165">
        <f t="shared" si="278"/>
        <v>0.54830915994493101</v>
      </c>
      <c r="CV159" s="329"/>
      <c r="CW159" s="373">
        <v>0</v>
      </c>
      <c r="CX159" s="373">
        <v>0</v>
      </c>
      <c r="CY159" s="373">
        <v>0</v>
      </c>
      <c r="CZ159" s="373">
        <v>0</v>
      </c>
      <c r="DA159" s="373">
        <v>0</v>
      </c>
      <c r="DB159" s="373">
        <v>0</v>
      </c>
      <c r="DC159" s="374">
        <v>0</v>
      </c>
      <c r="DD159" s="373">
        <v>0</v>
      </c>
      <c r="DE159" s="373">
        <v>486033.16</v>
      </c>
      <c r="DF159" s="373">
        <v>107860.4</v>
      </c>
      <c r="DG159" s="373">
        <v>9779.52</v>
      </c>
      <c r="DH159" s="373">
        <v>173667.68</v>
      </c>
      <c r="DI159" s="375">
        <f t="shared" si="279"/>
        <v>777340.76</v>
      </c>
      <c r="DJ159" s="329"/>
      <c r="DK159" s="373">
        <v>0</v>
      </c>
      <c r="DL159" s="373">
        <v>0</v>
      </c>
      <c r="DM159" s="373">
        <v>0</v>
      </c>
      <c r="DN159" s="373">
        <v>0</v>
      </c>
      <c r="DO159" s="373">
        <v>0</v>
      </c>
      <c r="DP159" s="373">
        <v>0</v>
      </c>
      <c r="DQ159" s="374">
        <v>0</v>
      </c>
      <c r="DR159" s="373">
        <v>0</v>
      </c>
      <c r="DS159" s="373">
        <v>0</v>
      </c>
      <c r="DT159" s="373">
        <v>0</v>
      </c>
      <c r="DU159" s="373">
        <v>0</v>
      </c>
      <c r="DV159" s="373">
        <v>0</v>
      </c>
      <c r="DW159" s="375">
        <f t="shared" si="280"/>
        <v>0</v>
      </c>
      <c r="DY159" s="373">
        <v>0</v>
      </c>
      <c r="DZ159" s="373">
        <v>0</v>
      </c>
      <c r="EA159" s="373">
        <v>0</v>
      </c>
      <c r="EB159" s="373">
        <v>0</v>
      </c>
      <c r="EC159" s="373">
        <v>0</v>
      </c>
      <c r="ED159" s="373">
        <v>0</v>
      </c>
      <c r="EE159" s="374">
        <v>0</v>
      </c>
      <c r="EF159" s="373">
        <v>0</v>
      </c>
      <c r="EG159" s="373">
        <v>0</v>
      </c>
      <c r="EH159" s="373">
        <v>0</v>
      </c>
      <c r="EI159" s="373">
        <v>0</v>
      </c>
      <c r="EJ159" s="373">
        <v>0</v>
      </c>
      <c r="EK159" s="375">
        <f t="shared" si="281"/>
        <v>0</v>
      </c>
      <c r="EL159" s="177"/>
      <c r="EM159" s="373">
        <v>0</v>
      </c>
      <c r="EN159" s="373">
        <v>0</v>
      </c>
      <c r="EO159" s="373">
        <v>0</v>
      </c>
      <c r="EP159" s="373">
        <v>0</v>
      </c>
      <c r="EQ159" s="373">
        <v>0</v>
      </c>
      <c r="ER159" s="373">
        <v>0</v>
      </c>
      <c r="ES159" s="374">
        <v>0</v>
      </c>
      <c r="ET159" s="373">
        <v>0</v>
      </c>
      <c r="EU159" s="373">
        <v>0</v>
      </c>
      <c r="EV159" s="373">
        <v>0</v>
      </c>
      <c r="EW159" s="373">
        <v>0</v>
      </c>
      <c r="EX159" s="373">
        <v>0</v>
      </c>
      <c r="EY159" s="375">
        <f t="shared" si="283"/>
        <v>0</v>
      </c>
      <c r="EZ159" s="164">
        <v>0</v>
      </c>
      <c r="FA159" s="185">
        <v>0</v>
      </c>
    </row>
    <row r="160" spans="1:157" ht="18.75" customHeight="1">
      <c r="A160" s="185" t="s">
        <v>329</v>
      </c>
      <c r="B160" s="774"/>
      <c r="C160" s="176" t="s">
        <v>1006</v>
      </c>
      <c r="D160" s="176">
        <v>60406000</v>
      </c>
      <c r="E160" s="773"/>
      <c r="F160" s="320" t="s">
        <v>654</v>
      </c>
      <c r="G160" s="329"/>
      <c r="H160" s="373"/>
      <c r="I160" s="373"/>
      <c r="J160" s="373"/>
      <c r="K160" s="373"/>
      <c r="L160" s="373"/>
      <c r="M160" s="373"/>
      <c r="N160" s="374"/>
      <c r="O160" s="373"/>
      <c r="P160" s="373"/>
      <c r="Q160" s="373"/>
      <c r="R160" s="373"/>
      <c r="S160" s="377">
        <v>168200</v>
      </c>
      <c r="T160" s="375">
        <f t="shared" si="268"/>
        <v>168200</v>
      </c>
      <c r="U160" s="378">
        <f t="shared" si="269"/>
        <v>-151046</v>
      </c>
      <c r="V160" s="165">
        <f t="shared" si="270"/>
        <v>-8.8052932260697219</v>
      </c>
      <c r="W160" s="329"/>
      <c r="X160" s="373">
        <v>0</v>
      </c>
      <c r="Y160" s="373">
        <v>0</v>
      </c>
      <c r="Z160" s="373">
        <v>0</v>
      </c>
      <c r="AA160" s="373">
        <v>0</v>
      </c>
      <c r="AB160" s="373">
        <v>0</v>
      </c>
      <c r="AC160" s="373">
        <v>0</v>
      </c>
      <c r="AD160" s="374">
        <v>7260</v>
      </c>
      <c r="AE160" s="373">
        <v>0</v>
      </c>
      <c r="AF160" s="373">
        <v>0</v>
      </c>
      <c r="AG160" s="373">
        <v>0</v>
      </c>
      <c r="AH160" s="373">
        <v>0</v>
      </c>
      <c r="AI160" s="373">
        <v>9894</v>
      </c>
      <c r="AJ160" s="375">
        <f t="shared" si="271"/>
        <v>17154</v>
      </c>
      <c r="AK160" s="329"/>
      <c r="AL160" s="373">
        <v>0</v>
      </c>
      <c r="AM160" s="373">
        <v>0</v>
      </c>
      <c r="AN160" s="373">
        <v>0</v>
      </c>
      <c r="AO160" s="373">
        <v>0</v>
      </c>
      <c r="AP160" s="373">
        <v>0</v>
      </c>
      <c r="AQ160" s="373">
        <v>0</v>
      </c>
      <c r="AR160" s="374">
        <v>49200</v>
      </c>
      <c r="AS160" s="373">
        <v>0</v>
      </c>
      <c r="AT160" s="373">
        <v>9800</v>
      </c>
      <c r="AU160" s="373">
        <v>0</v>
      </c>
      <c r="AV160" s="373">
        <v>0</v>
      </c>
      <c r="AW160" s="373">
        <v>82000</v>
      </c>
      <c r="AX160" s="375">
        <v>141000</v>
      </c>
      <c r="AY160" s="378">
        <f t="shared" si="272"/>
        <v>-156348</v>
      </c>
      <c r="AZ160" s="165">
        <f t="shared" si="273"/>
        <v>10.186864738076622</v>
      </c>
      <c r="BA160" s="329"/>
      <c r="BB160" s="373">
        <v>0</v>
      </c>
      <c r="BC160" s="373">
        <v>0</v>
      </c>
      <c r="BD160" s="373">
        <v>0</v>
      </c>
      <c r="BE160" s="373">
        <v>0</v>
      </c>
      <c r="BF160" s="373">
        <v>7260</v>
      </c>
      <c r="BG160" s="373">
        <v>24236</v>
      </c>
      <c r="BH160" s="374">
        <v>-29960</v>
      </c>
      <c r="BI160" s="373">
        <v>0</v>
      </c>
      <c r="BJ160" s="373">
        <v>0</v>
      </c>
      <c r="BK160" s="373">
        <v>0</v>
      </c>
      <c r="BL160" s="373">
        <v>0</v>
      </c>
      <c r="BM160" s="373">
        <v>0</v>
      </c>
      <c r="BN160" s="402">
        <v>-15348</v>
      </c>
      <c r="BO160" s="329"/>
      <c r="BP160" s="374">
        <v>6000</v>
      </c>
      <c r="BQ160" s="374">
        <v>6000</v>
      </c>
      <c r="BR160" s="374">
        <v>6000</v>
      </c>
      <c r="BS160" s="374">
        <v>6000</v>
      </c>
      <c r="BT160" s="374">
        <v>6000</v>
      </c>
      <c r="BU160" s="374">
        <v>6000</v>
      </c>
      <c r="BV160" s="374">
        <v>6000</v>
      </c>
      <c r="BW160" s="374">
        <v>6000</v>
      </c>
      <c r="BX160" s="374">
        <v>6000</v>
      </c>
      <c r="BY160" s="374">
        <v>6000</v>
      </c>
      <c r="BZ160" s="374">
        <v>6000</v>
      </c>
      <c r="CA160" s="374">
        <v>6000</v>
      </c>
      <c r="CB160" s="402">
        <f t="shared" si="282"/>
        <v>72000</v>
      </c>
      <c r="CC160" s="776">
        <f t="shared" si="274"/>
        <v>87348</v>
      </c>
      <c r="CD160" s="775">
        <f t="shared" si="275"/>
        <v>1.2131666666666667</v>
      </c>
      <c r="CE160" s="772"/>
      <c r="CF160" s="374">
        <v>0</v>
      </c>
      <c r="CG160" s="374">
        <v>32200</v>
      </c>
      <c r="CH160" s="374">
        <v>30800</v>
      </c>
      <c r="CI160" s="374">
        <v>0</v>
      </c>
      <c r="CJ160" s="374">
        <v>2617.5400000000009</v>
      </c>
      <c r="CK160" s="374">
        <v>0</v>
      </c>
      <c r="CL160" s="374">
        <v>0</v>
      </c>
      <c r="CM160" s="374">
        <v>0</v>
      </c>
      <c r="CN160" s="374">
        <v>0</v>
      </c>
      <c r="CO160" s="374">
        <v>-2117.54</v>
      </c>
      <c r="CP160" s="374">
        <v>0</v>
      </c>
      <c r="CQ160" s="374">
        <v>0</v>
      </c>
      <c r="CR160" s="374">
        <v>0</v>
      </c>
      <c r="CS160" s="402">
        <f t="shared" si="276"/>
        <v>63500.000000000007</v>
      </c>
      <c r="CT160" s="776">
        <f t="shared" si="277"/>
        <v>78848</v>
      </c>
      <c r="CU160" s="165">
        <f t="shared" si="278"/>
        <v>1.2417007874015746</v>
      </c>
      <c r="CV160" s="329"/>
      <c r="CW160" s="373">
        <v>0</v>
      </c>
      <c r="CX160" s="373">
        <v>0</v>
      </c>
      <c r="CY160" s="373">
        <v>0</v>
      </c>
      <c r="CZ160" s="373">
        <v>0</v>
      </c>
      <c r="DA160" s="373">
        <v>0</v>
      </c>
      <c r="DB160" s="373">
        <v>0</v>
      </c>
      <c r="DC160" s="374">
        <v>0</v>
      </c>
      <c r="DD160" s="373">
        <v>0</v>
      </c>
      <c r="DE160" s="373">
        <v>0</v>
      </c>
      <c r="DF160" s="373">
        <v>0</v>
      </c>
      <c r="DG160" s="373">
        <v>24300</v>
      </c>
      <c r="DH160" s="373">
        <v>0</v>
      </c>
      <c r="DI160" s="375">
        <f t="shared" si="279"/>
        <v>24300</v>
      </c>
      <c r="DJ160" s="329"/>
      <c r="DK160" s="373">
        <v>0</v>
      </c>
      <c r="DL160" s="373">
        <v>0</v>
      </c>
      <c r="DM160" s="373">
        <v>0</v>
      </c>
      <c r="DN160" s="373">
        <v>0</v>
      </c>
      <c r="DO160" s="373">
        <v>0</v>
      </c>
      <c r="DP160" s="373">
        <v>0</v>
      </c>
      <c r="DQ160" s="374">
        <v>0</v>
      </c>
      <c r="DR160" s="373">
        <v>0</v>
      </c>
      <c r="DS160" s="373">
        <v>0</v>
      </c>
      <c r="DT160" s="373">
        <v>0</v>
      </c>
      <c r="DU160" s="373">
        <v>0</v>
      </c>
      <c r="DV160" s="373">
        <v>0</v>
      </c>
      <c r="DW160" s="375">
        <f t="shared" si="280"/>
        <v>0</v>
      </c>
      <c r="DY160" s="373">
        <v>0</v>
      </c>
      <c r="DZ160" s="373">
        <v>0</v>
      </c>
      <c r="EA160" s="373">
        <v>34800</v>
      </c>
      <c r="EB160" s="373">
        <v>0</v>
      </c>
      <c r="EC160" s="373">
        <v>0</v>
      </c>
      <c r="ED160" s="373">
        <v>0</v>
      </c>
      <c r="EE160" s="374">
        <v>0</v>
      </c>
      <c r="EF160" s="373">
        <v>0</v>
      </c>
      <c r="EG160" s="373">
        <v>7900</v>
      </c>
      <c r="EH160" s="373">
        <v>0</v>
      </c>
      <c r="EI160" s="373">
        <v>3000</v>
      </c>
      <c r="EJ160" s="373">
        <v>0</v>
      </c>
      <c r="EK160" s="375">
        <f t="shared" si="281"/>
        <v>45700</v>
      </c>
      <c r="EL160" s="177"/>
      <c r="EM160" s="373">
        <v>0</v>
      </c>
      <c r="EN160" s="373">
        <v>0</v>
      </c>
      <c r="EO160" s="373">
        <v>0</v>
      </c>
      <c r="EP160" s="373">
        <v>0</v>
      </c>
      <c r="EQ160" s="373">
        <v>0</v>
      </c>
      <c r="ER160" s="373">
        <v>0</v>
      </c>
      <c r="ES160" s="374">
        <v>0</v>
      </c>
      <c r="ET160" s="373">
        <v>0</v>
      </c>
      <c r="EU160" s="373">
        <v>0</v>
      </c>
      <c r="EV160" s="373">
        <v>0</v>
      </c>
      <c r="EW160" s="373">
        <v>0</v>
      </c>
      <c r="EX160" s="373">
        <v>11200</v>
      </c>
      <c r="EY160" s="375">
        <f t="shared" si="283"/>
        <v>11200</v>
      </c>
      <c r="EZ160" s="164">
        <v>0</v>
      </c>
      <c r="FA160" s="185">
        <v>0</v>
      </c>
    </row>
    <row r="161" spans="1:157" ht="18.75" customHeight="1">
      <c r="A161" s="185" t="s">
        <v>329</v>
      </c>
      <c r="B161" s="774"/>
      <c r="C161" s="176" t="s">
        <v>1005</v>
      </c>
      <c r="D161" s="176">
        <v>60407000</v>
      </c>
      <c r="E161" s="773"/>
      <c r="F161" s="320" t="s">
        <v>356</v>
      </c>
      <c r="G161" s="329"/>
      <c r="H161" s="373"/>
      <c r="I161" s="373"/>
      <c r="J161" s="373"/>
      <c r="K161" s="373"/>
      <c r="L161" s="373"/>
      <c r="M161" s="373"/>
      <c r="N161" s="374"/>
      <c r="O161" s="373"/>
      <c r="P161" s="373"/>
      <c r="Q161" s="373"/>
      <c r="R161" s="373"/>
      <c r="S161" s="377">
        <v>175900</v>
      </c>
      <c r="T161" s="375">
        <f t="shared" si="268"/>
        <v>175900</v>
      </c>
      <c r="U161" s="378">
        <f t="shared" si="269"/>
        <v>-122429.26999999999</v>
      </c>
      <c r="V161" s="165">
        <f t="shared" si="270"/>
        <v>-2.2896502441616184</v>
      </c>
      <c r="W161" s="329"/>
      <c r="X161" s="373">
        <v>412.71</v>
      </c>
      <c r="Y161" s="373">
        <v>5191.3100000000004</v>
      </c>
      <c r="Z161" s="373">
        <v>1839.61</v>
      </c>
      <c r="AA161" s="373">
        <v>3992.8</v>
      </c>
      <c r="AB161" s="373">
        <v>19422.580000000002</v>
      </c>
      <c r="AC161" s="373">
        <v>634</v>
      </c>
      <c r="AD161" s="374">
        <v>3274.34</v>
      </c>
      <c r="AE161" s="373">
        <v>1391.14</v>
      </c>
      <c r="AF161" s="373">
        <v>17062.64</v>
      </c>
      <c r="AG161" s="373">
        <v>136.88999999999999</v>
      </c>
      <c r="AH161" s="373">
        <v>0</v>
      </c>
      <c r="AI161" s="373">
        <v>112.71</v>
      </c>
      <c r="AJ161" s="375">
        <f t="shared" si="271"/>
        <v>53470.73</v>
      </c>
      <c r="AK161" s="329"/>
      <c r="AL161" s="373">
        <v>4750</v>
      </c>
      <c r="AM161" s="373">
        <v>4750</v>
      </c>
      <c r="AN161" s="373">
        <v>6850</v>
      </c>
      <c r="AO161" s="373">
        <v>4750</v>
      </c>
      <c r="AP161" s="373">
        <v>4750</v>
      </c>
      <c r="AQ161" s="373">
        <v>6850</v>
      </c>
      <c r="AR161" s="374">
        <v>4750</v>
      </c>
      <c r="AS161" s="373">
        <v>4750</v>
      </c>
      <c r="AT161" s="373">
        <v>6850</v>
      </c>
      <c r="AU161" s="373">
        <v>4750</v>
      </c>
      <c r="AV161" s="373">
        <v>4750</v>
      </c>
      <c r="AW161" s="373">
        <v>10350</v>
      </c>
      <c r="AX161" s="375">
        <v>68900</v>
      </c>
      <c r="AY161" s="378">
        <f t="shared" si="272"/>
        <v>-12170.489999999998</v>
      </c>
      <c r="AZ161" s="165">
        <f t="shared" si="273"/>
        <v>-0.21453543314581772</v>
      </c>
      <c r="BA161" s="329"/>
      <c r="BB161" s="373">
        <v>78.819999999999709</v>
      </c>
      <c r="BC161" s="373">
        <v>3957.9000000000015</v>
      </c>
      <c r="BD161" s="373">
        <v>2641.57</v>
      </c>
      <c r="BE161" s="373">
        <v>172.6</v>
      </c>
      <c r="BF161" s="373">
        <v>153.71</v>
      </c>
      <c r="BG161" s="373">
        <v>3221.7000000000007</v>
      </c>
      <c r="BH161" s="374">
        <v>339.78</v>
      </c>
      <c r="BI161" s="373">
        <v>46.24</v>
      </c>
      <c r="BJ161" s="373">
        <v>682.2300000000032</v>
      </c>
      <c r="BK161" s="373">
        <v>51434.78</v>
      </c>
      <c r="BL161" s="373">
        <v>-1921.92</v>
      </c>
      <c r="BM161" s="373">
        <v>6588.1</v>
      </c>
      <c r="BN161" s="402">
        <v>56729.51</v>
      </c>
      <c r="BO161" s="329"/>
      <c r="BP161" s="374">
        <v>5666.666666666667</v>
      </c>
      <c r="BQ161" s="374">
        <v>5666.666666666667</v>
      </c>
      <c r="BR161" s="374">
        <v>6166.6666666666679</v>
      </c>
      <c r="BS161" s="374">
        <v>7666.666666666667</v>
      </c>
      <c r="BT161" s="374">
        <v>5666.666666666667</v>
      </c>
      <c r="BU161" s="374">
        <v>6166.6666666666679</v>
      </c>
      <c r="BV161" s="374">
        <v>5666.666666666667</v>
      </c>
      <c r="BW161" s="374">
        <v>7666.666666666667</v>
      </c>
      <c r="BX161" s="374">
        <v>6166.6666666666679</v>
      </c>
      <c r="BY161" s="374">
        <v>5666.666666666667</v>
      </c>
      <c r="BZ161" s="374">
        <v>5666.666666666667</v>
      </c>
      <c r="CA161" s="374">
        <v>8166.6666666666642</v>
      </c>
      <c r="CB161" s="402">
        <f t="shared" si="282"/>
        <v>76000</v>
      </c>
      <c r="CC161" s="776">
        <f t="shared" si="274"/>
        <v>19270.489999999998</v>
      </c>
      <c r="CD161" s="775">
        <f t="shared" si="275"/>
        <v>0.2535590789473684</v>
      </c>
      <c r="CE161" s="772"/>
      <c r="CF161" s="374">
        <v>12853.11</v>
      </c>
      <c r="CG161" s="374">
        <v>2098.0700000000002</v>
      </c>
      <c r="CH161" s="374">
        <v>891.19999999999982</v>
      </c>
      <c r="CI161" s="374">
        <v>562.30999999999995</v>
      </c>
      <c r="CJ161" s="374">
        <v>7755.12</v>
      </c>
      <c r="CK161" s="374">
        <v>9925.98</v>
      </c>
      <c r="CL161" s="374">
        <v>1099.8699999999953</v>
      </c>
      <c r="CM161" s="374">
        <v>132</v>
      </c>
      <c r="CN161" s="374">
        <v>0</v>
      </c>
      <c r="CO161" s="374">
        <v>47665.69</v>
      </c>
      <c r="CP161" s="374">
        <v>501.54</v>
      </c>
      <c r="CQ161" s="374">
        <v>1194.4699999999998</v>
      </c>
      <c r="CR161" s="374">
        <v>0</v>
      </c>
      <c r="CS161" s="402">
        <f t="shared" si="276"/>
        <v>84679.360000000001</v>
      </c>
      <c r="CT161" s="776">
        <f t="shared" si="277"/>
        <v>27949.85</v>
      </c>
      <c r="CU161" s="165">
        <f t="shared" si="278"/>
        <v>0.33006685454401163</v>
      </c>
      <c r="CV161" s="329"/>
      <c r="CW161" s="373">
        <v>575.47</v>
      </c>
      <c r="CX161" s="373">
        <v>0</v>
      </c>
      <c r="CY161" s="373">
        <v>329.29</v>
      </c>
      <c r="CZ161" s="373">
        <v>917.23</v>
      </c>
      <c r="DA161" s="373">
        <v>727.33</v>
      </c>
      <c r="DB161" s="373">
        <v>803.03</v>
      </c>
      <c r="DC161" s="374">
        <v>791.43</v>
      </c>
      <c r="DD161" s="373">
        <v>36.409999999999997</v>
      </c>
      <c r="DE161" s="373">
        <v>2892.25</v>
      </c>
      <c r="DF161" s="373">
        <v>6973.81</v>
      </c>
      <c r="DG161" s="373">
        <v>659.7</v>
      </c>
      <c r="DH161" s="373">
        <v>1306.3800000000001</v>
      </c>
      <c r="DI161" s="375">
        <f t="shared" si="279"/>
        <v>16012.330000000002</v>
      </c>
      <c r="DJ161" s="329"/>
      <c r="DK161" s="373">
        <v>699.27</v>
      </c>
      <c r="DL161" s="373">
        <v>894.34</v>
      </c>
      <c r="DM161" s="373">
        <v>172.33</v>
      </c>
      <c r="DN161" s="373">
        <v>-7415.9</v>
      </c>
      <c r="DO161" s="373">
        <v>838</v>
      </c>
      <c r="DP161" s="373">
        <v>348.24</v>
      </c>
      <c r="DQ161" s="374">
        <v>7.05</v>
      </c>
      <c r="DR161" s="373">
        <v>2523.08</v>
      </c>
      <c r="DS161" s="373">
        <v>126</v>
      </c>
      <c r="DT161" s="373">
        <v>1375.64</v>
      </c>
      <c r="DU161" s="373">
        <v>1271.8499999999999</v>
      </c>
      <c r="DV161" s="373">
        <v>184.4</v>
      </c>
      <c r="DW161" s="375">
        <f t="shared" si="280"/>
        <v>1024.3000000000009</v>
      </c>
      <c r="DY161" s="373">
        <v>1247.33</v>
      </c>
      <c r="DZ161" s="373">
        <v>120.98</v>
      </c>
      <c r="EA161" s="373">
        <v>39.86</v>
      </c>
      <c r="EB161" s="373">
        <v>-48.19</v>
      </c>
      <c r="EC161" s="373">
        <v>1368.61</v>
      </c>
      <c r="ED161" s="373">
        <v>7949.8</v>
      </c>
      <c r="EE161" s="374">
        <v>598.33000000000004</v>
      </c>
      <c r="EF161" s="373">
        <v>305.13</v>
      </c>
      <c r="EG161" s="373">
        <v>-1703.73</v>
      </c>
      <c r="EH161" s="373">
        <v>119.8</v>
      </c>
      <c r="EI161" s="373">
        <v>788.59</v>
      </c>
      <c r="EJ161" s="373">
        <v>44.79</v>
      </c>
      <c r="EK161" s="375">
        <f t="shared" si="281"/>
        <v>10831.3</v>
      </c>
      <c r="EL161" s="177"/>
      <c r="EM161" s="373">
        <v>0</v>
      </c>
      <c r="EN161" s="373">
        <v>0</v>
      </c>
      <c r="EO161" s="373">
        <v>0</v>
      </c>
      <c r="EP161" s="373">
        <v>0</v>
      </c>
      <c r="EQ161" s="373">
        <v>0</v>
      </c>
      <c r="ER161" s="373">
        <v>0</v>
      </c>
      <c r="ES161" s="374">
        <v>0</v>
      </c>
      <c r="ET161" s="373">
        <v>0</v>
      </c>
      <c r="EU161" s="373">
        <v>0</v>
      </c>
      <c r="EV161" s="373">
        <v>0</v>
      </c>
      <c r="EW161" s="373">
        <v>0</v>
      </c>
      <c r="EX161" s="373">
        <v>11574.07</v>
      </c>
      <c r="EY161" s="375">
        <f t="shared" si="283"/>
        <v>11574.07</v>
      </c>
      <c r="EZ161" s="164">
        <v>0</v>
      </c>
      <c r="FA161" s="185">
        <v>0</v>
      </c>
    </row>
    <row r="162" spans="1:157" ht="18.75" customHeight="1">
      <c r="A162" s="185" t="s">
        <v>329</v>
      </c>
      <c r="B162" s="774"/>
      <c r="C162" s="176" t="s">
        <v>1004</v>
      </c>
      <c r="D162" s="176">
        <v>60408000</v>
      </c>
      <c r="E162" s="773"/>
      <c r="F162" s="320" t="s">
        <v>359</v>
      </c>
      <c r="G162" s="329"/>
      <c r="H162" s="373"/>
      <c r="I162" s="373"/>
      <c r="J162" s="373"/>
      <c r="K162" s="373"/>
      <c r="L162" s="373"/>
      <c r="M162" s="373"/>
      <c r="N162" s="374"/>
      <c r="O162" s="373"/>
      <c r="P162" s="373"/>
      <c r="Q162" s="373"/>
      <c r="R162" s="373"/>
      <c r="S162" s="377">
        <v>159605</v>
      </c>
      <c r="T162" s="375">
        <f t="shared" si="268"/>
        <v>159605</v>
      </c>
      <c r="U162" s="378">
        <f t="shared" si="269"/>
        <v>0</v>
      </c>
      <c r="V162" s="165">
        <f t="shared" si="270"/>
        <v>0</v>
      </c>
      <c r="W162" s="329"/>
      <c r="X162" s="373">
        <v>0</v>
      </c>
      <c r="Y162" s="373">
        <v>0</v>
      </c>
      <c r="Z162" s="373">
        <v>0</v>
      </c>
      <c r="AA162" s="373">
        <v>0</v>
      </c>
      <c r="AB162" s="373">
        <v>0</v>
      </c>
      <c r="AC162" s="373">
        <v>18000</v>
      </c>
      <c r="AD162" s="374">
        <v>0</v>
      </c>
      <c r="AE162" s="373">
        <v>54000</v>
      </c>
      <c r="AF162" s="373">
        <v>18000</v>
      </c>
      <c r="AG162" s="373">
        <v>18000</v>
      </c>
      <c r="AH162" s="373">
        <v>0</v>
      </c>
      <c r="AI162" s="373">
        <v>51605</v>
      </c>
      <c r="AJ162" s="375">
        <f t="shared" si="271"/>
        <v>159605</v>
      </c>
      <c r="AK162" s="329"/>
      <c r="AL162" s="373">
        <v>18000</v>
      </c>
      <c r="AM162" s="373">
        <v>18000</v>
      </c>
      <c r="AN162" s="373">
        <v>18000</v>
      </c>
      <c r="AO162" s="373">
        <v>18000</v>
      </c>
      <c r="AP162" s="373">
        <v>18000</v>
      </c>
      <c r="AQ162" s="373">
        <v>18000</v>
      </c>
      <c r="AR162" s="374">
        <v>18000</v>
      </c>
      <c r="AS162" s="373">
        <v>18000</v>
      </c>
      <c r="AT162" s="373">
        <v>18000</v>
      </c>
      <c r="AU162" s="373">
        <v>18000</v>
      </c>
      <c r="AV162" s="373">
        <v>18000</v>
      </c>
      <c r="AW162" s="373">
        <v>18000</v>
      </c>
      <c r="AX162" s="375">
        <v>216000</v>
      </c>
      <c r="AY162" s="378">
        <f t="shared" si="272"/>
        <v>98869</v>
      </c>
      <c r="AZ162" s="165">
        <f t="shared" si="273"/>
        <v>0.31400042557381008</v>
      </c>
      <c r="BA162" s="329"/>
      <c r="BB162" s="373">
        <v>72000</v>
      </c>
      <c r="BC162" s="373">
        <v>42830</v>
      </c>
      <c r="BD162" s="373">
        <v>36000</v>
      </c>
      <c r="BE162" s="373">
        <v>0</v>
      </c>
      <c r="BF162" s="373">
        <v>72000</v>
      </c>
      <c r="BG162" s="373">
        <v>107743</v>
      </c>
      <c r="BH162" s="374">
        <v>51416</v>
      </c>
      <c r="BI162" s="373">
        <v>40880</v>
      </c>
      <c r="BJ162" s="373">
        <v>-108000</v>
      </c>
      <c r="BK162" s="373">
        <v>0</v>
      </c>
      <c r="BL162" s="373">
        <v>0</v>
      </c>
      <c r="BM162" s="373">
        <v>0</v>
      </c>
      <c r="BN162" s="402">
        <v>314869</v>
      </c>
      <c r="BO162" s="329"/>
      <c r="BP162" s="374">
        <v>25166.666666666668</v>
      </c>
      <c r="BQ162" s="374">
        <v>25166.666666666668</v>
      </c>
      <c r="BR162" s="374">
        <v>25166.666666666668</v>
      </c>
      <c r="BS162" s="374">
        <v>25166.666666666668</v>
      </c>
      <c r="BT162" s="374">
        <v>25166.666666666668</v>
      </c>
      <c r="BU162" s="374">
        <v>25166.666666666668</v>
      </c>
      <c r="BV162" s="374">
        <v>25166.666666666668</v>
      </c>
      <c r="BW162" s="374">
        <v>25166.666666666668</v>
      </c>
      <c r="BX162" s="374">
        <v>25166.666666666668</v>
      </c>
      <c r="BY162" s="374">
        <v>25166.666666666668</v>
      </c>
      <c r="BZ162" s="374">
        <v>25166.666666666668</v>
      </c>
      <c r="CA162" s="374">
        <v>25166.666666666686</v>
      </c>
      <c r="CB162" s="402">
        <f t="shared" si="282"/>
        <v>302000</v>
      </c>
      <c r="CC162" s="776">
        <f t="shared" si="274"/>
        <v>-12869</v>
      </c>
      <c r="CD162" s="775">
        <f t="shared" si="275"/>
        <v>-4.2612582781456951E-2</v>
      </c>
      <c r="CE162" s="772"/>
      <c r="CF162" s="374">
        <v>2365</v>
      </c>
      <c r="CG162" s="374">
        <v>79272</v>
      </c>
      <c r="CH162" s="374">
        <v>0</v>
      </c>
      <c r="CI162" s="374">
        <v>39175</v>
      </c>
      <c r="CJ162" s="374">
        <v>37960</v>
      </c>
      <c r="CK162" s="374">
        <v>82435</v>
      </c>
      <c r="CL162" s="374">
        <v>0</v>
      </c>
      <c r="CM162" s="374">
        <v>36000</v>
      </c>
      <c r="CN162" s="374">
        <v>36000</v>
      </c>
      <c r="CO162" s="374">
        <v>72000</v>
      </c>
      <c r="CP162" s="374">
        <v>36000</v>
      </c>
      <c r="CQ162" s="374">
        <v>0</v>
      </c>
      <c r="CR162" s="374">
        <v>0</v>
      </c>
      <c r="CS162" s="402">
        <f t="shared" si="276"/>
        <v>421207</v>
      </c>
      <c r="CT162" s="776">
        <f>CS162-BN162</f>
        <v>106338</v>
      </c>
      <c r="CU162" s="165">
        <f t="shared" si="278"/>
        <v>0.25246019178218787</v>
      </c>
      <c r="CV162" s="329"/>
      <c r="CW162" s="373">
        <v>36000</v>
      </c>
      <c r="CX162" s="373">
        <v>0</v>
      </c>
      <c r="CY162" s="373">
        <v>76256</v>
      </c>
      <c r="CZ162" s="373">
        <v>112202</v>
      </c>
      <c r="DA162" s="373">
        <v>9778</v>
      </c>
      <c r="DB162" s="373">
        <v>46860</v>
      </c>
      <c r="DC162" s="374">
        <v>36000</v>
      </c>
      <c r="DD162" s="373">
        <v>49914</v>
      </c>
      <c r="DE162" s="373">
        <v>42755</v>
      </c>
      <c r="DF162" s="373">
        <v>41275</v>
      </c>
      <c r="DG162" s="373">
        <v>36000</v>
      </c>
      <c r="DH162" s="373">
        <v>36000</v>
      </c>
      <c r="DI162" s="375">
        <f t="shared" si="279"/>
        <v>523040</v>
      </c>
      <c r="DJ162" s="329"/>
      <c r="DK162" s="373">
        <v>0</v>
      </c>
      <c r="DL162" s="373">
        <v>0</v>
      </c>
      <c r="DM162" s="373">
        <v>108000</v>
      </c>
      <c r="DN162" s="373">
        <v>0</v>
      </c>
      <c r="DO162" s="373">
        <v>0</v>
      </c>
      <c r="DP162" s="373">
        <v>72000</v>
      </c>
      <c r="DQ162" s="374">
        <v>36000</v>
      </c>
      <c r="DR162" s="373">
        <v>9390</v>
      </c>
      <c r="DS162" s="373">
        <v>76256</v>
      </c>
      <c r="DT162" s="373">
        <v>37867</v>
      </c>
      <c r="DU162" s="373">
        <v>36000</v>
      </c>
      <c r="DV162" s="373">
        <v>38714</v>
      </c>
      <c r="DW162" s="375">
        <f t="shared" si="280"/>
        <v>414227</v>
      </c>
      <c r="DY162" s="373">
        <v>0</v>
      </c>
      <c r="DZ162" s="373">
        <v>0</v>
      </c>
      <c r="EA162" s="373">
        <v>0</v>
      </c>
      <c r="EB162" s="373">
        <v>0</v>
      </c>
      <c r="EC162" s="373">
        <v>0</v>
      </c>
      <c r="ED162" s="373">
        <v>0</v>
      </c>
      <c r="EE162" s="374">
        <v>0</v>
      </c>
      <c r="EF162" s="373">
        <v>0</v>
      </c>
      <c r="EG162" s="373">
        <v>0</v>
      </c>
      <c r="EH162" s="373">
        <v>0</v>
      </c>
      <c r="EI162" s="373">
        <v>0</v>
      </c>
      <c r="EJ162" s="373">
        <v>0</v>
      </c>
      <c r="EK162" s="375">
        <f t="shared" si="281"/>
        <v>0</v>
      </c>
      <c r="EL162" s="177"/>
      <c r="EM162" s="373">
        <v>0</v>
      </c>
      <c r="EN162" s="373">
        <v>0</v>
      </c>
      <c r="EO162" s="373">
        <v>0</v>
      </c>
      <c r="EP162" s="373">
        <v>0</v>
      </c>
      <c r="EQ162" s="373">
        <v>0</v>
      </c>
      <c r="ER162" s="373">
        <v>0</v>
      </c>
      <c r="ES162" s="374">
        <v>0</v>
      </c>
      <c r="ET162" s="373">
        <v>0</v>
      </c>
      <c r="EU162" s="373">
        <v>0</v>
      </c>
      <c r="EV162" s="373">
        <v>0</v>
      </c>
      <c r="EW162" s="373">
        <v>0</v>
      </c>
      <c r="EX162" s="373">
        <v>0</v>
      </c>
      <c r="EY162" s="375">
        <f t="shared" si="283"/>
        <v>0</v>
      </c>
      <c r="EZ162" s="164">
        <v>0</v>
      </c>
      <c r="FA162" s="185">
        <v>0</v>
      </c>
    </row>
    <row r="163" spans="1:157" ht="18.75" customHeight="1">
      <c r="A163" s="185" t="s">
        <v>329</v>
      </c>
      <c r="B163" s="774"/>
      <c r="C163" s="176" t="s">
        <v>1003</v>
      </c>
      <c r="D163" s="176">
        <v>60409000</v>
      </c>
      <c r="E163" s="773"/>
      <c r="F163" s="320" t="s">
        <v>358</v>
      </c>
      <c r="G163" s="329"/>
      <c r="H163" s="373"/>
      <c r="I163" s="373"/>
      <c r="J163" s="373"/>
      <c r="K163" s="373"/>
      <c r="L163" s="373"/>
      <c r="M163" s="373"/>
      <c r="N163" s="374"/>
      <c r="O163" s="373"/>
      <c r="P163" s="373"/>
      <c r="Q163" s="373"/>
      <c r="R163" s="373"/>
      <c r="S163" s="377">
        <v>565707</v>
      </c>
      <c r="T163" s="375">
        <f t="shared" si="268"/>
        <v>565707</v>
      </c>
      <c r="U163" s="776">
        <f t="shared" si="269"/>
        <v>414509.89</v>
      </c>
      <c r="V163" s="775">
        <f t="shared" si="270"/>
        <v>0.42287568621675148</v>
      </c>
      <c r="W163" s="329"/>
      <c r="X163" s="373">
        <v>0</v>
      </c>
      <c r="Y163" s="373">
        <v>68000</v>
      </c>
      <c r="Z163" s="373">
        <v>68000</v>
      </c>
      <c r="AA163" s="373">
        <v>0</v>
      </c>
      <c r="AB163" s="373">
        <v>0</v>
      </c>
      <c r="AC163" s="373">
        <v>12000</v>
      </c>
      <c r="AD163" s="374">
        <v>16000</v>
      </c>
      <c r="AE163" s="373">
        <v>0</v>
      </c>
      <c r="AF163" s="373">
        <v>2111.6</v>
      </c>
      <c r="AG163" s="373">
        <v>0</v>
      </c>
      <c r="AH163" s="373">
        <v>-2111.6</v>
      </c>
      <c r="AI163" s="373">
        <v>816216.89</v>
      </c>
      <c r="AJ163" s="375">
        <f t="shared" si="271"/>
        <v>980216.89</v>
      </c>
      <c r="AK163" s="329"/>
      <c r="AL163" s="373">
        <v>0</v>
      </c>
      <c r="AM163" s="373">
        <v>0</v>
      </c>
      <c r="AN163" s="373">
        <v>6250</v>
      </c>
      <c r="AO163" s="373">
        <v>0</v>
      </c>
      <c r="AP163" s="373">
        <v>0</v>
      </c>
      <c r="AQ163" s="373">
        <v>6250</v>
      </c>
      <c r="AR163" s="374">
        <v>30000</v>
      </c>
      <c r="AS163" s="373">
        <v>0</v>
      </c>
      <c r="AT163" s="373">
        <v>6250</v>
      </c>
      <c r="AU163" s="373">
        <v>0</v>
      </c>
      <c r="AV163" s="373">
        <v>0</v>
      </c>
      <c r="AW163" s="373">
        <v>236250</v>
      </c>
      <c r="AX163" s="375">
        <v>5000</v>
      </c>
      <c r="AY163" s="776">
        <f t="shared" si="272"/>
        <v>16868.71</v>
      </c>
      <c r="AZ163" s="775">
        <f t="shared" si="273"/>
        <v>0.77136282844301285</v>
      </c>
      <c r="BA163" s="329"/>
      <c r="BB163" s="373">
        <v>16500</v>
      </c>
      <c r="BC163" s="373">
        <v>0</v>
      </c>
      <c r="BD163" s="373">
        <v>0</v>
      </c>
      <c r="BE163" s="373">
        <v>0</v>
      </c>
      <c r="BF163" s="373">
        <v>0</v>
      </c>
      <c r="BG163" s="373">
        <v>1928.71</v>
      </c>
      <c r="BH163" s="374">
        <v>0</v>
      </c>
      <c r="BI163" s="373">
        <v>0</v>
      </c>
      <c r="BJ163" s="373">
        <v>0</v>
      </c>
      <c r="BK163" s="373">
        <v>0</v>
      </c>
      <c r="BL163" s="373">
        <v>3440</v>
      </c>
      <c r="BM163" s="373">
        <v>0</v>
      </c>
      <c r="BN163" s="402">
        <v>21868.71</v>
      </c>
      <c r="BO163" s="329"/>
      <c r="BP163" s="374">
        <v>23333.333333333336</v>
      </c>
      <c r="BQ163" s="374">
        <v>23333.333333333336</v>
      </c>
      <c r="BR163" s="374">
        <v>23333.333333333336</v>
      </c>
      <c r="BS163" s="374">
        <v>23333.333333333336</v>
      </c>
      <c r="BT163" s="374">
        <v>23333.333333333336</v>
      </c>
      <c r="BU163" s="374">
        <v>23333.333333333336</v>
      </c>
      <c r="BV163" s="374">
        <v>23333.333333333336</v>
      </c>
      <c r="BW163" s="374">
        <v>23333.333333333336</v>
      </c>
      <c r="BX163" s="374">
        <v>23333.333333333336</v>
      </c>
      <c r="BY163" s="374">
        <v>23333.333333333336</v>
      </c>
      <c r="BZ163" s="374">
        <v>23333.333333333336</v>
      </c>
      <c r="CA163" s="374">
        <v>23333.333333333358</v>
      </c>
      <c r="CB163" s="402">
        <f t="shared" si="282"/>
        <v>280000.00000000012</v>
      </c>
      <c r="CC163" s="776">
        <f t="shared" si="274"/>
        <v>258131.29000000012</v>
      </c>
      <c r="CD163" s="775">
        <f t="shared" si="275"/>
        <v>0.9218974642857144</v>
      </c>
      <c r="CE163" s="772"/>
      <c r="CF163" s="374">
        <v>450200.4</v>
      </c>
      <c r="CG163" s="374">
        <v>45000</v>
      </c>
      <c r="CH163" s="374">
        <v>0</v>
      </c>
      <c r="CI163" s="374">
        <v>0</v>
      </c>
      <c r="CJ163" s="374">
        <v>83367</v>
      </c>
      <c r="CK163" s="374">
        <v>43870</v>
      </c>
      <c r="CL163" s="374">
        <v>-20000</v>
      </c>
      <c r="CM163" s="374">
        <v>94700</v>
      </c>
      <c r="CN163" s="374">
        <v>48400</v>
      </c>
      <c r="CO163" s="374">
        <v>75900</v>
      </c>
      <c r="CP163" s="374">
        <v>3440</v>
      </c>
      <c r="CQ163" s="374">
        <v>0</v>
      </c>
      <c r="CR163" s="374">
        <v>0</v>
      </c>
      <c r="CS163" s="402">
        <f t="shared" si="276"/>
        <v>824877.4</v>
      </c>
      <c r="CT163" s="776">
        <f t="shared" si="277"/>
        <v>803008.69000000006</v>
      </c>
      <c r="CU163" s="165">
        <f t="shared" si="278"/>
        <v>0.97348853296259541</v>
      </c>
      <c r="CV163" s="329"/>
      <c r="CW163" s="373">
        <v>0</v>
      </c>
      <c r="CX163" s="373">
        <v>0</v>
      </c>
      <c r="CY163" s="373">
        <v>22467</v>
      </c>
      <c r="CZ163" s="373">
        <v>500880</v>
      </c>
      <c r="DA163" s="373">
        <v>101016.2</v>
      </c>
      <c r="DB163" s="373">
        <v>30581.67</v>
      </c>
      <c r="DC163" s="374">
        <v>14443</v>
      </c>
      <c r="DD163" s="373">
        <v>72700</v>
      </c>
      <c r="DE163" s="373">
        <v>65140</v>
      </c>
      <c r="DF163" s="373">
        <v>158000</v>
      </c>
      <c r="DG163" s="373">
        <v>158000</v>
      </c>
      <c r="DH163" s="373">
        <v>4177.25</v>
      </c>
      <c r="DI163" s="375">
        <f t="shared" si="279"/>
        <v>1127405.1200000001</v>
      </c>
      <c r="DJ163" s="329"/>
      <c r="DK163" s="373">
        <v>6300</v>
      </c>
      <c r="DL163" s="373">
        <v>105521</v>
      </c>
      <c r="DM163" s="373">
        <v>34990.800000000003</v>
      </c>
      <c r="DN163" s="373">
        <v>6567</v>
      </c>
      <c r="DO163" s="373">
        <v>4998.8</v>
      </c>
      <c r="DP163" s="373">
        <v>194431.68</v>
      </c>
      <c r="DQ163" s="374">
        <v>1500</v>
      </c>
      <c r="DR163" s="373">
        <v>13503.95</v>
      </c>
      <c r="DS163" s="373">
        <v>0</v>
      </c>
      <c r="DT163" s="373">
        <v>460474.15</v>
      </c>
      <c r="DU163" s="373">
        <v>0</v>
      </c>
      <c r="DV163" s="373">
        <v>0</v>
      </c>
      <c r="DW163" s="375">
        <f t="shared" si="280"/>
        <v>828287.38</v>
      </c>
      <c r="DY163" s="373">
        <v>0</v>
      </c>
      <c r="DZ163" s="373">
        <v>0</v>
      </c>
      <c r="EA163" s="373">
        <v>0</v>
      </c>
      <c r="EB163" s="373">
        <v>0</v>
      </c>
      <c r="EC163" s="373">
        <v>0</v>
      </c>
      <c r="ED163" s="373">
        <v>0</v>
      </c>
      <c r="EE163" s="374">
        <v>0</v>
      </c>
      <c r="EF163" s="373">
        <v>0</v>
      </c>
      <c r="EG163" s="373">
        <v>0</v>
      </c>
      <c r="EH163" s="373">
        <v>0</v>
      </c>
      <c r="EI163" s="373">
        <v>0</v>
      </c>
      <c r="EJ163" s="373">
        <v>0</v>
      </c>
      <c r="EK163" s="375">
        <f t="shared" si="281"/>
        <v>0</v>
      </c>
      <c r="EL163" s="177"/>
      <c r="EM163" s="373">
        <v>0</v>
      </c>
      <c r="EN163" s="373">
        <v>0</v>
      </c>
      <c r="EO163" s="373">
        <v>0</v>
      </c>
      <c r="EP163" s="373">
        <v>0</v>
      </c>
      <c r="EQ163" s="373">
        <v>0</v>
      </c>
      <c r="ER163" s="373">
        <v>0</v>
      </c>
      <c r="ES163" s="374">
        <v>0</v>
      </c>
      <c r="ET163" s="373">
        <v>0</v>
      </c>
      <c r="EU163" s="373">
        <v>0</v>
      </c>
      <c r="EV163" s="373">
        <v>0</v>
      </c>
      <c r="EW163" s="373">
        <v>0</v>
      </c>
      <c r="EX163" s="373">
        <v>0</v>
      </c>
      <c r="EY163" s="375">
        <f t="shared" si="283"/>
        <v>0</v>
      </c>
      <c r="EZ163" s="164">
        <v>0</v>
      </c>
      <c r="FA163" s="185">
        <v>0</v>
      </c>
    </row>
    <row r="164" spans="1:157" ht="18.75" customHeight="1">
      <c r="A164" s="185" t="s">
        <v>329</v>
      </c>
      <c r="B164" s="774"/>
      <c r="C164" s="176" t="s">
        <v>1172</v>
      </c>
      <c r="D164" s="176">
        <v>60410000</v>
      </c>
      <c r="E164" s="773"/>
      <c r="F164" s="320" t="s">
        <v>1173</v>
      </c>
      <c r="G164" s="329"/>
      <c r="H164" s="373"/>
      <c r="I164" s="373"/>
      <c r="J164" s="373"/>
      <c r="K164" s="373"/>
      <c r="L164" s="373"/>
      <c r="M164" s="373"/>
      <c r="N164" s="374"/>
      <c r="O164" s="373"/>
      <c r="P164" s="373"/>
      <c r="Q164" s="373"/>
      <c r="R164" s="373"/>
      <c r="S164" s="377">
        <v>1053483.8700000001</v>
      </c>
      <c r="T164" s="375">
        <f t="shared" si="268"/>
        <v>1053483.8700000001</v>
      </c>
      <c r="U164" s="776">
        <f t="shared" si="269"/>
        <v>0</v>
      </c>
      <c r="V164" s="775">
        <f t="shared" si="270"/>
        <v>0</v>
      </c>
      <c r="W164" s="329"/>
      <c r="X164" s="373">
        <v>0</v>
      </c>
      <c r="Y164" s="373">
        <v>0</v>
      </c>
      <c r="Z164" s="373">
        <v>25767.41</v>
      </c>
      <c r="AA164" s="373">
        <v>42991.13</v>
      </c>
      <c r="AB164" s="373">
        <v>40102.53</v>
      </c>
      <c r="AC164" s="373">
        <v>0</v>
      </c>
      <c r="AD164" s="374">
        <v>0</v>
      </c>
      <c r="AE164" s="373">
        <v>101682.69</v>
      </c>
      <c r="AF164" s="373">
        <v>0</v>
      </c>
      <c r="AG164" s="373">
        <v>0</v>
      </c>
      <c r="AH164" s="373">
        <v>0</v>
      </c>
      <c r="AI164" s="373">
        <v>842940.11</v>
      </c>
      <c r="AJ164" s="375">
        <f t="shared" si="271"/>
        <v>1053483.8700000001</v>
      </c>
      <c r="AK164" s="329"/>
      <c r="AL164" s="373">
        <v>0</v>
      </c>
      <c r="AM164" s="373">
        <v>0</v>
      </c>
      <c r="AN164" s="373">
        <v>0</v>
      </c>
      <c r="AO164" s="373">
        <v>0</v>
      </c>
      <c r="AP164" s="373">
        <v>0</v>
      </c>
      <c r="AQ164" s="373">
        <v>0</v>
      </c>
      <c r="AR164" s="374">
        <v>0</v>
      </c>
      <c r="AS164" s="373">
        <v>0</v>
      </c>
      <c r="AT164" s="373">
        <v>0</v>
      </c>
      <c r="AU164" s="373">
        <v>0</v>
      </c>
      <c r="AV164" s="373">
        <v>0</v>
      </c>
      <c r="AW164" s="373">
        <v>20000</v>
      </c>
      <c r="AX164" s="375">
        <v>-70000</v>
      </c>
      <c r="AY164" s="776">
        <f t="shared" si="272"/>
        <v>401833.42</v>
      </c>
      <c r="AZ164" s="775">
        <f t="shared" si="273"/>
        <v>1.2109492166280298</v>
      </c>
      <c r="BA164" s="329"/>
      <c r="BB164" s="373">
        <v>0</v>
      </c>
      <c r="BC164" s="373">
        <v>0</v>
      </c>
      <c r="BD164" s="373">
        <v>0</v>
      </c>
      <c r="BE164" s="373">
        <v>0</v>
      </c>
      <c r="BF164" s="373">
        <v>0</v>
      </c>
      <c r="BG164" s="373">
        <v>0</v>
      </c>
      <c r="BH164" s="374">
        <v>0</v>
      </c>
      <c r="BI164" s="373">
        <v>0</v>
      </c>
      <c r="BJ164" s="373">
        <v>0</v>
      </c>
      <c r="BK164" s="373">
        <v>0</v>
      </c>
      <c r="BL164" s="373">
        <v>0</v>
      </c>
      <c r="BM164" s="373">
        <v>331833.42</v>
      </c>
      <c r="BN164" s="402">
        <v>331833.42</v>
      </c>
      <c r="BO164" s="329"/>
      <c r="BP164" s="374"/>
      <c r="BQ164" s="374"/>
      <c r="BR164" s="374"/>
      <c r="BS164" s="374"/>
      <c r="BT164" s="374"/>
      <c r="BU164" s="374"/>
      <c r="BV164" s="374"/>
      <c r="BW164" s="374"/>
      <c r="BX164" s="374"/>
      <c r="BY164" s="374"/>
      <c r="BZ164" s="374"/>
      <c r="CA164" s="374"/>
      <c r="CB164" s="402">
        <f>SUM(BP164:CA164)</f>
        <v>0</v>
      </c>
      <c r="CC164" s="776">
        <f t="shared" si="274"/>
        <v>-331833.42</v>
      </c>
      <c r="CD164" s="775" t="str">
        <f t="shared" si="275"/>
        <v>N/A</v>
      </c>
      <c r="CE164" s="772"/>
      <c r="CF164" s="374"/>
      <c r="CG164" s="374"/>
      <c r="CH164" s="374"/>
      <c r="CI164" s="374"/>
      <c r="CJ164" s="374"/>
      <c r="CK164" s="374"/>
      <c r="CL164" s="374"/>
      <c r="CM164" s="374"/>
      <c r="CN164" s="374"/>
      <c r="CO164" s="374"/>
      <c r="CP164" s="374"/>
      <c r="CQ164" s="374"/>
      <c r="CR164" s="374"/>
      <c r="CS164" s="402"/>
      <c r="CT164" s="776"/>
      <c r="CU164" s="165"/>
      <c r="CV164" s="329"/>
      <c r="CW164" s="373"/>
      <c r="CX164" s="373"/>
      <c r="CY164" s="373"/>
      <c r="CZ164" s="373"/>
      <c r="DA164" s="373"/>
      <c r="DB164" s="373"/>
      <c r="DC164" s="374"/>
      <c r="DD164" s="373"/>
      <c r="DE164" s="373"/>
      <c r="DF164" s="373"/>
      <c r="DG164" s="373"/>
      <c r="DH164" s="373"/>
      <c r="DI164" s="375"/>
      <c r="DJ164" s="329"/>
      <c r="DK164" s="373"/>
      <c r="DL164" s="373"/>
      <c r="DM164" s="373"/>
      <c r="DN164" s="373"/>
      <c r="DO164" s="373"/>
      <c r="DP164" s="373"/>
      <c r="DQ164" s="374"/>
      <c r="DR164" s="373"/>
      <c r="DS164" s="373"/>
      <c r="DT164" s="373"/>
      <c r="DU164" s="373"/>
      <c r="DV164" s="373"/>
      <c r="DW164" s="375"/>
      <c r="DY164" s="373"/>
      <c r="DZ164" s="373"/>
      <c r="EA164" s="373"/>
      <c r="EB164" s="373"/>
      <c r="EC164" s="373"/>
      <c r="ED164" s="373"/>
      <c r="EE164" s="374"/>
      <c r="EF164" s="373"/>
      <c r="EG164" s="373"/>
      <c r="EH164" s="373"/>
      <c r="EI164" s="373"/>
      <c r="EJ164" s="373"/>
      <c r="EK164" s="375"/>
      <c r="EL164" s="177"/>
      <c r="EM164" s="373"/>
      <c r="EN164" s="373"/>
      <c r="EO164" s="373"/>
      <c r="EP164" s="373"/>
      <c r="EQ164" s="373"/>
      <c r="ER164" s="373"/>
      <c r="ES164" s="374"/>
      <c r="ET164" s="373"/>
      <c r="EU164" s="373"/>
      <c r="EV164" s="373"/>
      <c r="EW164" s="373"/>
      <c r="EX164" s="373"/>
      <c r="EY164" s="375"/>
      <c r="EZ164" s="164">
        <v>0</v>
      </c>
      <c r="FA164" s="185">
        <v>0</v>
      </c>
    </row>
    <row r="165" spans="1:157" ht="18.75" customHeight="1">
      <c r="A165" s="185" t="s">
        <v>320</v>
      </c>
      <c r="B165" s="774"/>
      <c r="C165" s="176" t="s">
        <v>1002</v>
      </c>
      <c r="D165" s="176">
        <v>60501000</v>
      </c>
      <c r="E165" s="773"/>
      <c r="F165" s="320" t="s">
        <v>321</v>
      </c>
      <c r="G165" s="329"/>
      <c r="H165" s="373"/>
      <c r="I165" s="373"/>
      <c r="J165" s="373"/>
      <c r="K165" s="373"/>
      <c r="L165" s="373"/>
      <c r="M165" s="373"/>
      <c r="N165" s="374"/>
      <c r="O165" s="373"/>
      <c r="P165" s="373"/>
      <c r="Q165" s="373"/>
      <c r="R165" s="373"/>
      <c r="S165" s="377">
        <v>1098875.02</v>
      </c>
      <c r="T165" s="375">
        <f t="shared" ref="T165:T228" si="287">SUM(H165:S165)</f>
        <v>1098875.02</v>
      </c>
      <c r="U165" s="776">
        <f t="shared" si="269"/>
        <v>-481264.25</v>
      </c>
      <c r="V165" s="775">
        <f t="shared" si="270"/>
        <v>-0.77923552077953562</v>
      </c>
      <c r="W165" s="329"/>
      <c r="X165" s="373">
        <v>2690</v>
      </c>
      <c r="Y165" s="373">
        <v>15257</v>
      </c>
      <c r="Z165" s="373">
        <v>12445</v>
      </c>
      <c r="AA165" s="373">
        <v>4515</v>
      </c>
      <c r="AB165" s="373">
        <v>9098</v>
      </c>
      <c r="AC165" s="373">
        <v>1725</v>
      </c>
      <c r="AD165" s="374">
        <v>175028.77</v>
      </c>
      <c r="AE165" s="373">
        <v>14894</v>
      </c>
      <c r="AF165" s="373">
        <v>353213</v>
      </c>
      <c r="AG165" s="373">
        <v>9415</v>
      </c>
      <c r="AH165" s="373">
        <v>8345</v>
      </c>
      <c r="AI165" s="373">
        <v>10985</v>
      </c>
      <c r="AJ165" s="375">
        <f t="shared" si="271"/>
        <v>617610.77</v>
      </c>
      <c r="AK165" s="329"/>
      <c r="AL165" s="373">
        <v>1100</v>
      </c>
      <c r="AM165" s="373">
        <v>3925</v>
      </c>
      <c r="AN165" s="373">
        <v>6420</v>
      </c>
      <c r="AO165" s="373">
        <v>575</v>
      </c>
      <c r="AP165" s="373">
        <v>2200</v>
      </c>
      <c r="AQ165" s="373">
        <v>299075</v>
      </c>
      <c r="AR165" s="374">
        <v>45733</v>
      </c>
      <c r="AS165" s="373">
        <v>9100</v>
      </c>
      <c r="AT165" s="373">
        <v>5050</v>
      </c>
      <c r="AU165" s="373">
        <v>290875</v>
      </c>
      <c r="AV165" s="373">
        <v>5210</v>
      </c>
      <c r="AW165" s="373">
        <v>594589</v>
      </c>
      <c r="AX165" s="375">
        <v>1263852</v>
      </c>
      <c r="AY165" s="776">
        <f t="shared" si="272"/>
        <v>-1020612.12</v>
      </c>
      <c r="AZ165" s="775">
        <f t="shared" si="273"/>
        <v>-4.195907842085763</v>
      </c>
      <c r="BA165" s="329"/>
      <c r="BB165" s="373">
        <v>40150</v>
      </c>
      <c r="BC165" s="373">
        <v>1290</v>
      </c>
      <c r="BD165" s="373">
        <v>7703</v>
      </c>
      <c r="BE165" s="373">
        <v>5527</v>
      </c>
      <c r="BF165" s="373">
        <v>2744</v>
      </c>
      <c r="BG165" s="373">
        <v>5875</v>
      </c>
      <c r="BH165" s="374">
        <v>-29533.040000000001</v>
      </c>
      <c r="BI165" s="373">
        <v>2415</v>
      </c>
      <c r="BJ165" s="373">
        <v>23820</v>
      </c>
      <c r="BK165" s="373">
        <v>221819.85</v>
      </c>
      <c r="BL165" s="373">
        <v>8797</v>
      </c>
      <c r="BM165" s="373">
        <v>-170082.93</v>
      </c>
      <c r="BN165" s="402">
        <v>243239.88</v>
      </c>
      <c r="BO165" s="329"/>
      <c r="BP165" s="374">
        <v>208.33333333333326</v>
      </c>
      <c r="BQ165" s="374">
        <v>1208.333333333333</v>
      </c>
      <c r="BR165" s="374">
        <v>22663.333333333328</v>
      </c>
      <c r="BS165" s="374">
        <v>10208.333333333334</v>
      </c>
      <c r="BT165" s="374">
        <v>208.33333333333326</v>
      </c>
      <c r="BU165" s="374">
        <v>15663.333333333328</v>
      </c>
      <c r="BV165" s="374">
        <v>858.33333333333348</v>
      </c>
      <c r="BW165" s="374">
        <v>10208.333333333334</v>
      </c>
      <c r="BX165" s="374">
        <v>14663.333333333328</v>
      </c>
      <c r="BY165" s="374">
        <v>1208.333333333333</v>
      </c>
      <c r="BZ165" s="374">
        <v>208.33333333333326</v>
      </c>
      <c r="CA165" s="374">
        <v>613338.33333333337</v>
      </c>
      <c r="CB165" s="402">
        <f t="shared" si="282"/>
        <v>690645</v>
      </c>
      <c r="CC165" s="776">
        <f t="shared" si="274"/>
        <v>447405.12</v>
      </c>
      <c r="CD165" s="775">
        <f t="shared" si="275"/>
        <v>0.64780765805877116</v>
      </c>
      <c r="CE165" s="772"/>
      <c r="CF165" s="374">
        <v>603125.80000000005</v>
      </c>
      <c r="CG165" s="374">
        <v>3941.6000000000004</v>
      </c>
      <c r="CH165" s="374">
        <v>9128</v>
      </c>
      <c r="CI165" s="374">
        <v>4045</v>
      </c>
      <c r="CJ165" s="374">
        <v>5230</v>
      </c>
      <c r="CK165" s="374">
        <v>575</v>
      </c>
      <c r="CL165" s="374">
        <v>6500.6</v>
      </c>
      <c r="CM165" s="374">
        <v>3025</v>
      </c>
      <c r="CN165" s="374">
        <v>251177.40000000002</v>
      </c>
      <c r="CO165" s="374">
        <v>5200</v>
      </c>
      <c r="CP165" s="374">
        <v>3050</v>
      </c>
      <c r="CQ165" s="374">
        <v>2127.21</v>
      </c>
      <c r="CR165" s="374">
        <v>0</v>
      </c>
      <c r="CS165" s="402">
        <f t="shared" si="276"/>
        <v>897125.61</v>
      </c>
      <c r="CT165" s="776">
        <f t="shared" si="277"/>
        <v>653885.73</v>
      </c>
      <c r="CU165" s="165">
        <f t="shared" si="278"/>
        <v>0.72886753283077044</v>
      </c>
      <c r="CV165" s="329"/>
      <c r="CW165" s="373">
        <v>1420</v>
      </c>
      <c r="CX165" s="373">
        <v>575</v>
      </c>
      <c r="CY165" s="373">
        <v>7487.42</v>
      </c>
      <c r="CZ165" s="373">
        <v>5180.58</v>
      </c>
      <c r="DA165" s="373">
        <v>4903</v>
      </c>
      <c r="DB165" s="373">
        <v>1150</v>
      </c>
      <c r="DC165" s="374">
        <v>8465.1200000000008</v>
      </c>
      <c r="DD165" s="373">
        <v>3370</v>
      </c>
      <c r="DE165" s="373">
        <v>6441</v>
      </c>
      <c r="DF165" s="373">
        <v>6010.8</v>
      </c>
      <c r="DG165" s="373">
        <v>335345.40000000002</v>
      </c>
      <c r="DH165" s="373">
        <v>13299</v>
      </c>
      <c r="DI165" s="375">
        <f t="shared" si="279"/>
        <v>393647.32</v>
      </c>
      <c r="DJ165" s="329"/>
      <c r="DK165" s="373">
        <v>520</v>
      </c>
      <c r="DL165" s="373">
        <v>7208</v>
      </c>
      <c r="DM165" s="373">
        <v>7170</v>
      </c>
      <c r="DN165" s="373">
        <v>5887.88</v>
      </c>
      <c r="DO165" s="373">
        <v>6113</v>
      </c>
      <c r="DP165" s="373">
        <v>2680</v>
      </c>
      <c r="DQ165" s="374">
        <v>9218.02</v>
      </c>
      <c r="DR165" s="373">
        <v>1250</v>
      </c>
      <c r="DS165" s="373">
        <v>0</v>
      </c>
      <c r="DT165" s="373">
        <v>1540</v>
      </c>
      <c r="DU165" s="373">
        <v>4100</v>
      </c>
      <c r="DV165" s="373">
        <v>6584</v>
      </c>
      <c r="DW165" s="375">
        <f t="shared" si="280"/>
        <v>52270.9</v>
      </c>
      <c r="DY165" s="373">
        <v>2200</v>
      </c>
      <c r="DZ165" s="373">
        <v>2750</v>
      </c>
      <c r="EA165" s="373">
        <v>5605</v>
      </c>
      <c r="EB165" s="373">
        <v>3003</v>
      </c>
      <c r="EC165" s="373">
        <v>3465</v>
      </c>
      <c r="ED165" s="373">
        <v>0</v>
      </c>
      <c r="EE165" s="374">
        <v>6655.46</v>
      </c>
      <c r="EF165" s="373">
        <v>4125</v>
      </c>
      <c r="EG165" s="373">
        <v>7325</v>
      </c>
      <c r="EH165" s="373">
        <v>1150</v>
      </c>
      <c r="EI165" s="373">
        <v>5345</v>
      </c>
      <c r="EJ165" s="373">
        <v>4980</v>
      </c>
      <c r="EK165" s="375">
        <f t="shared" si="281"/>
        <v>46603.46</v>
      </c>
      <c r="EL165" s="177"/>
      <c r="EM165" s="373">
        <v>4400</v>
      </c>
      <c r="EN165" s="373">
        <v>2573</v>
      </c>
      <c r="EO165" s="373">
        <v>7703</v>
      </c>
      <c r="EP165" s="373">
        <v>1945</v>
      </c>
      <c r="EQ165" s="373">
        <v>2070</v>
      </c>
      <c r="ER165" s="373">
        <v>5025</v>
      </c>
      <c r="ES165" s="374">
        <v>6455.72</v>
      </c>
      <c r="ET165" s="373">
        <v>5473</v>
      </c>
      <c r="EU165" s="373">
        <v>-2200</v>
      </c>
      <c r="EV165" s="373">
        <v>1150</v>
      </c>
      <c r="EW165" s="373">
        <v>6604</v>
      </c>
      <c r="EX165" s="373">
        <v>2675</v>
      </c>
      <c r="EY165" s="375">
        <f t="shared" si="283"/>
        <v>43873.72</v>
      </c>
      <c r="EZ165" s="164">
        <v>0</v>
      </c>
      <c r="FA165" s="185">
        <v>0</v>
      </c>
    </row>
    <row r="166" spans="1:157" ht="18.75" customHeight="1">
      <c r="A166" s="185" t="s">
        <v>329</v>
      </c>
      <c r="B166" s="774"/>
      <c r="C166" s="176" t="s">
        <v>1001</v>
      </c>
      <c r="D166" s="176">
        <v>60502000</v>
      </c>
      <c r="E166" s="773"/>
      <c r="F166" s="320" t="s">
        <v>345</v>
      </c>
      <c r="G166" s="329"/>
      <c r="H166" s="373"/>
      <c r="I166" s="373"/>
      <c r="J166" s="373"/>
      <c r="K166" s="373"/>
      <c r="L166" s="373"/>
      <c r="M166" s="373"/>
      <c r="N166" s="374"/>
      <c r="O166" s="373"/>
      <c r="P166" s="373"/>
      <c r="Q166" s="373"/>
      <c r="R166" s="373"/>
      <c r="S166" s="377">
        <v>336800</v>
      </c>
      <c r="T166" s="375">
        <f t="shared" si="287"/>
        <v>336800</v>
      </c>
      <c r="U166" s="776">
        <f t="shared" si="269"/>
        <v>0</v>
      </c>
      <c r="V166" s="775">
        <f t="shared" si="270"/>
        <v>0</v>
      </c>
      <c r="W166" s="329"/>
      <c r="X166" s="373">
        <v>0</v>
      </c>
      <c r="Y166" s="373">
        <v>0</v>
      </c>
      <c r="Z166" s="373">
        <v>0</v>
      </c>
      <c r="AA166" s="373">
        <v>0</v>
      </c>
      <c r="AB166" s="373">
        <v>1800</v>
      </c>
      <c r="AC166" s="373">
        <v>0</v>
      </c>
      <c r="AD166" s="374">
        <v>0</v>
      </c>
      <c r="AE166" s="373">
        <v>0</v>
      </c>
      <c r="AF166" s="373">
        <v>0</v>
      </c>
      <c r="AG166" s="373">
        <v>0</v>
      </c>
      <c r="AH166" s="373">
        <v>0</v>
      </c>
      <c r="AI166" s="373">
        <v>335000</v>
      </c>
      <c r="AJ166" s="375">
        <f t="shared" ref="AJ166:AJ229" si="288">SUM(X166:AI166)</f>
        <v>336800</v>
      </c>
      <c r="AK166" s="329"/>
      <c r="AL166" s="373">
        <v>0</v>
      </c>
      <c r="AM166" s="373">
        <v>0</v>
      </c>
      <c r="AN166" s="373">
        <v>0</v>
      </c>
      <c r="AO166" s="373">
        <v>0</v>
      </c>
      <c r="AP166" s="373">
        <v>600</v>
      </c>
      <c r="AQ166" s="373">
        <v>0</v>
      </c>
      <c r="AR166" s="374">
        <v>0</v>
      </c>
      <c r="AS166" s="373">
        <v>0</v>
      </c>
      <c r="AT166" s="373">
        <v>0</v>
      </c>
      <c r="AU166" s="373">
        <v>0</v>
      </c>
      <c r="AV166" s="373">
        <v>0</v>
      </c>
      <c r="AW166" s="373">
        <v>401200</v>
      </c>
      <c r="AX166" s="375">
        <v>401800</v>
      </c>
      <c r="AY166" s="776">
        <f t="shared" si="272"/>
        <v>-102600</v>
      </c>
      <c r="AZ166" s="775">
        <f t="shared" si="273"/>
        <v>-0.34291443850267378</v>
      </c>
      <c r="BA166" s="329"/>
      <c r="BB166" s="373">
        <v>0</v>
      </c>
      <c r="BC166" s="373">
        <v>0</v>
      </c>
      <c r="BD166" s="373">
        <v>0</v>
      </c>
      <c r="BE166" s="373">
        <v>1200</v>
      </c>
      <c r="BF166" s="373">
        <v>600</v>
      </c>
      <c r="BG166" s="373">
        <v>0</v>
      </c>
      <c r="BH166" s="374">
        <v>0</v>
      </c>
      <c r="BI166" s="373">
        <v>0</v>
      </c>
      <c r="BJ166" s="373">
        <v>0</v>
      </c>
      <c r="BK166" s="373">
        <v>0</v>
      </c>
      <c r="BL166" s="373">
        <v>0</v>
      </c>
      <c r="BM166" s="373">
        <v>297400</v>
      </c>
      <c r="BN166" s="402">
        <v>299200</v>
      </c>
      <c r="BO166" s="329"/>
      <c r="BP166" s="374">
        <v>0</v>
      </c>
      <c r="BQ166" s="374">
        <v>0</v>
      </c>
      <c r="BR166" s="374">
        <v>600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300900</v>
      </c>
      <c r="CB166" s="402">
        <f t="shared" si="282"/>
        <v>301500</v>
      </c>
      <c r="CC166" s="776">
        <f t="shared" si="274"/>
        <v>2300</v>
      </c>
      <c r="CD166" s="775">
        <f t="shared" si="275"/>
        <v>7.6285240464344945E-3</v>
      </c>
      <c r="CE166" s="772"/>
      <c r="CF166" s="374">
        <v>0</v>
      </c>
      <c r="CG166" s="374">
        <v>0</v>
      </c>
      <c r="CH166" s="374">
        <v>1200</v>
      </c>
      <c r="CI166" s="374">
        <v>0</v>
      </c>
      <c r="CJ166" s="374">
        <v>0</v>
      </c>
      <c r="CK166" s="374">
        <v>600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290000</v>
      </c>
      <c r="CR166" s="374">
        <v>0</v>
      </c>
      <c r="CS166" s="402">
        <f t="shared" si="276"/>
        <v>291800</v>
      </c>
      <c r="CT166" s="776">
        <f t="shared" si="277"/>
        <v>-7400</v>
      </c>
      <c r="CU166" s="165">
        <f t="shared" si="278"/>
        <v>-2.5359835503769704E-2</v>
      </c>
      <c r="CV166" s="329"/>
      <c r="CW166" s="373">
        <v>0</v>
      </c>
      <c r="CX166" s="373">
        <v>0</v>
      </c>
      <c r="CY166" s="373">
        <v>0</v>
      </c>
      <c r="CZ166" s="373">
        <v>1200</v>
      </c>
      <c r="DA166" s="373">
        <v>0</v>
      </c>
      <c r="DB166" s="373">
        <v>0</v>
      </c>
      <c r="DC166" s="374">
        <v>0</v>
      </c>
      <c r="DD166" s="373">
        <v>0</v>
      </c>
      <c r="DE166" s="373">
        <v>0</v>
      </c>
      <c r="DF166" s="373">
        <v>0</v>
      </c>
      <c r="DG166" s="373">
        <v>0</v>
      </c>
      <c r="DH166" s="373">
        <v>157000</v>
      </c>
      <c r="DI166" s="375">
        <f t="shared" si="279"/>
        <v>158200</v>
      </c>
      <c r="DJ166" s="329"/>
      <c r="DK166" s="373">
        <v>0</v>
      </c>
      <c r="DL166" s="373">
        <v>0</v>
      </c>
      <c r="DM166" s="373">
        <v>0</v>
      </c>
      <c r="DN166" s="373">
        <v>1200</v>
      </c>
      <c r="DO166" s="373">
        <v>600</v>
      </c>
      <c r="DP166" s="373">
        <v>0</v>
      </c>
      <c r="DQ166" s="374">
        <v>0</v>
      </c>
      <c r="DR166" s="373">
        <v>0</v>
      </c>
      <c r="DS166" s="373">
        <v>0</v>
      </c>
      <c r="DT166" s="373">
        <v>0</v>
      </c>
      <c r="DU166" s="373">
        <v>0</v>
      </c>
      <c r="DV166" s="373">
        <v>144000</v>
      </c>
      <c r="DW166" s="375">
        <f t="shared" si="280"/>
        <v>145800</v>
      </c>
      <c r="DY166" s="373">
        <v>0</v>
      </c>
      <c r="DZ166" s="373">
        <v>0</v>
      </c>
      <c r="EA166" s="373">
        <v>1200</v>
      </c>
      <c r="EB166" s="373">
        <v>600</v>
      </c>
      <c r="EC166" s="373">
        <v>0</v>
      </c>
      <c r="ED166" s="373">
        <v>0</v>
      </c>
      <c r="EE166" s="374">
        <v>0</v>
      </c>
      <c r="EF166" s="373">
        <v>0</v>
      </c>
      <c r="EG166" s="373">
        <v>0</v>
      </c>
      <c r="EH166" s="373">
        <v>0</v>
      </c>
      <c r="EI166" s="373">
        <v>0</v>
      </c>
      <c r="EJ166" s="373">
        <v>132000</v>
      </c>
      <c r="EK166" s="375">
        <f t="shared" si="281"/>
        <v>133800</v>
      </c>
      <c r="EL166" s="177"/>
      <c r="EM166" s="373">
        <v>0</v>
      </c>
      <c r="EN166" s="373">
        <v>0</v>
      </c>
      <c r="EO166" s="373">
        <v>0</v>
      </c>
      <c r="EP166" s="373">
        <v>0</v>
      </c>
      <c r="EQ166" s="373">
        <v>1800</v>
      </c>
      <c r="ER166" s="373">
        <v>0</v>
      </c>
      <c r="ES166" s="374">
        <v>0</v>
      </c>
      <c r="ET166" s="373">
        <v>0</v>
      </c>
      <c r="EU166" s="373">
        <v>0</v>
      </c>
      <c r="EV166" s="373">
        <v>0</v>
      </c>
      <c r="EW166" s="373">
        <v>0</v>
      </c>
      <c r="EX166" s="373">
        <v>119000</v>
      </c>
      <c r="EY166" s="375">
        <f t="shared" si="283"/>
        <v>120800</v>
      </c>
      <c r="EZ166" s="164">
        <v>0</v>
      </c>
      <c r="FA166" s="185">
        <v>0</v>
      </c>
    </row>
    <row r="167" spans="1:157" ht="18.75" customHeight="1" collapsed="1">
      <c r="A167" s="185" t="s">
        <v>614</v>
      </c>
      <c r="B167" s="774"/>
      <c r="C167" s="176" t="s">
        <v>1000</v>
      </c>
      <c r="D167" s="176">
        <v>60503000</v>
      </c>
      <c r="E167" s="773"/>
      <c r="F167" s="320" t="s">
        <v>346</v>
      </c>
      <c r="G167" s="329"/>
      <c r="H167" s="373"/>
      <c r="I167" s="373"/>
      <c r="J167" s="373"/>
      <c r="K167" s="373"/>
      <c r="L167" s="373"/>
      <c r="M167" s="373"/>
      <c r="N167" s="374"/>
      <c r="O167" s="373"/>
      <c r="P167" s="373"/>
      <c r="Q167" s="373"/>
      <c r="R167" s="373"/>
      <c r="S167" s="1523">
        <f>6535816-800000-500000</f>
        <v>5235816</v>
      </c>
      <c r="T167" s="375">
        <f t="shared" si="287"/>
        <v>5235816</v>
      </c>
      <c r="U167" s="980">
        <f t="shared" ref="U167:U225" si="289">AJ167-T167</f>
        <v>-5191861</v>
      </c>
      <c r="V167" s="775">
        <f t="shared" ref="V167:V230" si="290">U167/AJ167</f>
        <v>-118.1176430440223</v>
      </c>
      <c r="W167" s="329"/>
      <c r="X167" s="373">
        <v>1200</v>
      </c>
      <c r="Y167" s="373">
        <v>4600</v>
      </c>
      <c r="Z167" s="373">
        <v>22500</v>
      </c>
      <c r="AA167" s="373">
        <v>0</v>
      </c>
      <c r="AB167" s="373">
        <v>0</v>
      </c>
      <c r="AC167" s="373">
        <v>0</v>
      </c>
      <c r="AD167" s="374">
        <v>0</v>
      </c>
      <c r="AE167" s="373">
        <v>0</v>
      </c>
      <c r="AF167" s="373">
        <v>40525</v>
      </c>
      <c r="AG167" s="373">
        <v>0</v>
      </c>
      <c r="AH167" s="373">
        <v>0</v>
      </c>
      <c r="AI167" s="373">
        <v>-24870</v>
      </c>
      <c r="AJ167" s="375">
        <f t="shared" si="288"/>
        <v>43955</v>
      </c>
      <c r="AK167" s="329"/>
      <c r="AL167" s="373">
        <v>0</v>
      </c>
      <c r="AM167" s="373">
        <v>0</v>
      </c>
      <c r="AN167" s="373">
        <v>0</v>
      </c>
      <c r="AO167" s="373">
        <v>0</v>
      </c>
      <c r="AP167" s="373">
        <v>0</v>
      </c>
      <c r="AQ167" s="373">
        <v>0</v>
      </c>
      <c r="AR167" s="374">
        <v>0</v>
      </c>
      <c r="AS167" s="373">
        <v>0</v>
      </c>
      <c r="AT167" s="373">
        <v>0</v>
      </c>
      <c r="AU167" s="373">
        <v>0</v>
      </c>
      <c r="AV167" s="373">
        <v>0</v>
      </c>
      <c r="AW167" s="373">
        <v>259005</v>
      </c>
      <c r="AX167" s="375">
        <v>259005</v>
      </c>
      <c r="AY167" s="980">
        <f t="shared" ref="AY167:AY230" si="291">BN167-AX167</f>
        <v>-240555</v>
      </c>
      <c r="AZ167" s="775">
        <f t="shared" ref="AZ167:AZ230" si="292">AY167/BN167</f>
        <v>-13.038211382113822</v>
      </c>
      <c r="BA167" s="329"/>
      <c r="BB167" s="373">
        <v>0</v>
      </c>
      <c r="BC167" s="373">
        <v>39515</v>
      </c>
      <c r="BD167" s="373">
        <v>0</v>
      </c>
      <c r="BE167" s="373">
        <v>0</v>
      </c>
      <c r="BF167" s="373">
        <v>0</v>
      </c>
      <c r="BG167" s="373">
        <v>0</v>
      </c>
      <c r="BH167" s="374">
        <v>0</v>
      </c>
      <c r="BI167" s="373">
        <v>-29860</v>
      </c>
      <c r="BJ167" s="373">
        <v>4000</v>
      </c>
      <c r="BK167" s="373">
        <v>6205</v>
      </c>
      <c r="BL167" s="373">
        <v>0</v>
      </c>
      <c r="BM167" s="373">
        <v>2400</v>
      </c>
      <c r="BN167" s="402">
        <v>18450</v>
      </c>
      <c r="BO167" s="329"/>
      <c r="BP167" s="374">
        <v>6337.5</v>
      </c>
      <c r="BQ167" s="374">
        <v>6337.5</v>
      </c>
      <c r="BR167" s="374">
        <v>43337.5</v>
      </c>
      <c r="BS167" s="374">
        <v>6337.5</v>
      </c>
      <c r="BT167" s="374">
        <v>6337.5</v>
      </c>
      <c r="BU167" s="374">
        <v>8337.5</v>
      </c>
      <c r="BV167" s="374">
        <v>6337.5</v>
      </c>
      <c r="BW167" s="374">
        <v>6337.5</v>
      </c>
      <c r="BX167" s="374">
        <v>8337.5</v>
      </c>
      <c r="BY167" s="374">
        <v>6337.5</v>
      </c>
      <c r="BZ167" s="374">
        <v>6337.5</v>
      </c>
      <c r="CA167" s="374">
        <v>8337.5</v>
      </c>
      <c r="CB167" s="402">
        <f t="shared" si="282"/>
        <v>119050</v>
      </c>
      <c r="CC167" s="776">
        <f t="shared" si="274"/>
        <v>100600</v>
      </c>
      <c r="CD167" s="775">
        <f t="shared" si="275"/>
        <v>0.84502309953800925</v>
      </c>
      <c r="CE167" s="772"/>
      <c r="CF167" s="374">
        <v>8152.6</v>
      </c>
      <c r="CG167" s="374">
        <v>1205</v>
      </c>
      <c r="CH167" s="374">
        <v>34210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1800</v>
      </c>
      <c r="CN167" s="374">
        <v>2000</v>
      </c>
      <c r="CO167" s="374">
        <v>1305</v>
      </c>
      <c r="CP167" s="374">
        <v>0</v>
      </c>
      <c r="CQ167" s="374">
        <v>31060</v>
      </c>
      <c r="CR167" s="374">
        <v>0</v>
      </c>
      <c r="CS167" s="402">
        <f t="shared" si="276"/>
        <v>79732.600000000006</v>
      </c>
      <c r="CT167" s="776">
        <f t="shared" si="277"/>
        <v>61282.600000000006</v>
      </c>
      <c r="CU167" s="165">
        <f t="shared" si="278"/>
        <v>0.7686015506831585</v>
      </c>
      <c r="CV167" s="329"/>
      <c r="CW167" s="373">
        <v>68370.320000000007</v>
      </c>
      <c r="CX167" s="373">
        <v>28120</v>
      </c>
      <c r="CY167" s="373">
        <v>27870</v>
      </c>
      <c r="CZ167" s="373">
        <v>0</v>
      </c>
      <c r="DA167" s="373">
        <v>0</v>
      </c>
      <c r="DB167" s="373">
        <v>0</v>
      </c>
      <c r="DC167" s="374">
        <v>-2</v>
      </c>
      <c r="DD167" s="373">
        <v>13500</v>
      </c>
      <c r="DE167" s="373">
        <v>32000</v>
      </c>
      <c r="DF167" s="373">
        <v>5395</v>
      </c>
      <c r="DG167" s="373">
        <v>0</v>
      </c>
      <c r="DH167" s="373">
        <v>50720</v>
      </c>
      <c r="DI167" s="375">
        <f t="shared" si="279"/>
        <v>225973.32</v>
      </c>
      <c r="DJ167" s="329"/>
      <c r="DK167" s="373">
        <v>0</v>
      </c>
      <c r="DL167" s="373">
        <v>0</v>
      </c>
      <c r="DM167" s="373">
        <v>2599.9999999999982</v>
      </c>
      <c r="DN167" s="373">
        <v>11000</v>
      </c>
      <c r="DO167" s="373">
        <v>34180</v>
      </c>
      <c r="DP167" s="373">
        <v>92348.4</v>
      </c>
      <c r="DQ167" s="374">
        <v>-421733</v>
      </c>
      <c r="DR167" s="373">
        <v>0</v>
      </c>
      <c r="DS167" s="373">
        <v>0</v>
      </c>
      <c r="DT167" s="373">
        <v>305</v>
      </c>
      <c r="DU167" s="373">
        <v>0</v>
      </c>
      <c r="DV167" s="373">
        <v>271560.90000000002</v>
      </c>
      <c r="DW167" s="375">
        <f t="shared" si="280"/>
        <v>-9738.6999999999534</v>
      </c>
      <c r="DY167" s="373">
        <v>0</v>
      </c>
      <c r="DZ167" s="373">
        <v>26354</v>
      </c>
      <c r="EA167" s="373">
        <v>2000</v>
      </c>
      <c r="EB167" s="373">
        <v>140447.71999999997</v>
      </c>
      <c r="EC167" s="373">
        <v>24370</v>
      </c>
      <c r="ED167" s="373">
        <v>67520</v>
      </c>
      <c r="EE167" s="374">
        <v>25090</v>
      </c>
      <c r="EF167" s="373">
        <v>0</v>
      </c>
      <c r="EG167" s="373">
        <v>116695</v>
      </c>
      <c r="EH167" s="373">
        <v>18290</v>
      </c>
      <c r="EI167" s="373">
        <v>82194.52</v>
      </c>
      <c r="EJ167" s="373">
        <v>0</v>
      </c>
      <c r="EK167" s="375">
        <f t="shared" ref="EK167:EK230" si="293">SUM(DY167:EJ167)</f>
        <v>502961.24</v>
      </c>
      <c r="EL167" s="177"/>
      <c r="EM167" s="373">
        <v>1099356</v>
      </c>
      <c r="EN167" s="373">
        <v>1253820</v>
      </c>
      <c r="EO167" s="373">
        <v>6000</v>
      </c>
      <c r="EP167" s="373">
        <v>1000</v>
      </c>
      <c r="EQ167" s="373">
        <v>0</v>
      </c>
      <c r="ER167" s="373">
        <v>0</v>
      </c>
      <c r="ES167" s="374">
        <v>4650</v>
      </c>
      <c r="ET167" s="373">
        <v>66105.900000000023</v>
      </c>
      <c r="EU167" s="373">
        <v>7250</v>
      </c>
      <c r="EV167" s="373">
        <v>0</v>
      </c>
      <c r="EW167" s="373">
        <v>305</v>
      </c>
      <c r="EX167" s="373">
        <v>380774.43999999994</v>
      </c>
      <c r="EY167" s="375">
        <f t="shared" si="283"/>
        <v>2819261.34</v>
      </c>
      <c r="EZ167" s="164">
        <v>0</v>
      </c>
      <c r="FA167" s="185">
        <v>0</v>
      </c>
    </row>
    <row r="168" spans="1:157" ht="18.75" customHeight="1">
      <c r="A168" s="185" t="s">
        <v>615</v>
      </c>
      <c r="B168" s="774"/>
      <c r="C168" s="176" t="s">
        <v>999</v>
      </c>
      <c r="D168" s="176">
        <v>60504000</v>
      </c>
      <c r="E168" s="773"/>
      <c r="F168" s="320" t="s">
        <v>347</v>
      </c>
      <c r="G168" s="329"/>
      <c r="H168" s="373"/>
      <c r="I168" s="373"/>
      <c r="J168" s="373"/>
      <c r="K168" s="373"/>
      <c r="L168" s="373"/>
      <c r="M168" s="373"/>
      <c r="N168" s="374"/>
      <c r="O168" s="373"/>
      <c r="P168" s="373"/>
      <c r="Q168" s="373"/>
      <c r="R168" s="373"/>
      <c r="S168" s="1523">
        <f>4025000-1000000</f>
        <v>3025000</v>
      </c>
      <c r="T168" s="375">
        <f t="shared" si="287"/>
        <v>3025000</v>
      </c>
      <c r="U168" s="776">
        <f t="shared" si="289"/>
        <v>-2973100</v>
      </c>
      <c r="V168" s="775">
        <f t="shared" si="290"/>
        <v>-57.285163776493256</v>
      </c>
      <c r="W168" s="778"/>
      <c r="X168" s="373">
        <v>0</v>
      </c>
      <c r="Y168" s="373">
        <v>0</v>
      </c>
      <c r="Z168" s="373">
        <v>0</v>
      </c>
      <c r="AA168" s="373">
        <v>0</v>
      </c>
      <c r="AB168" s="373">
        <v>3300</v>
      </c>
      <c r="AC168" s="373">
        <v>15400</v>
      </c>
      <c r="AD168" s="374">
        <v>0</v>
      </c>
      <c r="AE168" s="373">
        <v>0</v>
      </c>
      <c r="AF168" s="373">
        <v>0</v>
      </c>
      <c r="AG168" s="373">
        <v>0</v>
      </c>
      <c r="AH168" s="373">
        <v>0</v>
      </c>
      <c r="AI168" s="373">
        <v>33200</v>
      </c>
      <c r="AJ168" s="375">
        <f t="shared" si="288"/>
        <v>51900</v>
      </c>
      <c r="AK168" s="778"/>
      <c r="AL168" s="373">
        <v>0</v>
      </c>
      <c r="AM168" s="373">
        <v>0</v>
      </c>
      <c r="AN168" s="373">
        <v>0</v>
      </c>
      <c r="AO168" s="373">
        <v>2000</v>
      </c>
      <c r="AP168" s="373">
        <v>0</v>
      </c>
      <c r="AQ168" s="373">
        <v>0</v>
      </c>
      <c r="AR168" s="374">
        <v>18000</v>
      </c>
      <c r="AS168" s="373">
        <v>2000</v>
      </c>
      <c r="AT168" s="373">
        <v>0</v>
      </c>
      <c r="AU168" s="373">
        <v>0</v>
      </c>
      <c r="AV168" s="373">
        <v>0</v>
      </c>
      <c r="AW168" s="373">
        <v>7630</v>
      </c>
      <c r="AX168" s="375">
        <v>62830.000000000349</v>
      </c>
      <c r="AY168" s="776">
        <f t="shared" si="291"/>
        <v>-762449.00000000035</v>
      </c>
      <c r="AZ168" s="775">
        <f t="shared" si="292"/>
        <v>1.0898060229925151</v>
      </c>
      <c r="BA168" s="778"/>
      <c r="BB168" s="373">
        <v>0</v>
      </c>
      <c r="BC168" s="373">
        <v>0</v>
      </c>
      <c r="BD168" s="373">
        <v>0</v>
      </c>
      <c r="BE168" s="373">
        <v>0</v>
      </c>
      <c r="BF168" s="373">
        <v>0</v>
      </c>
      <c r="BG168" s="373">
        <v>0</v>
      </c>
      <c r="BH168" s="374">
        <v>15133</v>
      </c>
      <c r="BI168" s="373">
        <v>47130</v>
      </c>
      <c r="BJ168" s="373">
        <v>0</v>
      </c>
      <c r="BK168" s="373">
        <v>0</v>
      </c>
      <c r="BL168" s="373">
        <v>0</v>
      </c>
      <c r="BM168" s="373">
        <v>7630</v>
      </c>
      <c r="BN168" s="402">
        <v>-699619</v>
      </c>
      <c r="BO168" s="778"/>
      <c r="BP168" s="374">
        <v>2916.6666666666279</v>
      </c>
      <c r="BQ168" s="374">
        <v>2916.6666666666661</v>
      </c>
      <c r="BR168" s="374">
        <v>2916.6666666666661</v>
      </c>
      <c r="BS168" s="374">
        <v>2916.6666666666661</v>
      </c>
      <c r="BT168" s="374">
        <v>2916.6666666666661</v>
      </c>
      <c r="BU168" s="374">
        <v>2916.6666666666661</v>
      </c>
      <c r="BV168" s="374">
        <v>2916.6666666666661</v>
      </c>
      <c r="BW168" s="374">
        <v>2916.6666666666661</v>
      </c>
      <c r="BX168" s="374">
        <v>2916.6666666666661</v>
      </c>
      <c r="BY168" s="374">
        <v>2916.6666666666661</v>
      </c>
      <c r="BZ168" s="374">
        <v>2916.6666666666661</v>
      </c>
      <c r="CA168" s="374">
        <v>2916.6666666666606</v>
      </c>
      <c r="CB168" s="402">
        <f t="shared" si="282"/>
        <v>34999.999999999942</v>
      </c>
      <c r="CC168" s="776">
        <f t="shared" si="274"/>
        <v>734619</v>
      </c>
      <c r="CD168" s="775">
        <f t="shared" si="275"/>
        <v>20.989114285714322</v>
      </c>
      <c r="CE168" s="772"/>
      <c r="CF168" s="374">
        <v>30050</v>
      </c>
      <c r="CG168" s="374">
        <v>0</v>
      </c>
      <c r="CH168" s="374">
        <v>9710</v>
      </c>
      <c r="CI168" s="374">
        <v>12000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6970</v>
      </c>
      <c r="CO168" s="374">
        <v>28425</v>
      </c>
      <c r="CP168" s="374">
        <v>0</v>
      </c>
      <c r="CQ168" s="374">
        <v>9070</v>
      </c>
      <c r="CR168" s="374">
        <v>0</v>
      </c>
      <c r="CS168" s="402">
        <f t="shared" si="276"/>
        <v>96225</v>
      </c>
      <c r="CT168" s="776">
        <f t="shared" si="277"/>
        <v>795844</v>
      </c>
      <c r="CU168" s="165">
        <f t="shared" si="278"/>
        <v>8.2706573135879449</v>
      </c>
      <c r="CV168" s="329"/>
      <c r="CW168" s="373">
        <v>0</v>
      </c>
      <c r="CX168" s="373">
        <v>0</v>
      </c>
      <c r="CY168" s="373">
        <v>545</v>
      </c>
      <c r="CZ168" s="373">
        <v>0</v>
      </c>
      <c r="DA168" s="373">
        <v>0</v>
      </c>
      <c r="DB168" s="373">
        <v>0</v>
      </c>
      <c r="DC168" s="374">
        <v>0</v>
      </c>
      <c r="DD168" s="373">
        <v>0</v>
      </c>
      <c r="DE168" s="373">
        <v>0</v>
      </c>
      <c r="DF168" s="373">
        <v>0</v>
      </c>
      <c r="DG168" s="373">
        <v>47842</v>
      </c>
      <c r="DH168" s="373">
        <v>-35842</v>
      </c>
      <c r="DI168" s="375">
        <f t="shared" si="279"/>
        <v>12545</v>
      </c>
      <c r="DJ168" s="329"/>
      <c r="DK168" s="373">
        <v>0</v>
      </c>
      <c r="DL168" s="373">
        <v>0</v>
      </c>
      <c r="DM168" s="373">
        <v>0</v>
      </c>
      <c r="DN168" s="373">
        <v>119060</v>
      </c>
      <c r="DO168" s="373">
        <v>0</v>
      </c>
      <c r="DP168" s="373">
        <v>216997</v>
      </c>
      <c r="DQ168" s="374">
        <v>1000</v>
      </c>
      <c r="DR168" s="373">
        <v>0</v>
      </c>
      <c r="DS168" s="373">
        <v>206795</v>
      </c>
      <c r="DT168" s="373">
        <v>0</v>
      </c>
      <c r="DU168" s="373">
        <v>0</v>
      </c>
      <c r="DV168" s="373">
        <v>155000</v>
      </c>
      <c r="DW168" s="375">
        <f t="shared" si="280"/>
        <v>698852</v>
      </c>
      <c r="DY168" s="373">
        <v>0</v>
      </c>
      <c r="DZ168" s="373">
        <v>0</v>
      </c>
      <c r="EA168" s="373">
        <v>0</v>
      </c>
      <c r="EB168" s="373">
        <v>34385.339999999997</v>
      </c>
      <c r="EC168" s="373">
        <v>0</v>
      </c>
      <c r="ED168" s="373">
        <v>0</v>
      </c>
      <c r="EE168" s="374">
        <v>0</v>
      </c>
      <c r="EF168" s="373">
        <v>0</v>
      </c>
      <c r="EG168" s="373">
        <v>0</v>
      </c>
      <c r="EH168" s="373">
        <v>0</v>
      </c>
      <c r="EI168" s="373">
        <v>11989.46</v>
      </c>
      <c r="EJ168" s="373">
        <v>0</v>
      </c>
      <c r="EK168" s="375">
        <f t="shared" si="293"/>
        <v>46374.799999999996</v>
      </c>
      <c r="EL168" s="177"/>
      <c r="EM168" s="373">
        <v>0</v>
      </c>
      <c r="EN168" s="373">
        <v>0</v>
      </c>
      <c r="EO168" s="373">
        <v>0</v>
      </c>
      <c r="EP168" s="373">
        <v>0</v>
      </c>
      <c r="EQ168" s="373">
        <v>0</v>
      </c>
      <c r="ER168" s="373">
        <v>0</v>
      </c>
      <c r="ES168" s="374">
        <v>0</v>
      </c>
      <c r="ET168" s="373">
        <v>0</v>
      </c>
      <c r="EU168" s="373">
        <v>0</v>
      </c>
      <c r="EV168" s="373">
        <v>0</v>
      </c>
      <c r="EW168" s="373">
        <v>0</v>
      </c>
      <c r="EX168" s="373">
        <v>0</v>
      </c>
      <c r="EY168" s="375">
        <f t="shared" ref="EY168:EY230" si="294">SUM(EM168:EX168)</f>
        <v>0</v>
      </c>
      <c r="EZ168" s="164">
        <v>0</v>
      </c>
      <c r="FA168" s="185">
        <v>0</v>
      </c>
    </row>
    <row r="169" spans="1:157" ht="18.75" customHeight="1">
      <c r="A169" s="185" t="s">
        <v>616</v>
      </c>
      <c r="B169" s="774"/>
      <c r="C169" s="176" t="s">
        <v>998</v>
      </c>
      <c r="D169" s="176">
        <v>60505000</v>
      </c>
      <c r="E169" s="773"/>
      <c r="F169" s="320" t="s">
        <v>354</v>
      </c>
      <c r="G169" s="329"/>
      <c r="H169" s="373"/>
      <c r="I169" s="373"/>
      <c r="J169" s="373"/>
      <c r="K169" s="373"/>
      <c r="L169" s="373"/>
      <c r="M169" s="373"/>
      <c r="N169" s="374"/>
      <c r="O169" s="373"/>
      <c r="P169" s="373"/>
      <c r="Q169" s="373"/>
      <c r="R169" s="373"/>
      <c r="S169" s="1523">
        <f>5481367.59-300000</f>
        <v>5181367.59</v>
      </c>
      <c r="T169" s="375">
        <f t="shared" si="287"/>
        <v>5181367.59</v>
      </c>
      <c r="U169" s="776">
        <f t="shared" si="289"/>
        <v>-4494185.0599999996</v>
      </c>
      <c r="V169" s="775">
        <f t="shared" si="290"/>
        <v>-6.5400164640390379</v>
      </c>
      <c r="W169" s="329"/>
      <c r="X169" s="373">
        <v>8493.35</v>
      </c>
      <c r="Y169" s="373">
        <v>0</v>
      </c>
      <c r="Z169" s="373">
        <v>0</v>
      </c>
      <c r="AA169" s="373">
        <v>50700</v>
      </c>
      <c r="AB169" s="373">
        <v>18000</v>
      </c>
      <c r="AC169" s="373">
        <v>36000</v>
      </c>
      <c r="AD169" s="374">
        <v>68700</v>
      </c>
      <c r="AE169" s="373">
        <v>18000</v>
      </c>
      <c r="AF169" s="373">
        <v>18000</v>
      </c>
      <c r="AG169" s="373">
        <v>353589.17999999993</v>
      </c>
      <c r="AH169" s="373">
        <v>18000</v>
      </c>
      <c r="AI169" s="373">
        <v>97700</v>
      </c>
      <c r="AJ169" s="375">
        <f t="shared" si="288"/>
        <v>687182.52999999991</v>
      </c>
      <c r="AK169" s="329"/>
      <c r="AL169" s="373">
        <v>0</v>
      </c>
      <c r="AM169" s="373">
        <v>0</v>
      </c>
      <c r="AN169" s="373">
        <v>70000</v>
      </c>
      <c r="AO169" s="373">
        <v>0</v>
      </c>
      <c r="AP169" s="373">
        <v>0</v>
      </c>
      <c r="AQ169" s="373">
        <v>286000</v>
      </c>
      <c r="AR169" s="374">
        <v>0</v>
      </c>
      <c r="AS169" s="373">
        <v>0</v>
      </c>
      <c r="AT169" s="373">
        <v>145000</v>
      </c>
      <c r="AU169" s="373">
        <v>216000</v>
      </c>
      <c r="AV169" s="373">
        <v>0</v>
      </c>
      <c r="AW169" s="373">
        <v>799056.25</v>
      </c>
      <c r="AX169" s="375">
        <v>1516056.25</v>
      </c>
      <c r="AY169" s="776">
        <f t="shared" si="291"/>
        <v>324029.03000000003</v>
      </c>
      <c r="AZ169" s="775">
        <f t="shared" si="292"/>
        <v>0.17609457209504986</v>
      </c>
      <c r="BA169" s="329"/>
      <c r="BB169" s="373">
        <v>0</v>
      </c>
      <c r="BC169" s="373">
        <v>0</v>
      </c>
      <c r="BD169" s="373">
        <v>0</v>
      </c>
      <c r="BE169" s="373">
        <v>325395</v>
      </c>
      <c r="BF169" s="373">
        <v>0</v>
      </c>
      <c r="BG169" s="373">
        <v>0</v>
      </c>
      <c r="BH169" s="374">
        <v>67600</v>
      </c>
      <c r="BI169" s="373">
        <v>299819.8</v>
      </c>
      <c r="BJ169" s="373">
        <v>0</v>
      </c>
      <c r="BK169" s="373">
        <v>128392</v>
      </c>
      <c r="BL169" s="373">
        <v>0</v>
      </c>
      <c r="BM169" s="373">
        <v>1009878.48</v>
      </c>
      <c r="BN169" s="402">
        <v>1840085.28</v>
      </c>
      <c r="BO169" s="329"/>
      <c r="BP169" s="374">
        <v>5833.333333333333</v>
      </c>
      <c r="BQ169" s="374">
        <v>5833.3333333333358</v>
      </c>
      <c r="BR169" s="374">
        <v>719732.58333333337</v>
      </c>
      <c r="BS169" s="374">
        <v>5833.333333333333</v>
      </c>
      <c r="BT169" s="374">
        <v>5833.3333333333285</v>
      </c>
      <c r="BU169" s="374">
        <v>719732.58333333337</v>
      </c>
      <c r="BV169" s="374">
        <v>5833.333333333333</v>
      </c>
      <c r="BW169" s="374">
        <v>5833.3333333333285</v>
      </c>
      <c r="BX169" s="374">
        <v>719732.58333333337</v>
      </c>
      <c r="BY169" s="374">
        <v>5833.333333333333</v>
      </c>
      <c r="BZ169" s="374">
        <v>5833.3333333333285</v>
      </c>
      <c r="CA169" s="374">
        <v>719732.58333333337</v>
      </c>
      <c r="CB169" s="402">
        <f t="shared" si="282"/>
        <v>2925597.0000000005</v>
      </c>
      <c r="CC169" s="776">
        <f t="shared" si="274"/>
        <v>1085511.7200000004</v>
      </c>
      <c r="CD169" s="775">
        <f t="shared" si="275"/>
        <v>0.37103938785827312</v>
      </c>
      <c r="CE169" s="772"/>
      <c r="CF169" s="374">
        <v>218875</v>
      </c>
      <c r="CG169" s="374">
        <v>0</v>
      </c>
      <c r="CH169" s="374">
        <v>9799.1000000000058</v>
      </c>
      <c r="CI169" s="374">
        <v>13793.55</v>
      </c>
      <c r="CJ169" s="374">
        <v>39936</v>
      </c>
      <c r="CK169" s="374">
        <v>26976</v>
      </c>
      <c r="CL169" s="374">
        <v>432187</v>
      </c>
      <c r="CM169" s="374">
        <v>26664</v>
      </c>
      <c r="CN169" s="374">
        <v>-97036</v>
      </c>
      <c r="CO169" s="374">
        <v>0</v>
      </c>
      <c r="CP169" s="374">
        <v>0</v>
      </c>
      <c r="CQ169" s="374">
        <v>0</v>
      </c>
      <c r="CR169" s="374">
        <v>0</v>
      </c>
      <c r="CS169" s="402">
        <f t="shared" si="276"/>
        <v>671194.65</v>
      </c>
      <c r="CT169" s="776">
        <f t="shared" si="277"/>
        <v>-1168890.6299999999</v>
      </c>
      <c r="CU169" s="165">
        <f t="shared" si="278"/>
        <v>-1.7415076684535549</v>
      </c>
      <c r="CV169" s="329"/>
      <c r="CW169" s="373">
        <v>0</v>
      </c>
      <c r="CX169" s="373">
        <v>0</v>
      </c>
      <c r="CY169" s="373">
        <v>0</v>
      </c>
      <c r="CZ169" s="373">
        <v>0</v>
      </c>
      <c r="DA169" s="373">
        <v>192076.69</v>
      </c>
      <c r="DB169" s="373">
        <v>0</v>
      </c>
      <c r="DC169" s="374">
        <v>0</v>
      </c>
      <c r="DD169" s="373">
        <v>0</v>
      </c>
      <c r="DE169" s="373">
        <v>0</v>
      </c>
      <c r="DF169" s="373">
        <v>0</v>
      </c>
      <c r="DG169" s="373">
        <v>438794.60000000009</v>
      </c>
      <c r="DH169" s="373">
        <v>0</v>
      </c>
      <c r="DI169" s="375">
        <f t="shared" si="279"/>
        <v>630871.29</v>
      </c>
      <c r="DJ169" s="329"/>
      <c r="DK169" s="373">
        <v>0</v>
      </c>
      <c r="DL169" s="373">
        <v>0</v>
      </c>
      <c r="DM169" s="373">
        <v>0</v>
      </c>
      <c r="DN169" s="373">
        <v>0</v>
      </c>
      <c r="DO169" s="373">
        <v>0</v>
      </c>
      <c r="DP169" s="373">
        <v>0</v>
      </c>
      <c r="DQ169" s="374">
        <v>0</v>
      </c>
      <c r="DR169" s="373">
        <v>0</v>
      </c>
      <c r="DS169" s="373">
        <v>33749.999999999993</v>
      </c>
      <c r="DT169" s="373">
        <v>0</v>
      </c>
      <c r="DU169" s="373">
        <v>20000</v>
      </c>
      <c r="DV169" s="373">
        <v>21000</v>
      </c>
      <c r="DW169" s="375">
        <f t="shared" si="280"/>
        <v>74750</v>
      </c>
      <c r="DY169" s="373">
        <v>0</v>
      </c>
      <c r="DZ169" s="373">
        <v>133056</v>
      </c>
      <c r="EA169" s="373">
        <v>0</v>
      </c>
      <c r="EB169" s="373">
        <v>363029.55</v>
      </c>
      <c r="EC169" s="373">
        <v>107731.2</v>
      </c>
      <c r="ED169" s="373">
        <v>0</v>
      </c>
      <c r="EE169" s="374">
        <v>38493.069999999949</v>
      </c>
      <c r="EF169" s="373">
        <v>0</v>
      </c>
      <c r="EG169" s="373">
        <v>0</v>
      </c>
      <c r="EH169" s="373">
        <v>0</v>
      </c>
      <c r="EI169" s="373">
        <v>0</v>
      </c>
      <c r="EJ169" s="373">
        <v>372584</v>
      </c>
      <c r="EK169" s="375">
        <f t="shared" si="293"/>
        <v>1014893.82</v>
      </c>
      <c r="EL169" s="177"/>
      <c r="EM169" s="373">
        <v>230000</v>
      </c>
      <c r="EN169" s="373">
        <v>209748.7</v>
      </c>
      <c r="EO169" s="373">
        <v>0</v>
      </c>
      <c r="EP169" s="373">
        <v>759231.79</v>
      </c>
      <c r="EQ169" s="373">
        <v>173728.76</v>
      </c>
      <c r="ER169" s="373">
        <v>248154.42</v>
      </c>
      <c r="ES169" s="374">
        <v>164736</v>
      </c>
      <c r="ET169" s="373">
        <v>155570.5</v>
      </c>
      <c r="EU169" s="373">
        <v>193764.31</v>
      </c>
      <c r="EV169" s="373">
        <v>355353.09</v>
      </c>
      <c r="EW169" s="373">
        <v>165400.39000000001</v>
      </c>
      <c r="EX169" s="373">
        <v>-1971337.49</v>
      </c>
      <c r="EY169" s="375">
        <f t="shared" si="294"/>
        <v>684350.47</v>
      </c>
      <c r="EZ169" s="164">
        <v>0</v>
      </c>
      <c r="FA169" s="185">
        <v>0</v>
      </c>
    </row>
    <row r="170" spans="1:157" ht="18.75" customHeight="1" outlineLevel="1">
      <c r="A170" s="185" t="s">
        <v>329</v>
      </c>
      <c r="B170" s="774"/>
      <c r="C170" s="176" t="s">
        <v>997</v>
      </c>
      <c r="D170" s="176">
        <v>60506000</v>
      </c>
      <c r="E170" s="773"/>
      <c r="F170" s="320" t="s">
        <v>355</v>
      </c>
      <c r="G170" s="329"/>
      <c r="H170" s="373"/>
      <c r="I170" s="373"/>
      <c r="J170" s="373"/>
      <c r="K170" s="373"/>
      <c r="L170" s="373"/>
      <c r="M170" s="373"/>
      <c r="N170" s="374"/>
      <c r="O170" s="373"/>
      <c r="P170" s="373"/>
      <c r="Q170" s="373"/>
      <c r="R170" s="373"/>
      <c r="S170" s="373"/>
      <c r="T170" s="375">
        <f t="shared" si="287"/>
        <v>0</v>
      </c>
      <c r="U170" s="776">
        <f t="shared" si="289"/>
        <v>0</v>
      </c>
      <c r="V170" s="775" t="e">
        <f t="shared" si="290"/>
        <v>#DIV/0!</v>
      </c>
      <c r="W170" s="329"/>
      <c r="X170" s="373">
        <v>0</v>
      </c>
      <c r="Y170" s="373">
        <v>0</v>
      </c>
      <c r="Z170" s="373">
        <v>0</v>
      </c>
      <c r="AA170" s="373">
        <v>0</v>
      </c>
      <c r="AB170" s="373">
        <v>0</v>
      </c>
      <c r="AC170" s="373">
        <v>0</v>
      </c>
      <c r="AD170" s="374">
        <v>0</v>
      </c>
      <c r="AE170" s="373">
        <v>0</v>
      </c>
      <c r="AF170" s="373">
        <v>0</v>
      </c>
      <c r="AG170" s="373">
        <v>0</v>
      </c>
      <c r="AH170" s="373">
        <v>0</v>
      </c>
      <c r="AI170" s="373">
        <v>0</v>
      </c>
      <c r="AJ170" s="375">
        <f t="shared" si="288"/>
        <v>0</v>
      </c>
      <c r="AK170" s="329"/>
      <c r="AL170" s="373">
        <v>0</v>
      </c>
      <c r="AM170" s="373">
        <v>0</v>
      </c>
      <c r="AN170" s="373">
        <v>0</v>
      </c>
      <c r="AO170" s="373">
        <v>0</v>
      </c>
      <c r="AP170" s="373">
        <v>0</v>
      </c>
      <c r="AQ170" s="373">
        <v>0</v>
      </c>
      <c r="AR170" s="374">
        <v>0</v>
      </c>
      <c r="AS170" s="373">
        <v>0</v>
      </c>
      <c r="AT170" s="373">
        <v>0</v>
      </c>
      <c r="AU170" s="373">
        <v>0</v>
      </c>
      <c r="AV170" s="373">
        <v>0</v>
      </c>
      <c r="AW170" s="373">
        <v>0</v>
      </c>
      <c r="AX170" s="375">
        <v>0</v>
      </c>
      <c r="AY170" s="776">
        <f t="shared" si="291"/>
        <v>0</v>
      </c>
      <c r="AZ170" s="775" t="e">
        <f t="shared" si="292"/>
        <v>#DIV/0!</v>
      </c>
      <c r="BA170" s="329"/>
      <c r="BB170" s="373">
        <v>0</v>
      </c>
      <c r="BC170" s="373">
        <v>0</v>
      </c>
      <c r="BD170" s="373">
        <v>0</v>
      </c>
      <c r="BE170" s="373">
        <v>0</v>
      </c>
      <c r="BF170" s="373">
        <v>0</v>
      </c>
      <c r="BG170" s="373">
        <v>0</v>
      </c>
      <c r="BH170" s="374">
        <v>0</v>
      </c>
      <c r="BI170" s="373">
        <v>0</v>
      </c>
      <c r="BJ170" s="373">
        <v>0</v>
      </c>
      <c r="BK170" s="373">
        <v>0</v>
      </c>
      <c r="BL170" s="373">
        <v>0</v>
      </c>
      <c r="BM170" s="373">
        <v>0</v>
      </c>
      <c r="BN170" s="402">
        <f t="shared" ref="BN170:BN229" si="295">SUM(BB170:BM170)</f>
        <v>0</v>
      </c>
      <c r="BO170" s="329"/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402">
        <f t="shared" si="282"/>
        <v>0</v>
      </c>
      <c r="CC170" s="776">
        <f t="shared" si="274"/>
        <v>0</v>
      </c>
      <c r="CD170" s="775" t="str">
        <f t="shared" si="275"/>
        <v>N/A</v>
      </c>
      <c r="CE170" s="772"/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402">
        <f t="shared" si="276"/>
        <v>0</v>
      </c>
      <c r="CT170" s="776">
        <f t="shared" si="277"/>
        <v>0</v>
      </c>
      <c r="CU170" s="165" t="str">
        <f t="shared" si="278"/>
        <v>N/A</v>
      </c>
      <c r="CV170" s="329"/>
      <c r="CW170" s="373">
        <v>0</v>
      </c>
      <c r="CX170" s="373">
        <v>0</v>
      </c>
      <c r="CY170" s="373">
        <v>0</v>
      </c>
      <c r="CZ170" s="373">
        <v>0</v>
      </c>
      <c r="DA170" s="373">
        <v>0</v>
      </c>
      <c r="DB170" s="373">
        <v>0</v>
      </c>
      <c r="DC170" s="374">
        <v>0</v>
      </c>
      <c r="DD170" s="373">
        <v>0</v>
      </c>
      <c r="DE170" s="373">
        <v>0</v>
      </c>
      <c r="DF170" s="373">
        <v>0</v>
      </c>
      <c r="DG170" s="373">
        <v>0</v>
      </c>
      <c r="DH170" s="373">
        <v>0</v>
      </c>
      <c r="DI170" s="375">
        <f t="shared" si="279"/>
        <v>0</v>
      </c>
      <c r="DJ170" s="329"/>
      <c r="DK170" s="373">
        <v>0</v>
      </c>
      <c r="DL170" s="373">
        <v>0</v>
      </c>
      <c r="DM170" s="373">
        <v>0</v>
      </c>
      <c r="DN170" s="373">
        <v>0</v>
      </c>
      <c r="DO170" s="373">
        <v>0</v>
      </c>
      <c r="DP170" s="373">
        <v>0</v>
      </c>
      <c r="DQ170" s="374">
        <v>0</v>
      </c>
      <c r="DR170" s="373">
        <v>0</v>
      </c>
      <c r="DS170" s="373">
        <v>0</v>
      </c>
      <c r="DT170" s="373">
        <v>0</v>
      </c>
      <c r="DU170" s="373">
        <v>0</v>
      </c>
      <c r="DV170" s="373">
        <v>0</v>
      </c>
      <c r="DW170" s="375">
        <f t="shared" si="280"/>
        <v>0</v>
      </c>
      <c r="DY170" s="373">
        <v>0</v>
      </c>
      <c r="DZ170" s="373">
        <v>0</v>
      </c>
      <c r="EA170" s="373">
        <v>0</v>
      </c>
      <c r="EB170" s="373">
        <v>0</v>
      </c>
      <c r="EC170" s="373">
        <v>0</v>
      </c>
      <c r="ED170" s="373">
        <v>0</v>
      </c>
      <c r="EE170" s="374">
        <v>0</v>
      </c>
      <c r="EF170" s="373">
        <v>0</v>
      </c>
      <c r="EG170" s="373">
        <v>0</v>
      </c>
      <c r="EH170" s="373">
        <v>0</v>
      </c>
      <c r="EI170" s="373">
        <v>0</v>
      </c>
      <c r="EJ170" s="373">
        <v>0</v>
      </c>
      <c r="EK170" s="375">
        <f t="shared" si="293"/>
        <v>0</v>
      </c>
      <c r="EL170" s="177"/>
      <c r="EM170" s="373">
        <v>0</v>
      </c>
      <c r="EN170" s="373">
        <v>0</v>
      </c>
      <c r="EO170" s="373">
        <v>0</v>
      </c>
      <c r="EP170" s="373">
        <v>0</v>
      </c>
      <c r="EQ170" s="373">
        <v>0</v>
      </c>
      <c r="ER170" s="373">
        <v>0</v>
      </c>
      <c r="ES170" s="374">
        <v>0</v>
      </c>
      <c r="ET170" s="373">
        <v>0</v>
      </c>
      <c r="EU170" s="373">
        <v>0</v>
      </c>
      <c r="EV170" s="373">
        <v>0</v>
      </c>
      <c r="EW170" s="373">
        <v>0</v>
      </c>
      <c r="EX170" s="373">
        <v>0</v>
      </c>
      <c r="EY170" s="375">
        <f t="shared" si="294"/>
        <v>0</v>
      </c>
      <c r="EZ170" s="164">
        <v>0</v>
      </c>
      <c r="FA170" s="185">
        <v>0</v>
      </c>
    </row>
    <row r="171" spans="1:157" ht="18.75" customHeight="1" outlineLevel="1">
      <c r="A171" s="185" t="s">
        <v>329</v>
      </c>
      <c r="B171" s="774"/>
      <c r="C171" s="176" t="s">
        <v>996</v>
      </c>
      <c r="D171" s="176">
        <v>60601000</v>
      </c>
      <c r="E171" s="773"/>
      <c r="F171" s="320" t="s">
        <v>655</v>
      </c>
      <c r="G171" s="329"/>
      <c r="H171" s="373"/>
      <c r="I171" s="373"/>
      <c r="J171" s="373"/>
      <c r="K171" s="373"/>
      <c r="L171" s="373"/>
      <c r="M171" s="373"/>
      <c r="N171" s="374"/>
      <c r="O171" s="373"/>
      <c r="P171" s="373"/>
      <c r="Q171" s="373"/>
      <c r="R171" s="373"/>
      <c r="S171" s="1523">
        <v>11163722.732315069</v>
      </c>
      <c r="T171" s="981">
        <f t="shared" si="287"/>
        <v>11163722.732315069</v>
      </c>
      <c r="U171" s="776">
        <f t="shared" si="289"/>
        <v>-11163722.732315069</v>
      </c>
      <c r="V171" s="775" t="e">
        <f t="shared" si="290"/>
        <v>#DIV/0!</v>
      </c>
      <c r="W171" s="329"/>
      <c r="X171" s="373">
        <v>0</v>
      </c>
      <c r="Y171" s="373">
        <v>0</v>
      </c>
      <c r="Z171" s="373">
        <v>0</v>
      </c>
      <c r="AA171" s="373">
        <v>0</v>
      </c>
      <c r="AB171" s="373">
        <v>0</v>
      </c>
      <c r="AC171" s="373">
        <v>0</v>
      </c>
      <c r="AD171" s="374">
        <v>0</v>
      </c>
      <c r="AE171" s="373">
        <v>0</v>
      </c>
      <c r="AF171" s="373">
        <v>0</v>
      </c>
      <c r="AG171" s="373">
        <v>0</v>
      </c>
      <c r="AH171" s="373">
        <v>0</v>
      </c>
      <c r="AI171" s="373">
        <v>0</v>
      </c>
      <c r="AJ171" s="375">
        <f t="shared" si="288"/>
        <v>0</v>
      </c>
      <c r="AK171" s="329"/>
      <c r="AL171" s="373">
        <v>0</v>
      </c>
      <c r="AM171" s="373">
        <v>0</v>
      </c>
      <c r="AN171" s="373">
        <v>0</v>
      </c>
      <c r="AO171" s="373">
        <v>0</v>
      </c>
      <c r="AP171" s="373">
        <v>0</v>
      </c>
      <c r="AQ171" s="373">
        <v>0</v>
      </c>
      <c r="AR171" s="374">
        <v>0</v>
      </c>
      <c r="AS171" s="373">
        <v>0</v>
      </c>
      <c r="AT171" s="373">
        <v>0</v>
      </c>
      <c r="AU171" s="373">
        <v>0</v>
      </c>
      <c r="AV171" s="373">
        <v>0</v>
      </c>
      <c r="AW171" s="373">
        <v>0</v>
      </c>
      <c r="AX171" s="375">
        <v>0</v>
      </c>
      <c r="AY171" s="776">
        <f t="shared" si="291"/>
        <v>15</v>
      </c>
      <c r="AZ171" s="775">
        <f t="shared" si="292"/>
        <v>1</v>
      </c>
      <c r="BA171" s="329"/>
      <c r="BB171" s="373">
        <v>0</v>
      </c>
      <c r="BC171" s="373">
        <v>0</v>
      </c>
      <c r="BD171" s="373">
        <v>0</v>
      </c>
      <c r="BE171" s="373">
        <v>0</v>
      </c>
      <c r="BF171" s="373">
        <v>0</v>
      </c>
      <c r="BG171" s="373">
        <v>0</v>
      </c>
      <c r="BH171" s="374">
        <v>0</v>
      </c>
      <c r="BI171" s="373">
        <v>0</v>
      </c>
      <c r="BJ171" s="373">
        <v>0</v>
      </c>
      <c r="BK171" s="373">
        <v>0</v>
      </c>
      <c r="BL171" s="373">
        <v>15</v>
      </c>
      <c r="BM171" s="373">
        <v>0</v>
      </c>
      <c r="BN171" s="402">
        <f t="shared" si="295"/>
        <v>15</v>
      </c>
      <c r="BO171" s="329"/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402">
        <f t="shared" si="282"/>
        <v>0</v>
      </c>
      <c r="CC171" s="776">
        <f t="shared" si="274"/>
        <v>-15</v>
      </c>
      <c r="CD171" s="775" t="str">
        <f t="shared" si="275"/>
        <v>N/A</v>
      </c>
      <c r="CE171" s="772"/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402">
        <f t="shared" si="276"/>
        <v>0</v>
      </c>
      <c r="CT171" s="776">
        <f t="shared" si="277"/>
        <v>-15</v>
      </c>
      <c r="CU171" s="165" t="str">
        <f t="shared" si="278"/>
        <v>N/A</v>
      </c>
      <c r="CV171" s="329"/>
      <c r="CW171" s="373">
        <v>0</v>
      </c>
      <c r="CX171" s="373">
        <v>0</v>
      </c>
      <c r="CY171" s="373">
        <v>0</v>
      </c>
      <c r="CZ171" s="373">
        <v>0</v>
      </c>
      <c r="DA171" s="373">
        <v>0</v>
      </c>
      <c r="DB171" s="373">
        <v>0</v>
      </c>
      <c r="DC171" s="374">
        <v>0</v>
      </c>
      <c r="DD171" s="373">
        <v>0</v>
      </c>
      <c r="DE171" s="373">
        <v>0</v>
      </c>
      <c r="DF171" s="373">
        <v>0</v>
      </c>
      <c r="DG171" s="373">
        <v>0</v>
      </c>
      <c r="DH171" s="373">
        <v>0</v>
      </c>
      <c r="DI171" s="375">
        <f t="shared" si="279"/>
        <v>0</v>
      </c>
      <c r="DJ171" s="329"/>
      <c r="DK171" s="373">
        <v>0</v>
      </c>
      <c r="DL171" s="373">
        <v>0</v>
      </c>
      <c r="DM171" s="373">
        <v>0</v>
      </c>
      <c r="DN171" s="373">
        <v>0</v>
      </c>
      <c r="DO171" s="373">
        <v>0</v>
      </c>
      <c r="DP171" s="373">
        <v>0</v>
      </c>
      <c r="DQ171" s="374">
        <v>0</v>
      </c>
      <c r="DR171" s="373">
        <v>0</v>
      </c>
      <c r="DS171" s="373">
        <v>0</v>
      </c>
      <c r="DT171" s="373">
        <v>0</v>
      </c>
      <c r="DU171" s="373">
        <v>0</v>
      </c>
      <c r="DV171" s="373">
        <v>0</v>
      </c>
      <c r="DW171" s="375">
        <f t="shared" si="280"/>
        <v>0</v>
      </c>
      <c r="DY171" s="373">
        <v>0</v>
      </c>
      <c r="DZ171" s="373">
        <v>0</v>
      </c>
      <c r="EA171" s="373">
        <v>0</v>
      </c>
      <c r="EB171" s="373">
        <v>0</v>
      </c>
      <c r="EC171" s="373">
        <v>0</v>
      </c>
      <c r="ED171" s="373">
        <v>0</v>
      </c>
      <c r="EE171" s="374">
        <v>0</v>
      </c>
      <c r="EF171" s="373">
        <v>0</v>
      </c>
      <c r="EG171" s="373">
        <v>0</v>
      </c>
      <c r="EH171" s="373">
        <v>0</v>
      </c>
      <c r="EI171" s="373">
        <v>0</v>
      </c>
      <c r="EJ171" s="373">
        <v>0</v>
      </c>
      <c r="EK171" s="375">
        <f t="shared" si="293"/>
        <v>0</v>
      </c>
      <c r="EL171" s="177"/>
      <c r="EM171" s="373">
        <v>0</v>
      </c>
      <c r="EN171" s="373">
        <v>0</v>
      </c>
      <c r="EO171" s="373">
        <v>0</v>
      </c>
      <c r="EP171" s="373">
        <v>0</v>
      </c>
      <c r="EQ171" s="373">
        <v>0</v>
      </c>
      <c r="ER171" s="373">
        <v>0</v>
      </c>
      <c r="ES171" s="374">
        <v>0</v>
      </c>
      <c r="ET171" s="373">
        <v>0</v>
      </c>
      <c r="EU171" s="373">
        <v>0</v>
      </c>
      <c r="EV171" s="373">
        <v>0</v>
      </c>
      <c r="EW171" s="373">
        <v>0</v>
      </c>
      <c r="EX171" s="373">
        <v>0</v>
      </c>
      <c r="EY171" s="375">
        <f t="shared" si="294"/>
        <v>0</v>
      </c>
      <c r="EZ171" s="164">
        <v>0</v>
      </c>
      <c r="FA171" s="185">
        <v>0</v>
      </c>
    </row>
    <row r="172" spans="1:157" ht="18.75" customHeight="1">
      <c r="A172" s="185" t="s">
        <v>617</v>
      </c>
      <c r="B172" s="774"/>
      <c r="C172" s="176" t="s">
        <v>995</v>
      </c>
      <c r="D172" s="176">
        <v>61012000</v>
      </c>
      <c r="E172" s="773"/>
      <c r="F172" s="320" t="s">
        <v>656</v>
      </c>
      <c r="G172" s="329"/>
      <c r="H172" s="373"/>
      <c r="I172" s="373"/>
      <c r="J172" s="373"/>
      <c r="K172" s="373"/>
      <c r="L172" s="373"/>
      <c r="M172" s="373"/>
      <c r="N172" s="374"/>
      <c r="O172" s="373"/>
      <c r="P172" s="373"/>
      <c r="Q172" s="373"/>
      <c r="R172" s="373"/>
      <c r="S172" s="373"/>
      <c r="T172" s="375">
        <f t="shared" si="287"/>
        <v>0</v>
      </c>
      <c r="U172" s="776">
        <f t="shared" si="289"/>
        <v>44.399999999254945</v>
      </c>
      <c r="V172" s="775">
        <f t="shared" si="290"/>
        <v>1</v>
      </c>
      <c r="W172" s="329"/>
      <c r="X172" s="373">
        <v>3.7</v>
      </c>
      <c r="Y172" s="373">
        <v>3.7</v>
      </c>
      <c r="Z172" s="373">
        <v>3.7</v>
      </c>
      <c r="AA172" s="373">
        <v>3.7</v>
      </c>
      <c r="AB172" s="373">
        <v>3.7</v>
      </c>
      <c r="AC172" s="373">
        <v>3.7</v>
      </c>
      <c r="AD172" s="374">
        <v>3.7</v>
      </c>
      <c r="AE172" s="373">
        <v>3.7</v>
      </c>
      <c r="AF172" s="373">
        <v>3.7</v>
      </c>
      <c r="AG172" s="373">
        <v>3.7</v>
      </c>
      <c r="AH172" s="373">
        <v>3.7</v>
      </c>
      <c r="AI172" s="373">
        <v>3.6999999992549419</v>
      </c>
      <c r="AJ172" s="375">
        <f t="shared" si="288"/>
        <v>44.399999999254945</v>
      </c>
      <c r="AK172" s="329"/>
      <c r="AL172" s="373">
        <v>3.7</v>
      </c>
      <c r="AM172" s="373">
        <v>3.7</v>
      </c>
      <c r="AN172" s="373">
        <v>3.7</v>
      </c>
      <c r="AO172" s="373">
        <v>3.7</v>
      </c>
      <c r="AP172" s="373">
        <v>3.7</v>
      </c>
      <c r="AQ172" s="373">
        <v>3.7</v>
      </c>
      <c r="AR172" s="374">
        <v>3.7</v>
      </c>
      <c r="AS172" s="373">
        <v>3.7</v>
      </c>
      <c r="AT172" s="373">
        <v>3.7</v>
      </c>
      <c r="AU172" s="373">
        <v>3.7</v>
      </c>
      <c r="AV172" s="373">
        <v>3.7</v>
      </c>
      <c r="AW172" s="373">
        <v>3.7</v>
      </c>
      <c r="AX172" s="375">
        <v>43</v>
      </c>
      <c r="AY172" s="776">
        <f t="shared" si="291"/>
        <v>1.4000000000000057</v>
      </c>
      <c r="AZ172" s="775">
        <f t="shared" si="292"/>
        <v>3.1531531531531654E-2</v>
      </c>
      <c r="BA172" s="329"/>
      <c r="BB172" s="373">
        <v>3.7</v>
      </c>
      <c r="BC172" s="373">
        <v>3.7</v>
      </c>
      <c r="BD172" s="373">
        <v>3.7</v>
      </c>
      <c r="BE172" s="373">
        <v>3.7</v>
      </c>
      <c r="BF172" s="373">
        <v>3.7</v>
      </c>
      <c r="BG172" s="373">
        <v>3.7</v>
      </c>
      <c r="BH172" s="374">
        <v>3.7</v>
      </c>
      <c r="BI172" s="373">
        <v>3.7</v>
      </c>
      <c r="BJ172" s="373">
        <v>3.7</v>
      </c>
      <c r="BK172" s="373">
        <v>3.7</v>
      </c>
      <c r="BL172" s="373">
        <v>3.7</v>
      </c>
      <c r="BM172" s="373">
        <v>3.7</v>
      </c>
      <c r="BN172" s="402">
        <f t="shared" si="295"/>
        <v>44.400000000000006</v>
      </c>
      <c r="BO172" s="329"/>
      <c r="BP172" s="374">
        <v>3.6999999999999997</v>
      </c>
      <c r="BQ172" s="374">
        <v>3.6999999999999997</v>
      </c>
      <c r="BR172" s="374">
        <v>3.6999999999999997</v>
      </c>
      <c r="BS172" s="374">
        <v>3.6999999999999997</v>
      </c>
      <c r="BT172" s="374">
        <v>3.6999999999999997</v>
      </c>
      <c r="BU172" s="374">
        <v>3.6999999999999997</v>
      </c>
      <c r="BV172" s="374">
        <v>3.6999999999999997</v>
      </c>
      <c r="BW172" s="374">
        <v>3.6999999999999997</v>
      </c>
      <c r="BX172" s="374">
        <v>3.6999999999999997</v>
      </c>
      <c r="BY172" s="374">
        <v>3.6999999999999997</v>
      </c>
      <c r="BZ172" s="374">
        <v>3.6999999999999997</v>
      </c>
      <c r="CA172" s="374">
        <v>3.6999999999999997</v>
      </c>
      <c r="CB172" s="402">
        <f t="shared" si="282"/>
        <v>44.400000000000006</v>
      </c>
      <c r="CC172" s="776">
        <f t="shared" si="274"/>
        <v>0</v>
      </c>
      <c r="CD172" s="775">
        <f t="shared" si="275"/>
        <v>0</v>
      </c>
      <c r="CE172" s="772"/>
      <c r="CF172" s="374">
        <v>3.7</v>
      </c>
      <c r="CG172" s="374">
        <v>3.7</v>
      </c>
      <c r="CH172" s="374">
        <v>3.7</v>
      </c>
      <c r="CI172" s="374">
        <v>3.7</v>
      </c>
      <c r="CJ172" s="374">
        <v>3.7</v>
      </c>
      <c r="CK172" s="374">
        <v>3.7</v>
      </c>
      <c r="CL172" s="374">
        <v>3.7</v>
      </c>
      <c r="CM172" s="374">
        <v>3.7</v>
      </c>
      <c r="CN172" s="374">
        <v>3.7</v>
      </c>
      <c r="CO172" s="374">
        <v>3.7</v>
      </c>
      <c r="CP172" s="374">
        <v>3.7</v>
      </c>
      <c r="CQ172" s="374">
        <v>3.7</v>
      </c>
      <c r="CR172" s="374">
        <v>0</v>
      </c>
      <c r="CS172" s="402">
        <f t="shared" si="276"/>
        <v>44.400000000000006</v>
      </c>
      <c r="CT172" s="776">
        <f t="shared" si="277"/>
        <v>0</v>
      </c>
      <c r="CU172" s="165">
        <f t="shared" si="278"/>
        <v>0</v>
      </c>
      <c r="CV172" s="329"/>
      <c r="CW172" s="373">
        <v>3.7</v>
      </c>
      <c r="CX172" s="373">
        <v>3.7</v>
      </c>
      <c r="CY172" s="373">
        <v>3.7</v>
      </c>
      <c r="CZ172" s="373">
        <v>3.7</v>
      </c>
      <c r="DA172" s="373">
        <v>3.7</v>
      </c>
      <c r="DB172" s="373">
        <v>3.7</v>
      </c>
      <c r="DC172" s="374">
        <v>3.7</v>
      </c>
      <c r="DD172" s="373">
        <v>3.7</v>
      </c>
      <c r="DE172" s="373">
        <v>3.7</v>
      </c>
      <c r="DF172" s="373">
        <v>3.7</v>
      </c>
      <c r="DG172" s="373">
        <v>3.7</v>
      </c>
      <c r="DH172" s="373">
        <v>3.7</v>
      </c>
      <c r="DI172" s="375">
        <f t="shared" si="279"/>
        <v>44.400000000000006</v>
      </c>
      <c r="DJ172" s="329"/>
      <c r="DK172" s="373">
        <v>3.7</v>
      </c>
      <c r="DL172" s="373">
        <v>3.7</v>
      </c>
      <c r="DM172" s="373">
        <v>3.7</v>
      </c>
      <c r="DN172" s="373">
        <v>3.7</v>
      </c>
      <c r="DO172" s="373">
        <v>3.7</v>
      </c>
      <c r="DP172" s="373">
        <v>3.7</v>
      </c>
      <c r="DQ172" s="374">
        <v>3.7</v>
      </c>
      <c r="DR172" s="373">
        <v>3.7</v>
      </c>
      <c r="DS172" s="373">
        <v>3.7</v>
      </c>
      <c r="DT172" s="373">
        <v>3.7</v>
      </c>
      <c r="DU172" s="373">
        <v>3.7</v>
      </c>
      <c r="DV172" s="373">
        <v>3.7</v>
      </c>
      <c r="DW172" s="375">
        <f t="shared" si="280"/>
        <v>44.400000000000006</v>
      </c>
      <c r="DY172" s="373">
        <v>3.7</v>
      </c>
      <c r="DZ172" s="373">
        <v>3.7</v>
      </c>
      <c r="EA172" s="373">
        <v>3.7</v>
      </c>
      <c r="EB172" s="373">
        <v>3.7</v>
      </c>
      <c r="EC172" s="373">
        <v>3.7</v>
      </c>
      <c r="ED172" s="373">
        <v>3.7</v>
      </c>
      <c r="EE172" s="374">
        <v>3.7</v>
      </c>
      <c r="EF172" s="373">
        <v>3.7</v>
      </c>
      <c r="EG172" s="373">
        <v>3.7</v>
      </c>
      <c r="EH172" s="373">
        <v>3.7</v>
      </c>
      <c r="EI172" s="373">
        <v>3.7</v>
      </c>
      <c r="EJ172" s="373">
        <v>3.7</v>
      </c>
      <c r="EK172" s="375">
        <f t="shared" si="293"/>
        <v>44.400000000000006</v>
      </c>
      <c r="EL172" s="177"/>
      <c r="EM172" s="373">
        <v>3.7</v>
      </c>
      <c r="EN172" s="373">
        <v>3.7</v>
      </c>
      <c r="EO172" s="373">
        <v>3.7</v>
      </c>
      <c r="EP172" s="373">
        <v>3.7</v>
      </c>
      <c r="EQ172" s="373">
        <v>3.7</v>
      </c>
      <c r="ER172" s="373">
        <v>3.7</v>
      </c>
      <c r="ES172" s="374">
        <v>3.7</v>
      </c>
      <c r="ET172" s="373">
        <v>3.7</v>
      </c>
      <c r="EU172" s="373">
        <v>3.7</v>
      </c>
      <c r="EV172" s="373">
        <v>3.7</v>
      </c>
      <c r="EW172" s="373">
        <v>3.7</v>
      </c>
      <c r="EX172" s="373">
        <v>3.7</v>
      </c>
      <c r="EY172" s="375">
        <f t="shared" si="294"/>
        <v>44.400000000000006</v>
      </c>
      <c r="EZ172" s="164">
        <v>0</v>
      </c>
      <c r="FA172" s="185">
        <v>0</v>
      </c>
    </row>
    <row r="173" spans="1:157" ht="18.75" customHeight="1">
      <c r="A173" s="185" t="s">
        <v>617</v>
      </c>
      <c r="B173" s="774"/>
      <c r="C173" s="176" t="s">
        <v>994</v>
      </c>
      <c r="D173" s="176">
        <v>61013100</v>
      </c>
      <c r="E173" s="773"/>
      <c r="F173" s="320" t="s">
        <v>657</v>
      </c>
      <c r="G173" s="329"/>
      <c r="H173" s="373"/>
      <c r="I173" s="373"/>
      <c r="J173" s="373"/>
      <c r="K173" s="373"/>
      <c r="L173" s="373"/>
      <c r="M173" s="373"/>
      <c r="N173" s="374"/>
      <c r="O173" s="373"/>
      <c r="P173" s="373"/>
      <c r="Q173" s="373"/>
      <c r="R173" s="373"/>
      <c r="S173" s="377">
        <f>1279514.82*12</f>
        <v>15354177.84</v>
      </c>
      <c r="T173" s="375">
        <f t="shared" si="287"/>
        <v>15354177.84</v>
      </c>
      <c r="U173" s="776">
        <f t="shared" si="289"/>
        <v>-15354177.84</v>
      </c>
      <c r="V173" s="775" t="e">
        <f t="shared" si="290"/>
        <v>#DIV/0!</v>
      </c>
      <c r="W173" s="329"/>
      <c r="X173" s="373">
        <v>0</v>
      </c>
      <c r="Y173" s="373">
        <v>0</v>
      </c>
      <c r="Z173" s="373">
        <v>0</v>
      </c>
      <c r="AA173" s="373">
        <v>0</v>
      </c>
      <c r="AB173" s="373">
        <v>0</v>
      </c>
      <c r="AC173" s="373">
        <v>0</v>
      </c>
      <c r="AD173" s="374">
        <v>0</v>
      </c>
      <c r="AE173" s="373">
        <v>0</v>
      </c>
      <c r="AF173" s="373">
        <v>0</v>
      </c>
      <c r="AG173" s="373">
        <v>0</v>
      </c>
      <c r="AH173" s="373">
        <v>0</v>
      </c>
      <c r="AI173" s="373">
        <v>0</v>
      </c>
      <c r="AJ173" s="375">
        <f t="shared" si="288"/>
        <v>0</v>
      </c>
      <c r="AK173" s="329"/>
      <c r="AL173" s="373">
        <v>0</v>
      </c>
      <c r="AM173" s="373">
        <v>0</v>
      </c>
      <c r="AN173" s="373">
        <v>0</v>
      </c>
      <c r="AO173" s="373">
        <v>0</v>
      </c>
      <c r="AP173" s="373">
        <v>0</v>
      </c>
      <c r="AQ173" s="373">
        <v>0</v>
      </c>
      <c r="AR173" s="374">
        <v>0</v>
      </c>
      <c r="AS173" s="373">
        <v>0</v>
      </c>
      <c r="AT173" s="373">
        <v>0</v>
      </c>
      <c r="AU173" s="373">
        <v>0</v>
      </c>
      <c r="AV173" s="373">
        <v>0</v>
      </c>
      <c r="AW173" s="373">
        <v>0</v>
      </c>
      <c r="AX173" s="375">
        <v>0</v>
      </c>
      <c r="AY173" s="776">
        <f t="shared" si="291"/>
        <v>0</v>
      </c>
      <c r="AZ173" s="775" t="e">
        <f t="shared" si="292"/>
        <v>#DIV/0!</v>
      </c>
      <c r="BA173" s="329"/>
      <c r="BB173" s="373">
        <v>0</v>
      </c>
      <c r="BC173" s="373">
        <v>0</v>
      </c>
      <c r="BD173" s="373">
        <v>0</v>
      </c>
      <c r="BE173" s="373">
        <v>0</v>
      </c>
      <c r="BF173" s="373">
        <v>0</v>
      </c>
      <c r="BG173" s="373">
        <v>0</v>
      </c>
      <c r="BH173" s="374">
        <v>0</v>
      </c>
      <c r="BI173" s="373">
        <v>0</v>
      </c>
      <c r="BJ173" s="373">
        <v>0</v>
      </c>
      <c r="BK173" s="373">
        <v>0</v>
      </c>
      <c r="BL173" s="373">
        <v>0</v>
      </c>
      <c r="BM173" s="373">
        <v>0</v>
      </c>
      <c r="BN173" s="402">
        <f t="shared" si="295"/>
        <v>0</v>
      </c>
      <c r="BO173" s="329"/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402">
        <f t="shared" si="282"/>
        <v>0</v>
      </c>
      <c r="CC173" s="776">
        <f t="shared" si="274"/>
        <v>0</v>
      </c>
      <c r="CD173" s="775" t="str">
        <f t="shared" si="275"/>
        <v>N/A</v>
      </c>
      <c r="CE173" s="772"/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402">
        <f t="shared" si="276"/>
        <v>0</v>
      </c>
      <c r="CT173" s="776">
        <f t="shared" si="277"/>
        <v>0</v>
      </c>
      <c r="CU173" s="165" t="str">
        <f t="shared" si="278"/>
        <v>N/A</v>
      </c>
      <c r="CV173" s="329"/>
      <c r="CW173" s="373">
        <v>0</v>
      </c>
      <c r="CX173" s="373">
        <v>0</v>
      </c>
      <c r="CY173" s="373">
        <v>0</v>
      </c>
      <c r="CZ173" s="373">
        <v>0</v>
      </c>
      <c r="DA173" s="373">
        <v>0</v>
      </c>
      <c r="DB173" s="373">
        <v>0</v>
      </c>
      <c r="DC173" s="374">
        <v>0</v>
      </c>
      <c r="DD173" s="373">
        <v>0</v>
      </c>
      <c r="DE173" s="373">
        <v>0</v>
      </c>
      <c r="DF173" s="373">
        <v>0</v>
      </c>
      <c r="DG173" s="373">
        <v>0</v>
      </c>
      <c r="DH173" s="373">
        <v>0</v>
      </c>
      <c r="DI173" s="375">
        <f t="shared" si="279"/>
        <v>0</v>
      </c>
      <c r="DJ173" s="329"/>
      <c r="DK173" s="373">
        <v>0</v>
      </c>
      <c r="DL173" s="373">
        <v>0</v>
      </c>
      <c r="DM173" s="373">
        <v>0</v>
      </c>
      <c r="DN173" s="373">
        <v>0</v>
      </c>
      <c r="DO173" s="373">
        <v>0</v>
      </c>
      <c r="DP173" s="373">
        <v>0</v>
      </c>
      <c r="DQ173" s="374">
        <v>0</v>
      </c>
      <c r="DR173" s="373">
        <v>0</v>
      </c>
      <c r="DS173" s="373">
        <v>0</v>
      </c>
      <c r="DT173" s="373">
        <v>0</v>
      </c>
      <c r="DU173" s="373">
        <v>0</v>
      </c>
      <c r="DV173" s="373">
        <v>0</v>
      </c>
      <c r="DW173" s="375">
        <f t="shared" si="280"/>
        <v>0</v>
      </c>
      <c r="DY173" s="373">
        <v>0</v>
      </c>
      <c r="DZ173" s="373">
        <v>0</v>
      </c>
      <c r="EA173" s="373">
        <v>0</v>
      </c>
      <c r="EB173" s="373">
        <v>0</v>
      </c>
      <c r="EC173" s="373">
        <v>0</v>
      </c>
      <c r="ED173" s="373">
        <v>0</v>
      </c>
      <c r="EE173" s="374">
        <v>0</v>
      </c>
      <c r="EF173" s="373">
        <v>0</v>
      </c>
      <c r="EG173" s="373">
        <v>0</v>
      </c>
      <c r="EH173" s="373">
        <v>0</v>
      </c>
      <c r="EI173" s="373">
        <v>0</v>
      </c>
      <c r="EJ173" s="373">
        <v>0</v>
      </c>
      <c r="EK173" s="375">
        <f t="shared" si="293"/>
        <v>0</v>
      </c>
      <c r="EL173" s="177"/>
      <c r="EM173" s="373">
        <v>0</v>
      </c>
      <c r="EN173" s="373">
        <v>0</v>
      </c>
      <c r="EO173" s="373">
        <v>0</v>
      </c>
      <c r="EP173" s="373">
        <v>0</v>
      </c>
      <c r="EQ173" s="373">
        <v>0</v>
      </c>
      <c r="ER173" s="373">
        <v>0</v>
      </c>
      <c r="ES173" s="374">
        <v>0</v>
      </c>
      <c r="ET173" s="373">
        <v>0</v>
      </c>
      <c r="EU173" s="373">
        <v>0</v>
      </c>
      <c r="EV173" s="373">
        <v>0</v>
      </c>
      <c r="EW173" s="373">
        <v>0</v>
      </c>
      <c r="EX173" s="373">
        <v>0</v>
      </c>
      <c r="EY173" s="375">
        <f t="shared" si="294"/>
        <v>0</v>
      </c>
      <c r="EZ173" s="164">
        <v>0</v>
      </c>
      <c r="FA173" s="185">
        <v>0</v>
      </c>
    </row>
    <row r="174" spans="1:157" ht="18.75" customHeight="1">
      <c r="A174" s="185" t="s">
        <v>617</v>
      </c>
      <c r="B174" s="774"/>
      <c r="C174" s="176" t="s">
        <v>993</v>
      </c>
      <c r="D174" s="176">
        <v>61013200</v>
      </c>
      <c r="E174" s="773"/>
      <c r="F174" s="320" t="s">
        <v>658</v>
      </c>
      <c r="G174" s="329"/>
      <c r="H174" s="373"/>
      <c r="I174" s="373"/>
      <c r="J174" s="373"/>
      <c r="K174" s="373"/>
      <c r="L174" s="373"/>
      <c r="M174" s="373"/>
      <c r="N174" s="374"/>
      <c r="O174" s="373"/>
      <c r="P174" s="373"/>
      <c r="Q174" s="373"/>
      <c r="R174" s="373"/>
      <c r="S174" s="377">
        <v>2246258.5599999996</v>
      </c>
      <c r="T174" s="375">
        <f t="shared" si="287"/>
        <v>2246258.5599999996</v>
      </c>
      <c r="U174" s="776">
        <f t="shared" si="289"/>
        <v>5022.8000000007451</v>
      </c>
      <c r="V174" s="775">
        <f t="shared" si="290"/>
        <v>2.2310849675407718E-3</v>
      </c>
      <c r="W174" s="329"/>
      <c r="X174" s="373">
        <v>186708.3</v>
      </c>
      <c r="Y174" s="373">
        <v>186883.3</v>
      </c>
      <c r="Z174" s="373">
        <v>186883.3</v>
      </c>
      <c r="AA174" s="373">
        <v>186883.3</v>
      </c>
      <c r="AB174" s="373">
        <v>186883.3</v>
      </c>
      <c r="AC174" s="373">
        <v>186883.3</v>
      </c>
      <c r="AD174" s="374">
        <v>186883.3</v>
      </c>
      <c r="AE174" s="373">
        <v>186883.3</v>
      </c>
      <c r="AF174" s="373">
        <v>186883.3</v>
      </c>
      <c r="AG174" s="373">
        <v>186883.3</v>
      </c>
      <c r="AH174" s="373">
        <v>186883.3</v>
      </c>
      <c r="AI174" s="373">
        <v>195740.06</v>
      </c>
      <c r="AJ174" s="375">
        <f t="shared" si="288"/>
        <v>2251281.3600000003</v>
      </c>
      <c r="AK174" s="329"/>
      <c r="AL174" s="373">
        <v>186705.08000000002</v>
      </c>
      <c r="AM174" s="373">
        <v>186705.08000000002</v>
      </c>
      <c r="AN174" s="373">
        <v>186705.08000000002</v>
      </c>
      <c r="AO174" s="373">
        <v>186705.08000000002</v>
      </c>
      <c r="AP174" s="373">
        <v>186705.08000000002</v>
      </c>
      <c r="AQ174" s="373">
        <v>186705.08000000002</v>
      </c>
      <c r="AR174" s="374">
        <v>186705.08000000002</v>
      </c>
      <c r="AS174" s="373">
        <v>186705.08000000002</v>
      </c>
      <c r="AT174" s="373">
        <v>186705.08000000002</v>
      </c>
      <c r="AU174" s="373">
        <v>186705.08000000002</v>
      </c>
      <c r="AV174" s="373">
        <v>186705.08000000002</v>
      </c>
      <c r="AW174" s="373">
        <v>236705.08000000002</v>
      </c>
      <c r="AX174" s="375">
        <v>2290461</v>
      </c>
      <c r="AY174" s="776">
        <f t="shared" si="291"/>
        <v>-49670.619999999646</v>
      </c>
      <c r="AZ174" s="775">
        <f t="shared" si="292"/>
        <v>-2.2166562496577499E-2</v>
      </c>
      <c r="BA174" s="329"/>
      <c r="BB174" s="373">
        <v>186632.3</v>
      </c>
      <c r="BC174" s="373">
        <v>186782.3</v>
      </c>
      <c r="BD174" s="373">
        <v>186782.3</v>
      </c>
      <c r="BE174" s="373">
        <v>186782.3</v>
      </c>
      <c r="BF174" s="373">
        <v>186782.3</v>
      </c>
      <c r="BG174" s="373">
        <v>186782.3</v>
      </c>
      <c r="BH174" s="374">
        <v>186708.3</v>
      </c>
      <c r="BI174" s="373">
        <v>186708.3</v>
      </c>
      <c r="BJ174" s="373">
        <v>186708.3</v>
      </c>
      <c r="BK174" s="373">
        <v>186708.3</v>
      </c>
      <c r="BL174" s="373">
        <v>186708.3</v>
      </c>
      <c r="BM174" s="373">
        <v>186705.08</v>
      </c>
      <c r="BN174" s="402">
        <v>2240790.3800000004</v>
      </c>
      <c r="BO174" s="329"/>
      <c r="BP174" s="374">
        <v>186630.73000000007</v>
      </c>
      <c r="BQ174" s="374">
        <v>186630.73000000007</v>
      </c>
      <c r="BR174" s="374">
        <v>186630.73000000007</v>
      </c>
      <c r="BS174" s="374">
        <v>186630.73000000007</v>
      </c>
      <c r="BT174" s="374">
        <v>186630.73000000007</v>
      </c>
      <c r="BU174" s="374">
        <v>186630.71000000005</v>
      </c>
      <c r="BV174" s="374">
        <v>186556.75000000006</v>
      </c>
      <c r="BW174" s="374">
        <v>186556.73000000007</v>
      </c>
      <c r="BX174" s="374">
        <v>186556.73000000007</v>
      </c>
      <c r="BY174" s="374">
        <v>186556.73000000007</v>
      </c>
      <c r="BZ174" s="374">
        <v>186556.73000000007</v>
      </c>
      <c r="CA174" s="374">
        <v>186556.73000000007</v>
      </c>
      <c r="CB174" s="402">
        <f t="shared" si="282"/>
        <v>2239124.7600000002</v>
      </c>
      <c r="CC174" s="776">
        <f t="shared" si="274"/>
        <v>-1665.6200000001118</v>
      </c>
      <c r="CD174" s="775">
        <f t="shared" si="275"/>
        <v>-7.4387101145722298E-4</v>
      </c>
      <c r="CE174" s="772"/>
      <c r="CF174" s="374">
        <v>133407.12</v>
      </c>
      <c r="CG174" s="374">
        <v>135498.9</v>
      </c>
      <c r="CH174" s="374">
        <v>135484.01</v>
      </c>
      <c r="CI174" s="374">
        <v>162026.98000000001</v>
      </c>
      <c r="CJ174" s="374">
        <v>162026.98000000001</v>
      </c>
      <c r="CK174" s="374">
        <v>162026.98000000001</v>
      </c>
      <c r="CL174" s="374">
        <v>162956.79999999999</v>
      </c>
      <c r="CM174" s="374">
        <v>169474.72</v>
      </c>
      <c r="CN174" s="374">
        <v>185061.68</v>
      </c>
      <c r="CO174" s="374">
        <v>185061.68</v>
      </c>
      <c r="CP174" s="374">
        <v>186057.68</v>
      </c>
      <c r="CQ174" s="374">
        <v>186630.73</v>
      </c>
      <c r="CR174" s="374">
        <v>0</v>
      </c>
      <c r="CS174" s="402">
        <f t="shared" si="276"/>
        <v>1965714.2599999998</v>
      </c>
      <c r="CT174" s="776">
        <f t="shared" si="277"/>
        <v>-275076.12000000058</v>
      </c>
      <c r="CU174" s="165">
        <f t="shared" si="278"/>
        <v>-0.13993698148173409</v>
      </c>
      <c r="CV174" s="329"/>
      <c r="CW174" s="373">
        <v>133294.62</v>
      </c>
      <c r="CX174" s="373">
        <v>133407.12</v>
      </c>
      <c r="CY174" s="373">
        <v>133407.12</v>
      </c>
      <c r="CZ174" s="373">
        <v>133407.12</v>
      </c>
      <c r="DA174" s="373">
        <v>133407.12</v>
      </c>
      <c r="DB174" s="373">
        <v>133407.12</v>
      </c>
      <c r="DC174" s="374">
        <v>133407.12</v>
      </c>
      <c r="DD174" s="373">
        <v>133407.12</v>
      </c>
      <c r="DE174" s="373">
        <v>133407.12</v>
      </c>
      <c r="DF174" s="373">
        <v>133407.12</v>
      </c>
      <c r="DG174" s="373">
        <v>133407.12</v>
      </c>
      <c r="DH174" s="373">
        <v>133407.12</v>
      </c>
      <c r="DI174" s="375">
        <f t="shared" si="279"/>
        <v>1600772.9400000004</v>
      </c>
      <c r="DJ174" s="329"/>
      <c r="DK174" s="373">
        <v>48499.42</v>
      </c>
      <c r="DL174" s="373">
        <v>48469.42</v>
      </c>
      <c r="DM174" s="373">
        <v>50518.59</v>
      </c>
      <c r="DN174" s="373">
        <v>50643.33</v>
      </c>
      <c r="DO174" s="373">
        <v>50760</v>
      </c>
      <c r="DP174" s="373">
        <v>50850</v>
      </c>
      <c r="DQ174" s="374">
        <v>53368.69</v>
      </c>
      <c r="DR174" s="373">
        <v>53493.27</v>
      </c>
      <c r="DS174" s="373">
        <v>53493.27</v>
      </c>
      <c r="DT174" s="373">
        <v>53493.27</v>
      </c>
      <c r="DU174" s="373">
        <v>61198.37</v>
      </c>
      <c r="DV174" s="373">
        <v>863682.71</v>
      </c>
      <c r="DW174" s="375">
        <f t="shared" si="280"/>
        <v>1438470.34</v>
      </c>
      <c r="DY174" s="373">
        <v>0</v>
      </c>
      <c r="DZ174" s="373">
        <v>0</v>
      </c>
      <c r="EA174" s="373">
        <v>0</v>
      </c>
      <c r="EB174" s="373">
        <v>0</v>
      </c>
      <c r="EC174" s="373">
        <v>0</v>
      </c>
      <c r="ED174" s="373">
        <v>804.13</v>
      </c>
      <c r="EE174" s="374">
        <v>2068.0300000000002</v>
      </c>
      <c r="EF174" s="373">
        <v>2068.0300000000002</v>
      </c>
      <c r="EG174" s="373">
        <v>3246.37</v>
      </c>
      <c r="EH174" s="373">
        <v>130693.99</v>
      </c>
      <c r="EI174" s="373">
        <v>48107.56</v>
      </c>
      <c r="EJ174" s="373">
        <v>48462.66</v>
      </c>
      <c r="EK174" s="375">
        <f t="shared" si="293"/>
        <v>235450.77000000002</v>
      </c>
      <c r="EL174" s="177"/>
      <c r="EM174" s="373">
        <v>0</v>
      </c>
      <c r="EN174" s="373">
        <v>0</v>
      </c>
      <c r="EO174" s="373">
        <v>0</v>
      </c>
      <c r="EP174" s="373">
        <v>0</v>
      </c>
      <c r="EQ174" s="373">
        <v>0</v>
      </c>
      <c r="ER174" s="373">
        <v>0</v>
      </c>
      <c r="ES174" s="374">
        <v>0</v>
      </c>
      <c r="ET174" s="373">
        <v>0</v>
      </c>
      <c r="EU174" s="373">
        <v>0</v>
      </c>
      <c r="EV174" s="373">
        <v>0</v>
      </c>
      <c r="EW174" s="373">
        <v>0</v>
      </c>
      <c r="EX174" s="373">
        <v>0</v>
      </c>
      <c r="EY174" s="375">
        <f t="shared" si="294"/>
        <v>0</v>
      </c>
      <c r="EZ174" s="164">
        <v>0</v>
      </c>
      <c r="FA174" s="185">
        <v>0</v>
      </c>
    </row>
    <row r="175" spans="1:157" ht="18.75" customHeight="1">
      <c r="A175" s="185" t="s">
        <v>617</v>
      </c>
      <c r="B175" s="774"/>
      <c r="C175" s="176" t="s">
        <v>992</v>
      </c>
      <c r="D175" s="176">
        <v>61013300</v>
      </c>
      <c r="E175" s="773"/>
      <c r="F175" s="320" t="s">
        <v>659</v>
      </c>
      <c r="G175" s="210"/>
      <c r="H175" s="373"/>
      <c r="I175" s="373"/>
      <c r="J175" s="373"/>
      <c r="K175" s="373"/>
      <c r="L175" s="373"/>
      <c r="M175" s="373"/>
      <c r="N175" s="374"/>
      <c r="O175" s="373"/>
      <c r="P175" s="373"/>
      <c r="Q175" s="373"/>
      <c r="R175" s="373"/>
      <c r="S175" s="377">
        <v>2473697.0099999998</v>
      </c>
      <c r="T175" s="375">
        <f t="shared" si="287"/>
        <v>2473697.0099999998</v>
      </c>
      <c r="U175" s="776">
        <f t="shared" si="289"/>
        <v>-138782.83999999985</v>
      </c>
      <c r="V175" s="775">
        <f t="shared" si="290"/>
        <v>-5.9438090608700984E-2</v>
      </c>
      <c r="W175" s="329"/>
      <c r="X175" s="373">
        <v>195681.45</v>
      </c>
      <c r="Y175" s="373">
        <v>195567.26</v>
      </c>
      <c r="Z175" s="373">
        <v>196155.54</v>
      </c>
      <c r="AA175" s="373">
        <v>196099.81</v>
      </c>
      <c r="AB175" s="373">
        <v>195759.31</v>
      </c>
      <c r="AC175" s="373">
        <v>195712.47</v>
      </c>
      <c r="AD175" s="374">
        <v>194917.2</v>
      </c>
      <c r="AE175" s="373">
        <v>194886.15</v>
      </c>
      <c r="AF175" s="373">
        <v>194636.18</v>
      </c>
      <c r="AG175" s="373">
        <v>194713.84</v>
      </c>
      <c r="AH175" s="373">
        <v>194700.14</v>
      </c>
      <c r="AI175" s="373">
        <v>186084.82</v>
      </c>
      <c r="AJ175" s="375">
        <f t="shared" si="288"/>
        <v>2334914.17</v>
      </c>
      <c r="AK175" s="329"/>
      <c r="AL175" s="373">
        <v>196044.22999999998</v>
      </c>
      <c r="AM175" s="373">
        <v>196044.22999999998</v>
      </c>
      <c r="AN175" s="373">
        <v>196044.22999999998</v>
      </c>
      <c r="AO175" s="373">
        <v>196044.22999999998</v>
      </c>
      <c r="AP175" s="373">
        <v>196044.22999999998</v>
      </c>
      <c r="AQ175" s="373">
        <v>196044.22999999998</v>
      </c>
      <c r="AR175" s="374">
        <v>196044.22999999998</v>
      </c>
      <c r="AS175" s="373">
        <v>196044.22999999998</v>
      </c>
      <c r="AT175" s="373">
        <v>196044.22999999998</v>
      </c>
      <c r="AU175" s="373">
        <v>196044.22999999998</v>
      </c>
      <c r="AV175" s="373">
        <v>196044.22999999998</v>
      </c>
      <c r="AW175" s="373">
        <v>296044.23000000004</v>
      </c>
      <c r="AX175" s="375">
        <v>2452532</v>
      </c>
      <c r="AY175" s="776">
        <f t="shared" si="291"/>
        <v>-167087.30666666664</v>
      </c>
      <c r="AZ175" s="775">
        <f t="shared" si="292"/>
        <v>-7.3109319667223671E-2</v>
      </c>
      <c r="BA175" s="329"/>
      <c r="BB175" s="373">
        <v>187542</v>
      </c>
      <c r="BC175" s="373">
        <v>187525.53</v>
      </c>
      <c r="BD175" s="373">
        <v>187356.64</v>
      </c>
      <c r="BE175" s="373">
        <v>187453.05000000002</v>
      </c>
      <c r="BF175" s="373">
        <v>187445.48</v>
      </c>
      <c r="BG175" s="373">
        <v>188013.34</v>
      </c>
      <c r="BH175" s="374">
        <v>188309.32</v>
      </c>
      <c r="BI175" s="373">
        <v>188322.64</v>
      </c>
      <c r="BJ175" s="373">
        <v>188269.19</v>
      </c>
      <c r="BK175" s="373">
        <v>199871.91</v>
      </c>
      <c r="BL175" s="373">
        <v>200958.04</v>
      </c>
      <c r="BM175" s="373">
        <v>196044.23</v>
      </c>
      <c r="BN175" s="402">
        <v>2285444.6933333334</v>
      </c>
      <c r="BO175" s="329"/>
      <c r="BP175" s="374">
        <v>187537.20000000059</v>
      </c>
      <c r="BQ175" s="374">
        <v>187841.56333333394</v>
      </c>
      <c r="BR175" s="374">
        <v>187897.73333333392</v>
      </c>
      <c r="BS175" s="374">
        <v>189387.64333333389</v>
      </c>
      <c r="BT175" s="374">
        <v>194380.73333333392</v>
      </c>
      <c r="BU175" s="374">
        <v>194353.57333333389</v>
      </c>
      <c r="BV175" s="374">
        <v>194348.57333333389</v>
      </c>
      <c r="BW175" s="374">
        <v>194348.57333333389</v>
      </c>
      <c r="BX175" s="374">
        <v>194362.49000000057</v>
      </c>
      <c r="BY175" s="374">
        <v>194270.38000000056</v>
      </c>
      <c r="BZ175" s="374">
        <v>193705.43000000058</v>
      </c>
      <c r="CA175" s="374">
        <v>193550.57000000062</v>
      </c>
      <c r="CB175" s="402">
        <f t="shared" si="282"/>
        <v>2305984.4633333404</v>
      </c>
      <c r="CC175" s="776">
        <f t="shared" si="274"/>
        <v>20539.770000007004</v>
      </c>
      <c r="CD175" s="775">
        <f t="shared" si="275"/>
        <v>8.9071588844603106E-3</v>
      </c>
      <c r="CE175" s="777"/>
      <c r="CF175" s="374">
        <v>183637.12</v>
      </c>
      <c r="CG175" s="374">
        <v>183492.69999999998</v>
      </c>
      <c r="CH175" s="374">
        <v>183434.38</v>
      </c>
      <c r="CI175" s="374">
        <v>183424.86</v>
      </c>
      <c r="CJ175" s="374">
        <v>256008.54</v>
      </c>
      <c r="CK175" s="374">
        <v>181677.51</v>
      </c>
      <c r="CL175" s="374">
        <v>181677.29</v>
      </c>
      <c r="CM175" s="374">
        <v>181612.01</v>
      </c>
      <c r="CN175" s="374">
        <v>181657.51</v>
      </c>
      <c r="CO175" s="374">
        <v>187599.18</v>
      </c>
      <c r="CP175" s="374">
        <v>187599.06</v>
      </c>
      <c r="CQ175" s="374">
        <v>187561.24</v>
      </c>
      <c r="CR175" s="374">
        <v>0</v>
      </c>
      <c r="CS175" s="402">
        <f t="shared" si="276"/>
        <v>2279381.4</v>
      </c>
      <c r="CT175" s="776">
        <f t="shared" si="277"/>
        <v>-6063.2933333334513</v>
      </c>
      <c r="CU175" s="165">
        <f t="shared" si="278"/>
        <v>-2.6600608978091388E-3</v>
      </c>
      <c r="CV175" s="330"/>
      <c r="CW175" s="373">
        <v>218667.18</v>
      </c>
      <c r="CX175" s="373">
        <v>218731.43</v>
      </c>
      <c r="CY175" s="373">
        <v>218753.41</v>
      </c>
      <c r="CZ175" s="373">
        <v>187643.25</v>
      </c>
      <c r="DA175" s="373">
        <v>187716.44</v>
      </c>
      <c r="DB175" s="373">
        <v>187152.99</v>
      </c>
      <c r="DC175" s="374">
        <v>186396.21</v>
      </c>
      <c r="DD175" s="373">
        <v>170644.66</v>
      </c>
      <c r="DE175" s="373">
        <v>185241.44</v>
      </c>
      <c r="DF175" s="373">
        <v>184339.09</v>
      </c>
      <c r="DG175" s="373">
        <v>184309.36</v>
      </c>
      <c r="DH175" s="373">
        <v>183015.31</v>
      </c>
      <c r="DI175" s="375">
        <f t="shared" si="279"/>
        <v>2312610.77</v>
      </c>
      <c r="DJ175" s="330"/>
      <c r="DK175" s="373">
        <v>204068.59</v>
      </c>
      <c r="DL175" s="373">
        <v>206515.78</v>
      </c>
      <c r="DM175" s="373">
        <v>206276.75</v>
      </c>
      <c r="DN175" s="373">
        <v>206665.5</v>
      </c>
      <c r="DO175" s="373">
        <v>206756.13</v>
      </c>
      <c r="DP175" s="373">
        <v>206843.6</v>
      </c>
      <c r="DQ175" s="374">
        <v>207903.9</v>
      </c>
      <c r="DR175" s="373">
        <v>211602.55</v>
      </c>
      <c r="DS175" s="373">
        <v>210380.12</v>
      </c>
      <c r="DT175" s="373">
        <v>210712.12</v>
      </c>
      <c r="DU175" s="373">
        <v>210807.14</v>
      </c>
      <c r="DV175" s="373">
        <v>218163.44</v>
      </c>
      <c r="DW175" s="375">
        <f t="shared" si="280"/>
        <v>2506695.62</v>
      </c>
      <c r="DY175" s="373">
        <v>159039.57</v>
      </c>
      <c r="DZ175" s="373">
        <v>159213.66</v>
      </c>
      <c r="EA175" s="373">
        <v>159099.29999999999</v>
      </c>
      <c r="EB175" s="373">
        <v>162594.38</v>
      </c>
      <c r="EC175" s="373">
        <v>163732.4</v>
      </c>
      <c r="ED175" s="373">
        <v>163269.75</v>
      </c>
      <c r="EE175" s="374">
        <v>165147.1</v>
      </c>
      <c r="EF175" s="373">
        <v>165147.1</v>
      </c>
      <c r="EG175" s="373">
        <v>203836.61</v>
      </c>
      <c r="EH175" s="373">
        <v>346602.47</v>
      </c>
      <c r="EI175" s="373">
        <v>60755.98</v>
      </c>
      <c r="EJ175" s="373">
        <v>204263.23</v>
      </c>
      <c r="EK175" s="375">
        <f t="shared" si="293"/>
        <v>2112701.5500000003</v>
      </c>
      <c r="EL175" s="177"/>
      <c r="EM175" s="373">
        <v>130394.12</v>
      </c>
      <c r="EN175" s="373">
        <v>148417.56</v>
      </c>
      <c r="EO175" s="373">
        <v>148561.79</v>
      </c>
      <c r="EP175" s="373">
        <v>148686.53</v>
      </c>
      <c r="EQ175" s="373">
        <v>148734.85999999999</v>
      </c>
      <c r="ER175" s="373">
        <v>149776.97</v>
      </c>
      <c r="ES175" s="374">
        <v>149836.75</v>
      </c>
      <c r="ET175" s="373">
        <v>154747.10999999999</v>
      </c>
      <c r="EU175" s="373">
        <v>157031.56</v>
      </c>
      <c r="EV175" s="373">
        <v>157480.06</v>
      </c>
      <c r="EW175" s="373">
        <v>158396.38</v>
      </c>
      <c r="EX175" s="373">
        <v>158921.57</v>
      </c>
      <c r="EY175" s="375">
        <f t="shared" si="294"/>
        <v>1810985.26</v>
      </c>
      <c r="EZ175" s="164">
        <v>0</v>
      </c>
      <c r="FA175" s="185">
        <v>0</v>
      </c>
    </row>
    <row r="176" spans="1:157" ht="18.75" customHeight="1">
      <c r="A176" s="185" t="s">
        <v>617</v>
      </c>
      <c r="B176" s="774"/>
      <c r="C176" s="176" t="s">
        <v>991</v>
      </c>
      <c r="D176" s="176">
        <v>61013400</v>
      </c>
      <c r="E176" s="773"/>
      <c r="F176" s="320" t="s">
        <v>660</v>
      </c>
      <c r="G176" s="329"/>
      <c r="H176" s="373"/>
      <c r="I176" s="373"/>
      <c r="J176" s="373"/>
      <c r="K176" s="373"/>
      <c r="L176" s="373"/>
      <c r="M176" s="373"/>
      <c r="N176" s="374"/>
      <c r="O176" s="373"/>
      <c r="P176" s="373"/>
      <c r="Q176" s="373"/>
      <c r="R176" s="373"/>
      <c r="S176" s="377">
        <v>4297798.8000000007</v>
      </c>
      <c r="T176" s="375">
        <f t="shared" si="287"/>
        <v>4297798.8000000007</v>
      </c>
      <c r="U176" s="776">
        <f t="shared" si="289"/>
        <v>250050.66999999899</v>
      </c>
      <c r="V176" s="775">
        <f t="shared" si="290"/>
        <v>5.4982178203008776E-2</v>
      </c>
      <c r="W176" s="329"/>
      <c r="X176" s="373">
        <v>391825.84</v>
      </c>
      <c r="Y176" s="373">
        <v>391249.18</v>
      </c>
      <c r="Z176" s="373">
        <v>386752.93</v>
      </c>
      <c r="AA176" s="373">
        <v>386751.37</v>
      </c>
      <c r="AB176" s="373">
        <v>379582.14</v>
      </c>
      <c r="AC176" s="373">
        <v>377836.41000000003</v>
      </c>
      <c r="AD176" s="374">
        <v>379196.61</v>
      </c>
      <c r="AE176" s="373">
        <v>379196.61</v>
      </c>
      <c r="AF176" s="373">
        <v>379348.17</v>
      </c>
      <c r="AG176" s="373">
        <v>376077.14999999997</v>
      </c>
      <c r="AH176" s="373">
        <v>362246.67</v>
      </c>
      <c r="AI176" s="373">
        <v>357786.39</v>
      </c>
      <c r="AJ176" s="375">
        <f t="shared" si="288"/>
        <v>4547849.47</v>
      </c>
      <c r="AK176" s="329"/>
      <c r="AL176" s="373">
        <v>395507.42</v>
      </c>
      <c r="AM176" s="373">
        <v>395507.42</v>
      </c>
      <c r="AN176" s="373">
        <v>395507.42</v>
      </c>
      <c r="AO176" s="373">
        <v>395507.42</v>
      </c>
      <c r="AP176" s="373">
        <v>395507.42</v>
      </c>
      <c r="AQ176" s="373">
        <v>395507.42</v>
      </c>
      <c r="AR176" s="374">
        <v>395507.42</v>
      </c>
      <c r="AS176" s="373">
        <v>395507.42</v>
      </c>
      <c r="AT176" s="373">
        <v>395507.42</v>
      </c>
      <c r="AU176" s="373">
        <v>395507.42</v>
      </c>
      <c r="AV176" s="373">
        <v>395507.42</v>
      </c>
      <c r="AW176" s="373">
        <v>445507.42</v>
      </c>
      <c r="AX176" s="375">
        <v>4796089</v>
      </c>
      <c r="AY176" s="776">
        <f t="shared" si="291"/>
        <v>169786.5</v>
      </c>
      <c r="AZ176" s="775">
        <f t="shared" si="292"/>
        <v>3.4190647751841545E-2</v>
      </c>
      <c r="BA176" s="329"/>
      <c r="BB176" s="373">
        <v>426580.78</v>
      </c>
      <c r="BC176" s="373">
        <v>426392.03</v>
      </c>
      <c r="BD176" s="373">
        <v>426186</v>
      </c>
      <c r="BE176" s="373">
        <v>423975.67</v>
      </c>
      <c r="BF176" s="373">
        <v>419191.65</v>
      </c>
      <c r="BG176" s="373">
        <v>418372.38</v>
      </c>
      <c r="BH176" s="374">
        <v>417823.19</v>
      </c>
      <c r="BI176" s="373">
        <v>417424.89</v>
      </c>
      <c r="BJ176" s="373">
        <v>397951.67</v>
      </c>
      <c r="BK176" s="373">
        <v>397951.67</v>
      </c>
      <c r="BL176" s="373">
        <v>398518.15</v>
      </c>
      <c r="BM176" s="373">
        <v>395507.42</v>
      </c>
      <c r="BN176" s="402">
        <v>4965875.5</v>
      </c>
      <c r="BO176" s="329"/>
      <c r="BP176" s="374">
        <v>426492.5799999992</v>
      </c>
      <c r="BQ176" s="374">
        <v>426303.8299999992</v>
      </c>
      <c r="BR176" s="374">
        <v>426429.69333333254</v>
      </c>
      <c r="BS176" s="374">
        <v>424148.60333333252</v>
      </c>
      <c r="BT176" s="374">
        <v>420862.9033333328</v>
      </c>
      <c r="BU176" s="374">
        <v>420244.08333333279</v>
      </c>
      <c r="BV176" s="374">
        <v>419694.26333333278</v>
      </c>
      <c r="BW176" s="374">
        <v>419293.87333333289</v>
      </c>
      <c r="BX176" s="374">
        <v>399824.89333333302</v>
      </c>
      <c r="BY176" s="374">
        <v>399823.13333333301</v>
      </c>
      <c r="BZ176" s="374">
        <v>399820.33333333308</v>
      </c>
      <c r="CA176" s="374">
        <v>424770.89666666632</v>
      </c>
      <c r="CB176" s="402">
        <f t="shared" si="282"/>
        <v>5007709.0866666604</v>
      </c>
      <c r="CC176" s="776">
        <f t="shared" si="274"/>
        <v>41833.586666660383</v>
      </c>
      <c r="CD176" s="775">
        <f t="shared" si="275"/>
        <v>8.3538372422721063E-3</v>
      </c>
      <c r="CE176" s="772"/>
      <c r="CF176" s="374">
        <v>179080.93</v>
      </c>
      <c r="CG176" s="374">
        <v>181930.65</v>
      </c>
      <c r="CH176" s="374">
        <v>186421.16</v>
      </c>
      <c r="CI176" s="374">
        <v>186012.72</v>
      </c>
      <c r="CJ176" s="374">
        <v>185849.22</v>
      </c>
      <c r="CK176" s="374">
        <v>1558803.43</v>
      </c>
      <c r="CL176" s="374">
        <v>419941.83</v>
      </c>
      <c r="CM176" s="374">
        <v>419941.83</v>
      </c>
      <c r="CN176" s="374">
        <v>419884.33</v>
      </c>
      <c r="CO176" s="374">
        <v>419764.83</v>
      </c>
      <c r="CP176" s="374">
        <v>418920.71</v>
      </c>
      <c r="CQ176" s="374">
        <v>426492.58</v>
      </c>
      <c r="CR176" s="374">
        <v>0</v>
      </c>
      <c r="CS176" s="402">
        <f t="shared" si="276"/>
        <v>5003044.2200000007</v>
      </c>
      <c r="CT176" s="776">
        <f t="shared" si="277"/>
        <v>37168.720000000671</v>
      </c>
      <c r="CU176" s="165">
        <f t="shared" si="278"/>
        <v>7.429220763513592E-3</v>
      </c>
      <c r="CV176" s="329"/>
      <c r="CW176" s="373">
        <v>150717.56</v>
      </c>
      <c r="CX176" s="373">
        <v>151796.79</v>
      </c>
      <c r="CY176" s="373">
        <v>151037.99</v>
      </c>
      <c r="CZ176" s="373">
        <v>152494.91</v>
      </c>
      <c r="DA176" s="373">
        <v>153856.37</v>
      </c>
      <c r="DB176" s="373">
        <v>153736.07</v>
      </c>
      <c r="DC176" s="374">
        <v>153638.31</v>
      </c>
      <c r="DD176" s="373">
        <v>186763.89</v>
      </c>
      <c r="DE176" s="373">
        <v>157024.57999999999</v>
      </c>
      <c r="DF176" s="373">
        <v>157041.76999999999</v>
      </c>
      <c r="DG176" s="373">
        <v>157611.26</v>
      </c>
      <c r="DH176" s="373">
        <v>178042.84999999998</v>
      </c>
      <c r="DI176" s="375">
        <f t="shared" si="279"/>
        <v>1903762.35</v>
      </c>
      <c r="DJ176" s="329"/>
      <c r="DK176" s="373">
        <v>111781.24</v>
      </c>
      <c r="DL176" s="373">
        <v>115653.9</v>
      </c>
      <c r="DM176" s="373">
        <v>116327.03</v>
      </c>
      <c r="DN176" s="373">
        <v>116408.06</v>
      </c>
      <c r="DO176" s="373">
        <v>132967.51</v>
      </c>
      <c r="DP176" s="373">
        <v>135015.72</v>
      </c>
      <c r="DQ176" s="374">
        <v>135347.12</v>
      </c>
      <c r="DR176" s="373">
        <v>135059.54999999999</v>
      </c>
      <c r="DS176" s="373">
        <v>148468.65</v>
      </c>
      <c r="DT176" s="373">
        <v>148374.10999999999</v>
      </c>
      <c r="DU176" s="373">
        <v>151288.42000000001</v>
      </c>
      <c r="DV176" s="373">
        <v>150732.42000000001</v>
      </c>
      <c r="DW176" s="375">
        <f t="shared" si="280"/>
        <v>1597423.7299999995</v>
      </c>
      <c r="DY176" s="373">
        <v>79786.16</v>
      </c>
      <c r="DZ176" s="373">
        <v>81020.23</v>
      </c>
      <c r="EA176" s="373">
        <v>85305.18</v>
      </c>
      <c r="EB176" s="373">
        <v>84625.83</v>
      </c>
      <c r="EC176" s="373">
        <v>91274.05</v>
      </c>
      <c r="ED176" s="373">
        <v>92485.79</v>
      </c>
      <c r="EE176" s="374">
        <v>91984.79</v>
      </c>
      <c r="EF176" s="373">
        <v>91984.79</v>
      </c>
      <c r="EG176" s="373">
        <v>92155.77</v>
      </c>
      <c r="EH176" s="373">
        <v>95160.99</v>
      </c>
      <c r="EI176" s="373">
        <v>107465.92</v>
      </c>
      <c r="EJ176" s="373">
        <v>111698.9</v>
      </c>
      <c r="EK176" s="375">
        <f t="shared" si="293"/>
        <v>1104948.4000000001</v>
      </c>
      <c r="EL176" s="177"/>
      <c r="EM176" s="373">
        <v>24103.55</v>
      </c>
      <c r="EN176" s="373">
        <v>41634.519999999997</v>
      </c>
      <c r="EO176" s="373">
        <v>41841.46</v>
      </c>
      <c r="EP176" s="373">
        <v>44071.360000000001</v>
      </c>
      <c r="EQ176" s="373">
        <v>48827.42</v>
      </c>
      <c r="ER176" s="373">
        <v>49567.53</v>
      </c>
      <c r="ES176" s="374">
        <v>50020.81</v>
      </c>
      <c r="ET176" s="373">
        <v>50403.67</v>
      </c>
      <c r="EU176" s="373">
        <v>69759.199999999997</v>
      </c>
      <c r="EV176" s="373">
        <v>69530.100000000006</v>
      </c>
      <c r="EW176" s="373">
        <v>69513.2</v>
      </c>
      <c r="EX176" s="373">
        <v>77130.5</v>
      </c>
      <c r="EY176" s="375">
        <f t="shared" si="294"/>
        <v>636403.31999999995</v>
      </c>
      <c r="EZ176" s="164">
        <v>0</v>
      </c>
      <c r="FA176" s="185">
        <v>0</v>
      </c>
    </row>
    <row r="177" spans="1:157" ht="18.75" customHeight="1">
      <c r="A177" s="185" t="s">
        <v>617</v>
      </c>
      <c r="B177" s="774"/>
      <c r="C177" s="176" t="s">
        <v>990</v>
      </c>
      <c r="D177" s="176">
        <v>61013500</v>
      </c>
      <c r="E177" s="773"/>
      <c r="F177" s="320" t="s">
        <v>661</v>
      </c>
      <c r="G177" s="329"/>
      <c r="H177" s="373"/>
      <c r="I177" s="373"/>
      <c r="J177" s="373"/>
      <c r="K177" s="373"/>
      <c r="L177" s="373"/>
      <c r="M177" s="373"/>
      <c r="N177" s="374"/>
      <c r="O177" s="373"/>
      <c r="P177" s="373"/>
      <c r="Q177" s="373"/>
      <c r="R177" s="373"/>
      <c r="S177" s="377">
        <v>315855.27999999997</v>
      </c>
      <c r="T177" s="375">
        <f t="shared" si="287"/>
        <v>315855.27999999997</v>
      </c>
      <c r="U177" s="776">
        <f t="shared" si="289"/>
        <v>-82585.149999999994</v>
      </c>
      <c r="V177" s="775">
        <f t="shared" si="290"/>
        <v>-0.35403225436535746</v>
      </c>
      <c r="W177" s="329"/>
      <c r="X177" s="373">
        <v>15998.14</v>
      </c>
      <c r="Y177" s="373">
        <v>15998.14</v>
      </c>
      <c r="Z177" s="373">
        <v>15998.14</v>
      </c>
      <c r="AA177" s="373">
        <v>15998.14</v>
      </c>
      <c r="AB177" s="373">
        <v>15998.14</v>
      </c>
      <c r="AC177" s="373">
        <v>15998.14</v>
      </c>
      <c r="AD177" s="374">
        <v>15998.14</v>
      </c>
      <c r="AE177" s="373">
        <v>15998.14</v>
      </c>
      <c r="AF177" s="373">
        <v>26321.27</v>
      </c>
      <c r="AG177" s="373">
        <v>26321.27</v>
      </c>
      <c r="AH177" s="373">
        <v>26321.27</v>
      </c>
      <c r="AI177" s="373">
        <v>26321.200000000001</v>
      </c>
      <c r="AJ177" s="375">
        <f t="shared" si="288"/>
        <v>233270.12999999998</v>
      </c>
      <c r="AK177" s="329"/>
      <c r="AL177" s="373">
        <v>15998.06</v>
      </c>
      <c r="AM177" s="373">
        <v>15998.06</v>
      </c>
      <c r="AN177" s="373">
        <v>15998.06</v>
      </c>
      <c r="AO177" s="373">
        <v>15998.06</v>
      </c>
      <c r="AP177" s="373">
        <v>15998.06</v>
      </c>
      <c r="AQ177" s="373">
        <v>15998.06</v>
      </c>
      <c r="AR177" s="374">
        <v>15998.06</v>
      </c>
      <c r="AS177" s="373">
        <v>15998.06</v>
      </c>
      <c r="AT177" s="373">
        <v>15998.06</v>
      </c>
      <c r="AU177" s="373">
        <v>15998.06</v>
      </c>
      <c r="AV177" s="373">
        <v>15998.06</v>
      </c>
      <c r="AW177" s="373">
        <v>15998.06</v>
      </c>
      <c r="AX177" s="375">
        <v>191977</v>
      </c>
      <c r="AY177" s="776">
        <f t="shared" si="291"/>
        <v>0.6000000000349246</v>
      </c>
      <c r="AZ177" s="775">
        <f t="shared" si="292"/>
        <v>3.1253646260549381E-6</v>
      </c>
      <c r="BA177" s="329"/>
      <c r="BB177" s="373">
        <v>15998.14</v>
      </c>
      <c r="BC177" s="373">
        <v>15998.14</v>
      </c>
      <c r="BD177" s="373">
        <v>15998.14</v>
      </c>
      <c r="BE177" s="373">
        <v>15998.14</v>
      </c>
      <c r="BF177" s="373">
        <v>15998.14</v>
      </c>
      <c r="BG177" s="373">
        <v>15998.14</v>
      </c>
      <c r="BH177" s="374">
        <v>15998.14</v>
      </c>
      <c r="BI177" s="373">
        <v>15998.14</v>
      </c>
      <c r="BJ177" s="373">
        <v>15998.14</v>
      </c>
      <c r="BK177" s="373">
        <v>15998.14</v>
      </c>
      <c r="BL177" s="373">
        <v>15998.14</v>
      </c>
      <c r="BM177" s="373">
        <v>15998.06</v>
      </c>
      <c r="BN177" s="402">
        <v>191977.60000000003</v>
      </c>
      <c r="BO177" s="329"/>
      <c r="BP177" s="374">
        <v>15998.07</v>
      </c>
      <c r="BQ177" s="374">
        <v>15998.07</v>
      </c>
      <c r="BR177" s="374">
        <v>15998.07</v>
      </c>
      <c r="BS177" s="374">
        <v>15998.07</v>
      </c>
      <c r="BT177" s="374">
        <v>15998.07</v>
      </c>
      <c r="BU177" s="374">
        <v>15998.07</v>
      </c>
      <c r="BV177" s="374">
        <v>15998.07</v>
      </c>
      <c r="BW177" s="374">
        <v>15998.07</v>
      </c>
      <c r="BX177" s="374">
        <v>15998.07</v>
      </c>
      <c r="BY177" s="374">
        <v>30998.07</v>
      </c>
      <c r="BZ177" s="374">
        <v>30998.07</v>
      </c>
      <c r="CA177" s="374">
        <v>30998.07</v>
      </c>
      <c r="CB177" s="402">
        <f t="shared" si="282"/>
        <v>236976.84000000005</v>
      </c>
      <c r="CC177" s="776">
        <f t="shared" si="274"/>
        <v>44999.24000000002</v>
      </c>
      <c r="CD177" s="775">
        <f t="shared" si="275"/>
        <v>0.18988876718923253</v>
      </c>
      <c r="CE177" s="772"/>
      <c r="CF177" s="374">
        <v>7999.07</v>
      </c>
      <c r="CG177" s="374">
        <v>7999.07</v>
      </c>
      <c r="CH177" s="374">
        <v>7999.07</v>
      </c>
      <c r="CI177" s="374">
        <v>7999.07</v>
      </c>
      <c r="CJ177" s="374">
        <v>15998.14</v>
      </c>
      <c r="CK177" s="374">
        <v>15998.14</v>
      </c>
      <c r="CL177" s="374">
        <v>15998.14</v>
      </c>
      <c r="CM177" s="374">
        <v>15998.14</v>
      </c>
      <c r="CN177" s="374">
        <v>15998.14</v>
      </c>
      <c r="CO177" s="374">
        <v>15998.14</v>
      </c>
      <c r="CP177" s="374">
        <v>15998.14</v>
      </c>
      <c r="CQ177" s="374">
        <v>15998.07</v>
      </c>
      <c r="CR177" s="374">
        <v>0</v>
      </c>
      <c r="CS177" s="402">
        <f t="shared" si="276"/>
        <v>159981.33000000002</v>
      </c>
      <c r="CT177" s="776">
        <f t="shared" si="277"/>
        <v>-31996.270000000019</v>
      </c>
      <c r="CU177" s="165">
        <f t="shared" si="278"/>
        <v>-0.20000002500291764</v>
      </c>
      <c r="CV177" s="329"/>
      <c r="CW177" s="373">
        <v>2300</v>
      </c>
      <c r="CX177" s="373">
        <v>2300</v>
      </c>
      <c r="CY177" s="373">
        <v>2300</v>
      </c>
      <c r="CZ177" s="373">
        <v>2300</v>
      </c>
      <c r="DA177" s="373">
        <v>2300</v>
      </c>
      <c r="DB177" s="373">
        <v>2300</v>
      </c>
      <c r="DC177" s="374">
        <v>2300</v>
      </c>
      <c r="DD177" s="373">
        <v>2300</v>
      </c>
      <c r="DE177" s="373">
        <v>2300</v>
      </c>
      <c r="DF177" s="373">
        <v>0</v>
      </c>
      <c r="DG177" s="373">
        <v>0</v>
      </c>
      <c r="DH177" s="373">
        <v>0</v>
      </c>
      <c r="DI177" s="375">
        <f t="shared" si="279"/>
        <v>20700</v>
      </c>
      <c r="DJ177" s="329"/>
      <c r="DK177" s="373">
        <v>19526.669999999998</v>
      </c>
      <c r="DL177" s="373">
        <v>19526.669999999998</v>
      </c>
      <c r="DM177" s="373">
        <v>19526.669999999998</v>
      </c>
      <c r="DN177" s="373">
        <v>19526.669999999998</v>
      </c>
      <c r="DO177" s="373">
        <v>13861.67</v>
      </c>
      <c r="DP177" s="373">
        <v>13861.67</v>
      </c>
      <c r="DQ177" s="374">
        <v>13861.67</v>
      </c>
      <c r="DR177" s="373">
        <v>16161.67</v>
      </c>
      <c r="DS177" s="373">
        <v>16161.67</v>
      </c>
      <c r="DT177" s="373">
        <v>16161.67</v>
      </c>
      <c r="DU177" s="373">
        <v>16161.67</v>
      </c>
      <c r="DV177" s="373">
        <v>2300</v>
      </c>
      <c r="DW177" s="375">
        <f t="shared" si="280"/>
        <v>186638.37000000002</v>
      </c>
      <c r="DY177" s="373">
        <v>48115.59</v>
      </c>
      <c r="DZ177" s="373">
        <v>48115.59</v>
      </c>
      <c r="EA177" s="373">
        <v>48115.59</v>
      </c>
      <c r="EB177" s="373">
        <v>48115.59</v>
      </c>
      <c r="EC177" s="373">
        <v>48115.49</v>
      </c>
      <c r="ED177" s="373">
        <v>19526.669999999998</v>
      </c>
      <c r="EE177" s="374">
        <v>19526.669999999998</v>
      </c>
      <c r="EF177" s="373">
        <v>19526.669999999998</v>
      </c>
      <c r="EG177" s="373">
        <v>19526.669999999998</v>
      </c>
      <c r="EH177" s="373">
        <v>19526.669999999998</v>
      </c>
      <c r="EI177" s="373">
        <v>19526.669999999998</v>
      </c>
      <c r="EJ177" s="373">
        <v>19526.669999999998</v>
      </c>
      <c r="EK177" s="375">
        <f t="shared" si="293"/>
        <v>377264.53999999986</v>
      </c>
      <c r="EL177" s="177"/>
      <c r="EM177" s="373">
        <v>48115.59</v>
      </c>
      <c r="EN177" s="373">
        <v>48115.59</v>
      </c>
      <c r="EO177" s="373">
        <v>48115.59</v>
      </c>
      <c r="EP177" s="373">
        <v>48115.59</v>
      </c>
      <c r="EQ177" s="373">
        <v>48115.59</v>
      </c>
      <c r="ER177" s="373">
        <v>48115.59</v>
      </c>
      <c r="ES177" s="374">
        <v>48115.59</v>
      </c>
      <c r="ET177" s="373">
        <v>48115.59</v>
      </c>
      <c r="EU177" s="373">
        <v>48115.59</v>
      </c>
      <c r="EV177" s="373">
        <v>48115.59</v>
      </c>
      <c r="EW177" s="373">
        <v>48115.59</v>
      </c>
      <c r="EX177" s="373">
        <v>48115.59</v>
      </c>
      <c r="EY177" s="375">
        <f t="shared" si="294"/>
        <v>577387.07999999984</v>
      </c>
      <c r="EZ177" s="164">
        <v>0</v>
      </c>
      <c r="FA177" s="185">
        <v>0</v>
      </c>
    </row>
    <row r="178" spans="1:157" ht="18.75" hidden="1" customHeight="1" outlineLevel="1">
      <c r="A178" s="185" t="s">
        <v>617</v>
      </c>
      <c r="B178" s="774"/>
      <c r="C178" s="176" t="s">
        <v>989</v>
      </c>
      <c r="D178" s="176">
        <v>61024000</v>
      </c>
      <c r="E178" s="773"/>
      <c r="F178" s="320" t="s">
        <v>662</v>
      </c>
      <c r="G178" s="329"/>
      <c r="H178" s="373"/>
      <c r="I178" s="373"/>
      <c r="J178" s="373"/>
      <c r="K178" s="373"/>
      <c r="L178" s="373"/>
      <c r="M178" s="373"/>
      <c r="N178" s="374"/>
      <c r="O178" s="373"/>
      <c r="P178" s="373"/>
      <c r="Q178" s="373"/>
      <c r="R178" s="373"/>
      <c r="S178" s="373"/>
      <c r="T178" s="375">
        <f t="shared" si="287"/>
        <v>0</v>
      </c>
      <c r="U178" s="776">
        <f t="shared" si="289"/>
        <v>0</v>
      </c>
      <c r="V178" s="775" t="e">
        <f t="shared" si="290"/>
        <v>#DIV/0!</v>
      </c>
      <c r="W178" s="329"/>
      <c r="X178" s="373">
        <v>0</v>
      </c>
      <c r="Y178" s="373">
        <v>0</v>
      </c>
      <c r="Z178" s="373">
        <v>0</v>
      </c>
      <c r="AA178" s="373">
        <v>0</v>
      </c>
      <c r="AB178" s="373">
        <v>0</v>
      </c>
      <c r="AC178" s="373">
        <v>0</v>
      </c>
      <c r="AD178" s="374">
        <v>0</v>
      </c>
      <c r="AE178" s="373">
        <v>0</v>
      </c>
      <c r="AF178" s="373">
        <v>0</v>
      </c>
      <c r="AG178" s="373">
        <v>0</v>
      </c>
      <c r="AH178" s="373">
        <v>0</v>
      </c>
      <c r="AI178" s="373">
        <v>0</v>
      </c>
      <c r="AJ178" s="375">
        <f t="shared" si="288"/>
        <v>0</v>
      </c>
      <c r="AK178" s="329"/>
      <c r="AL178" s="373">
        <v>0</v>
      </c>
      <c r="AM178" s="373">
        <v>0</v>
      </c>
      <c r="AN178" s="373">
        <v>0</v>
      </c>
      <c r="AO178" s="373">
        <v>0</v>
      </c>
      <c r="AP178" s="373">
        <v>0</v>
      </c>
      <c r="AQ178" s="373">
        <v>0</v>
      </c>
      <c r="AR178" s="374">
        <v>0</v>
      </c>
      <c r="AS178" s="373">
        <v>0</v>
      </c>
      <c r="AT178" s="373">
        <v>0</v>
      </c>
      <c r="AU178" s="373">
        <v>0</v>
      </c>
      <c r="AV178" s="373">
        <v>0</v>
      </c>
      <c r="AW178" s="373">
        <v>0</v>
      </c>
      <c r="AX178" s="375">
        <v>0</v>
      </c>
      <c r="AY178" s="776">
        <f t="shared" si="291"/>
        <v>0</v>
      </c>
      <c r="AZ178" s="775" t="e">
        <f t="shared" si="292"/>
        <v>#DIV/0!</v>
      </c>
      <c r="BA178" s="329"/>
      <c r="BB178" s="373">
        <v>0</v>
      </c>
      <c r="BC178" s="373">
        <v>0</v>
      </c>
      <c r="BD178" s="373">
        <v>0</v>
      </c>
      <c r="BE178" s="373">
        <v>0</v>
      </c>
      <c r="BF178" s="373">
        <v>0</v>
      </c>
      <c r="BG178" s="373">
        <v>0</v>
      </c>
      <c r="BH178" s="374">
        <v>0</v>
      </c>
      <c r="BI178" s="373">
        <v>0</v>
      </c>
      <c r="BJ178" s="373">
        <v>0</v>
      </c>
      <c r="BK178" s="373">
        <v>0</v>
      </c>
      <c r="BL178" s="373">
        <v>0</v>
      </c>
      <c r="BM178" s="373">
        <v>0</v>
      </c>
      <c r="BN178" s="402">
        <f t="shared" si="295"/>
        <v>0</v>
      </c>
      <c r="BO178" s="329"/>
      <c r="BP178" s="374">
        <v>0</v>
      </c>
      <c r="BQ178" s="374">
        <v>0</v>
      </c>
      <c r="BR178" s="374">
        <v>0</v>
      </c>
      <c r="BS178" s="374">
        <v>0</v>
      </c>
      <c r="BT178" s="374">
        <v>0</v>
      </c>
      <c r="BU178" s="374">
        <v>0</v>
      </c>
      <c r="BV178" s="374">
        <v>0</v>
      </c>
      <c r="BW178" s="374">
        <v>0</v>
      </c>
      <c r="BX178" s="374">
        <v>0</v>
      </c>
      <c r="BY178" s="374">
        <v>0</v>
      </c>
      <c r="BZ178" s="374">
        <v>0</v>
      </c>
      <c r="CA178" s="374">
        <v>0</v>
      </c>
      <c r="CB178" s="402">
        <f t="shared" si="282"/>
        <v>0</v>
      </c>
      <c r="CC178" s="776">
        <f t="shared" si="274"/>
        <v>0</v>
      </c>
      <c r="CD178" s="775" t="str">
        <f t="shared" si="275"/>
        <v>N/A</v>
      </c>
      <c r="CE178" s="772"/>
      <c r="CF178" s="374">
        <v>0</v>
      </c>
      <c r="CG178" s="374">
        <v>0</v>
      </c>
      <c r="CH178" s="374">
        <v>0</v>
      </c>
      <c r="CI178" s="374">
        <v>0</v>
      </c>
      <c r="CJ178" s="374">
        <v>0</v>
      </c>
      <c r="CK178" s="374">
        <v>0</v>
      </c>
      <c r="CL178" s="374">
        <v>0</v>
      </c>
      <c r="CM178" s="374">
        <v>0</v>
      </c>
      <c r="CN178" s="374">
        <v>0</v>
      </c>
      <c r="CO178" s="374">
        <v>0</v>
      </c>
      <c r="CP178" s="374">
        <v>0</v>
      </c>
      <c r="CQ178" s="374">
        <v>0</v>
      </c>
      <c r="CR178" s="374">
        <v>0</v>
      </c>
      <c r="CS178" s="402">
        <f t="shared" si="276"/>
        <v>0</v>
      </c>
      <c r="CT178" s="776">
        <f t="shared" si="277"/>
        <v>0</v>
      </c>
      <c r="CU178" s="165" t="str">
        <f t="shared" si="278"/>
        <v>N/A</v>
      </c>
      <c r="CV178" s="329"/>
      <c r="CW178" s="373">
        <v>0</v>
      </c>
      <c r="CX178" s="373">
        <v>0</v>
      </c>
      <c r="CY178" s="373">
        <v>0</v>
      </c>
      <c r="CZ178" s="373">
        <v>0</v>
      </c>
      <c r="DA178" s="373">
        <v>0</v>
      </c>
      <c r="DB178" s="373">
        <v>0</v>
      </c>
      <c r="DC178" s="374">
        <v>0</v>
      </c>
      <c r="DD178" s="373">
        <v>0</v>
      </c>
      <c r="DE178" s="373">
        <v>0</v>
      </c>
      <c r="DF178" s="373">
        <v>0</v>
      </c>
      <c r="DG178" s="373">
        <v>0</v>
      </c>
      <c r="DH178" s="373">
        <v>0</v>
      </c>
      <c r="DI178" s="375">
        <f t="shared" si="279"/>
        <v>0</v>
      </c>
      <c r="DJ178" s="329"/>
      <c r="DK178" s="373">
        <v>0</v>
      </c>
      <c r="DL178" s="373">
        <v>0</v>
      </c>
      <c r="DM178" s="373">
        <v>0</v>
      </c>
      <c r="DN178" s="373">
        <v>0</v>
      </c>
      <c r="DO178" s="373">
        <v>0</v>
      </c>
      <c r="DP178" s="373">
        <v>0</v>
      </c>
      <c r="DQ178" s="374">
        <v>0</v>
      </c>
      <c r="DR178" s="373">
        <v>0</v>
      </c>
      <c r="DS178" s="373">
        <v>0</v>
      </c>
      <c r="DT178" s="373">
        <v>0</v>
      </c>
      <c r="DU178" s="373">
        <v>0</v>
      </c>
      <c r="DV178" s="373">
        <v>0</v>
      </c>
      <c r="DW178" s="375">
        <f t="shared" si="280"/>
        <v>0</v>
      </c>
      <c r="DY178" s="373">
        <v>0</v>
      </c>
      <c r="DZ178" s="373">
        <v>0</v>
      </c>
      <c r="EA178" s="373">
        <v>0</v>
      </c>
      <c r="EB178" s="373">
        <v>0</v>
      </c>
      <c r="EC178" s="373">
        <v>0</v>
      </c>
      <c r="ED178" s="373">
        <v>0</v>
      </c>
      <c r="EE178" s="374">
        <v>0</v>
      </c>
      <c r="EF178" s="373">
        <v>0</v>
      </c>
      <c r="EG178" s="373">
        <v>0</v>
      </c>
      <c r="EH178" s="373">
        <v>0</v>
      </c>
      <c r="EI178" s="373">
        <v>0</v>
      </c>
      <c r="EJ178" s="373">
        <v>0</v>
      </c>
      <c r="EK178" s="375">
        <f t="shared" si="293"/>
        <v>0</v>
      </c>
      <c r="EL178" s="177"/>
      <c r="EM178" s="373">
        <v>0</v>
      </c>
      <c r="EN178" s="373">
        <v>0</v>
      </c>
      <c r="EO178" s="373">
        <v>0</v>
      </c>
      <c r="EP178" s="373">
        <v>0</v>
      </c>
      <c r="EQ178" s="373">
        <v>0</v>
      </c>
      <c r="ER178" s="373">
        <v>0</v>
      </c>
      <c r="ES178" s="374">
        <v>0</v>
      </c>
      <c r="ET178" s="373">
        <v>0</v>
      </c>
      <c r="EU178" s="373">
        <v>0</v>
      </c>
      <c r="EV178" s="373">
        <v>0</v>
      </c>
      <c r="EW178" s="373">
        <v>0</v>
      </c>
      <c r="EX178" s="373">
        <v>0</v>
      </c>
      <c r="EY178" s="375">
        <f t="shared" si="294"/>
        <v>0</v>
      </c>
      <c r="EZ178" s="164">
        <v>0</v>
      </c>
      <c r="FA178" s="185">
        <v>0</v>
      </c>
    </row>
    <row r="179" spans="1:157" ht="18.75" hidden="1" customHeight="1" outlineLevel="1">
      <c r="A179" s="185" t="s">
        <v>617</v>
      </c>
      <c r="B179" s="774"/>
      <c r="C179" s="176" t="s">
        <v>988</v>
      </c>
      <c r="D179" s="176">
        <v>61032000</v>
      </c>
      <c r="E179" s="773"/>
      <c r="F179" s="320" t="s">
        <v>663</v>
      </c>
      <c r="G179" s="329"/>
      <c r="H179" s="373"/>
      <c r="I179" s="373"/>
      <c r="J179" s="373"/>
      <c r="K179" s="373"/>
      <c r="L179" s="373"/>
      <c r="M179" s="373"/>
      <c r="N179" s="374"/>
      <c r="O179" s="373"/>
      <c r="P179" s="373"/>
      <c r="Q179" s="373"/>
      <c r="R179" s="373"/>
      <c r="S179" s="373"/>
      <c r="T179" s="375">
        <f t="shared" si="287"/>
        <v>0</v>
      </c>
      <c r="U179" s="776">
        <f t="shared" si="289"/>
        <v>0</v>
      </c>
      <c r="V179" s="775" t="e">
        <f t="shared" si="290"/>
        <v>#DIV/0!</v>
      </c>
      <c r="W179" s="329"/>
      <c r="X179" s="373">
        <v>0</v>
      </c>
      <c r="Y179" s="373">
        <v>0</v>
      </c>
      <c r="Z179" s="373">
        <v>0</v>
      </c>
      <c r="AA179" s="373">
        <v>0</v>
      </c>
      <c r="AB179" s="373">
        <v>0</v>
      </c>
      <c r="AC179" s="373">
        <v>0</v>
      </c>
      <c r="AD179" s="374">
        <v>0</v>
      </c>
      <c r="AE179" s="373">
        <v>0</v>
      </c>
      <c r="AF179" s="373">
        <v>0</v>
      </c>
      <c r="AG179" s="373">
        <v>0</v>
      </c>
      <c r="AH179" s="373">
        <v>0</v>
      </c>
      <c r="AI179" s="373">
        <v>0</v>
      </c>
      <c r="AJ179" s="375">
        <f t="shared" si="288"/>
        <v>0</v>
      </c>
      <c r="AK179" s="329"/>
      <c r="AL179" s="373">
        <v>0</v>
      </c>
      <c r="AM179" s="373">
        <v>0</v>
      </c>
      <c r="AN179" s="373">
        <v>0</v>
      </c>
      <c r="AO179" s="373">
        <v>0</v>
      </c>
      <c r="AP179" s="373">
        <v>0</v>
      </c>
      <c r="AQ179" s="373">
        <v>0</v>
      </c>
      <c r="AR179" s="374">
        <v>0</v>
      </c>
      <c r="AS179" s="373">
        <v>0</v>
      </c>
      <c r="AT179" s="373">
        <v>0</v>
      </c>
      <c r="AU179" s="373">
        <v>0</v>
      </c>
      <c r="AV179" s="373">
        <v>0</v>
      </c>
      <c r="AW179" s="373">
        <v>0</v>
      </c>
      <c r="AX179" s="375">
        <v>0</v>
      </c>
      <c r="AY179" s="776">
        <f t="shared" si="291"/>
        <v>0</v>
      </c>
      <c r="AZ179" s="775" t="e">
        <f t="shared" si="292"/>
        <v>#DIV/0!</v>
      </c>
      <c r="BA179" s="329"/>
      <c r="BB179" s="373">
        <v>0</v>
      </c>
      <c r="BC179" s="373">
        <v>0</v>
      </c>
      <c r="BD179" s="373">
        <v>0</v>
      </c>
      <c r="BE179" s="373">
        <v>0</v>
      </c>
      <c r="BF179" s="373">
        <v>0</v>
      </c>
      <c r="BG179" s="373">
        <v>0</v>
      </c>
      <c r="BH179" s="374">
        <v>0</v>
      </c>
      <c r="BI179" s="373">
        <v>0</v>
      </c>
      <c r="BJ179" s="373">
        <v>0</v>
      </c>
      <c r="BK179" s="373">
        <v>0</v>
      </c>
      <c r="BL179" s="373">
        <v>0</v>
      </c>
      <c r="BM179" s="373">
        <v>0</v>
      </c>
      <c r="BN179" s="402">
        <f t="shared" si="295"/>
        <v>0</v>
      </c>
      <c r="BO179" s="329"/>
      <c r="BP179" s="374">
        <v>0</v>
      </c>
      <c r="BQ179" s="374">
        <v>0</v>
      </c>
      <c r="BR179" s="374">
        <v>0</v>
      </c>
      <c r="BS179" s="374">
        <v>0</v>
      </c>
      <c r="BT179" s="374">
        <v>0</v>
      </c>
      <c r="BU179" s="374">
        <v>0</v>
      </c>
      <c r="BV179" s="374">
        <v>0</v>
      </c>
      <c r="BW179" s="374">
        <v>0</v>
      </c>
      <c r="BX179" s="374">
        <v>0</v>
      </c>
      <c r="BY179" s="374">
        <v>0</v>
      </c>
      <c r="BZ179" s="374">
        <v>0</v>
      </c>
      <c r="CA179" s="374">
        <v>0</v>
      </c>
      <c r="CB179" s="402">
        <f t="shared" si="282"/>
        <v>0</v>
      </c>
      <c r="CC179" s="776">
        <f t="shared" si="274"/>
        <v>0</v>
      </c>
      <c r="CD179" s="775" t="str">
        <f t="shared" si="275"/>
        <v>N/A</v>
      </c>
      <c r="CE179" s="772"/>
      <c r="CF179" s="374">
        <v>0</v>
      </c>
      <c r="CG179" s="374">
        <v>0</v>
      </c>
      <c r="CH179" s="374">
        <v>0</v>
      </c>
      <c r="CI179" s="374">
        <v>0</v>
      </c>
      <c r="CJ179" s="374">
        <v>0</v>
      </c>
      <c r="CK179" s="374">
        <v>0</v>
      </c>
      <c r="CL179" s="374">
        <v>0</v>
      </c>
      <c r="CM179" s="374">
        <v>0</v>
      </c>
      <c r="CN179" s="374">
        <v>0</v>
      </c>
      <c r="CO179" s="374">
        <v>0</v>
      </c>
      <c r="CP179" s="374">
        <v>0</v>
      </c>
      <c r="CQ179" s="374">
        <v>0</v>
      </c>
      <c r="CR179" s="374">
        <v>0</v>
      </c>
      <c r="CS179" s="402">
        <f t="shared" si="276"/>
        <v>0</v>
      </c>
      <c r="CT179" s="776">
        <f t="shared" si="277"/>
        <v>0</v>
      </c>
      <c r="CU179" s="165" t="str">
        <f t="shared" si="278"/>
        <v>N/A</v>
      </c>
      <c r="CV179" s="329"/>
      <c r="CW179" s="373">
        <v>0</v>
      </c>
      <c r="CX179" s="373">
        <v>0</v>
      </c>
      <c r="CY179" s="373">
        <v>0</v>
      </c>
      <c r="CZ179" s="373">
        <v>0</v>
      </c>
      <c r="DA179" s="373">
        <v>0</v>
      </c>
      <c r="DB179" s="373">
        <v>0</v>
      </c>
      <c r="DC179" s="374">
        <v>0</v>
      </c>
      <c r="DD179" s="373">
        <v>0</v>
      </c>
      <c r="DE179" s="373">
        <v>0</v>
      </c>
      <c r="DF179" s="373">
        <v>0</v>
      </c>
      <c r="DG179" s="373">
        <v>0</v>
      </c>
      <c r="DH179" s="373">
        <v>0</v>
      </c>
      <c r="DI179" s="375">
        <f t="shared" si="279"/>
        <v>0</v>
      </c>
      <c r="DJ179" s="329"/>
      <c r="DK179" s="373">
        <v>0</v>
      </c>
      <c r="DL179" s="373">
        <v>0</v>
      </c>
      <c r="DM179" s="373">
        <v>0</v>
      </c>
      <c r="DN179" s="373">
        <v>0</v>
      </c>
      <c r="DO179" s="373">
        <v>0</v>
      </c>
      <c r="DP179" s="373">
        <v>0</v>
      </c>
      <c r="DQ179" s="374">
        <v>0</v>
      </c>
      <c r="DR179" s="373">
        <v>0</v>
      </c>
      <c r="DS179" s="373">
        <v>0</v>
      </c>
      <c r="DT179" s="373">
        <v>0</v>
      </c>
      <c r="DU179" s="373">
        <v>0</v>
      </c>
      <c r="DV179" s="373">
        <v>0</v>
      </c>
      <c r="DW179" s="375">
        <f t="shared" si="280"/>
        <v>0</v>
      </c>
      <c r="DY179" s="373">
        <v>0</v>
      </c>
      <c r="DZ179" s="373">
        <v>0</v>
      </c>
      <c r="EA179" s="373">
        <v>0</v>
      </c>
      <c r="EB179" s="373">
        <v>0</v>
      </c>
      <c r="EC179" s="373">
        <v>0</v>
      </c>
      <c r="ED179" s="373">
        <v>0</v>
      </c>
      <c r="EE179" s="374">
        <v>0</v>
      </c>
      <c r="EF179" s="373">
        <v>0</v>
      </c>
      <c r="EG179" s="373">
        <v>0</v>
      </c>
      <c r="EH179" s="373">
        <v>0</v>
      </c>
      <c r="EI179" s="373">
        <v>0</v>
      </c>
      <c r="EJ179" s="373">
        <v>0</v>
      </c>
      <c r="EK179" s="375">
        <f t="shared" si="293"/>
        <v>0</v>
      </c>
      <c r="EL179" s="177"/>
      <c r="EM179" s="373">
        <v>0</v>
      </c>
      <c r="EN179" s="373">
        <v>0</v>
      </c>
      <c r="EO179" s="373">
        <v>0</v>
      </c>
      <c r="EP179" s="373">
        <v>0</v>
      </c>
      <c r="EQ179" s="373">
        <v>0</v>
      </c>
      <c r="ER179" s="373">
        <v>0</v>
      </c>
      <c r="ES179" s="374">
        <v>0</v>
      </c>
      <c r="ET179" s="373">
        <v>0</v>
      </c>
      <c r="EU179" s="373">
        <v>0</v>
      </c>
      <c r="EV179" s="373">
        <v>0</v>
      </c>
      <c r="EW179" s="373">
        <v>0</v>
      </c>
      <c r="EX179" s="373">
        <v>0</v>
      </c>
      <c r="EY179" s="375">
        <f t="shared" si="294"/>
        <v>0</v>
      </c>
      <c r="EZ179" s="164">
        <v>0</v>
      </c>
      <c r="FA179" s="185">
        <v>0</v>
      </c>
    </row>
    <row r="180" spans="1:157" ht="18.75" hidden="1" customHeight="1" outlineLevel="1">
      <c r="A180" s="185" t="s">
        <v>617</v>
      </c>
      <c r="B180" s="774"/>
      <c r="C180" s="176" t="s">
        <v>987</v>
      </c>
      <c r="D180" s="176">
        <v>61033100</v>
      </c>
      <c r="E180" s="773"/>
      <c r="F180" s="320" t="s">
        <v>664</v>
      </c>
      <c r="G180" s="329"/>
      <c r="H180" s="373"/>
      <c r="I180" s="373"/>
      <c r="J180" s="373"/>
      <c r="K180" s="373"/>
      <c r="L180" s="373"/>
      <c r="M180" s="373"/>
      <c r="N180" s="374"/>
      <c r="O180" s="373"/>
      <c r="P180" s="373"/>
      <c r="Q180" s="373"/>
      <c r="R180" s="373"/>
      <c r="S180" s="373"/>
      <c r="T180" s="375">
        <f t="shared" si="287"/>
        <v>0</v>
      </c>
      <c r="U180" s="776">
        <f t="shared" si="289"/>
        <v>0</v>
      </c>
      <c r="V180" s="775" t="e">
        <f t="shared" si="290"/>
        <v>#DIV/0!</v>
      </c>
      <c r="W180" s="329"/>
      <c r="X180" s="373">
        <v>0</v>
      </c>
      <c r="Y180" s="373">
        <v>0</v>
      </c>
      <c r="Z180" s="373">
        <v>0</v>
      </c>
      <c r="AA180" s="373">
        <v>0</v>
      </c>
      <c r="AB180" s="373">
        <v>0</v>
      </c>
      <c r="AC180" s="373">
        <v>0</v>
      </c>
      <c r="AD180" s="374">
        <v>0</v>
      </c>
      <c r="AE180" s="373">
        <v>0</v>
      </c>
      <c r="AF180" s="373">
        <v>0</v>
      </c>
      <c r="AG180" s="373">
        <v>0</v>
      </c>
      <c r="AH180" s="373">
        <v>0</v>
      </c>
      <c r="AI180" s="373">
        <v>0</v>
      </c>
      <c r="AJ180" s="375">
        <f t="shared" si="288"/>
        <v>0</v>
      </c>
      <c r="AK180" s="329"/>
      <c r="AL180" s="373">
        <v>0</v>
      </c>
      <c r="AM180" s="373">
        <v>0</v>
      </c>
      <c r="AN180" s="373">
        <v>0</v>
      </c>
      <c r="AO180" s="373">
        <v>0</v>
      </c>
      <c r="AP180" s="373">
        <v>0</v>
      </c>
      <c r="AQ180" s="373">
        <v>0</v>
      </c>
      <c r="AR180" s="374">
        <v>0</v>
      </c>
      <c r="AS180" s="373">
        <v>0</v>
      </c>
      <c r="AT180" s="373">
        <v>0</v>
      </c>
      <c r="AU180" s="373">
        <v>0</v>
      </c>
      <c r="AV180" s="373">
        <v>0</v>
      </c>
      <c r="AW180" s="373">
        <v>0</v>
      </c>
      <c r="AX180" s="375">
        <v>0</v>
      </c>
      <c r="AY180" s="776">
        <f t="shared" si="291"/>
        <v>0</v>
      </c>
      <c r="AZ180" s="775" t="e">
        <f t="shared" si="292"/>
        <v>#DIV/0!</v>
      </c>
      <c r="BA180" s="329"/>
      <c r="BB180" s="373">
        <v>0</v>
      </c>
      <c r="BC180" s="373">
        <v>0</v>
      </c>
      <c r="BD180" s="373">
        <v>0</v>
      </c>
      <c r="BE180" s="373">
        <v>0</v>
      </c>
      <c r="BF180" s="373">
        <v>0</v>
      </c>
      <c r="BG180" s="373">
        <v>0</v>
      </c>
      <c r="BH180" s="374">
        <v>0</v>
      </c>
      <c r="BI180" s="373">
        <v>0</v>
      </c>
      <c r="BJ180" s="373">
        <v>0</v>
      </c>
      <c r="BK180" s="373">
        <v>0</v>
      </c>
      <c r="BL180" s="373">
        <v>0</v>
      </c>
      <c r="BM180" s="373">
        <v>0</v>
      </c>
      <c r="BN180" s="402">
        <f t="shared" si="295"/>
        <v>0</v>
      </c>
      <c r="BO180" s="329"/>
      <c r="BP180" s="374">
        <v>0</v>
      </c>
      <c r="BQ180" s="374">
        <v>0</v>
      </c>
      <c r="BR180" s="374">
        <v>0</v>
      </c>
      <c r="BS180" s="374">
        <v>0</v>
      </c>
      <c r="BT180" s="374">
        <v>0</v>
      </c>
      <c r="BU180" s="374">
        <v>0</v>
      </c>
      <c r="BV180" s="374">
        <v>0</v>
      </c>
      <c r="BW180" s="374">
        <v>0</v>
      </c>
      <c r="BX180" s="374">
        <v>0</v>
      </c>
      <c r="BY180" s="374">
        <v>0</v>
      </c>
      <c r="BZ180" s="374">
        <v>0</v>
      </c>
      <c r="CA180" s="374">
        <v>0</v>
      </c>
      <c r="CB180" s="402">
        <f t="shared" si="282"/>
        <v>0</v>
      </c>
      <c r="CC180" s="776">
        <f t="shared" si="274"/>
        <v>0</v>
      </c>
      <c r="CD180" s="775" t="str">
        <f t="shared" si="275"/>
        <v>N/A</v>
      </c>
      <c r="CE180" s="772"/>
      <c r="CF180" s="374">
        <v>0</v>
      </c>
      <c r="CG180" s="374">
        <v>0</v>
      </c>
      <c r="CH180" s="374">
        <v>0</v>
      </c>
      <c r="CI180" s="374">
        <v>0</v>
      </c>
      <c r="CJ180" s="374">
        <v>0</v>
      </c>
      <c r="CK180" s="374">
        <v>0</v>
      </c>
      <c r="CL180" s="374">
        <v>0</v>
      </c>
      <c r="CM180" s="374">
        <v>0</v>
      </c>
      <c r="CN180" s="374">
        <v>0</v>
      </c>
      <c r="CO180" s="374">
        <v>0</v>
      </c>
      <c r="CP180" s="374">
        <v>0</v>
      </c>
      <c r="CQ180" s="374">
        <v>0</v>
      </c>
      <c r="CR180" s="374">
        <v>0</v>
      </c>
      <c r="CS180" s="402">
        <f t="shared" si="276"/>
        <v>0</v>
      </c>
      <c r="CT180" s="776">
        <f t="shared" si="277"/>
        <v>0</v>
      </c>
      <c r="CU180" s="165" t="str">
        <f t="shared" si="278"/>
        <v>N/A</v>
      </c>
      <c r="CV180" s="329"/>
      <c r="CW180" s="373">
        <v>0</v>
      </c>
      <c r="CX180" s="373">
        <v>0</v>
      </c>
      <c r="CY180" s="373">
        <v>0</v>
      </c>
      <c r="CZ180" s="373">
        <v>0</v>
      </c>
      <c r="DA180" s="373">
        <v>0</v>
      </c>
      <c r="DB180" s="373">
        <v>0</v>
      </c>
      <c r="DC180" s="374">
        <v>0</v>
      </c>
      <c r="DD180" s="373">
        <v>0</v>
      </c>
      <c r="DE180" s="373">
        <v>0</v>
      </c>
      <c r="DF180" s="373">
        <v>0</v>
      </c>
      <c r="DG180" s="373">
        <v>0</v>
      </c>
      <c r="DH180" s="373">
        <v>0</v>
      </c>
      <c r="DI180" s="375">
        <f t="shared" si="279"/>
        <v>0</v>
      </c>
      <c r="DJ180" s="329"/>
      <c r="DK180" s="373">
        <v>0</v>
      </c>
      <c r="DL180" s="373">
        <v>0</v>
      </c>
      <c r="DM180" s="373">
        <v>0</v>
      </c>
      <c r="DN180" s="373">
        <v>0</v>
      </c>
      <c r="DO180" s="373">
        <v>0</v>
      </c>
      <c r="DP180" s="373">
        <v>0</v>
      </c>
      <c r="DQ180" s="374">
        <v>0</v>
      </c>
      <c r="DR180" s="373">
        <v>0</v>
      </c>
      <c r="DS180" s="373">
        <v>0</v>
      </c>
      <c r="DT180" s="373">
        <v>0</v>
      </c>
      <c r="DU180" s="373">
        <v>0</v>
      </c>
      <c r="DV180" s="373">
        <v>0</v>
      </c>
      <c r="DW180" s="375">
        <f t="shared" si="280"/>
        <v>0</v>
      </c>
      <c r="DY180" s="373">
        <v>0</v>
      </c>
      <c r="DZ180" s="373">
        <v>0</v>
      </c>
      <c r="EA180" s="373">
        <v>0</v>
      </c>
      <c r="EB180" s="373">
        <v>0</v>
      </c>
      <c r="EC180" s="373">
        <v>0</v>
      </c>
      <c r="ED180" s="373">
        <v>0</v>
      </c>
      <c r="EE180" s="374">
        <v>0</v>
      </c>
      <c r="EF180" s="373">
        <v>0</v>
      </c>
      <c r="EG180" s="373">
        <v>0</v>
      </c>
      <c r="EH180" s="373">
        <v>0</v>
      </c>
      <c r="EI180" s="373">
        <v>0</v>
      </c>
      <c r="EJ180" s="373">
        <v>0</v>
      </c>
      <c r="EK180" s="375">
        <f t="shared" si="293"/>
        <v>0</v>
      </c>
      <c r="EL180" s="177"/>
      <c r="EM180" s="373">
        <v>0</v>
      </c>
      <c r="EN180" s="373">
        <v>0</v>
      </c>
      <c r="EO180" s="373">
        <v>0</v>
      </c>
      <c r="EP180" s="373">
        <v>0</v>
      </c>
      <c r="EQ180" s="373">
        <v>0</v>
      </c>
      <c r="ER180" s="373">
        <v>0</v>
      </c>
      <c r="ES180" s="374">
        <v>0</v>
      </c>
      <c r="ET180" s="373">
        <v>0</v>
      </c>
      <c r="EU180" s="373">
        <v>0</v>
      </c>
      <c r="EV180" s="373">
        <v>0</v>
      </c>
      <c r="EW180" s="373">
        <v>0</v>
      </c>
      <c r="EX180" s="373">
        <v>0</v>
      </c>
      <c r="EY180" s="375">
        <f t="shared" si="294"/>
        <v>0</v>
      </c>
      <c r="EZ180" s="164">
        <v>0</v>
      </c>
      <c r="FA180" s="185">
        <v>0</v>
      </c>
    </row>
    <row r="181" spans="1:157" ht="18.75" hidden="1" customHeight="1" outlineLevel="1">
      <c r="A181" s="185" t="s">
        <v>617</v>
      </c>
      <c r="B181" s="774"/>
      <c r="C181" s="176" t="s">
        <v>986</v>
      </c>
      <c r="D181" s="176">
        <v>61033200</v>
      </c>
      <c r="E181" s="773"/>
      <c r="F181" s="320" t="s">
        <v>665</v>
      </c>
      <c r="G181" s="329"/>
      <c r="H181" s="373"/>
      <c r="I181" s="373"/>
      <c r="J181" s="373"/>
      <c r="K181" s="373"/>
      <c r="L181" s="373"/>
      <c r="M181" s="373"/>
      <c r="N181" s="374"/>
      <c r="O181" s="373"/>
      <c r="P181" s="373"/>
      <c r="Q181" s="373"/>
      <c r="R181" s="373"/>
      <c r="S181" s="373"/>
      <c r="T181" s="375">
        <f t="shared" si="287"/>
        <v>0</v>
      </c>
      <c r="U181" s="776">
        <f t="shared" si="289"/>
        <v>0</v>
      </c>
      <c r="V181" s="775" t="e">
        <f t="shared" si="290"/>
        <v>#DIV/0!</v>
      </c>
      <c r="W181" s="329"/>
      <c r="X181" s="373">
        <v>0</v>
      </c>
      <c r="Y181" s="373">
        <v>0</v>
      </c>
      <c r="Z181" s="373">
        <v>0</v>
      </c>
      <c r="AA181" s="373">
        <v>0</v>
      </c>
      <c r="AB181" s="373">
        <v>0</v>
      </c>
      <c r="AC181" s="373">
        <v>0</v>
      </c>
      <c r="AD181" s="374">
        <v>0</v>
      </c>
      <c r="AE181" s="373">
        <v>0</v>
      </c>
      <c r="AF181" s="373">
        <v>0</v>
      </c>
      <c r="AG181" s="373">
        <v>0</v>
      </c>
      <c r="AH181" s="373">
        <v>0</v>
      </c>
      <c r="AI181" s="373">
        <v>0</v>
      </c>
      <c r="AJ181" s="375">
        <f t="shared" si="288"/>
        <v>0</v>
      </c>
      <c r="AK181" s="329"/>
      <c r="AL181" s="373">
        <v>0</v>
      </c>
      <c r="AM181" s="373">
        <v>0</v>
      </c>
      <c r="AN181" s="373">
        <v>0</v>
      </c>
      <c r="AO181" s="373">
        <v>0</v>
      </c>
      <c r="AP181" s="373">
        <v>0</v>
      </c>
      <c r="AQ181" s="373">
        <v>0</v>
      </c>
      <c r="AR181" s="374">
        <v>0</v>
      </c>
      <c r="AS181" s="373">
        <v>0</v>
      </c>
      <c r="AT181" s="373">
        <v>0</v>
      </c>
      <c r="AU181" s="373">
        <v>0</v>
      </c>
      <c r="AV181" s="373">
        <v>0</v>
      </c>
      <c r="AW181" s="373">
        <v>0</v>
      </c>
      <c r="AX181" s="375">
        <v>0</v>
      </c>
      <c r="AY181" s="776">
        <f t="shared" si="291"/>
        <v>0</v>
      </c>
      <c r="AZ181" s="775" t="e">
        <f t="shared" si="292"/>
        <v>#DIV/0!</v>
      </c>
      <c r="BA181" s="329"/>
      <c r="BB181" s="373">
        <v>0</v>
      </c>
      <c r="BC181" s="373">
        <v>0</v>
      </c>
      <c r="BD181" s="373">
        <v>0</v>
      </c>
      <c r="BE181" s="373">
        <v>0</v>
      </c>
      <c r="BF181" s="373">
        <v>0</v>
      </c>
      <c r="BG181" s="373">
        <v>0</v>
      </c>
      <c r="BH181" s="374">
        <v>0</v>
      </c>
      <c r="BI181" s="373">
        <v>0</v>
      </c>
      <c r="BJ181" s="373">
        <v>0</v>
      </c>
      <c r="BK181" s="373">
        <v>0</v>
      </c>
      <c r="BL181" s="373">
        <v>0</v>
      </c>
      <c r="BM181" s="373">
        <v>0</v>
      </c>
      <c r="BN181" s="402">
        <f t="shared" si="295"/>
        <v>0</v>
      </c>
      <c r="BO181" s="329"/>
      <c r="BP181" s="374">
        <v>0</v>
      </c>
      <c r="BQ181" s="374">
        <v>0</v>
      </c>
      <c r="BR181" s="374">
        <v>0</v>
      </c>
      <c r="BS181" s="374">
        <v>0</v>
      </c>
      <c r="BT181" s="374">
        <v>0</v>
      </c>
      <c r="BU181" s="374">
        <v>0</v>
      </c>
      <c r="BV181" s="374">
        <v>0</v>
      </c>
      <c r="BW181" s="374">
        <v>0</v>
      </c>
      <c r="BX181" s="374">
        <v>0</v>
      </c>
      <c r="BY181" s="374">
        <v>0</v>
      </c>
      <c r="BZ181" s="374">
        <v>0</v>
      </c>
      <c r="CA181" s="374">
        <v>0</v>
      </c>
      <c r="CB181" s="402">
        <f t="shared" si="282"/>
        <v>0</v>
      </c>
      <c r="CC181" s="776">
        <f t="shared" si="274"/>
        <v>0</v>
      </c>
      <c r="CD181" s="775" t="str">
        <f t="shared" si="275"/>
        <v>N/A</v>
      </c>
      <c r="CE181" s="772"/>
      <c r="CF181" s="374">
        <v>0</v>
      </c>
      <c r="CG181" s="374">
        <v>0</v>
      </c>
      <c r="CH181" s="374">
        <v>0</v>
      </c>
      <c r="CI181" s="374">
        <v>0</v>
      </c>
      <c r="CJ181" s="374">
        <v>0</v>
      </c>
      <c r="CK181" s="374">
        <v>0</v>
      </c>
      <c r="CL181" s="374">
        <v>0</v>
      </c>
      <c r="CM181" s="374">
        <v>0</v>
      </c>
      <c r="CN181" s="374">
        <v>0</v>
      </c>
      <c r="CO181" s="374">
        <v>0</v>
      </c>
      <c r="CP181" s="374">
        <v>0</v>
      </c>
      <c r="CQ181" s="374">
        <v>0</v>
      </c>
      <c r="CR181" s="374">
        <v>0</v>
      </c>
      <c r="CS181" s="402">
        <f t="shared" si="276"/>
        <v>0</v>
      </c>
      <c r="CT181" s="776">
        <f t="shared" si="277"/>
        <v>0</v>
      </c>
      <c r="CU181" s="165" t="str">
        <f t="shared" si="278"/>
        <v>N/A</v>
      </c>
      <c r="CV181" s="329"/>
      <c r="CW181" s="373">
        <v>0</v>
      </c>
      <c r="CX181" s="373">
        <v>0</v>
      </c>
      <c r="CY181" s="373">
        <v>0</v>
      </c>
      <c r="CZ181" s="373">
        <v>0</v>
      </c>
      <c r="DA181" s="373">
        <v>0</v>
      </c>
      <c r="DB181" s="373">
        <v>0</v>
      </c>
      <c r="DC181" s="374">
        <v>0</v>
      </c>
      <c r="DD181" s="373">
        <v>0</v>
      </c>
      <c r="DE181" s="373">
        <v>0</v>
      </c>
      <c r="DF181" s="373">
        <v>0</v>
      </c>
      <c r="DG181" s="373">
        <v>0</v>
      </c>
      <c r="DH181" s="373">
        <v>0</v>
      </c>
      <c r="DI181" s="375">
        <f t="shared" si="279"/>
        <v>0</v>
      </c>
      <c r="DJ181" s="329"/>
      <c r="DK181" s="373">
        <v>0</v>
      </c>
      <c r="DL181" s="373">
        <v>0</v>
      </c>
      <c r="DM181" s="373">
        <v>0</v>
      </c>
      <c r="DN181" s="373">
        <v>0</v>
      </c>
      <c r="DO181" s="373">
        <v>0</v>
      </c>
      <c r="DP181" s="373">
        <v>0</v>
      </c>
      <c r="DQ181" s="374">
        <v>0</v>
      </c>
      <c r="DR181" s="373">
        <v>0</v>
      </c>
      <c r="DS181" s="373">
        <v>0</v>
      </c>
      <c r="DT181" s="373">
        <v>0</v>
      </c>
      <c r="DU181" s="373">
        <v>0</v>
      </c>
      <c r="DV181" s="373">
        <v>0</v>
      </c>
      <c r="DW181" s="375">
        <f t="shared" si="280"/>
        <v>0</v>
      </c>
      <c r="DY181" s="373">
        <v>0</v>
      </c>
      <c r="DZ181" s="373">
        <v>0</v>
      </c>
      <c r="EA181" s="373">
        <v>0</v>
      </c>
      <c r="EB181" s="373">
        <v>0</v>
      </c>
      <c r="EC181" s="373">
        <v>0</v>
      </c>
      <c r="ED181" s="373">
        <v>0</v>
      </c>
      <c r="EE181" s="374">
        <v>0</v>
      </c>
      <c r="EF181" s="373">
        <v>0</v>
      </c>
      <c r="EG181" s="373">
        <v>0</v>
      </c>
      <c r="EH181" s="373">
        <v>0</v>
      </c>
      <c r="EI181" s="373">
        <v>0</v>
      </c>
      <c r="EJ181" s="373">
        <v>0</v>
      </c>
      <c r="EK181" s="375">
        <f t="shared" si="293"/>
        <v>0</v>
      </c>
      <c r="EL181" s="177"/>
      <c r="EM181" s="373">
        <v>0</v>
      </c>
      <c r="EN181" s="373">
        <v>0</v>
      </c>
      <c r="EO181" s="373">
        <v>0</v>
      </c>
      <c r="EP181" s="373">
        <v>0</v>
      </c>
      <c r="EQ181" s="373">
        <v>0</v>
      </c>
      <c r="ER181" s="373">
        <v>0</v>
      </c>
      <c r="ES181" s="374">
        <v>0</v>
      </c>
      <c r="ET181" s="373">
        <v>0</v>
      </c>
      <c r="EU181" s="373">
        <v>0</v>
      </c>
      <c r="EV181" s="373">
        <v>0</v>
      </c>
      <c r="EW181" s="373">
        <v>0</v>
      </c>
      <c r="EX181" s="373">
        <v>0</v>
      </c>
      <c r="EY181" s="375">
        <f t="shared" si="294"/>
        <v>0</v>
      </c>
      <c r="EZ181" s="164">
        <v>0</v>
      </c>
      <c r="FA181" s="185">
        <v>0</v>
      </c>
    </row>
    <row r="182" spans="1:157" ht="18.75" hidden="1" customHeight="1" outlineLevel="1">
      <c r="A182" s="185" t="s">
        <v>617</v>
      </c>
      <c r="B182" s="774"/>
      <c r="C182" s="176" t="s">
        <v>985</v>
      </c>
      <c r="D182" s="176">
        <v>61033300</v>
      </c>
      <c r="E182" s="773"/>
      <c r="F182" s="320" t="s">
        <v>666</v>
      </c>
      <c r="G182" s="329"/>
      <c r="H182" s="373"/>
      <c r="I182" s="373"/>
      <c r="J182" s="373"/>
      <c r="K182" s="373"/>
      <c r="L182" s="373"/>
      <c r="M182" s="373"/>
      <c r="N182" s="374"/>
      <c r="O182" s="373"/>
      <c r="P182" s="373"/>
      <c r="Q182" s="373"/>
      <c r="R182" s="373"/>
      <c r="S182" s="373"/>
      <c r="T182" s="375">
        <f t="shared" si="287"/>
        <v>0</v>
      </c>
      <c r="U182" s="776">
        <f t="shared" si="289"/>
        <v>0</v>
      </c>
      <c r="V182" s="775" t="e">
        <f t="shared" si="290"/>
        <v>#DIV/0!</v>
      </c>
      <c r="W182" s="329"/>
      <c r="X182" s="373">
        <v>0</v>
      </c>
      <c r="Y182" s="373">
        <v>0</v>
      </c>
      <c r="Z182" s="373">
        <v>0</v>
      </c>
      <c r="AA182" s="373">
        <v>0</v>
      </c>
      <c r="AB182" s="373">
        <v>0</v>
      </c>
      <c r="AC182" s="373">
        <v>0</v>
      </c>
      <c r="AD182" s="374">
        <v>0</v>
      </c>
      <c r="AE182" s="373">
        <v>0</v>
      </c>
      <c r="AF182" s="373">
        <v>0</v>
      </c>
      <c r="AG182" s="373">
        <v>0</v>
      </c>
      <c r="AH182" s="373">
        <v>0</v>
      </c>
      <c r="AI182" s="373">
        <v>0</v>
      </c>
      <c r="AJ182" s="375">
        <f t="shared" si="288"/>
        <v>0</v>
      </c>
      <c r="AK182" s="329"/>
      <c r="AL182" s="373">
        <v>0</v>
      </c>
      <c r="AM182" s="373">
        <v>0</v>
      </c>
      <c r="AN182" s="373">
        <v>0</v>
      </c>
      <c r="AO182" s="373">
        <v>0</v>
      </c>
      <c r="AP182" s="373">
        <v>0</v>
      </c>
      <c r="AQ182" s="373">
        <v>0</v>
      </c>
      <c r="AR182" s="374">
        <v>0</v>
      </c>
      <c r="AS182" s="373">
        <v>0</v>
      </c>
      <c r="AT182" s="373">
        <v>0</v>
      </c>
      <c r="AU182" s="373">
        <v>0</v>
      </c>
      <c r="AV182" s="373">
        <v>0</v>
      </c>
      <c r="AW182" s="373">
        <v>0</v>
      </c>
      <c r="AX182" s="375">
        <v>0</v>
      </c>
      <c r="AY182" s="776">
        <f t="shared" si="291"/>
        <v>0</v>
      </c>
      <c r="AZ182" s="775" t="e">
        <f t="shared" si="292"/>
        <v>#DIV/0!</v>
      </c>
      <c r="BA182" s="329"/>
      <c r="BB182" s="373">
        <v>0</v>
      </c>
      <c r="BC182" s="373">
        <v>0</v>
      </c>
      <c r="BD182" s="373">
        <v>0</v>
      </c>
      <c r="BE182" s="373">
        <v>0</v>
      </c>
      <c r="BF182" s="373">
        <v>0</v>
      </c>
      <c r="BG182" s="373">
        <v>0</v>
      </c>
      <c r="BH182" s="374">
        <v>0</v>
      </c>
      <c r="BI182" s="373">
        <v>0</v>
      </c>
      <c r="BJ182" s="373">
        <v>0</v>
      </c>
      <c r="BK182" s="373">
        <v>0</v>
      </c>
      <c r="BL182" s="373">
        <v>0</v>
      </c>
      <c r="BM182" s="373">
        <v>0</v>
      </c>
      <c r="BN182" s="402">
        <f t="shared" si="295"/>
        <v>0</v>
      </c>
      <c r="BO182" s="329"/>
      <c r="BP182" s="374">
        <v>0</v>
      </c>
      <c r="BQ182" s="374">
        <v>0</v>
      </c>
      <c r="BR182" s="374">
        <v>0</v>
      </c>
      <c r="BS182" s="374">
        <v>0</v>
      </c>
      <c r="BT182" s="374">
        <v>0</v>
      </c>
      <c r="BU182" s="374">
        <v>0</v>
      </c>
      <c r="BV182" s="374">
        <v>0</v>
      </c>
      <c r="BW182" s="374">
        <v>0</v>
      </c>
      <c r="BX182" s="374">
        <v>0</v>
      </c>
      <c r="BY182" s="374">
        <v>0</v>
      </c>
      <c r="BZ182" s="374">
        <v>0</v>
      </c>
      <c r="CA182" s="374">
        <v>0</v>
      </c>
      <c r="CB182" s="402">
        <f t="shared" si="282"/>
        <v>0</v>
      </c>
      <c r="CC182" s="776">
        <f t="shared" si="274"/>
        <v>0</v>
      </c>
      <c r="CD182" s="775" t="str">
        <f t="shared" si="275"/>
        <v>N/A</v>
      </c>
      <c r="CE182" s="772"/>
      <c r="CF182" s="374">
        <v>0</v>
      </c>
      <c r="CG182" s="374">
        <v>0</v>
      </c>
      <c r="CH182" s="374">
        <v>0</v>
      </c>
      <c r="CI182" s="374">
        <v>0</v>
      </c>
      <c r="CJ182" s="374">
        <v>0</v>
      </c>
      <c r="CK182" s="374">
        <v>0</v>
      </c>
      <c r="CL182" s="374">
        <v>0</v>
      </c>
      <c r="CM182" s="374">
        <v>0</v>
      </c>
      <c r="CN182" s="374">
        <v>0</v>
      </c>
      <c r="CO182" s="374">
        <v>0</v>
      </c>
      <c r="CP182" s="374">
        <v>0</v>
      </c>
      <c r="CQ182" s="374">
        <v>0</v>
      </c>
      <c r="CR182" s="374">
        <v>0</v>
      </c>
      <c r="CS182" s="402">
        <f t="shared" si="276"/>
        <v>0</v>
      </c>
      <c r="CT182" s="776">
        <f t="shared" si="277"/>
        <v>0</v>
      </c>
      <c r="CU182" s="165" t="str">
        <f t="shared" si="278"/>
        <v>N/A</v>
      </c>
      <c r="CV182" s="329"/>
      <c r="CW182" s="373">
        <v>0</v>
      </c>
      <c r="CX182" s="373">
        <v>0</v>
      </c>
      <c r="CY182" s="373">
        <v>0</v>
      </c>
      <c r="CZ182" s="373">
        <v>0</v>
      </c>
      <c r="DA182" s="373">
        <v>0</v>
      </c>
      <c r="DB182" s="373">
        <v>0</v>
      </c>
      <c r="DC182" s="374">
        <v>0</v>
      </c>
      <c r="DD182" s="373">
        <v>0</v>
      </c>
      <c r="DE182" s="373">
        <v>0</v>
      </c>
      <c r="DF182" s="373">
        <v>0</v>
      </c>
      <c r="DG182" s="373">
        <v>0</v>
      </c>
      <c r="DH182" s="373">
        <v>0</v>
      </c>
      <c r="DI182" s="375">
        <f t="shared" si="279"/>
        <v>0</v>
      </c>
      <c r="DJ182" s="329"/>
      <c r="DK182" s="373">
        <v>0</v>
      </c>
      <c r="DL182" s="373">
        <v>0</v>
      </c>
      <c r="DM182" s="373">
        <v>0</v>
      </c>
      <c r="DN182" s="373">
        <v>0</v>
      </c>
      <c r="DO182" s="373">
        <v>0</v>
      </c>
      <c r="DP182" s="373">
        <v>0</v>
      </c>
      <c r="DQ182" s="374">
        <v>0</v>
      </c>
      <c r="DR182" s="373">
        <v>0</v>
      </c>
      <c r="DS182" s="373">
        <v>0</v>
      </c>
      <c r="DT182" s="373">
        <v>0</v>
      </c>
      <c r="DU182" s="373">
        <v>0</v>
      </c>
      <c r="DV182" s="373">
        <v>0</v>
      </c>
      <c r="DW182" s="375">
        <f t="shared" si="280"/>
        <v>0</v>
      </c>
      <c r="DY182" s="373">
        <v>0</v>
      </c>
      <c r="DZ182" s="373">
        <v>0</v>
      </c>
      <c r="EA182" s="373">
        <v>0</v>
      </c>
      <c r="EB182" s="373">
        <v>0</v>
      </c>
      <c r="EC182" s="373">
        <v>0</v>
      </c>
      <c r="ED182" s="373">
        <v>0</v>
      </c>
      <c r="EE182" s="374">
        <v>0</v>
      </c>
      <c r="EF182" s="373">
        <v>0</v>
      </c>
      <c r="EG182" s="373">
        <v>0</v>
      </c>
      <c r="EH182" s="373">
        <v>0</v>
      </c>
      <c r="EI182" s="373">
        <v>0</v>
      </c>
      <c r="EJ182" s="373">
        <v>0</v>
      </c>
      <c r="EK182" s="375">
        <f t="shared" si="293"/>
        <v>0</v>
      </c>
      <c r="EL182" s="177"/>
      <c r="EM182" s="373">
        <v>0</v>
      </c>
      <c r="EN182" s="373">
        <v>0</v>
      </c>
      <c r="EO182" s="373">
        <v>0</v>
      </c>
      <c r="EP182" s="373">
        <v>0</v>
      </c>
      <c r="EQ182" s="373">
        <v>0</v>
      </c>
      <c r="ER182" s="373">
        <v>0</v>
      </c>
      <c r="ES182" s="374">
        <v>0</v>
      </c>
      <c r="ET182" s="373">
        <v>0</v>
      </c>
      <c r="EU182" s="373">
        <v>0</v>
      </c>
      <c r="EV182" s="373">
        <v>0</v>
      </c>
      <c r="EW182" s="373">
        <v>0</v>
      </c>
      <c r="EX182" s="373">
        <v>0</v>
      </c>
      <c r="EY182" s="375">
        <f t="shared" si="294"/>
        <v>0</v>
      </c>
      <c r="EZ182" s="164">
        <v>0</v>
      </c>
      <c r="FA182" s="185">
        <v>0</v>
      </c>
    </row>
    <row r="183" spans="1:157" ht="18.75" hidden="1" customHeight="1" outlineLevel="1">
      <c r="A183" s="185" t="s">
        <v>617</v>
      </c>
      <c r="B183" s="774"/>
      <c r="C183" s="176" t="s">
        <v>984</v>
      </c>
      <c r="D183" s="176">
        <v>61033400</v>
      </c>
      <c r="E183" s="773"/>
      <c r="F183" s="320" t="s">
        <v>667</v>
      </c>
      <c r="G183" s="329"/>
      <c r="H183" s="373"/>
      <c r="I183" s="373"/>
      <c r="J183" s="373"/>
      <c r="K183" s="373"/>
      <c r="L183" s="373"/>
      <c r="M183" s="373"/>
      <c r="N183" s="374"/>
      <c r="O183" s="373"/>
      <c r="P183" s="373"/>
      <c r="Q183" s="373"/>
      <c r="R183" s="373"/>
      <c r="S183" s="373"/>
      <c r="T183" s="375">
        <f t="shared" si="287"/>
        <v>0</v>
      </c>
      <c r="U183" s="776">
        <f t="shared" si="289"/>
        <v>0</v>
      </c>
      <c r="V183" s="775" t="e">
        <f t="shared" si="290"/>
        <v>#DIV/0!</v>
      </c>
      <c r="W183" s="329"/>
      <c r="X183" s="373">
        <v>0</v>
      </c>
      <c r="Y183" s="373">
        <v>0</v>
      </c>
      <c r="Z183" s="373">
        <v>0</v>
      </c>
      <c r="AA183" s="373">
        <v>0</v>
      </c>
      <c r="AB183" s="373">
        <v>0</v>
      </c>
      <c r="AC183" s="373">
        <v>0</v>
      </c>
      <c r="AD183" s="374">
        <v>0</v>
      </c>
      <c r="AE183" s="373">
        <v>0</v>
      </c>
      <c r="AF183" s="373">
        <v>0</v>
      </c>
      <c r="AG183" s="373">
        <v>0</v>
      </c>
      <c r="AH183" s="373">
        <v>0</v>
      </c>
      <c r="AI183" s="373">
        <v>0</v>
      </c>
      <c r="AJ183" s="375">
        <f t="shared" si="288"/>
        <v>0</v>
      </c>
      <c r="AK183" s="329"/>
      <c r="AL183" s="373">
        <v>0</v>
      </c>
      <c r="AM183" s="373">
        <v>0</v>
      </c>
      <c r="AN183" s="373">
        <v>0</v>
      </c>
      <c r="AO183" s="373">
        <v>0</v>
      </c>
      <c r="AP183" s="373">
        <v>0</v>
      </c>
      <c r="AQ183" s="373">
        <v>0</v>
      </c>
      <c r="AR183" s="374">
        <v>0</v>
      </c>
      <c r="AS183" s="373">
        <v>0</v>
      </c>
      <c r="AT183" s="373">
        <v>0</v>
      </c>
      <c r="AU183" s="373">
        <v>0</v>
      </c>
      <c r="AV183" s="373">
        <v>0</v>
      </c>
      <c r="AW183" s="373">
        <v>0</v>
      </c>
      <c r="AX183" s="375">
        <v>0</v>
      </c>
      <c r="AY183" s="776">
        <f t="shared" si="291"/>
        <v>0</v>
      </c>
      <c r="AZ183" s="775" t="e">
        <f t="shared" si="292"/>
        <v>#DIV/0!</v>
      </c>
      <c r="BA183" s="329"/>
      <c r="BB183" s="373">
        <v>0</v>
      </c>
      <c r="BC183" s="373">
        <v>0</v>
      </c>
      <c r="BD183" s="373">
        <v>0</v>
      </c>
      <c r="BE183" s="373">
        <v>0</v>
      </c>
      <c r="BF183" s="373">
        <v>0</v>
      </c>
      <c r="BG183" s="373">
        <v>0</v>
      </c>
      <c r="BH183" s="374">
        <v>0</v>
      </c>
      <c r="BI183" s="373">
        <v>0</v>
      </c>
      <c r="BJ183" s="373">
        <v>0</v>
      </c>
      <c r="BK183" s="373">
        <v>0</v>
      </c>
      <c r="BL183" s="373">
        <v>0</v>
      </c>
      <c r="BM183" s="373">
        <v>0</v>
      </c>
      <c r="BN183" s="402">
        <f t="shared" si="295"/>
        <v>0</v>
      </c>
      <c r="BO183" s="329"/>
      <c r="BP183" s="374">
        <v>0</v>
      </c>
      <c r="BQ183" s="374">
        <v>0</v>
      </c>
      <c r="BR183" s="374">
        <v>0</v>
      </c>
      <c r="BS183" s="374">
        <v>0</v>
      </c>
      <c r="BT183" s="374">
        <v>0</v>
      </c>
      <c r="BU183" s="374">
        <v>0</v>
      </c>
      <c r="BV183" s="374">
        <v>0</v>
      </c>
      <c r="BW183" s="374">
        <v>0</v>
      </c>
      <c r="BX183" s="374">
        <v>0</v>
      </c>
      <c r="BY183" s="374">
        <v>0</v>
      </c>
      <c r="BZ183" s="374">
        <v>0</v>
      </c>
      <c r="CA183" s="374">
        <v>0</v>
      </c>
      <c r="CB183" s="402">
        <f t="shared" si="282"/>
        <v>0</v>
      </c>
      <c r="CC183" s="776">
        <f t="shared" si="274"/>
        <v>0</v>
      </c>
      <c r="CD183" s="775" t="str">
        <f t="shared" si="275"/>
        <v>N/A</v>
      </c>
      <c r="CE183" s="772"/>
      <c r="CF183" s="374">
        <v>0</v>
      </c>
      <c r="CG183" s="374">
        <v>0</v>
      </c>
      <c r="CH183" s="374">
        <v>0</v>
      </c>
      <c r="CI183" s="374">
        <v>0</v>
      </c>
      <c r="CJ183" s="374">
        <v>0</v>
      </c>
      <c r="CK183" s="374">
        <v>0</v>
      </c>
      <c r="CL183" s="374">
        <v>0</v>
      </c>
      <c r="CM183" s="374">
        <v>0</v>
      </c>
      <c r="CN183" s="374">
        <v>0</v>
      </c>
      <c r="CO183" s="374">
        <v>0</v>
      </c>
      <c r="CP183" s="374">
        <v>0</v>
      </c>
      <c r="CQ183" s="374">
        <v>0</v>
      </c>
      <c r="CR183" s="374">
        <v>0</v>
      </c>
      <c r="CS183" s="402">
        <f t="shared" si="276"/>
        <v>0</v>
      </c>
      <c r="CT183" s="776">
        <f t="shared" si="277"/>
        <v>0</v>
      </c>
      <c r="CU183" s="165" t="str">
        <f t="shared" si="278"/>
        <v>N/A</v>
      </c>
      <c r="CV183" s="329"/>
      <c r="CW183" s="373">
        <v>0</v>
      </c>
      <c r="CX183" s="373">
        <v>0</v>
      </c>
      <c r="CY183" s="373">
        <v>0</v>
      </c>
      <c r="CZ183" s="373">
        <v>0</v>
      </c>
      <c r="DA183" s="373">
        <v>0</v>
      </c>
      <c r="DB183" s="373">
        <v>0</v>
      </c>
      <c r="DC183" s="374">
        <v>0</v>
      </c>
      <c r="DD183" s="373">
        <v>0</v>
      </c>
      <c r="DE183" s="373">
        <v>0</v>
      </c>
      <c r="DF183" s="373">
        <v>0</v>
      </c>
      <c r="DG183" s="373">
        <v>0</v>
      </c>
      <c r="DH183" s="373">
        <v>0</v>
      </c>
      <c r="DI183" s="375">
        <f t="shared" si="279"/>
        <v>0</v>
      </c>
      <c r="DJ183" s="329"/>
      <c r="DK183" s="373">
        <v>0</v>
      </c>
      <c r="DL183" s="373">
        <v>0</v>
      </c>
      <c r="DM183" s="373">
        <v>0</v>
      </c>
      <c r="DN183" s="373">
        <v>0</v>
      </c>
      <c r="DO183" s="373">
        <v>0</v>
      </c>
      <c r="DP183" s="373">
        <v>0</v>
      </c>
      <c r="DQ183" s="374">
        <v>0</v>
      </c>
      <c r="DR183" s="373">
        <v>0</v>
      </c>
      <c r="DS183" s="373">
        <v>0</v>
      </c>
      <c r="DT183" s="373">
        <v>0</v>
      </c>
      <c r="DU183" s="373">
        <v>0</v>
      </c>
      <c r="DV183" s="373">
        <v>0</v>
      </c>
      <c r="DW183" s="375">
        <f t="shared" si="280"/>
        <v>0</v>
      </c>
      <c r="DY183" s="373">
        <v>0</v>
      </c>
      <c r="DZ183" s="373">
        <v>0</v>
      </c>
      <c r="EA183" s="373">
        <v>0</v>
      </c>
      <c r="EB183" s="373">
        <v>0</v>
      </c>
      <c r="EC183" s="373">
        <v>0</v>
      </c>
      <c r="ED183" s="373">
        <v>0</v>
      </c>
      <c r="EE183" s="374">
        <v>0</v>
      </c>
      <c r="EF183" s="373">
        <v>0</v>
      </c>
      <c r="EG183" s="373">
        <v>0</v>
      </c>
      <c r="EH183" s="373">
        <v>0</v>
      </c>
      <c r="EI183" s="373">
        <v>0</v>
      </c>
      <c r="EJ183" s="373">
        <v>0</v>
      </c>
      <c r="EK183" s="375">
        <f t="shared" si="293"/>
        <v>0</v>
      </c>
      <c r="EL183" s="177"/>
      <c r="EM183" s="373">
        <v>0</v>
      </c>
      <c r="EN183" s="373">
        <v>0</v>
      </c>
      <c r="EO183" s="373">
        <v>0</v>
      </c>
      <c r="EP183" s="373">
        <v>0</v>
      </c>
      <c r="EQ183" s="373">
        <v>0</v>
      </c>
      <c r="ER183" s="373">
        <v>0</v>
      </c>
      <c r="ES183" s="374">
        <v>0</v>
      </c>
      <c r="ET183" s="373">
        <v>0</v>
      </c>
      <c r="EU183" s="373">
        <v>0</v>
      </c>
      <c r="EV183" s="373">
        <v>0</v>
      </c>
      <c r="EW183" s="373">
        <v>0</v>
      </c>
      <c r="EX183" s="373">
        <v>0</v>
      </c>
      <c r="EY183" s="375">
        <f t="shared" si="294"/>
        <v>0</v>
      </c>
      <c r="EZ183" s="164">
        <v>0</v>
      </c>
      <c r="FA183" s="185">
        <v>0</v>
      </c>
    </row>
    <row r="184" spans="1:157" ht="18.75" hidden="1" customHeight="1" outlineLevel="1">
      <c r="A184" s="185" t="s">
        <v>617</v>
      </c>
      <c r="B184" s="774"/>
      <c r="C184" s="176" t="s">
        <v>983</v>
      </c>
      <c r="D184" s="176">
        <v>61033500</v>
      </c>
      <c r="E184" s="773"/>
      <c r="F184" s="320" t="s">
        <v>668</v>
      </c>
      <c r="G184" s="329"/>
      <c r="H184" s="373"/>
      <c r="I184" s="373"/>
      <c r="J184" s="373"/>
      <c r="K184" s="373"/>
      <c r="L184" s="373"/>
      <c r="M184" s="373"/>
      <c r="N184" s="374"/>
      <c r="O184" s="373"/>
      <c r="P184" s="373"/>
      <c r="Q184" s="373"/>
      <c r="R184" s="373"/>
      <c r="S184" s="373"/>
      <c r="T184" s="375">
        <f t="shared" si="287"/>
        <v>0</v>
      </c>
      <c r="U184" s="776">
        <f t="shared" si="289"/>
        <v>0</v>
      </c>
      <c r="V184" s="775" t="e">
        <f t="shared" si="290"/>
        <v>#DIV/0!</v>
      </c>
      <c r="W184" s="329"/>
      <c r="X184" s="373">
        <v>0</v>
      </c>
      <c r="Y184" s="373">
        <v>0</v>
      </c>
      <c r="Z184" s="373">
        <v>0</v>
      </c>
      <c r="AA184" s="373">
        <v>0</v>
      </c>
      <c r="AB184" s="373">
        <v>0</v>
      </c>
      <c r="AC184" s="373">
        <v>0</v>
      </c>
      <c r="AD184" s="374">
        <v>0</v>
      </c>
      <c r="AE184" s="373">
        <v>0</v>
      </c>
      <c r="AF184" s="373">
        <v>0</v>
      </c>
      <c r="AG184" s="373">
        <v>0</v>
      </c>
      <c r="AH184" s="373">
        <v>0</v>
      </c>
      <c r="AI184" s="373">
        <v>0</v>
      </c>
      <c r="AJ184" s="375">
        <f t="shared" si="288"/>
        <v>0</v>
      </c>
      <c r="AK184" s="329"/>
      <c r="AL184" s="373">
        <v>0</v>
      </c>
      <c r="AM184" s="373">
        <v>0</v>
      </c>
      <c r="AN184" s="373">
        <v>0</v>
      </c>
      <c r="AO184" s="373">
        <v>0</v>
      </c>
      <c r="AP184" s="373">
        <v>0</v>
      </c>
      <c r="AQ184" s="373">
        <v>0</v>
      </c>
      <c r="AR184" s="374">
        <v>0</v>
      </c>
      <c r="AS184" s="373">
        <v>0</v>
      </c>
      <c r="AT184" s="373">
        <v>0</v>
      </c>
      <c r="AU184" s="373">
        <v>0</v>
      </c>
      <c r="AV184" s="373">
        <v>0</v>
      </c>
      <c r="AW184" s="373">
        <v>0</v>
      </c>
      <c r="AX184" s="375">
        <v>0</v>
      </c>
      <c r="AY184" s="776">
        <f t="shared" si="291"/>
        <v>0</v>
      </c>
      <c r="AZ184" s="775" t="e">
        <f t="shared" si="292"/>
        <v>#DIV/0!</v>
      </c>
      <c r="BA184" s="329"/>
      <c r="BB184" s="373">
        <v>0</v>
      </c>
      <c r="BC184" s="373">
        <v>0</v>
      </c>
      <c r="BD184" s="373">
        <v>0</v>
      </c>
      <c r="BE184" s="373">
        <v>0</v>
      </c>
      <c r="BF184" s="373">
        <v>0</v>
      </c>
      <c r="BG184" s="373">
        <v>0</v>
      </c>
      <c r="BH184" s="374">
        <v>0</v>
      </c>
      <c r="BI184" s="373">
        <v>0</v>
      </c>
      <c r="BJ184" s="373">
        <v>0</v>
      </c>
      <c r="BK184" s="373">
        <v>0</v>
      </c>
      <c r="BL184" s="373">
        <v>0</v>
      </c>
      <c r="BM184" s="373">
        <v>0</v>
      </c>
      <c r="BN184" s="402">
        <f t="shared" si="295"/>
        <v>0</v>
      </c>
      <c r="BO184" s="329"/>
      <c r="BP184" s="374">
        <v>0</v>
      </c>
      <c r="BQ184" s="374">
        <v>0</v>
      </c>
      <c r="BR184" s="374">
        <v>0</v>
      </c>
      <c r="BS184" s="374">
        <v>0</v>
      </c>
      <c r="BT184" s="374">
        <v>0</v>
      </c>
      <c r="BU184" s="374">
        <v>0</v>
      </c>
      <c r="BV184" s="374">
        <v>0</v>
      </c>
      <c r="BW184" s="374">
        <v>0</v>
      </c>
      <c r="BX184" s="374">
        <v>0</v>
      </c>
      <c r="BY184" s="374">
        <v>0</v>
      </c>
      <c r="BZ184" s="374">
        <v>0</v>
      </c>
      <c r="CA184" s="374">
        <v>0</v>
      </c>
      <c r="CB184" s="402">
        <f t="shared" si="282"/>
        <v>0</v>
      </c>
      <c r="CC184" s="776">
        <f t="shared" si="274"/>
        <v>0</v>
      </c>
      <c r="CD184" s="775" t="str">
        <f t="shared" si="275"/>
        <v>N/A</v>
      </c>
      <c r="CE184" s="772"/>
      <c r="CF184" s="374">
        <v>0</v>
      </c>
      <c r="CG184" s="374">
        <v>0</v>
      </c>
      <c r="CH184" s="374">
        <v>0</v>
      </c>
      <c r="CI184" s="374">
        <v>0</v>
      </c>
      <c r="CJ184" s="374">
        <v>0</v>
      </c>
      <c r="CK184" s="374">
        <v>0</v>
      </c>
      <c r="CL184" s="374">
        <v>0</v>
      </c>
      <c r="CM184" s="374">
        <v>0</v>
      </c>
      <c r="CN184" s="374">
        <v>0</v>
      </c>
      <c r="CO184" s="374">
        <v>0</v>
      </c>
      <c r="CP184" s="374">
        <v>0</v>
      </c>
      <c r="CQ184" s="374">
        <v>0</v>
      </c>
      <c r="CR184" s="374">
        <v>0</v>
      </c>
      <c r="CS184" s="402">
        <f t="shared" si="276"/>
        <v>0</v>
      </c>
      <c r="CT184" s="776">
        <f t="shared" si="277"/>
        <v>0</v>
      </c>
      <c r="CU184" s="165" t="str">
        <f t="shared" si="278"/>
        <v>N/A</v>
      </c>
      <c r="CV184" s="329"/>
      <c r="CW184" s="373">
        <v>0</v>
      </c>
      <c r="CX184" s="373">
        <v>0</v>
      </c>
      <c r="CY184" s="373">
        <v>0</v>
      </c>
      <c r="CZ184" s="373">
        <v>0</v>
      </c>
      <c r="DA184" s="373">
        <v>0</v>
      </c>
      <c r="DB184" s="373">
        <v>0</v>
      </c>
      <c r="DC184" s="374">
        <v>0</v>
      </c>
      <c r="DD184" s="373">
        <v>0</v>
      </c>
      <c r="DE184" s="373">
        <v>0</v>
      </c>
      <c r="DF184" s="373">
        <v>0</v>
      </c>
      <c r="DG184" s="373">
        <v>0</v>
      </c>
      <c r="DH184" s="373">
        <v>0</v>
      </c>
      <c r="DI184" s="375">
        <f t="shared" si="279"/>
        <v>0</v>
      </c>
      <c r="DJ184" s="329"/>
      <c r="DK184" s="373">
        <v>0</v>
      </c>
      <c r="DL184" s="373">
        <v>0</v>
      </c>
      <c r="DM184" s="373">
        <v>0</v>
      </c>
      <c r="DN184" s="373">
        <v>0</v>
      </c>
      <c r="DO184" s="373">
        <v>0</v>
      </c>
      <c r="DP184" s="373">
        <v>0</v>
      </c>
      <c r="DQ184" s="374">
        <v>0</v>
      </c>
      <c r="DR184" s="373">
        <v>0</v>
      </c>
      <c r="DS184" s="373">
        <v>0</v>
      </c>
      <c r="DT184" s="373">
        <v>0</v>
      </c>
      <c r="DU184" s="373">
        <v>0</v>
      </c>
      <c r="DV184" s="373">
        <v>0</v>
      </c>
      <c r="DW184" s="375">
        <f t="shared" si="280"/>
        <v>0</v>
      </c>
      <c r="DY184" s="373">
        <v>0</v>
      </c>
      <c r="DZ184" s="373">
        <v>0</v>
      </c>
      <c r="EA184" s="373">
        <v>0</v>
      </c>
      <c r="EB184" s="373">
        <v>0</v>
      </c>
      <c r="EC184" s="373">
        <v>0</v>
      </c>
      <c r="ED184" s="373">
        <v>0</v>
      </c>
      <c r="EE184" s="374">
        <v>0</v>
      </c>
      <c r="EF184" s="373">
        <v>0</v>
      </c>
      <c r="EG184" s="373">
        <v>0</v>
      </c>
      <c r="EH184" s="373">
        <v>0</v>
      </c>
      <c r="EI184" s="373">
        <v>0</v>
      </c>
      <c r="EJ184" s="373">
        <v>0</v>
      </c>
      <c r="EK184" s="375">
        <f t="shared" si="293"/>
        <v>0</v>
      </c>
      <c r="EL184" s="177"/>
      <c r="EM184" s="373">
        <v>0</v>
      </c>
      <c r="EN184" s="373">
        <v>0</v>
      </c>
      <c r="EO184" s="373">
        <v>0</v>
      </c>
      <c r="EP184" s="373">
        <v>0</v>
      </c>
      <c r="EQ184" s="373">
        <v>0</v>
      </c>
      <c r="ER184" s="373">
        <v>0</v>
      </c>
      <c r="ES184" s="374">
        <v>0</v>
      </c>
      <c r="ET184" s="373">
        <v>0</v>
      </c>
      <c r="EU184" s="373">
        <v>0</v>
      </c>
      <c r="EV184" s="373">
        <v>0</v>
      </c>
      <c r="EW184" s="373">
        <v>0</v>
      </c>
      <c r="EX184" s="373">
        <v>0</v>
      </c>
      <c r="EY184" s="375">
        <f t="shared" si="294"/>
        <v>0</v>
      </c>
      <c r="EZ184" s="164">
        <v>0</v>
      </c>
      <c r="FA184" s="185">
        <v>0</v>
      </c>
    </row>
    <row r="185" spans="1:157" ht="18.75" hidden="1" customHeight="1" outlineLevel="1" collapsed="1">
      <c r="A185" s="185" t="s">
        <v>617</v>
      </c>
      <c r="B185" s="774"/>
      <c r="C185" s="176" t="s">
        <v>982</v>
      </c>
      <c r="D185" s="176">
        <v>61034000</v>
      </c>
      <c r="E185" s="773"/>
      <c r="F185" s="320" t="s">
        <v>669</v>
      </c>
      <c r="G185" s="329"/>
      <c r="H185" s="373"/>
      <c r="I185" s="373"/>
      <c r="J185" s="373"/>
      <c r="K185" s="373"/>
      <c r="L185" s="373"/>
      <c r="M185" s="373"/>
      <c r="N185" s="374"/>
      <c r="O185" s="373"/>
      <c r="P185" s="373"/>
      <c r="Q185" s="373"/>
      <c r="R185" s="373"/>
      <c r="S185" s="373"/>
      <c r="T185" s="375">
        <f t="shared" si="287"/>
        <v>0</v>
      </c>
      <c r="U185" s="776">
        <f t="shared" si="289"/>
        <v>0</v>
      </c>
      <c r="V185" s="775" t="e">
        <f t="shared" si="290"/>
        <v>#DIV/0!</v>
      </c>
      <c r="W185" s="329"/>
      <c r="X185" s="373">
        <v>0</v>
      </c>
      <c r="Y185" s="373">
        <v>0</v>
      </c>
      <c r="Z185" s="373">
        <v>0</v>
      </c>
      <c r="AA185" s="373">
        <v>0</v>
      </c>
      <c r="AB185" s="373">
        <v>0</v>
      </c>
      <c r="AC185" s="373">
        <v>0</v>
      </c>
      <c r="AD185" s="374">
        <v>0</v>
      </c>
      <c r="AE185" s="373">
        <v>0</v>
      </c>
      <c r="AF185" s="373">
        <v>0</v>
      </c>
      <c r="AG185" s="373">
        <v>0</v>
      </c>
      <c r="AH185" s="373">
        <v>0</v>
      </c>
      <c r="AI185" s="373">
        <v>0</v>
      </c>
      <c r="AJ185" s="375">
        <f t="shared" si="288"/>
        <v>0</v>
      </c>
      <c r="AK185" s="329"/>
      <c r="AL185" s="373">
        <v>0</v>
      </c>
      <c r="AM185" s="373">
        <v>0</v>
      </c>
      <c r="AN185" s="373">
        <v>0</v>
      </c>
      <c r="AO185" s="373">
        <v>0</v>
      </c>
      <c r="AP185" s="373">
        <v>0</v>
      </c>
      <c r="AQ185" s="373">
        <v>0</v>
      </c>
      <c r="AR185" s="374">
        <v>0</v>
      </c>
      <c r="AS185" s="373">
        <v>0</v>
      </c>
      <c r="AT185" s="373">
        <v>0</v>
      </c>
      <c r="AU185" s="373">
        <v>0</v>
      </c>
      <c r="AV185" s="373">
        <v>0</v>
      </c>
      <c r="AW185" s="373">
        <v>0</v>
      </c>
      <c r="AX185" s="375">
        <v>0</v>
      </c>
      <c r="AY185" s="776">
        <f t="shared" si="291"/>
        <v>0</v>
      </c>
      <c r="AZ185" s="775" t="e">
        <f t="shared" si="292"/>
        <v>#DIV/0!</v>
      </c>
      <c r="BA185" s="329"/>
      <c r="BB185" s="373">
        <v>0</v>
      </c>
      <c r="BC185" s="373">
        <v>0</v>
      </c>
      <c r="BD185" s="373">
        <v>0</v>
      </c>
      <c r="BE185" s="373">
        <v>0</v>
      </c>
      <c r="BF185" s="373">
        <v>0</v>
      </c>
      <c r="BG185" s="373">
        <v>0</v>
      </c>
      <c r="BH185" s="374">
        <v>0</v>
      </c>
      <c r="BI185" s="373">
        <v>0</v>
      </c>
      <c r="BJ185" s="373">
        <v>0</v>
      </c>
      <c r="BK185" s="373">
        <v>0</v>
      </c>
      <c r="BL185" s="373">
        <v>0</v>
      </c>
      <c r="BM185" s="373">
        <v>0</v>
      </c>
      <c r="BN185" s="402">
        <f t="shared" si="295"/>
        <v>0</v>
      </c>
      <c r="BO185" s="329"/>
      <c r="BP185" s="374">
        <v>0</v>
      </c>
      <c r="BQ185" s="374">
        <v>0</v>
      </c>
      <c r="BR185" s="374">
        <v>0</v>
      </c>
      <c r="BS185" s="374">
        <v>0</v>
      </c>
      <c r="BT185" s="374">
        <v>0</v>
      </c>
      <c r="BU185" s="374">
        <v>0</v>
      </c>
      <c r="BV185" s="374">
        <v>0</v>
      </c>
      <c r="BW185" s="374">
        <v>0</v>
      </c>
      <c r="BX185" s="374">
        <v>0</v>
      </c>
      <c r="BY185" s="374">
        <v>0</v>
      </c>
      <c r="BZ185" s="374">
        <v>0</v>
      </c>
      <c r="CA185" s="374">
        <v>0</v>
      </c>
      <c r="CB185" s="402">
        <f t="shared" si="282"/>
        <v>0</v>
      </c>
      <c r="CC185" s="776">
        <f t="shared" si="274"/>
        <v>0</v>
      </c>
      <c r="CD185" s="775" t="str">
        <f t="shared" si="275"/>
        <v>N/A</v>
      </c>
      <c r="CE185" s="772"/>
      <c r="CF185" s="374">
        <v>0</v>
      </c>
      <c r="CG185" s="374">
        <v>0</v>
      </c>
      <c r="CH185" s="374">
        <v>0</v>
      </c>
      <c r="CI185" s="374">
        <v>0</v>
      </c>
      <c r="CJ185" s="374">
        <v>0</v>
      </c>
      <c r="CK185" s="374">
        <v>0</v>
      </c>
      <c r="CL185" s="374">
        <v>0</v>
      </c>
      <c r="CM185" s="374">
        <v>0</v>
      </c>
      <c r="CN185" s="374">
        <v>0</v>
      </c>
      <c r="CO185" s="374">
        <v>0</v>
      </c>
      <c r="CP185" s="374">
        <v>0</v>
      </c>
      <c r="CQ185" s="374">
        <v>0</v>
      </c>
      <c r="CR185" s="374">
        <v>0</v>
      </c>
      <c r="CS185" s="402">
        <f t="shared" si="276"/>
        <v>0</v>
      </c>
      <c r="CT185" s="776">
        <f t="shared" si="277"/>
        <v>0</v>
      </c>
      <c r="CU185" s="165" t="str">
        <f t="shared" si="278"/>
        <v>N/A</v>
      </c>
      <c r="CV185" s="329"/>
      <c r="CW185" s="373">
        <v>0</v>
      </c>
      <c r="CX185" s="373">
        <v>0</v>
      </c>
      <c r="CY185" s="373">
        <v>0</v>
      </c>
      <c r="CZ185" s="373">
        <v>0</v>
      </c>
      <c r="DA185" s="373">
        <v>0</v>
      </c>
      <c r="DB185" s="373">
        <v>0</v>
      </c>
      <c r="DC185" s="374">
        <v>0</v>
      </c>
      <c r="DD185" s="373">
        <v>0</v>
      </c>
      <c r="DE185" s="373">
        <v>0</v>
      </c>
      <c r="DF185" s="373">
        <v>0</v>
      </c>
      <c r="DG185" s="373">
        <v>0</v>
      </c>
      <c r="DH185" s="373">
        <v>0</v>
      </c>
      <c r="DI185" s="375">
        <f t="shared" si="279"/>
        <v>0</v>
      </c>
      <c r="DJ185" s="329"/>
      <c r="DK185" s="373">
        <v>0</v>
      </c>
      <c r="DL185" s="373">
        <v>0</v>
      </c>
      <c r="DM185" s="373">
        <v>0</v>
      </c>
      <c r="DN185" s="373">
        <v>0</v>
      </c>
      <c r="DO185" s="373">
        <v>0</v>
      </c>
      <c r="DP185" s="373">
        <v>0</v>
      </c>
      <c r="DQ185" s="374">
        <v>0</v>
      </c>
      <c r="DR185" s="373">
        <v>0</v>
      </c>
      <c r="DS185" s="373">
        <v>0</v>
      </c>
      <c r="DT185" s="373">
        <v>0</v>
      </c>
      <c r="DU185" s="373">
        <v>0</v>
      </c>
      <c r="DV185" s="373">
        <v>0</v>
      </c>
      <c r="DW185" s="375">
        <f t="shared" si="280"/>
        <v>0</v>
      </c>
      <c r="DY185" s="373">
        <v>0</v>
      </c>
      <c r="DZ185" s="373">
        <v>0</v>
      </c>
      <c r="EA185" s="373">
        <v>0</v>
      </c>
      <c r="EB185" s="373">
        <v>0</v>
      </c>
      <c r="EC185" s="373">
        <v>0</v>
      </c>
      <c r="ED185" s="373">
        <v>0</v>
      </c>
      <c r="EE185" s="374">
        <v>0</v>
      </c>
      <c r="EF185" s="373">
        <v>0</v>
      </c>
      <c r="EG185" s="373">
        <v>0</v>
      </c>
      <c r="EH185" s="373">
        <v>0</v>
      </c>
      <c r="EI185" s="373">
        <v>0</v>
      </c>
      <c r="EJ185" s="373">
        <v>0</v>
      </c>
      <c r="EK185" s="375">
        <f t="shared" si="293"/>
        <v>0</v>
      </c>
      <c r="EL185" s="177"/>
      <c r="EM185" s="373">
        <v>0</v>
      </c>
      <c r="EN185" s="373">
        <v>0</v>
      </c>
      <c r="EO185" s="373">
        <v>0</v>
      </c>
      <c r="EP185" s="373">
        <v>0</v>
      </c>
      <c r="EQ185" s="373">
        <v>0</v>
      </c>
      <c r="ER185" s="373">
        <v>0</v>
      </c>
      <c r="ES185" s="374">
        <v>0</v>
      </c>
      <c r="ET185" s="373">
        <v>0</v>
      </c>
      <c r="EU185" s="373">
        <v>0</v>
      </c>
      <c r="EV185" s="373">
        <v>0</v>
      </c>
      <c r="EW185" s="373">
        <v>0</v>
      </c>
      <c r="EX185" s="373">
        <v>0</v>
      </c>
      <c r="EY185" s="375">
        <f t="shared" si="294"/>
        <v>0</v>
      </c>
      <c r="EZ185" s="164">
        <v>0</v>
      </c>
      <c r="FA185" s="185">
        <v>0</v>
      </c>
    </row>
    <row r="186" spans="1:157" ht="18.75" hidden="1" customHeight="1" outlineLevel="1">
      <c r="A186" s="185" t="s">
        <v>617</v>
      </c>
      <c r="B186" s="774"/>
      <c r="C186" s="176" t="s">
        <v>981</v>
      </c>
      <c r="D186" s="176">
        <v>61070000</v>
      </c>
      <c r="E186" s="773"/>
      <c r="F186" s="320" t="s">
        <v>670</v>
      </c>
      <c r="G186" s="329"/>
      <c r="H186" s="373"/>
      <c r="I186" s="373"/>
      <c r="J186" s="373"/>
      <c r="K186" s="373"/>
      <c r="L186" s="373"/>
      <c r="M186" s="373"/>
      <c r="N186" s="374"/>
      <c r="O186" s="373"/>
      <c r="P186" s="373"/>
      <c r="Q186" s="373"/>
      <c r="R186" s="373"/>
      <c r="S186" s="373"/>
      <c r="T186" s="375">
        <f t="shared" si="287"/>
        <v>0</v>
      </c>
      <c r="U186" s="776">
        <f t="shared" si="289"/>
        <v>0</v>
      </c>
      <c r="V186" s="775" t="e">
        <f t="shared" si="290"/>
        <v>#DIV/0!</v>
      </c>
      <c r="W186" s="329"/>
      <c r="X186" s="373">
        <v>0</v>
      </c>
      <c r="Y186" s="373">
        <v>0</v>
      </c>
      <c r="Z186" s="373">
        <v>0</v>
      </c>
      <c r="AA186" s="373">
        <v>0</v>
      </c>
      <c r="AB186" s="373">
        <v>0</v>
      </c>
      <c r="AC186" s="373">
        <v>0</v>
      </c>
      <c r="AD186" s="374">
        <v>0</v>
      </c>
      <c r="AE186" s="373">
        <v>0</v>
      </c>
      <c r="AF186" s="373">
        <v>0</v>
      </c>
      <c r="AG186" s="373">
        <v>0</v>
      </c>
      <c r="AH186" s="373">
        <v>0</v>
      </c>
      <c r="AI186" s="373">
        <v>0</v>
      </c>
      <c r="AJ186" s="375">
        <f t="shared" si="288"/>
        <v>0</v>
      </c>
      <c r="AK186" s="329"/>
      <c r="AL186" s="373">
        <v>0</v>
      </c>
      <c r="AM186" s="373">
        <v>0</v>
      </c>
      <c r="AN186" s="373">
        <v>0</v>
      </c>
      <c r="AO186" s="373">
        <v>0</v>
      </c>
      <c r="AP186" s="373">
        <v>0</v>
      </c>
      <c r="AQ186" s="373">
        <v>0</v>
      </c>
      <c r="AR186" s="374">
        <v>0</v>
      </c>
      <c r="AS186" s="373">
        <v>0</v>
      </c>
      <c r="AT186" s="373">
        <v>0</v>
      </c>
      <c r="AU186" s="373">
        <v>0</v>
      </c>
      <c r="AV186" s="373">
        <v>0</v>
      </c>
      <c r="AW186" s="373">
        <v>0</v>
      </c>
      <c r="AX186" s="375">
        <v>0</v>
      </c>
      <c r="AY186" s="776">
        <f t="shared" si="291"/>
        <v>0</v>
      </c>
      <c r="AZ186" s="775" t="e">
        <f t="shared" si="292"/>
        <v>#DIV/0!</v>
      </c>
      <c r="BA186" s="329"/>
      <c r="BB186" s="373">
        <v>0</v>
      </c>
      <c r="BC186" s="373">
        <v>0</v>
      </c>
      <c r="BD186" s="373">
        <v>0</v>
      </c>
      <c r="BE186" s="373">
        <v>0</v>
      </c>
      <c r="BF186" s="373">
        <v>0</v>
      </c>
      <c r="BG186" s="373">
        <v>0</v>
      </c>
      <c r="BH186" s="374">
        <v>0</v>
      </c>
      <c r="BI186" s="373">
        <v>0</v>
      </c>
      <c r="BJ186" s="373">
        <v>0</v>
      </c>
      <c r="BK186" s="373">
        <v>0</v>
      </c>
      <c r="BL186" s="373">
        <v>0</v>
      </c>
      <c r="BM186" s="373">
        <v>0</v>
      </c>
      <c r="BN186" s="402">
        <f t="shared" si="295"/>
        <v>0</v>
      </c>
      <c r="BO186" s="329"/>
      <c r="BP186" s="374">
        <v>0</v>
      </c>
      <c r="BQ186" s="374">
        <v>0</v>
      </c>
      <c r="BR186" s="374">
        <v>0</v>
      </c>
      <c r="BS186" s="374">
        <v>0</v>
      </c>
      <c r="BT186" s="374">
        <v>0</v>
      </c>
      <c r="BU186" s="374">
        <v>0</v>
      </c>
      <c r="BV186" s="374">
        <v>0</v>
      </c>
      <c r="BW186" s="374">
        <v>0</v>
      </c>
      <c r="BX186" s="374">
        <v>0</v>
      </c>
      <c r="BY186" s="374">
        <v>0</v>
      </c>
      <c r="BZ186" s="374">
        <v>0</v>
      </c>
      <c r="CA186" s="374">
        <v>0</v>
      </c>
      <c r="CB186" s="402">
        <f t="shared" si="282"/>
        <v>0</v>
      </c>
      <c r="CC186" s="776">
        <f t="shared" si="274"/>
        <v>0</v>
      </c>
      <c r="CD186" s="775" t="str">
        <f t="shared" si="275"/>
        <v>N/A</v>
      </c>
      <c r="CE186" s="772"/>
      <c r="CF186" s="374">
        <v>0</v>
      </c>
      <c r="CG186" s="374">
        <v>0</v>
      </c>
      <c r="CH186" s="374">
        <v>0</v>
      </c>
      <c r="CI186" s="374">
        <v>0</v>
      </c>
      <c r="CJ186" s="374">
        <v>0</v>
      </c>
      <c r="CK186" s="374">
        <v>0</v>
      </c>
      <c r="CL186" s="374">
        <v>0</v>
      </c>
      <c r="CM186" s="374">
        <v>0</v>
      </c>
      <c r="CN186" s="374">
        <v>0</v>
      </c>
      <c r="CO186" s="374">
        <v>0</v>
      </c>
      <c r="CP186" s="374">
        <v>0</v>
      </c>
      <c r="CQ186" s="374">
        <v>0</v>
      </c>
      <c r="CR186" s="374">
        <v>0</v>
      </c>
      <c r="CS186" s="402">
        <f t="shared" si="276"/>
        <v>0</v>
      </c>
      <c r="CT186" s="776">
        <f t="shared" si="277"/>
        <v>0</v>
      </c>
      <c r="CU186" s="165" t="str">
        <f t="shared" si="278"/>
        <v>N/A</v>
      </c>
      <c r="CV186" s="329"/>
      <c r="CW186" s="373">
        <v>0</v>
      </c>
      <c r="CX186" s="373">
        <v>0</v>
      </c>
      <c r="CY186" s="373">
        <v>0</v>
      </c>
      <c r="CZ186" s="373">
        <v>0</v>
      </c>
      <c r="DA186" s="373">
        <v>0</v>
      </c>
      <c r="DB186" s="373">
        <v>0</v>
      </c>
      <c r="DC186" s="374">
        <v>0</v>
      </c>
      <c r="DD186" s="373">
        <v>0</v>
      </c>
      <c r="DE186" s="373">
        <v>0</v>
      </c>
      <c r="DF186" s="373">
        <v>0</v>
      </c>
      <c r="DG186" s="373">
        <v>0</v>
      </c>
      <c r="DH186" s="373">
        <v>0</v>
      </c>
      <c r="DI186" s="375">
        <f t="shared" si="279"/>
        <v>0</v>
      </c>
      <c r="DJ186" s="329"/>
      <c r="DK186" s="373">
        <v>0</v>
      </c>
      <c r="DL186" s="373">
        <v>0</v>
      </c>
      <c r="DM186" s="373">
        <v>0</v>
      </c>
      <c r="DN186" s="373">
        <v>0</v>
      </c>
      <c r="DO186" s="373">
        <v>0</v>
      </c>
      <c r="DP186" s="373">
        <v>0</v>
      </c>
      <c r="DQ186" s="374">
        <v>0</v>
      </c>
      <c r="DR186" s="373">
        <v>0</v>
      </c>
      <c r="DS186" s="373">
        <v>0</v>
      </c>
      <c r="DT186" s="373">
        <v>0</v>
      </c>
      <c r="DU186" s="373">
        <v>0</v>
      </c>
      <c r="DV186" s="373">
        <v>0</v>
      </c>
      <c r="DW186" s="375">
        <f t="shared" si="280"/>
        <v>0</v>
      </c>
      <c r="DY186" s="373">
        <v>0</v>
      </c>
      <c r="DZ186" s="373">
        <v>0</v>
      </c>
      <c r="EA186" s="373">
        <v>0</v>
      </c>
      <c r="EB186" s="373">
        <v>0</v>
      </c>
      <c r="EC186" s="373">
        <v>0</v>
      </c>
      <c r="ED186" s="373">
        <v>0</v>
      </c>
      <c r="EE186" s="374">
        <v>0</v>
      </c>
      <c r="EF186" s="373">
        <v>0</v>
      </c>
      <c r="EG186" s="373">
        <v>0</v>
      </c>
      <c r="EH186" s="373">
        <v>0</v>
      </c>
      <c r="EI186" s="373">
        <v>0</v>
      </c>
      <c r="EJ186" s="373">
        <v>0</v>
      </c>
      <c r="EK186" s="375">
        <f t="shared" si="293"/>
        <v>0</v>
      </c>
      <c r="EL186" s="177"/>
      <c r="EM186" s="373">
        <v>0</v>
      </c>
      <c r="EN186" s="373">
        <v>0</v>
      </c>
      <c r="EO186" s="373">
        <v>0</v>
      </c>
      <c r="EP186" s="373">
        <v>0</v>
      </c>
      <c r="EQ186" s="373">
        <v>0</v>
      </c>
      <c r="ER186" s="373">
        <v>0</v>
      </c>
      <c r="ES186" s="374">
        <v>0</v>
      </c>
      <c r="ET186" s="373">
        <v>0</v>
      </c>
      <c r="EU186" s="373">
        <v>0</v>
      </c>
      <c r="EV186" s="373">
        <v>0</v>
      </c>
      <c r="EW186" s="373">
        <v>0</v>
      </c>
      <c r="EX186" s="373">
        <v>0</v>
      </c>
      <c r="EY186" s="375">
        <f t="shared" si="294"/>
        <v>0</v>
      </c>
      <c r="EZ186" s="164">
        <v>0</v>
      </c>
      <c r="FA186" s="185">
        <v>0</v>
      </c>
    </row>
    <row r="187" spans="1:157" ht="18.75" hidden="1" customHeight="1" outlineLevel="1">
      <c r="A187" s="185" t="s">
        <v>617</v>
      </c>
      <c r="B187" s="774"/>
      <c r="C187" s="176" t="s">
        <v>980</v>
      </c>
      <c r="D187" s="176">
        <v>61080000</v>
      </c>
      <c r="E187" s="773"/>
      <c r="F187" s="320" t="s">
        <v>671</v>
      </c>
      <c r="G187" s="329"/>
      <c r="H187" s="373"/>
      <c r="I187" s="373"/>
      <c r="J187" s="373"/>
      <c r="K187" s="373"/>
      <c r="L187" s="373"/>
      <c r="M187" s="373"/>
      <c r="N187" s="374"/>
      <c r="O187" s="373"/>
      <c r="P187" s="373"/>
      <c r="Q187" s="373"/>
      <c r="R187" s="373"/>
      <c r="S187" s="373"/>
      <c r="T187" s="375">
        <f t="shared" si="287"/>
        <v>0</v>
      </c>
      <c r="U187" s="776">
        <f t="shared" si="289"/>
        <v>0</v>
      </c>
      <c r="V187" s="775" t="e">
        <f t="shared" si="290"/>
        <v>#DIV/0!</v>
      </c>
      <c r="W187" s="329"/>
      <c r="X187" s="373">
        <v>0</v>
      </c>
      <c r="Y187" s="373">
        <v>0</v>
      </c>
      <c r="Z187" s="373">
        <v>0</v>
      </c>
      <c r="AA187" s="373">
        <v>0</v>
      </c>
      <c r="AB187" s="373">
        <v>0</v>
      </c>
      <c r="AC187" s="373">
        <v>0</v>
      </c>
      <c r="AD187" s="374">
        <v>0</v>
      </c>
      <c r="AE187" s="373">
        <v>0</v>
      </c>
      <c r="AF187" s="373">
        <v>0</v>
      </c>
      <c r="AG187" s="373">
        <v>0</v>
      </c>
      <c r="AH187" s="373">
        <v>0</v>
      </c>
      <c r="AI187" s="373">
        <v>0</v>
      </c>
      <c r="AJ187" s="375">
        <f t="shared" si="288"/>
        <v>0</v>
      </c>
      <c r="AK187" s="329"/>
      <c r="AL187" s="373">
        <v>0</v>
      </c>
      <c r="AM187" s="373">
        <v>0</v>
      </c>
      <c r="AN187" s="373">
        <v>0</v>
      </c>
      <c r="AO187" s="373">
        <v>0</v>
      </c>
      <c r="AP187" s="373">
        <v>0</v>
      </c>
      <c r="AQ187" s="373">
        <v>0</v>
      </c>
      <c r="AR187" s="374">
        <v>0</v>
      </c>
      <c r="AS187" s="373">
        <v>0</v>
      </c>
      <c r="AT187" s="373">
        <v>0</v>
      </c>
      <c r="AU187" s="373">
        <v>0</v>
      </c>
      <c r="AV187" s="373">
        <v>0</v>
      </c>
      <c r="AW187" s="373">
        <v>0</v>
      </c>
      <c r="AX187" s="375">
        <v>0</v>
      </c>
      <c r="AY187" s="776">
        <f t="shared" si="291"/>
        <v>0</v>
      </c>
      <c r="AZ187" s="775" t="e">
        <f t="shared" si="292"/>
        <v>#DIV/0!</v>
      </c>
      <c r="BA187" s="329"/>
      <c r="BB187" s="373">
        <v>0</v>
      </c>
      <c r="BC187" s="373">
        <v>0</v>
      </c>
      <c r="BD187" s="373">
        <v>0</v>
      </c>
      <c r="BE187" s="373">
        <v>0</v>
      </c>
      <c r="BF187" s="373">
        <v>0</v>
      </c>
      <c r="BG187" s="373">
        <v>0</v>
      </c>
      <c r="BH187" s="374">
        <v>0</v>
      </c>
      <c r="BI187" s="373">
        <v>0</v>
      </c>
      <c r="BJ187" s="373">
        <v>0</v>
      </c>
      <c r="BK187" s="373">
        <v>0</v>
      </c>
      <c r="BL187" s="373">
        <v>0</v>
      </c>
      <c r="BM187" s="373">
        <v>0</v>
      </c>
      <c r="BN187" s="402">
        <f t="shared" si="295"/>
        <v>0</v>
      </c>
      <c r="BO187" s="329"/>
      <c r="BP187" s="374">
        <v>0</v>
      </c>
      <c r="BQ187" s="374">
        <v>0</v>
      </c>
      <c r="BR187" s="374">
        <v>0</v>
      </c>
      <c r="BS187" s="374">
        <v>0</v>
      </c>
      <c r="BT187" s="374">
        <v>0</v>
      </c>
      <c r="BU187" s="374">
        <v>0</v>
      </c>
      <c r="BV187" s="374">
        <v>0</v>
      </c>
      <c r="BW187" s="374">
        <v>0</v>
      </c>
      <c r="BX187" s="374">
        <v>0</v>
      </c>
      <c r="BY187" s="374">
        <v>0</v>
      </c>
      <c r="BZ187" s="374">
        <v>0</v>
      </c>
      <c r="CA187" s="374">
        <v>0</v>
      </c>
      <c r="CB187" s="402">
        <f t="shared" si="282"/>
        <v>0</v>
      </c>
      <c r="CC187" s="776">
        <f t="shared" si="274"/>
        <v>0</v>
      </c>
      <c r="CD187" s="775" t="str">
        <f t="shared" si="275"/>
        <v>N/A</v>
      </c>
      <c r="CE187" s="772"/>
      <c r="CF187" s="374">
        <v>0</v>
      </c>
      <c r="CG187" s="374">
        <v>0</v>
      </c>
      <c r="CH187" s="374">
        <v>0</v>
      </c>
      <c r="CI187" s="374">
        <v>0</v>
      </c>
      <c r="CJ187" s="374">
        <v>0</v>
      </c>
      <c r="CK187" s="374">
        <v>0</v>
      </c>
      <c r="CL187" s="374">
        <v>0</v>
      </c>
      <c r="CM187" s="374">
        <v>0</v>
      </c>
      <c r="CN187" s="374">
        <v>0</v>
      </c>
      <c r="CO187" s="374">
        <v>0</v>
      </c>
      <c r="CP187" s="374">
        <v>0</v>
      </c>
      <c r="CQ187" s="374">
        <v>0</v>
      </c>
      <c r="CR187" s="374">
        <v>0</v>
      </c>
      <c r="CS187" s="402">
        <f t="shared" si="276"/>
        <v>0</v>
      </c>
      <c r="CT187" s="776">
        <f t="shared" si="277"/>
        <v>0</v>
      </c>
      <c r="CU187" s="165" t="str">
        <f t="shared" si="278"/>
        <v>N/A</v>
      </c>
      <c r="CV187" s="329"/>
      <c r="CW187" s="373">
        <v>0</v>
      </c>
      <c r="CX187" s="373">
        <v>0</v>
      </c>
      <c r="CY187" s="373">
        <v>0</v>
      </c>
      <c r="CZ187" s="373">
        <v>0</v>
      </c>
      <c r="DA187" s="373">
        <v>0</v>
      </c>
      <c r="DB187" s="373">
        <v>0</v>
      </c>
      <c r="DC187" s="374">
        <v>0</v>
      </c>
      <c r="DD187" s="373">
        <v>0</v>
      </c>
      <c r="DE187" s="373">
        <v>0</v>
      </c>
      <c r="DF187" s="373">
        <v>0</v>
      </c>
      <c r="DG187" s="373">
        <v>0</v>
      </c>
      <c r="DH187" s="373">
        <v>0</v>
      </c>
      <c r="DI187" s="375">
        <f t="shared" si="279"/>
        <v>0</v>
      </c>
      <c r="DJ187" s="329"/>
      <c r="DK187" s="373">
        <v>0</v>
      </c>
      <c r="DL187" s="373">
        <v>0</v>
      </c>
      <c r="DM187" s="373">
        <v>0</v>
      </c>
      <c r="DN187" s="373">
        <v>0</v>
      </c>
      <c r="DO187" s="373">
        <v>0</v>
      </c>
      <c r="DP187" s="373">
        <v>0</v>
      </c>
      <c r="DQ187" s="374">
        <v>0</v>
      </c>
      <c r="DR187" s="373">
        <v>0</v>
      </c>
      <c r="DS187" s="373">
        <v>0</v>
      </c>
      <c r="DT187" s="373">
        <v>0</v>
      </c>
      <c r="DU187" s="373">
        <v>0</v>
      </c>
      <c r="DV187" s="373">
        <v>0</v>
      </c>
      <c r="DW187" s="375">
        <f t="shared" si="280"/>
        <v>0</v>
      </c>
      <c r="DY187" s="373">
        <v>0</v>
      </c>
      <c r="DZ187" s="373">
        <v>0</v>
      </c>
      <c r="EA187" s="373">
        <v>0</v>
      </c>
      <c r="EB187" s="373">
        <v>0</v>
      </c>
      <c r="EC187" s="373">
        <v>0</v>
      </c>
      <c r="ED187" s="373">
        <v>0</v>
      </c>
      <c r="EE187" s="374">
        <v>0</v>
      </c>
      <c r="EF187" s="373">
        <v>0</v>
      </c>
      <c r="EG187" s="373">
        <v>0</v>
      </c>
      <c r="EH187" s="373">
        <v>0</v>
      </c>
      <c r="EI187" s="373">
        <v>0</v>
      </c>
      <c r="EJ187" s="373">
        <v>0</v>
      </c>
      <c r="EK187" s="375">
        <f t="shared" si="293"/>
        <v>0</v>
      </c>
      <c r="EL187" s="177"/>
      <c r="EM187" s="373">
        <v>0</v>
      </c>
      <c r="EN187" s="373">
        <v>0</v>
      </c>
      <c r="EO187" s="373">
        <v>0</v>
      </c>
      <c r="EP187" s="373">
        <v>0</v>
      </c>
      <c r="EQ187" s="373">
        <v>0</v>
      </c>
      <c r="ER187" s="373">
        <v>0</v>
      </c>
      <c r="ES187" s="374">
        <v>0</v>
      </c>
      <c r="ET187" s="373">
        <v>0</v>
      </c>
      <c r="EU187" s="373">
        <v>0</v>
      </c>
      <c r="EV187" s="373">
        <v>0</v>
      </c>
      <c r="EW187" s="373">
        <v>0</v>
      </c>
      <c r="EX187" s="373">
        <v>0</v>
      </c>
      <c r="EY187" s="375">
        <f t="shared" si="294"/>
        <v>0</v>
      </c>
      <c r="EZ187" s="164">
        <v>0</v>
      </c>
      <c r="FA187" s="185">
        <v>0</v>
      </c>
    </row>
    <row r="188" spans="1:157" ht="18.75" customHeight="1" collapsed="1">
      <c r="A188" s="185" t="s">
        <v>617</v>
      </c>
      <c r="B188" s="774"/>
      <c r="C188" s="176" t="s">
        <v>979</v>
      </c>
      <c r="D188" s="176">
        <v>61400000</v>
      </c>
      <c r="E188" s="773"/>
      <c r="F188" s="320" t="s">
        <v>672</v>
      </c>
      <c r="G188" s="329"/>
      <c r="H188" s="373"/>
      <c r="I188" s="373"/>
      <c r="J188" s="373"/>
      <c r="K188" s="373"/>
      <c r="L188" s="373"/>
      <c r="M188" s="373"/>
      <c r="N188" s="374"/>
      <c r="O188" s="373"/>
      <c r="P188" s="373"/>
      <c r="Q188" s="373"/>
      <c r="R188" s="373"/>
      <c r="S188" s="373"/>
      <c r="T188" s="375">
        <f t="shared" si="287"/>
        <v>0</v>
      </c>
      <c r="U188" s="776">
        <f t="shared" si="289"/>
        <v>0</v>
      </c>
      <c r="V188" s="775" t="e">
        <f t="shared" si="290"/>
        <v>#DIV/0!</v>
      </c>
      <c r="W188" s="329"/>
      <c r="X188" s="373">
        <v>0</v>
      </c>
      <c r="Y188" s="373">
        <v>0</v>
      </c>
      <c r="Z188" s="373">
        <v>0</v>
      </c>
      <c r="AA188" s="373">
        <v>0</v>
      </c>
      <c r="AB188" s="373">
        <v>0</v>
      </c>
      <c r="AC188" s="373">
        <v>0</v>
      </c>
      <c r="AD188" s="374">
        <v>0</v>
      </c>
      <c r="AE188" s="373">
        <v>0</v>
      </c>
      <c r="AF188" s="373">
        <v>0</v>
      </c>
      <c r="AG188" s="373">
        <v>0</v>
      </c>
      <c r="AH188" s="373">
        <v>0</v>
      </c>
      <c r="AI188" s="373">
        <v>0</v>
      </c>
      <c r="AJ188" s="375">
        <f t="shared" si="288"/>
        <v>0</v>
      </c>
      <c r="AK188" s="329"/>
      <c r="AL188" s="373">
        <v>0</v>
      </c>
      <c r="AM188" s="373">
        <v>0</v>
      </c>
      <c r="AN188" s="373">
        <v>0</v>
      </c>
      <c r="AO188" s="373">
        <v>0</v>
      </c>
      <c r="AP188" s="373">
        <v>0</v>
      </c>
      <c r="AQ188" s="373">
        <v>0</v>
      </c>
      <c r="AR188" s="374">
        <v>0</v>
      </c>
      <c r="AS188" s="373">
        <v>0</v>
      </c>
      <c r="AT188" s="373">
        <v>0</v>
      </c>
      <c r="AU188" s="373">
        <v>0</v>
      </c>
      <c r="AV188" s="373">
        <v>0</v>
      </c>
      <c r="AW188" s="373">
        <v>0</v>
      </c>
      <c r="AX188" s="375">
        <v>0</v>
      </c>
      <c r="AY188" s="776">
        <f t="shared" si="291"/>
        <v>0</v>
      </c>
      <c r="AZ188" s="775" t="e">
        <f t="shared" si="292"/>
        <v>#DIV/0!</v>
      </c>
      <c r="BA188" s="329"/>
      <c r="BB188" s="373">
        <v>0</v>
      </c>
      <c r="BC188" s="373">
        <v>0</v>
      </c>
      <c r="BD188" s="373">
        <v>0</v>
      </c>
      <c r="BE188" s="373">
        <v>0</v>
      </c>
      <c r="BF188" s="373">
        <v>0</v>
      </c>
      <c r="BG188" s="373">
        <v>0</v>
      </c>
      <c r="BH188" s="374">
        <v>0</v>
      </c>
      <c r="BI188" s="373">
        <v>0</v>
      </c>
      <c r="BJ188" s="373">
        <v>0</v>
      </c>
      <c r="BK188" s="373">
        <v>0</v>
      </c>
      <c r="BL188" s="373">
        <v>0</v>
      </c>
      <c r="BM188" s="373">
        <v>0</v>
      </c>
      <c r="BN188" s="402">
        <f t="shared" si="295"/>
        <v>0</v>
      </c>
      <c r="BO188" s="329"/>
      <c r="BP188" s="374">
        <v>0</v>
      </c>
      <c r="BQ188" s="374">
        <v>0</v>
      </c>
      <c r="BR188" s="374">
        <v>0</v>
      </c>
      <c r="BS188" s="374">
        <v>0</v>
      </c>
      <c r="BT188" s="374">
        <v>0</v>
      </c>
      <c r="BU188" s="374">
        <v>0</v>
      </c>
      <c r="BV188" s="374">
        <v>0</v>
      </c>
      <c r="BW188" s="374">
        <v>0</v>
      </c>
      <c r="BX188" s="374">
        <v>0</v>
      </c>
      <c r="BY188" s="374">
        <v>0</v>
      </c>
      <c r="BZ188" s="374">
        <v>0</v>
      </c>
      <c r="CA188" s="374">
        <v>0</v>
      </c>
      <c r="CB188" s="402">
        <f t="shared" si="282"/>
        <v>0</v>
      </c>
      <c r="CC188" s="776">
        <f t="shared" si="274"/>
        <v>0</v>
      </c>
      <c r="CD188" s="775" t="str">
        <f t="shared" si="275"/>
        <v>N/A</v>
      </c>
      <c r="CE188" s="772"/>
      <c r="CF188" s="374">
        <v>0</v>
      </c>
      <c r="CG188" s="374">
        <v>0</v>
      </c>
      <c r="CH188" s="374">
        <v>0</v>
      </c>
      <c r="CI188" s="374">
        <v>0</v>
      </c>
      <c r="CJ188" s="374">
        <v>0</v>
      </c>
      <c r="CK188" s="374">
        <v>0</v>
      </c>
      <c r="CL188" s="374">
        <v>0</v>
      </c>
      <c r="CM188" s="374">
        <v>0</v>
      </c>
      <c r="CN188" s="374">
        <v>0</v>
      </c>
      <c r="CO188" s="374">
        <v>0</v>
      </c>
      <c r="CP188" s="374">
        <v>0</v>
      </c>
      <c r="CQ188" s="374">
        <v>0</v>
      </c>
      <c r="CR188" s="374">
        <v>0</v>
      </c>
      <c r="CS188" s="402">
        <f t="shared" si="276"/>
        <v>0</v>
      </c>
      <c r="CT188" s="776">
        <f t="shared" si="277"/>
        <v>0</v>
      </c>
      <c r="CU188" s="165" t="str">
        <f t="shared" si="278"/>
        <v>N/A</v>
      </c>
      <c r="CV188" s="329"/>
      <c r="CW188" s="373">
        <v>0</v>
      </c>
      <c r="CX188" s="373">
        <v>0</v>
      </c>
      <c r="CY188" s="373">
        <v>0</v>
      </c>
      <c r="CZ188" s="373">
        <v>0</v>
      </c>
      <c r="DA188" s="373">
        <v>0</v>
      </c>
      <c r="DB188" s="373">
        <v>0</v>
      </c>
      <c r="DC188" s="374">
        <v>0</v>
      </c>
      <c r="DD188" s="373">
        <v>0</v>
      </c>
      <c r="DE188" s="373">
        <v>0</v>
      </c>
      <c r="DF188" s="373">
        <v>0</v>
      </c>
      <c r="DG188" s="373">
        <v>0</v>
      </c>
      <c r="DH188" s="373">
        <v>0</v>
      </c>
      <c r="DI188" s="375">
        <f t="shared" si="279"/>
        <v>0</v>
      </c>
      <c r="DJ188" s="329"/>
      <c r="DK188" s="373">
        <v>0</v>
      </c>
      <c r="DL188" s="373">
        <v>0</v>
      </c>
      <c r="DM188" s="373">
        <v>7767.9</v>
      </c>
      <c r="DN188" s="373">
        <v>1931.36</v>
      </c>
      <c r="DO188" s="373">
        <v>0</v>
      </c>
      <c r="DP188" s="373">
        <v>790.97</v>
      </c>
      <c r="DQ188" s="374">
        <v>0</v>
      </c>
      <c r="DR188" s="373">
        <v>0</v>
      </c>
      <c r="DS188" s="373">
        <v>0</v>
      </c>
      <c r="DT188" s="373">
        <v>0</v>
      </c>
      <c r="DU188" s="373">
        <v>0</v>
      </c>
      <c r="DV188" s="373">
        <v>-181006.37</v>
      </c>
      <c r="DW188" s="375">
        <f t="shared" si="280"/>
        <v>-170516.13999999998</v>
      </c>
      <c r="DY188" s="373">
        <v>0</v>
      </c>
      <c r="DZ188" s="373">
        <v>3804.48</v>
      </c>
      <c r="EA188" s="373">
        <v>152.47</v>
      </c>
      <c r="EB188" s="373">
        <v>0</v>
      </c>
      <c r="EC188" s="373">
        <v>0</v>
      </c>
      <c r="ED188" s="373">
        <v>37091.47</v>
      </c>
      <c r="EE188" s="374">
        <v>7123.31</v>
      </c>
      <c r="EF188" s="373">
        <v>4272.3900000000003</v>
      </c>
      <c r="EG188" s="373">
        <v>0</v>
      </c>
      <c r="EH188" s="373">
        <v>0</v>
      </c>
      <c r="EI188" s="373">
        <v>0</v>
      </c>
      <c r="EJ188" s="373">
        <v>0</v>
      </c>
      <c r="EK188" s="375">
        <f t="shared" si="293"/>
        <v>52444.119999999995</v>
      </c>
      <c r="EL188" s="177"/>
      <c r="EM188" s="373">
        <v>7600</v>
      </c>
      <c r="EN188" s="373">
        <v>0</v>
      </c>
      <c r="EO188" s="373">
        <v>1285.27</v>
      </c>
      <c r="EP188" s="373">
        <v>0</v>
      </c>
      <c r="EQ188" s="373">
        <v>0</v>
      </c>
      <c r="ER188" s="373">
        <v>-1315.5</v>
      </c>
      <c r="ES188" s="374">
        <v>0</v>
      </c>
      <c r="ET188" s="373">
        <v>1370.79</v>
      </c>
      <c r="EU188" s="373">
        <v>8850.5</v>
      </c>
      <c r="EV188" s="373">
        <v>0</v>
      </c>
      <c r="EW188" s="373">
        <v>3225</v>
      </c>
      <c r="EX188" s="373">
        <v>-6617.51</v>
      </c>
      <c r="EY188" s="375">
        <f t="shared" si="294"/>
        <v>14398.550000000001</v>
      </c>
      <c r="EZ188" s="164">
        <v>0</v>
      </c>
      <c r="FA188" s="185">
        <v>0</v>
      </c>
    </row>
    <row r="189" spans="1:157" ht="18.75" customHeight="1">
      <c r="A189" s="185" t="s">
        <v>617</v>
      </c>
      <c r="B189" s="774"/>
      <c r="C189" s="176" t="s">
        <v>978</v>
      </c>
      <c r="D189" s="176">
        <v>61410000</v>
      </c>
      <c r="E189" s="773"/>
      <c r="F189" s="320" t="s">
        <v>673</v>
      </c>
      <c r="G189" s="329"/>
      <c r="H189" s="373"/>
      <c r="I189" s="373"/>
      <c r="J189" s="373"/>
      <c r="K189" s="373"/>
      <c r="L189" s="373"/>
      <c r="M189" s="373"/>
      <c r="N189" s="374"/>
      <c r="O189" s="373"/>
      <c r="P189" s="373"/>
      <c r="Q189" s="373"/>
      <c r="R189" s="373"/>
      <c r="S189" s="373"/>
      <c r="T189" s="375">
        <f t="shared" si="287"/>
        <v>0</v>
      </c>
      <c r="U189" s="378">
        <f t="shared" si="289"/>
        <v>-18576.919999999998</v>
      </c>
      <c r="V189" s="165">
        <f t="shared" si="290"/>
        <v>1</v>
      </c>
      <c r="W189" s="329"/>
      <c r="X189" s="373">
        <v>0</v>
      </c>
      <c r="Y189" s="373">
        <v>0</v>
      </c>
      <c r="Z189" s="373">
        <v>0</v>
      </c>
      <c r="AA189" s="373">
        <v>0</v>
      </c>
      <c r="AB189" s="373">
        <v>2613.08</v>
      </c>
      <c r="AC189" s="373">
        <v>0</v>
      </c>
      <c r="AD189" s="374">
        <v>0</v>
      </c>
      <c r="AE189" s="373">
        <v>0</v>
      </c>
      <c r="AF189" s="373">
        <v>-21190</v>
      </c>
      <c r="AG189" s="373">
        <v>0</v>
      </c>
      <c r="AH189" s="373">
        <v>0</v>
      </c>
      <c r="AI189" s="373">
        <v>0</v>
      </c>
      <c r="AJ189" s="375">
        <f t="shared" si="288"/>
        <v>-18576.919999999998</v>
      </c>
      <c r="AK189" s="329"/>
      <c r="AL189" s="373">
        <v>0</v>
      </c>
      <c r="AM189" s="373">
        <v>0</v>
      </c>
      <c r="AN189" s="373">
        <v>0</v>
      </c>
      <c r="AO189" s="373">
        <v>0</v>
      </c>
      <c r="AP189" s="373">
        <v>0</v>
      </c>
      <c r="AQ189" s="373">
        <v>0</v>
      </c>
      <c r="AR189" s="374">
        <v>0</v>
      </c>
      <c r="AS189" s="373">
        <v>0</v>
      </c>
      <c r="AT189" s="373">
        <v>0</v>
      </c>
      <c r="AU189" s="373">
        <v>0</v>
      </c>
      <c r="AV189" s="373">
        <v>0</v>
      </c>
      <c r="AW189" s="373">
        <v>0</v>
      </c>
      <c r="AX189" s="375">
        <v>0</v>
      </c>
      <c r="AY189" s="378">
        <f t="shared" si="291"/>
        <v>137883.6</v>
      </c>
      <c r="AZ189" s="165">
        <f t="shared" si="292"/>
        <v>1</v>
      </c>
      <c r="BA189" s="329"/>
      <c r="BB189" s="373">
        <v>0</v>
      </c>
      <c r="BC189" s="373">
        <v>0</v>
      </c>
      <c r="BD189" s="373">
        <v>0</v>
      </c>
      <c r="BE189" s="373">
        <v>0</v>
      </c>
      <c r="BF189" s="373">
        <v>0</v>
      </c>
      <c r="BG189" s="373">
        <v>306.8</v>
      </c>
      <c r="BH189" s="374">
        <v>0</v>
      </c>
      <c r="BI189" s="373">
        <v>6622.8</v>
      </c>
      <c r="BJ189" s="373">
        <v>0</v>
      </c>
      <c r="BK189" s="373">
        <v>3647.8</v>
      </c>
      <c r="BL189" s="373">
        <v>0</v>
      </c>
      <c r="BM189" s="373">
        <v>127306.2</v>
      </c>
      <c r="BN189" s="402">
        <v>137883.6</v>
      </c>
      <c r="BO189" s="329"/>
      <c r="BP189" s="374">
        <v>0</v>
      </c>
      <c r="BQ189" s="374">
        <v>0</v>
      </c>
      <c r="BR189" s="374">
        <v>0</v>
      </c>
      <c r="BS189" s="374">
        <v>0</v>
      </c>
      <c r="BT189" s="374">
        <v>0</v>
      </c>
      <c r="BU189" s="374">
        <v>0</v>
      </c>
      <c r="BV189" s="374">
        <v>0</v>
      </c>
      <c r="BW189" s="374">
        <v>0</v>
      </c>
      <c r="BX189" s="374">
        <v>0</v>
      </c>
      <c r="BY189" s="374">
        <v>0</v>
      </c>
      <c r="BZ189" s="374">
        <v>0</v>
      </c>
      <c r="CA189" s="374">
        <v>0</v>
      </c>
      <c r="CB189" s="402">
        <f t="shared" si="282"/>
        <v>0</v>
      </c>
      <c r="CC189" s="776">
        <f t="shared" si="274"/>
        <v>-137883.6</v>
      </c>
      <c r="CD189" s="775" t="str">
        <f t="shared" si="275"/>
        <v>N/A</v>
      </c>
      <c r="CE189" s="772"/>
      <c r="CF189" s="374">
        <v>0</v>
      </c>
      <c r="CG189" s="374">
        <v>0</v>
      </c>
      <c r="CH189" s="374">
        <v>60654.3</v>
      </c>
      <c r="CI189" s="374">
        <v>0</v>
      </c>
      <c r="CJ189" s="374">
        <v>-90000</v>
      </c>
      <c r="CK189" s="374">
        <v>0</v>
      </c>
      <c r="CL189" s="374">
        <v>0</v>
      </c>
      <c r="CM189" s="374">
        <v>5882.55</v>
      </c>
      <c r="CN189" s="374">
        <v>0</v>
      </c>
      <c r="CO189" s="374">
        <v>0</v>
      </c>
      <c r="CP189" s="374">
        <v>0</v>
      </c>
      <c r="CQ189" s="374">
        <v>0</v>
      </c>
      <c r="CR189" s="374">
        <v>0</v>
      </c>
      <c r="CS189" s="402">
        <f t="shared" si="276"/>
        <v>-23463.149999999998</v>
      </c>
      <c r="CT189" s="776">
        <f t="shared" si="277"/>
        <v>-161346.75</v>
      </c>
      <c r="CU189" s="165">
        <f t="shared" si="278"/>
        <v>6.8766022465014291</v>
      </c>
      <c r="CV189" s="329"/>
      <c r="CW189" s="373">
        <v>0</v>
      </c>
      <c r="CX189" s="373">
        <v>0</v>
      </c>
      <c r="CY189" s="373">
        <v>0</v>
      </c>
      <c r="CZ189" s="373">
        <v>0</v>
      </c>
      <c r="DA189" s="373">
        <v>0</v>
      </c>
      <c r="DB189" s="373">
        <v>0</v>
      </c>
      <c r="DC189" s="374">
        <v>0</v>
      </c>
      <c r="DD189" s="373">
        <v>0</v>
      </c>
      <c r="DE189" s="373">
        <v>0</v>
      </c>
      <c r="DF189" s="373">
        <v>74541.210000000006</v>
      </c>
      <c r="DG189" s="373">
        <v>574</v>
      </c>
      <c r="DH189" s="373">
        <v>-38931.69</v>
      </c>
      <c r="DI189" s="375">
        <f t="shared" si="279"/>
        <v>36183.520000000004</v>
      </c>
      <c r="DJ189" s="329"/>
      <c r="DK189" s="373">
        <v>0</v>
      </c>
      <c r="DL189" s="373">
        <v>0</v>
      </c>
      <c r="DM189" s="373">
        <v>0</v>
      </c>
      <c r="DN189" s="373">
        <v>0</v>
      </c>
      <c r="DO189" s="373">
        <v>0</v>
      </c>
      <c r="DP189" s="373">
        <v>0</v>
      </c>
      <c r="DQ189" s="374">
        <v>0</v>
      </c>
      <c r="DR189" s="373">
        <v>0</v>
      </c>
      <c r="DS189" s="373">
        <v>0</v>
      </c>
      <c r="DT189" s="373">
        <v>0</v>
      </c>
      <c r="DU189" s="373">
        <v>0</v>
      </c>
      <c r="DV189" s="373">
        <v>0</v>
      </c>
      <c r="DW189" s="375">
        <f t="shared" si="280"/>
        <v>0</v>
      </c>
      <c r="DY189" s="373">
        <v>0</v>
      </c>
      <c r="DZ189" s="373">
        <v>0</v>
      </c>
      <c r="EA189" s="373">
        <v>0</v>
      </c>
      <c r="EB189" s="373">
        <v>0</v>
      </c>
      <c r="EC189" s="373">
        <v>0</v>
      </c>
      <c r="ED189" s="373">
        <v>0</v>
      </c>
      <c r="EE189" s="374">
        <v>0</v>
      </c>
      <c r="EF189" s="373">
        <v>0</v>
      </c>
      <c r="EG189" s="373">
        <v>0</v>
      </c>
      <c r="EH189" s="373">
        <v>0</v>
      </c>
      <c r="EI189" s="373">
        <v>0</v>
      </c>
      <c r="EJ189" s="373">
        <v>0</v>
      </c>
      <c r="EK189" s="375">
        <f t="shared" si="293"/>
        <v>0</v>
      </c>
      <c r="EL189" s="177"/>
      <c r="EM189" s="373">
        <v>0</v>
      </c>
      <c r="EN189" s="373">
        <v>0</v>
      </c>
      <c r="EO189" s="373">
        <v>0</v>
      </c>
      <c r="EP189" s="373">
        <v>0</v>
      </c>
      <c r="EQ189" s="373">
        <v>0</v>
      </c>
      <c r="ER189" s="373">
        <v>0</v>
      </c>
      <c r="ES189" s="374">
        <v>0</v>
      </c>
      <c r="ET189" s="373">
        <v>0</v>
      </c>
      <c r="EU189" s="373">
        <v>0</v>
      </c>
      <c r="EV189" s="373">
        <v>0</v>
      </c>
      <c r="EW189" s="373">
        <v>0</v>
      </c>
      <c r="EX189" s="373">
        <v>0</v>
      </c>
      <c r="EY189" s="375">
        <f t="shared" si="294"/>
        <v>0</v>
      </c>
      <c r="EZ189" s="164">
        <v>0</v>
      </c>
      <c r="FA189" s="185">
        <v>0</v>
      </c>
    </row>
    <row r="190" spans="1:157" ht="18.75" customHeight="1">
      <c r="A190" s="185" t="s">
        <v>327</v>
      </c>
      <c r="B190" s="774"/>
      <c r="C190" s="176" t="s">
        <v>977</v>
      </c>
      <c r="D190" s="176">
        <v>63101000</v>
      </c>
      <c r="E190" s="773"/>
      <c r="F190" s="320" t="s">
        <v>674</v>
      </c>
      <c r="G190" s="329"/>
      <c r="H190" s="373"/>
      <c r="I190" s="373"/>
      <c r="J190" s="373"/>
      <c r="K190" s="373"/>
      <c r="L190" s="373"/>
      <c r="M190" s="373"/>
      <c r="N190" s="374"/>
      <c r="O190" s="373"/>
      <c r="P190" s="373"/>
      <c r="Q190" s="373"/>
      <c r="R190" s="373"/>
      <c r="S190" s="377">
        <v>676580.77759007434</v>
      </c>
      <c r="T190" s="375">
        <f t="shared" si="287"/>
        <v>676580.77759007434</v>
      </c>
      <c r="U190" s="378">
        <f t="shared" si="289"/>
        <v>-303722.80759007437</v>
      </c>
      <c r="V190" s="165">
        <f t="shared" si="290"/>
        <v>-0.81458043552099579</v>
      </c>
      <c r="W190" s="329"/>
      <c r="X190" s="373">
        <v>0</v>
      </c>
      <c r="Y190" s="373">
        <v>0</v>
      </c>
      <c r="Z190" s="373">
        <v>0</v>
      </c>
      <c r="AA190" s="373">
        <v>0</v>
      </c>
      <c r="AB190" s="373">
        <v>0</v>
      </c>
      <c r="AC190" s="373">
        <v>0</v>
      </c>
      <c r="AD190" s="374">
        <v>150000</v>
      </c>
      <c r="AE190" s="373">
        <v>-20806.16</v>
      </c>
      <c r="AF190" s="373">
        <v>0</v>
      </c>
      <c r="AG190" s="373">
        <v>0</v>
      </c>
      <c r="AH190" s="373">
        <v>0</v>
      </c>
      <c r="AI190" s="373">
        <v>243664.13</v>
      </c>
      <c r="AJ190" s="375">
        <f t="shared" si="288"/>
        <v>372857.97</v>
      </c>
      <c r="AK190" s="329"/>
      <c r="AL190" s="373">
        <v>0</v>
      </c>
      <c r="AM190" s="373">
        <v>0</v>
      </c>
      <c r="AN190" s="373">
        <v>0</v>
      </c>
      <c r="AO190" s="373">
        <v>0</v>
      </c>
      <c r="AP190" s="373">
        <v>0</v>
      </c>
      <c r="AQ190" s="373">
        <v>0</v>
      </c>
      <c r="AR190" s="374">
        <v>0</v>
      </c>
      <c r="AS190" s="373">
        <v>0</v>
      </c>
      <c r="AT190" s="373">
        <v>0</v>
      </c>
      <c r="AU190" s="373">
        <v>0</v>
      </c>
      <c r="AV190" s="373">
        <v>0</v>
      </c>
      <c r="AW190" s="373">
        <v>0</v>
      </c>
      <c r="AX190" s="375">
        <v>0</v>
      </c>
      <c r="AY190" s="378">
        <f t="shared" si="291"/>
        <v>380833.33</v>
      </c>
      <c r="AZ190" s="165">
        <f t="shared" si="292"/>
        <v>1</v>
      </c>
      <c r="BA190" s="329"/>
      <c r="BB190" s="373">
        <v>20833.330000000002</v>
      </c>
      <c r="BC190" s="373">
        <v>0</v>
      </c>
      <c r="BD190" s="373">
        <v>0</v>
      </c>
      <c r="BE190" s="373">
        <v>0</v>
      </c>
      <c r="BF190" s="373">
        <v>0</v>
      </c>
      <c r="BG190" s="373">
        <v>0</v>
      </c>
      <c r="BH190" s="374">
        <v>361500</v>
      </c>
      <c r="BI190" s="373">
        <v>-1500</v>
      </c>
      <c r="BJ190" s="373">
        <v>0</v>
      </c>
      <c r="BK190" s="373">
        <v>0</v>
      </c>
      <c r="BL190" s="373">
        <v>0</v>
      </c>
      <c r="BM190" s="373">
        <v>0</v>
      </c>
      <c r="BN190" s="402">
        <v>380833.33</v>
      </c>
      <c r="BO190" s="329"/>
      <c r="BP190" s="374">
        <v>108333.33333333334</v>
      </c>
      <c r="BQ190" s="374">
        <v>108333.33333333334</v>
      </c>
      <c r="BR190" s="374">
        <v>108333.33333333334</v>
      </c>
      <c r="BS190" s="374">
        <v>108333.33333333334</v>
      </c>
      <c r="BT190" s="374">
        <v>108333.33333333334</v>
      </c>
      <c r="BU190" s="374">
        <v>108333.33333333334</v>
      </c>
      <c r="BV190" s="374">
        <v>108333.33333333334</v>
      </c>
      <c r="BW190" s="374">
        <v>108333.33333333334</v>
      </c>
      <c r="BX190" s="374">
        <v>108333.33333333334</v>
      </c>
      <c r="BY190" s="374">
        <v>108333.33333333334</v>
      </c>
      <c r="BZ190" s="374">
        <v>108333.33333333334</v>
      </c>
      <c r="CA190" s="374">
        <v>108333.33333333337</v>
      </c>
      <c r="CB190" s="402">
        <f t="shared" si="282"/>
        <v>1300000</v>
      </c>
      <c r="CC190" s="776">
        <f t="shared" si="274"/>
        <v>919166.66999999993</v>
      </c>
      <c r="CD190" s="775">
        <f t="shared" si="275"/>
        <v>0.70705128461538458</v>
      </c>
      <c r="CE190" s="772"/>
      <c r="CF190" s="374">
        <v>0</v>
      </c>
      <c r="CG190" s="374">
        <v>-24582.17</v>
      </c>
      <c r="CH190" s="374">
        <v>93750</v>
      </c>
      <c r="CI190" s="374">
        <v>187500</v>
      </c>
      <c r="CJ190" s="374">
        <v>0</v>
      </c>
      <c r="CK190" s="374">
        <v>62500</v>
      </c>
      <c r="CL190" s="374">
        <v>62500</v>
      </c>
      <c r="CM190" s="374">
        <v>145833.32999999999</v>
      </c>
      <c r="CN190" s="374">
        <v>145833.32999999999</v>
      </c>
      <c r="CO190" s="374">
        <v>41666.67</v>
      </c>
      <c r="CP190" s="374">
        <v>166666.66</v>
      </c>
      <c r="CQ190" s="374">
        <v>179166.66</v>
      </c>
      <c r="CR190" s="374">
        <v>0</v>
      </c>
      <c r="CS190" s="402">
        <f t="shared" si="276"/>
        <v>1060834.48</v>
      </c>
      <c r="CT190" s="776">
        <f t="shared" si="277"/>
        <v>680001.14999999991</v>
      </c>
      <c r="CU190" s="165">
        <f t="shared" si="278"/>
        <v>0.64100589000463104</v>
      </c>
      <c r="CV190" s="329"/>
      <c r="CW190" s="373">
        <v>48500</v>
      </c>
      <c r="CX190" s="373">
        <v>48500</v>
      </c>
      <c r="CY190" s="373">
        <v>48500</v>
      </c>
      <c r="CZ190" s="373">
        <v>190796.33</v>
      </c>
      <c r="DA190" s="373">
        <v>48500</v>
      </c>
      <c r="DB190" s="373">
        <v>0</v>
      </c>
      <c r="DC190" s="374">
        <v>257241.57</v>
      </c>
      <c r="DD190" s="373">
        <v>282706.34999999998</v>
      </c>
      <c r="DE190" s="373">
        <v>0</v>
      </c>
      <c r="DF190" s="373">
        <v>-7452.56</v>
      </c>
      <c r="DG190" s="373">
        <v>12446.18</v>
      </c>
      <c r="DH190" s="373">
        <v>279582.45</v>
      </c>
      <c r="DI190" s="375">
        <f t="shared" si="279"/>
        <v>1209320.3199999998</v>
      </c>
      <c r="DJ190" s="329"/>
      <c r="DK190" s="373">
        <v>110347.43</v>
      </c>
      <c r="DL190" s="373">
        <v>65430.37</v>
      </c>
      <c r="DM190" s="373">
        <v>81876.38</v>
      </c>
      <c r="DN190" s="373">
        <v>0</v>
      </c>
      <c r="DO190" s="373">
        <v>166152.15</v>
      </c>
      <c r="DP190" s="373">
        <v>86419.88</v>
      </c>
      <c r="DQ190" s="374">
        <v>48500</v>
      </c>
      <c r="DR190" s="373">
        <v>208362.31</v>
      </c>
      <c r="DS190" s="373">
        <v>144003.85999999999</v>
      </c>
      <c r="DT190" s="373">
        <v>60053.49</v>
      </c>
      <c r="DU190" s="373">
        <v>125071.22</v>
      </c>
      <c r="DV190" s="373">
        <v>137626.76999999999</v>
      </c>
      <c r="DW190" s="375">
        <f t="shared" si="280"/>
        <v>1233843.8600000001</v>
      </c>
      <c r="DY190" s="373">
        <v>0</v>
      </c>
      <c r="DZ190" s="373">
        <v>0</v>
      </c>
      <c r="EA190" s="373">
        <v>0</v>
      </c>
      <c r="EB190" s="373">
        <v>0</v>
      </c>
      <c r="EC190" s="373">
        <v>0</v>
      </c>
      <c r="ED190" s="373">
        <v>0</v>
      </c>
      <c r="EE190" s="374">
        <v>0</v>
      </c>
      <c r="EF190" s="373">
        <v>70000</v>
      </c>
      <c r="EG190" s="373">
        <v>0</v>
      </c>
      <c r="EH190" s="373">
        <v>0</v>
      </c>
      <c r="EI190" s="373">
        <v>0</v>
      </c>
      <c r="EJ190" s="373">
        <v>-2.83</v>
      </c>
      <c r="EK190" s="375">
        <f t="shared" si="293"/>
        <v>69997.17</v>
      </c>
      <c r="EL190" s="177"/>
      <c r="EM190" s="373">
        <v>0</v>
      </c>
      <c r="EN190" s="373">
        <v>0</v>
      </c>
      <c r="EO190" s="373">
        <v>0</v>
      </c>
      <c r="EP190" s="373">
        <v>0</v>
      </c>
      <c r="EQ190" s="373">
        <v>0</v>
      </c>
      <c r="ER190" s="373">
        <v>0</v>
      </c>
      <c r="ES190" s="374">
        <v>0</v>
      </c>
      <c r="ET190" s="373">
        <v>0</v>
      </c>
      <c r="EU190" s="373">
        <v>0</v>
      </c>
      <c r="EV190" s="373">
        <v>0</v>
      </c>
      <c r="EW190" s="373">
        <v>0</v>
      </c>
      <c r="EX190" s="373">
        <v>0</v>
      </c>
      <c r="EY190" s="375">
        <f t="shared" si="294"/>
        <v>0</v>
      </c>
      <c r="EZ190" s="164">
        <v>0</v>
      </c>
      <c r="FA190" s="185">
        <v>0</v>
      </c>
    </row>
    <row r="191" spans="1:157" ht="18.75" customHeight="1">
      <c r="A191" s="185" t="s">
        <v>327</v>
      </c>
      <c r="B191" s="774"/>
      <c r="C191" s="176" t="s">
        <v>976</v>
      </c>
      <c r="D191" s="176">
        <v>63102000</v>
      </c>
      <c r="E191" s="773"/>
      <c r="F191" s="320" t="s">
        <v>675</v>
      </c>
      <c r="G191" s="329"/>
      <c r="H191" s="373"/>
      <c r="I191" s="373"/>
      <c r="J191" s="373"/>
      <c r="K191" s="373"/>
      <c r="L191" s="373"/>
      <c r="M191" s="373"/>
      <c r="N191" s="374"/>
      <c r="O191" s="373"/>
      <c r="P191" s="373"/>
      <c r="Q191" s="373"/>
      <c r="R191" s="373"/>
      <c r="S191" s="377">
        <v>10855034.774211399</v>
      </c>
      <c r="T191" s="375">
        <f t="shared" si="287"/>
        <v>10855034.774211399</v>
      </c>
      <c r="U191" s="378">
        <f t="shared" si="289"/>
        <v>2094957.0057886001</v>
      </c>
      <c r="V191" s="165">
        <f t="shared" si="290"/>
        <v>0.16177284444489431</v>
      </c>
      <c r="W191" s="329"/>
      <c r="X191" s="373">
        <v>376444.44</v>
      </c>
      <c r="Y191" s="373">
        <v>376444.44</v>
      </c>
      <c r="Z191" s="373">
        <v>639324.68999999994</v>
      </c>
      <c r="AA191" s="373">
        <v>639725.27</v>
      </c>
      <c r="AB191" s="373">
        <v>4008606.32</v>
      </c>
      <c r="AC191" s="373">
        <v>376844.6</v>
      </c>
      <c r="AD191" s="374">
        <v>1615671.85</v>
      </c>
      <c r="AE191" s="373">
        <v>454144.6</v>
      </c>
      <c r="AF191" s="373">
        <v>146944.6</v>
      </c>
      <c r="AG191" s="373">
        <v>416666.68</v>
      </c>
      <c r="AH191" s="373">
        <v>832071.88</v>
      </c>
      <c r="AI191" s="373">
        <v>3067102.41</v>
      </c>
      <c r="AJ191" s="375">
        <f t="shared" si="288"/>
        <v>12949991.779999999</v>
      </c>
      <c r="AK191" s="329"/>
      <c r="AL191" s="373">
        <v>966441.66666666663</v>
      </c>
      <c r="AM191" s="373">
        <v>966441.66666666663</v>
      </c>
      <c r="AN191" s="373">
        <v>966441.66666666663</v>
      </c>
      <c r="AO191" s="373">
        <v>966441.66666666663</v>
      </c>
      <c r="AP191" s="373">
        <v>966441.66666666663</v>
      </c>
      <c r="AQ191" s="373">
        <v>966441.66666666663</v>
      </c>
      <c r="AR191" s="374">
        <v>966441.66666666663</v>
      </c>
      <c r="AS191" s="373">
        <v>966441.66666666663</v>
      </c>
      <c r="AT191" s="373">
        <v>966441.66666666663</v>
      </c>
      <c r="AU191" s="373">
        <v>966441.66666666663</v>
      </c>
      <c r="AV191" s="373">
        <v>966441.66666666663</v>
      </c>
      <c r="AW191" s="373">
        <v>966441.66666666663</v>
      </c>
      <c r="AX191" s="375">
        <v>11597300</v>
      </c>
      <c r="AY191" s="378">
        <f t="shared" si="291"/>
        <v>-5910532.9100000001</v>
      </c>
      <c r="AZ191" s="165">
        <f t="shared" si="292"/>
        <v>-1.0393485114580279</v>
      </c>
      <c r="BA191" s="329"/>
      <c r="BB191" s="373">
        <v>715593.34</v>
      </c>
      <c r="BC191" s="373">
        <v>204000</v>
      </c>
      <c r="BD191" s="373">
        <v>203999.95</v>
      </c>
      <c r="BE191" s="373">
        <v>2310714.84</v>
      </c>
      <c r="BF191" s="373">
        <v>204000</v>
      </c>
      <c r="BG191" s="373">
        <v>289000</v>
      </c>
      <c r="BH191" s="374">
        <v>704058.96</v>
      </c>
      <c r="BI191" s="373">
        <v>239400</v>
      </c>
      <c r="BJ191" s="373">
        <v>204000</v>
      </c>
      <c r="BK191" s="373">
        <v>204000</v>
      </c>
      <c r="BL191" s="373">
        <v>204000</v>
      </c>
      <c r="BM191" s="373">
        <v>204000</v>
      </c>
      <c r="BN191" s="402">
        <v>5686767.0899999999</v>
      </c>
      <c r="BO191" s="329"/>
      <c r="BP191" s="374">
        <v>150293.33333333334</v>
      </c>
      <c r="BQ191" s="374">
        <v>150293.33333333334</v>
      </c>
      <c r="BR191" s="374">
        <v>150293.33333333334</v>
      </c>
      <c r="BS191" s="374">
        <v>150293.33333333334</v>
      </c>
      <c r="BT191" s="374">
        <v>150293.33333333334</v>
      </c>
      <c r="BU191" s="374">
        <v>150293.33333333334</v>
      </c>
      <c r="BV191" s="374">
        <v>150293.33333333334</v>
      </c>
      <c r="BW191" s="374">
        <v>150293.33333333334</v>
      </c>
      <c r="BX191" s="374">
        <v>150293.33333333334</v>
      </c>
      <c r="BY191" s="374">
        <v>150293.33333333334</v>
      </c>
      <c r="BZ191" s="374">
        <v>150293.33333333334</v>
      </c>
      <c r="CA191" s="374">
        <v>150293.33333333343</v>
      </c>
      <c r="CB191" s="402">
        <f t="shared" si="282"/>
        <v>1803520</v>
      </c>
      <c r="CC191" s="776">
        <f t="shared" si="274"/>
        <v>-3883247.09</v>
      </c>
      <c r="CD191" s="775">
        <f t="shared" si="275"/>
        <v>-2.1531488921664299</v>
      </c>
      <c r="CE191" s="772"/>
      <c r="CF191" s="374">
        <v>682599.4</v>
      </c>
      <c r="CG191" s="374">
        <v>956115.36</v>
      </c>
      <c r="CH191" s="374">
        <v>1875270.78</v>
      </c>
      <c r="CI191" s="374">
        <v>471871.03</v>
      </c>
      <c r="CJ191" s="374">
        <v>373578.47</v>
      </c>
      <c r="CK191" s="374">
        <v>1073262.26</v>
      </c>
      <c r="CL191" s="374">
        <v>3012222.84</v>
      </c>
      <c r="CM191" s="374">
        <v>3077641.16</v>
      </c>
      <c r="CN191" s="374">
        <v>2218051.13</v>
      </c>
      <c r="CO191" s="374">
        <v>2311241.48</v>
      </c>
      <c r="CP191" s="374">
        <v>1675752.35</v>
      </c>
      <c r="CQ191" s="374">
        <v>1692646.89</v>
      </c>
      <c r="CR191" s="374">
        <v>0</v>
      </c>
      <c r="CS191" s="402">
        <f t="shared" si="276"/>
        <v>19420253.150000002</v>
      </c>
      <c r="CT191" s="776">
        <f t="shared" si="277"/>
        <v>13733486.060000002</v>
      </c>
      <c r="CU191" s="165">
        <f t="shared" si="278"/>
        <v>0.70717337997213492</v>
      </c>
      <c r="CV191" s="329"/>
      <c r="CW191" s="373">
        <v>166732.75</v>
      </c>
      <c r="CX191" s="373">
        <v>1110780</v>
      </c>
      <c r="CY191" s="373">
        <v>1069221.3400000001</v>
      </c>
      <c r="CZ191" s="373">
        <v>1650823.91</v>
      </c>
      <c r="DA191" s="373">
        <v>2315555.8399999999</v>
      </c>
      <c r="DB191" s="373">
        <v>1746796.46</v>
      </c>
      <c r="DC191" s="374">
        <v>2902606.1</v>
      </c>
      <c r="DD191" s="373">
        <v>3976998.51</v>
      </c>
      <c r="DE191" s="373">
        <v>4563081.82</v>
      </c>
      <c r="DF191" s="373">
        <v>2561403.48</v>
      </c>
      <c r="DG191" s="373">
        <v>319390.02</v>
      </c>
      <c r="DH191" s="373">
        <v>1482288.48</v>
      </c>
      <c r="DI191" s="375">
        <f t="shared" si="279"/>
        <v>23865678.710000001</v>
      </c>
      <c r="DJ191" s="329"/>
      <c r="DK191" s="373">
        <v>762269.46</v>
      </c>
      <c r="DL191" s="373">
        <v>1500398.2</v>
      </c>
      <c r="DM191" s="373">
        <v>2129054.06</v>
      </c>
      <c r="DN191" s="373">
        <v>634364.66</v>
      </c>
      <c r="DO191" s="373">
        <v>3450242.19</v>
      </c>
      <c r="DP191" s="373">
        <v>767722.25</v>
      </c>
      <c r="DQ191" s="374">
        <v>5464116.2699999996</v>
      </c>
      <c r="DR191" s="373">
        <v>2990075.6</v>
      </c>
      <c r="DS191" s="373">
        <v>2743526.42</v>
      </c>
      <c r="DT191" s="373">
        <v>1917293.17</v>
      </c>
      <c r="DU191" s="373">
        <v>1100353.54</v>
      </c>
      <c r="DV191" s="373">
        <v>2918408.79</v>
      </c>
      <c r="DW191" s="375">
        <f t="shared" si="280"/>
        <v>26377824.609999999</v>
      </c>
      <c r="DY191" s="373">
        <v>1700402.76</v>
      </c>
      <c r="DZ191" s="373">
        <v>409965.36</v>
      </c>
      <c r="EA191" s="373">
        <v>1389346</v>
      </c>
      <c r="EB191" s="373">
        <v>1409710.94</v>
      </c>
      <c r="EC191" s="373">
        <v>1269958.6499999999</v>
      </c>
      <c r="ED191" s="373">
        <v>500877.53</v>
      </c>
      <c r="EE191" s="374">
        <v>4086757.82</v>
      </c>
      <c r="EF191" s="373">
        <v>5424797.5199999996</v>
      </c>
      <c r="EG191" s="373">
        <v>2746345.72</v>
      </c>
      <c r="EH191" s="373">
        <v>855761.64</v>
      </c>
      <c r="EI191" s="373">
        <v>1843232.44</v>
      </c>
      <c r="EJ191" s="373">
        <v>2603441.4900000002</v>
      </c>
      <c r="EK191" s="375">
        <f t="shared" si="293"/>
        <v>24240597.870000005</v>
      </c>
      <c r="EL191" s="177"/>
      <c r="EM191" s="373">
        <v>2721691.54</v>
      </c>
      <c r="EN191" s="373">
        <v>2238399.66</v>
      </c>
      <c r="EO191" s="373">
        <v>1561547.51</v>
      </c>
      <c r="EP191" s="373">
        <v>1305725.81</v>
      </c>
      <c r="EQ191" s="373">
        <v>4107306.9</v>
      </c>
      <c r="ER191" s="373">
        <v>-4484876.42</v>
      </c>
      <c r="ES191" s="374">
        <v>196480</v>
      </c>
      <c r="ET191" s="373">
        <v>1230085</v>
      </c>
      <c r="EU191" s="373">
        <v>6136388.0999999996</v>
      </c>
      <c r="EV191" s="373">
        <v>623136.79</v>
      </c>
      <c r="EW191" s="373">
        <v>845857.66</v>
      </c>
      <c r="EX191" s="373">
        <v>625953.21</v>
      </c>
      <c r="EY191" s="375">
        <f t="shared" si="294"/>
        <v>17107695.760000002</v>
      </c>
      <c r="EZ191" s="164">
        <v>0</v>
      </c>
      <c r="FA191" s="185">
        <v>0</v>
      </c>
    </row>
    <row r="192" spans="1:157" ht="18.75" customHeight="1">
      <c r="A192" s="185" t="s">
        <v>327</v>
      </c>
      <c r="B192" s="774"/>
      <c r="C192" s="176" t="s">
        <v>975</v>
      </c>
      <c r="D192" s="176">
        <v>63103000</v>
      </c>
      <c r="E192" s="773"/>
      <c r="F192" s="320" t="s">
        <v>676</v>
      </c>
      <c r="G192" s="329"/>
      <c r="H192" s="373"/>
      <c r="I192" s="373"/>
      <c r="J192" s="373"/>
      <c r="K192" s="373"/>
      <c r="L192" s="373"/>
      <c r="M192" s="373"/>
      <c r="N192" s="374"/>
      <c r="O192" s="373"/>
      <c r="P192" s="373"/>
      <c r="Q192" s="373"/>
      <c r="R192" s="373"/>
      <c r="S192" s="1523">
        <v>-1328000</v>
      </c>
      <c r="T192" s="375">
        <f t="shared" si="287"/>
        <v>-1328000</v>
      </c>
      <c r="U192" s="378">
        <f t="shared" si="289"/>
        <v>1328000</v>
      </c>
      <c r="V192" s="165" t="e">
        <f t="shared" si="290"/>
        <v>#DIV/0!</v>
      </c>
      <c r="W192" s="954"/>
      <c r="X192" s="373">
        <v>0</v>
      </c>
      <c r="Y192" s="373">
        <v>0</v>
      </c>
      <c r="Z192" s="373">
        <v>0</v>
      </c>
      <c r="AA192" s="373">
        <v>0</v>
      </c>
      <c r="AB192" s="373">
        <v>0</v>
      </c>
      <c r="AC192" s="373">
        <v>0</v>
      </c>
      <c r="AD192" s="374">
        <v>0</v>
      </c>
      <c r="AE192" s="373">
        <v>0</v>
      </c>
      <c r="AF192" s="373">
        <v>0</v>
      </c>
      <c r="AG192" s="373">
        <v>0</v>
      </c>
      <c r="AH192" s="373">
        <v>0</v>
      </c>
      <c r="AI192" s="373">
        <v>0</v>
      </c>
      <c r="AJ192" s="375">
        <f t="shared" si="288"/>
        <v>0</v>
      </c>
      <c r="AK192" s="954"/>
      <c r="AL192" s="373">
        <v>0</v>
      </c>
      <c r="AM192" s="373">
        <v>0</v>
      </c>
      <c r="AN192" s="373">
        <v>0</v>
      </c>
      <c r="AO192" s="373">
        <v>0</v>
      </c>
      <c r="AP192" s="373">
        <v>0</v>
      </c>
      <c r="AQ192" s="373">
        <v>0</v>
      </c>
      <c r="AR192" s="374">
        <v>0</v>
      </c>
      <c r="AS192" s="373">
        <v>0</v>
      </c>
      <c r="AT192" s="373">
        <v>0</v>
      </c>
      <c r="AU192" s="373">
        <v>0</v>
      </c>
      <c r="AV192" s="373">
        <v>0</v>
      </c>
      <c r="AW192" s="373">
        <v>0</v>
      </c>
      <c r="AX192" s="375">
        <v>0</v>
      </c>
      <c r="AY192" s="378">
        <f t="shared" si="291"/>
        <v>18750</v>
      </c>
      <c r="AZ192" s="165">
        <f t="shared" si="292"/>
        <v>1</v>
      </c>
      <c r="BA192" s="954"/>
      <c r="BB192" s="373">
        <v>0</v>
      </c>
      <c r="BC192" s="373">
        <v>0</v>
      </c>
      <c r="BD192" s="373">
        <v>0</v>
      </c>
      <c r="BE192" s="373">
        <v>18750</v>
      </c>
      <c r="BF192" s="373">
        <v>0</v>
      </c>
      <c r="BG192" s="373">
        <v>0</v>
      </c>
      <c r="BH192" s="374">
        <v>0</v>
      </c>
      <c r="BI192" s="373">
        <v>0</v>
      </c>
      <c r="BJ192" s="373">
        <v>0</v>
      </c>
      <c r="BK192" s="373">
        <v>0</v>
      </c>
      <c r="BL192" s="373">
        <v>0</v>
      </c>
      <c r="BM192" s="373">
        <v>0</v>
      </c>
      <c r="BN192" s="402">
        <v>18750</v>
      </c>
      <c r="BO192" s="954"/>
      <c r="BP192" s="374">
        <v>0</v>
      </c>
      <c r="BQ192" s="374">
        <v>0</v>
      </c>
      <c r="BR192" s="374">
        <v>0</v>
      </c>
      <c r="BS192" s="374">
        <v>0</v>
      </c>
      <c r="BT192" s="374">
        <v>0</v>
      </c>
      <c r="BU192" s="374">
        <v>0</v>
      </c>
      <c r="BV192" s="374">
        <v>0</v>
      </c>
      <c r="BW192" s="374">
        <v>0</v>
      </c>
      <c r="BX192" s="374">
        <v>0</v>
      </c>
      <c r="BY192" s="374">
        <v>0</v>
      </c>
      <c r="BZ192" s="374">
        <v>0</v>
      </c>
      <c r="CA192" s="374">
        <v>0</v>
      </c>
      <c r="CB192" s="402">
        <f t="shared" si="282"/>
        <v>0</v>
      </c>
      <c r="CC192" s="776">
        <f t="shared" si="274"/>
        <v>-18750</v>
      </c>
      <c r="CD192" s="775" t="str">
        <f t="shared" si="275"/>
        <v>N/A</v>
      </c>
      <c r="CE192" s="772"/>
      <c r="CF192" s="374">
        <v>0</v>
      </c>
      <c r="CG192" s="374">
        <v>0</v>
      </c>
      <c r="CH192" s="374">
        <v>0</v>
      </c>
      <c r="CI192" s="374">
        <v>100400</v>
      </c>
      <c r="CJ192" s="374">
        <v>0</v>
      </c>
      <c r="CK192" s="374">
        <v>0</v>
      </c>
      <c r="CL192" s="374">
        <v>0</v>
      </c>
      <c r="CM192" s="374">
        <v>0</v>
      </c>
      <c r="CN192" s="374">
        <v>0</v>
      </c>
      <c r="CO192" s="374">
        <v>0</v>
      </c>
      <c r="CP192" s="374">
        <v>0</v>
      </c>
      <c r="CQ192" s="374">
        <v>0</v>
      </c>
      <c r="CR192" s="374">
        <v>0</v>
      </c>
      <c r="CS192" s="402">
        <f t="shared" si="276"/>
        <v>100400</v>
      </c>
      <c r="CT192" s="776">
        <f t="shared" si="277"/>
        <v>81650</v>
      </c>
      <c r="CU192" s="165">
        <f t="shared" si="278"/>
        <v>0.81324701195219129</v>
      </c>
      <c r="CV192" s="329"/>
      <c r="CW192" s="373">
        <v>0</v>
      </c>
      <c r="CX192" s="373">
        <v>0</v>
      </c>
      <c r="CY192" s="373">
        <v>0</v>
      </c>
      <c r="CZ192" s="373">
        <v>0</v>
      </c>
      <c r="DA192" s="373">
        <v>125000</v>
      </c>
      <c r="DB192" s="373">
        <v>0</v>
      </c>
      <c r="DC192" s="374">
        <v>0</v>
      </c>
      <c r="DD192" s="373">
        <v>0</v>
      </c>
      <c r="DE192" s="373">
        <v>0</v>
      </c>
      <c r="DF192" s="373">
        <v>0</v>
      </c>
      <c r="DG192" s="373">
        <v>0</v>
      </c>
      <c r="DH192" s="373">
        <v>0</v>
      </c>
      <c r="DI192" s="375">
        <f t="shared" si="279"/>
        <v>125000</v>
      </c>
      <c r="DJ192" s="329"/>
      <c r="DK192" s="373">
        <v>0</v>
      </c>
      <c r="DL192" s="373">
        <v>0</v>
      </c>
      <c r="DM192" s="373">
        <v>0</v>
      </c>
      <c r="DN192" s="373">
        <v>0</v>
      </c>
      <c r="DO192" s="373">
        <v>0</v>
      </c>
      <c r="DP192" s="373">
        <v>0</v>
      </c>
      <c r="DQ192" s="374">
        <v>0</v>
      </c>
      <c r="DR192" s="373">
        <v>0</v>
      </c>
      <c r="DS192" s="373">
        <v>0</v>
      </c>
      <c r="DT192" s="373">
        <v>0</v>
      </c>
      <c r="DU192" s="373">
        <v>0</v>
      </c>
      <c r="DV192" s="373">
        <v>0</v>
      </c>
      <c r="DW192" s="375">
        <f t="shared" si="280"/>
        <v>0</v>
      </c>
      <c r="DY192" s="373">
        <v>0</v>
      </c>
      <c r="DZ192" s="373">
        <v>0</v>
      </c>
      <c r="EA192" s="373">
        <v>0</v>
      </c>
      <c r="EB192" s="373">
        <v>0</v>
      </c>
      <c r="EC192" s="373">
        <v>81598</v>
      </c>
      <c r="ED192" s="373">
        <v>0</v>
      </c>
      <c r="EE192" s="374">
        <v>57798.27</v>
      </c>
      <c r="EF192" s="373">
        <v>170224.52</v>
      </c>
      <c r="EG192" s="373">
        <v>26977.21</v>
      </c>
      <c r="EH192" s="373">
        <v>0</v>
      </c>
      <c r="EI192" s="373">
        <v>0</v>
      </c>
      <c r="EJ192" s="373">
        <v>0</v>
      </c>
      <c r="EK192" s="375">
        <f t="shared" si="293"/>
        <v>336598</v>
      </c>
      <c r="EL192" s="177"/>
      <c r="EM192" s="373">
        <v>820904.95999999996</v>
      </c>
      <c r="EN192" s="373">
        <v>234174.6</v>
      </c>
      <c r="EO192" s="373">
        <v>174650</v>
      </c>
      <c r="EP192" s="373">
        <v>200650</v>
      </c>
      <c r="EQ192" s="373">
        <v>174650</v>
      </c>
      <c r="ER192" s="373">
        <v>229692</v>
      </c>
      <c r="ES192" s="374">
        <v>359068</v>
      </c>
      <c r="ET192" s="373">
        <v>217472</v>
      </c>
      <c r="EU192" s="373">
        <v>526337</v>
      </c>
      <c r="EV192" s="373">
        <v>0</v>
      </c>
      <c r="EW192" s="373">
        <v>68640</v>
      </c>
      <c r="EX192" s="373">
        <v>27400</v>
      </c>
      <c r="EY192" s="375">
        <f t="shared" si="294"/>
        <v>3033638.56</v>
      </c>
      <c r="EZ192" s="164">
        <v>0</v>
      </c>
      <c r="FA192" s="185">
        <v>0</v>
      </c>
    </row>
    <row r="193" spans="1:157" ht="18.75" customHeight="1">
      <c r="A193" s="185" t="s">
        <v>327</v>
      </c>
      <c r="B193" s="774"/>
      <c r="C193" s="176" t="s">
        <v>974</v>
      </c>
      <c r="D193" s="176">
        <v>63190000</v>
      </c>
      <c r="E193" s="773"/>
      <c r="F193" s="320" t="s">
        <v>677</v>
      </c>
      <c r="G193" s="329"/>
      <c r="H193" s="373"/>
      <c r="I193" s="373"/>
      <c r="J193" s="373"/>
      <c r="K193" s="373"/>
      <c r="L193" s="373"/>
      <c r="M193" s="373"/>
      <c r="N193" s="374"/>
      <c r="O193" s="373"/>
      <c r="P193" s="373"/>
      <c r="Q193" s="373"/>
      <c r="R193" s="373"/>
      <c r="S193" s="377">
        <v>4129576.9172780691</v>
      </c>
      <c r="T193" s="375">
        <f t="shared" si="287"/>
        <v>4129576.9172780691</v>
      </c>
      <c r="U193" s="378">
        <f t="shared" si="289"/>
        <v>-399776.91727806907</v>
      </c>
      <c r="V193" s="165">
        <f t="shared" si="290"/>
        <v>-0.10718454535848278</v>
      </c>
      <c r="W193" s="329"/>
      <c r="X193" s="373">
        <v>-10000</v>
      </c>
      <c r="Y193" s="373">
        <v>58000</v>
      </c>
      <c r="Z193" s="373">
        <v>-83600</v>
      </c>
      <c r="AA193" s="373">
        <v>309500</v>
      </c>
      <c r="AB193" s="373">
        <v>284800</v>
      </c>
      <c r="AC193" s="373">
        <v>0</v>
      </c>
      <c r="AD193" s="374">
        <v>46000</v>
      </c>
      <c r="AE193" s="373">
        <v>207700</v>
      </c>
      <c r="AF193" s="373">
        <v>96600</v>
      </c>
      <c r="AG193" s="373">
        <v>-97000</v>
      </c>
      <c r="AH193" s="373">
        <v>301000</v>
      </c>
      <c r="AI193" s="373">
        <v>2616800</v>
      </c>
      <c r="AJ193" s="375">
        <f t="shared" si="288"/>
        <v>3729800</v>
      </c>
      <c r="AK193" s="329"/>
      <c r="AL193" s="373">
        <v>129583.33333333333</v>
      </c>
      <c r="AM193" s="373">
        <v>129583.33333333333</v>
      </c>
      <c r="AN193" s="373">
        <v>129583.33333333333</v>
      </c>
      <c r="AO193" s="373">
        <v>129583.33333333333</v>
      </c>
      <c r="AP193" s="373">
        <v>129583.33333333333</v>
      </c>
      <c r="AQ193" s="373">
        <v>129583.33333333333</v>
      </c>
      <c r="AR193" s="374">
        <v>129583.33333333333</v>
      </c>
      <c r="AS193" s="373">
        <v>129583.33333333333</v>
      </c>
      <c r="AT193" s="373">
        <v>129583.33333333333</v>
      </c>
      <c r="AU193" s="373">
        <v>129583.33333333333</v>
      </c>
      <c r="AV193" s="373">
        <v>129583.33333333333</v>
      </c>
      <c r="AW193" s="373">
        <v>129583.33333333333</v>
      </c>
      <c r="AX193" s="375">
        <v>1555000</v>
      </c>
      <c r="AY193" s="378">
        <f t="shared" si="291"/>
        <v>-200507</v>
      </c>
      <c r="AZ193" s="165">
        <f t="shared" si="292"/>
        <v>-0.14803103449039604</v>
      </c>
      <c r="BA193" s="329"/>
      <c r="BB193" s="373">
        <v>0</v>
      </c>
      <c r="BC193" s="373">
        <v>5850</v>
      </c>
      <c r="BD193" s="373">
        <v>542000</v>
      </c>
      <c r="BE193" s="373">
        <v>93000</v>
      </c>
      <c r="BF193" s="373">
        <v>0</v>
      </c>
      <c r="BG193" s="373">
        <v>8000</v>
      </c>
      <c r="BH193" s="374">
        <v>83200</v>
      </c>
      <c r="BI193" s="373">
        <v>8000</v>
      </c>
      <c r="BJ193" s="373">
        <v>0</v>
      </c>
      <c r="BK193" s="373">
        <v>-39057</v>
      </c>
      <c r="BL193" s="373">
        <v>291500</v>
      </c>
      <c r="BM193" s="373">
        <v>362000</v>
      </c>
      <c r="BN193" s="402">
        <v>1354493</v>
      </c>
      <c r="BO193" s="329"/>
      <c r="BP193" s="374">
        <v>108333.33333333334</v>
      </c>
      <c r="BQ193" s="374">
        <v>108333.33333333334</v>
      </c>
      <c r="BR193" s="374">
        <v>108333.33333333334</v>
      </c>
      <c r="BS193" s="374">
        <v>108333.33333333334</v>
      </c>
      <c r="BT193" s="374">
        <v>108333.33333333334</v>
      </c>
      <c r="BU193" s="374">
        <v>108333.33333333334</v>
      </c>
      <c r="BV193" s="374">
        <v>108333.33333333334</v>
      </c>
      <c r="BW193" s="374">
        <v>108333.33333333334</v>
      </c>
      <c r="BX193" s="374">
        <v>108333.33333333334</v>
      </c>
      <c r="BY193" s="374">
        <v>108333.33333333334</v>
      </c>
      <c r="BZ193" s="374">
        <v>108333.33333333334</v>
      </c>
      <c r="CA193" s="374">
        <v>108333.33333333337</v>
      </c>
      <c r="CB193" s="402">
        <f t="shared" si="282"/>
        <v>1300000</v>
      </c>
      <c r="CC193" s="776">
        <f t="shared" si="274"/>
        <v>-54493</v>
      </c>
      <c r="CD193" s="775">
        <f t="shared" si="275"/>
        <v>-4.1917692307692309E-2</v>
      </c>
      <c r="CE193" s="772"/>
      <c r="CF193" s="374">
        <v>3288300</v>
      </c>
      <c r="CG193" s="374">
        <v>461800</v>
      </c>
      <c r="CH193" s="374">
        <v>0</v>
      </c>
      <c r="CI193" s="374">
        <v>82064</v>
      </c>
      <c r="CJ193" s="374">
        <v>989850</v>
      </c>
      <c r="CK193" s="374">
        <v>914400</v>
      </c>
      <c r="CL193" s="374">
        <v>139760</v>
      </c>
      <c r="CM193" s="374">
        <v>-2424000</v>
      </c>
      <c r="CN193" s="374">
        <v>645600</v>
      </c>
      <c r="CO193" s="374">
        <v>38057</v>
      </c>
      <c r="CP193" s="374">
        <v>0</v>
      </c>
      <c r="CQ193" s="374">
        <v>0</v>
      </c>
      <c r="CR193" s="374">
        <v>0</v>
      </c>
      <c r="CS193" s="402">
        <f t="shared" si="276"/>
        <v>4135831</v>
      </c>
      <c r="CT193" s="776">
        <f t="shared" si="277"/>
        <v>2781338</v>
      </c>
      <c r="CU193" s="165">
        <f t="shared" si="278"/>
        <v>0.6724979816631772</v>
      </c>
      <c r="CV193" s="329"/>
      <c r="CW193" s="373">
        <v>-295000</v>
      </c>
      <c r="CX193" s="373">
        <v>0</v>
      </c>
      <c r="CY193" s="373">
        <v>1368714</v>
      </c>
      <c r="CZ193" s="373">
        <v>2418725</v>
      </c>
      <c r="DA193" s="373">
        <v>0</v>
      </c>
      <c r="DB193" s="373">
        <v>990662</v>
      </c>
      <c r="DC193" s="374">
        <v>696250</v>
      </c>
      <c r="DD193" s="373">
        <v>-208670</v>
      </c>
      <c r="DE193" s="373">
        <v>330250</v>
      </c>
      <c r="DF193" s="373">
        <v>0</v>
      </c>
      <c r="DG193" s="373">
        <v>38600</v>
      </c>
      <c r="DH193" s="373">
        <v>24400</v>
      </c>
      <c r="DI193" s="375">
        <f t="shared" si="279"/>
        <v>5363931</v>
      </c>
      <c r="DJ193" s="329"/>
      <c r="DK193" s="373">
        <v>64900</v>
      </c>
      <c r="DL193" s="373">
        <v>126100</v>
      </c>
      <c r="DM193" s="373">
        <v>59000</v>
      </c>
      <c r="DN193" s="373">
        <v>72900</v>
      </c>
      <c r="DO193" s="373">
        <v>1354400</v>
      </c>
      <c r="DP193" s="373">
        <v>150000</v>
      </c>
      <c r="DQ193" s="374">
        <v>175500</v>
      </c>
      <c r="DR193" s="373">
        <v>774825</v>
      </c>
      <c r="DS193" s="373">
        <v>0</v>
      </c>
      <c r="DT193" s="373">
        <v>0</v>
      </c>
      <c r="DU193" s="373">
        <v>0</v>
      </c>
      <c r="DV193" s="373">
        <v>432204</v>
      </c>
      <c r="DW193" s="375">
        <f t="shared" si="280"/>
        <v>3209829</v>
      </c>
      <c r="DY193" s="373">
        <v>6888</v>
      </c>
      <c r="DZ193" s="373">
        <v>24400</v>
      </c>
      <c r="EA193" s="373">
        <v>400</v>
      </c>
      <c r="EB193" s="373">
        <v>416200</v>
      </c>
      <c r="EC193" s="373">
        <v>1479000</v>
      </c>
      <c r="ED193" s="373">
        <v>1525000</v>
      </c>
      <c r="EE193" s="374">
        <v>1510700</v>
      </c>
      <c r="EF193" s="373">
        <v>463400</v>
      </c>
      <c r="EG193" s="373">
        <v>875300</v>
      </c>
      <c r="EH193" s="373">
        <v>51200</v>
      </c>
      <c r="EI193" s="373">
        <v>0</v>
      </c>
      <c r="EJ193" s="373">
        <v>72500</v>
      </c>
      <c r="EK193" s="375">
        <f t="shared" si="293"/>
        <v>6424988</v>
      </c>
      <c r="EL193" s="177"/>
      <c r="EM193" s="373">
        <v>0</v>
      </c>
      <c r="EN193" s="373">
        <v>0</v>
      </c>
      <c r="EO193" s="373">
        <v>0</v>
      </c>
      <c r="EP193" s="373">
        <v>0</v>
      </c>
      <c r="EQ193" s="373">
        <v>480</v>
      </c>
      <c r="ER193" s="373">
        <v>2000</v>
      </c>
      <c r="ES193" s="374">
        <v>2266200</v>
      </c>
      <c r="ET193" s="373">
        <v>0</v>
      </c>
      <c r="EU193" s="373">
        <v>182900</v>
      </c>
      <c r="EV193" s="373">
        <v>400</v>
      </c>
      <c r="EW193" s="373">
        <v>473600</v>
      </c>
      <c r="EX193" s="373">
        <v>1962200</v>
      </c>
      <c r="EY193" s="375">
        <f t="shared" si="294"/>
        <v>4887780</v>
      </c>
      <c r="EZ193" s="164">
        <v>0</v>
      </c>
      <c r="FA193" s="185">
        <v>0</v>
      </c>
    </row>
    <row r="194" spans="1:157" ht="18.75" customHeight="1">
      <c r="A194" s="185" t="s">
        <v>327</v>
      </c>
      <c r="B194" s="774"/>
      <c r="C194" s="176" t="s">
        <v>973</v>
      </c>
      <c r="D194" s="176">
        <v>63201000</v>
      </c>
      <c r="E194" s="773"/>
      <c r="F194" s="320" t="s">
        <v>678</v>
      </c>
      <c r="G194" s="329"/>
      <c r="H194" s="373"/>
      <c r="I194" s="373"/>
      <c r="J194" s="373"/>
      <c r="K194" s="373"/>
      <c r="L194" s="373"/>
      <c r="M194" s="373"/>
      <c r="N194" s="374"/>
      <c r="O194" s="373"/>
      <c r="P194" s="373"/>
      <c r="Q194" s="373"/>
      <c r="R194" s="373"/>
      <c r="S194" s="373"/>
      <c r="T194" s="375">
        <f t="shared" si="287"/>
        <v>0</v>
      </c>
      <c r="U194" s="378">
        <f t="shared" si="289"/>
        <v>-10000</v>
      </c>
      <c r="V194" s="165">
        <f t="shared" si="290"/>
        <v>1</v>
      </c>
      <c r="W194" s="329"/>
      <c r="X194" s="373">
        <v>0</v>
      </c>
      <c r="Y194" s="373">
        <v>0</v>
      </c>
      <c r="Z194" s="373">
        <v>0</v>
      </c>
      <c r="AA194" s="373">
        <v>0</v>
      </c>
      <c r="AB194" s="373">
        <v>0</v>
      </c>
      <c r="AC194" s="373">
        <v>-10000</v>
      </c>
      <c r="AD194" s="374">
        <v>0</v>
      </c>
      <c r="AE194" s="373">
        <v>0</v>
      </c>
      <c r="AF194" s="373">
        <v>0</v>
      </c>
      <c r="AG194" s="373">
        <v>0</v>
      </c>
      <c r="AH194" s="373">
        <v>0</v>
      </c>
      <c r="AI194" s="373">
        <v>0</v>
      </c>
      <c r="AJ194" s="375">
        <f t="shared" si="288"/>
        <v>-10000</v>
      </c>
      <c r="AK194" s="329"/>
      <c r="AL194" s="373">
        <v>72500</v>
      </c>
      <c r="AM194" s="373">
        <v>72500</v>
      </c>
      <c r="AN194" s="373">
        <v>72500</v>
      </c>
      <c r="AO194" s="373">
        <v>72500</v>
      </c>
      <c r="AP194" s="373">
        <v>72500</v>
      </c>
      <c r="AQ194" s="373">
        <v>72500</v>
      </c>
      <c r="AR194" s="374">
        <v>72500</v>
      </c>
      <c r="AS194" s="373">
        <v>72500</v>
      </c>
      <c r="AT194" s="373">
        <v>72500</v>
      </c>
      <c r="AU194" s="373">
        <v>72500</v>
      </c>
      <c r="AV194" s="373">
        <v>72500</v>
      </c>
      <c r="AW194" s="373">
        <v>72500</v>
      </c>
      <c r="AX194" s="375">
        <v>870000</v>
      </c>
      <c r="AY194" s="378">
        <f t="shared" si="291"/>
        <v>-774570</v>
      </c>
      <c r="AZ194" s="165">
        <f t="shared" si="292"/>
        <v>-8.1166299905690042</v>
      </c>
      <c r="BA194" s="329"/>
      <c r="BB194" s="373">
        <v>0</v>
      </c>
      <c r="BC194" s="373">
        <v>0</v>
      </c>
      <c r="BD194" s="373">
        <v>0</v>
      </c>
      <c r="BE194" s="373">
        <v>0</v>
      </c>
      <c r="BF194" s="373">
        <v>0</v>
      </c>
      <c r="BG194" s="373">
        <v>0</v>
      </c>
      <c r="BH194" s="374">
        <v>0</v>
      </c>
      <c r="BI194" s="373">
        <v>0</v>
      </c>
      <c r="BJ194" s="373">
        <v>143465</v>
      </c>
      <c r="BK194" s="373">
        <v>-48035</v>
      </c>
      <c r="BL194" s="373">
        <v>0</v>
      </c>
      <c r="BM194" s="373">
        <v>0</v>
      </c>
      <c r="BN194" s="402">
        <v>95430</v>
      </c>
      <c r="BO194" s="329"/>
      <c r="BP194" s="374">
        <v>237083.33333333334</v>
      </c>
      <c r="BQ194" s="374">
        <v>237083.33333333334</v>
      </c>
      <c r="BR194" s="374">
        <v>237083.33333333334</v>
      </c>
      <c r="BS194" s="374">
        <v>237083.33333333334</v>
      </c>
      <c r="BT194" s="374">
        <v>237083.33333333334</v>
      </c>
      <c r="BU194" s="374">
        <v>237083.33333333334</v>
      </c>
      <c r="BV194" s="374">
        <v>237083.33333333334</v>
      </c>
      <c r="BW194" s="374">
        <v>237083.33333333334</v>
      </c>
      <c r="BX194" s="374">
        <v>237083.33333333334</v>
      </c>
      <c r="BY194" s="374">
        <v>237083.33333333334</v>
      </c>
      <c r="BZ194" s="374">
        <v>237083.33333333334</v>
      </c>
      <c r="CA194" s="374">
        <v>237083.33333333349</v>
      </c>
      <c r="CB194" s="402">
        <f t="shared" si="282"/>
        <v>2845000.0000000005</v>
      </c>
      <c r="CC194" s="776">
        <f t="shared" si="274"/>
        <v>2749570.0000000005</v>
      </c>
      <c r="CD194" s="775">
        <f t="shared" si="275"/>
        <v>0.96645694200351495</v>
      </c>
      <c r="CE194" s="772"/>
      <c r="CF194" s="374">
        <v>0</v>
      </c>
      <c r="CG194" s="374">
        <v>0</v>
      </c>
      <c r="CH194" s="374">
        <v>0</v>
      </c>
      <c r="CI194" s="374">
        <v>0</v>
      </c>
      <c r="CJ194" s="374">
        <v>0</v>
      </c>
      <c r="CK194" s="374">
        <v>0</v>
      </c>
      <c r="CL194" s="374">
        <v>0</v>
      </c>
      <c r="CM194" s="374">
        <v>792825</v>
      </c>
      <c r="CN194" s="374">
        <v>989305</v>
      </c>
      <c r="CO194" s="374">
        <v>261540</v>
      </c>
      <c r="CP194" s="374">
        <v>302000</v>
      </c>
      <c r="CQ194" s="374">
        <v>0</v>
      </c>
      <c r="CR194" s="374">
        <v>0</v>
      </c>
      <c r="CS194" s="402">
        <f t="shared" si="276"/>
        <v>2345670</v>
      </c>
      <c r="CT194" s="776">
        <f t="shared" si="277"/>
        <v>2250240</v>
      </c>
      <c r="CU194" s="165">
        <f t="shared" si="278"/>
        <v>0.95931652790034405</v>
      </c>
      <c r="CV194" s="329"/>
      <c r="CW194" s="373">
        <v>0</v>
      </c>
      <c r="CX194" s="373">
        <v>0</v>
      </c>
      <c r="CY194" s="373">
        <v>25000</v>
      </c>
      <c r="CZ194" s="373">
        <v>1150000</v>
      </c>
      <c r="DA194" s="373">
        <v>0</v>
      </c>
      <c r="DB194" s="373">
        <v>0</v>
      </c>
      <c r="DC194" s="374">
        <v>0</v>
      </c>
      <c r="DD194" s="373">
        <v>0</v>
      </c>
      <c r="DE194" s="373">
        <v>265000</v>
      </c>
      <c r="DF194" s="373">
        <v>0</v>
      </c>
      <c r="DG194" s="373">
        <v>0</v>
      </c>
      <c r="DH194" s="373">
        <v>876804.88</v>
      </c>
      <c r="DI194" s="375">
        <f t="shared" si="279"/>
        <v>2316804.88</v>
      </c>
      <c r="DJ194" s="329"/>
      <c r="DK194" s="373">
        <v>452000</v>
      </c>
      <c r="DL194" s="373">
        <v>251000</v>
      </c>
      <c r="DM194" s="373">
        <v>0</v>
      </c>
      <c r="DN194" s="373">
        <v>500000</v>
      </c>
      <c r="DO194" s="373">
        <v>0</v>
      </c>
      <c r="DP194" s="373">
        <v>125000</v>
      </c>
      <c r="DQ194" s="374">
        <v>504400</v>
      </c>
      <c r="DR194" s="373">
        <v>105000</v>
      </c>
      <c r="DS194" s="373">
        <v>0</v>
      </c>
      <c r="DT194" s="373">
        <v>0</v>
      </c>
      <c r="DU194" s="373">
        <v>0</v>
      </c>
      <c r="DV194" s="373">
        <v>85000</v>
      </c>
      <c r="DW194" s="375">
        <f t="shared" si="280"/>
        <v>2022400</v>
      </c>
      <c r="DY194" s="373">
        <v>35000</v>
      </c>
      <c r="DZ194" s="373">
        <v>300000</v>
      </c>
      <c r="EA194" s="373">
        <v>285000</v>
      </c>
      <c r="EB194" s="373">
        <v>0</v>
      </c>
      <c r="EC194" s="373">
        <v>200000</v>
      </c>
      <c r="ED194" s="373">
        <v>208610</v>
      </c>
      <c r="EE194" s="374">
        <v>1126750</v>
      </c>
      <c r="EF194" s="373">
        <v>421975.33</v>
      </c>
      <c r="EG194" s="373">
        <v>373000</v>
      </c>
      <c r="EH194" s="373">
        <v>0</v>
      </c>
      <c r="EI194" s="373">
        <v>145000</v>
      </c>
      <c r="EJ194" s="373">
        <v>10000</v>
      </c>
      <c r="EK194" s="375">
        <f t="shared" si="293"/>
        <v>3105335.33</v>
      </c>
      <c r="EL194" s="177"/>
      <c r="EM194" s="373">
        <v>197799.03</v>
      </c>
      <c r="EN194" s="373">
        <v>434000</v>
      </c>
      <c r="EO194" s="373">
        <v>473660</v>
      </c>
      <c r="EP194" s="373">
        <v>0</v>
      </c>
      <c r="EQ194" s="373">
        <v>412924.54</v>
      </c>
      <c r="ER194" s="373">
        <v>392191.39</v>
      </c>
      <c r="ES194" s="374">
        <v>248682.39</v>
      </c>
      <c r="ET194" s="373">
        <v>307243.93</v>
      </c>
      <c r="EU194" s="373">
        <v>452415.39</v>
      </c>
      <c r="EV194" s="373">
        <v>116000</v>
      </c>
      <c r="EW194" s="373">
        <v>485898.39</v>
      </c>
      <c r="EX194" s="373">
        <v>584534.4</v>
      </c>
      <c r="EY194" s="375">
        <f t="shared" si="294"/>
        <v>4105349.4600000004</v>
      </c>
      <c r="EZ194" s="164">
        <v>0</v>
      </c>
      <c r="FA194" s="185">
        <v>0</v>
      </c>
    </row>
    <row r="195" spans="1:157" ht="18.75" customHeight="1">
      <c r="A195" s="185" t="s">
        <v>327</v>
      </c>
      <c r="B195" s="774"/>
      <c r="C195" s="176" t="s">
        <v>972</v>
      </c>
      <c r="D195" s="176">
        <v>63290000</v>
      </c>
      <c r="E195" s="773"/>
      <c r="F195" s="320" t="s">
        <v>679</v>
      </c>
      <c r="G195" s="329"/>
      <c r="H195" s="373"/>
      <c r="I195" s="373"/>
      <c r="J195" s="373"/>
      <c r="K195" s="373"/>
      <c r="L195" s="373"/>
      <c r="M195" s="373"/>
      <c r="N195" s="374"/>
      <c r="O195" s="373"/>
      <c r="P195" s="373"/>
      <c r="Q195" s="373"/>
      <c r="R195" s="373"/>
      <c r="S195" s="373"/>
      <c r="T195" s="375">
        <f t="shared" si="287"/>
        <v>0</v>
      </c>
      <c r="U195" s="378">
        <f t="shared" si="289"/>
        <v>0</v>
      </c>
      <c r="V195" s="165" t="e">
        <f t="shared" si="290"/>
        <v>#DIV/0!</v>
      </c>
      <c r="W195" s="329"/>
      <c r="X195" s="373">
        <v>0</v>
      </c>
      <c r="Y195" s="373">
        <v>0</v>
      </c>
      <c r="Z195" s="373">
        <v>0</v>
      </c>
      <c r="AA195" s="373">
        <v>0</v>
      </c>
      <c r="AB195" s="373">
        <v>0</v>
      </c>
      <c r="AC195" s="373">
        <v>3000</v>
      </c>
      <c r="AD195" s="374">
        <v>-3000</v>
      </c>
      <c r="AE195" s="373">
        <v>0</v>
      </c>
      <c r="AF195" s="373">
        <v>0</v>
      </c>
      <c r="AG195" s="373">
        <v>0</v>
      </c>
      <c r="AH195" s="373">
        <v>0</v>
      </c>
      <c r="AI195" s="373">
        <v>0</v>
      </c>
      <c r="AJ195" s="375">
        <f t="shared" si="288"/>
        <v>0</v>
      </c>
      <c r="AK195" s="329"/>
      <c r="AL195" s="373">
        <v>0</v>
      </c>
      <c r="AM195" s="373">
        <v>0</v>
      </c>
      <c r="AN195" s="373">
        <v>0</v>
      </c>
      <c r="AO195" s="373">
        <v>0</v>
      </c>
      <c r="AP195" s="373">
        <v>0</v>
      </c>
      <c r="AQ195" s="373">
        <v>0</v>
      </c>
      <c r="AR195" s="374">
        <v>0</v>
      </c>
      <c r="AS195" s="373">
        <v>0</v>
      </c>
      <c r="AT195" s="373">
        <v>0</v>
      </c>
      <c r="AU195" s="373">
        <v>0</v>
      </c>
      <c r="AV195" s="373">
        <v>0</v>
      </c>
      <c r="AW195" s="373">
        <v>0</v>
      </c>
      <c r="AX195" s="375">
        <v>0</v>
      </c>
      <c r="AY195" s="378">
        <f t="shared" si="291"/>
        <v>9040</v>
      </c>
      <c r="AZ195" s="165">
        <f t="shared" si="292"/>
        <v>1</v>
      </c>
      <c r="BA195" s="329"/>
      <c r="BB195" s="373">
        <v>0</v>
      </c>
      <c r="BC195" s="373">
        <v>0</v>
      </c>
      <c r="BD195" s="373">
        <v>0</v>
      </c>
      <c r="BE195" s="373">
        <v>0</v>
      </c>
      <c r="BF195" s="373">
        <v>990</v>
      </c>
      <c r="BG195" s="373">
        <v>4250</v>
      </c>
      <c r="BH195" s="374">
        <v>3800</v>
      </c>
      <c r="BI195" s="373">
        <v>0</v>
      </c>
      <c r="BJ195" s="373">
        <v>0</v>
      </c>
      <c r="BK195" s="373">
        <v>0</v>
      </c>
      <c r="BL195" s="373">
        <v>0</v>
      </c>
      <c r="BM195" s="373">
        <v>0</v>
      </c>
      <c r="BN195" s="402">
        <v>9040</v>
      </c>
      <c r="BO195" s="329"/>
      <c r="BP195" s="374">
        <v>2500</v>
      </c>
      <c r="BQ195" s="374">
        <v>2500</v>
      </c>
      <c r="BR195" s="374">
        <v>2500</v>
      </c>
      <c r="BS195" s="374">
        <v>2500</v>
      </c>
      <c r="BT195" s="374">
        <v>2500</v>
      </c>
      <c r="BU195" s="374">
        <v>2500</v>
      </c>
      <c r="BV195" s="374">
        <v>2500</v>
      </c>
      <c r="BW195" s="374">
        <v>2500</v>
      </c>
      <c r="BX195" s="374">
        <v>2500</v>
      </c>
      <c r="BY195" s="374">
        <v>2500</v>
      </c>
      <c r="BZ195" s="374">
        <v>2500</v>
      </c>
      <c r="CA195" s="374">
        <v>2500.0000000000018</v>
      </c>
      <c r="CB195" s="402">
        <f t="shared" si="282"/>
        <v>30000</v>
      </c>
      <c r="CC195" s="776">
        <f t="shared" si="274"/>
        <v>20960</v>
      </c>
      <c r="CD195" s="775">
        <f t="shared" si="275"/>
        <v>0.69866666666666666</v>
      </c>
      <c r="CE195" s="772"/>
      <c r="CF195" s="374">
        <v>0</v>
      </c>
      <c r="CG195" s="374">
        <v>-5000</v>
      </c>
      <c r="CH195" s="374">
        <v>3155</v>
      </c>
      <c r="CI195" s="374">
        <v>0</v>
      </c>
      <c r="CJ195" s="374">
        <v>0</v>
      </c>
      <c r="CK195" s="374">
        <v>7946</v>
      </c>
      <c r="CL195" s="374">
        <v>0</v>
      </c>
      <c r="CM195" s="374">
        <v>14300</v>
      </c>
      <c r="CN195" s="374">
        <v>8000</v>
      </c>
      <c r="CO195" s="374">
        <v>450</v>
      </c>
      <c r="CP195" s="374">
        <v>0</v>
      </c>
      <c r="CQ195" s="374">
        <v>0</v>
      </c>
      <c r="CR195" s="374">
        <v>0</v>
      </c>
      <c r="CS195" s="402">
        <f t="shared" si="276"/>
        <v>28851</v>
      </c>
      <c r="CT195" s="776">
        <f t="shared" si="277"/>
        <v>19811</v>
      </c>
      <c r="CU195" s="165">
        <f t="shared" si="278"/>
        <v>0.68666597344979374</v>
      </c>
      <c r="CV195" s="329"/>
      <c r="CW195" s="373">
        <v>0</v>
      </c>
      <c r="CX195" s="373">
        <v>0</v>
      </c>
      <c r="CY195" s="373">
        <v>0</v>
      </c>
      <c r="CZ195" s="373">
        <v>0</v>
      </c>
      <c r="DA195" s="373">
        <v>0</v>
      </c>
      <c r="DB195" s="373">
        <v>800</v>
      </c>
      <c r="DC195" s="374">
        <v>10000</v>
      </c>
      <c r="DD195" s="373">
        <v>1800</v>
      </c>
      <c r="DE195" s="373">
        <v>8155</v>
      </c>
      <c r="DF195" s="373">
        <v>0</v>
      </c>
      <c r="DG195" s="373">
        <v>0</v>
      </c>
      <c r="DH195" s="373">
        <v>3200</v>
      </c>
      <c r="DI195" s="375">
        <f t="shared" si="279"/>
        <v>23955</v>
      </c>
      <c r="DJ195" s="329"/>
      <c r="DK195" s="373">
        <v>1150</v>
      </c>
      <c r="DL195" s="373">
        <v>169000</v>
      </c>
      <c r="DM195" s="373">
        <v>0</v>
      </c>
      <c r="DN195" s="373">
        <v>0</v>
      </c>
      <c r="DO195" s="373">
        <v>40000</v>
      </c>
      <c r="DP195" s="373">
        <v>0</v>
      </c>
      <c r="DQ195" s="374">
        <v>38000</v>
      </c>
      <c r="DR195" s="373">
        <v>8400</v>
      </c>
      <c r="DS195" s="373">
        <v>0</v>
      </c>
      <c r="DT195" s="373">
        <v>0</v>
      </c>
      <c r="DU195" s="373">
        <v>0</v>
      </c>
      <c r="DV195" s="373">
        <v>6155</v>
      </c>
      <c r="DW195" s="375">
        <f t="shared" si="280"/>
        <v>262705</v>
      </c>
      <c r="DY195" s="373">
        <v>0</v>
      </c>
      <c r="DZ195" s="373">
        <v>0</v>
      </c>
      <c r="EA195" s="373">
        <v>0</v>
      </c>
      <c r="EB195" s="373">
        <v>0</v>
      </c>
      <c r="EC195" s="373">
        <v>0</v>
      </c>
      <c r="ED195" s="373">
        <v>0</v>
      </c>
      <c r="EE195" s="374">
        <v>0</v>
      </c>
      <c r="EF195" s="373">
        <v>0</v>
      </c>
      <c r="EG195" s="373">
        <v>0</v>
      </c>
      <c r="EH195" s="373">
        <v>0</v>
      </c>
      <c r="EI195" s="373">
        <v>2155</v>
      </c>
      <c r="EJ195" s="373">
        <v>0</v>
      </c>
      <c r="EK195" s="375">
        <f t="shared" si="293"/>
        <v>2155</v>
      </c>
      <c r="EL195" s="177"/>
      <c r="EM195" s="373">
        <v>0</v>
      </c>
      <c r="EN195" s="373">
        <v>0</v>
      </c>
      <c r="EO195" s="373">
        <v>0</v>
      </c>
      <c r="EP195" s="373">
        <v>0</v>
      </c>
      <c r="EQ195" s="373">
        <v>0</v>
      </c>
      <c r="ER195" s="373">
        <v>0</v>
      </c>
      <c r="ES195" s="374">
        <v>0</v>
      </c>
      <c r="ET195" s="373">
        <v>0</v>
      </c>
      <c r="EU195" s="373">
        <v>0</v>
      </c>
      <c r="EV195" s="373">
        <v>0</v>
      </c>
      <c r="EW195" s="373">
        <v>0</v>
      </c>
      <c r="EX195" s="373">
        <v>0</v>
      </c>
      <c r="EY195" s="375">
        <f t="shared" si="294"/>
        <v>0</v>
      </c>
      <c r="EZ195" s="164">
        <v>0</v>
      </c>
      <c r="FA195" s="185">
        <v>0</v>
      </c>
    </row>
    <row r="196" spans="1:157" ht="18.75" customHeight="1">
      <c r="A196" s="185" t="s">
        <v>327</v>
      </c>
      <c r="B196" s="774"/>
      <c r="C196" s="176" t="s">
        <v>971</v>
      </c>
      <c r="D196" s="176">
        <v>63301000</v>
      </c>
      <c r="E196" s="773"/>
      <c r="F196" s="320" t="s">
        <v>680</v>
      </c>
      <c r="G196" s="329"/>
      <c r="H196" s="373"/>
      <c r="I196" s="373"/>
      <c r="J196" s="373"/>
      <c r="K196" s="373"/>
      <c r="L196" s="373"/>
      <c r="M196" s="373"/>
      <c r="N196" s="374"/>
      <c r="O196" s="373"/>
      <c r="P196" s="373"/>
      <c r="Q196" s="373"/>
      <c r="R196" s="373"/>
      <c r="S196" s="377">
        <v>142530.44462917172</v>
      </c>
      <c r="T196" s="375">
        <f t="shared" si="287"/>
        <v>142530.44462917172</v>
      </c>
      <c r="U196" s="378">
        <f t="shared" si="289"/>
        <v>-3410.4446291717177</v>
      </c>
      <c r="V196" s="165">
        <f t="shared" si="290"/>
        <v>-2.4514409352873186E-2</v>
      </c>
      <c r="W196" s="329"/>
      <c r="X196" s="373">
        <v>0</v>
      </c>
      <c r="Y196" s="373">
        <v>11000</v>
      </c>
      <c r="Z196" s="373">
        <v>0</v>
      </c>
      <c r="AA196" s="373">
        <v>24040</v>
      </c>
      <c r="AB196" s="373">
        <v>0</v>
      </c>
      <c r="AC196" s="373">
        <v>0</v>
      </c>
      <c r="AD196" s="374">
        <v>49200</v>
      </c>
      <c r="AE196" s="373">
        <v>48640</v>
      </c>
      <c r="AF196" s="373">
        <v>6240</v>
      </c>
      <c r="AG196" s="373">
        <v>0</v>
      </c>
      <c r="AH196" s="373">
        <v>0</v>
      </c>
      <c r="AI196" s="373">
        <v>0</v>
      </c>
      <c r="AJ196" s="375">
        <f t="shared" si="288"/>
        <v>139120</v>
      </c>
      <c r="AK196" s="329"/>
      <c r="AL196" s="373">
        <v>43041.666666666672</v>
      </c>
      <c r="AM196" s="373">
        <v>43041.666666666672</v>
      </c>
      <c r="AN196" s="373">
        <v>43041.666666666672</v>
      </c>
      <c r="AO196" s="373">
        <v>43041.666666666672</v>
      </c>
      <c r="AP196" s="373">
        <v>43041.666666666672</v>
      </c>
      <c r="AQ196" s="373">
        <v>43041.666666666672</v>
      </c>
      <c r="AR196" s="374">
        <v>43041.666666666672</v>
      </c>
      <c r="AS196" s="373">
        <v>43041.666666666672</v>
      </c>
      <c r="AT196" s="373">
        <v>43041.666666666672</v>
      </c>
      <c r="AU196" s="373">
        <v>43041.666666666672</v>
      </c>
      <c r="AV196" s="373">
        <v>43041.666666666672</v>
      </c>
      <c r="AW196" s="373">
        <v>43041.666666666672</v>
      </c>
      <c r="AX196" s="375">
        <v>516500</v>
      </c>
      <c r="AY196" s="378">
        <f t="shared" si="291"/>
        <v>-439066.6</v>
      </c>
      <c r="AZ196" s="165">
        <f t="shared" si="292"/>
        <v>-5.6702482391319506</v>
      </c>
      <c r="BA196" s="329"/>
      <c r="BB196" s="373">
        <v>0</v>
      </c>
      <c r="BC196" s="373">
        <v>42205.89</v>
      </c>
      <c r="BD196" s="373">
        <v>187.51</v>
      </c>
      <c r="BE196" s="373">
        <v>13440</v>
      </c>
      <c r="BF196" s="373">
        <v>0</v>
      </c>
      <c r="BG196" s="373">
        <v>1600</v>
      </c>
      <c r="BH196" s="374">
        <v>10000</v>
      </c>
      <c r="BI196" s="373">
        <v>10000</v>
      </c>
      <c r="BJ196" s="373">
        <v>0</v>
      </c>
      <c r="BK196" s="373">
        <v>0</v>
      </c>
      <c r="BL196" s="373">
        <v>0</v>
      </c>
      <c r="BM196" s="373">
        <v>0</v>
      </c>
      <c r="BN196" s="402">
        <v>77433.399999999994</v>
      </c>
      <c r="BO196" s="329"/>
      <c r="BP196" s="374">
        <v>58333.333333333328</v>
      </c>
      <c r="BQ196" s="374">
        <v>58333.333333333328</v>
      </c>
      <c r="BR196" s="374">
        <v>58333.333333333328</v>
      </c>
      <c r="BS196" s="374">
        <v>58333.333333333328</v>
      </c>
      <c r="BT196" s="374">
        <v>58333.333333333328</v>
      </c>
      <c r="BU196" s="374">
        <v>58333.333333333328</v>
      </c>
      <c r="BV196" s="374">
        <v>58333.333333333328</v>
      </c>
      <c r="BW196" s="374">
        <v>58333.333333333328</v>
      </c>
      <c r="BX196" s="374">
        <v>58333.333333333328</v>
      </c>
      <c r="BY196" s="374">
        <v>58333.333333333328</v>
      </c>
      <c r="BZ196" s="374">
        <v>58333.333333333328</v>
      </c>
      <c r="CA196" s="374">
        <v>58333.333333333314</v>
      </c>
      <c r="CB196" s="402">
        <f t="shared" si="282"/>
        <v>700000</v>
      </c>
      <c r="CC196" s="776">
        <f t="shared" si="274"/>
        <v>622566.6</v>
      </c>
      <c r="CD196" s="775">
        <f t="shared" si="275"/>
        <v>0.88938085714285708</v>
      </c>
      <c r="CE196" s="772"/>
      <c r="CF196" s="374">
        <v>0</v>
      </c>
      <c r="CG196" s="374">
        <v>15000</v>
      </c>
      <c r="CH196" s="374">
        <v>0</v>
      </c>
      <c r="CI196" s="374">
        <v>0</v>
      </c>
      <c r="CJ196" s="374">
        <v>26880</v>
      </c>
      <c r="CK196" s="374">
        <v>0</v>
      </c>
      <c r="CL196" s="374">
        <v>363440</v>
      </c>
      <c r="CM196" s="374">
        <v>32740</v>
      </c>
      <c r="CN196" s="374">
        <v>112080</v>
      </c>
      <c r="CO196" s="374">
        <v>36220</v>
      </c>
      <c r="CP196" s="374">
        <v>40000</v>
      </c>
      <c r="CQ196" s="374">
        <v>46240</v>
      </c>
      <c r="CR196" s="374">
        <v>0</v>
      </c>
      <c r="CS196" s="402">
        <f t="shared" si="276"/>
        <v>672600</v>
      </c>
      <c r="CT196" s="776">
        <f t="shared" si="277"/>
        <v>595166.6</v>
      </c>
      <c r="CU196" s="165">
        <f t="shared" si="278"/>
        <v>0.88487451680047569</v>
      </c>
      <c r="CV196" s="329"/>
      <c r="CW196" s="373">
        <v>0</v>
      </c>
      <c r="CX196" s="373">
        <v>15000</v>
      </c>
      <c r="CY196" s="373">
        <v>0</v>
      </c>
      <c r="CZ196" s="373">
        <v>12000</v>
      </c>
      <c r="DA196" s="373">
        <v>22000</v>
      </c>
      <c r="DB196" s="373">
        <v>12480</v>
      </c>
      <c r="DC196" s="374">
        <v>0</v>
      </c>
      <c r="DD196" s="373">
        <v>33120</v>
      </c>
      <c r="DE196" s="373">
        <v>25440</v>
      </c>
      <c r="DF196" s="373">
        <v>12000</v>
      </c>
      <c r="DG196" s="373">
        <v>33440</v>
      </c>
      <c r="DH196" s="373">
        <v>34080</v>
      </c>
      <c r="DI196" s="375">
        <f t="shared" si="279"/>
        <v>199560</v>
      </c>
      <c r="DJ196" s="329"/>
      <c r="DK196" s="373">
        <v>25000</v>
      </c>
      <c r="DL196" s="373">
        <v>40300</v>
      </c>
      <c r="DM196" s="373">
        <v>0</v>
      </c>
      <c r="DN196" s="373">
        <v>29800</v>
      </c>
      <c r="DO196" s="373">
        <v>60900</v>
      </c>
      <c r="DP196" s="373">
        <v>122424.5</v>
      </c>
      <c r="DQ196" s="374">
        <v>108600</v>
      </c>
      <c r="DR196" s="373">
        <v>168000</v>
      </c>
      <c r="DS196" s="373">
        <v>129725</v>
      </c>
      <c r="DT196" s="373">
        <v>56975</v>
      </c>
      <c r="DU196" s="373">
        <v>57650</v>
      </c>
      <c r="DV196" s="373">
        <v>101700</v>
      </c>
      <c r="DW196" s="375">
        <f t="shared" si="280"/>
        <v>901074.5</v>
      </c>
      <c r="DY196" s="373">
        <v>54100</v>
      </c>
      <c r="DZ196" s="373">
        <v>30000</v>
      </c>
      <c r="EA196" s="373">
        <v>42500</v>
      </c>
      <c r="EB196" s="373">
        <v>62400</v>
      </c>
      <c r="EC196" s="373">
        <v>88100</v>
      </c>
      <c r="ED196" s="373">
        <v>32810</v>
      </c>
      <c r="EE196" s="374">
        <v>409880</v>
      </c>
      <c r="EF196" s="373">
        <v>83900</v>
      </c>
      <c r="EG196" s="373">
        <v>70300</v>
      </c>
      <c r="EH196" s="373">
        <v>37000</v>
      </c>
      <c r="EI196" s="373">
        <v>22600</v>
      </c>
      <c r="EJ196" s="373">
        <v>72500</v>
      </c>
      <c r="EK196" s="375">
        <f t="shared" si="293"/>
        <v>1006090</v>
      </c>
      <c r="EL196" s="177"/>
      <c r="EM196" s="373">
        <v>34900</v>
      </c>
      <c r="EN196" s="373">
        <v>16100</v>
      </c>
      <c r="EO196" s="373">
        <v>0</v>
      </c>
      <c r="EP196" s="373">
        <v>30700</v>
      </c>
      <c r="EQ196" s="373">
        <v>16100</v>
      </c>
      <c r="ER196" s="373">
        <v>5600</v>
      </c>
      <c r="ES196" s="374">
        <v>504700</v>
      </c>
      <c r="ET196" s="373">
        <v>24500</v>
      </c>
      <c r="EU196" s="373">
        <v>106600</v>
      </c>
      <c r="EV196" s="373">
        <v>0</v>
      </c>
      <c r="EW196" s="373">
        <v>139100</v>
      </c>
      <c r="EX196" s="373">
        <v>30600</v>
      </c>
      <c r="EY196" s="375">
        <f t="shared" si="294"/>
        <v>908900</v>
      </c>
      <c r="EZ196" s="164">
        <v>0</v>
      </c>
      <c r="FA196" s="185">
        <v>0</v>
      </c>
    </row>
    <row r="197" spans="1:157" ht="18.75" customHeight="1">
      <c r="A197" s="185" t="s">
        <v>327</v>
      </c>
      <c r="B197" s="774"/>
      <c r="C197" s="176" t="s">
        <v>970</v>
      </c>
      <c r="D197" s="176">
        <v>63390000</v>
      </c>
      <c r="E197" s="773"/>
      <c r="F197" s="320" t="s">
        <v>681</v>
      </c>
      <c r="G197" s="329"/>
      <c r="H197" s="373"/>
      <c r="I197" s="373"/>
      <c r="J197" s="373"/>
      <c r="K197" s="373"/>
      <c r="L197" s="373"/>
      <c r="M197" s="373"/>
      <c r="N197" s="374"/>
      <c r="O197" s="373"/>
      <c r="P197" s="373"/>
      <c r="Q197" s="373"/>
      <c r="R197" s="373"/>
      <c r="S197" s="377"/>
      <c r="T197" s="375">
        <f t="shared" si="287"/>
        <v>0</v>
      </c>
      <c r="U197" s="378">
        <f t="shared" si="289"/>
        <v>3000</v>
      </c>
      <c r="V197" s="165">
        <f t="shared" si="290"/>
        <v>1</v>
      </c>
      <c r="W197" s="329"/>
      <c r="X197" s="373">
        <v>0</v>
      </c>
      <c r="Y197" s="373">
        <v>0</v>
      </c>
      <c r="Z197" s="373">
        <v>0</v>
      </c>
      <c r="AA197" s="373">
        <v>3000</v>
      </c>
      <c r="AB197" s="373">
        <v>0</v>
      </c>
      <c r="AC197" s="373">
        <v>0</v>
      </c>
      <c r="AD197" s="374">
        <v>0</v>
      </c>
      <c r="AE197" s="373">
        <v>0</v>
      </c>
      <c r="AF197" s="373">
        <v>0</v>
      </c>
      <c r="AG197" s="373">
        <v>0</v>
      </c>
      <c r="AH197" s="373">
        <v>0</v>
      </c>
      <c r="AI197" s="373">
        <v>0</v>
      </c>
      <c r="AJ197" s="375">
        <f t="shared" si="288"/>
        <v>3000</v>
      </c>
      <c r="AK197" s="329"/>
      <c r="AL197" s="373">
        <v>0</v>
      </c>
      <c r="AM197" s="373">
        <v>0</v>
      </c>
      <c r="AN197" s="373">
        <v>0</v>
      </c>
      <c r="AO197" s="373">
        <v>0</v>
      </c>
      <c r="AP197" s="373">
        <v>0</v>
      </c>
      <c r="AQ197" s="373">
        <v>0</v>
      </c>
      <c r="AR197" s="374">
        <v>0</v>
      </c>
      <c r="AS197" s="373">
        <v>0</v>
      </c>
      <c r="AT197" s="373">
        <v>0</v>
      </c>
      <c r="AU197" s="373">
        <v>0</v>
      </c>
      <c r="AV197" s="373">
        <v>0</v>
      </c>
      <c r="AW197" s="373">
        <v>0</v>
      </c>
      <c r="AX197" s="375">
        <v>0</v>
      </c>
      <c r="AY197" s="378">
        <f t="shared" si="291"/>
        <v>-13700</v>
      </c>
      <c r="AZ197" s="165">
        <f t="shared" si="292"/>
        <v>1</v>
      </c>
      <c r="BA197" s="329"/>
      <c r="BB197" s="373">
        <v>0</v>
      </c>
      <c r="BC197" s="373">
        <v>0</v>
      </c>
      <c r="BD197" s="373">
        <v>0</v>
      </c>
      <c r="BE197" s="373">
        <v>0</v>
      </c>
      <c r="BF197" s="373">
        <v>250</v>
      </c>
      <c r="BG197" s="373">
        <v>5250</v>
      </c>
      <c r="BH197" s="374">
        <v>9600</v>
      </c>
      <c r="BI197" s="373">
        <v>-4800</v>
      </c>
      <c r="BJ197" s="373">
        <v>0</v>
      </c>
      <c r="BK197" s="373">
        <v>0</v>
      </c>
      <c r="BL197" s="373">
        <v>-24000</v>
      </c>
      <c r="BM197" s="373">
        <v>0</v>
      </c>
      <c r="BN197" s="402">
        <v>-13700</v>
      </c>
      <c r="BO197" s="329"/>
      <c r="BP197" s="374">
        <v>8333.3333333333321</v>
      </c>
      <c r="BQ197" s="374">
        <v>8333.3333333333321</v>
      </c>
      <c r="BR197" s="374">
        <v>8333.3333333333321</v>
      </c>
      <c r="BS197" s="374">
        <v>8333.3333333333321</v>
      </c>
      <c r="BT197" s="374">
        <v>8333.3333333333321</v>
      </c>
      <c r="BU197" s="374">
        <v>8333.3333333333321</v>
      </c>
      <c r="BV197" s="374">
        <v>8333.3333333333321</v>
      </c>
      <c r="BW197" s="374">
        <v>8333.3333333333321</v>
      </c>
      <c r="BX197" s="374">
        <v>8333.3333333333321</v>
      </c>
      <c r="BY197" s="374">
        <v>8333.3333333333321</v>
      </c>
      <c r="BZ197" s="374">
        <v>8333.3333333333321</v>
      </c>
      <c r="CA197" s="374">
        <v>68333.333333333314</v>
      </c>
      <c r="CB197" s="402">
        <f t="shared" si="282"/>
        <v>159999.99999999994</v>
      </c>
      <c r="CC197" s="776">
        <f t="shared" si="274"/>
        <v>173699.99999999994</v>
      </c>
      <c r="CD197" s="775">
        <f t="shared" si="275"/>
        <v>1.0856250000000001</v>
      </c>
      <c r="CE197" s="772"/>
      <c r="CF197" s="374">
        <v>800</v>
      </c>
      <c r="CG197" s="374">
        <v>0</v>
      </c>
      <c r="CH197" s="374">
        <v>0</v>
      </c>
      <c r="CI197" s="374">
        <v>0</v>
      </c>
      <c r="CJ197" s="374">
        <v>55000</v>
      </c>
      <c r="CK197" s="374">
        <v>0</v>
      </c>
      <c r="CL197" s="374">
        <v>8000</v>
      </c>
      <c r="CM197" s="374">
        <v>0</v>
      </c>
      <c r="CN197" s="374">
        <v>144600</v>
      </c>
      <c r="CO197" s="374">
        <v>-126500</v>
      </c>
      <c r="CP197" s="374">
        <v>8000</v>
      </c>
      <c r="CQ197" s="374">
        <v>10000</v>
      </c>
      <c r="CR197" s="374">
        <v>0</v>
      </c>
      <c r="CS197" s="402">
        <f t="shared" si="276"/>
        <v>99900</v>
      </c>
      <c r="CT197" s="776">
        <f t="shared" si="277"/>
        <v>113600</v>
      </c>
      <c r="CU197" s="165">
        <f t="shared" si="278"/>
        <v>1.137137137137137</v>
      </c>
      <c r="CV197" s="329"/>
      <c r="CW197" s="373">
        <v>-65000</v>
      </c>
      <c r="CX197" s="373">
        <v>0</v>
      </c>
      <c r="CY197" s="373">
        <v>65000</v>
      </c>
      <c r="CZ197" s="373">
        <v>-59000</v>
      </c>
      <c r="DA197" s="373">
        <v>0</v>
      </c>
      <c r="DB197" s="373">
        <v>0</v>
      </c>
      <c r="DC197" s="374">
        <v>0</v>
      </c>
      <c r="DD197" s="373">
        <v>3100</v>
      </c>
      <c r="DE197" s="373">
        <v>0</v>
      </c>
      <c r="DF197" s="373">
        <v>0</v>
      </c>
      <c r="DG197" s="373">
        <v>0</v>
      </c>
      <c r="DH197" s="373">
        <v>38000</v>
      </c>
      <c r="DI197" s="375">
        <f t="shared" si="279"/>
        <v>-17900</v>
      </c>
      <c r="DJ197" s="329"/>
      <c r="DK197" s="373">
        <v>0</v>
      </c>
      <c r="DL197" s="373">
        <v>0</v>
      </c>
      <c r="DM197" s="373">
        <v>0</v>
      </c>
      <c r="DN197" s="373">
        <v>8000</v>
      </c>
      <c r="DO197" s="373">
        <v>0</v>
      </c>
      <c r="DP197" s="373">
        <v>0</v>
      </c>
      <c r="DQ197" s="374">
        <v>0</v>
      </c>
      <c r="DR197" s="373">
        <v>155000</v>
      </c>
      <c r="DS197" s="373">
        <v>-5000</v>
      </c>
      <c r="DT197" s="373">
        <v>5000</v>
      </c>
      <c r="DU197" s="373">
        <v>0</v>
      </c>
      <c r="DV197" s="373">
        <v>68200</v>
      </c>
      <c r="DW197" s="375">
        <f t="shared" si="280"/>
        <v>231200</v>
      </c>
      <c r="DY197" s="373">
        <v>0</v>
      </c>
      <c r="DZ197" s="373">
        <v>0</v>
      </c>
      <c r="EA197" s="373">
        <v>0</v>
      </c>
      <c r="EB197" s="373">
        <v>0</v>
      </c>
      <c r="EC197" s="373">
        <v>0</v>
      </c>
      <c r="ED197" s="373">
        <v>0</v>
      </c>
      <c r="EE197" s="374">
        <v>0</v>
      </c>
      <c r="EF197" s="373">
        <v>0</v>
      </c>
      <c r="EG197" s="373">
        <v>0</v>
      </c>
      <c r="EH197" s="373">
        <v>0</v>
      </c>
      <c r="EI197" s="373">
        <v>800</v>
      </c>
      <c r="EJ197" s="373">
        <v>0</v>
      </c>
      <c r="EK197" s="375">
        <f t="shared" si="293"/>
        <v>800</v>
      </c>
      <c r="EL197" s="177"/>
      <c r="EM197" s="373">
        <v>0</v>
      </c>
      <c r="EN197" s="373">
        <v>0</v>
      </c>
      <c r="EO197" s="373">
        <v>0</v>
      </c>
      <c r="EP197" s="373">
        <v>0</v>
      </c>
      <c r="EQ197" s="373">
        <v>0</v>
      </c>
      <c r="ER197" s="373">
        <v>0</v>
      </c>
      <c r="ES197" s="374">
        <v>0</v>
      </c>
      <c r="ET197" s="373">
        <v>2000</v>
      </c>
      <c r="EU197" s="373">
        <v>0</v>
      </c>
      <c r="EV197" s="373">
        <v>0</v>
      </c>
      <c r="EW197" s="373">
        <v>0</v>
      </c>
      <c r="EX197" s="373">
        <v>0</v>
      </c>
      <c r="EY197" s="375">
        <f t="shared" si="294"/>
        <v>2000</v>
      </c>
      <c r="EZ197" s="164">
        <v>0</v>
      </c>
      <c r="FA197" s="185">
        <v>0</v>
      </c>
    </row>
    <row r="198" spans="1:157" ht="18.75" customHeight="1">
      <c r="A198" s="185" t="s">
        <v>327</v>
      </c>
      <c r="B198" s="774"/>
      <c r="C198" s="176" t="s">
        <v>969</v>
      </c>
      <c r="D198" s="176">
        <v>63401000</v>
      </c>
      <c r="E198" s="773"/>
      <c r="F198" s="320" t="s">
        <v>682</v>
      </c>
      <c r="G198" s="329"/>
      <c r="H198" s="373"/>
      <c r="I198" s="373"/>
      <c r="J198" s="373"/>
      <c r="K198" s="373"/>
      <c r="L198" s="373"/>
      <c r="M198" s="373"/>
      <c r="N198" s="374"/>
      <c r="O198" s="373"/>
      <c r="P198" s="373"/>
      <c r="Q198" s="373"/>
      <c r="R198" s="373"/>
      <c r="S198" s="373"/>
      <c r="T198" s="375">
        <f t="shared" si="287"/>
        <v>0</v>
      </c>
      <c r="U198" s="378">
        <f t="shared" si="289"/>
        <v>0</v>
      </c>
      <c r="V198" s="165" t="e">
        <f t="shared" si="290"/>
        <v>#DIV/0!</v>
      </c>
      <c r="W198" s="329"/>
      <c r="X198" s="373">
        <v>0</v>
      </c>
      <c r="Y198" s="373">
        <v>0</v>
      </c>
      <c r="Z198" s="373">
        <v>0</v>
      </c>
      <c r="AA198" s="373">
        <v>0</v>
      </c>
      <c r="AB198" s="373">
        <v>0</v>
      </c>
      <c r="AC198" s="373">
        <v>0</v>
      </c>
      <c r="AD198" s="374">
        <v>0</v>
      </c>
      <c r="AE198" s="373">
        <v>0</v>
      </c>
      <c r="AF198" s="373">
        <v>0</v>
      </c>
      <c r="AG198" s="373">
        <v>0</v>
      </c>
      <c r="AH198" s="373">
        <v>0</v>
      </c>
      <c r="AI198" s="373">
        <v>0</v>
      </c>
      <c r="AJ198" s="375">
        <f t="shared" si="288"/>
        <v>0</v>
      </c>
      <c r="AK198" s="329"/>
      <c r="AL198" s="373">
        <v>0</v>
      </c>
      <c r="AM198" s="373">
        <v>0</v>
      </c>
      <c r="AN198" s="373">
        <v>0</v>
      </c>
      <c r="AO198" s="373">
        <v>0</v>
      </c>
      <c r="AP198" s="373">
        <v>0</v>
      </c>
      <c r="AQ198" s="373">
        <v>0</v>
      </c>
      <c r="AR198" s="374">
        <v>0</v>
      </c>
      <c r="AS198" s="373">
        <v>0</v>
      </c>
      <c r="AT198" s="373">
        <v>0</v>
      </c>
      <c r="AU198" s="373">
        <v>0</v>
      </c>
      <c r="AV198" s="373">
        <v>0</v>
      </c>
      <c r="AW198" s="373">
        <v>0</v>
      </c>
      <c r="AX198" s="375">
        <v>0</v>
      </c>
      <c r="AY198" s="378">
        <f t="shared" si="291"/>
        <v>0</v>
      </c>
      <c r="AZ198" s="165" t="e">
        <f t="shared" si="292"/>
        <v>#DIV/0!</v>
      </c>
      <c r="BA198" s="329"/>
      <c r="BB198" s="373">
        <v>0</v>
      </c>
      <c r="BC198" s="373">
        <v>0</v>
      </c>
      <c r="BD198" s="373">
        <v>0</v>
      </c>
      <c r="BE198" s="373">
        <v>0</v>
      </c>
      <c r="BF198" s="373">
        <v>0</v>
      </c>
      <c r="BG198" s="373">
        <v>0</v>
      </c>
      <c r="BH198" s="374">
        <v>0</v>
      </c>
      <c r="BI198" s="373">
        <v>0</v>
      </c>
      <c r="BJ198" s="373">
        <v>0</v>
      </c>
      <c r="BK198" s="373">
        <v>0</v>
      </c>
      <c r="BL198" s="373">
        <v>0</v>
      </c>
      <c r="BM198" s="373">
        <v>0</v>
      </c>
      <c r="BN198" s="402">
        <f t="shared" si="295"/>
        <v>0</v>
      </c>
      <c r="BO198" s="329"/>
      <c r="BP198" s="374">
        <v>0</v>
      </c>
      <c r="BQ198" s="374">
        <v>0</v>
      </c>
      <c r="BR198" s="374">
        <v>0</v>
      </c>
      <c r="BS198" s="374">
        <v>0</v>
      </c>
      <c r="BT198" s="374">
        <v>0</v>
      </c>
      <c r="BU198" s="374">
        <v>0</v>
      </c>
      <c r="BV198" s="374">
        <v>0</v>
      </c>
      <c r="BW198" s="374">
        <v>0</v>
      </c>
      <c r="BX198" s="374">
        <v>0</v>
      </c>
      <c r="BY198" s="374">
        <v>0</v>
      </c>
      <c r="BZ198" s="374">
        <v>0</v>
      </c>
      <c r="CA198" s="374">
        <v>0</v>
      </c>
      <c r="CB198" s="402">
        <f t="shared" si="282"/>
        <v>0</v>
      </c>
      <c r="CC198" s="776">
        <f t="shared" si="274"/>
        <v>0</v>
      </c>
      <c r="CD198" s="775" t="str">
        <f t="shared" si="275"/>
        <v>N/A</v>
      </c>
      <c r="CE198" s="772"/>
      <c r="CF198" s="374">
        <v>0</v>
      </c>
      <c r="CG198" s="374">
        <v>0</v>
      </c>
      <c r="CH198" s="374">
        <v>0</v>
      </c>
      <c r="CI198" s="374">
        <v>0</v>
      </c>
      <c r="CJ198" s="374">
        <v>0</v>
      </c>
      <c r="CK198" s="374">
        <v>0</v>
      </c>
      <c r="CL198" s="374">
        <v>0</v>
      </c>
      <c r="CM198" s="374">
        <v>0</v>
      </c>
      <c r="CN198" s="374">
        <v>0</v>
      </c>
      <c r="CO198" s="374">
        <v>0</v>
      </c>
      <c r="CP198" s="374">
        <v>0</v>
      </c>
      <c r="CQ198" s="374">
        <v>0</v>
      </c>
      <c r="CR198" s="374">
        <v>0</v>
      </c>
      <c r="CS198" s="402">
        <f t="shared" si="276"/>
        <v>0</v>
      </c>
      <c r="CT198" s="776">
        <f t="shared" si="277"/>
        <v>0</v>
      </c>
      <c r="CU198" s="165" t="str">
        <f t="shared" si="278"/>
        <v>N/A</v>
      </c>
      <c r="CV198" s="329"/>
      <c r="CW198" s="373">
        <v>0</v>
      </c>
      <c r="CX198" s="373">
        <v>0</v>
      </c>
      <c r="CY198" s="373">
        <v>0</v>
      </c>
      <c r="CZ198" s="373">
        <v>0</v>
      </c>
      <c r="DA198" s="373">
        <v>0</v>
      </c>
      <c r="DB198" s="373">
        <v>0</v>
      </c>
      <c r="DC198" s="374">
        <v>0</v>
      </c>
      <c r="DD198" s="373">
        <v>0</v>
      </c>
      <c r="DE198" s="373">
        <v>0</v>
      </c>
      <c r="DF198" s="373">
        <v>0</v>
      </c>
      <c r="DG198" s="373">
        <v>0</v>
      </c>
      <c r="DH198" s="373">
        <v>0</v>
      </c>
      <c r="DI198" s="375">
        <f t="shared" si="279"/>
        <v>0</v>
      </c>
      <c r="DJ198" s="329"/>
      <c r="DK198" s="373">
        <v>0</v>
      </c>
      <c r="DL198" s="373">
        <v>0</v>
      </c>
      <c r="DM198" s="373">
        <v>0</v>
      </c>
      <c r="DN198" s="373">
        <v>0</v>
      </c>
      <c r="DO198" s="373">
        <v>0</v>
      </c>
      <c r="DP198" s="373">
        <v>0</v>
      </c>
      <c r="DQ198" s="374">
        <v>0</v>
      </c>
      <c r="DR198" s="373">
        <v>0</v>
      </c>
      <c r="DS198" s="373">
        <v>0</v>
      </c>
      <c r="DT198" s="373">
        <v>0</v>
      </c>
      <c r="DU198" s="373">
        <v>0</v>
      </c>
      <c r="DV198" s="373">
        <v>0</v>
      </c>
      <c r="DW198" s="375">
        <f t="shared" si="280"/>
        <v>0</v>
      </c>
      <c r="DY198" s="373">
        <v>0</v>
      </c>
      <c r="DZ198" s="373">
        <v>0</v>
      </c>
      <c r="EA198" s="373">
        <v>0</v>
      </c>
      <c r="EB198" s="373">
        <v>0</v>
      </c>
      <c r="EC198" s="373">
        <v>0</v>
      </c>
      <c r="ED198" s="373">
        <v>0</v>
      </c>
      <c r="EE198" s="374">
        <v>0</v>
      </c>
      <c r="EF198" s="373">
        <v>0</v>
      </c>
      <c r="EG198" s="373">
        <v>0</v>
      </c>
      <c r="EH198" s="373">
        <v>0</v>
      </c>
      <c r="EI198" s="373">
        <v>0</v>
      </c>
      <c r="EJ198" s="373">
        <v>0</v>
      </c>
      <c r="EK198" s="375">
        <f t="shared" si="293"/>
        <v>0</v>
      </c>
      <c r="EL198" s="177"/>
      <c r="EM198" s="373">
        <v>0</v>
      </c>
      <c r="EN198" s="373">
        <v>0</v>
      </c>
      <c r="EO198" s="373">
        <v>0</v>
      </c>
      <c r="EP198" s="373">
        <v>0</v>
      </c>
      <c r="EQ198" s="373">
        <v>1200</v>
      </c>
      <c r="ER198" s="373">
        <v>0</v>
      </c>
      <c r="ES198" s="374">
        <v>0</v>
      </c>
      <c r="ET198" s="373">
        <v>0</v>
      </c>
      <c r="EU198" s="373">
        <v>0</v>
      </c>
      <c r="EV198" s="373">
        <v>0</v>
      </c>
      <c r="EW198" s="373">
        <v>0</v>
      </c>
      <c r="EX198" s="373">
        <v>0</v>
      </c>
      <c r="EY198" s="375">
        <f t="shared" si="294"/>
        <v>1200</v>
      </c>
      <c r="EZ198" s="164">
        <v>0</v>
      </c>
      <c r="FA198" s="185">
        <v>0</v>
      </c>
    </row>
    <row r="199" spans="1:157" ht="18.75" customHeight="1">
      <c r="A199" s="185" t="s">
        <v>327</v>
      </c>
      <c r="B199" s="774"/>
      <c r="C199" s="176" t="s">
        <v>968</v>
      </c>
      <c r="D199" s="176">
        <v>63490000</v>
      </c>
      <c r="E199" s="773"/>
      <c r="F199" s="320" t="s">
        <v>683</v>
      </c>
      <c r="G199" s="329"/>
      <c r="H199" s="373"/>
      <c r="I199" s="373"/>
      <c r="J199" s="373"/>
      <c r="K199" s="373"/>
      <c r="L199" s="373"/>
      <c r="M199" s="373"/>
      <c r="N199" s="374"/>
      <c r="O199" s="373"/>
      <c r="P199" s="373"/>
      <c r="Q199" s="373"/>
      <c r="R199" s="373"/>
      <c r="S199" s="373"/>
      <c r="T199" s="375">
        <f t="shared" si="287"/>
        <v>0</v>
      </c>
      <c r="U199" s="776">
        <f t="shared" si="289"/>
        <v>0</v>
      </c>
      <c r="V199" s="775" t="e">
        <f t="shared" si="290"/>
        <v>#DIV/0!</v>
      </c>
      <c r="W199" s="329"/>
      <c r="X199" s="373">
        <v>0</v>
      </c>
      <c r="Y199" s="373">
        <v>0</v>
      </c>
      <c r="Z199" s="373">
        <v>0</v>
      </c>
      <c r="AA199" s="373">
        <v>0</v>
      </c>
      <c r="AB199" s="373">
        <v>0</v>
      </c>
      <c r="AC199" s="373">
        <v>0</v>
      </c>
      <c r="AD199" s="374">
        <v>0</v>
      </c>
      <c r="AE199" s="373">
        <v>0</v>
      </c>
      <c r="AF199" s="373">
        <v>0</v>
      </c>
      <c r="AG199" s="373">
        <v>0</v>
      </c>
      <c r="AH199" s="373">
        <v>0</v>
      </c>
      <c r="AI199" s="373">
        <v>0</v>
      </c>
      <c r="AJ199" s="375">
        <f t="shared" si="288"/>
        <v>0</v>
      </c>
      <c r="AK199" s="329"/>
      <c r="AL199" s="373">
        <v>0</v>
      </c>
      <c r="AM199" s="373">
        <v>0</v>
      </c>
      <c r="AN199" s="373">
        <v>0</v>
      </c>
      <c r="AO199" s="373">
        <v>0</v>
      </c>
      <c r="AP199" s="373">
        <v>0</v>
      </c>
      <c r="AQ199" s="373">
        <v>0</v>
      </c>
      <c r="AR199" s="374">
        <v>0</v>
      </c>
      <c r="AS199" s="373">
        <v>0</v>
      </c>
      <c r="AT199" s="373">
        <v>0</v>
      </c>
      <c r="AU199" s="373">
        <v>0</v>
      </c>
      <c r="AV199" s="373">
        <v>0</v>
      </c>
      <c r="AW199" s="373">
        <v>0</v>
      </c>
      <c r="AX199" s="375">
        <v>0</v>
      </c>
      <c r="AY199" s="776">
        <f t="shared" si="291"/>
        <v>0</v>
      </c>
      <c r="AZ199" s="775" t="e">
        <f t="shared" si="292"/>
        <v>#DIV/0!</v>
      </c>
      <c r="BA199" s="329"/>
      <c r="BB199" s="373">
        <v>0</v>
      </c>
      <c r="BC199" s="373">
        <v>0</v>
      </c>
      <c r="BD199" s="373">
        <v>0</v>
      </c>
      <c r="BE199" s="373">
        <v>0</v>
      </c>
      <c r="BF199" s="373">
        <v>0</v>
      </c>
      <c r="BG199" s="373">
        <v>0</v>
      </c>
      <c r="BH199" s="374">
        <v>0</v>
      </c>
      <c r="BI199" s="373">
        <v>0</v>
      </c>
      <c r="BJ199" s="373">
        <v>0</v>
      </c>
      <c r="BK199" s="373">
        <v>0</v>
      </c>
      <c r="BL199" s="373">
        <v>0</v>
      </c>
      <c r="BM199" s="373">
        <v>0</v>
      </c>
      <c r="BN199" s="402">
        <f t="shared" si="295"/>
        <v>0</v>
      </c>
      <c r="BO199" s="329"/>
      <c r="BP199" s="374">
        <v>0</v>
      </c>
      <c r="BQ199" s="374">
        <v>0</v>
      </c>
      <c r="BR199" s="374">
        <v>0</v>
      </c>
      <c r="BS199" s="374">
        <v>0</v>
      </c>
      <c r="BT199" s="374">
        <v>0</v>
      </c>
      <c r="BU199" s="374">
        <v>0</v>
      </c>
      <c r="BV199" s="374">
        <v>0</v>
      </c>
      <c r="BW199" s="374">
        <v>0</v>
      </c>
      <c r="BX199" s="374">
        <v>0</v>
      </c>
      <c r="BY199" s="374">
        <v>0</v>
      </c>
      <c r="BZ199" s="374">
        <v>0</v>
      </c>
      <c r="CA199" s="374">
        <v>0</v>
      </c>
      <c r="CB199" s="402">
        <f t="shared" si="282"/>
        <v>0</v>
      </c>
      <c r="CC199" s="776">
        <f t="shared" si="274"/>
        <v>0</v>
      </c>
      <c r="CD199" s="775" t="str">
        <f t="shared" si="275"/>
        <v>N/A</v>
      </c>
      <c r="CE199" s="772"/>
      <c r="CF199" s="374">
        <v>0</v>
      </c>
      <c r="CG199" s="374">
        <v>400</v>
      </c>
      <c r="CH199" s="374">
        <v>400</v>
      </c>
      <c r="CI199" s="374">
        <v>0</v>
      </c>
      <c r="CJ199" s="374">
        <v>0</v>
      </c>
      <c r="CK199" s="374">
        <v>0</v>
      </c>
      <c r="CL199" s="374">
        <v>0</v>
      </c>
      <c r="CM199" s="374">
        <v>-400</v>
      </c>
      <c r="CN199" s="374">
        <v>400</v>
      </c>
      <c r="CO199" s="374">
        <v>0</v>
      </c>
      <c r="CP199" s="374">
        <v>0</v>
      </c>
      <c r="CQ199" s="374">
        <v>0</v>
      </c>
      <c r="CR199" s="374">
        <v>0</v>
      </c>
      <c r="CS199" s="402">
        <f t="shared" si="276"/>
        <v>800</v>
      </c>
      <c r="CT199" s="776">
        <f t="shared" si="277"/>
        <v>800</v>
      </c>
      <c r="CU199" s="165">
        <f t="shared" si="278"/>
        <v>1</v>
      </c>
      <c r="CV199" s="329"/>
      <c r="CW199" s="373">
        <v>0</v>
      </c>
      <c r="CX199" s="373">
        <v>0</v>
      </c>
      <c r="CY199" s="373">
        <v>0</v>
      </c>
      <c r="CZ199" s="373">
        <v>0</v>
      </c>
      <c r="DA199" s="373">
        <v>0</v>
      </c>
      <c r="DB199" s="373">
        <v>0</v>
      </c>
      <c r="DC199" s="374">
        <v>0</v>
      </c>
      <c r="DD199" s="373">
        <v>0</v>
      </c>
      <c r="DE199" s="373">
        <v>0</v>
      </c>
      <c r="DF199" s="373">
        <v>0</v>
      </c>
      <c r="DG199" s="373">
        <v>0</v>
      </c>
      <c r="DH199" s="373">
        <v>0</v>
      </c>
      <c r="DI199" s="375">
        <f t="shared" si="279"/>
        <v>0</v>
      </c>
      <c r="DJ199" s="329"/>
      <c r="DK199" s="373">
        <v>0</v>
      </c>
      <c r="DL199" s="373">
        <v>0</v>
      </c>
      <c r="DM199" s="373">
        <v>0</v>
      </c>
      <c r="DN199" s="373">
        <v>0</v>
      </c>
      <c r="DO199" s="373">
        <v>0</v>
      </c>
      <c r="DP199" s="373">
        <v>0</v>
      </c>
      <c r="DQ199" s="374">
        <v>0</v>
      </c>
      <c r="DR199" s="373">
        <v>0</v>
      </c>
      <c r="DS199" s="373">
        <v>0</v>
      </c>
      <c r="DT199" s="373">
        <v>0</v>
      </c>
      <c r="DU199" s="373">
        <v>0</v>
      </c>
      <c r="DV199" s="373">
        <v>0</v>
      </c>
      <c r="DW199" s="375">
        <f t="shared" si="280"/>
        <v>0</v>
      </c>
      <c r="DY199" s="373">
        <v>0</v>
      </c>
      <c r="DZ199" s="373">
        <v>0</v>
      </c>
      <c r="EA199" s="373">
        <v>610</v>
      </c>
      <c r="EB199" s="373">
        <v>80000</v>
      </c>
      <c r="EC199" s="373">
        <v>0</v>
      </c>
      <c r="ED199" s="373">
        <v>0</v>
      </c>
      <c r="EE199" s="374">
        <v>-79150</v>
      </c>
      <c r="EF199" s="373">
        <v>0</v>
      </c>
      <c r="EG199" s="373">
        <v>0</v>
      </c>
      <c r="EH199" s="373">
        <v>0</v>
      </c>
      <c r="EI199" s="373">
        <v>0</v>
      </c>
      <c r="EJ199" s="373">
        <v>0</v>
      </c>
      <c r="EK199" s="375">
        <f t="shared" si="293"/>
        <v>1460</v>
      </c>
      <c r="EL199" s="177"/>
      <c r="EM199" s="373">
        <v>0</v>
      </c>
      <c r="EN199" s="373">
        <v>0</v>
      </c>
      <c r="EO199" s="373">
        <v>0</v>
      </c>
      <c r="EP199" s="373">
        <v>0</v>
      </c>
      <c r="EQ199" s="373">
        <v>1500</v>
      </c>
      <c r="ER199" s="373">
        <v>0</v>
      </c>
      <c r="ES199" s="374">
        <v>0</v>
      </c>
      <c r="ET199" s="373">
        <v>1020</v>
      </c>
      <c r="EU199" s="373">
        <v>610</v>
      </c>
      <c r="EV199" s="373">
        <v>0</v>
      </c>
      <c r="EW199" s="373">
        <v>0</v>
      </c>
      <c r="EX199" s="373">
        <v>0</v>
      </c>
      <c r="EY199" s="375">
        <f t="shared" si="294"/>
        <v>3130</v>
      </c>
      <c r="EZ199" s="164">
        <v>0</v>
      </c>
      <c r="FA199" s="185">
        <v>0</v>
      </c>
    </row>
    <row r="200" spans="1:157" ht="18.75" customHeight="1">
      <c r="A200" s="185" t="s">
        <v>327</v>
      </c>
      <c r="B200" s="774"/>
      <c r="C200" s="176" t="s">
        <v>967</v>
      </c>
      <c r="D200" s="176">
        <v>63501000</v>
      </c>
      <c r="E200" s="773"/>
      <c r="F200" s="320" t="s">
        <v>684</v>
      </c>
      <c r="G200" s="329"/>
      <c r="H200" s="373"/>
      <c r="I200" s="373"/>
      <c r="J200" s="373"/>
      <c r="K200" s="373"/>
      <c r="L200" s="373"/>
      <c r="M200" s="373"/>
      <c r="N200" s="374"/>
      <c r="O200" s="373"/>
      <c r="P200" s="373"/>
      <c r="Q200" s="373"/>
      <c r="R200" s="373"/>
      <c r="S200" s="377">
        <v>7469932.2903815396</v>
      </c>
      <c r="T200" s="375">
        <f t="shared" si="287"/>
        <v>7469932.2903815396</v>
      </c>
      <c r="U200" s="776">
        <f t="shared" si="289"/>
        <v>-1170692.2903815396</v>
      </c>
      <c r="V200" s="775">
        <f t="shared" si="290"/>
        <v>-0.18584659266539133</v>
      </c>
      <c r="W200" s="329"/>
      <c r="X200" s="373">
        <v>0</v>
      </c>
      <c r="Y200" s="373">
        <v>498200</v>
      </c>
      <c r="Z200" s="373">
        <v>507018</v>
      </c>
      <c r="AA200" s="373">
        <v>694542</v>
      </c>
      <c r="AB200" s="373">
        <v>-413000</v>
      </c>
      <c r="AC200" s="373">
        <v>5000</v>
      </c>
      <c r="AD200" s="374">
        <v>382100</v>
      </c>
      <c r="AE200" s="373">
        <v>799000</v>
      </c>
      <c r="AF200" s="373">
        <v>-57000</v>
      </c>
      <c r="AG200" s="373">
        <v>0</v>
      </c>
      <c r="AH200" s="373">
        <v>491580</v>
      </c>
      <c r="AI200" s="373">
        <v>3391800</v>
      </c>
      <c r="AJ200" s="375">
        <f t="shared" si="288"/>
        <v>6299240</v>
      </c>
      <c r="AK200" s="329"/>
      <c r="AL200" s="373">
        <v>698166.66666666674</v>
      </c>
      <c r="AM200" s="373">
        <v>698166.66666666674</v>
      </c>
      <c r="AN200" s="373">
        <v>698166.66666666674</v>
      </c>
      <c r="AO200" s="373">
        <v>698166.66666666674</v>
      </c>
      <c r="AP200" s="373">
        <v>698166.66666666674</v>
      </c>
      <c r="AQ200" s="373">
        <v>698166.66666666674</v>
      </c>
      <c r="AR200" s="374">
        <v>698166.66666666674</v>
      </c>
      <c r="AS200" s="373">
        <v>698166.66666666674</v>
      </c>
      <c r="AT200" s="373">
        <v>698166.66666666674</v>
      </c>
      <c r="AU200" s="373">
        <v>698166.66666666674</v>
      </c>
      <c r="AV200" s="373">
        <v>698166.66666666674</v>
      </c>
      <c r="AW200" s="373">
        <v>698166.66666666674</v>
      </c>
      <c r="AX200" s="375">
        <v>8378000</v>
      </c>
      <c r="AY200" s="776">
        <f t="shared" si="291"/>
        <v>-6357707.3499999996</v>
      </c>
      <c r="AZ200" s="775">
        <f t="shared" si="292"/>
        <v>-3.1469239617339593</v>
      </c>
      <c r="BA200" s="329"/>
      <c r="BB200" s="373">
        <v>80227.399999999994</v>
      </c>
      <c r="BC200" s="373">
        <v>53140</v>
      </c>
      <c r="BD200" s="373">
        <v>86106.07</v>
      </c>
      <c r="BE200" s="373">
        <v>608280</v>
      </c>
      <c r="BF200" s="373">
        <v>148000</v>
      </c>
      <c r="BG200" s="373">
        <v>267060</v>
      </c>
      <c r="BH200" s="374">
        <v>162041.1</v>
      </c>
      <c r="BI200" s="373">
        <v>319491.88</v>
      </c>
      <c r="BJ200" s="373">
        <v>166500</v>
      </c>
      <c r="BK200" s="373">
        <v>710000</v>
      </c>
      <c r="BL200" s="373">
        <v>-580553.80000000005</v>
      </c>
      <c r="BM200" s="373">
        <v>0</v>
      </c>
      <c r="BN200" s="402">
        <f t="shared" si="295"/>
        <v>2020292.6500000001</v>
      </c>
      <c r="BO200" s="329"/>
      <c r="BP200" s="374">
        <v>1191250</v>
      </c>
      <c r="BQ200" s="374">
        <v>1191250</v>
      </c>
      <c r="BR200" s="374">
        <v>1191250</v>
      </c>
      <c r="BS200" s="374">
        <v>1191250</v>
      </c>
      <c r="BT200" s="374">
        <v>1191250</v>
      </c>
      <c r="BU200" s="374">
        <v>1191250</v>
      </c>
      <c r="BV200" s="374">
        <v>1191250</v>
      </c>
      <c r="BW200" s="374">
        <v>1191250</v>
      </c>
      <c r="BX200" s="374">
        <v>1191250</v>
      </c>
      <c r="BY200" s="374">
        <v>1191250</v>
      </c>
      <c r="BZ200" s="374">
        <v>1191250</v>
      </c>
      <c r="CA200" s="374">
        <v>1191250</v>
      </c>
      <c r="CB200" s="402">
        <f t="shared" si="282"/>
        <v>14295000</v>
      </c>
      <c r="CC200" s="776">
        <f t="shared" si="274"/>
        <v>12274707.35</v>
      </c>
      <c r="CD200" s="775">
        <f t="shared" si="275"/>
        <v>0.85867137810423222</v>
      </c>
      <c r="CE200" s="772"/>
      <c r="CF200" s="374">
        <v>120000</v>
      </c>
      <c r="CG200" s="374">
        <v>280200</v>
      </c>
      <c r="CH200" s="374">
        <v>247550</v>
      </c>
      <c r="CI200" s="374">
        <v>1107500</v>
      </c>
      <c r="CJ200" s="374">
        <v>299700</v>
      </c>
      <c r="CK200" s="374">
        <v>1012796</v>
      </c>
      <c r="CL200" s="374">
        <v>1112550</v>
      </c>
      <c r="CM200" s="374">
        <v>1728228.14</v>
      </c>
      <c r="CN200" s="374">
        <v>761374</v>
      </c>
      <c r="CO200" s="374">
        <v>807325.67</v>
      </c>
      <c r="CP200" s="374">
        <v>906850</v>
      </c>
      <c r="CQ200" s="374">
        <v>695877.4</v>
      </c>
      <c r="CR200" s="374">
        <v>0</v>
      </c>
      <c r="CS200" s="402">
        <f t="shared" si="276"/>
        <v>9079951.209999999</v>
      </c>
      <c r="CT200" s="776">
        <f t="shared" si="277"/>
        <v>7059658.5599999987</v>
      </c>
      <c r="CU200" s="165">
        <f t="shared" si="278"/>
        <v>0.77749961389935696</v>
      </c>
      <c r="CV200" s="329"/>
      <c r="CW200" s="373">
        <v>20000</v>
      </c>
      <c r="CX200" s="373">
        <v>270000</v>
      </c>
      <c r="CY200" s="373">
        <v>200000</v>
      </c>
      <c r="CZ200" s="373">
        <v>69614.289999999994</v>
      </c>
      <c r="DA200" s="373">
        <v>1408478.54</v>
      </c>
      <c r="DB200" s="373">
        <v>355366.66</v>
      </c>
      <c r="DC200" s="374">
        <v>838055.07</v>
      </c>
      <c r="DD200" s="373">
        <v>812516.33</v>
      </c>
      <c r="DE200" s="373">
        <v>1647082.09</v>
      </c>
      <c r="DF200" s="373">
        <v>722905.82</v>
      </c>
      <c r="DG200" s="373">
        <v>255533.91</v>
      </c>
      <c r="DH200" s="373">
        <v>421200</v>
      </c>
      <c r="DI200" s="375">
        <f t="shared" si="279"/>
        <v>7020752.7100000009</v>
      </c>
      <c r="DJ200" s="329"/>
      <c r="DK200" s="373">
        <v>388000</v>
      </c>
      <c r="DL200" s="373">
        <v>282770</v>
      </c>
      <c r="DM200" s="373">
        <v>122000</v>
      </c>
      <c r="DN200" s="373">
        <v>496107.65</v>
      </c>
      <c r="DO200" s="373">
        <v>100000</v>
      </c>
      <c r="DP200" s="373">
        <v>65000</v>
      </c>
      <c r="DQ200" s="374">
        <v>1871170.89</v>
      </c>
      <c r="DR200" s="373">
        <v>290311.11</v>
      </c>
      <c r="DS200" s="373">
        <v>1303231.77</v>
      </c>
      <c r="DT200" s="373">
        <v>535336.81999999995</v>
      </c>
      <c r="DU200" s="373">
        <v>129946.62</v>
      </c>
      <c r="DV200" s="373">
        <v>694850</v>
      </c>
      <c r="DW200" s="375">
        <f t="shared" si="280"/>
        <v>6278724.8600000003</v>
      </c>
      <c r="DY200" s="373">
        <v>90000</v>
      </c>
      <c r="DZ200" s="373">
        <v>52067.15</v>
      </c>
      <c r="EA200" s="373">
        <v>8520.0499999999993</v>
      </c>
      <c r="EB200" s="373">
        <v>46236.15</v>
      </c>
      <c r="EC200" s="373">
        <v>322391.98</v>
      </c>
      <c r="ED200" s="373">
        <v>97167.13</v>
      </c>
      <c r="EE200" s="374">
        <v>1141321.26</v>
      </c>
      <c r="EF200" s="373">
        <v>919257.9</v>
      </c>
      <c r="EG200" s="373">
        <v>790044.23</v>
      </c>
      <c r="EH200" s="373">
        <v>342000</v>
      </c>
      <c r="EI200" s="373">
        <v>233587.09</v>
      </c>
      <c r="EJ200" s="373">
        <v>394200</v>
      </c>
      <c r="EK200" s="375">
        <f t="shared" si="293"/>
        <v>4436792.9399999995</v>
      </c>
      <c r="EL200" s="177"/>
      <c r="EM200" s="373">
        <v>301365.8</v>
      </c>
      <c r="EN200" s="373">
        <v>26844</v>
      </c>
      <c r="EO200" s="373">
        <v>656000</v>
      </c>
      <c r="EP200" s="373">
        <v>433811.56</v>
      </c>
      <c r="EQ200" s="373">
        <v>96000</v>
      </c>
      <c r="ER200" s="373">
        <v>428397</v>
      </c>
      <c r="ES200" s="374">
        <v>670153.12</v>
      </c>
      <c r="ET200" s="373">
        <v>52340.42</v>
      </c>
      <c r="EU200" s="373">
        <v>405291.6</v>
      </c>
      <c r="EV200" s="373">
        <v>0</v>
      </c>
      <c r="EW200" s="373">
        <v>1073226.1100000001</v>
      </c>
      <c r="EX200" s="373">
        <v>33858.160000000003</v>
      </c>
      <c r="EY200" s="375">
        <f t="shared" si="294"/>
        <v>4177287.7700000005</v>
      </c>
      <c r="EZ200" s="164">
        <v>0</v>
      </c>
      <c r="FA200" s="185">
        <v>0</v>
      </c>
    </row>
    <row r="201" spans="1:157" ht="18.75" customHeight="1">
      <c r="A201" s="185" t="s">
        <v>327</v>
      </c>
      <c r="B201" s="774"/>
      <c r="C201" s="176" t="s">
        <v>966</v>
      </c>
      <c r="D201" s="176">
        <v>63590000</v>
      </c>
      <c r="E201" s="773"/>
      <c r="F201" s="320" t="s">
        <v>685</v>
      </c>
      <c r="G201" s="329"/>
      <c r="H201" s="373"/>
      <c r="I201" s="373"/>
      <c r="J201" s="373"/>
      <c r="K201" s="373"/>
      <c r="L201" s="373"/>
      <c r="M201" s="373"/>
      <c r="N201" s="374"/>
      <c r="O201" s="373"/>
      <c r="P201" s="373"/>
      <c r="Q201" s="373"/>
      <c r="R201" s="373"/>
      <c r="S201" s="377">
        <v>1012612.5985603451</v>
      </c>
      <c r="T201" s="375">
        <f t="shared" si="287"/>
        <v>1012612.5985603451</v>
      </c>
      <c r="U201" s="776">
        <f t="shared" si="289"/>
        <v>57827.401439654874</v>
      </c>
      <c r="V201" s="775">
        <f t="shared" si="290"/>
        <v>5.4022085721436859E-2</v>
      </c>
      <c r="W201" s="329"/>
      <c r="X201" s="373">
        <v>60440</v>
      </c>
      <c r="Y201" s="373">
        <v>-11000</v>
      </c>
      <c r="Z201" s="373">
        <v>0</v>
      </c>
      <c r="AA201" s="373">
        <v>0</v>
      </c>
      <c r="AB201" s="373">
        <v>84000</v>
      </c>
      <c r="AC201" s="373">
        <v>-22000</v>
      </c>
      <c r="AD201" s="374">
        <v>22000</v>
      </c>
      <c r="AE201" s="373">
        <v>0</v>
      </c>
      <c r="AF201" s="373">
        <v>1000</v>
      </c>
      <c r="AG201" s="373">
        <v>-18200</v>
      </c>
      <c r="AH201" s="373">
        <v>0</v>
      </c>
      <c r="AI201" s="373">
        <v>954200</v>
      </c>
      <c r="AJ201" s="375">
        <f t="shared" si="288"/>
        <v>1070440</v>
      </c>
      <c r="AK201" s="329"/>
      <c r="AL201" s="373">
        <v>0</v>
      </c>
      <c r="AM201" s="373">
        <v>0</v>
      </c>
      <c r="AN201" s="373">
        <v>0</v>
      </c>
      <c r="AO201" s="373">
        <v>0</v>
      </c>
      <c r="AP201" s="373">
        <v>0</v>
      </c>
      <c r="AQ201" s="373">
        <v>0</v>
      </c>
      <c r="AR201" s="374">
        <v>0</v>
      </c>
      <c r="AS201" s="373">
        <v>0</v>
      </c>
      <c r="AT201" s="373">
        <v>0</v>
      </c>
      <c r="AU201" s="373">
        <v>0</v>
      </c>
      <c r="AV201" s="373">
        <v>0</v>
      </c>
      <c r="AW201" s="373">
        <v>0</v>
      </c>
      <c r="AX201" s="375">
        <v>0</v>
      </c>
      <c r="AY201" s="776">
        <f t="shared" si="291"/>
        <v>708915</v>
      </c>
      <c r="AZ201" s="775">
        <f t="shared" si="292"/>
        <v>1</v>
      </c>
      <c r="BA201" s="329"/>
      <c r="BB201" s="373">
        <v>5000</v>
      </c>
      <c r="BC201" s="373">
        <v>0</v>
      </c>
      <c r="BD201" s="373">
        <v>13400</v>
      </c>
      <c r="BE201" s="373">
        <v>328800</v>
      </c>
      <c r="BF201" s="373">
        <v>70315</v>
      </c>
      <c r="BG201" s="373">
        <v>5000</v>
      </c>
      <c r="BH201" s="374">
        <v>35000</v>
      </c>
      <c r="BI201" s="373">
        <v>0</v>
      </c>
      <c r="BJ201" s="373">
        <v>190000</v>
      </c>
      <c r="BK201" s="373">
        <v>-31600</v>
      </c>
      <c r="BL201" s="373">
        <v>-80000</v>
      </c>
      <c r="BM201" s="373">
        <v>173000</v>
      </c>
      <c r="BN201" s="402">
        <f t="shared" si="295"/>
        <v>708915</v>
      </c>
      <c r="BO201" s="329"/>
      <c r="BP201" s="374">
        <v>116666.66666666666</v>
      </c>
      <c r="BQ201" s="374">
        <v>116666.66666666666</v>
      </c>
      <c r="BR201" s="374">
        <v>116666.66666666666</v>
      </c>
      <c r="BS201" s="374">
        <v>116666.66666666666</v>
      </c>
      <c r="BT201" s="374">
        <v>116666.66666666666</v>
      </c>
      <c r="BU201" s="374">
        <v>116666.66666666666</v>
      </c>
      <c r="BV201" s="374">
        <v>116666.66666666666</v>
      </c>
      <c r="BW201" s="374">
        <v>116666.66666666666</v>
      </c>
      <c r="BX201" s="374">
        <v>116666.66666666666</v>
      </c>
      <c r="BY201" s="374">
        <v>116666.66666666666</v>
      </c>
      <c r="BZ201" s="374">
        <v>116666.66666666666</v>
      </c>
      <c r="CA201" s="374">
        <v>116666.66666666663</v>
      </c>
      <c r="CB201" s="402">
        <f t="shared" si="282"/>
        <v>1400000</v>
      </c>
      <c r="CC201" s="776">
        <f t="shared" si="274"/>
        <v>691085</v>
      </c>
      <c r="CD201" s="775">
        <f t="shared" si="275"/>
        <v>0.49363214285714285</v>
      </c>
      <c r="CE201" s="772"/>
      <c r="CF201" s="374">
        <v>-60000</v>
      </c>
      <c r="CG201" s="374">
        <v>45500</v>
      </c>
      <c r="CH201" s="374">
        <v>40000</v>
      </c>
      <c r="CI201" s="374">
        <v>734500</v>
      </c>
      <c r="CJ201" s="374">
        <v>71500</v>
      </c>
      <c r="CK201" s="374">
        <v>101800</v>
      </c>
      <c r="CL201" s="374">
        <v>10600</v>
      </c>
      <c r="CM201" s="374">
        <v>-98960</v>
      </c>
      <c r="CN201" s="374">
        <v>93540</v>
      </c>
      <c r="CO201" s="374">
        <v>0</v>
      </c>
      <c r="CP201" s="374">
        <v>84000</v>
      </c>
      <c r="CQ201" s="374">
        <v>112500</v>
      </c>
      <c r="CR201" s="374">
        <v>0</v>
      </c>
      <c r="CS201" s="402">
        <f t="shared" si="276"/>
        <v>1134980</v>
      </c>
      <c r="CT201" s="776">
        <f t="shared" si="277"/>
        <v>426065</v>
      </c>
      <c r="CU201" s="165">
        <f t="shared" si="278"/>
        <v>0.37539428007541981</v>
      </c>
      <c r="CV201" s="329"/>
      <c r="CW201" s="373">
        <v>13600</v>
      </c>
      <c r="CX201" s="373">
        <v>0</v>
      </c>
      <c r="CY201" s="373">
        <v>2400</v>
      </c>
      <c r="CZ201" s="373">
        <v>-29700</v>
      </c>
      <c r="DA201" s="373">
        <v>4800</v>
      </c>
      <c r="DB201" s="373">
        <v>45000</v>
      </c>
      <c r="DC201" s="374">
        <v>35573</v>
      </c>
      <c r="DD201" s="373">
        <v>142100</v>
      </c>
      <c r="DE201" s="373">
        <v>219050</v>
      </c>
      <c r="DF201" s="373">
        <v>4000</v>
      </c>
      <c r="DG201" s="373">
        <v>0</v>
      </c>
      <c r="DH201" s="373">
        <v>86060</v>
      </c>
      <c r="DI201" s="375">
        <f t="shared" si="279"/>
        <v>522883</v>
      </c>
      <c r="DJ201" s="329"/>
      <c r="DK201" s="373">
        <v>2400</v>
      </c>
      <c r="DL201" s="373">
        <v>-129390</v>
      </c>
      <c r="DM201" s="373">
        <v>222455</v>
      </c>
      <c r="DN201" s="373">
        <v>3600</v>
      </c>
      <c r="DO201" s="373">
        <v>597867</v>
      </c>
      <c r="DP201" s="373">
        <v>3333</v>
      </c>
      <c r="DQ201" s="374">
        <v>52800</v>
      </c>
      <c r="DR201" s="373">
        <v>21267.279999999999</v>
      </c>
      <c r="DS201" s="373">
        <v>56464.25</v>
      </c>
      <c r="DT201" s="373">
        <v>-22000</v>
      </c>
      <c r="DU201" s="373">
        <v>-42000</v>
      </c>
      <c r="DV201" s="373">
        <v>91405</v>
      </c>
      <c r="DW201" s="375">
        <f t="shared" si="280"/>
        <v>858201.53</v>
      </c>
      <c r="DY201" s="373">
        <v>0</v>
      </c>
      <c r="DZ201" s="373">
        <v>0</v>
      </c>
      <c r="EA201" s="373">
        <v>0</v>
      </c>
      <c r="EB201" s="373">
        <v>0</v>
      </c>
      <c r="EC201" s="373">
        <v>0</v>
      </c>
      <c r="ED201" s="373">
        <v>0</v>
      </c>
      <c r="EE201" s="374">
        <v>22750</v>
      </c>
      <c r="EF201" s="373">
        <v>0</v>
      </c>
      <c r="EG201" s="373">
        <v>31150</v>
      </c>
      <c r="EH201" s="373">
        <v>0</v>
      </c>
      <c r="EI201" s="373">
        <v>40000</v>
      </c>
      <c r="EJ201" s="373">
        <v>202090</v>
      </c>
      <c r="EK201" s="375">
        <f t="shared" si="293"/>
        <v>295990</v>
      </c>
      <c r="EL201" s="177"/>
      <c r="EM201" s="373">
        <v>0</v>
      </c>
      <c r="EN201" s="373">
        <v>0</v>
      </c>
      <c r="EO201" s="373">
        <v>0</v>
      </c>
      <c r="EP201" s="373">
        <v>0</v>
      </c>
      <c r="EQ201" s="373">
        <v>0</v>
      </c>
      <c r="ER201" s="373">
        <v>0</v>
      </c>
      <c r="ES201" s="374">
        <v>0</v>
      </c>
      <c r="ET201" s="373">
        <v>0</v>
      </c>
      <c r="EU201" s="373">
        <v>150680.5</v>
      </c>
      <c r="EV201" s="373">
        <v>46400</v>
      </c>
      <c r="EW201" s="373">
        <v>0</v>
      </c>
      <c r="EX201" s="373">
        <v>0</v>
      </c>
      <c r="EY201" s="375">
        <f t="shared" si="294"/>
        <v>197080.5</v>
      </c>
      <c r="EZ201" s="164">
        <v>0</v>
      </c>
      <c r="FA201" s="185">
        <v>0</v>
      </c>
    </row>
    <row r="202" spans="1:157" ht="18.75" customHeight="1" collapsed="1">
      <c r="A202" s="185" t="s">
        <v>327</v>
      </c>
      <c r="B202" s="774"/>
      <c r="C202" s="176" t="s">
        <v>965</v>
      </c>
      <c r="D202" s="176">
        <v>63601000</v>
      </c>
      <c r="E202" s="773"/>
      <c r="F202" s="320" t="s">
        <v>686</v>
      </c>
      <c r="G202" s="329"/>
      <c r="H202" s="373"/>
      <c r="I202" s="373"/>
      <c r="J202" s="373"/>
      <c r="K202" s="373"/>
      <c r="L202" s="373"/>
      <c r="M202" s="373"/>
      <c r="N202" s="374"/>
      <c r="O202" s="373"/>
      <c r="P202" s="373"/>
      <c r="Q202" s="373"/>
      <c r="R202" s="373"/>
      <c r="S202" s="373"/>
      <c r="T202" s="375">
        <f t="shared" si="287"/>
        <v>0</v>
      </c>
      <c r="U202" s="776">
        <f t="shared" si="289"/>
        <v>0</v>
      </c>
      <c r="V202" s="775" t="e">
        <f t="shared" si="290"/>
        <v>#DIV/0!</v>
      </c>
      <c r="W202" s="329"/>
      <c r="X202" s="373">
        <v>0</v>
      </c>
      <c r="Y202" s="373">
        <v>0</v>
      </c>
      <c r="Z202" s="373">
        <v>0</v>
      </c>
      <c r="AA202" s="373">
        <v>0</v>
      </c>
      <c r="AB202" s="373">
        <v>0</v>
      </c>
      <c r="AC202" s="373">
        <v>0</v>
      </c>
      <c r="AD202" s="374">
        <v>0</v>
      </c>
      <c r="AE202" s="373">
        <v>0</v>
      </c>
      <c r="AF202" s="373">
        <v>0</v>
      </c>
      <c r="AG202" s="373">
        <v>0</v>
      </c>
      <c r="AH202" s="373">
        <v>0</v>
      </c>
      <c r="AI202" s="373">
        <v>0</v>
      </c>
      <c r="AJ202" s="375">
        <f t="shared" si="288"/>
        <v>0</v>
      </c>
      <c r="AK202" s="329"/>
      <c r="AL202" s="373">
        <v>0</v>
      </c>
      <c r="AM202" s="373">
        <v>0</v>
      </c>
      <c r="AN202" s="373">
        <v>0</v>
      </c>
      <c r="AO202" s="373">
        <v>0</v>
      </c>
      <c r="AP202" s="373">
        <v>0</v>
      </c>
      <c r="AQ202" s="373">
        <v>0</v>
      </c>
      <c r="AR202" s="374">
        <v>0</v>
      </c>
      <c r="AS202" s="373">
        <v>0</v>
      </c>
      <c r="AT202" s="373">
        <v>0</v>
      </c>
      <c r="AU202" s="373">
        <v>0</v>
      </c>
      <c r="AV202" s="373">
        <v>0</v>
      </c>
      <c r="AW202" s="373">
        <v>0</v>
      </c>
      <c r="AX202" s="375">
        <v>0</v>
      </c>
      <c r="AY202" s="776">
        <f t="shared" si="291"/>
        <v>0</v>
      </c>
      <c r="AZ202" s="775" t="e">
        <f t="shared" si="292"/>
        <v>#DIV/0!</v>
      </c>
      <c r="BA202" s="329"/>
      <c r="BB202" s="373">
        <v>0</v>
      </c>
      <c r="BC202" s="373">
        <v>0</v>
      </c>
      <c r="BD202" s="373">
        <v>0</v>
      </c>
      <c r="BE202" s="373">
        <v>0</v>
      </c>
      <c r="BF202" s="373">
        <v>0</v>
      </c>
      <c r="BG202" s="373">
        <v>0</v>
      </c>
      <c r="BH202" s="374">
        <v>0</v>
      </c>
      <c r="BI202" s="373">
        <v>0</v>
      </c>
      <c r="BJ202" s="373">
        <v>0</v>
      </c>
      <c r="BK202" s="373">
        <v>0</v>
      </c>
      <c r="BL202" s="373">
        <v>0</v>
      </c>
      <c r="BM202" s="373">
        <v>0</v>
      </c>
      <c r="BN202" s="402">
        <f t="shared" si="295"/>
        <v>0</v>
      </c>
      <c r="BO202" s="329"/>
      <c r="BP202" s="374">
        <v>150000</v>
      </c>
      <c r="BQ202" s="374">
        <v>150000</v>
      </c>
      <c r="BR202" s="374">
        <v>150000</v>
      </c>
      <c r="BS202" s="374">
        <v>150000</v>
      </c>
      <c r="BT202" s="374">
        <v>150000</v>
      </c>
      <c r="BU202" s="374">
        <v>150000</v>
      </c>
      <c r="BV202" s="374">
        <v>150000</v>
      </c>
      <c r="BW202" s="374">
        <v>150000</v>
      </c>
      <c r="BX202" s="374">
        <v>150000</v>
      </c>
      <c r="BY202" s="374">
        <v>150000</v>
      </c>
      <c r="BZ202" s="374">
        <v>150000</v>
      </c>
      <c r="CA202" s="374">
        <v>150000</v>
      </c>
      <c r="CB202" s="402">
        <f t="shared" si="282"/>
        <v>1800000</v>
      </c>
      <c r="CC202" s="776">
        <f t="shared" si="274"/>
        <v>1800000</v>
      </c>
      <c r="CD202" s="775">
        <f t="shared" si="275"/>
        <v>1</v>
      </c>
      <c r="CE202" s="772"/>
      <c r="CF202" s="374">
        <v>27795.1</v>
      </c>
      <c r="CG202" s="374">
        <v>152143.04999999999</v>
      </c>
      <c r="CH202" s="374">
        <v>3200.02</v>
      </c>
      <c r="CI202" s="374">
        <v>112399.98</v>
      </c>
      <c r="CJ202" s="374">
        <v>792200.04</v>
      </c>
      <c r="CK202" s="374">
        <v>-196800</v>
      </c>
      <c r="CL202" s="374">
        <v>403199.99</v>
      </c>
      <c r="CM202" s="374">
        <v>355118.98</v>
      </c>
      <c r="CN202" s="374">
        <v>0</v>
      </c>
      <c r="CO202" s="374">
        <v>-0.66</v>
      </c>
      <c r="CP202" s="374">
        <v>0</v>
      </c>
      <c r="CQ202" s="374">
        <v>0</v>
      </c>
      <c r="CR202" s="374">
        <v>0</v>
      </c>
      <c r="CS202" s="402">
        <f t="shared" si="276"/>
        <v>1649256.5</v>
      </c>
      <c r="CT202" s="776">
        <f t="shared" si="277"/>
        <v>1649256.5</v>
      </c>
      <c r="CU202" s="165">
        <f t="shared" si="278"/>
        <v>1</v>
      </c>
      <c r="CV202" s="329"/>
      <c r="CW202" s="373">
        <v>66899.92</v>
      </c>
      <c r="CX202" s="373">
        <v>82843.44</v>
      </c>
      <c r="CY202" s="373">
        <v>65332.08</v>
      </c>
      <c r="CZ202" s="373">
        <v>79061.3</v>
      </c>
      <c r="DA202" s="373">
        <v>50162.74</v>
      </c>
      <c r="DB202" s="373">
        <v>83819.8</v>
      </c>
      <c r="DC202" s="374">
        <v>547468.72</v>
      </c>
      <c r="DD202" s="373">
        <v>336968.53</v>
      </c>
      <c r="DE202" s="373">
        <v>200230.83</v>
      </c>
      <c r="DF202" s="373">
        <v>89358.85</v>
      </c>
      <c r="DG202" s="373">
        <v>424094.01</v>
      </c>
      <c r="DH202" s="373">
        <v>-281521.17</v>
      </c>
      <c r="DI202" s="375">
        <f t="shared" si="279"/>
        <v>1744719.0500000003</v>
      </c>
      <c r="DJ202" s="329"/>
      <c r="DK202" s="373">
        <v>41971.34</v>
      </c>
      <c r="DL202" s="373">
        <v>56363.88</v>
      </c>
      <c r="DM202" s="373">
        <v>138288.14000000001</v>
      </c>
      <c r="DN202" s="373">
        <v>7480</v>
      </c>
      <c r="DO202" s="373">
        <v>-1700.06</v>
      </c>
      <c r="DP202" s="373">
        <v>24979.94</v>
      </c>
      <c r="DQ202" s="374">
        <v>731266</v>
      </c>
      <c r="DR202" s="373">
        <v>166287.26</v>
      </c>
      <c r="DS202" s="373">
        <v>508728.99</v>
      </c>
      <c r="DT202" s="373">
        <v>213790.61</v>
      </c>
      <c r="DU202" s="373">
        <v>255059.96</v>
      </c>
      <c r="DV202" s="373">
        <v>229141.39</v>
      </c>
      <c r="DW202" s="375">
        <f t="shared" si="280"/>
        <v>2371657.4500000002</v>
      </c>
      <c r="DY202" s="373">
        <v>26004</v>
      </c>
      <c r="DZ202" s="373">
        <v>8000</v>
      </c>
      <c r="EA202" s="373">
        <v>236877</v>
      </c>
      <c r="EB202" s="373">
        <v>109115</v>
      </c>
      <c r="EC202" s="373">
        <v>169999</v>
      </c>
      <c r="ED202" s="373">
        <v>123714.68</v>
      </c>
      <c r="EE202" s="374">
        <v>570582.68999999994</v>
      </c>
      <c r="EF202" s="373">
        <v>318723.57</v>
      </c>
      <c r="EG202" s="373">
        <v>88053.27</v>
      </c>
      <c r="EH202" s="373">
        <v>116377.35</v>
      </c>
      <c r="EI202" s="373">
        <v>325948.63</v>
      </c>
      <c r="EJ202" s="373">
        <v>85216.04</v>
      </c>
      <c r="EK202" s="375">
        <f t="shared" si="293"/>
        <v>2178611.23</v>
      </c>
      <c r="EL202" s="177"/>
      <c r="EM202" s="373">
        <v>0</v>
      </c>
      <c r="EN202" s="373">
        <v>0</v>
      </c>
      <c r="EO202" s="373">
        <v>0</v>
      </c>
      <c r="EP202" s="373">
        <v>0</v>
      </c>
      <c r="EQ202" s="373">
        <v>0</v>
      </c>
      <c r="ER202" s="373">
        <v>0</v>
      </c>
      <c r="ES202" s="374">
        <v>0</v>
      </c>
      <c r="ET202" s="373">
        <v>0</v>
      </c>
      <c r="EU202" s="373">
        <v>0</v>
      </c>
      <c r="EV202" s="373">
        <v>0</v>
      </c>
      <c r="EW202" s="373">
        <v>0</v>
      </c>
      <c r="EX202" s="373">
        <v>0</v>
      </c>
      <c r="EY202" s="375">
        <f t="shared" si="294"/>
        <v>0</v>
      </c>
      <c r="EZ202" s="164">
        <v>0</v>
      </c>
      <c r="FA202" s="185">
        <v>0</v>
      </c>
    </row>
    <row r="203" spans="1:157" ht="18.75" customHeight="1">
      <c r="A203" s="185" t="s">
        <v>327</v>
      </c>
      <c r="B203" s="774"/>
      <c r="C203" s="176" t="s">
        <v>964</v>
      </c>
      <c r="D203" s="176">
        <v>63690000</v>
      </c>
      <c r="E203" s="773"/>
      <c r="F203" s="320" t="s">
        <v>687</v>
      </c>
      <c r="G203" s="329"/>
      <c r="H203" s="373"/>
      <c r="I203" s="373"/>
      <c r="J203" s="373"/>
      <c r="K203" s="373"/>
      <c r="L203" s="373"/>
      <c r="M203" s="373"/>
      <c r="N203" s="374"/>
      <c r="O203" s="373"/>
      <c r="P203" s="373"/>
      <c r="Q203" s="373"/>
      <c r="R203" s="373"/>
      <c r="S203" s="373"/>
      <c r="T203" s="375">
        <f t="shared" si="287"/>
        <v>0</v>
      </c>
      <c r="U203" s="776">
        <f t="shared" si="289"/>
        <v>0</v>
      </c>
      <c r="V203" s="775" t="e">
        <f t="shared" si="290"/>
        <v>#DIV/0!</v>
      </c>
      <c r="W203" s="778"/>
      <c r="X203" s="373">
        <v>0</v>
      </c>
      <c r="Y203" s="373">
        <v>0</v>
      </c>
      <c r="Z203" s="373">
        <v>0</v>
      </c>
      <c r="AA203" s="373">
        <v>0</v>
      </c>
      <c r="AB203" s="373">
        <v>0</v>
      </c>
      <c r="AC203" s="373">
        <v>0</v>
      </c>
      <c r="AD203" s="374">
        <v>0</v>
      </c>
      <c r="AE203" s="373">
        <v>0</v>
      </c>
      <c r="AF203" s="373">
        <v>0</v>
      </c>
      <c r="AG203" s="373">
        <v>0</v>
      </c>
      <c r="AH203" s="373">
        <v>0</v>
      </c>
      <c r="AI203" s="373">
        <v>0</v>
      </c>
      <c r="AJ203" s="375">
        <f t="shared" si="288"/>
        <v>0</v>
      </c>
      <c r="AK203" s="778"/>
      <c r="AL203" s="373">
        <v>0</v>
      </c>
      <c r="AM203" s="373">
        <v>0</v>
      </c>
      <c r="AN203" s="373">
        <v>0</v>
      </c>
      <c r="AO203" s="373">
        <v>0</v>
      </c>
      <c r="AP203" s="373">
        <v>0</v>
      </c>
      <c r="AQ203" s="373">
        <v>0</v>
      </c>
      <c r="AR203" s="374">
        <v>0</v>
      </c>
      <c r="AS203" s="373">
        <v>0</v>
      </c>
      <c r="AT203" s="373">
        <v>0</v>
      </c>
      <c r="AU203" s="373">
        <v>0</v>
      </c>
      <c r="AV203" s="373">
        <v>0</v>
      </c>
      <c r="AW203" s="373">
        <v>0</v>
      </c>
      <c r="AX203" s="375">
        <v>0</v>
      </c>
      <c r="AY203" s="776">
        <f t="shared" si="291"/>
        <v>0</v>
      </c>
      <c r="AZ203" s="775" t="e">
        <f t="shared" si="292"/>
        <v>#DIV/0!</v>
      </c>
      <c r="BA203" s="778"/>
      <c r="BB203" s="373">
        <v>0</v>
      </c>
      <c r="BC203" s="373">
        <v>0</v>
      </c>
      <c r="BD203" s="373">
        <v>0</v>
      </c>
      <c r="BE203" s="373">
        <v>0</v>
      </c>
      <c r="BF203" s="373">
        <v>0</v>
      </c>
      <c r="BG203" s="373">
        <v>0</v>
      </c>
      <c r="BH203" s="374">
        <v>0</v>
      </c>
      <c r="BI203" s="373">
        <v>0</v>
      </c>
      <c r="BJ203" s="373">
        <v>0</v>
      </c>
      <c r="BK203" s="373">
        <v>0</v>
      </c>
      <c r="BL203" s="373">
        <v>0</v>
      </c>
      <c r="BM203" s="373">
        <v>0</v>
      </c>
      <c r="BN203" s="402">
        <f t="shared" si="295"/>
        <v>0</v>
      </c>
      <c r="BO203" s="778"/>
      <c r="BP203" s="374">
        <v>16666.666666666668</v>
      </c>
      <c r="BQ203" s="374">
        <v>16666.666666666668</v>
      </c>
      <c r="BR203" s="374">
        <v>16666.666666666668</v>
      </c>
      <c r="BS203" s="374">
        <v>16666.666666666668</v>
      </c>
      <c r="BT203" s="374">
        <v>16666.666666666668</v>
      </c>
      <c r="BU203" s="374">
        <v>16666.666666666668</v>
      </c>
      <c r="BV203" s="374">
        <v>16666.666666666668</v>
      </c>
      <c r="BW203" s="374">
        <v>16666.666666666668</v>
      </c>
      <c r="BX203" s="374">
        <v>16666.666666666668</v>
      </c>
      <c r="BY203" s="374">
        <v>16666.666666666668</v>
      </c>
      <c r="BZ203" s="374">
        <v>16666.666666666668</v>
      </c>
      <c r="CA203" s="374">
        <v>16666.666666666686</v>
      </c>
      <c r="CB203" s="402">
        <f t="shared" si="282"/>
        <v>200000</v>
      </c>
      <c r="CC203" s="776">
        <f t="shared" si="274"/>
        <v>200000</v>
      </c>
      <c r="CD203" s="775">
        <f t="shared" si="275"/>
        <v>1</v>
      </c>
      <c r="CE203" s="772"/>
      <c r="CF203" s="374">
        <v>0</v>
      </c>
      <c r="CG203" s="374">
        <v>0</v>
      </c>
      <c r="CH203" s="374">
        <v>0</v>
      </c>
      <c r="CI203" s="374">
        <v>0</v>
      </c>
      <c r="CJ203" s="374">
        <v>0</v>
      </c>
      <c r="CK203" s="374">
        <v>0</v>
      </c>
      <c r="CL203" s="374">
        <v>0</v>
      </c>
      <c r="CM203" s="374">
        <v>0</v>
      </c>
      <c r="CN203" s="374">
        <v>0</v>
      </c>
      <c r="CO203" s="374">
        <v>0</v>
      </c>
      <c r="CP203" s="374">
        <v>0</v>
      </c>
      <c r="CQ203" s="374">
        <v>0</v>
      </c>
      <c r="CR203" s="374">
        <v>0</v>
      </c>
      <c r="CS203" s="402">
        <f t="shared" si="276"/>
        <v>0</v>
      </c>
      <c r="CT203" s="776">
        <f t="shared" si="277"/>
        <v>0</v>
      </c>
      <c r="CU203" s="165" t="str">
        <f t="shared" si="278"/>
        <v>N/A</v>
      </c>
      <c r="CV203" s="329"/>
      <c r="CW203" s="373">
        <v>0</v>
      </c>
      <c r="CX203" s="373">
        <v>0</v>
      </c>
      <c r="CY203" s="373">
        <v>0</v>
      </c>
      <c r="CZ203" s="373">
        <v>0</v>
      </c>
      <c r="DA203" s="373">
        <v>0</v>
      </c>
      <c r="DB203" s="373">
        <v>0</v>
      </c>
      <c r="DC203" s="374">
        <v>0</v>
      </c>
      <c r="DD203" s="373">
        <v>0</v>
      </c>
      <c r="DE203" s="373">
        <v>0</v>
      </c>
      <c r="DF203" s="373">
        <v>0</v>
      </c>
      <c r="DG203" s="373">
        <v>0</v>
      </c>
      <c r="DH203" s="373">
        <v>0</v>
      </c>
      <c r="DI203" s="375">
        <f t="shared" si="279"/>
        <v>0</v>
      </c>
      <c r="DJ203" s="329"/>
      <c r="DK203" s="373">
        <v>0</v>
      </c>
      <c r="DL203" s="373">
        <v>0</v>
      </c>
      <c r="DM203" s="373">
        <v>0</v>
      </c>
      <c r="DN203" s="373">
        <v>0</v>
      </c>
      <c r="DO203" s="373">
        <v>0</v>
      </c>
      <c r="DP203" s="373">
        <v>0</v>
      </c>
      <c r="DQ203" s="374">
        <v>0</v>
      </c>
      <c r="DR203" s="373">
        <v>0</v>
      </c>
      <c r="DS203" s="373">
        <v>0</v>
      </c>
      <c r="DT203" s="373">
        <v>0</v>
      </c>
      <c r="DU203" s="373">
        <v>0</v>
      </c>
      <c r="DV203" s="373">
        <v>0</v>
      </c>
      <c r="DW203" s="375">
        <f t="shared" si="280"/>
        <v>0</v>
      </c>
      <c r="DY203" s="373">
        <v>0</v>
      </c>
      <c r="DZ203" s="373">
        <v>0</v>
      </c>
      <c r="EA203" s="373">
        <v>0</v>
      </c>
      <c r="EB203" s="373">
        <v>0</v>
      </c>
      <c r="EC203" s="373">
        <v>0</v>
      </c>
      <c r="ED203" s="373">
        <v>0</v>
      </c>
      <c r="EE203" s="374">
        <v>0</v>
      </c>
      <c r="EF203" s="373">
        <v>0</v>
      </c>
      <c r="EG203" s="373">
        <v>0</v>
      </c>
      <c r="EH203" s="373">
        <v>0</v>
      </c>
      <c r="EI203" s="373">
        <v>0</v>
      </c>
      <c r="EJ203" s="373">
        <v>0</v>
      </c>
      <c r="EK203" s="375">
        <f t="shared" si="293"/>
        <v>0</v>
      </c>
      <c r="EL203" s="177"/>
      <c r="EM203" s="373">
        <v>0</v>
      </c>
      <c r="EN203" s="373">
        <v>0</v>
      </c>
      <c r="EO203" s="373">
        <v>0</v>
      </c>
      <c r="EP203" s="373">
        <v>0</v>
      </c>
      <c r="EQ203" s="373">
        <v>0</v>
      </c>
      <c r="ER203" s="373">
        <v>0</v>
      </c>
      <c r="ES203" s="374">
        <v>0</v>
      </c>
      <c r="ET203" s="373">
        <v>0</v>
      </c>
      <c r="EU203" s="373">
        <v>0</v>
      </c>
      <c r="EV203" s="373">
        <v>0</v>
      </c>
      <c r="EW203" s="373">
        <v>0</v>
      </c>
      <c r="EX203" s="373">
        <v>0</v>
      </c>
      <c r="EY203" s="375">
        <f t="shared" si="294"/>
        <v>0</v>
      </c>
      <c r="EZ203" s="164">
        <v>0</v>
      </c>
      <c r="FA203" s="185">
        <v>0</v>
      </c>
    </row>
    <row r="204" spans="1:157" ht="18.75" customHeight="1">
      <c r="A204" s="185" t="s">
        <v>327</v>
      </c>
      <c r="B204" s="774"/>
      <c r="C204" s="176" t="s">
        <v>963</v>
      </c>
      <c r="D204" s="176">
        <v>63701000</v>
      </c>
      <c r="E204" s="773"/>
      <c r="F204" s="320" t="s">
        <v>688</v>
      </c>
      <c r="G204" s="329"/>
      <c r="H204" s="373"/>
      <c r="I204" s="373"/>
      <c r="J204" s="373"/>
      <c r="K204" s="373"/>
      <c r="L204" s="373"/>
      <c r="M204" s="373"/>
      <c r="N204" s="374"/>
      <c r="O204" s="373"/>
      <c r="P204" s="373"/>
      <c r="Q204" s="373"/>
      <c r="R204" s="373"/>
      <c r="S204" s="377">
        <v>631812.56025932683</v>
      </c>
      <c r="T204" s="375">
        <f t="shared" si="287"/>
        <v>631812.56025932683</v>
      </c>
      <c r="U204" s="776">
        <f t="shared" si="289"/>
        <v>-62249.390259326901</v>
      </c>
      <c r="V204" s="775">
        <f t="shared" si="290"/>
        <v>-0.10929321546427749</v>
      </c>
      <c r="W204" s="329"/>
      <c r="X204" s="373">
        <v>9411.11</v>
      </c>
      <c r="Y204" s="373">
        <v>41794.28</v>
      </c>
      <c r="Z204" s="373">
        <v>49095.62</v>
      </c>
      <c r="AA204" s="373">
        <v>62299.15</v>
      </c>
      <c r="AB204" s="373">
        <v>-30984.84</v>
      </c>
      <c r="AC204" s="373">
        <v>9061.1200000000008</v>
      </c>
      <c r="AD204" s="374">
        <v>70403.31</v>
      </c>
      <c r="AE204" s="373">
        <v>63984.47</v>
      </c>
      <c r="AF204" s="373">
        <v>319.62</v>
      </c>
      <c r="AG204" s="373">
        <v>10416.66</v>
      </c>
      <c r="AH204" s="373">
        <v>52949.49</v>
      </c>
      <c r="AI204" s="373">
        <v>230813.18</v>
      </c>
      <c r="AJ204" s="375">
        <f t="shared" si="288"/>
        <v>569563.16999999993</v>
      </c>
      <c r="AK204" s="329"/>
      <c r="AL204" s="373">
        <v>0</v>
      </c>
      <c r="AM204" s="373">
        <v>0</v>
      </c>
      <c r="AN204" s="373">
        <v>0</v>
      </c>
      <c r="AO204" s="373">
        <v>0</v>
      </c>
      <c r="AP204" s="373">
        <v>0</v>
      </c>
      <c r="AQ204" s="373">
        <v>0</v>
      </c>
      <c r="AR204" s="374">
        <v>0</v>
      </c>
      <c r="AS204" s="373">
        <v>0</v>
      </c>
      <c r="AT204" s="373">
        <v>0</v>
      </c>
      <c r="AU204" s="373">
        <v>0</v>
      </c>
      <c r="AV204" s="373">
        <v>0</v>
      </c>
      <c r="AW204" s="373">
        <v>0</v>
      </c>
      <c r="AX204" s="375">
        <v>0</v>
      </c>
      <c r="AY204" s="776">
        <f t="shared" si="291"/>
        <v>305906.03999999998</v>
      </c>
      <c r="AZ204" s="775">
        <f t="shared" si="292"/>
        <v>1</v>
      </c>
      <c r="BA204" s="329"/>
      <c r="BB204" s="373">
        <v>24748.26</v>
      </c>
      <c r="BC204" s="373">
        <v>10020</v>
      </c>
      <c r="BD204" s="373">
        <v>11912.8</v>
      </c>
      <c r="BE204" s="373">
        <v>97812.62</v>
      </c>
      <c r="BF204" s="373">
        <v>17450</v>
      </c>
      <c r="BG204" s="373">
        <v>31210</v>
      </c>
      <c r="BH204" s="374">
        <v>38786.639999999999</v>
      </c>
      <c r="BI204" s="373">
        <v>26694.959999999999</v>
      </c>
      <c r="BJ204" s="373">
        <v>19721.63</v>
      </c>
      <c r="BK204" s="373">
        <v>55049.13</v>
      </c>
      <c r="BL204" s="373">
        <v>-32600</v>
      </c>
      <c r="BM204" s="373">
        <v>5100</v>
      </c>
      <c r="BN204" s="402">
        <v>305906.03999999998</v>
      </c>
      <c r="BO204" s="329"/>
      <c r="BP204" s="374">
        <v>94166.666666666672</v>
      </c>
      <c r="BQ204" s="374">
        <v>94166.666666666672</v>
      </c>
      <c r="BR204" s="374">
        <v>94166.666666666672</v>
      </c>
      <c r="BS204" s="374">
        <v>94166.666666666672</v>
      </c>
      <c r="BT204" s="374">
        <v>94166.666666666672</v>
      </c>
      <c r="BU204" s="374">
        <v>94166.666666666672</v>
      </c>
      <c r="BV204" s="374">
        <v>94166.666666666672</v>
      </c>
      <c r="BW204" s="374">
        <v>94166.666666666672</v>
      </c>
      <c r="BX204" s="374">
        <v>94166.666666666672</v>
      </c>
      <c r="BY204" s="374">
        <v>94166.666666666672</v>
      </c>
      <c r="BZ204" s="374">
        <v>94166.666666666672</v>
      </c>
      <c r="CA204" s="374">
        <v>94166.666666666628</v>
      </c>
      <c r="CB204" s="402">
        <f t="shared" si="282"/>
        <v>1129999.9999999998</v>
      </c>
      <c r="CC204" s="776">
        <f t="shared" si="274"/>
        <v>824093.95999999973</v>
      </c>
      <c r="CD204" s="775">
        <f t="shared" si="275"/>
        <v>0.72928669026548665</v>
      </c>
      <c r="CE204" s="772"/>
      <c r="CF204" s="374">
        <v>27509.86</v>
      </c>
      <c r="CG204" s="374">
        <v>46636.91</v>
      </c>
      <c r="CH204" s="374">
        <v>68126.259999999995</v>
      </c>
      <c r="CI204" s="374">
        <v>95528.75</v>
      </c>
      <c r="CJ204" s="374">
        <v>46633.98</v>
      </c>
      <c r="CK204" s="374">
        <v>91036.55</v>
      </c>
      <c r="CL204" s="374">
        <v>170353.96</v>
      </c>
      <c r="CM204" s="374">
        <v>228253.4</v>
      </c>
      <c r="CN204" s="374">
        <v>140758.94</v>
      </c>
      <c r="CO204" s="374">
        <v>115739.07</v>
      </c>
      <c r="CP204" s="374">
        <v>115559.86</v>
      </c>
      <c r="CQ204" s="374">
        <v>95158.33</v>
      </c>
      <c r="CR204" s="374">
        <v>0</v>
      </c>
      <c r="CS204" s="402">
        <f t="shared" si="276"/>
        <v>1241295.8700000003</v>
      </c>
      <c r="CT204" s="776">
        <f t="shared" si="277"/>
        <v>935389.83000000031</v>
      </c>
      <c r="CU204" s="165">
        <f t="shared" si="278"/>
        <v>0.7535591252712377</v>
      </c>
      <c r="CV204" s="329"/>
      <c r="CW204" s="373">
        <v>13293.32</v>
      </c>
      <c r="CX204" s="373">
        <v>51728.1</v>
      </c>
      <c r="CY204" s="373">
        <v>41926.35</v>
      </c>
      <c r="CZ204" s="373">
        <v>84470.24</v>
      </c>
      <c r="DA204" s="373">
        <v>154606.57</v>
      </c>
      <c r="DB204" s="373">
        <v>72860.67</v>
      </c>
      <c r="DC204" s="374">
        <v>146367.69</v>
      </c>
      <c r="DD204" s="373">
        <v>169099</v>
      </c>
      <c r="DE204" s="373">
        <v>235872.73</v>
      </c>
      <c r="DF204" s="373">
        <v>114047.62</v>
      </c>
      <c r="DG204" s="373">
        <v>35781.65</v>
      </c>
      <c r="DH204" s="373">
        <v>82857.02</v>
      </c>
      <c r="DI204" s="375">
        <f t="shared" si="279"/>
        <v>1202910.96</v>
      </c>
      <c r="DJ204" s="329"/>
      <c r="DK204" s="373">
        <v>61309.72</v>
      </c>
      <c r="DL204" s="373">
        <v>68003.61</v>
      </c>
      <c r="DM204" s="373">
        <v>65295.51</v>
      </c>
      <c r="DN204" s="373">
        <v>63002.58</v>
      </c>
      <c r="DO204" s="373">
        <v>101231.87</v>
      </c>
      <c r="DP204" s="373">
        <v>31278.04</v>
      </c>
      <c r="DQ204" s="374">
        <v>293945.17</v>
      </c>
      <c r="DR204" s="373">
        <v>110723.74</v>
      </c>
      <c r="DS204" s="373">
        <v>175459.7</v>
      </c>
      <c r="DT204" s="373">
        <v>91277.59</v>
      </c>
      <c r="DU204" s="373">
        <v>47335.17</v>
      </c>
      <c r="DV204" s="373">
        <v>128377.19</v>
      </c>
      <c r="DW204" s="375">
        <f t="shared" si="280"/>
        <v>1237239.8899999999</v>
      </c>
      <c r="DY204" s="373">
        <v>0</v>
      </c>
      <c r="DZ204" s="373">
        <v>0</v>
      </c>
      <c r="EA204" s="373">
        <v>0</v>
      </c>
      <c r="EB204" s="373">
        <v>0</v>
      </c>
      <c r="EC204" s="373">
        <v>1750</v>
      </c>
      <c r="ED204" s="373">
        <v>67299.009999999995</v>
      </c>
      <c r="EE204" s="374">
        <v>185762.04</v>
      </c>
      <c r="EF204" s="373">
        <v>262276.28999999998</v>
      </c>
      <c r="EG204" s="373">
        <v>124579.01</v>
      </c>
      <c r="EH204" s="373">
        <v>43478.559999999998</v>
      </c>
      <c r="EI204" s="373">
        <v>67484.11</v>
      </c>
      <c r="EJ204" s="373">
        <v>86033.62</v>
      </c>
      <c r="EK204" s="375">
        <f t="shared" si="293"/>
        <v>838662.6399999999</v>
      </c>
      <c r="EL204" s="177"/>
      <c r="EM204" s="373">
        <v>0</v>
      </c>
      <c r="EN204" s="373">
        <v>0</v>
      </c>
      <c r="EO204" s="373">
        <v>0</v>
      </c>
      <c r="EP204" s="373">
        <v>0</v>
      </c>
      <c r="EQ204" s="373">
        <v>0</v>
      </c>
      <c r="ER204" s="373">
        <v>0</v>
      </c>
      <c r="ES204" s="374">
        <v>0</v>
      </c>
      <c r="ET204" s="373">
        <v>0</v>
      </c>
      <c r="EU204" s="373">
        <v>0</v>
      </c>
      <c r="EV204" s="373">
        <v>0</v>
      </c>
      <c r="EW204" s="373">
        <v>0</v>
      </c>
      <c r="EX204" s="373">
        <v>0</v>
      </c>
      <c r="EY204" s="375">
        <f t="shared" si="294"/>
        <v>0</v>
      </c>
      <c r="EZ204" s="164">
        <v>0</v>
      </c>
      <c r="FA204" s="185">
        <v>0</v>
      </c>
    </row>
    <row r="205" spans="1:157" ht="18.75" customHeight="1">
      <c r="A205" s="185" t="s">
        <v>327</v>
      </c>
      <c r="B205" s="774"/>
      <c r="C205" s="176" t="s">
        <v>962</v>
      </c>
      <c r="D205" s="176">
        <v>63801000</v>
      </c>
      <c r="E205" s="773"/>
      <c r="F205" s="320" t="s">
        <v>689</v>
      </c>
      <c r="G205" s="329"/>
      <c r="H205" s="373"/>
      <c r="I205" s="373"/>
      <c r="J205" s="373"/>
      <c r="K205" s="373"/>
      <c r="L205" s="373"/>
      <c r="M205" s="373"/>
      <c r="N205" s="374"/>
      <c r="O205" s="373"/>
      <c r="P205" s="373"/>
      <c r="Q205" s="373"/>
      <c r="R205" s="373"/>
      <c r="S205" s="377">
        <v>769430.59030460182</v>
      </c>
      <c r="T205" s="375">
        <f t="shared" si="287"/>
        <v>769430.59030460182</v>
      </c>
      <c r="U205" s="776">
        <f t="shared" si="289"/>
        <v>210448.40969539818</v>
      </c>
      <c r="V205" s="775">
        <f t="shared" si="290"/>
        <v>0.21476979269419813</v>
      </c>
      <c r="W205" s="329"/>
      <c r="X205" s="373">
        <v>27397</v>
      </c>
      <c r="Y205" s="373">
        <v>126198.5</v>
      </c>
      <c r="Z205" s="373">
        <v>84268.5</v>
      </c>
      <c r="AA205" s="373">
        <v>119229</v>
      </c>
      <c r="AB205" s="373">
        <v>64560</v>
      </c>
      <c r="AC205" s="373">
        <v>88129</v>
      </c>
      <c r="AD205" s="374">
        <v>16860</v>
      </c>
      <c r="AE205" s="373">
        <v>88129</v>
      </c>
      <c r="AF205" s="373">
        <v>144000</v>
      </c>
      <c r="AG205" s="373">
        <v>108979</v>
      </c>
      <c r="AH205" s="373">
        <v>12000</v>
      </c>
      <c r="AI205" s="373">
        <v>100129</v>
      </c>
      <c r="AJ205" s="375">
        <f t="shared" si="288"/>
        <v>979879</v>
      </c>
      <c r="AK205" s="329"/>
      <c r="AL205" s="373">
        <v>59333.333333333328</v>
      </c>
      <c r="AM205" s="373">
        <v>59333.333333333328</v>
      </c>
      <c r="AN205" s="373">
        <v>59333.333333333328</v>
      </c>
      <c r="AO205" s="373">
        <v>59333.333333333328</v>
      </c>
      <c r="AP205" s="373">
        <v>59333.333333333328</v>
      </c>
      <c r="AQ205" s="373">
        <v>59333.333333333328</v>
      </c>
      <c r="AR205" s="374">
        <v>59333.333333333328</v>
      </c>
      <c r="AS205" s="373">
        <v>59333.333333333328</v>
      </c>
      <c r="AT205" s="373">
        <v>59333.333333333328</v>
      </c>
      <c r="AU205" s="373">
        <v>59333.333333333328</v>
      </c>
      <c r="AV205" s="373">
        <v>59333.333333333328</v>
      </c>
      <c r="AW205" s="373">
        <v>59333.333333333328</v>
      </c>
      <c r="AX205" s="375">
        <v>712000</v>
      </c>
      <c r="AY205" s="776">
        <f t="shared" si="291"/>
        <v>188679</v>
      </c>
      <c r="AZ205" s="775">
        <f t="shared" si="292"/>
        <v>0.20948528832136643</v>
      </c>
      <c r="BA205" s="329"/>
      <c r="BB205" s="373">
        <v>12000</v>
      </c>
      <c r="BC205" s="373">
        <v>224634</v>
      </c>
      <c r="BD205" s="373">
        <v>44850</v>
      </c>
      <c r="BE205" s="373">
        <v>100129</v>
      </c>
      <c r="BF205" s="373">
        <v>0</v>
      </c>
      <c r="BG205" s="373">
        <v>120979</v>
      </c>
      <c r="BH205" s="374">
        <v>-84000</v>
      </c>
      <c r="BI205" s="373">
        <v>216129</v>
      </c>
      <c r="BJ205" s="373">
        <v>44850</v>
      </c>
      <c r="BK205" s="373">
        <v>88129</v>
      </c>
      <c r="BL205" s="373">
        <v>44850</v>
      </c>
      <c r="BM205" s="373">
        <v>88129</v>
      </c>
      <c r="BN205" s="402">
        <v>900679</v>
      </c>
      <c r="BO205" s="329"/>
      <c r="BP205" s="374">
        <v>94583.333333333343</v>
      </c>
      <c r="BQ205" s="374">
        <v>94583.333333333343</v>
      </c>
      <c r="BR205" s="374">
        <v>94583.333333333343</v>
      </c>
      <c r="BS205" s="374">
        <v>94583.333333333343</v>
      </c>
      <c r="BT205" s="374">
        <v>94583.333333333343</v>
      </c>
      <c r="BU205" s="374">
        <v>94583.333333333343</v>
      </c>
      <c r="BV205" s="374">
        <v>94583.333333333343</v>
      </c>
      <c r="BW205" s="374">
        <v>94583.333333333343</v>
      </c>
      <c r="BX205" s="374">
        <v>94583.333333333343</v>
      </c>
      <c r="BY205" s="374">
        <v>94583.333333333343</v>
      </c>
      <c r="BZ205" s="374">
        <v>94583.333333333343</v>
      </c>
      <c r="CA205" s="374">
        <v>154583.33333333352</v>
      </c>
      <c r="CB205" s="402">
        <f t="shared" si="282"/>
        <v>1195000.0000000005</v>
      </c>
      <c r="CC205" s="776">
        <f t="shared" si="274"/>
        <v>294321.00000000047</v>
      </c>
      <c r="CD205" s="775">
        <f t="shared" si="275"/>
        <v>0.24629372384937268</v>
      </c>
      <c r="CE205" s="772"/>
      <c r="CF205" s="374">
        <v>-91835</v>
      </c>
      <c r="CG205" s="374">
        <v>132055</v>
      </c>
      <c r="CH205" s="374">
        <v>12000</v>
      </c>
      <c r="CI205" s="374">
        <v>119053</v>
      </c>
      <c r="CJ205" s="374">
        <v>12000</v>
      </c>
      <c r="CK205" s="374">
        <v>400053</v>
      </c>
      <c r="CL205" s="374">
        <v>104500</v>
      </c>
      <c r="CM205" s="374">
        <v>119053</v>
      </c>
      <c r="CN205" s="374">
        <v>44850</v>
      </c>
      <c r="CO205" s="374">
        <v>86203</v>
      </c>
      <c r="CP205" s="374">
        <v>44850</v>
      </c>
      <c r="CQ205" s="374">
        <v>229403</v>
      </c>
      <c r="CR205" s="374">
        <v>0</v>
      </c>
      <c r="CS205" s="402">
        <f t="shared" si="276"/>
        <v>1212185</v>
      </c>
      <c r="CT205" s="776">
        <f t="shared" si="277"/>
        <v>311506</v>
      </c>
      <c r="CU205" s="165">
        <f t="shared" si="278"/>
        <v>0.25697892648399379</v>
      </c>
      <c r="CV205" s="329"/>
      <c r="CW205" s="373">
        <v>6500</v>
      </c>
      <c r="CX205" s="373">
        <v>631000</v>
      </c>
      <c r="CY205" s="373">
        <v>10274</v>
      </c>
      <c r="CZ205" s="373">
        <v>-40594</v>
      </c>
      <c r="DA205" s="373">
        <v>11000</v>
      </c>
      <c r="DB205" s="373">
        <v>62594</v>
      </c>
      <c r="DC205" s="374">
        <v>-309999</v>
      </c>
      <c r="DD205" s="373">
        <v>320999</v>
      </c>
      <c r="DE205" s="373">
        <v>-184666</v>
      </c>
      <c r="DF205" s="373">
        <v>309323</v>
      </c>
      <c r="DG205" s="373">
        <v>459835</v>
      </c>
      <c r="DH205" s="373">
        <v>114833</v>
      </c>
      <c r="DI205" s="375">
        <f t="shared" si="279"/>
        <v>1391099</v>
      </c>
      <c r="DJ205" s="329"/>
      <c r="DK205" s="373">
        <v>154300</v>
      </c>
      <c r="DL205" s="373">
        <v>154750</v>
      </c>
      <c r="DM205" s="373">
        <v>105500</v>
      </c>
      <c r="DN205" s="373">
        <v>105500</v>
      </c>
      <c r="DO205" s="373">
        <v>154750</v>
      </c>
      <c r="DP205" s="373">
        <v>56500</v>
      </c>
      <c r="DQ205" s="374">
        <v>0</v>
      </c>
      <c r="DR205" s="373">
        <v>148250</v>
      </c>
      <c r="DS205" s="373">
        <v>19500</v>
      </c>
      <c r="DT205" s="373">
        <v>-6500</v>
      </c>
      <c r="DU205" s="373">
        <v>6500</v>
      </c>
      <c r="DV205" s="373">
        <v>167750</v>
      </c>
      <c r="DW205" s="375">
        <f t="shared" si="280"/>
        <v>1066800</v>
      </c>
      <c r="DY205" s="373">
        <v>0</v>
      </c>
      <c r="DZ205" s="373">
        <v>6500</v>
      </c>
      <c r="EA205" s="373">
        <v>153250</v>
      </c>
      <c r="EB205" s="373">
        <v>6500</v>
      </c>
      <c r="EC205" s="373">
        <v>407750</v>
      </c>
      <c r="ED205" s="373">
        <v>6500</v>
      </c>
      <c r="EE205" s="374">
        <v>6500</v>
      </c>
      <c r="EF205" s="373">
        <v>213250</v>
      </c>
      <c r="EG205" s="373">
        <v>135500</v>
      </c>
      <c r="EH205" s="373">
        <v>0</v>
      </c>
      <c r="EI205" s="373">
        <v>117250</v>
      </c>
      <c r="EJ205" s="373">
        <v>5700</v>
      </c>
      <c r="EK205" s="375">
        <f t="shared" si="293"/>
        <v>1058700</v>
      </c>
      <c r="EL205" s="177"/>
      <c r="EM205" s="373">
        <v>49290</v>
      </c>
      <c r="EN205" s="373">
        <v>4290</v>
      </c>
      <c r="EO205" s="373">
        <v>0</v>
      </c>
      <c r="EP205" s="373">
        <v>6006</v>
      </c>
      <c r="EQ205" s="373">
        <v>0</v>
      </c>
      <c r="ER205" s="373">
        <v>275000</v>
      </c>
      <c r="ES205" s="374">
        <v>6500</v>
      </c>
      <c r="ET205" s="373">
        <v>176000</v>
      </c>
      <c r="EU205" s="373">
        <v>6500</v>
      </c>
      <c r="EV205" s="373">
        <v>0</v>
      </c>
      <c r="EW205" s="373">
        <v>13000</v>
      </c>
      <c r="EX205" s="373">
        <v>477000</v>
      </c>
      <c r="EY205" s="375">
        <f t="shared" si="294"/>
        <v>1013586</v>
      </c>
      <c r="EZ205" s="164">
        <v>0</v>
      </c>
      <c r="FA205" s="185">
        <v>0</v>
      </c>
    </row>
    <row r="206" spans="1:157" ht="18.75" customHeight="1">
      <c r="A206" s="185" t="s">
        <v>327</v>
      </c>
      <c r="B206" s="774"/>
      <c r="C206" s="176" t="s">
        <v>961</v>
      </c>
      <c r="D206" s="176">
        <v>63901000</v>
      </c>
      <c r="E206" s="773"/>
      <c r="F206" s="320" t="s">
        <v>690</v>
      </c>
      <c r="G206" s="329"/>
      <c r="H206" s="373"/>
      <c r="I206" s="373"/>
      <c r="J206" s="373"/>
      <c r="K206" s="373"/>
      <c r="L206" s="373"/>
      <c r="M206" s="373"/>
      <c r="N206" s="374"/>
      <c r="O206" s="373"/>
      <c r="P206" s="373"/>
      <c r="Q206" s="373"/>
      <c r="R206" s="373"/>
      <c r="S206" s="377">
        <v>537479.03134463436</v>
      </c>
      <c r="T206" s="375">
        <f t="shared" si="287"/>
        <v>537479.03134463436</v>
      </c>
      <c r="U206" s="776">
        <f t="shared" si="289"/>
        <v>869231.96865536564</v>
      </c>
      <c r="V206" s="775">
        <f t="shared" si="290"/>
        <v>0.61791794381032472</v>
      </c>
      <c r="W206" s="329"/>
      <c r="X206" s="373">
        <v>0</v>
      </c>
      <c r="Y206" s="373">
        <v>20700</v>
      </c>
      <c r="Z206" s="373">
        <v>0</v>
      </c>
      <c r="AA206" s="373">
        <v>7646</v>
      </c>
      <c r="AB206" s="373">
        <v>64866</v>
      </c>
      <c r="AC206" s="373">
        <v>13111</v>
      </c>
      <c r="AD206" s="374">
        <v>73171</v>
      </c>
      <c r="AE206" s="373">
        <v>5255</v>
      </c>
      <c r="AF206" s="373">
        <v>98500</v>
      </c>
      <c r="AG206" s="373">
        <v>0</v>
      </c>
      <c r="AH206" s="373">
        <v>1520</v>
      </c>
      <c r="AI206" s="373">
        <v>1121942</v>
      </c>
      <c r="AJ206" s="375">
        <f t="shared" si="288"/>
        <v>1406711</v>
      </c>
      <c r="AK206" s="329"/>
      <c r="AL206" s="373">
        <v>67700</v>
      </c>
      <c r="AM206" s="373">
        <v>67700</v>
      </c>
      <c r="AN206" s="373">
        <v>67700</v>
      </c>
      <c r="AO206" s="373">
        <v>67700</v>
      </c>
      <c r="AP206" s="373">
        <v>67700</v>
      </c>
      <c r="AQ206" s="373">
        <v>67700</v>
      </c>
      <c r="AR206" s="374">
        <v>67700</v>
      </c>
      <c r="AS206" s="373">
        <v>67700</v>
      </c>
      <c r="AT206" s="373">
        <v>67700</v>
      </c>
      <c r="AU206" s="373">
        <v>67700</v>
      </c>
      <c r="AV206" s="373">
        <v>67700</v>
      </c>
      <c r="AW206" s="373">
        <v>87700</v>
      </c>
      <c r="AX206" s="375">
        <v>832400</v>
      </c>
      <c r="AY206" s="776">
        <f t="shared" si="291"/>
        <v>-664252</v>
      </c>
      <c r="AZ206" s="775">
        <f t="shared" si="292"/>
        <v>-3.9504008373575661</v>
      </c>
      <c r="BA206" s="329"/>
      <c r="BB206" s="373">
        <v>44000</v>
      </c>
      <c r="BC206" s="373">
        <v>-22000</v>
      </c>
      <c r="BD206" s="373">
        <v>110838</v>
      </c>
      <c r="BE206" s="373">
        <v>0</v>
      </c>
      <c r="BF206" s="373">
        <v>16500</v>
      </c>
      <c r="BG206" s="373">
        <v>59610</v>
      </c>
      <c r="BH206" s="374">
        <v>11200</v>
      </c>
      <c r="BI206" s="373">
        <v>0</v>
      </c>
      <c r="BJ206" s="373">
        <v>0</v>
      </c>
      <c r="BK206" s="373">
        <v>0</v>
      </c>
      <c r="BL206" s="373">
        <v>-52000</v>
      </c>
      <c r="BM206" s="373">
        <v>0</v>
      </c>
      <c r="BN206" s="402">
        <v>168148</v>
      </c>
      <c r="BO206" s="329"/>
      <c r="BP206" s="374">
        <v>43750</v>
      </c>
      <c r="BQ206" s="374">
        <v>43750</v>
      </c>
      <c r="BR206" s="374">
        <v>43750</v>
      </c>
      <c r="BS206" s="374">
        <v>43750</v>
      </c>
      <c r="BT206" s="374">
        <v>43750</v>
      </c>
      <c r="BU206" s="374">
        <v>43750</v>
      </c>
      <c r="BV206" s="374">
        <v>43750</v>
      </c>
      <c r="BW206" s="374">
        <v>43750</v>
      </c>
      <c r="BX206" s="374">
        <v>43750</v>
      </c>
      <c r="BY206" s="374">
        <v>43750</v>
      </c>
      <c r="BZ206" s="374">
        <v>43750</v>
      </c>
      <c r="CA206" s="374">
        <v>93749.999999999971</v>
      </c>
      <c r="CB206" s="402">
        <f t="shared" si="282"/>
        <v>575000</v>
      </c>
      <c r="CC206" s="776">
        <f t="shared" si="274"/>
        <v>406852</v>
      </c>
      <c r="CD206" s="775">
        <f t="shared" si="275"/>
        <v>0.70756869565217395</v>
      </c>
      <c r="CE206" s="772"/>
      <c r="CF206" s="374">
        <v>112663.6</v>
      </c>
      <c r="CG206" s="374">
        <v>0</v>
      </c>
      <c r="CH206" s="374">
        <v>0</v>
      </c>
      <c r="CI206" s="374">
        <v>0</v>
      </c>
      <c r="CJ206" s="374">
        <v>10545.1</v>
      </c>
      <c r="CK206" s="374">
        <v>658.84</v>
      </c>
      <c r="CL206" s="374">
        <v>0</v>
      </c>
      <c r="CM206" s="374">
        <v>0</v>
      </c>
      <c r="CN206" s="374">
        <v>4450</v>
      </c>
      <c r="CO206" s="374">
        <v>400135</v>
      </c>
      <c r="CP206" s="374">
        <v>-400000</v>
      </c>
      <c r="CQ206" s="374">
        <v>50000</v>
      </c>
      <c r="CR206" s="374">
        <v>0</v>
      </c>
      <c r="CS206" s="402">
        <f t="shared" si="276"/>
        <v>178452.54000000004</v>
      </c>
      <c r="CT206" s="776">
        <f t="shared" si="277"/>
        <v>10304.540000000037</v>
      </c>
      <c r="CU206" s="165">
        <f t="shared" si="278"/>
        <v>5.774386848178252E-2</v>
      </c>
      <c r="CV206" s="329"/>
      <c r="CW206" s="373">
        <v>-29287</v>
      </c>
      <c r="CX206" s="373">
        <v>-3000</v>
      </c>
      <c r="CY206" s="373">
        <v>-56037.3</v>
      </c>
      <c r="CZ206" s="373">
        <v>20658</v>
      </c>
      <c r="DA206" s="373">
        <v>0</v>
      </c>
      <c r="DB206" s="373">
        <v>0</v>
      </c>
      <c r="DC206" s="374">
        <v>0</v>
      </c>
      <c r="DD206" s="373">
        <v>0</v>
      </c>
      <c r="DE206" s="373">
        <v>176388</v>
      </c>
      <c r="DF206" s="373">
        <v>0</v>
      </c>
      <c r="DG206" s="373">
        <v>28588</v>
      </c>
      <c r="DH206" s="373">
        <v>174299</v>
      </c>
      <c r="DI206" s="375">
        <f t="shared" si="279"/>
        <v>311608.7</v>
      </c>
      <c r="DJ206" s="329"/>
      <c r="DK206" s="373">
        <v>0</v>
      </c>
      <c r="DL206" s="373">
        <v>24233</v>
      </c>
      <c r="DM206" s="373">
        <v>1313</v>
      </c>
      <c r="DN206" s="373">
        <v>0</v>
      </c>
      <c r="DO206" s="373">
        <v>0</v>
      </c>
      <c r="DP206" s="373">
        <v>785528</v>
      </c>
      <c r="DQ206" s="374">
        <v>0</v>
      </c>
      <c r="DR206" s="373">
        <v>-9143</v>
      </c>
      <c r="DS206" s="373">
        <v>0</v>
      </c>
      <c r="DT206" s="373">
        <v>1648</v>
      </c>
      <c r="DU206" s="373">
        <v>5940</v>
      </c>
      <c r="DV206" s="373">
        <v>841935</v>
      </c>
      <c r="DW206" s="375">
        <f t="shared" si="280"/>
        <v>1651454</v>
      </c>
      <c r="DY206" s="373">
        <v>0</v>
      </c>
      <c r="DZ206" s="373">
        <v>255000</v>
      </c>
      <c r="EA206" s="373">
        <v>265000</v>
      </c>
      <c r="EB206" s="373">
        <v>0</v>
      </c>
      <c r="EC206" s="373">
        <v>265000</v>
      </c>
      <c r="ED206" s="373">
        <v>-528000</v>
      </c>
      <c r="EE206" s="374">
        <v>57500</v>
      </c>
      <c r="EF206" s="373">
        <v>0</v>
      </c>
      <c r="EG206" s="373">
        <v>0</v>
      </c>
      <c r="EH206" s="373">
        <v>36000</v>
      </c>
      <c r="EI206" s="373">
        <v>98037</v>
      </c>
      <c r="EJ206" s="373">
        <v>428282.4</v>
      </c>
      <c r="EK206" s="375">
        <f t="shared" si="293"/>
        <v>876819.4</v>
      </c>
      <c r="EL206" s="177"/>
      <c r="EM206" s="373">
        <v>0</v>
      </c>
      <c r="EN206" s="373">
        <v>0</v>
      </c>
      <c r="EO206" s="373">
        <v>0</v>
      </c>
      <c r="EP206" s="373">
        <v>0</v>
      </c>
      <c r="EQ206" s="373">
        <v>0</v>
      </c>
      <c r="ER206" s="373">
        <v>0</v>
      </c>
      <c r="ES206" s="374">
        <v>0</v>
      </c>
      <c r="ET206" s="373">
        <v>0</v>
      </c>
      <c r="EU206" s="373">
        <v>0</v>
      </c>
      <c r="EV206" s="373">
        <v>0</v>
      </c>
      <c r="EW206" s="373">
        <v>0</v>
      </c>
      <c r="EX206" s="373">
        <v>0</v>
      </c>
      <c r="EY206" s="375">
        <f t="shared" si="294"/>
        <v>0</v>
      </c>
      <c r="EZ206" s="164">
        <v>0</v>
      </c>
      <c r="FA206" s="185">
        <v>0</v>
      </c>
    </row>
    <row r="207" spans="1:157" ht="18.75" customHeight="1">
      <c r="A207" s="185" t="s">
        <v>327</v>
      </c>
      <c r="B207" s="774"/>
      <c r="C207" s="176" t="s">
        <v>960</v>
      </c>
      <c r="D207" s="176">
        <v>65001000</v>
      </c>
      <c r="E207" s="773"/>
      <c r="F207" s="320" t="s">
        <v>691</v>
      </c>
      <c r="G207" s="329"/>
      <c r="H207" s="373"/>
      <c r="I207" s="373"/>
      <c r="J207" s="373"/>
      <c r="K207" s="373"/>
      <c r="L207" s="373"/>
      <c r="M207" s="373"/>
      <c r="N207" s="374"/>
      <c r="O207" s="373"/>
      <c r="P207" s="373"/>
      <c r="Q207" s="373"/>
      <c r="R207" s="373"/>
      <c r="S207" s="377">
        <v>735444.84650828026</v>
      </c>
      <c r="T207" s="375">
        <f t="shared" si="287"/>
        <v>735444.84650828026</v>
      </c>
      <c r="U207" s="776">
        <f t="shared" si="289"/>
        <v>-320319.88650828029</v>
      </c>
      <c r="V207" s="775">
        <f t="shared" si="290"/>
        <v>-0.77162280607815137</v>
      </c>
      <c r="W207" s="329"/>
      <c r="X207" s="373">
        <v>0</v>
      </c>
      <c r="Y207" s="373">
        <v>57.67</v>
      </c>
      <c r="Z207" s="373">
        <v>595.87</v>
      </c>
      <c r="AA207" s="373">
        <v>766.76</v>
      </c>
      <c r="AB207" s="373">
        <v>1538.46</v>
      </c>
      <c r="AC207" s="373">
        <v>56896.800000000003</v>
      </c>
      <c r="AD207" s="374">
        <v>19815.2</v>
      </c>
      <c r="AE207" s="373">
        <v>141975.71</v>
      </c>
      <c r="AF207" s="373">
        <v>61940.08</v>
      </c>
      <c r="AG207" s="373">
        <v>349.5</v>
      </c>
      <c r="AH207" s="373">
        <v>0</v>
      </c>
      <c r="AI207" s="373">
        <v>131188.91</v>
      </c>
      <c r="AJ207" s="375">
        <f t="shared" si="288"/>
        <v>415124.95999999996</v>
      </c>
      <c r="AK207" s="329"/>
      <c r="AL207" s="373">
        <v>0</v>
      </c>
      <c r="AM207" s="373">
        <v>0</v>
      </c>
      <c r="AN207" s="373">
        <v>0</v>
      </c>
      <c r="AO207" s="373">
        <v>0</v>
      </c>
      <c r="AP207" s="373">
        <v>0</v>
      </c>
      <c r="AQ207" s="373">
        <v>0</v>
      </c>
      <c r="AR207" s="374">
        <v>0</v>
      </c>
      <c r="AS207" s="373">
        <v>0</v>
      </c>
      <c r="AT207" s="373">
        <v>0</v>
      </c>
      <c r="AU207" s="373">
        <v>0</v>
      </c>
      <c r="AV207" s="373">
        <v>0</v>
      </c>
      <c r="AW207" s="373">
        <v>4000</v>
      </c>
      <c r="AX207" s="375">
        <v>4000</v>
      </c>
      <c r="AY207" s="776">
        <f t="shared" si="291"/>
        <v>572500.33000000007</v>
      </c>
      <c r="AZ207" s="775">
        <f t="shared" si="292"/>
        <v>0.99306158246258069</v>
      </c>
      <c r="BA207" s="329"/>
      <c r="BB207" s="373">
        <v>406.05</v>
      </c>
      <c r="BC207" s="373">
        <v>547.09</v>
      </c>
      <c r="BD207" s="373">
        <v>213298.73</v>
      </c>
      <c r="BE207" s="373">
        <v>26711.95</v>
      </c>
      <c r="BF207" s="373">
        <v>67239.820000000007</v>
      </c>
      <c r="BG207" s="373">
        <v>18213.080000000002</v>
      </c>
      <c r="BH207" s="374">
        <v>5528.79</v>
      </c>
      <c r="BI207" s="373">
        <v>6029.74</v>
      </c>
      <c r="BJ207" s="373">
        <v>1606.38</v>
      </c>
      <c r="BK207" s="373">
        <v>480.59</v>
      </c>
      <c r="BL207" s="373">
        <v>43351.6</v>
      </c>
      <c r="BM207" s="373">
        <v>193086.51</v>
      </c>
      <c r="BN207" s="402">
        <v>576500.33000000007</v>
      </c>
      <c r="BO207" s="329"/>
      <c r="BP207" s="374">
        <v>20000</v>
      </c>
      <c r="BQ207" s="374">
        <v>20000</v>
      </c>
      <c r="BR207" s="374">
        <v>20000</v>
      </c>
      <c r="BS207" s="374">
        <v>20000</v>
      </c>
      <c r="BT207" s="374">
        <v>20000</v>
      </c>
      <c r="BU207" s="374">
        <v>20000</v>
      </c>
      <c r="BV207" s="374">
        <v>20000</v>
      </c>
      <c r="BW207" s="374">
        <v>20000</v>
      </c>
      <c r="BX207" s="374">
        <v>20000</v>
      </c>
      <c r="BY207" s="374">
        <v>20000</v>
      </c>
      <c r="BZ207" s="374">
        <v>20000</v>
      </c>
      <c r="CA207" s="374">
        <v>20000</v>
      </c>
      <c r="CB207" s="402">
        <f t="shared" si="282"/>
        <v>240000</v>
      </c>
      <c r="CC207" s="776">
        <f t="shared" si="274"/>
        <v>-336500.33000000007</v>
      </c>
      <c r="CD207" s="775">
        <f t="shared" si="275"/>
        <v>-1.4020847083333337</v>
      </c>
      <c r="CE207" s="772"/>
      <c r="CF207" s="374">
        <v>3558.78</v>
      </c>
      <c r="CG207" s="374">
        <v>9715.8799999999992</v>
      </c>
      <c r="CH207" s="374">
        <v>-4296.6499999999996</v>
      </c>
      <c r="CI207" s="374">
        <v>49284.53</v>
      </c>
      <c r="CJ207" s="374">
        <v>3988.34</v>
      </c>
      <c r="CK207" s="374">
        <v>78432.63</v>
      </c>
      <c r="CL207" s="374">
        <v>15556.57</v>
      </c>
      <c r="CM207" s="374">
        <v>61143.38</v>
      </c>
      <c r="CN207" s="374">
        <v>10314.450000000001</v>
      </c>
      <c r="CO207" s="374">
        <v>9294.59</v>
      </c>
      <c r="CP207" s="374">
        <v>3328.28</v>
      </c>
      <c r="CQ207" s="374">
        <v>510.65</v>
      </c>
      <c r="CR207" s="374">
        <v>0</v>
      </c>
      <c r="CS207" s="402">
        <f t="shared" si="276"/>
        <v>240831.43000000002</v>
      </c>
      <c r="CT207" s="776">
        <f t="shared" si="277"/>
        <v>-335668.9</v>
      </c>
      <c r="CU207" s="165">
        <f t="shared" si="278"/>
        <v>-1.3937919149506357</v>
      </c>
      <c r="CV207" s="329"/>
      <c r="CW207" s="373">
        <v>35566.94</v>
      </c>
      <c r="CX207" s="373">
        <v>116.29</v>
      </c>
      <c r="CY207" s="373">
        <v>281133.08</v>
      </c>
      <c r="CZ207" s="373">
        <v>294671.67</v>
      </c>
      <c r="DA207" s="373">
        <v>54353.48</v>
      </c>
      <c r="DB207" s="373">
        <v>11913.55</v>
      </c>
      <c r="DC207" s="374">
        <v>263374.64</v>
      </c>
      <c r="DD207" s="373">
        <v>114553.11</v>
      </c>
      <c r="DE207" s="373">
        <v>121755.04</v>
      </c>
      <c r="DF207" s="373">
        <v>-143739.64000000001</v>
      </c>
      <c r="DG207" s="373">
        <v>56148</v>
      </c>
      <c r="DH207" s="373">
        <v>5568.98</v>
      </c>
      <c r="DI207" s="375">
        <f t="shared" si="279"/>
        <v>1095415.1400000001</v>
      </c>
      <c r="DJ207" s="329"/>
      <c r="DK207" s="373">
        <v>312215.67</v>
      </c>
      <c r="DL207" s="373">
        <v>185099.74</v>
      </c>
      <c r="DM207" s="373">
        <v>136207.92000000001</v>
      </c>
      <c r="DN207" s="373">
        <v>200530.25</v>
      </c>
      <c r="DO207" s="373">
        <v>228674.91</v>
      </c>
      <c r="DP207" s="373">
        <v>313936.74</v>
      </c>
      <c r="DQ207" s="374">
        <v>178359.64</v>
      </c>
      <c r="DR207" s="373">
        <v>170084.32</v>
      </c>
      <c r="DS207" s="373">
        <v>-1130396.53</v>
      </c>
      <c r="DT207" s="373">
        <v>122573.75999999999</v>
      </c>
      <c r="DU207" s="373">
        <v>16064.89</v>
      </c>
      <c r="DV207" s="373">
        <v>131366.06</v>
      </c>
      <c r="DW207" s="375">
        <f t="shared" si="280"/>
        <v>864717.37000000011</v>
      </c>
      <c r="DY207" s="373">
        <v>1496.14</v>
      </c>
      <c r="DZ207" s="373">
        <v>0</v>
      </c>
      <c r="EA207" s="373">
        <v>0</v>
      </c>
      <c r="EB207" s="373">
        <v>0</v>
      </c>
      <c r="EC207" s="373">
        <v>389843.69</v>
      </c>
      <c r="ED207" s="373">
        <v>110047.63</v>
      </c>
      <c r="EE207" s="374">
        <v>64086.12</v>
      </c>
      <c r="EF207" s="373">
        <v>55292.08</v>
      </c>
      <c r="EG207" s="373">
        <v>38140.71</v>
      </c>
      <c r="EH207" s="373">
        <v>12311.35</v>
      </c>
      <c r="EI207" s="373">
        <v>164146.67000000001</v>
      </c>
      <c r="EJ207" s="373">
        <v>-90295.31</v>
      </c>
      <c r="EK207" s="375">
        <f t="shared" si="293"/>
        <v>745069.08000000007</v>
      </c>
      <c r="EL207" s="177"/>
      <c r="EM207" s="373">
        <v>1800</v>
      </c>
      <c r="EN207" s="373">
        <v>81434.600000000006</v>
      </c>
      <c r="EO207" s="373">
        <v>0</v>
      </c>
      <c r="EP207" s="373">
        <v>0</v>
      </c>
      <c r="EQ207" s="373">
        <v>18610</v>
      </c>
      <c r="ER207" s="373">
        <v>52673</v>
      </c>
      <c r="ES207" s="374">
        <v>52050</v>
      </c>
      <c r="ET207" s="373">
        <v>123351</v>
      </c>
      <c r="EU207" s="373">
        <v>20422</v>
      </c>
      <c r="EV207" s="373">
        <v>59821.89</v>
      </c>
      <c r="EW207" s="373">
        <v>1075.06</v>
      </c>
      <c r="EX207" s="373">
        <v>195.19</v>
      </c>
      <c r="EY207" s="375">
        <f t="shared" si="294"/>
        <v>411432.74</v>
      </c>
      <c r="EZ207" s="164">
        <v>0</v>
      </c>
      <c r="FA207" s="185">
        <v>0</v>
      </c>
    </row>
    <row r="208" spans="1:157" ht="18.75" customHeight="1">
      <c r="A208" s="185" t="s">
        <v>327</v>
      </c>
      <c r="B208" s="774"/>
      <c r="C208" s="176" t="s">
        <v>959</v>
      </c>
      <c r="D208" s="176">
        <v>65002000</v>
      </c>
      <c r="E208" s="773"/>
      <c r="F208" s="320" t="s">
        <v>692</v>
      </c>
      <c r="G208" s="329"/>
      <c r="H208" s="373"/>
      <c r="I208" s="373"/>
      <c r="J208" s="373"/>
      <c r="K208" s="373"/>
      <c r="L208" s="373"/>
      <c r="M208" s="373"/>
      <c r="N208" s="374"/>
      <c r="O208" s="373"/>
      <c r="P208" s="373"/>
      <c r="Q208" s="373"/>
      <c r="R208" s="373"/>
      <c r="S208" s="377">
        <v>0</v>
      </c>
      <c r="T208" s="375">
        <f t="shared" si="287"/>
        <v>0</v>
      </c>
      <c r="U208" s="776">
        <f t="shared" si="289"/>
        <v>0</v>
      </c>
      <c r="V208" s="775" t="e">
        <f t="shared" si="290"/>
        <v>#DIV/0!</v>
      </c>
      <c r="W208" s="329"/>
      <c r="X208" s="373">
        <v>0</v>
      </c>
      <c r="Y208" s="373">
        <v>0</v>
      </c>
      <c r="Z208" s="373">
        <v>0</v>
      </c>
      <c r="AA208" s="373">
        <v>0</v>
      </c>
      <c r="AB208" s="373">
        <v>0</v>
      </c>
      <c r="AC208" s="373">
        <v>0</v>
      </c>
      <c r="AD208" s="374">
        <v>0</v>
      </c>
      <c r="AE208" s="373">
        <v>0</v>
      </c>
      <c r="AF208" s="373">
        <v>0</v>
      </c>
      <c r="AG208" s="373">
        <v>0</v>
      </c>
      <c r="AH208" s="373">
        <v>0</v>
      </c>
      <c r="AI208" s="373">
        <v>0</v>
      </c>
      <c r="AJ208" s="375">
        <f t="shared" si="288"/>
        <v>0</v>
      </c>
      <c r="AK208" s="329"/>
      <c r="AL208" s="373">
        <v>0</v>
      </c>
      <c r="AM208" s="373">
        <v>0</v>
      </c>
      <c r="AN208" s="373">
        <v>0</v>
      </c>
      <c r="AO208" s="373">
        <v>0</v>
      </c>
      <c r="AP208" s="373">
        <v>0</v>
      </c>
      <c r="AQ208" s="373">
        <v>0</v>
      </c>
      <c r="AR208" s="374">
        <v>0</v>
      </c>
      <c r="AS208" s="373">
        <v>0</v>
      </c>
      <c r="AT208" s="373">
        <v>0</v>
      </c>
      <c r="AU208" s="373">
        <v>0</v>
      </c>
      <c r="AV208" s="373">
        <v>0</v>
      </c>
      <c r="AW208" s="373">
        <v>0</v>
      </c>
      <c r="AX208" s="375">
        <v>0</v>
      </c>
      <c r="AY208" s="776">
        <f t="shared" si="291"/>
        <v>9480</v>
      </c>
      <c r="AZ208" s="775">
        <f t="shared" si="292"/>
        <v>1</v>
      </c>
      <c r="BA208" s="329"/>
      <c r="BB208" s="373">
        <v>0</v>
      </c>
      <c r="BC208" s="373">
        <v>0</v>
      </c>
      <c r="BD208" s="373">
        <v>113.4</v>
      </c>
      <c r="BE208" s="373">
        <v>0</v>
      </c>
      <c r="BF208" s="373">
        <v>0</v>
      </c>
      <c r="BG208" s="373">
        <v>0</v>
      </c>
      <c r="BH208" s="374">
        <v>0</v>
      </c>
      <c r="BI208" s="373">
        <v>0</v>
      </c>
      <c r="BJ208" s="373">
        <v>0</v>
      </c>
      <c r="BK208" s="373">
        <v>0</v>
      </c>
      <c r="BL208" s="373">
        <v>0</v>
      </c>
      <c r="BM208" s="373">
        <v>9366.6</v>
      </c>
      <c r="BN208" s="402">
        <v>9480</v>
      </c>
      <c r="BO208" s="329"/>
      <c r="BP208" s="374">
        <v>20833.333333333332</v>
      </c>
      <c r="BQ208" s="374">
        <v>20833.333333333332</v>
      </c>
      <c r="BR208" s="374">
        <v>20833.333333333332</v>
      </c>
      <c r="BS208" s="374">
        <v>20833.333333333332</v>
      </c>
      <c r="BT208" s="374">
        <v>20833.333333333332</v>
      </c>
      <c r="BU208" s="374">
        <v>20833.333333333332</v>
      </c>
      <c r="BV208" s="374">
        <v>20833.333333333332</v>
      </c>
      <c r="BW208" s="374">
        <v>20833.333333333332</v>
      </c>
      <c r="BX208" s="374">
        <v>20833.333333333332</v>
      </c>
      <c r="BY208" s="374">
        <v>20833.333333333332</v>
      </c>
      <c r="BZ208" s="374">
        <v>20833.333333333332</v>
      </c>
      <c r="CA208" s="374">
        <v>20833.333333333314</v>
      </c>
      <c r="CB208" s="402">
        <f t="shared" si="282"/>
        <v>250000</v>
      </c>
      <c r="CC208" s="776">
        <f t="shared" si="274"/>
        <v>240520</v>
      </c>
      <c r="CD208" s="775">
        <f t="shared" si="275"/>
        <v>0.96208000000000005</v>
      </c>
      <c r="CE208" s="772"/>
      <c r="CF208" s="374">
        <v>316300</v>
      </c>
      <c r="CG208" s="374">
        <v>0</v>
      </c>
      <c r="CH208" s="374">
        <v>-129800</v>
      </c>
      <c r="CI208" s="374">
        <v>0</v>
      </c>
      <c r="CJ208" s="374">
        <v>0</v>
      </c>
      <c r="CK208" s="374">
        <v>19000</v>
      </c>
      <c r="CL208" s="374">
        <v>0</v>
      </c>
      <c r="CM208" s="374">
        <v>15150</v>
      </c>
      <c r="CN208" s="374">
        <v>15150</v>
      </c>
      <c r="CO208" s="374">
        <v>-13350</v>
      </c>
      <c r="CP208" s="374">
        <v>0</v>
      </c>
      <c r="CQ208" s="374">
        <v>0</v>
      </c>
      <c r="CR208" s="374">
        <v>0</v>
      </c>
      <c r="CS208" s="402">
        <f t="shared" si="276"/>
        <v>222450</v>
      </c>
      <c r="CT208" s="776">
        <f t="shared" si="277"/>
        <v>212970</v>
      </c>
      <c r="CU208" s="165">
        <f t="shared" si="278"/>
        <v>0.95738368172623056</v>
      </c>
      <c r="CV208" s="329"/>
      <c r="CW208" s="373">
        <v>0</v>
      </c>
      <c r="CX208" s="373">
        <v>0</v>
      </c>
      <c r="CY208" s="373">
        <v>0</v>
      </c>
      <c r="CZ208" s="373">
        <v>-9000</v>
      </c>
      <c r="DA208" s="373">
        <v>0</v>
      </c>
      <c r="DB208" s="373">
        <v>0</v>
      </c>
      <c r="DC208" s="374">
        <v>69680</v>
      </c>
      <c r="DD208" s="373">
        <v>0</v>
      </c>
      <c r="DE208" s="373">
        <v>-42000</v>
      </c>
      <c r="DF208" s="373">
        <v>143800</v>
      </c>
      <c r="DG208" s="373">
        <v>0</v>
      </c>
      <c r="DH208" s="373">
        <v>0</v>
      </c>
      <c r="DI208" s="375">
        <f t="shared" si="279"/>
        <v>162480</v>
      </c>
      <c r="DJ208" s="329"/>
      <c r="DK208" s="373">
        <v>0</v>
      </c>
      <c r="DL208" s="373">
        <v>100</v>
      </c>
      <c r="DM208" s="373">
        <v>-100</v>
      </c>
      <c r="DN208" s="373">
        <v>0</v>
      </c>
      <c r="DO208" s="373">
        <v>0</v>
      </c>
      <c r="DP208" s="373">
        <v>0</v>
      </c>
      <c r="DQ208" s="374">
        <v>0</v>
      </c>
      <c r="DR208" s="373">
        <v>9000</v>
      </c>
      <c r="DS208" s="373">
        <v>144300</v>
      </c>
      <c r="DT208" s="373">
        <v>0</v>
      </c>
      <c r="DU208" s="373">
        <v>0</v>
      </c>
      <c r="DV208" s="373">
        <v>42000</v>
      </c>
      <c r="DW208" s="375">
        <f t="shared" si="280"/>
        <v>195300</v>
      </c>
      <c r="DY208" s="373">
        <v>0</v>
      </c>
      <c r="DZ208" s="373">
        <v>0</v>
      </c>
      <c r="EA208" s="373">
        <v>0</v>
      </c>
      <c r="EB208" s="373">
        <v>0</v>
      </c>
      <c r="EC208" s="373">
        <v>0</v>
      </c>
      <c r="ED208" s="373">
        <v>0</v>
      </c>
      <c r="EE208" s="374">
        <v>0</v>
      </c>
      <c r="EF208" s="373">
        <v>0</v>
      </c>
      <c r="EG208" s="373">
        <v>17850</v>
      </c>
      <c r="EH208" s="373">
        <v>5750</v>
      </c>
      <c r="EI208" s="373">
        <v>-23600</v>
      </c>
      <c r="EJ208" s="373">
        <v>65850</v>
      </c>
      <c r="EK208" s="375">
        <f t="shared" si="293"/>
        <v>65850</v>
      </c>
      <c r="EL208" s="177"/>
      <c r="EM208" s="373">
        <v>0</v>
      </c>
      <c r="EN208" s="373">
        <v>0</v>
      </c>
      <c r="EO208" s="373">
        <v>0</v>
      </c>
      <c r="EP208" s="373">
        <v>0</v>
      </c>
      <c r="EQ208" s="373">
        <v>0</v>
      </c>
      <c r="ER208" s="373">
        <v>0</v>
      </c>
      <c r="ES208" s="374">
        <v>0</v>
      </c>
      <c r="ET208" s="373">
        <v>0</v>
      </c>
      <c r="EU208" s="373">
        <v>0</v>
      </c>
      <c r="EV208" s="373">
        <v>0</v>
      </c>
      <c r="EW208" s="373">
        <v>0</v>
      </c>
      <c r="EX208" s="373">
        <v>0</v>
      </c>
      <c r="EY208" s="375">
        <f t="shared" si="294"/>
        <v>0</v>
      </c>
      <c r="EZ208" s="164">
        <v>0</v>
      </c>
      <c r="FA208" s="185">
        <v>0</v>
      </c>
    </row>
    <row r="209" spans="1:157" ht="18.75" customHeight="1">
      <c r="A209" s="185" t="s">
        <v>327</v>
      </c>
      <c r="B209" s="774"/>
      <c r="C209" s="176" t="s">
        <v>958</v>
      </c>
      <c r="D209" s="176">
        <v>65101000</v>
      </c>
      <c r="E209" s="773"/>
      <c r="F209" s="320" t="s">
        <v>693</v>
      </c>
      <c r="G209" s="329"/>
      <c r="H209" s="373"/>
      <c r="I209" s="373"/>
      <c r="J209" s="373"/>
      <c r="K209" s="373"/>
      <c r="L209" s="373"/>
      <c r="M209" s="373"/>
      <c r="N209" s="374"/>
      <c r="O209" s="373"/>
      <c r="P209" s="373"/>
      <c r="Q209" s="373"/>
      <c r="R209" s="373"/>
      <c r="S209" s="377">
        <v>1711909.1283894042</v>
      </c>
      <c r="T209" s="375">
        <f t="shared" si="287"/>
        <v>1711909.1283894042</v>
      </c>
      <c r="U209" s="776">
        <f t="shared" si="289"/>
        <v>24555.711610595929</v>
      </c>
      <c r="V209" s="775">
        <f t="shared" si="290"/>
        <v>1.4141208646986441E-2</v>
      </c>
      <c r="W209" s="329"/>
      <c r="X209" s="373">
        <v>11000</v>
      </c>
      <c r="Y209" s="373">
        <v>7960</v>
      </c>
      <c r="Z209" s="373">
        <v>177188.94</v>
      </c>
      <c r="AA209" s="373">
        <v>-28030</v>
      </c>
      <c r="AB209" s="373">
        <v>54875.8</v>
      </c>
      <c r="AC209" s="373">
        <v>125125</v>
      </c>
      <c r="AD209" s="374">
        <v>-17710</v>
      </c>
      <c r="AE209" s="373">
        <v>32116</v>
      </c>
      <c r="AF209" s="373">
        <v>141675.6</v>
      </c>
      <c r="AG209" s="373">
        <v>22193.4</v>
      </c>
      <c r="AH209" s="373">
        <v>450</v>
      </c>
      <c r="AI209" s="373">
        <v>1209620.1000000001</v>
      </c>
      <c r="AJ209" s="375">
        <f t="shared" si="288"/>
        <v>1736464.84</v>
      </c>
      <c r="AK209" s="329"/>
      <c r="AL209" s="373">
        <v>0</v>
      </c>
      <c r="AM209" s="373">
        <v>0</v>
      </c>
      <c r="AN209" s="373">
        <v>0</v>
      </c>
      <c r="AO209" s="373">
        <v>0</v>
      </c>
      <c r="AP209" s="373">
        <v>0</v>
      </c>
      <c r="AQ209" s="373">
        <v>0</v>
      </c>
      <c r="AR209" s="374">
        <v>0</v>
      </c>
      <c r="AS209" s="373">
        <v>0</v>
      </c>
      <c r="AT209" s="373">
        <v>0</v>
      </c>
      <c r="AU209" s="373">
        <v>0</v>
      </c>
      <c r="AV209" s="373">
        <v>0</v>
      </c>
      <c r="AW209" s="373">
        <v>0</v>
      </c>
      <c r="AX209" s="375">
        <v>0</v>
      </c>
      <c r="AY209" s="776">
        <f t="shared" si="291"/>
        <v>331734</v>
      </c>
      <c r="AZ209" s="775">
        <f t="shared" si="292"/>
        <v>1</v>
      </c>
      <c r="BA209" s="329"/>
      <c r="BB209" s="373">
        <v>7246</v>
      </c>
      <c r="BC209" s="373">
        <v>118885</v>
      </c>
      <c r="BD209" s="373">
        <v>19785</v>
      </c>
      <c r="BE209" s="373">
        <v>33050</v>
      </c>
      <c r="BF209" s="373">
        <v>23050</v>
      </c>
      <c r="BG209" s="373">
        <v>13176</v>
      </c>
      <c r="BH209" s="374">
        <v>30699</v>
      </c>
      <c r="BI209" s="373">
        <v>17145</v>
      </c>
      <c r="BJ209" s="373">
        <v>12432</v>
      </c>
      <c r="BK209" s="373">
        <v>28494</v>
      </c>
      <c r="BL209" s="373">
        <v>16532</v>
      </c>
      <c r="BM209" s="373">
        <v>11240</v>
      </c>
      <c r="BN209" s="402">
        <v>331734</v>
      </c>
      <c r="BO209" s="329"/>
      <c r="BP209" s="374">
        <v>68333.333333333343</v>
      </c>
      <c r="BQ209" s="374">
        <v>68333.333333333343</v>
      </c>
      <c r="BR209" s="374">
        <v>68333.333333333343</v>
      </c>
      <c r="BS209" s="374">
        <v>68333.333333333343</v>
      </c>
      <c r="BT209" s="374">
        <v>68333.333333333343</v>
      </c>
      <c r="BU209" s="374">
        <v>68333.333333333343</v>
      </c>
      <c r="BV209" s="374">
        <v>68333.333333333343</v>
      </c>
      <c r="BW209" s="374">
        <v>68333.333333333343</v>
      </c>
      <c r="BX209" s="374">
        <v>68333.333333333343</v>
      </c>
      <c r="BY209" s="374">
        <v>68333.333333333343</v>
      </c>
      <c r="BZ209" s="374">
        <v>68333.333333333343</v>
      </c>
      <c r="CA209" s="374">
        <v>68333.333333333256</v>
      </c>
      <c r="CB209" s="402">
        <f t="shared" si="282"/>
        <v>820000.00000000023</v>
      </c>
      <c r="CC209" s="776">
        <f t="shared" si="274"/>
        <v>488266.00000000023</v>
      </c>
      <c r="CD209" s="775">
        <f t="shared" si="275"/>
        <v>0.5954463414634148</v>
      </c>
      <c r="CE209" s="772"/>
      <c r="CF209" s="374">
        <v>30720</v>
      </c>
      <c r="CG209" s="374">
        <v>21720</v>
      </c>
      <c r="CH209" s="374">
        <v>26150</v>
      </c>
      <c r="CI209" s="374">
        <v>28685</v>
      </c>
      <c r="CJ209" s="374">
        <v>70330</v>
      </c>
      <c r="CK209" s="374">
        <v>85445</v>
      </c>
      <c r="CL209" s="374">
        <v>115300</v>
      </c>
      <c r="CM209" s="374">
        <v>222533</v>
      </c>
      <c r="CN209" s="374">
        <v>261340</v>
      </c>
      <c r="CO209" s="374">
        <v>236</v>
      </c>
      <c r="CP209" s="374">
        <v>-4786</v>
      </c>
      <c r="CQ209" s="374">
        <v>38429</v>
      </c>
      <c r="CR209" s="374">
        <v>0</v>
      </c>
      <c r="CS209" s="402">
        <f t="shared" si="276"/>
        <v>896102</v>
      </c>
      <c r="CT209" s="776">
        <f t="shared" si="277"/>
        <v>564368</v>
      </c>
      <c r="CU209" s="165">
        <f t="shared" si="278"/>
        <v>0.62980330364177295</v>
      </c>
      <c r="CV209" s="329"/>
      <c r="CW209" s="373">
        <v>-12195</v>
      </c>
      <c r="CX209" s="373">
        <v>22200</v>
      </c>
      <c r="CY209" s="373">
        <v>-45294</v>
      </c>
      <c r="CZ209" s="373">
        <v>64678.1</v>
      </c>
      <c r="DA209" s="373">
        <v>37890</v>
      </c>
      <c r="DB209" s="373">
        <v>8460</v>
      </c>
      <c r="DC209" s="374">
        <v>168100</v>
      </c>
      <c r="DD209" s="373">
        <v>134058.79999999999</v>
      </c>
      <c r="DE209" s="373">
        <v>15285</v>
      </c>
      <c r="DF209" s="373">
        <v>21800</v>
      </c>
      <c r="DG209" s="373">
        <v>19625</v>
      </c>
      <c r="DH209" s="373">
        <v>5020</v>
      </c>
      <c r="DI209" s="375">
        <f t="shared" si="279"/>
        <v>439627.9</v>
      </c>
      <c r="DJ209" s="329"/>
      <c r="DK209" s="373">
        <v>20300</v>
      </c>
      <c r="DL209" s="373">
        <v>90050</v>
      </c>
      <c r="DM209" s="373">
        <v>52600</v>
      </c>
      <c r="DN209" s="373">
        <v>77668</v>
      </c>
      <c r="DO209" s="373">
        <v>23715.5</v>
      </c>
      <c r="DP209" s="373">
        <v>56739</v>
      </c>
      <c r="DQ209" s="374">
        <v>117475</v>
      </c>
      <c r="DR209" s="373">
        <v>6562</v>
      </c>
      <c r="DS209" s="373">
        <v>52075</v>
      </c>
      <c r="DT209" s="373">
        <v>-11226.3</v>
      </c>
      <c r="DU209" s="373">
        <v>41830</v>
      </c>
      <c r="DV209" s="373">
        <v>77132</v>
      </c>
      <c r="DW209" s="375">
        <f t="shared" si="280"/>
        <v>604920.19999999995</v>
      </c>
      <c r="DY209" s="373">
        <v>8640</v>
      </c>
      <c r="DZ209" s="373">
        <v>10756</v>
      </c>
      <c r="EA209" s="373">
        <v>33850</v>
      </c>
      <c r="EB209" s="373">
        <v>59300</v>
      </c>
      <c r="EC209" s="373">
        <v>33620</v>
      </c>
      <c r="ED209" s="373">
        <v>1710</v>
      </c>
      <c r="EE209" s="374">
        <v>176750</v>
      </c>
      <c r="EF209" s="373">
        <v>6550</v>
      </c>
      <c r="EG209" s="373">
        <v>238320</v>
      </c>
      <c r="EH209" s="373">
        <v>9280</v>
      </c>
      <c r="EI209" s="373">
        <v>0</v>
      </c>
      <c r="EJ209" s="373">
        <v>7055.41</v>
      </c>
      <c r="EK209" s="375">
        <f t="shared" si="293"/>
        <v>585831.41</v>
      </c>
      <c r="EL209" s="177"/>
      <c r="EM209" s="373">
        <v>0</v>
      </c>
      <c r="EN209" s="373">
        <v>0</v>
      </c>
      <c r="EO209" s="373">
        <v>0</v>
      </c>
      <c r="EP209" s="373">
        <v>0</v>
      </c>
      <c r="EQ209" s="373">
        <v>192000</v>
      </c>
      <c r="ER209" s="373">
        <v>38682</v>
      </c>
      <c r="ES209" s="374">
        <v>29000</v>
      </c>
      <c r="ET209" s="373">
        <v>5540</v>
      </c>
      <c r="EU209" s="373">
        <v>400</v>
      </c>
      <c r="EV209" s="373">
        <v>0</v>
      </c>
      <c r="EW209" s="373">
        <v>122474</v>
      </c>
      <c r="EX209" s="373">
        <v>48350</v>
      </c>
      <c r="EY209" s="375">
        <f t="shared" si="294"/>
        <v>436446</v>
      </c>
      <c r="EZ209" s="164">
        <v>0</v>
      </c>
      <c r="FA209" s="185">
        <v>0</v>
      </c>
    </row>
    <row r="210" spans="1:157" ht="18.75" customHeight="1">
      <c r="A210" s="185" t="s">
        <v>327</v>
      </c>
      <c r="B210" s="774"/>
      <c r="C210" s="176" t="s">
        <v>957</v>
      </c>
      <c r="D210" s="176">
        <v>65102000</v>
      </c>
      <c r="E210" s="773"/>
      <c r="F210" s="320" t="s">
        <v>694</v>
      </c>
      <c r="G210" s="210"/>
      <c r="H210" s="373"/>
      <c r="I210" s="373"/>
      <c r="J210" s="373"/>
      <c r="K210" s="373"/>
      <c r="L210" s="373"/>
      <c r="M210" s="373"/>
      <c r="N210" s="374"/>
      <c r="O210" s="373"/>
      <c r="P210" s="373"/>
      <c r="Q210" s="373"/>
      <c r="R210" s="373"/>
      <c r="S210" s="377">
        <v>538228.22648833354</v>
      </c>
      <c r="T210" s="375">
        <f t="shared" si="287"/>
        <v>538228.22648833354</v>
      </c>
      <c r="U210" s="776">
        <f t="shared" si="289"/>
        <v>-224835.47648833354</v>
      </c>
      <c r="V210" s="775">
        <f t="shared" si="290"/>
        <v>-0.71742398791399464</v>
      </c>
      <c r="W210" s="329"/>
      <c r="X210" s="373">
        <v>0</v>
      </c>
      <c r="Y210" s="373">
        <v>59880.01</v>
      </c>
      <c r="Z210" s="373">
        <v>10813.74</v>
      </c>
      <c r="AA210" s="373">
        <v>14150</v>
      </c>
      <c r="AB210" s="373">
        <v>5780</v>
      </c>
      <c r="AC210" s="373">
        <v>-188310</v>
      </c>
      <c r="AD210" s="374">
        <v>27115</v>
      </c>
      <c r="AE210" s="373">
        <v>-23536</v>
      </c>
      <c r="AF210" s="373">
        <v>7500</v>
      </c>
      <c r="AG210" s="373">
        <v>0</v>
      </c>
      <c r="AH210" s="373">
        <v>0</v>
      </c>
      <c r="AI210" s="373">
        <v>400000</v>
      </c>
      <c r="AJ210" s="375">
        <f t="shared" si="288"/>
        <v>313392.75</v>
      </c>
      <c r="AK210" s="329"/>
      <c r="AL210" s="373">
        <v>0</v>
      </c>
      <c r="AM210" s="373">
        <v>0</v>
      </c>
      <c r="AN210" s="373">
        <v>0</v>
      </c>
      <c r="AO210" s="373">
        <v>0</v>
      </c>
      <c r="AP210" s="373">
        <v>0</v>
      </c>
      <c r="AQ210" s="373">
        <v>0</v>
      </c>
      <c r="AR210" s="374">
        <v>0</v>
      </c>
      <c r="AS210" s="373">
        <v>0</v>
      </c>
      <c r="AT210" s="373">
        <v>0</v>
      </c>
      <c r="AU210" s="373">
        <v>0</v>
      </c>
      <c r="AV210" s="373">
        <v>0</v>
      </c>
      <c r="AW210" s="373">
        <v>20000</v>
      </c>
      <c r="AX210" s="375">
        <v>20000</v>
      </c>
      <c r="AY210" s="776">
        <f t="shared" si="291"/>
        <v>950374.46</v>
      </c>
      <c r="AZ210" s="775">
        <f t="shared" si="292"/>
        <v>0.97938939984055229</v>
      </c>
      <c r="BA210" s="329"/>
      <c r="BB210" s="373">
        <v>-23120.5</v>
      </c>
      <c r="BC210" s="373">
        <v>12200</v>
      </c>
      <c r="BD210" s="373">
        <v>606813.24</v>
      </c>
      <c r="BE210" s="373">
        <v>7577.35</v>
      </c>
      <c r="BF210" s="373">
        <v>1100</v>
      </c>
      <c r="BG210" s="373">
        <v>61437.65</v>
      </c>
      <c r="BH210" s="374">
        <v>43513.72</v>
      </c>
      <c r="BI210" s="373">
        <v>-2018</v>
      </c>
      <c r="BJ210" s="373">
        <v>6335.72</v>
      </c>
      <c r="BK210" s="373">
        <v>-3755.72</v>
      </c>
      <c r="BL210" s="373">
        <v>60291</v>
      </c>
      <c r="BM210" s="373">
        <v>200000</v>
      </c>
      <c r="BN210" s="402">
        <v>970374.46</v>
      </c>
      <c r="BO210" s="329"/>
      <c r="BP210" s="374">
        <v>225833.33333333331</v>
      </c>
      <c r="BQ210" s="374">
        <v>225833.33333333331</v>
      </c>
      <c r="BR210" s="374">
        <v>225833.33333333331</v>
      </c>
      <c r="BS210" s="374">
        <v>225833.33333333331</v>
      </c>
      <c r="BT210" s="374">
        <v>225833.33333333331</v>
      </c>
      <c r="BU210" s="374">
        <v>225833.33333333331</v>
      </c>
      <c r="BV210" s="374">
        <v>225833.33333333331</v>
      </c>
      <c r="BW210" s="374">
        <v>225833.33333333331</v>
      </c>
      <c r="BX210" s="374">
        <v>225833.33333333331</v>
      </c>
      <c r="BY210" s="374">
        <v>225833.33333333331</v>
      </c>
      <c r="BZ210" s="374">
        <v>225833.33333333331</v>
      </c>
      <c r="CA210" s="374">
        <v>225833.33333333317</v>
      </c>
      <c r="CB210" s="402">
        <f t="shared" si="282"/>
        <v>2709999.9999999995</v>
      </c>
      <c r="CC210" s="776">
        <f t="shared" si="274"/>
        <v>1739625.5399999996</v>
      </c>
      <c r="CD210" s="775">
        <f t="shared" si="275"/>
        <v>0.64192824354243538</v>
      </c>
      <c r="CE210" s="777"/>
      <c r="CF210" s="374">
        <v>494591.33</v>
      </c>
      <c r="CG210" s="374">
        <v>44917.95</v>
      </c>
      <c r="CH210" s="374">
        <v>96603.3</v>
      </c>
      <c r="CI210" s="374">
        <v>6704.96</v>
      </c>
      <c r="CJ210" s="374">
        <v>16994.95</v>
      </c>
      <c r="CK210" s="374">
        <v>0</v>
      </c>
      <c r="CL210" s="374">
        <v>1736282.32</v>
      </c>
      <c r="CM210" s="374">
        <v>-1344232.32</v>
      </c>
      <c r="CN210" s="374">
        <v>78152.12</v>
      </c>
      <c r="CO210" s="374">
        <v>325443</v>
      </c>
      <c r="CP210" s="374">
        <v>164908</v>
      </c>
      <c r="CQ210" s="374">
        <v>442866.06</v>
      </c>
      <c r="CR210" s="374">
        <v>0</v>
      </c>
      <c r="CS210" s="402">
        <f t="shared" si="276"/>
        <v>2063231.67</v>
      </c>
      <c r="CT210" s="776">
        <f t="shared" si="277"/>
        <v>1092857.21</v>
      </c>
      <c r="CU210" s="165">
        <f t="shared" si="278"/>
        <v>0.52968225812470204</v>
      </c>
      <c r="CV210" s="330"/>
      <c r="CW210" s="373">
        <v>6677.3</v>
      </c>
      <c r="CX210" s="373">
        <v>3407.3</v>
      </c>
      <c r="CY210" s="373">
        <v>3407.3</v>
      </c>
      <c r="CZ210" s="373">
        <v>10976.9</v>
      </c>
      <c r="DA210" s="373">
        <v>4417.3</v>
      </c>
      <c r="DB210" s="373">
        <v>3407.3</v>
      </c>
      <c r="DC210" s="374">
        <v>42207.3</v>
      </c>
      <c r="DD210" s="373">
        <v>620907.30000000005</v>
      </c>
      <c r="DE210" s="373">
        <v>1150207.3</v>
      </c>
      <c r="DF210" s="373">
        <v>125270</v>
      </c>
      <c r="DG210" s="373">
        <v>37409.839999999997</v>
      </c>
      <c r="DH210" s="373">
        <v>227596.22</v>
      </c>
      <c r="DI210" s="375">
        <f t="shared" si="279"/>
        <v>2235891.3600000003</v>
      </c>
      <c r="DJ210" s="330"/>
      <c r="DK210" s="373">
        <v>28431</v>
      </c>
      <c r="DL210" s="373">
        <v>14680</v>
      </c>
      <c r="DM210" s="373">
        <v>19197.5</v>
      </c>
      <c r="DN210" s="373">
        <v>4574.8500000000004</v>
      </c>
      <c r="DO210" s="373">
        <v>0</v>
      </c>
      <c r="DP210" s="373">
        <v>289118.25</v>
      </c>
      <c r="DQ210" s="374">
        <v>0</v>
      </c>
      <c r="DR210" s="373">
        <v>321740</v>
      </c>
      <c r="DS210" s="373">
        <v>1760</v>
      </c>
      <c r="DT210" s="373">
        <v>374749.5</v>
      </c>
      <c r="DU210" s="373">
        <v>-84240</v>
      </c>
      <c r="DV210" s="373">
        <v>16157.9</v>
      </c>
      <c r="DW210" s="375">
        <f t="shared" si="280"/>
        <v>986169.00000000012</v>
      </c>
      <c r="DY210" s="373">
        <v>501476.03</v>
      </c>
      <c r="DZ210" s="373">
        <v>83652.539999999994</v>
      </c>
      <c r="EA210" s="373">
        <v>144275.38</v>
      </c>
      <c r="EB210" s="373">
        <v>222472.33</v>
      </c>
      <c r="EC210" s="373">
        <v>648676.68000000005</v>
      </c>
      <c r="ED210" s="373">
        <v>375474.23</v>
      </c>
      <c r="EE210" s="374">
        <v>51980.02</v>
      </c>
      <c r="EF210" s="373">
        <v>816088.04</v>
      </c>
      <c r="EG210" s="373">
        <v>198893.74</v>
      </c>
      <c r="EH210" s="373">
        <v>43557.33</v>
      </c>
      <c r="EI210" s="373">
        <v>105720</v>
      </c>
      <c r="EJ210" s="373">
        <v>612298.05000000005</v>
      </c>
      <c r="EK210" s="375">
        <f t="shared" si="293"/>
        <v>3804564.37</v>
      </c>
      <c r="EL210" s="177"/>
      <c r="EM210" s="373">
        <v>-17051.939999999999</v>
      </c>
      <c r="EN210" s="373">
        <v>7152.5</v>
      </c>
      <c r="EO210" s="373">
        <v>16986.21</v>
      </c>
      <c r="EP210" s="373">
        <v>122289.11</v>
      </c>
      <c r="EQ210" s="373">
        <v>170078.85</v>
      </c>
      <c r="ER210" s="373">
        <v>289624.7</v>
      </c>
      <c r="ES210" s="374">
        <v>25829.66</v>
      </c>
      <c r="ET210" s="373">
        <v>150842.26</v>
      </c>
      <c r="EU210" s="373">
        <v>739244.62</v>
      </c>
      <c r="EV210" s="373">
        <v>28719.94</v>
      </c>
      <c r="EW210" s="373">
        <v>1089981.1399999999</v>
      </c>
      <c r="EX210" s="373">
        <v>1861951.41</v>
      </c>
      <c r="EY210" s="375">
        <f t="shared" si="294"/>
        <v>4485648.46</v>
      </c>
      <c r="EZ210" s="164">
        <v>0</v>
      </c>
      <c r="FA210" s="185">
        <v>0</v>
      </c>
    </row>
    <row r="211" spans="1:157" ht="18.75" customHeight="1">
      <c r="A211" s="185" t="s">
        <v>327</v>
      </c>
      <c r="B211" s="774"/>
      <c r="C211" s="176" t="s">
        <v>956</v>
      </c>
      <c r="D211" s="176">
        <v>65103000</v>
      </c>
      <c r="E211" s="773"/>
      <c r="F211" s="320" t="s">
        <v>695</v>
      </c>
      <c r="G211" s="329"/>
      <c r="H211" s="373"/>
      <c r="I211" s="373"/>
      <c r="J211" s="373"/>
      <c r="K211" s="373"/>
      <c r="L211" s="373"/>
      <c r="M211" s="373"/>
      <c r="N211" s="374"/>
      <c r="O211" s="373"/>
      <c r="P211" s="373"/>
      <c r="Q211" s="373"/>
      <c r="R211" s="373"/>
      <c r="S211" s="377">
        <v>3659693.7531700442</v>
      </c>
      <c r="T211" s="375">
        <f t="shared" si="287"/>
        <v>3659693.7531700442</v>
      </c>
      <c r="U211" s="776">
        <f t="shared" si="289"/>
        <v>1751587.3768299557</v>
      </c>
      <c r="V211" s="775">
        <f t="shared" si="290"/>
        <v>0.32369180878797843</v>
      </c>
      <c r="W211" s="329"/>
      <c r="X211" s="373">
        <v>0</v>
      </c>
      <c r="Y211" s="373">
        <v>77231.149999999994</v>
      </c>
      <c r="Z211" s="373">
        <v>762925.37</v>
      </c>
      <c r="AA211" s="373">
        <v>16675.78</v>
      </c>
      <c r="AB211" s="373">
        <v>65777.7</v>
      </c>
      <c r="AC211" s="373">
        <v>622286.21</v>
      </c>
      <c r="AD211" s="374">
        <v>13724</v>
      </c>
      <c r="AE211" s="373">
        <v>133225.88</v>
      </c>
      <c r="AF211" s="373">
        <v>1155894.25</v>
      </c>
      <c r="AG211" s="373">
        <v>-19135.25</v>
      </c>
      <c r="AH211" s="373">
        <v>0</v>
      </c>
      <c r="AI211" s="373">
        <v>2582676.04</v>
      </c>
      <c r="AJ211" s="375">
        <f t="shared" si="288"/>
        <v>5411281.1299999999</v>
      </c>
      <c r="AK211" s="329"/>
      <c r="AL211" s="373">
        <v>536410.58333333326</v>
      </c>
      <c r="AM211" s="373">
        <v>536410.58333333326</v>
      </c>
      <c r="AN211" s="373">
        <v>536410.58333333326</v>
      </c>
      <c r="AO211" s="373">
        <v>536410.58333333326</v>
      </c>
      <c r="AP211" s="373">
        <v>536410.58333333326</v>
      </c>
      <c r="AQ211" s="373">
        <v>536410.58333333326</v>
      </c>
      <c r="AR211" s="374">
        <v>536410.58333333326</v>
      </c>
      <c r="AS211" s="373">
        <v>536410.58333333326</v>
      </c>
      <c r="AT211" s="373">
        <v>536410.58333333326</v>
      </c>
      <c r="AU211" s="373">
        <v>536410.58333333326</v>
      </c>
      <c r="AV211" s="373">
        <v>536410.58333333326</v>
      </c>
      <c r="AW211" s="373">
        <v>536410.58333333326</v>
      </c>
      <c r="AX211" s="375">
        <v>6436927</v>
      </c>
      <c r="AY211" s="776">
        <f t="shared" si="291"/>
        <v>-2696362.33</v>
      </c>
      <c r="AZ211" s="775">
        <f t="shared" si="292"/>
        <v>-0.72084366075135931</v>
      </c>
      <c r="BA211" s="329"/>
      <c r="BB211" s="373">
        <v>-154660</v>
      </c>
      <c r="BC211" s="373">
        <v>-90336.55</v>
      </c>
      <c r="BD211" s="373">
        <v>224137.32</v>
      </c>
      <c r="BE211" s="373">
        <v>728974</v>
      </c>
      <c r="BF211" s="373">
        <v>-728974</v>
      </c>
      <c r="BG211" s="373">
        <v>31090</v>
      </c>
      <c r="BH211" s="374">
        <v>27173.9</v>
      </c>
      <c r="BI211" s="373">
        <v>311939.27</v>
      </c>
      <c r="BJ211" s="373">
        <v>122063.71</v>
      </c>
      <c r="BK211" s="373">
        <v>-82487.61</v>
      </c>
      <c r="BL211" s="373">
        <v>1235269.46</v>
      </c>
      <c r="BM211" s="373">
        <v>2116375.17</v>
      </c>
      <c r="BN211" s="402">
        <v>3740564.67</v>
      </c>
      <c r="BO211" s="329"/>
      <c r="BP211" s="374">
        <v>463333.33333333331</v>
      </c>
      <c r="BQ211" s="374">
        <v>463333.33333333331</v>
      </c>
      <c r="BR211" s="374">
        <v>463333.33333333331</v>
      </c>
      <c r="BS211" s="374">
        <v>463333.33333333331</v>
      </c>
      <c r="BT211" s="374">
        <v>463333.33333333331</v>
      </c>
      <c r="BU211" s="374">
        <v>463333.33333333331</v>
      </c>
      <c r="BV211" s="374">
        <v>463333.33333333331</v>
      </c>
      <c r="BW211" s="374">
        <v>463333.33333333331</v>
      </c>
      <c r="BX211" s="374">
        <v>463333.33333333331</v>
      </c>
      <c r="BY211" s="374">
        <v>463333.33333333331</v>
      </c>
      <c r="BZ211" s="374">
        <v>463333.33333333331</v>
      </c>
      <c r="CA211" s="374">
        <v>463333.33333333337</v>
      </c>
      <c r="CB211" s="402">
        <f t="shared" si="282"/>
        <v>5560000</v>
      </c>
      <c r="CC211" s="776">
        <f t="shared" si="274"/>
        <v>1819435.33</v>
      </c>
      <c r="CD211" s="775">
        <f t="shared" si="275"/>
        <v>0.32723657014388491</v>
      </c>
      <c r="CE211" s="772"/>
      <c r="CF211" s="374">
        <v>0</v>
      </c>
      <c r="CG211" s="374">
        <v>-0.01</v>
      </c>
      <c r="CH211" s="374">
        <v>0</v>
      </c>
      <c r="CI211" s="374">
        <v>-555637.75</v>
      </c>
      <c r="CJ211" s="374">
        <v>540054.28</v>
      </c>
      <c r="CK211" s="374">
        <v>-486101.42</v>
      </c>
      <c r="CL211" s="374">
        <v>629880.51</v>
      </c>
      <c r="CM211" s="374">
        <v>217230.96</v>
      </c>
      <c r="CN211" s="374">
        <v>2050819</v>
      </c>
      <c r="CO211" s="374">
        <v>556612.81000000006</v>
      </c>
      <c r="CP211" s="374">
        <v>431360.98</v>
      </c>
      <c r="CQ211" s="374">
        <v>1975258.69</v>
      </c>
      <c r="CR211" s="374">
        <v>0</v>
      </c>
      <c r="CS211" s="402">
        <f t="shared" si="276"/>
        <v>5359478.0500000007</v>
      </c>
      <c r="CT211" s="776">
        <f t="shared" si="277"/>
        <v>1618913.3800000008</v>
      </c>
      <c r="CU211" s="165">
        <f t="shared" si="278"/>
        <v>0.30206549311271097</v>
      </c>
      <c r="CV211" s="329"/>
      <c r="CW211" s="373">
        <v>0</v>
      </c>
      <c r="CX211" s="373">
        <v>0</v>
      </c>
      <c r="CY211" s="373">
        <v>20000</v>
      </c>
      <c r="CZ211" s="373">
        <v>0</v>
      </c>
      <c r="DA211" s="373">
        <v>0</v>
      </c>
      <c r="DB211" s="373">
        <v>0</v>
      </c>
      <c r="DC211" s="374">
        <v>0</v>
      </c>
      <c r="DD211" s="373">
        <v>0</v>
      </c>
      <c r="DE211" s="373">
        <v>3425311</v>
      </c>
      <c r="DF211" s="373">
        <v>-505415</v>
      </c>
      <c r="DG211" s="373">
        <v>47400</v>
      </c>
      <c r="DH211" s="373">
        <v>-1271697.3600000001</v>
      </c>
      <c r="DI211" s="375">
        <f t="shared" si="279"/>
        <v>1715598.64</v>
      </c>
      <c r="DJ211" s="329"/>
      <c r="DK211" s="373">
        <v>500</v>
      </c>
      <c r="DL211" s="373">
        <v>0</v>
      </c>
      <c r="DM211" s="373">
        <v>9166</v>
      </c>
      <c r="DN211" s="373">
        <v>26200</v>
      </c>
      <c r="DO211" s="373">
        <v>16200</v>
      </c>
      <c r="DP211" s="373">
        <v>16200</v>
      </c>
      <c r="DQ211" s="374">
        <v>16200</v>
      </c>
      <c r="DR211" s="373">
        <v>300150</v>
      </c>
      <c r="DS211" s="373">
        <v>374065.48</v>
      </c>
      <c r="DT211" s="373">
        <v>545928</v>
      </c>
      <c r="DU211" s="373">
        <v>597020</v>
      </c>
      <c r="DV211" s="373">
        <v>311602</v>
      </c>
      <c r="DW211" s="375">
        <f t="shared" si="280"/>
        <v>2213231.48</v>
      </c>
      <c r="DY211" s="373">
        <v>0</v>
      </c>
      <c r="DZ211" s="373">
        <v>0</v>
      </c>
      <c r="EA211" s="373">
        <v>0</v>
      </c>
      <c r="EB211" s="373">
        <v>0</v>
      </c>
      <c r="EC211" s="373">
        <v>0</v>
      </c>
      <c r="ED211" s="373">
        <v>0</v>
      </c>
      <c r="EE211" s="374">
        <v>0</v>
      </c>
      <c r="EF211" s="373">
        <v>0</v>
      </c>
      <c r="EG211" s="373">
        <v>0</v>
      </c>
      <c r="EH211" s="373">
        <v>4045</v>
      </c>
      <c r="EI211" s="373">
        <v>0</v>
      </c>
      <c r="EJ211" s="373">
        <v>491665</v>
      </c>
      <c r="EK211" s="375">
        <f t="shared" si="293"/>
        <v>495710</v>
      </c>
      <c r="EL211" s="177"/>
      <c r="EM211" s="373">
        <v>500055</v>
      </c>
      <c r="EN211" s="373">
        <v>0</v>
      </c>
      <c r="EO211" s="373">
        <v>11200</v>
      </c>
      <c r="EP211" s="373">
        <v>4800</v>
      </c>
      <c r="EQ211" s="373">
        <v>0</v>
      </c>
      <c r="ER211" s="373">
        <v>9600</v>
      </c>
      <c r="ES211" s="374">
        <v>0</v>
      </c>
      <c r="ET211" s="373">
        <v>0</v>
      </c>
      <c r="EU211" s="373">
        <v>283200</v>
      </c>
      <c r="EV211" s="373">
        <v>0</v>
      </c>
      <c r="EW211" s="373">
        <v>9600</v>
      </c>
      <c r="EX211" s="373">
        <v>1600</v>
      </c>
      <c r="EY211" s="375">
        <f t="shared" si="294"/>
        <v>820055</v>
      </c>
      <c r="EZ211" s="164">
        <v>0</v>
      </c>
      <c r="FA211" s="185">
        <v>0</v>
      </c>
    </row>
    <row r="212" spans="1:157" ht="18.75" customHeight="1">
      <c r="A212" s="185" t="s">
        <v>327</v>
      </c>
      <c r="B212" s="774"/>
      <c r="C212" s="176" t="s">
        <v>955</v>
      </c>
      <c r="D212" s="176">
        <v>65104000</v>
      </c>
      <c r="E212" s="773"/>
      <c r="F212" s="320" t="s">
        <v>696</v>
      </c>
      <c r="G212" s="329"/>
      <c r="H212" s="373"/>
      <c r="I212" s="373"/>
      <c r="J212" s="373"/>
      <c r="K212" s="373"/>
      <c r="L212" s="373"/>
      <c r="M212" s="373"/>
      <c r="N212" s="374"/>
      <c r="O212" s="373"/>
      <c r="P212" s="373"/>
      <c r="Q212" s="373"/>
      <c r="R212" s="373"/>
      <c r="S212" s="377">
        <v>350190.93370661291</v>
      </c>
      <c r="T212" s="375">
        <f t="shared" si="287"/>
        <v>350190.93370661291</v>
      </c>
      <c r="U212" s="776">
        <f t="shared" si="289"/>
        <v>-37305.933706612908</v>
      </c>
      <c r="V212" s="775">
        <f t="shared" si="290"/>
        <v>-0.11923209392145008</v>
      </c>
      <c r="W212" s="329"/>
      <c r="X212" s="373">
        <v>-1600</v>
      </c>
      <c r="Y212" s="373">
        <v>200000</v>
      </c>
      <c r="Z212" s="373">
        <v>0</v>
      </c>
      <c r="AA212" s="373">
        <v>0</v>
      </c>
      <c r="AB212" s="373">
        <v>119800</v>
      </c>
      <c r="AC212" s="373">
        <v>-29900</v>
      </c>
      <c r="AD212" s="374">
        <v>-18180</v>
      </c>
      <c r="AE212" s="373">
        <v>0</v>
      </c>
      <c r="AF212" s="373">
        <v>42765</v>
      </c>
      <c r="AG212" s="373">
        <v>0</v>
      </c>
      <c r="AH212" s="373">
        <v>0</v>
      </c>
      <c r="AI212" s="373">
        <v>0</v>
      </c>
      <c r="AJ212" s="375">
        <f t="shared" si="288"/>
        <v>312885</v>
      </c>
      <c r="AK212" s="329"/>
      <c r="AL212" s="373">
        <v>0</v>
      </c>
      <c r="AM212" s="373">
        <v>0</v>
      </c>
      <c r="AN212" s="373">
        <v>0</v>
      </c>
      <c r="AO212" s="373">
        <v>0</v>
      </c>
      <c r="AP212" s="373">
        <v>0</v>
      </c>
      <c r="AQ212" s="373">
        <v>0</v>
      </c>
      <c r="AR212" s="374">
        <v>0</v>
      </c>
      <c r="AS212" s="373">
        <v>0</v>
      </c>
      <c r="AT212" s="373">
        <v>0</v>
      </c>
      <c r="AU212" s="373">
        <v>0</v>
      </c>
      <c r="AV212" s="373">
        <v>0</v>
      </c>
      <c r="AW212" s="373">
        <v>0</v>
      </c>
      <c r="AX212" s="375">
        <v>0</v>
      </c>
      <c r="AY212" s="776">
        <f t="shared" si="291"/>
        <v>153091</v>
      </c>
      <c r="AZ212" s="775">
        <f t="shared" si="292"/>
        <v>1</v>
      </c>
      <c r="BA212" s="329"/>
      <c r="BB212" s="373">
        <v>0</v>
      </c>
      <c r="BC212" s="373">
        <v>-69488</v>
      </c>
      <c r="BD212" s="373">
        <v>36800</v>
      </c>
      <c r="BE212" s="373">
        <v>120000</v>
      </c>
      <c r="BF212" s="373">
        <v>480</v>
      </c>
      <c r="BG212" s="373">
        <v>-15600</v>
      </c>
      <c r="BH212" s="374">
        <v>36600</v>
      </c>
      <c r="BI212" s="373">
        <v>11040</v>
      </c>
      <c r="BJ212" s="373">
        <v>0</v>
      </c>
      <c r="BK212" s="373">
        <v>0</v>
      </c>
      <c r="BL212" s="373">
        <v>18755</v>
      </c>
      <c r="BM212" s="373">
        <v>14504</v>
      </c>
      <c r="BN212" s="402">
        <v>153091</v>
      </c>
      <c r="BO212" s="329"/>
      <c r="BP212" s="374">
        <v>91666.666666666672</v>
      </c>
      <c r="BQ212" s="374">
        <v>91666.666666666672</v>
      </c>
      <c r="BR212" s="374">
        <v>91666.666666666672</v>
      </c>
      <c r="BS212" s="374">
        <v>91666.666666666672</v>
      </c>
      <c r="BT212" s="374">
        <v>91666.666666666672</v>
      </c>
      <c r="BU212" s="374">
        <v>91666.666666666672</v>
      </c>
      <c r="BV212" s="374">
        <v>91666.666666666672</v>
      </c>
      <c r="BW212" s="374">
        <v>91666.666666666672</v>
      </c>
      <c r="BX212" s="374">
        <v>91666.666666666672</v>
      </c>
      <c r="BY212" s="374">
        <v>91666.666666666672</v>
      </c>
      <c r="BZ212" s="374">
        <v>91666.666666666672</v>
      </c>
      <c r="CA212" s="374">
        <v>91666.666666666861</v>
      </c>
      <c r="CB212" s="402">
        <f t="shared" si="282"/>
        <v>1100000</v>
      </c>
      <c r="CC212" s="776">
        <f t="shared" si="274"/>
        <v>946909</v>
      </c>
      <c r="CD212" s="775">
        <f t="shared" si="275"/>
        <v>0.86082636363636367</v>
      </c>
      <c r="CE212" s="772"/>
      <c r="CF212" s="374">
        <v>0</v>
      </c>
      <c r="CG212" s="374">
        <v>-26960</v>
      </c>
      <c r="CH212" s="374">
        <v>38399.99</v>
      </c>
      <c r="CI212" s="374">
        <v>836780.95</v>
      </c>
      <c r="CJ212" s="374">
        <v>96272</v>
      </c>
      <c r="CK212" s="374">
        <v>122696</v>
      </c>
      <c r="CL212" s="374">
        <v>87856</v>
      </c>
      <c r="CM212" s="374">
        <v>362.66</v>
      </c>
      <c r="CN212" s="374">
        <v>-98328</v>
      </c>
      <c r="CO212" s="374">
        <v>-10256</v>
      </c>
      <c r="CP212" s="374">
        <v>48136</v>
      </c>
      <c r="CQ212" s="374">
        <v>90936</v>
      </c>
      <c r="CR212" s="374">
        <v>0</v>
      </c>
      <c r="CS212" s="402">
        <f t="shared" si="276"/>
        <v>1185895.5999999999</v>
      </c>
      <c r="CT212" s="776">
        <f t="shared" si="277"/>
        <v>1032804.5999999999</v>
      </c>
      <c r="CU212" s="165">
        <f t="shared" si="278"/>
        <v>0.87090684879849456</v>
      </c>
      <c r="CV212" s="329"/>
      <c r="CW212" s="373">
        <v>0</v>
      </c>
      <c r="CX212" s="373">
        <v>0</v>
      </c>
      <c r="CY212" s="373">
        <v>-11220</v>
      </c>
      <c r="CZ212" s="373">
        <v>378826</v>
      </c>
      <c r="DA212" s="373">
        <v>593900</v>
      </c>
      <c r="DB212" s="373">
        <v>0</v>
      </c>
      <c r="DC212" s="374">
        <v>-3550.01</v>
      </c>
      <c r="DD212" s="373">
        <v>578529.01</v>
      </c>
      <c r="DE212" s="373">
        <v>-429050</v>
      </c>
      <c r="DF212" s="373">
        <v>-45880</v>
      </c>
      <c r="DG212" s="373">
        <v>0</v>
      </c>
      <c r="DH212" s="373">
        <v>948846.43</v>
      </c>
      <c r="DI212" s="375">
        <f t="shared" si="279"/>
        <v>2010401.4300000002</v>
      </c>
      <c r="DJ212" s="329"/>
      <c r="DK212" s="373">
        <v>35560</v>
      </c>
      <c r="DL212" s="373">
        <v>38060</v>
      </c>
      <c r="DM212" s="373">
        <v>381464.5</v>
      </c>
      <c r="DN212" s="373">
        <v>9470</v>
      </c>
      <c r="DO212" s="373">
        <v>544742</v>
      </c>
      <c r="DP212" s="373">
        <v>3830</v>
      </c>
      <c r="DQ212" s="374">
        <v>49530</v>
      </c>
      <c r="DR212" s="373">
        <v>387741</v>
      </c>
      <c r="DS212" s="373">
        <v>225479.81</v>
      </c>
      <c r="DT212" s="373">
        <v>-11520</v>
      </c>
      <c r="DU212" s="373">
        <v>54174</v>
      </c>
      <c r="DV212" s="373">
        <v>273202</v>
      </c>
      <c r="DW212" s="375">
        <f t="shared" si="280"/>
        <v>1991733.31</v>
      </c>
      <c r="DY212" s="373">
        <v>0</v>
      </c>
      <c r="DZ212" s="373">
        <v>0</v>
      </c>
      <c r="EA212" s="373">
        <v>0</v>
      </c>
      <c r="EB212" s="373">
        <v>0</v>
      </c>
      <c r="EC212" s="373">
        <v>0</v>
      </c>
      <c r="ED212" s="373">
        <v>0</v>
      </c>
      <c r="EE212" s="374">
        <v>0</v>
      </c>
      <c r="EF212" s="373">
        <v>0</v>
      </c>
      <c r="EG212" s="373">
        <v>22560</v>
      </c>
      <c r="EH212" s="373">
        <v>0</v>
      </c>
      <c r="EI212" s="373">
        <v>25380</v>
      </c>
      <c r="EJ212" s="373">
        <v>46375</v>
      </c>
      <c r="EK212" s="375">
        <f t="shared" si="293"/>
        <v>94315</v>
      </c>
      <c r="EL212" s="177"/>
      <c r="EM212" s="373">
        <v>0</v>
      </c>
      <c r="EN212" s="373">
        <v>0</v>
      </c>
      <c r="EO212" s="373">
        <v>0</v>
      </c>
      <c r="EP212" s="373">
        <v>0</v>
      </c>
      <c r="EQ212" s="373">
        <v>0</v>
      </c>
      <c r="ER212" s="373">
        <v>0</v>
      </c>
      <c r="ES212" s="374">
        <v>0</v>
      </c>
      <c r="ET212" s="373">
        <v>0</v>
      </c>
      <c r="EU212" s="373">
        <v>0</v>
      </c>
      <c r="EV212" s="373">
        <v>0</v>
      </c>
      <c r="EW212" s="373">
        <v>0</v>
      </c>
      <c r="EX212" s="373">
        <v>0</v>
      </c>
      <c r="EY212" s="375">
        <f t="shared" si="294"/>
        <v>0</v>
      </c>
      <c r="EZ212" s="164">
        <v>0</v>
      </c>
      <c r="FA212" s="185">
        <v>0</v>
      </c>
    </row>
    <row r="213" spans="1:157" ht="18.75" customHeight="1">
      <c r="A213" s="185" t="s">
        <v>327</v>
      </c>
      <c r="B213" s="774"/>
      <c r="C213" s="176" t="s">
        <v>954</v>
      </c>
      <c r="D213" s="176">
        <v>65201000</v>
      </c>
      <c r="E213" s="773"/>
      <c r="F213" s="320" t="s">
        <v>697</v>
      </c>
      <c r="G213" s="329"/>
      <c r="H213" s="373"/>
      <c r="I213" s="373"/>
      <c r="J213" s="373"/>
      <c r="K213" s="373"/>
      <c r="L213" s="373"/>
      <c r="M213" s="373"/>
      <c r="N213" s="374"/>
      <c r="O213" s="373"/>
      <c r="P213" s="373"/>
      <c r="Q213" s="373"/>
      <c r="R213" s="373"/>
      <c r="S213" s="377">
        <v>2478941.4716653642</v>
      </c>
      <c r="T213" s="375">
        <f t="shared" si="287"/>
        <v>2478941.4716653642</v>
      </c>
      <c r="U213" s="776">
        <f t="shared" si="289"/>
        <v>-304933.5516653643</v>
      </c>
      <c r="V213" s="775">
        <f t="shared" si="290"/>
        <v>-0.14026331222627944</v>
      </c>
      <c r="W213" s="329"/>
      <c r="X213" s="373">
        <v>18025</v>
      </c>
      <c r="Y213" s="373">
        <v>48525</v>
      </c>
      <c r="Z213" s="373">
        <v>58955</v>
      </c>
      <c r="AA213" s="373">
        <v>48217</v>
      </c>
      <c r="AB213" s="373">
        <v>148849.01</v>
      </c>
      <c r="AC213" s="373">
        <v>47620</v>
      </c>
      <c r="AD213" s="374">
        <v>61264.9</v>
      </c>
      <c r="AE213" s="373">
        <v>173223</v>
      </c>
      <c r="AF213" s="373">
        <v>331029</v>
      </c>
      <c r="AG213" s="373">
        <v>102830</v>
      </c>
      <c r="AH213" s="373">
        <v>26590.01</v>
      </c>
      <c r="AI213" s="373">
        <v>1108880</v>
      </c>
      <c r="AJ213" s="375">
        <f t="shared" si="288"/>
        <v>2174007.92</v>
      </c>
      <c r="AK213" s="329"/>
      <c r="AL213" s="373">
        <v>688032.02281949378</v>
      </c>
      <c r="AM213" s="373">
        <v>688032.02281949378</v>
      </c>
      <c r="AN213" s="373">
        <v>688032.02281949378</v>
      </c>
      <c r="AO213" s="373">
        <v>688032.02281949378</v>
      </c>
      <c r="AP213" s="373">
        <v>688032.02281949378</v>
      </c>
      <c r="AQ213" s="373">
        <v>688032.02281949378</v>
      </c>
      <c r="AR213" s="374">
        <v>688032.02281949378</v>
      </c>
      <c r="AS213" s="373">
        <v>688032.02281949378</v>
      </c>
      <c r="AT213" s="373">
        <v>688032.02281949378</v>
      </c>
      <c r="AU213" s="373">
        <v>688032.02281949378</v>
      </c>
      <c r="AV213" s="373">
        <v>688032.02281949378</v>
      </c>
      <c r="AW213" s="373">
        <v>693032.02281949378</v>
      </c>
      <c r="AX213" s="375">
        <v>8261384</v>
      </c>
      <c r="AY213" s="776">
        <f t="shared" si="291"/>
        <v>-5425848.9000000004</v>
      </c>
      <c r="AZ213" s="775">
        <f t="shared" si="292"/>
        <v>-1.913518510139409</v>
      </c>
      <c r="BA213" s="329"/>
      <c r="BB213" s="373">
        <v>49905</v>
      </c>
      <c r="BC213" s="373">
        <v>-34185</v>
      </c>
      <c r="BD213" s="373">
        <v>228320</v>
      </c>
      <c r="BE213" s="373">
        <v>78080</v>
      </c>
      <c r="BF213" s="373">
        <v>247745</v>
      </c>
      <c r="BG213" s="373">
        <v>71887.899999999994</v>
      </c>
      <c r="BH213" s="374">
        <v>182384.2</v>
      </c>
      <c r="BI213" s="373">
        <v>105765</v>
      </c>
      <c r="BJ213" s="373">
        <v>153015</v>
      </c>
      <c r="BK213" s="373">
        <v>766290</v>
      </c>
      <c r="BL213" s="373">
        <v>-47152</v>
      </c>
      <c r="BM213" s="373">
        <v>1033480</v>
      </c>
      <c r="BN213" s="402">
        <v>2835535.1</v>
      </c>
      <c r="BO213" s="329"/>
      <c r="BP213" s="374">
        <v>175000</v>
      </c>
      <c r="BQ213" s="374">
        <v>175000</v>
      </c>
      <c r="BR213" s="374">
        <v>175000</v>
      </c>
      <c r="BS213" s="374">
        <v>175000</v>
      </c>
      <c r="BT213" s="374">
        <v>175000</v>
      </c>
      <c r="BU213" s="374">
        <v>175000</v>
      </c>
      <c r="BV213" s="374">
        <v>175000</v>
      </c>
      <c r="BW213" s="374">
        <v>175000</v>
      </c>
      <c r="BX213" s="374">
        <v>175000</v>
      </c>
      <c r="BY213" s="374">
        <v>175000</v>
      </c>
      <c r="BZ213" s="374">
        <v>175000</v>
      </c>
      <c r="CA213" s="374">
        <v>174999.99999999977</v>
      </c>
      <c r="CB213" s="402">
        <f t="shared" si="282"/>
        <v>2100000</v>
      </c>
      <c r="CC213" s="776">
        <f t="shared" si="274"/>
        <v>-735535.10000000009</v>
      </c>
      <c r="CD213" s="775">
        <f t="shared" si="275"/>
        <v>-0.35025480952380955</v>
      </c>
      <c r="CE213" s="772"/>
      <c r="CF213" s="374">
        <v>242120</v>
      </c>
      <c r="CG213" s="374">
        <v>139030</v>
      </c>
      <c r="CH213" s="374">
        <v>105550</v>
      </c>
      <c r="CI213" s="374">
        <v>19470</v>
      </c>
      <c r="CJ213" s="374">
        <v>280701.7</v>
      </c>
      <c r="CK213" s="374">
        <v>211481</v>
      </c>
      <c r="CL213" s="374">
        <v>364067</v>
      </c>
      <c r="CM213" s="374">
        <v>43638.400000000001</v>
      </c>
      <c r="CN213" s="374">
        <v>79553.5</v>
      </c>
      <c r="CO213" s="374">
        <v>416107.5</v>
      </c>
      <c r="CP213" s="374">
        <v>97870</v>
      </c>
      <c r="CQ213" s="374">
        <v>265390.90000000002</v>
      </c>
      <c r="CR213" s="374">
        <v>0</v>
      </c>
      <c r="CS213" s="402">
        <f t="shared" si="276"/>
        <v>2264980</v>
      </c>
      <c r="CT213" s="776">
        <f t="shared" si="277"/>
        <v>-570555.10000000009</v>
      </c>
      <c r="CU213" s="165">
        <f t="shared" si="278"/>
        <v>-0.25190293071020498</v>
      </c>
      <c r="CV213" s="329"/>
      <c r="CW213" s="373">
        <v>51483</v>
      </c>
      <c r="CX213" s="373">
        <v>-11617.8</v>
      </c>
      <c r="CY213" s="373">
        <v>186920</v>
      </c>
      <c r="CZ213" s="373">
        <v>112390</v>
      </c>
      <c r="DA213" s="373">
        <v>156793</v>
      </c>
      <c r="DB213" s="373">
        <v>79889.48</v>
      </c>
      <c r="DC213" s="374">
        <v>302273</v>
      </c>
      <c r="DD213" s="373">
        <v>175755</v>
      </c>
      <c r="DE213" s="373">
        <v>127110</v>
      </c>
      <c r="DF213" s="373">
        <v>322872</v>
      </c>
      <c r="DG213" s="373">
        <v>158345</v>
      </c>
      <c r="DH213" s="373">
        <v>59905</v>
      </c>
      <c r="DI213" s="375">
        <f t="shared" si="279"/>
        <v>1722117.6800000002</v>
      </c>
      <c r="DJ213" s="329"/>
      <c r="DK213" s="373">
        <v>40749</v>
      </c>
      <c r="DL213" s="373">
        <v>87005</v>
      </c>
      <c r="DM213" s="373">
        <v>58768</v>
      </c>
      <c r="DN213" s="373">
        <v>183974</v>
      </c>
      <c r="DO213" s="373">
        <v>66720</v>
      </c>
      <c r="DP213" s="373">
        <v>267272</v>
      </c>
      <c r="DQ213" s="374">
        <v>56344</v>
      </c>
      <c r="DR213" s="373">
        <v>128508</v>
      </c>
      <c r="DS213" s="373">
        <v>900</v>
      </c>
      <c r="DT213" s="373">
        <v>116854</v>
      </c>
      <c r="DU213" s="373">
        <v>143300</v>
      </c>
      <c r="DV213" s="373">
        <v>279566</v>
      </c>
      <c r="DW213" s="375">
        <f t="shared" si="280"/>
        <v>1429960</v>
      </c>
      <c r="DY213" s="373">
        <v>0</v>
      </c>
      <c r="DZ213" s="373">
        <v>0</v>
      </c>
      <c r="EA213" s="373">
        <v>0</v>
      </c>
      <c r="EB213" s="373">
        <v>0</v>
      </c>
      <c r="EC213" s="373">
        <v>0</v>
      </c>
      <c r="ED213" s="373">
        <v>0</v>
      </c>
      <c r="EE213" s="374">
        <v>0</v>
      </c>
      <c r="EF213" s="373">
        <v>0</v>
      </c>
      <c r="EG213" s="373">
        <v>21000</v>
      </c>
      <c r="EH213" s="373">
        <v>-822</v>
      </c>
      <c r="EI213" s="373">
        <v>138988</v>
      </c>
      <c r="EJ213" s="373">
        <v>61805.09</v>
      </c>
      <c r="EK213" s="375">
        <f t="shared" si="293"/>
        <v>220971.09</v>
      </c>
      <c r="EL213" s="177"/>
      <c r="EM213" s="373">
        <v>0</v>
      </c>
      <c r="EN213" s="373">
        <v>0</v>
      </c>
      <c r="EO213" s="373">
        <v>0</v>
      </c>
      <c r="EP213" s="373">
        <v>0</v>
      </c>
      <c r="EQ213" s="373">
        <v>0</v>
      </c>
      <c r="ER213" s="373">
        <v>0</v>
      </c>
      <c r="ES213" s="374">
        <v>0</v>
      </c>
      <c r="ET213" s="373">
        <v>0</v>
      </c>
      <c r="EU213" s="373">
        <v>0</v>
      </c>
      <c r="EV213" s="373">
        <v>0</v>
      </c>
      <c r="EW213" s="373">
        <v>0</v>
      </c>
      <c r="EX213" s="373">
        <v>0</v>
      </c>
      <c r="EY213" s="375">
        <f t="shared" si="294"/>
        <v>0</v>
      </c>
      <c r="EZ213" s="164">
        <v>0</v>
      </c>
      <c r="FA213" s="185">
        <v>0</v>
      </c>
    </row>
    <row r="214" spans="1:157" ht="18.75" customHeight="1">
      <c r="A214" s="185" t="s">
        <v>327</v>
      </c>
      <c r="B214" s="774"/>
      <c r="C214" s="176" t="s">
        <v>953</v>
      </c>
      <c r="D214" s="176">
        <v>65202000</v>
      </c>
      <c r="E214" s="773"/>
      <c r="F214" s="320" t="s">
        <v>698</v>
      </c>
      <c r="G214" s="329"/>
      <c r="H214" s="373"/>
      <c r="I214" s="373"/>
      <c r="J214" s="373"/>
      <c r="K214" s="373"/>
      <c r="L214" s="373"/>
      <c r="M214" s="373"/>
      <c r="N214" s="374"/>
      <c r="O214" s="373"/>
      <c r="P214" s="373"/>
      <c r="Q214" s="373"/>
      <c r="R214" s="373"/>
      <c r="S214" s="377">
        <v>987162.70683871873</v>
      </c>
      <c r="T214" s="375">
        <f t="shared" si="287"/>
        <v>987162.70683871873</v>
      </c>
      <c r="U214" s="776">
        <f t="shared" si="289"/>
        <v>-105162.70683871873</v>
      </c>
      <c r="V214" s="775">
        <f t="shared" si="290"/>
        <v>-0.1192320939214498</v>
      </c>
      <c r="W214" s="329"/>
      <c r="X214" s="373">
        <v>0</v>
      </c>
      <c r="Y214" s="373">
        <v>0</v>
      </c>
      <c r="Z214" s="373">
        <v>0</v>
      </c>
      <c r="AA214" s="373">
        <v>0</v>
      </c>
      <c r="AB214" s="373">
        <v>108000</v>
      </c>
      <c r="AC214" s="373">
        <v>-54000</v>
      </c>
      <c r="AD214" s="374">
        <v>120000</v>
      </c>
      <c r="AE214" s="373">
        <v>96000</v>
      </c>
      <c r="AF214" s="373">
        <v>192000</v>
      </c>
      <c r="AG214" s="373">
        <v>0</v>
      </c>
      <c r="AH214" s="373">
        <v>0</v>
      </c>
      <c r="AI214" s="373">
        <v>420000</v>
      </c>
      <c r="AJ214" s="375">
        <f t="shared" si="288"/>
        <v>882000</v>
      </c>
      <c r="AK214" s="329"/>
      <c r="AL214" s="373">
        <v>0</v>
      </c>
      <c r="AM214" s="373">
        <v>0</v>
      </c>
      <c r="AN214" s="373">
        <v>0</v>
      </c>
      <c r="AO214" s="373">
        <v>0</v>
      </c>
      <c r="AP214" s="373">
        <v>0</v>
      </c>
      <c r="AQ214" s="373">
        <v>0</v>
      </c>
      <c r="AR214" s="374">
        <v>0</v>
      </c>
      <c r="AS214" s="373">
        <v>0</v>
      </c>
      <c r="AT214" s="373">
        <v>0</v>
      </c>
      <c r="AU214" s="373">
        <v>0</v>
      </c>
      <c r="AV214" s="373">
        <v>0</v>
      </c>
      <c r="AW214" s="373">
        <v>0</v>
      </c>
      <c r="AX214" s="375">
        <v>0</v>
      </c>
      <c r="AY214" s="776">
        <f t="shared" si="291"/>
        <v>301071</v>
      </c>
      <c r="AZ214" s="775">
        <f t="shared" si="292"/>
        <v>1</v>
      </c>
      <c r="BA214" s="329"/>
      <c r="BB214" s="373">
        <v>250000</v>
      </c>
      <c r="BC214" s="373">
        <v>0</v>
      </c>
      <c r="BD214" s="373">
        <v>138260</v>
      </c>
      <c r="BE214" s="373">
        <v>102291</v>
      </c>
      <c r="BF214" s="373">
        <v>-249300</v>
      </c>
      <c r="BG214" s="373">
        <v>60520</v>
      </c>
      <c r="BH214" s="374">
        <v>-700</v>
      </c>
      <c r="BI214" s="373">
        <v>0</v>
      </c>
      <c r="BJ214" s="373">
        <v>60160</v>
      </c>
      <c r="BK214" s="373">
        <v>-60160</v>
      </c>
      <c r="BL214" s="373">
        <v>0</v>
      </c>
      <c r="BM214" s="373">
        <v>0</v>
      </c>
      <c r="BN214" s="402">
        <v>301071</v>
      </c>
      <c r="BO214" s="329"/>
      <c r="BP214" s="374">
        <v>69166.666666666672</v>
      </c>
      <c r="BQ214" s="374">
        <v>69166.666666666672</v>
      </c>
      <c r="BR214" s="374">
        <v>69166.666666666672</v>
      </c>
      <c r="BS214" s="374">
        <v>69166.666666666672</v>
      </c>
      <c r="BT214" s="374">
        <v>69166.666666666672</v>
      </c>
      <c r="BU214" s="374">
        <v>69166.666666666672</v>
      </c>
      <c r="BV214" s="374">
        <v>69166.666666666672</v>
      </c>
      <c r="BW214" s="374">
        <v>69166.666666666672</v>
      </c>
      <c r="BX214" s="374">
        <v>69166.666666666672</v>
      </c>
      <c r="BY214" s="374">
        <v>69166.666666666672</v>
      </c>
      <c r="BZ214" s="374">
        <v>69166.666666666672</v>
      </c>
      <c r="CA214" s="374">
        <v>69166.666666666599</v>
      </c>
      <c r="CB214" s="402">
        <f t="shared" si="282"/>
        <v>829999.99999999988</v>
      </c>
      <c r="CC214" s="776">
        <f t="shared" si="274"/>
        <v>528928.99999999988</v>
      </c>
      <c r="CD214" s="775">
        <f t="shared" si="275"/>
        <v>0.63726385542168673</v>
      </c>
      <c r="CE214" s="772"/>
      <c r="CF214" s="374">
        <v>96000</v>
      </c>
      <c r="CG214" s="374">
        <v>114000</v>
      </c>
      <c r="CH214" s="374">
        <v>-18000</v>
      </c>
      <c r="CI214" s="374">
        <v>-20000</v>
      </c>
      <c r="CJ214" s="374">
        <v>255125</v>
      </c>
      <c r="CK214" s="374">
        <v>332188.5</v>
      </c>
      <c r="CL214" s="374">
        <v>75500</v>
      </c>
      <c r="CM214" s="374">
        <v>127920</v>
      </c>
      <c r="CN214" s="374">
        <v>-93500</v>
      </c>
      <c r="CO214" s="374">
        <v>16900</v>
      </c>
      <c r="CP214" s="374">
        <v>27000</v>
      </c>
      <c r="CQ214" s="374">
        <v>0</v>
      </c>
      <c r="CR214" s="374">
        <v>0</v>
      </c>
      <c r="CS214" s="402">
        <f t="shared" si="276"/>
        <v>913133.5</v>
      </c>
      <c r="CT214" s="776">
        <f t="shared" si="277"/>
        <v>612062.5</v>
      </c>
      <c r="CU214" s="165">
        <f t="shared" si="278"/>
        <v>0.67028807945388047</v>
      </c>
      <c r="CV214" s="329"/>
      <c r="CW214" s="373">
        <v>0</v>
      </c>
      <c r="CX214" s="373">
        <v>0</v>
      </c>
      <c r="CY214" s="373">
        <v>47400</v>
      </c>
      <c r="CZ214" s="373">
        <v>0</v>
      </c>
      <c r="DA214" s="373">
        <v>-22400</v>
      </c>
      <c r="DB214" s="373">
        <v>0</v>
      </c>
      <c r="DC214" s="374">
        <v>-25000</v>
      </c>
      <c r="DD214" s="373">
        <v>73000</v>
      </c>
      <c r="DE214" s="373">
        <v>196000</v>
      </c>
      <c r="DF214" s="373">
        <v>0</v>
      </c>
      <c r="DG214" s="373">
        <v>0</v>
      </c>
      <c r="DH214" s="373">
        <v>0</v>
      </c>
      <c r="DI214" s="375">
        <f t="shared" si="279"/>
        <v>269000</v>
      </c>
      <c r="DJ214" s="329"/>
      <c r="DK214" s="373">
        <v>0</v>
      </c>
      <c r="DL214" s="373">
        <v>0</v>
      </c>
      <c r="DM214" s="373">
        <v>0</v>
      </c>
      <c r="DN214" s="373">
        <v>33900</v>
      </c>
      <c r="DO214" s="373">
        <v>0</v>
      </c>
      <c r="DP214" s="373">
        <v>700</v>
      </c>
      <c r="DQ214" s="374">
        <v>0</v>
      </c>
      <c r="DR214" s="373">
        <v>0</v>
      </c>
      <c r="DS214" s="373">
        <v>0</v>
      </c>
      <c r="DT214" s="373">
        <v>0</v>
      </c>
      <c r="DU214" s="373">
        <v>0</v>
      </c>
      <c r="DV214" s="373">
        <v>0</v>
      </c>
      <c r="DW214" s="375">
        <f t="shared" si="280"/>
        <v>34600</v>
      </c>
      <c r="DY214" s="373">
        <v>0</v>
      </c>
      <c r="DZ214" s="373">
        <v>0</v>
      </c>
      <c r="EA214" s="373">
        <v>0</v>
      </c>
      <c r="EB214" s="373">
        <v>0</v>
      </c>
      <c r="EC214" s="373">
        <v>0</v>
      </c>
      <c r="ED214" s="373">
        <v>0</v>
      </c>
      <c r="EE214" s="374">
        <v>0</v>
      </c>
      <c r="EF214" s="373">
        <v>0</v>
      </c>
      <c r="EG214" s="373">
        <v>0</v>
      </c>
      <c r="EH214" s="373">
        <v>26132</v>
      </c>
      <c r="EI214" s="373">
        <v>3500</v>
      </c>
      <c r="EJ214" s="373">
        <v>38500</v>
      </c>
      <c r="EK214" s="375">
        <f t="shared" si="293"/>
        <v>68132</v>
      </c>
      <c r="EL214" s="177"/>
      <c r="EM214" s="373">
        <v>0</v>
      </c>
      <c r="EN214" s="373">
        <v>0</v>
      </c>
      <c r="EO214" s="373">
        <v>0</v>
      </c>
      <c r="EP214" s="373">
        <v>0</v>
      </c>
      <c r="EQ214" s="373">
        <v>0</v>
      </c>
      <c r="ER214" s="373">
        <v>0</v>
      </c>
      <c r="ES214" s="374">
        <v>0</v>
      </c>
      <c r="ET214" s="373">
        <v>0</v>
      </c>
      <c r="EU214" s="373">
        <v>0</v>
      </c>
      <c r="EV214" s="373">
        <v>0</v>
      </c>
      <c r="EW214" s="373">
        <v>0</v>
      </c>
      <c r="EX214" s="373">
        <v>0</v>
      </c>
      <c r="EY214" s="375">
        <f t="shared" si="294"/>
        <v>0</v>
      </c>
      <c r="EZ214" s="164">
        <v>0</v>
      </c>
      <c r="FA214" s="185">
        <v>0</v>
      </c>
    </row>
    <row r="215" spans="1:157" ht="18.75" customHeight="1">
      <c r="A215" s="185" t="s">
        <v>327</v>
      </c>
      <c r="B215" s="774"/>
      <c r="C215" s="176" t="s">
        <v>952</v>
      </c>
      <c r="D215" s="176">
        <v>65211000</v>
      </c>
      <c r="E215" s="773"/>
      <c r="F215" s="320" t="s">
        <v>699</v>
      </c>
      <c r="G215" s="329"/>
      <c r="H215" s="373"/>
      <c r="I215" s="373"/>
      <c r="J215" s="373"/>
      <c r="K215" s="373"/>
      <c r="L215" s="373"/>
      <c r="M215" s="373"/>
      <c r="N215" s="374"/>
      <c r="O215" s="373"/>
      <c r="P215" s="373"/>
      <c r="Q215" s="373"/>
      <c r="R215" s="373"/>
      <c r="S215" s="377">
        <v>134626.37908727315</v>
      </c>
      <c r="T215" s="375">
        <f t="shared" si="287"/>
        <v>134626.37908727315</v>
      </c>
      <c r="U215" s="776">
        <f t="shared" si="289"/>
        <v>23114.620912726852</v>
      </c>
      <c r="V215" s="775">
        <f t="shared" si="290"/>
        <v>0.14653527562730584</v>
      </c>
      <c r="W215" s="329"/>
      <c r="X215" s="373">
        <v>9918</v>
      </c>
      <c r="Y215" s="373">
        <v>0</v>
      </c>
      <c r="Z215" s="373">
        <v>9234</v>
      </c>
      <c r="AA215" s="373">
        <v>23780</v>
      </c>
      <c r="AB215" s="373">
        <v>0</v>
      </c>
      <c r="AC215" s="373">
        <v>0</v>
      </c>
      <c r="AD215" s="374">
        <v>20450</v>
      </c>
      <c r="AE215" s="373">
        <v>0</v>
      </c>
      <c r="AF215" s="373">
        <v>0</v>
      </c>
      <c r="AG215" s="373">
        <v>900</v>
      </c>
      <c r="AH215" s="373">
        <v>900</v>
      </c>
      <c r="AI215" s="373">
        <v>92559</v>
      </c>
      <c r="AJ215" s="375">
        <f t="shared" si="288"/>
        <v>157741</v>
      </c>
      <c r="AK215" s="329"/>
      <c r="AL215" s="373">
        <v>0</v>
      </c>
      <c r="AM215" s="373">
        <v>0</v>
      </c>
      <c r="AN215" s="373">
        <v>0</v>
      </c>
      <c r="AO215" s="373">
        <v>0</v>
      </c>
      <c r="AP215" s="373">
        <v>0</v>
      </c>
      <c r="AQ215" s="373">
        <v>0</v>
      </c>
      <c r="AR215" s="374">
        <v>0</v>
      </c>
      <c r="AS215" s="373">
        <v>0</v>
      </c>
      <c r="AT215" s="373">
        <v>0</v>
      </c>
      <c r="AU215" s="373">
        <v>0</v>
      </c>
      <c r="AV215" s="373">
        <v>0</v>
      </c>
      <c r="AW215" s="373">
        <v>0</v>
      </c>
      <c r="AX215" s="375">
        <v>0</v>
      </c>
      <c r="AY215" s="776">
        <f t="shared" si="291"/>
        <v>337031</v>
      </c>
      <c r="AZ215" s="775">
        <f t="shared" si="292"/>
        <v>1</v>
      </c>
      <c r="BA215" s="329"/>
      <c r="BB215" s="373">
        <v>9233</v>
      </c>
      <c r="BC215" s="373">
        <v>22439</v>
      </c>
      <c r="BD215" s="373">
        <v>9233</v>
      </c>
      <c r="BE215" s="373">
        <v>157910</v>
      </c>
      <c r="BF215" s="373">
        <v>450</v>
      </c>
      <c r="BG215" s="373">
        <v>7126</v>
      </c>
      <c r="BH215" s="374">
        <v>450</v>
      </c>
      <c r="BI215" s="373">
        <v>17642</v>
      </c>
      <c r="BJ215" s="373">
        <v>48000</v>
      </c>
      <c r="BK215" s="373">
        <v>46080</v>
      </c>
      <c r="BL215" s="373">
        <v>9684</v>
      </c>
      <c r="BM215" s="373">
        <v>8784</v>
      </c>
      <c r="BN215" s="402">
        <v>337031</v>
      </c>
      <c r="BO215" s="329"/>
      <c r="BP215" s="374">
        <v>12500</v>
      </c>
      <c r="BQ215" s="374">
        <v>12500</v>
      </c>
      <c r="BR215" s="374">
        <v>12500</v>
      </c>
      <c r="BS215" s="374">
        <v>12500</v>
      </c>
      <c r="BT215" s="374">
        <v>12500</v>
      </c>
      <c r="BU215" s="374">
        <v>12500</v>
      </c>
      <c r="BV215" s="374">
        <v>12500</v>
      </c>
      <c r="BW215" s="374">
        <v>12500</v>
      </c>
      <c r="BX215" s="374">
        <v>12500</v>
      </c>
      <c r="BY215" s="374">
        <v>12500</v>
      </c>
      <c r="BZ215" s="374">
        <v>12500</v>
      </c>
      <c r="CA215" s="374">
        <v>12500</v>
      </c>
      <c r="CB215" s="402">
        <f t="shared" si="282"/>
        <v>150000</v>
      </c>
      <c r="CC215" s="776">
        <f t="shared" si="274"/>
        <v>-187031</v>
      </c>
      <c r="CD215" s="775">
        <f t="shared" si="275"/>
        <v>-1.2468733333333333</v>
      </c>
      <c r="CE215" s="772"/>
      <c r="CF215" s="374">
        <v>8883</v>
      </c>
      <c r="CG215" s="374">
        <v>23028</v>
      </c>
      <c r="CH215" s="374">
        <v>450</v>
      </c>
      <c r="CI215" s="374">
        <v>9933</v>
      </c>
      <c r="CJ215" s="374">
        <v>90754</v>
      </c>
      <c r="CK215" s="374">
        <v>450</v>
      </c>
      <c r="CL215" s="374">
        <v>450</v>
      </c>
      <c r="CM215" s="374">
        <v>-64000</v>
      </c>
      <c r="CN215" s="374">
        <v>91720</v>
      </c>
      <c r="CO215" s="374">
        <v>15000</v>
      </c>
      <c r="CP215" s="374">
        <v>12173</v>
      </c>
      <c r="CQ215" s="374">
        <v>44658</v>
      </c>
      <c r="CR215" s="374">
        <v>0</v>
      </c>
      <c r="CS215" s="402">
        <f t="shared" si="276"/>
        <v>233499</v>
      </c>
      <c r="CT215" s="776">
        <f t="shared" si="277"/>
        <v>-103532</v>
      </c>
      <c r="CU215" s="165">
        <f t="shared" si="278"/>
        <v>-0.4433937618576525</v>
      </c>
      <c r="CV215" s="329"/>
      <c r="CW215" s="373">
        <v>8017</v>
      </c>
      <c r="CX215" s="373">
        <v>8466</v>
      </c>
      <c r="CY215" s="373">
        <v>6356</v>
      </c>
      <c r="CZ215" s="373">
        <v>1800</v>
      </c>
      <c r="DA215" s="373">
        <v>2250</v>
      </c>
      <c r="DB215" s="373">
        <v>0</v>
      </c>
      <c r="DC215" s="374">
        <v>208160</v>
      </c>
      <c r="DD215" s="373">
        <v>0</v>
      </c>
      <c r="DE215" s="373">
        <v>28000</v>
      </c>
      <c r="DF215" s="373">
        <v>28000</v>
      </c>
      <c r="DG215" s="373">
        <v>12204</v>
      </c>
      <c r="DH215" s="373">
        <v>16434</v>
      </c>
      <c r="DI215" s="375">
        <f t="shared" si="279"/>
        <v>319687</v>
      </c>
      <c r="DJ215" s="329"/>
      <c r="DK215" s="373">
        <v>8200</v>
      </c>
      <c r="DL215" s="373">
        <v>7780</v>
      </c>
      <c r="DM215" s="373">
        <v>9459</v>
      </c>
      <c r="DN215" s="373">
        <v>420</v>
      </c>
      <c r="DO215" s="373">
        <v>6180</v>
      </c>
      <c r="DP215" s="373">
        <v>1841</v>
      </c>
      <c r="DQ215" s="374">
        <v>840</v>
      </c>
      <c r="DR215" s="373">
        <v>-79580</v>
      </c>
      <c r="DS215" s="373">
        <v>0</v>
      </c>
      <c r="DT215" s="373">
        <v>9697</v>
      </c>
      <c r="DU215" s="373">
        <v>8587</v>
      </c>
      <c r="DV215" s="373">
        <v>9677</v>
      </c>
      <c r="DW215" s="375">
        <f t="shared" si="280"/>
        <v>-16899</v>
      </c>
      <c r="DY215" s="373">
        <v>89366.34</v>
      </c>
      <c r="DZ215" s="373">
        <v>7553</v>
      </c>
      <c r="EA215" s="373">
        <v>7973</v>
      </c>
      <c r="EB215" s="373">
        <v>0</v>
      </c>
      <c r="EC215" s="373">
        <v>420</v>
      </c>
      <c r="ED215" s="373">
        <v>1779</v>
      </c>
      <c r="EE215" s="374">
        <v>10500</v>
      </c>
      <c r="EF215" s="373">
        <v>66840</v>
      </c>
      <c r="EG215" s="373">
        <v>60000</v>
      </c>
      <c r="EH215" s="373">
        <v>21260</v>
      </c>
      <c r="EI215" s="373">
        <v>15560</v>
      </c>
      <c r="EJ215" s="373">
        <v>8200</v>
      </c>
      <c r="EK215" s="375">
        <f t="shared" si="293"/>
        <v>289451.33999999997</v>
      </c>
      <c r="EL215" s="177"/>
      <c r="EM215" s="373">
        <v>7333</v>
      </c>
      <c r="EN215" s="373">
        <v>7333</v>
      </c>
      <c r="EO215" s="373">
        <v>8175</v>
      </c>
      <c r="EP215" s="373">
        <v>420</v>
      </c>
      <c r="EQ215" s="373">
        <v>420</v>
      </c>
      <c r="ER215" s="373">
        <v>1320</v>
      </c>
      <c r="ES215" s="374">
        <v>80420</v>
      </c>
      <c r="ET215" s="373">
        <v>0</v>
      </c>
      <c r="EU215" s="373">
        <v>80840</v>
      </c>
      <c r="EV215" s="373">
        <v>7554</v>
      </c>
      <c r="EW215" s="373">
        <v>9234</v>
      </c>
      <c r="EX215" s="373">
        <v>18639.66</v>
      </c>
      <c r="EY215" s="375">
        <f t="shared" si="294"/>
        <v>221688.66</v>
      </c>
      <c r="EZ215" s="164">
        <v>0</v>
      </c>
      <c r="FA215" s="185">
        <v>0</v>
      </c>
    </row>
    <row r="216" spans="1:157" ht="18.75" customHeight="1">
      <c r="A216" s="185" t="s">
        <v>327</v>
      </c>
      <c r="B216" s="774"/>
      <c r="C216" s="176" t="s">
        <v>951</v>
      </c>
      <c r="D216" s="176">
        <v>65212000</v>
      </c>
      <c r="E216" s="773"/>
      <c r="F216" s="320" t="s">
        <v>700</v>
      </c>
      <c r="G216" s="329"/>
      <c r="H216" s="373"/>
      <c r="I216" s="373"/>
      <c r="J216" s="373"/>
      <c r="K216" s="373"/>
      <c r="L216" s="373"/>
      <c r="M216" s="373"/>
      <c r="N216" s="374"/>
      <c r="O216" s="373"/>
      <c r="P216" s="373"/>
      <c r="Q216" s="373"/>
      <c r="R216" s="373"/>
      <c r="S216" s="377">
        <v>2780355.8664897811</v>
      </c>
      <c r="T216" s="375">
        <f t="shared" si="287"/>
        <v>2780355.8664897811</v>
      </c>
      <c r="U216" s="776">
        <f t="shared" si="289"/>
        <v>145974.53351021884</v>
      </c>
      <c r="V216" s="775">
        <f t="shared" si="290"/>
        <v>4.9883134696690042E-2</v>
      </c>
      <c r="W216" s="329"/>
      <c r="X216" s="373">
        <v>-44336</v>
      </c>
      <c r="Y216" s="373">
        <v>77858.899999999994</v>
      </c>
      <c r="Z216" s="373">
        <v>46559.3</v>
      </c>
      <c r="AA216" s="373">
        <v>578945</v>
      </c>
      <c r="AB216" s="373">
        <v>45540</v>
      </c>
      <c r="AC216" s="373">
        <v>579304.5</v>
      </c>
      <c r="AD216" s="374">
        <v>-17686</v>
      </c>
      <c r="AE216" s="373">
        <v>313265</v>
      </c>
      <c r="AF216" s="373">
        <v>45628</v>
      </c>
      <c r="AG216" s="373">
        <v>794484.2</v>
      </c>
      <c r="AH216" s="373">
        <v>175955</v>
      </c>
      <c r="AI216" s="373">
        <v>330812.5</v>
      </c>
      <c r="AJ216" s="375">
        <f t="shared" si="288"/>
        <v>2926330.4</v>
      </c>
      <c r="AK216" s="329"/>
      <c r="AL216" s="373">
        <v>0</v>
      </c>
      <c r="AM216" s="373">
        <v>0</v>
      </c>
      <c r="AN216" s="373">
        <v>0</v>
      </c>
      <c r="AO216" s="373">
        <v>0</v>
      </c>
      <c r="AP216" s="373">
        <v>0</v>
      </c>
      <c r="AQ216" s="373">
        <v>0</v>
      </c>
      <c r="AR216" s="374">
        <v>0</v>
      </c>
      <c r="AS216" s="373">
        <v>0</v>
      </c>
      <c r="AT216" s="373">
        <v>0</v>
      </c>
      <c r="AU216" s="373">
        <v>0</v>
      </c>
      <c r="AV216" s="373">
        <v>0</v>
      </c>
      <c r="AW216" s="373">
        <v>5000</v>
      </c>
      <c r="AX216" s="375">
        <v>5000</v>
      </c>
      <c r="AY216" s="776">
        <f t="shared" si="291"/>
        <v>4158286.6100000003</v>
      </c>
      <c r="AZ216" s="775">
        <f t="shared" si="292"/>
        <v>0.99879902575335788</v>
      </c>
      <c r="BA216" s="329"/>
      <c r="BB216" s="373">
        <v>524663.12</v>
      </c>
      <c r="BC216" s="373">
        <v>112115</v>
      </c>
      <c r="BD216" s="373">
        <v>115400</v>
      </c>
      <c r="BE216" s="373">
        <v>273108</v>
      </c>
      <c r="BF216" s="373">
        <v>388612.5</v>
      </c>
      <c r="BG216" s="373">
        <v>242260</v>
      </c>
      <c r="BH216" s="374">
        <v>148920.99</v>
      </c>
      <c r="BI216" s="373">
        <v>556401</v>
      </c>
      <c r="BJ216" s="373">
        <v>551845</v>
      </c>
      <c r="BK216" s="373">
        <v>946822</v>
      </c>
      <c r="BL216" s="373">
        <v>72780.2</v>
      </c>
      <c r="BM216" s="373">
        <v>230358.8</v>
      </c>
      <c r="BN216" s="402">
        <v>4163286.6100000003</v>
      </c>
      <c r="BO216" s="329"/>
      <c r="BP216" s="374">
        <v>525000</v>
      </c>
      <c r="BQ216" s="374">
        <v>525000</v>
      </c>
      <c r="BR216" s="374">
        <v>525000</v>
      </c>
      <c r="BS216" s="374">
        <v>525000</v>
      </c>
      <c r="BT216" s="374">
        <v>525000</v>
      </c>
      <c r="BU216" s="374">
        <v>525000</v>
      </c>
      <c r="BV216" s="374">
        <v>525000</v>
      </c>
      <c r="BW216" s="374">
        <v>525000</v>
      </c>
      <c r="BX216" s="374">
        <v>525000</v>
      </c>
      <c r="BY216" s="374">
        <v>525000</v>
      </c>
      <c r="BZ216" s="374">
        <v>525000</v>
      </c>
      <c r="CA216" s="374">
        <v>525000.00000000058</v>
      </c>
      <c r="CB216" s="402">
        <f t="shared" si="282"/>
        <v>6300000.0000000009</v>
      </c>
      <c r="CC216" s="776">
        <f t="shared" si="274"/>
        <v>2136713.3900000006</v>
      </c>
      <c r="CD216" s="775">
        <f t="shared" si="275"/>
        <v>0.33916085555555558</v>
      </c>
      <c r="CE216" s="772"/>
      <c r="CF216" s="374">
        <v>58179</v>
      </c>
      <c r="CG216" s="374">
        <v>1077982</v>
      </c>
      <c r="CH216" s="374">
        <v>152518</v>
      </c>
      <c r="CI216" s="374">
        <v>237095.67</v>
      </c>
      <c r="CJ216" s="374">
        <v>1837230.4</v>
      </c>
      <c r="CK216" s="374">
        <v>286314.56</v>
      </c>
      <c r="CL216" s="374">
        <v>36058</v>
      </c>
      <c r="CM216" s="374">
        <v>213859.6</v>
      </c>
      <c r="CN216" s="374">
        <v>759060</v>
      </c>
      <c r="CO216" s="374">
        <v>574939</v>
      </c>
      <c r="CP216" s="374">
        <v>-224489</v>
      </c>
      <c r="CQ216" s="374">
        <v>869811.44</v>
      </c>
      <c r="CR216" s="374">
        <v>0</v>
      </c>
      <c r="CS216" s="402">
        <f t="shared" si="276"/>
        <v>5878558.6699999999</v>
      </c>
      <c r="CT216" s="776">
        <f t="shared" si="277"/>
        <v>1715272.0599999996</v>
      </c>
      <c r="CU216" s="165">
        <f t="shared" si="278"/>
        <v>0.29178445879149484</v>
      </c>
      <c r="CV216" s="329"/>
      <c r="CW216" s="373">
        <v>36450</v>
      </c>
      <c r="CX216" s="373">
        <v>102450</v>
      </c>
      <c r="CY216" s="373">
        <v>82190</v>
      </c>
      <c r="CZ216" s="373">
        <v>133134</v>
      </c>
      <c r="DA216" s="373">
        <v>299922</v>
      </c>
      <c r="DB216" s="373">
        <v>105995.22</v>
      </c>
      <c r="DC216" s="374">
        <v>-79760</v>
      </c>
      <c r="DD216" s="373">
        <v>509018</v>
      </c>
      <c r="DE216" s="373">
        <v>513686.5</v>
      </c>
      <c r="DF216" s="373">
        <v>-3598.2</v>
      </c>
      <c r="DG216" s="373">
        <v>109160</v>
      </c>
      <c r="DH216" s="373">
        <v>310525</v>
      </c>
      <c r="DI216" s="375">
        <f t="shared" si="279"/>
        <v>2119172.52</v>
      </c>
      <c r="DJ216" s="329"/>
      <c r="DK216" s="373">
        <v>218715</v>
      </c>
      <c r="DL216" s="373">
        <v>76000</v>
      </c>
      <c r="DM216" s="373">
        <v>-121785</v>
      </c>
      <c r="DN216" s="373">
        <v>246568</v>
      </c>
      <c r="DO216" s="373">
        <v>175994</v>
      </c>
      <c r="DP216" s="373">
        <v>47760</v>
      </c>
      <c r="DQ216" s="374">
        <v>59760</v>
      </c>
      <c r="DR216" s="373">
        <v>-31080</v>
      </c>
      <c r="DS216" s="373">
        <v>90000</v>
      </c>
      <c r="DT216" s="373">
        <v>54492.3</v>
      </c>
      <c r="DU216" s="373">
        <v>219200</v>
      </c>
      <c r="DV216" s="373">
        <v>153250</v>
      </c>
      <c r="DW216" s="375">
        <f t="shared" si="280"/>
        <v>1188874.3</v>
      </c>
      <c r="DY216" s="373">
        <v>12240</v>
      </c>
      <c r="DZ216" s="373">
        <v>0</v>
      </c>
      <c r="EA216" s="373">
        <v>21840</v>
      </c>
      <c r="EB216" s="373">
        <v>45840</v>
      </c>
      <c r="EC216" s="373">
        <v>173630</v>
      </c>
      <c r="ED216" s="373">
        <v>36420</v>
      </c>
      <c r="EE216" s="374">
        <v>48796</v>
      </c>
      <c r="EF216" s="373">
        <v>87589.41</v>
      </c>
      <c r="EG216" s="373">
        <v>539309.41</v>
      </c>
      <c r="EH216" s="373">
        <v>231075</v>
      </c>
      <c r="EI216" s="373">
        <v>255920</v>
      </c>
      <c r="EJ216" s="373">
        <v>168750</v>
      </c>
      <c r="EK216" s="375">
        <f t="shared" si="293"/>
        <v>1621409.82</v>
      </c>
      <c r="EL216" s="177"/>
      <c r="EM216" s="373">
        <v>0</v>
      </c>
      <c r="EN216" s="373">
        <v>0</v>
      </c>
      <c r="EO216" s="373">
        <v>83471</v>
      </c>
      <c r="EP216" s="373">
        <v>355054</v>
      </c>
      <c r="EQ216" s="373">
        <v>59891</v>
      </c>
      <c r="ER216" s="373">
        <v>59891</v>
      </c>
      <c r="ES216" s="374">
        <v>23974</v>
      </c>
      <c r="ET216" s="373">
        <v>92025</v>
      </c>
      <c r="EU216" s="373">
        <v>25151</v>
      </c>
      <c r="EV216" s="373">
        <v>201260</v>
      </c>
      <c r="EW216" s="373">
        <v>149328</v>
      </c>
      <c r="EX216" s="373">
        <v>356186</v>
      </c>
      <c r="EY216" s="375">
        <f t="shared" si="294"/>
        <v>1406231</v>
      </c>
      <c r="EZ216" s="164">
        <v>0</v>
      </c>
      <c r="FA216" s="185">
        <v>0</v>
      </c>
    </row>
    <row r="217" spans="1:157" ht="18.75" customHeight="1">
      <c r="A217" s="185" t="s">
        <v>327</v>
      </c>
      <c r="B217" s="774"/>
      <c r="C217" s="176" t="s">
        <v>950</v>
      </c>
      <c r="D217" s="176">
        <v>65213000</v>
      </c>
      <c r="E217" s="773"/>
      <c r="F217" s="320" t="s">
        <v>701</v>
      </c>
      <c r="G217" s="329"/>
      <c r="H217" s="373"/>
      <c r="I217" s="373"/>
      <c r="J217" s="373"/>
      <c r="K217" s="373"/>
      <c r="L217" s="373"/>
      <c r="M217" s="373"/>
      <c r="N217" s="374"/>
      <c r="O217" s="373"/>
      <c r="P217" s="373"/>
      <c r="Q217" s="373"/>
      <c r="R217" s="373"/>
      <c r="S217" s="377">
        <v>43146.39722067189</v>
      </c>
      <c r="T217" s="375">
        <f t="shared" si="287"/>
        <v>43146.39722067189</v>
      </c>
      <c r="U217" s="776">
        <f t="shared" si="289"/>
        <v>-4596.39722067189</v>
      </c>
      <c r="V217" s="775">
        <f t="shared" si="290"/>
        <v>-0.1192320939214498</v>
      </c>
      <c r="W217" s="329"/>
      <c r="X217" s="373">
        <v>0</v>
      </c>
      <c r="Y217" s="373">
        <v>900</v>
      </c>
      <c r="Z217" s="373">
        <v>900</v>
      </c>
      <c r="AA217" s="373">
        <v>0</v>
      </c>
      <c r="AB217" s="373">
        <v>0</v>
      </c>
      <c r="AC217" s="373">
        <v>2000</v>
      </c>
      <c r="AD217" s="374">
        <v>33800</v>
      </c>
      <c r="AE217" s="373">
        <v>0</v>
      </c>
      <c r="AF217" s="373">
        <v>0</v>
      </c>
      <c r="AG217" s="373">
        <v>0</v>
      </c>
      <c r="AH217" s="373">
        <v>950</v>
      </c>
      <c r="AI217" s="373">
        <v>0</v>
      </c>
      <c r="AJ217" s="375">
        <f t="shared" si="288"/>
        <v>38550</v>
      </c>
      <c r="AK217" s="329"/>
      <c r="AL217" s="373">
        <v>0</v>
      </c>
      <c r="AM217" s="373">
        <v>0</v>
      </c>
      <c r="AN217" s="373">
        <v>0</v>
      </c>
      <c r="AO217" s="373">
        <v>0</v>
      </c>
      <c r="AP217" s="373">
        <v>0</v>
      </c>
      <c r="AQ217" s="373">
        <v>0</v>
      </c>
      <c r="AR217" s="374">
        <v>0</v>
      </c>
      <c r="AS217" s="373">
        <v>0</v>
      </c>
      <c r="AT217" s="373">
        <v>0</v>
      </c>
      <c r="AU217" s="373">
        <v>0</v>
      </c>
      <c r="AV217" s="373">
        <v>0</v>
      </c>
      <c r="AW217" s="373">
        <v>0</v>
      </c>
      <c r="AX217" s="375">
        <v>0</v>
      </c>
      <c r="AY217" s="776">
        <f t="shared" si="291"/>
        <v>157238.00000000003</v>
      </c>
      <c r="AZ217" s="775">
        <f t="shared" si="292"/>
        <v>1</v>
      </c>
      <c r="BA217" s="329"/>
      <c r="BB217" s="373">
        <v>0</v>
      </c>
      <c r="BC217" s="373">
        <v>0</v>
      </c>
      <c r="BD217" s="373">
        <v>0</v>
      </c>
      <c r="BE217" s="373">
        <v>0</v>
      </c>
      <c r="BF217" s="373">
        <v>4286</v>
      </c>
      <c r="BG217" s="373">
        <v>0</v>
      </c>
      <c r="BH217" s="374">
        <v>260035.02</v>
      </c>
      <c r="BI217" s="373">
        <v>-134347.01999999999</v>
      </c>
      <c r="BJ217" s="373">
        <v>12857</v>
      </c>
      <c r="BK217" s="373">
        <v>13457</v>
      </c>
      <c r="BL217" s="373">
        <v>0</v>
      </c>
      <c r="BM217" s="373">
        <v>950</v>
      </c>
      <c r="BN217" s="402">
        <v>157238.00000000003</v>
      </c>
      <c r="BO217" s="329"/>
      <c r="BP217" s="374">
        <v>15000</v>
      </c>
      <c r="BQ217" s="374">
        <v>15000</v>
      </c>
      <c r="BR217" s="374">
        <v>15000</v>
      </c>
      <c r="BS217" s="374">
        <v>15000</v>
      </c>
      <c r="BT217" s="374">
        <v>15000</v>
      </c>
      <c r="BU217" s="374">
        <v>15000</v>
      </c>
      <c r="BV217" s="374">
        <v>15000</v>
      </c>
      <c r="BW217" s="374">
        <v>15000</v>
      </c>
      <c r="BX217" s="374">
        <v>15000</v>
      </c>
      <c r="BY217" s="374">
        <v>15000</v>
      </c>
      <c r="BZ217" s="374">
        <v>15000</v>
      </c>
      <c r="CA217" s="374">
        <v>15000.000000000011</v>
      </c>
      <c r="CB217" s="402">
        <f t="shared" si="282"/>
        <v>180000</v>
      </c>
      <c r="CC217" s="776">
        <f t="shared" si="274"/>
        <v>22761.999999999971</v>
      </c>
      <c r="CD217" s="775">
        <f t="shared" si="275"/>
        <v>0.1264555555555554</v>
      </c>
      <c r="CE217" s="772"/>
      <c r="CF217" s="374">
        <v>1000</v>
      </c>
      <c r="CG217" s="374">
        <v>1000</v>
      </c>
      <c r="CH217" s="374">
        <v>0</v>
      </c>
      <c r="CI217" s="374">
        <v>750</v>
      </c>
      <c r="CJ217" s="374">
        <v>600</v>
      </c>
      <c r="CK217" s="374">
        <v>30950</v>
      </c>
      <c r="CL217" s="374">
        <v>1900</v>
      </c>
      <c r="CM217" s="374">
        <v>-72410</v>
      </c>
      <c r="CN217" s="374">
        <v>160000</v>
      </c>
      <c r="CO217" s="374">
        <v>175000</v>
      </c>
      <c r="CP217" s="374">
        <v>0</v>
      </c>
      <c r="CQ217" s="374">
        <v>35875</v>
      </c>
      <c r="CR217" s="374">
        <v>0</v>
      </c>
      <c r="CS217" s="402">
        <f t="shared" si="276"/>
        <v>334665</v>
      </c>
      <c r="CT217" s="776">
        <f t="shared" si="277"/>
        <v>177426.99999999997</v>
      </c>
      <c r="CU217" s="165">
        <f t="shared" si="278"/>
        <v>0.53016299881971518</v>
      </c>
      <c r="CV217" s="329"/>
      <c r="CW217" s="373">
        <v>2950</v>
      </c>
      <c r="CX217" s="373">
        <v>0</v>
      </c>
      <c r="CY217" s="373">
        <v>-500</v>
      </c>
      <c r="CZ217" s="373">
        <v>8900</v>
      </c>
      <c r="DA217" s="373">
        <v>9000</v>
      </c>
      <c r="DB217" s="373">
        <v>8000</v>
      </c>
      <c r="DC217" s="374">
        <v>3360</v>
      </c>
      <c r="DD217" s="373">
        <v>32000</v>
      </c>
      <c r="DE217" s="373">
        <v>200054</v>
      </c>
      <c r="DF217" s="373">
        <v>-174100</v>
      </c>
      <c r="DG217" s="373">
        <v>6070</v>
      </c>
      <c r="DH217" s="373">
        <v>72000</v>
      </c>
      <c r="DI217" s="375">
        <f t="shared" si="279"/>
        <v>167734</v>
      </c>
      <c r="DJ217" s="329"/>
      <c r="DK217" s="373">
        <v>950</v>
      </c>
      <c r="DL217" s="373">
        <v>0</v>
      </c>
      <c r="DM217" s="373">
        <v>950</v>
      </c>
      <c r="DN217" s="373">
        <v>1550</v>
      </c>
      <c r="DO217" s="373">
        <v>1000</v>
      </c>
      <c r="DP217" s="373">
        <v>0</v>
      </c>
      <c r="DQ217" s="374">
        <v>650</v>
      </c>
      <c r="DR217" s="373">
        <v>950</v>
      </c>
      <c r="DS217" s="373">
        <v>146000</v>
      </c>
      <c r="DT217" s="373">
        <v>48000</v>
      </c>
      <c r="DU217" s="373">
        <v>4200</v>
      </c>
      <c r="DV217" s="373">
        <v>-67500</v>
      </c>
      <c r="DW217" s="375">
        <f t="shared" si="280"/>
        <v>136750</v>
      </c>
      <c r="DY217" s="373">
        <v>0</v>
      </c>
      <c r="DZ217" s="373">
        <v>30000</v>
      </c>
      <c r="EA217" s="373">
        <v>0</v>
      </c>
      <c r="EB217" s="373">
        <v>950</v>
      </c>
      <c r="EC217" s="373">
        <v>950</v>
      </c>
      <c r="ED217" s="373">
        <v>1900</v>
      </c>
      <c r="EE217" s="374">
        <v>7900</v>
      </c>
      <c r="EF217" s="373">
        <v>56960</v>
      </c>
      <c r="EG217" s="373">
        <v>93585</v>
      </c>
      <c r="EH217" s="373">
        <v>0</v>
      </c>
      <c r="EI217" s="373">
        <v>1750</v>
      </c>
      <c r="EJ217" s="373">
        <v>80000</v>
      </c>
      <c r="EK217" s="375">
        <f t="shared" si="293"/>
        <v>273995</v>
      </c>
      <c r="EL217" s="177"/>
      <c r="EM217" s="373">
        <v>0</v>
      </c>
      <c r="EN217" s="373">
        <v>0</v>
      </c>
      <c r="EO217" s="373">
        <v>19000</v>
      </c>
      <c r="EP217" s="373">
        <v>1350</v>
      </c>
      <c r="EQ217" s="373">
        <v>950</v>
      </c>
      <c r="ER217" s="373">
        <v>0</v>
      </c>
      <c r="ES217" s="374">
        <v>2200</v>
      </c>
      <c r="ET217" s="373">
        <v>1000</v>
      </c>
      <c r="EU217" s="373">
        <v>1600</v>
      </c>
      <c r="EV217" s="373">
        <v>13850.33</v>
      </c>
      <c r="EW217" s="373">
        <v>4250</v>
      </c>
      <c r="EX217" s="373">
        <v>0</v>
      </c>
      <c r="EY217" s="375">
        <f t="shared" si="294"/>
        <v>44200.33</v>
      </c>
      <c r="EZ217" s="164">
        <v>0</v>
      </c>
      <c r="FA217" s="185">
        <v>0</v>
      </c>
    </row>
    <row r="218" spans="1:157" ht="18.75" customHeight="1">
      <c r="A218" s="185" t="s">
        <v>327</v>
      </c>
      <c r="B218" s="774"/>
      <c r="C218" s="176" t="s">
        <v>949</v>
      </c>
      <c r="D218" s="176">
        <v>65214000</v>
      </c>
      <c r="E218" s="773"/>
      <c r="F218" s="320" t="s">
        <v>702</v>
      </c>
      <c r="G218" s="329"/>
      <c r="H218" s="373"/>
      <c r="I218" s="373"/>
      <c r="J218" s="373"/>
      <c r="K218" s="373"/>
      <c r="L218" s="373"/>
      <c r="M218" s="373"/>
      <c r="N218" s="374"/>
      <c r="O218" s="373"/>
      <c r="P218" s="373"/>
      <c r="Q218" s="373"/>
      <c r="R218" s="373"/>
      <c r="S218" s="377">
        <v>1015326.128879857</v>
      </c>
      <c r="T218" s="375">
        <f t="shared" si="287"/>
        <v>1015326.128879857</v>
      </c>
      <c r="U218" s="776">
        <f t="shared" si="289"/>
        <v>235679.891120143</v>
      </c>
      <c r="V218" s="775">
        <f t="shared" si="290"/>
        <v>0.18839229176542491</v>
      </c>
      <c r="W218" s="329"/>
      <c r="X218" s="373">
        <v>108444</v>
      </c>
      <c r="Y218" s="373">
        <v>18500</v>
      </c>
      <c r="Z218" s="373">
        <v>52350</v>
      </c>
      <c r="AA218" s="373">
        <v>95500</v>
      </c>
      <c r="AB218" s="373">
        <v>52500</v>
      </c>
      <c r="AC218" s="373">
        <v>44025</v>
      </c>
      <c r="AD218" s="374">
        <v>-86500</v>
      </c>
      <c r="AE218" s="373">
        <v>252725</v>
      </c>
      <c r="AF218" s="373">
        <v>291350</v>
      </c>
      <c r="AG218" s="373">
        <v>126675</v>
      </c>
      <c r="AH218" s="373">
        <v>38000</v>
      </c>
      <c r="AI218" s="373">
        <v>257437.02</v>
      </c>
      <c r="AJ218" s="375">
        <f t="shared" si="288"/>
        <v>1251006.02</v>
      </c>
      <c r="AK218" s="329"/>
      <c r="AL218" s="373">
        <v>0</v>
      </c>
      <c r="AM218" s="373">
        <v>0</v>
      </c>
      <c r="AN218" s="373">
        <v>0</v>
      </c>
      <c r="AO218" s="373">
        <v>0</v>
      </c>
      <c r="AP218" s="373">
        <v>0</v>
      </c>
      <c r="AQ218" s="373">
        <v>0</v>
      </c>
      <c r="AR218" s="374">
        <v>0</v>
      </c>
      <c r="AS218" s="373">
        <v>0</v>
      </c>
      <c r="AT218" s="373">
        <v>0</v>
      </c>
      <c r="AU218" s="373">
        <v>0</v>
      </c>
      <c r="AV218" s="373">
        <v>0</v>
      </c>
      <c r="AW218" s="373">
        <v>78000</v>
      </c>
      <c r="AX218" s="375">
        <v>78000</v>
      </c>
      <c r="AY218" s="776">
        <f t="shared" si="291"/>
        <v>881643.7</v>
      </c>
      <c r="AZ218" s="775">
        <f t="shared" si="292"/>
        <v>0.91871983320476136</v>
      </c>
      <c r="BA218" s="329"/>
      <c r="BB218" s="373">
        <v>70500</v>
      </c>
      <c r="BC218" s="373">
        <v>17290</v>
      </c>
      <c r="BD218" s="373">
        <v>341961</v>
      </c>
      <c r="BE218" s="373">
        <v>330</v>
      </c>
      <c r="BF218" s="373">
        <v>356054</v>
      </c>
      <c r="BG218" s="373">
        <v>72670</v>
      </c>
      <c r="BH218" s="374">
        <v>28592.7</v>
      </c>
      <c r="BI218" s="373">
        <v>106510</v>
      </c>
      <c r="BJ218" s="373">
        <v>66550</v>
      </c>
      <c r="BK218" s="373">
        <v>-252680</v>
      </c>
      <c r="BL218" s="373">
        <v>80350</v>
      </c>
      <c r="BM218" s="373">
        <v>71516</v>
      </c>
      <c r="BN218" s="402">
        <v>959643.7</v>
      </c>
      <c r="BO218" s="329"/>
      <c r="BP218" s="374">
        <v>175000</v>
      </c>
      <c r="BQ218" s="374">
        <v>175000</v>
      </c>
      <c r="BR218" s="374">
        <v>175000</v>
      </c>
      <c r="BS218" s="374">
        <v>175000</v>
      </c>
      <c r="BT218" s="374">
        <v>175000</v>
      </c>
      <c r="BU218" s="374">
        <v>175000</v>
      </c>
      <c r="BV218" s="374">
        <v>175000</v>
      </c>
      <c r="BW218" s="374">
        <v>175000</v>
      </c>
      <c r="BX218" s="374">
        <v>175000</v>
      </c>
      <c r="BY218" s="374">
        <v>175000</v>
      </c>
      <c r="BZ218" s="374">
        <v>175000</v>
      </c>
      <c r="CA218" s="374">
        <v>175000</v>
      </c>
      <c r="CB218" s="402">
        <f t="shared" si="282"/>
        <v>2100000</v>
      </c>
      <c r="CC218" s="776">
        <f t="shared" si="274"/>
        <v>1140356.3</v>
      </c>
      <c r="CD218" s="775">
        <f t="shared" si="275"/>
        <v>0.54302680952380955</v>
      </c>
      <c r="CE218" s="772"/>
      <c r="CF218" s="374">
        <v>5350</v>
      </c>
      <c r="CG218" s="374">
        <v>124135</v>
      </c>
      <c r="CH218" s="374">
        <v>63000</v>
      </c>
      <c r="CI218" s="374">
        <v>66175</v>
      </c>
      <c r="CJ218" s="374">
        <v>163000</v>
      </c>
      <c r="CK218" s="374">
        <v>82695</v>
      </c>
      <c r="CL218" s="374">
        <v>153050</v>
      </c>
      <c r="CM218" s="374">
        <v>-48680</v>
      </c>
      <c r="CN218" s="374">
        <v>350035</v>
      </c>
      <c r="CO218" s="374">
        <v>657060</v>
      </c>
      <c r="CP218" s="374">
        <v>322527</v>
      </c>
      <c r="CQ218" s="374">
        <v>112384</v>
      </c>
      <c r="CR218" s="374">
        <v>0</v>
      </c>
      <c r="CS218" s="402">
        <f t="shared" si="276"/>
        <v>2050731</v>
      </c>
      <c r="CT218" s="776">
        <f t="shared" si="277"/>
        <v>1091087.3</v>
      </c>
      <c r="CU218" s="165">
        <f t="shared" si="278"/>
        <v>0.53204798679105159</v>
      </c>
      <c r="CV218" s="329"/>
      <c r="CW218" s="373">
        <v>62900</v>
      </c>
      <c r="CX218" s="373">
        <v>67500</v>
      </c>
      <c r="CY218" s="373">
        <v>100380</v>
      </c>
      <c r="CZ218" s="373">
        <v>94970</v>
      </c>
      <c r="DA218" s="373">
        <v>118324.8</v>
      </c>
      <c r="DB218" s="373">
        <v>10700</v>
      </c>
      <c r="DC218" s="374">
        <v>185650</v>
      </c>
      <c r="DD218" s="373">
        <v>83450</v>
      </c>
      <c r="DE218" s="373">
        <v>247920</v>
      </c>
      <c r="DF218" s="373">
        <v>288425</v>
      </c>
      <c r="DG218" s="373">
        <v>294150</v>
      </c>
      <c r="DH218" s="373">
        <v>175185</v>
      </c>
      <c r="DI218" s="375">
        <f t="shared" si="279"/>
        <v>1729554.8</v>
      </c>
      <c r="DJ218" s="329"/>
      <c r="DK218" s="373">
        <v>103050</v>
      </c>
      <c r="DL218" s="373">
        <v>230900</v>
      </c>
      <c r="DM218" s="373">
        <v>-139840.98000000001</v>
      </c>
      <c r="DN218" s="373">
        <v>184850</v>
      </c>
      <c r="DO218" s="373">
        <v>369825.68</v>
      </c>
      <c r="DP218" s="373">
        <v>159350</v>
      </c>
      <c r="DQ218" s="374">
        <v>87000</v>
      </c>
      <c r="DR218" s="373">
        <v>105450</v>
      </c>
      <c r="DS218" s="373">
        <v>359900</v>
      </c>
      <c r="DT218" s="373">
        <v>110950</v>
      </c>
      <c r="DU218" s="373">
        <v>155131.89000000001</v>
      </c>
      <c r="DV218" s="373">
        <v>-119900</v>
      </c>
      <c r="DW218" s="375">
        <f t="shared" si="280"/>
        <v>1606666.5899999999</v>
      </c>
      <c r="DY218" s="373">
        <v>8368.4</v>
      </c>
      <c r="DZ218" s="373">
        <v>32950</v>
      </c>
      <c r="EA218" s="373">
        <v>354072</v>
      </c>
      <c r="EB218" s="373">
        <v>158580</v>
      </c>
      <c r="EC218" s="373">
        <v>45512</v>
      </c>
      <c r="ED218" s="373">
        <v>5700</v>
      </c>
      <c r="EE218" s="374">
        <v>25224</v>
      </c>
      <c r="EF218" s="373">
        <v>362482.59</v>
      </c>
      <c r="EG218" s="373">
        <v>266643.59000000003</v>
      </c>
      <c r="EH218" s="373">
        <v>233400</v>
      </c>
      <c r="EI218" s="373">
        <v>154700</v>
      </c>
      <c r="EJ218" s="373">
        <v>-43344.4</v>
      </c>
      <c r="EK218" s="375">
        <f t="shared" si="293"/>
        <v>1604288.1800000002</v>
      </c>
      <c r="EL218" s="177"/>
      <c r="EM218" s="373">
        <v>36892.86</v>
      </c>
      <c r="EN218" s="373">
        <v>27790</v>
      </c>
      <c r="EO218" s="373">
        <v>18000</v>
      </c>
      <c r="EP218" s="373">
        <v>99800</v>
      </c>
      <c r="EQ218" s="373">
        <v>26850</v>
      </c>
      <c r="ER218" s="373">
        <v>42400</v>
      </c>
      <c r="ES218" s="374">
        <v>18000</v>
      </c>
      <c r="ET218" s="373">
        <v>158050</v>
      </c>
      <c r="EU218" s="373">
        <v>76550</v>
      </c>
      <c r="EV218" s="373">
        <v>35600</v>
      </c>
      <c r="EW218" s="373">
        <v>50552</v>
      </c>
      <c r="EX218" s="373">
        <v>262296</v>
      </c>
      <c r="EY218" s="375">
        <f t="shared" si="294"/>
        <v>852780.86</v>
      </c>
      <c r="EZ218" s="164">
        <v>0</v>
      </c>
      <c r="FA218" s="185">
        <v>0</v>
      </c>
    </row>
    <row r="219" spans="1:157" ht="18.75" customHeight="1">
      <c r="A219" s="185" t="s">
        <v>327</v>
      </c>
      <c r="B219" s="774"/>
      <c r="C219" s="176" t="s">
        <v>948</v>
      </c>
      <c r="D219" s="176">
        <v>65215000</v>
      </c>
      <c r="E219" s="773"/>
      <c r="F219" s="320" t="s">
        <v>703</v>
      </c>
      <c r="G219" s="329"/>
      <c r="H219" s="373"/>
      <c r="I219" s="373"/>
      <c r="J219" s="373"/>
      <c r="K219" s="373"/>
      <c r="L219" s="373"/>
      <c r="M219" s="373"/>
      <c r="N219" s="374"/>
      <c r="O219" s="373"/>
      <c r="P219" s="373"/>
      <c r="Q219" s="373"/>
      <c r="R219" s="373"/>
      <c r="S219" s="377">
        <v>107027.91635822246</v>
      </c>
      <c r="T219" s="375">
        <f t="shared" si="287"/>
        <v>107027.91635822246</v>
      </c>
      <c r="U219" s="776">
        <f t="shared" si="289"/>
        <v>-3467.9163582224573</v>
      </c>
      <c r="V219" s="775">
        <f t="shared" si="290"/>
        <v>-3.3487025475303758E-2</v>
      </c>
      <c r="W219" s="329"/>
      <c r="X219" s="373">
        <v>0</v>
      </c>
      <c r="Y219" s="373">
        <v>0</v>
      </c>
      <c r="Z219" s="373">
        <v>0</v>
      </c>
      <c r="AA219" s="373">
        <v>62240</v>
      </c>
      <c r="AB219" s="373">
        <v>1120</v>
      </c>
      <c r="AC219" s="373">
        <v>32400</v>
      </c>
      <c r="AD219" s="374">
        <v>0</v>
      </c>
      <c r="AE219" s="373">
        <v>0</v>
      </c>
      <c r="AF219" s="373">
        <v>3500</v>
      </c>
      <c r="AG219" s="373">
        <v>4300</v>
      </c>
      <c r="AH219" s="373">
        <v>0</v>
      </c>
      <c r="AI219" s="373">
        <v>0</v>
      </c>
      <c r="AJ219" s="375">
        <f t="shared" si="288"/>
        <v>103560</v>
      </c>
      <c r="AK219" s="329"/>
      <c r="AL219" s="373">
        <v>0</v>
      </c>
      <c r="AM219" s="373">
        <v>0</v>
      </c>
      <c r="AN219" s="373">
        <v>0</v>
      </c>
      <c r="AO219" s="373">
        <v>0</v>
      </c>
      <c r="AP219" s="373">
        <v>0</v>
      </c>
      <c r="AQ219" s="373">
        <v>0</v>
      </c>
      <c r="AR219" s="374">
        <v>0</v>
      </c>
      <c r="AS219" s="373">
        <v>0</v>
      </c>
      <c r="AT219" s="373">
        <v>0</v>
      </c>
      <c r="AU219" s="373">
        <v>0</v>
      </c>
      <c r="AV219" s="373">
        <v>0</v>
      </c>
      <c r="AW219" s="373">
        <v>0</v>
      </c>
      <c r="AX219" s="375">
        <v>0</v>
      </c>
      <c r="AY219" s="776">
        <f t="shared" si="291"/>
        <v>119323</v>
      </c>
      <c r="AZ219" s="775">
        <f t="shared" si="292"/>
        <v>1</v>
      </c>
      <c r="BA219" s="329"/>
      <c r="BB219" s="373">
        <v>1200</v>
      </c>
      <c r="BC219" s="373">
        <v>45240</v>
      </c>
      <c r="BD219" s="373">
        <v>20090</v>
      </c>
      <c r="BE219" s="373">
        <v>-8975</v>
      </c>
      <c r="BF219" s="373">
        <v>0</v>
      </c>
      <c r="BG219" s="373">
        <v>-250</v>
      </c>
      <c r="BH219" s="374">
        <v>36870</v>
      </c>
      <c r="BI219" s="373">
        <v>21178</v>
      </c>
      <c r="BJ219" s="373">
        <v>970</v>
      </c>
      <c r="BK219" s="373">
        <v>3000</v>
      </c>
      <c r="BL219" s="373">
        <v>0</v>
      </c>
      <c r="BM219" s="373">
        <v>0</v>
      </c>
      <c r="BN219" s="402">
        <v>119323</v>
      </c>
      <c r="BO219" s="329"/>
      <c r="BP219" s="374">
        <v>39166.666666666664</v>
      </c>
      <c r="BQ219" s="374">
        <v>39166.666666666664</v>
      </c>
      <c r="BR219" s="374">
        <v>39166.666666666664</v>
      </c>
      <c r="BS219" s="374">
        <v>39166.666666666664</v>
      </c>
      <c r="BT219" s="374">
        <v>39166.666666666664</v>
      </c>
      <c r="BU219" s="374">
        <v>39166.666666666664</v>
      </c>
      <c r="BV219" s="374">
        <v>39166.666666666664</v>
      </c>
      <c r="BW219" s="374">
        <v>39166.666666666664</v>
      </c>
      <c r="BX219" s="374">
        <v>39166.666666666664</v>
      </c>
      <c r="BY219" s="374">
        <v>39166.666666666664</v>
      </c>
      <c r="BZ219" s="374">
        <v>39166.666666666664</v>
      </c>
      <c r="CA219" s="374">
        <v>39166.666666666715</v>
      </c>
      <c r="CB219" s="402">
        <f t="shared" si="282"/>
        <v>470000.00000000012</v>
      </c>
      <c r="CC219" s="776">
        <f t="shared" si="274"/>
        <v>350677.00000000012</v>
      </c>
      <c r="CD219" s="775">
        <f t="shared" si="275"/>
        <v>0.74612127659574479</v>
      </c>
      <c r="CE219" s="772"/>
      <c r="CF219" s="374">
        <v>0</v>
      </c>
      <c r="CG219" s="374">
        <v>0</v>
      </c>
      <c r="CH219" s="374">
        <v>0</v>
      </c>
      <c r="CI219" s="374">
        <v>343718</v>
      </c>
      <c r="CJ219" s="374">
        <v>60000</v>
      </c>
      <c r="CK219" s="374">
        <v>0</v>
      </c>
      <c r="CL219" s="374">
        <v>0</v>
      </c>
      <c r="CM219" s="374">
        <v>-30000</v>
      </c>
      <c r="CN219" s="374">
        <v>145160</v>
      </c>
      <c r="CO219" s="374">
        <v>9000</v>
      </c>
      <c r="CP219" s="374">
        <v>24708</v>
      </c>
      <c r="CQ219" s="374">
        <v>36007</v>
      </c>
      <c r="CR219" s="374">
        <v>0</v>
      </c>
      <c r="CS219" s="402">
        <f t="shared" si="276"/>
        <v>588593</v>
      </c>
      <c r="CT219" s="776">
        <f t="shared" si="277"/>
        <v>469270</v>
      </c>
      <c r="CU219" s="165">
        <f t="shared" si="278"/>
        <v>0.79727417757261809</v>
      </c>
      <c r="CV219" s="329"/>
      <c r="CW219" s="373">
        <v>0</v>
      </c>
      <c r="CX219" s="373">
        <v>0</v>
      </c>
      <c r="CY219" s="373">
        <v>-2500</v>
      </c>
      <c r="CZ219" s="373">
        <v>-9000</v>
      </c>
      <c r="DA219" s="373">
        <v>0</v>
      </c>
      <c r="DB219" s="373">
        <v>0</v>
      </c>
      <c r="DC219" s="374">
        <v>0</v>
      </c>
      <c r="DD219" s="373">
        <v>0</v>
      </c>
      <c r="DE219" s="373">
        <v>-8000</v>
      </c>
      <c r="DF219" s="373">
        <v>20000</v>
      </c>
      <c r="DG219" s="373">
        <v>0</v>
      </c>
      <c r="DH219" s="373">
        <v>0</v>
      </c>
      <c r="DI219" s="375">
        <f t="shared" si="279"/>
        <v>500</v>
      </c>
      <c r="DJ219" s="329"/>
      <c r="DK219" s="373">
        <v>0</v>
      </c>
      <c r="DL219" s="373">
        <v>0</v>
      </c>
      <c r="DM219" s="373">
        <v>4500</v>
      </c>
      <c r="DN219" s="373">
        <v>0</v>
      </c>
      <c r="DO219" s="373">
        <v>0</v>
      </c>
      <c r="DP219" s="373">
        <v>0</v>
      </c>
      <c r="DQ219" s="374">
        <v>108420</v>
      </c>
      <c r="DR219" s="373">
        <v>0</v>
      </c>
      <c r="DS219" s="373">
        <v>9000</v>
      </c>
      <c r="DT219" s="373">
        <v>18000</v>
      </c>
      <c r="DU219" s="373">
        <v>0</v>
      </c>
      <c r="DV219" s="373">
        <v>2500</v>
      </c>
      <c r="DW219" s="375">
        <f t="shared" si="280"/>
        <v>142420</v>
      </c>
      <c r="DY219" s="373">
        <v>7100</v>
      </c>
      <c r="DZ219" s="373">
        <v>0</v>
      </c>
      <c r="EA219" s="373">
        <v>4300</v>
      </c>
      <c r="EB219" s="373">
        <v>900</v>
      </c>
      <c r="EC219" s="373">
        <v>5920</v>
      </c>
      <c r="ED219" s="373">
        <v>0</v>
      </c>
      <c r="EE219" s="374">
        <v>0</v>
      </c>
      <c r="EF219" s="373">
        <v>810</v>
      </c>
      <c r="EG219" s="373">
        <v>9000</v>
      </c>
      <c r="EH219" s="373">
        <v>2000</v>
      </c>
      <c r="EI219" s="373">
        <v>113500</v>
      </c>
      <c r="EJ219" s="373">
        <v>0</v>
      </c>
      <c r="EK219" s="375">
        <f t="shared" si="293"/>
        <v>143530</v>
      </c>
      <c r="EL219" s="177"/>
      <c r="EM219" s="373">
        <v>2551.61</v>
      </c>
      <c r="EN219" s="373">
        <v>0</v>
      </c>
      <c r="EO219" s="373">
        <v>14300</v>
      </c>
      <c r="EP219" s="373">
        <v>0</v>
      </c>
      <c r="EQ219" s="373">
        <v>2600</v>
      </c>
      <c r="ER219" s="373">
        <v>2300</v>
      </c>
      <c r="ES219" s="374">
        <v>0</v>
      </c>
      <c r="ET219" s="373">
        <v>5475</v>
      </c>
      <c r="EU219" s="373">
        <v>3800</v>
      </c>
      <c r="EV219" s="373">
        <v>1300</v>
      </c>
      <c r="EW219" s="373">
        <v>2600</v>
      </c>
      <c r="EX219" s="373">
        <v>101500</v>
      </c>
      <c r="EY219" s="375">
        <f t="shared" si="294"/>
        <v>136426.60999999999</v>
      </c>
      <c r="EZ219" s="164">
        <v>0</v>
      </c>
      <c r="FA219" s="185">
        <v>0</v>
      </c>
    </row>
    <row r="220" spans="1:157" ht="18.75" customHeight="1" collapsed="1">
      <c r="A220" s="185" t="s">
        <v>327</v>
      </c>
      <c r="B220" s="774"/>
      <c r="C220" s="176" t="s">
        <v>947</v>
      </c>
      <c r="D220" s="176">
        <v>65216000</v>
      </c>
      <c r="E220" s="773"/>
      <c r="F220" s="320" t="s">
        <v>704</v>
      </c>
      <c r="G220" s="329"/>
      <c r="H220" s="373"/>
      <c r="I220" s="373"/>
      <c r="J220" s="373"/>
      <c r="K220" s="373"/>
      <c r="L220" s="373"/>
      <c r="M220" s="373"/>
      <c r="N220" s="374"/>
      <c r="O220" s="373"/>
      <c r="P220" s="373"/>
      <c r="Q220" s="373"/>
      <c r="R220" s="373"/>
      <c r="S220" s="377">
        <v>227331.34943130543</v>
      </c>
      <c r="T220" s="375">
        <f t="shared" si="287"/>
        <v>227331.34943130543</v>
      </c>
      <c r="U220" s="776">
        <f t="shared" si="289"/>
        <v>-3697.3494313054252</v>
      </c>
      <c r="V220" s="775">
        <f t="shared" si="290"/>
        <v>-1.6533038050141863E-2</v>
      </c>
      <c r="W220" s="329"/>
      <c r="X220" s="373">
        <v>800</v>
      </c>
      <c r="Y220" s="373">
        <v>27674</v>
      </c>
      <c r="Z220" s="373">
        <v>2400</v>
      </c>
      <c r="AA220" s="373">
        <v>9750</v>
      </c>
      <c r="AB220" s="373">
        <v>0</v>
      </c>
      <c r="AC220" s="373">
        <v>0</v>
      </c>
      <c r="AD220" s="374">
        <v>68400</v>
      </c>
      <c r="AE220" s="373">
        <v>4700</v>
      </c>
      <c r="AF220" s="373">
        <v>104400</v>
      </c>
      <c r="AG220" s="373">
        <v>5510</v>
      </c>
      <c r="AH220" s="373">
        <v>0</v>
      </c>
      <c r="AI220" s="373">
        <v>0</v>
      </c>
      <c r="AJ220" s="375">
        <f t="shared" si="288"/>
        <v>223634</v>
      </c>
      <c r="AK220" s="329"/>
      <c r="AL220" s="373">
        <v>0</v>
      </c>
      <c r="AM220" s="373">
        <v>0</v>
      </c>
      <c r="AN220" s="373">
        <v>0</v>
      </c>
      <c r="AO220" s="373">
        <v>0</v>
      </c>
      <c r="AP220" s="373">
        <v>0</v>
      </c>
      <c r="AQ220" s="373">
        <v>0</v>
      </c>
      <c r="AR220" s="374">
        <v>0</v>
      </c>
      <c r="AS220" s="373">
        <v>0</v>
      </c>
      <c r="AT220" s="373">
        <v>0</v>
      </c>
      <c r="AU220" s="373">
        <v>0</v>
      </c>
      <c r="AV220" s="373">
        <v>0</v>
      </c>
      <c r="AW220" s="373">
        <v>0</v>
      </c>
      <c r="AX220" s="375">
        <v>0</v>
      </c>
      <c r="AY220" s="776">
        <f t="shared" si="291"/>
        <v>794786</v>
      </c>
      <c r="AZ220" s="775">
        <f t="shared" si="292"/>
        <v>1</v>
      </c>
      <c r="BA220" s="329"/>
      <c r="BB220" s="373">
        <v>23750</v>
      </c>
      <c r="BC220" s="373">
        <v>0</v>
      </c>
      <c r="BD220" s="373">
        <v>0</v>
      </c>
      <c r="BE220" s="373">
        <v>44176</v>
      </c>
      <c r="BF220" s="373">
        <v>0</v>
      </c>
      <c r="BG220" s="373">
        <v>418920</v>
      </c>
      <c r="BH220" s="374">
        <v>1200</v>
      </c>
      <c r="BI220" s="373">
        <v>-25000</v>
      </c>
      <c r="BJ220" s="373">
        <v>223140</v>
      </c>
      <c r="BK220" s="373">
        <v>46600</v>
      </c>
      <c r="BL220" s="373">
        <v>0</v>
      </c>
      <c r="BM220" s="373">
        <v>62000</v>
      </c>
      <c r="BN220" s="402">
        <v>794786</v>
      </c>
      <c r="BO220" s="329"/>
      <c r="BP220" s="374">
        <v>73333.333333333328</v>
      </c>
      <c r="BQ220" s="374">
        <v>73333.333333333328</v>
      </c>
      <c r="BR220" s="374">
        <v>73333.333333333328</v>
      </c>
      <c r="BS220" s="374">
        <v>73333.333333333328</v>
      </c>
      <c r="BT220" s="374">
        <v>73333.333333333328</v>
      </c>
      <c r="BU220" s="374">
        <v>73333.333333333328</v>
      </c>
      <c r="BV220" s="374">
        <v>73333.333333333328</v>
      </c>
      <c r="BW220" s="374">
        <v>73333.333333333328</v>
      </c>
      <c r="BX220" s="374">
        <v>73333.333333333328</v>
      </c>
      <c r="BY220" s="374">
        <v>73333.333333333328</v>
      </c>
      <c r="BZ220" s="374">
        <v>73333.333333333328</v>
      </c>
      <c r="CA220" s="374">
        <v>73333.333333333256</v>
      </c>
      <c r="CB220" s="402">
        <f t="shared" si="282"/>
        <v>880000</v>
      </c>
      <c r="CC220" s="776">
        <f t="shared" si="274"/>
        <v>85214</v>
      </c>
      <c r="CD220" s="775">
        <f t="shared" si="275"/>
        <v>9.6834090909090911E-2</v>
      </c>
      <c r="CE220" s="772"/>
      <c r="CF220" s="374">
        <v>109484.8</v>
      </c>
      <c r="CG220" s="374">
        <v>41200</v>
      </c>
      <c r="CH220" s="374">
        <v>0</v>
      </c>
      <c r="CI220" s="374">
        <v>2880</v>
      </c>
      <c r="CJ220" s="374">
        <v>668.48</v>
      </c>
      <c r="CK220" s="374">
        <v>352000</v>
      </c>
      <c r="CL220" s="374">
        <v>15400</v>
      </c>
      <c r="CM220" s="374">
        <v>-453000</v>
      </c>
      <c r="CN220" s="374">
        <v>210636</v>
      </c>
      <c r="CO220" s="374">
        <v>261500</v>
      </c>
      <c r="CP220" s="374">
        <v>8330</v>
      </c>
      <c r="CQ220" s="374">
        <v>82093</v>
      </c>
      <c r="CR220" s="374">
        <v>0</v>
      </c>
      <c r="CS220" s="402">
        <f t="shared" si="276"/>
        <v>631192.28</v>
      </c>
      <c r="CT220" s="776">
        <f t="shared" si="277"/>
        <v>-163593.71999999997</v>
      </c>
      <c r="CU220" s="165">
        <f t="shared" si="278"/>
        <v>-0.25918206730918819</v>
      </c>
      <c r="CV220" s="329"/>
      <c r="CW220" s="373">
        <v>-52639.51</v>
      </c>
      <c r="CX220" s="373">
        <v>26200</v>
      </c>
      <c r="CY220" s="373">
        <v>-24500</v>
      </c>
      <c r="CZ220" s="373">
        <v>-7240</v>
      </c>
      <c r="DA220" s="373">
        <v>27800</v>
      </c>
      <c r="DB220" s="373">
        <v>17097.36</v>
      </c>
      <c r="DC220" s="374">
        <v>13000</v>
      </c>
      <c r="DD220" s="373">
        <v>53178.559999999998</v>
      </c>
      <c r="DE220" s="373">
        <v>187000</v>
      </c>
      <c r="DF220" s="373">
        <v>395520</v>
      </c>
      <c r="DG220" s="373">
        <v>29800</v>
      </c>
      <c r="DH220" s="373">
        <v>241899</v>
      </c>
      <c r="DI220" s="375">
        <f t="shared" si="279"/>
        <v>907115.41</v>
      </c>
      <c r="DJ220" s="329"/>
      <c r="DK220" s="373">
        <v>0</v>
      </c>
      <c r="DL220" s="373">
        <v>25400</v>
      </c>
      <c r="DM220" s="373">
        <v>46200</v>
      </c>
      <c r="DN220" s="373">
        <v>0</v>
      </c>
      <c r="DO220" s="373">
        <v>0</v>
      </c>
      <c r="DP220" s="373">
        <v>13000</v>
      </c>
      <c r="DQ220" s="374">
        <v>27636</v>
      </c>
      <c r="DR220" s="373">
        <v>6256</v>
      </c>
      <c r="DS220" s="373">
        <v>121000</v>
      </c>
      <c r="DT220" s="373">
        <v>3000</v>
      </c>
      <c r="DU220" s="373">
        <v>25000</v>
      </c>
      <c r="DV220" s="373">
        <v>35316</v>
      </c>
      <c r="DW220" s="375">
        <f t="shared" si="280"/>
        <v>302808</v>
      </c>
      <c r="DY220" s="373">
        <v>3300</v>
      </c>
      <c r="DZ220" s="373">
        <v>0</v>
      </c>
      <c r="EA220" s="373">
        <v>89640</v>
      </c>
      <c r="EB220" s="373">
        <v>64056</v>
      </c>
      <c r="EC220" s="373">
        <v>5376</v>
      </c>
      <c r="ED220" s="373">
        <v>20400</v>
      </c>
      <c r="EE220" s="374">
        <v>27320.6</v>
      </c>
      <c r="EF220" s="373">
        <v>10920</v>
      </c>
      <c r="EG220" s="373">
        <v>49582</v>
      </c>
      <c r="EH220" s="373">
        <v>15068</v>
      </c>
      <c r="EI220" s="373">
        <v>130877.12</v>
      </c>
      <c r="EJ220" s="373">
        <v>4800</v>
      </c>
      <c r="EK220" s="375">
        <f t="shared" si="293"/>
        <v>421339.72</v>
      </c>
      <c r="EL220" s="177"/>
      <c r="EM220" s="373">
        <v>0</v>
      </c>
      <c r="EN220" s="373">
        <v>0</v>
      </c>
      <c r="EO220" s="373">
        <v>100800</v>
      </c>
      <c r="EP220" s="373">
        <v>2800</v>
      </c>
      <c r="EQ220" s="373">
        <v>400</v>
      </c>
      <c r="ER220" s="373">
        <v>0</v>
      </c>
      <c r="ES220" s="374">
        <v>800</v>
      </c>
      <c r="ET220" s="373">
        <v>0</v>
      </c>
      <c r="EU220" s="373">
        <v>4000</v>
      </c>
      <c r="EV220" s="373">
        <v>2790</v>
      </c>
      <c r="EW220" s="373">
        <v>155016</v>
      </c>
      <c r="EX220" s="373">
        <v>118710</v>
      </c>
      <c r="EY220" s="375">
        <f t="shared" si="294"/>
        <v>385316</v>
      </c>
      <c r="EZ220" s="164">
        <v>0</v>
      </c>
      <c r="FA220" s="185">
        <v>0</v>
      </c>
    </row>
    <row r="221" spans="1:157" ht="18.75" customHeight="1">
      <c r="A221" s="185" t="s">
        <v>327</v>
      </c>
      <c r="B221" s="774"/>
      <c r="C221" s="176" t="s">
        <v>946</v>
      </c>
      <c r="D221" s="176">
        <v>65217000</v>
      </c>
      <c r="E221" s="773"/>
      <c r="F221" s="320" t="s">
        <v>705</v>
      </c>
      <c r="G221" s="329"/>
      <c r="H221" s="373"/>
      <c r="I221" s="373"/>
      <c r="J221" s="373"/>
      <c r="K221" s="373"/>
      <c r="L221" s="373"/>
      <c r="M221" s="373"/>
      <c r="N221" s="374"/>
      <c r="O221" s="373"/>
      <c r="P221" s="373"/>
      <c r="Q221" s="373"/>
      <c r="R221" s="373"/>
      <c r="S221" s="377">
        <v>117340.29272672477</v>
      </c>
      <c r="T221" s="375">
        <f t="shared" si="287"/>
        <v>117340.29272672477</v>
      </c>
      <c r="U221" s="776">
        <f t="shared" si="289"/>
        <v>-15280.292726724772</v>
      </c>
      <c r="V221" s="775">
        <f t="shared" si="290"/>
        <v>-0.14971872160224156</v>
      </c>
      <c r="W221" s="329"/>
      <c r="X221" s="373">
        <v>0</v>
      </c>
      <c r="Y221" s="373">
        <v>2560</v>
      </c>
      <c r="Z221" s="373">
        <v>2920</v>
      </c>
      <c r="AA221" s="373">
        <v>3060</v>
      </c>
      <c r="AB221" s="373">
        <v>5800</v>
      </c>
      <c r="AC221" s="373">
        <v>28000</v>
      </c>
      <c r="AD221" s="374">
        <v>2740</v>
      </c>
      <c r="AE221" s="373">
        <v>3240</v>
      </c>
      <c r="AF221" s="373">
        <v>32420</v>
      </c>
      <c r="AG221" s="373">
        <v>2100</v>
      </c>
      <c r="AH221" s="373">
        <v>9380</v>
      </c>
      <c r="AI221" s="373">
        <v>9840</v>
      </c>
      <c r="AJ221" s="375">
        <f t="shared" si="288"/>
        <v>102060</v>
      </c>
      <c r="AK221" s="329"/>
      <c r="AL221" s="373">
        <v>0</v>
      </c>
      <c r="AM221" s="373">
        <v>0</v>
      </c>
      <c r="AN221" s="373">
        <v>0</v>
      </c>
      <c r="AO221" s="373">
        <v>0</v>
      </c>
      <c r="AP221" s="373">
        <v>0</v>
      </c>
      <c r="AQ221" s="373">
        <v>0</v>
      </c>
      <c r="AR221" s="374">
        <v>0</v>
      </c>
      <c r="AS221" s="373">
        <v>0</v>
      </c>
      <c r="AT221" s="373">
        <v>0</v>
      </c>
      <c r="AU221" s="373">
        <v>0</v>
      </c>
      <c r="AV221" s="373">
        <v>0</v>
      </c>
      <c r="AW221" s="373">
        <v>0</v>
      </c>
      <c r="AX221" s="375">
        <v>0</v>
      </c>
      <c r="AY221" s="776">
        <f t="shared" si="291"/>
        <v>143405</v>
      </c>
      <c r="AZ221" s="775">
        <f t="shared" si="292"/>
        <v>1</v>
      </c>
      <c r="BA221" s="329"/>
      <c r="BB221" s="373">
        <v>2100</v>
      </c>
      <c r="BC221" s="373">
        <v>0</v>
      </c>
      <c r="BD221" s="373">
        <v>0</v>
      </c>
      <c r="BE221" s="373">
        <v>5800</v>
      </c>
      <c r="BF221" s="373">
        <v>5800</v>
      </c>
      <c r="BG221" s="373">
        <v>-4200</v>
      </c>
      <c r="BH221" s="374">
        <v>71600</v>
      </c>
      <c r="BI221" s="373">
        <v>0</v>
      </c>
      <c r="BJ221" s="373">
        <v>53265</v>
      </c>
      <c r="BK221" s="373">
        <v>30580</v>
      </c>
      <c r="BL221" s="373">
        <v>-26700</v>
      </c>
      <c r="BM221" s="373">
        <v>5160</v>
      </c>
      <c r="BN221" s="402">
        <v>143405</v>
      </c>
      <c r="BO221" s="329"/>
      <c r="BP221" s="374">
        <v>12916.666666666666</v>
      </c>
      <c r="BQ221" s="374">
        <v>12916.666666666666</v>
      </c>
      <c r="BR221" s="374">
        <v>12916.666666666666</v>
      </c>
      <c r="BS221" s="374">
        <v>12916.666666666666</v>
      </c>
      <c r="BT221" s="374">
        <v>12916.666666666666</v>
      </c>
      <c r="BU221" s="374">
        <v>12916.666666666666</v>
      </c>
      <c r="BV221" s="374">
        <v>12916.666666666666</v>
      </c>
      <c r="BW221" s="374">
        <v>12916.666666666666</v>
      </c>
      <c r="BX221" s="374">
        <v>12916.666666666666</v>
      </c>
      <c r="BY221" s="374">
        <v>12916.666666666666</v>
      </c>
      <c r="BZ221" s="374">
        <v>12916.666666666666</v>
      </c>
      <c r="CA221" s="374">
        <v>12916.666666666657</v>
      </c>
      <c r="CB221" s="402">
        <f t="shared" si="282"/>
        <v>155000</v>
      </c>
      <c r="CC221" s="776">
        <f t="shared" si="274"/>
        <v>11595</v>
      </c>
      <c r="CD221" s="775">
        <f t="shared" si="275"/>
        <v>7.4806451612903224E-2</v>
      </c>
      <c r="CE221" s="772"/>
      <c r="CF221" s="374">
        <v>0</v>
      </c>
      <c r="CG221" s="374">
        <v>5980</v>
      </c>
      <c r="CH221" s="374">
        <v>0</v>
      </c>
      <c r="CI221" s="374">
        <v>1780</v>
      </c>
      <c r="CJ221" s="374">
        <v>25060</v>
      </c>
      <c r="CK221" s="374">
        <v>3560</v>
      </c>
      <c r="CL221" s="374">
        <v>24420</v>
      </c>
      <c r="CM221" s="374">
        <v>-217540</v>
      </c>
      <c r="CN221" s="374">
        <v>2420</v>
      </c>
      <c r="CO221" s="374">
        <v>39000</v>
      </c>
      <c r="CP221" s="374">
        <v>3380</v>
      </c>
      <c r="CQ221" s="374">
        <v>42295</v>
      </c>
      <c r="CR221" s="374">
        <v>0</v>
      </c>
      <c r="CS221" s="402">
        <f t="shared" si="276"/>
        <v>-69645</v>
      </c>
      <c r="CT221" s="776">
        <f t="shared" si="277"/>
        <v>-213050</v>
      </c>
      <c r="CU221" s="165">
        <f t="shared" si="278"/>
        <v>3.0590853614760571</v>
      </c>
      <c r="CV221" s="329"/>
      <c r="CW221" s="373">
        <v>112939.4</v>
      </c>
      <c r="CX221" s="373">
        <v>0</v>
      </c>
      <c r="CY221" s="373">
        <v>5208.5</v>
      </c>
      <c r="CZ221" s="373">
        <v>9628.5</v>
      </c>
      <c r="DA221" s="373">
        <v>22370.7</v>
      </c>
      <c r="DB221" s="373">
        <v>3060</v>
      </c>
      <c r="DC221" s="374">
        <v>3560</v>
      </c>
      <c r="DD221" s="373">
        <v>106820</v>
      </c>
      <c r="DE221" s="373">
        <v>126960</v>
      </c>
      <c r="DF221" s="373">
        <v>1960</v>
      </c>
      <c r="DG221" s="373">
        <v>45812.1</v>
      </c>
      <c r="DH221" s="373">
        <v>114660</v>
      </c>
      <c r="DI221" s="375">
        <f t="shared" si="279"/>
        <v>552979.19999999995</v>
      </c>
      <c r="DJ221" s="329"/>
      <c r="DK221" s="373">
        <v>4840</v>
      </c>
      <c r="DL221" s="373">
        <v>2420</v>
      </c>
      <c r="DM221" s="373">
        <v>0</v>
      </c>
      <c r="DN221" s="373">
        <v>0</v>
      </c>
      <c r="DO221" s="373">
        <v>6480</v>
      </c>
      <c r="DP221" s="373">
        <v>2560</v>
      </c>
      <c r="DQ221" s="374">
        <v>2880</v>
      </c>
      <c r="DR221" s="373">
        <v>3380</v>
      </c>
      <c r="DS221" s="373">
        <v>45000</v>
      </c>
      <c r="DT221" s="373">
        <v>0</v>
      </c>
      <c r="DU221" s="373">
        <v>3200</v>
      </c>
      <c r="DV221" s="373">
        <v>48700</v>
      </c>
      <c r="DW221" s="375">
        <f t="shared" si="280"/>
        <v>119460</v>
      </c>
      <c r="DY221" s="373">
        <v>2240</v>
      </c>
      <c r="DZ221" s="373">
        <v>3740</v>
      </c>
      <c r="EA221" s="373">
        <v>500</v>
      </c>
      <c r="EB221" s="373">
        <v>2240</v>
      </c>
      <c r="EC221" s="373">
        <v>2240</v>
      </c>
      <c r="ED221" s="373">
        <v>2740</v>
      </c>
      <c r="EE221" s="374">
        <v>2100</v>
      </c>
      <c r="EF221" s="373">
        <v>5680</v>
      </c>
      <c r="EG221" s="373">
        <v>431220</v>
      </c>
      <c r="EH221" s="373">
        <v>85960</v>
      </c>
      <c r="EI221" s="373">
        <v>-422580</v>
      </c>
      <c r="EJ221" s="373">
        <v>1920</v>
      </c>
      <c r="EK221" s="375">
        <f t="shared" si="293"/>
        <v>118000</v>
      </c>
      <c r="EL221" s="177"/>
      <c r="EM221" s="373">
        <v>2420</v>
      </c>
      <c r="EN221" s="373">
        <v>1780</v>
      </c>
      <c r="EO221" s="373">
        <v>0</v>
      </c>
      <c r="EP221" s="373">
        <v>5480</v>
      </c>
      <c r="EQ221" s="373">
        <v>3520</v>
      </c>
      <c r="ER221" s="373">
        <v>0</v>
      </c>
      <c r="ES221" s="374">
        <v>4520</v>
      </c>
      <c r="ET221" s="373">
        <v>4520</v>
      </c>
      <c r="EU221" s="373">
        <v>173040</v>
      </c>
      <c r="EV221" s="373">
        <v>0</v>
      </c>
      <c r="EW221" s="373">
        <v>7400</v>
      </c>
      <c r="EX221" s="373">
        <v>2240</v>
      </c>
      <c r="EY221" s="375">
        <f t="shared" si="294"/>
        <v>204920</v>
      </c>
      <c r="EZ221" s="164">
        <v>0</v>
      </c>
      <c r="FA221" s="185">
        <v>0</v>
      </c>
    </row>
    <row r="222" spans="1:157" ht="18.75" customHeight="1">
      <c r="A222" s="185" t="s">
        <v>327</v>
      </c>
      <c r="B222" s="774"/>
      <c r="C222" s="494" t="s">
        <v>945</v>
      </c>
      <c r="D222" s="176">
        <v>65301000</v>
      </c>
      <c r="E222" s="773"/>
      <c r="F222" s="320" t="s">
        <v>944</v>
      </c>
      <c r="G222" s="329"/>
      <c r="H222" s="373"/>
      <c r="I222" s="373"/>
      <c r="J222" s="373"/>
      <c r="K222" s="373"/>
      <c r="L222" s="373"/>
      <c r="M222" s="373"/>
      <c r="N222" s="374"/>
      <c r="O222" s="373"/>
      <c r="P222" s="373"/>
      <c r="Q222" s="373"/>
      <c r="R222" s="373"/>
      <c r="S222" s="377">
        <v>30000</v>
      </c>
      <c r="T222" s="375">
        <f t="shared" si="287"/>
        <v>30000</v>
      </c>
      <c r="U222" s="776">
        <f t="shared" si="289"/>
        <v>-30000</v>
      </c>
      <c r="V222" s="775" t="e">
        <f t="shared" si="290"/>
        <v>#DIV/0!</v>
      </c>
      <c r="W222" s="329"/>
      <c r="X222" s="373">
        <v>0</v>
      </c>
      <c r="Y222" s="373">
        <v>0</v>
      </c>
      <c r="Z222" s="373">
        <v>0</v>
      </c>
      <c r="AA222" s="373">
        <v>0</v>
      </c>
      <c r="AB222" s="373">
        <v>0</v>
      </c>
      <c r="AC222" s="373">
        <v>0</v>
      </c>
      <c r="AD222" s="374">
        <v>0</v>
      </c>
      <c r="AE222" s="373">
        <v>0</v>
      </c>
      <c r="AF222" s="373">
        <v>0</v>
      </c>
      <c r="AG222" s="373">
        <v>0</v>
      </c>
      <c r="AH222" s="373">
        <v>0</v>
      </c>
      <c r="AI222" s="373">
        <v>0</v>
      </c>
      <c r="AJ222" s="375">
        <f t="shared" si="288"/>
        <v>0</v>
      </c>
      <c r="AK222" s="329"/>
      <c r="AL222" s="373">
        <v>0</v>
      </c>
      <c r="AM222" s="373">
        <v>0</v>
      </c>
      <c r="AN222" s="373">
        <v>0</v>
      </c>
      <c r="AO222" s="373">
        <v>0</v>
      </c>
      <c r="AP222" s="373">
        <v>0</v>
      </c>
      <c r="AQ222" s="373">
        <v>0</v>
      </c>
      <c r="AR222" s="374">
        <v>0</v>
      </c>
      <c r="AS222" s="373">
        <v>0</v>
      </c>
      <c r="AT222" s="373">
        <v>0</v>
      </c>
      <c r="AU222" s="373">
        <v>0</v>
      </c>
      <c r="AV222" s="373">
        <v>0</v>
      </c>
      <c r="AW222" s="373">
        <v>0</v>
      </c>
      <c r="AX222" s="375">
        <v>0</v>
      </c>
      <c r="AY222" s="776">
        <f t="shared" si="291"/>
        <v>0</v>
      </c>
      <c r="AZ222" s="775" t="e">
        <f t="shared" si="292"/>
        <v>#DIV/0!</v>
      </c>
      <c r="BA222" s="329"/>
      <c r="BB222" s="373">
        <v>0</v>
      </c>
      <c r="BC222" s="373">
        <v>0</v>
      </c>
      <c r="BD222" s="373">
        <v>0</v>
      </c>
      <c r="BE222" s="373">
        <v>0</v>
      </c>
      <c r="BF222" s="373">
        <v>0</v>
      </c>
      <c r="BG222" s="373">
        <v>0</v>
      </c>
      <c r="BH222" s="374">
        <v>0</v>
      </c>
      <c r="BI222" s="373">
        <v>0</v>
      </c>
      <c r="BJ222" s="373">
        <v>0</v>
      </c>
      <c r="BK222" s="373">
        <v>0</v>
      </c>
      <c r="BL222" s="373">
        <v>0</v>
      </c>
      <c r="BM222" s="373">
        <v>0</v>
      </c>
      <c r="BN222" s="402">
        <v>0</v>
      </c>
      <c r="BO222" s="329"/>
      <c r="BP222" s="374"/>
      <c r="BQ222" s="374"/>
      <c r="BR222" s="374"/>
      <c r="BS222" s="374"/>
      <c r="BT222" s="374"/>
      <c r="BU222" s="374"/>
      <c r="BV222" s="374"/>
      <c r="BW222" s="374"/>
      <c r="BX222" s="374"/>
      <c r="BY222" s="374"/>
      <c r="BZ222" s="374"/>
      <c r="CA222" s="374"/>
      <c r="CB222" s="402">
        <f>SUM(BP222:CA222)</f>
        <v>0</v>
      </c>
      <c r="CC222" s="776">
        <f t="shared" si="274"/>
        <v>0</v>
      </c>
      <c r="CD222" s="775" t="str">
        <f t="shared" si="275"/>
        <v>N/A</v>
      </c>
      <c r="CE222" s="772"/>
      <c r="CF222" s="374"/>
      <c r="CG222" s="374"/>
      <c r="CH222" s="374"/>
      <c r="CI222" s="374"/>
      <c r="CJ222" s="374"/>
      <c r="CK222" s="374"/>
      <c r="CL222" s="374"/>
      <c r="CM222" s="374"/>
      <c r="CN222" s="374"/>
      <c r="CO222" s="374"/>
      <c r="CP222" s="374"/>
      <c r="CQ222" s="374"/>
      <c r="CR222" s="374"/>
      <c r="CS222" s="402">
        <f>SUM(CF222:CR222)</f>
        <v>0</v>
      </c>
      <c r="CT222" s="776">
        <f t="shared" si="277"/>
        <v>0</v>
      </c>
      <c r="CU222" s="165" t="str">
        <f t="shared" si="278"/>
        <v>N/A</v>
      </c>
      <c r="CV222" s="329"/>
      <c r="CW222" s="373"/>
      <c r="CX222" s="373"/>
      <c r="CY222" s="373"/>
      <c r="CZ222" s="373"/>
      <c r="DA222" s="373"/>
      <c r="DB222" s="373"/>
      <c r="DC222" s="374"/>
      <c r="DD222" s="373"/>
      <c r="DE222" s="373"/>
      <c r="DF222" s="373"/>
      <c r="DG222" s="373"/>
      <c r="DH222" s="373"/>
      <c r="DI222" s="375">
        <f t="shared" si="279"/>
        <v>0</v>
      </c>
      <c r="DJ222" s="329"/>
      <c r="DK222" s="373"/>
      <c r="DL222" s="373"/>
      <c r="DM222" s="373"/>
      <c r="DN222" s="373"/>
      <c r="DO222" s="373"/>
      <c r="DP222" s="373"/>
      <c r="DQ222" s="374"/>
      <c r="DR222" s="373"/>
      <c r="DS222" s="373"/>
      <c r="DT222" s="373"/>
      <c r="DU222" s="373"/>
      <c r="DV222" s="373"/>
      <c r="DW222" s="375">
        <f t="shared" si="280"/>
        <v>0</v>
      </c>
      <c r="DY222" s="373"/>
      <c r="DZ222" s="373"/>
      <c r="EA222" s="373"/>
      <c r="EB222" s="373"/>
      <c r="EC222" s="373"/>
      <c r="ED222" s="373"/>
      <c r="EE222" s="374"/>
      <c r="EF222" s="373"/>
      <c r="EG222" s="373"/>
      <c r="EH222" s="373"/>
      <c r="EI222" s="373"/>
      <c r="EJ222" s="373"/>
      <c r="EK222" s="375">
        <f t="shared" si="293"/>
        <v>0</v>
      </c>
      <c r="EL222" s="177"/>
      <c r="EM222" s="373"/>
      <c r="EN222" s="373"/>
      <c r="EO222" s="373"/>
      <c r="EP222" s="373"/>
      <c r="EQ222" s="373"/>
      <c r="ER222" s="373"/>
      <c r="ES222" s="374"/>
      <c r="ET222" s="373"/>
      <c r="EU222" s="373"/>
      <c r="EV222" s="373"/>
      <c r="EW222" s="373"/>
      <c r="EX222" s="373"/>
      <c r="EY222" s="375"/>
      <c r="EZ222" s="164">
        <v>0</v>
      </c>
      <c r="FA222" s="185">
        <v>0</v>
      </c>
    </row>
    <row r="223" spans="1:157" ht="18.75" customHeight="1">
      <c r="A223" s="185" t="s">
        <v>327</v>
      </c>
      <c r="B223" s="774"/>
      <c r="C223" s="494" t="s">
        <v>943</v>
      </c>
      <c r="D223" s="176">
        <v>65302000</v>
      </c>
      <c r="E223" s="773"/>
      <c r="F223" s="320" t="s">
        <v>942</v>
      </c>
      <c r="G223" s="329"/>
      <c r="H223" s="373"/>
      <c r="I223" s="373"/>
      <c r="J223" s="373"/>
      <c r="K223" s="373"/>
      <c r="L223" s="373"/>
      <c r="M223" s="373"/>
      <c r="N223" s="374"/>
      <c r="O223" s="373"/>
      <c r="P223" s="373"/>
      <c r="Q223" s="373"/>
      <c r="R223" s="373"/>
      <c r="S223" s="377">
        <v>10000</v>
      </c>
      <c r="T223" s="375">
        <f t="shared" si="287"/>
        <v>10000</v>
      </c>
      <c r="U223" s="776">
        <f t="shared" si="289"/>
        <v>45000</v>
      </c>
      <c r="V223" s="775">
        <f t="shared" si="290"/>
        <v>0.81818181818181823</v>
      </c>
      <c r="W223" s="329"/>
      <c r="X223" s="373">
        <v>0</v>
      </c>
      <c r="Y223" s="373">
        <v>0</v>
      </c>
      <c r="Z223" s="373">
        <v>0</v>
      </c>
      <c r="AA223" s="373">
        <v>60000</v>
      </c>
      <c r="AB223" s="373">
        <v>0</v>
      </c>
      <c r="AC223" s="373">
        <v>0</v>
      </c>
      <c r="AD223" s="374">
        <v>-5000</v>
      </c>
      <c r="AE223" s="373">
        <v>0</v>
      </c>
      <c r="AF223" s="373">
        <v>0</v>
      </c>
      <c r="AG223" s="373">
        <v>0</v>
      </c>
      <c r="AH223" s="373">
        <v>0</v>
      </c>
      <c r="AI223" s="373">
        <v>0</v>
      </c>
      <c r="AJ223" s="375">
        <f t="shared" si="288"/>
        <v>55000</v>
      </c>
      <c r="AK223" s="329"/>
      <c r="AL223" s="373">
        <v>0</v>
      </c>
      <c r="AM223" s="373">
        <v>0</v>
      </c>
      <c r="AN223" s="373">
        <v>0</v>
      </c>
      <c r="AO223" s="373">
        <v>0</v>
      </c>
      <c r="AP223" s="373">
        <v>0</v>
      </c>
      <c r="AQ223" s="373">
        <v>0</v>
      </c>
      <c r="AR223" s="374">
        <v>0</v>
      </c>
      <c r="AS223" s="373">
        <v>0</v>
      </c>
      <c r="AT223" s="373">
        <v>0</v>
      </c>
      <c r="AU223" s="373">
        <v>0</v>
      </c>
      <c r="AV223" s="373">
        <v>0</v>
      </c>
      <c r="AW223" s="373">
        <v>0</v>
      </c>
      <c r="AX223" s="375">
        <v>0</v>
      </c>
      <c r="AY223" s="776">
        <f t="shared" si="291"/>
        <v>67000</v>
      </c>
      <c r="AZ223" s="775">
        <f t="shared" si="292"/>
        <v>1</v>
      </c>
      <c r="BA223" s="329"/>
      <c r="BB223" s="373">
        <v>0</v>
      </c>
      <c r="BC223" s="373">
        <v>0</v>
      </c>
      <c r="BD223" s="373">
        <v>0</v>
      </c>
      <c r="BE223" s="373">
        <v>1000</v>
      </c>
      <c r="BF223" s="373">
        <v>66000</v>
      </c>
      <c r="BG223" s="373">
        <v>0</v>
      </c>
      <c r="BH223" s="374">
        <v>0</v>
      </c>
      <c r="BI223" s="373">
        <v>0</v>
      </c>
      <c r="BJ223" s="373">
        <v>0</v>
      </c>
      <c r="BK223" s="373">
        <v>0</v>
      </c>
      <c r="BL223" s="373">
        <v>0</v>
      </c>
      <c r="BM223" s="373">
        <v>0</v>
      </c>
      <c r="BN223" s="402">
        <v>67000</v>
      </c>
      <c r="BO223" s="329"/>
      <c r="BP223" s="374"/>
      <c r="BQ223" s="374"/>
      <c r="BR223" s="374"/>
      <c r="BS223" s="374"/>
      <c r="BT223" s="374"/>
      <c r="BU223" s="374"/>
      <c r="BV223" s="374"/>
      <c r="BW223" s="374"/>
      <c r="BX223" s="374"/>
      <c r="BY223" s="374"/>
      <c r="BZ223" s="374"/>
      <c r="CA223" s="374"/>
      <c r="CB223" s="402">
        <f>SUM(BP223:CA223)</f>
        <v>0</v>
      </c>
      <c r="CC223" s="776">
        <f t="shared" si="274"/>
        <v>-67000</v>
      </c>
      <c r="CD223" s="775" t="str">
        <f t="shared" si="275"/>
        <v>N/A</v>
      </c>
      <c r="CE223" s="772"/>
      <c r="CF223" s="374"/>
      <c r="CG223" s="374"/>
      <c r="CH223" s="374"/>
      <c r="CI223" s="374"/>
      <c r="CJ223" s="374"/>
      <c r="CK223" s="374"/>
      <c r="CL223" s="374"/>
      <c r="CM223" s="374"/>
      <c r="CN223" s="374"/>
      <c r="CO223" s="374"/>
      <c r="CP223" s="374"/>
      <c r="CQ223" s="374"/>
      <c r="CR223" s="374"/>
      <c r="CS223" s="402">
        <f>SUM(CF223:CR223)</f>
        <v>0</v>
      </c>
      <c r="CT223" s="776">
        <f t="shared" si="277"/>
        <v>-67000</v>
      </c>
      <c r="CU223" s="165" t="str">
        <f t="shared" si="278"/>
        <v>N/A</v>
      </c>
      <c r="CV223" s="329"/>
      <c r="CW223" s="373"/>
      <c r="CX223" s="373"/>
      <c r="CY223" s="373"/>
      <c r="CZ223" s="373"/>
      <c r="DA223" s="373"/>
      <c r="DB223" s="373"/>
      <c r="DC223" s="374"/>
      <c r="DD223" s="373"/>
      <c r="DE223" s="373"/>
      <c r="DF223" s="373"/>
      <c r="DG223" s="373"/>
      <c r="DH223" s="373"/>
      <c r="DI223" s="375">
        <f t="shared" si="279"/>
        <v>0</v>
      </c>
      <c r="DJ223" s="329"/>
      <c r="DK223" s="373"/>
      <c r="DL223" s="373"/>
      <c r="DM223" s="373"/>
      <c r="DN223" s="373"/>
      <c r="DO223" s="373"/>
      <c r="DP223" s="373"/>
      <c r="DQ223" s="374"/>
      <c r="DR223" s="373"/>
      <c r="DS223" s="373"/>
      <c r="DT223" s="373"/>
      <c r="DU223" s="373"/>
      <c r="DV223" s="373"/>
      <c r="DW223" s="375">
        <f t="shared" si="280"/>
        <v>0</v>
      </c>
      <c r="DY223" s="373"/>
      <c r="DZ223" s="373"/>
      <c r="EA223" s="373"/>
      <c r="EB223" s="373"/>
      <c r="EC223" s="373"/>
      <c r="ED223" s="373"/>
      <c r="EE223" s="374"/>
      <c r="EF223" s="373"/>
      <c r="EG223" s="373"/>
      <c r="EH223" s="373"/>
      <c r="EI223" s="373"/>
      <c r="EJ223" s="373"/>
      <c r="EK223" s="375">
        <f t="shared" si="293"/>
        <v>0</v>
      </c>
      <c r="EL223" s="177"/>
      <c r="EM223" s="373"/>
      <c r="EN223" s="373"/>
      <c r="EO223" s="373"/>
      <c r="EP223" s="373"/>
      <c r="EQ223" s="373"/>
      <c r="ER223" s="373"/>
      <c r="ES223" s="374"/>
      <c r="ET223" s="373"/>
      <c r="EU223" s="373"/>
      <c r="EV223" s="373"/>
      <c r="EW223" s="373"/>
      <c r="EX223" s="373"/>
      <c r="EY223" s="375"/>
      <c r="EZ223" s="164">
        <v>0</v>
      </c>
      <c r="FA223" s="185">
        <v>0</v>
      </c>
    </row>
    <row r="224" spans="1:157" ht="18.75" customHeight="1">
      <c r="A224" s="185" t="s">
        <v>327</v>
      </c>
      <c r="B224" s="774"/>
      <c r="C224" s="494" t="s">
        <v>941</v>
      </c>
      <c r="D224" s="176">
        <v>65311000</v>
      </c>
      <c r="E224" s="368"/>
      <c r="F224" s="320" t="s">
        <v>940</v>
      </c>
      <c r="G224" s="329"/>
      <c r="H224" s="373"/>
      <c r="I224" s="373"/>
      <c r="J224" s="373"/>
      <c r="K224" s="373"/>
      <c r="L224" s="373"/>
      <c r="M224" s="373"/>
      <c r="N224" s="374"/>
      <c r="O224" s="373"/>
      <c r="P224" s="373"/>
      <c r="Q224" s="373"/>
      <c r="R224" s="373"/>
      <c r="S224" s="377">
        <v>0</v>
      </c>
      <c r="T224" s="375">
        <f t="shared" si="287"/>
        <v>0</v>
      </c>
      <c r="U224" s="776">
        <f t="shared" si="289"/>
        <v>0</v>
      </c>
      <c r="V224" s="775" t="e">
        <f t="shared" si="290"/>
        <v>#DIV/0!</v>
      </c>
      <c r="W224" s="329"/>
      <c r="X224" s="373">
        <v>0</v>
      </c>
      <c r="Y224" s="373">
        <v>0</v>
      </c>
      <c r="Z224" s="373">
        <v>0</v>
      </c>
      <c r="AA224" s="373">
        <v>0</v>
      </c>
      <c r="AB224" s="373">
        <v>0</v>
      </c>
      <c r="AC224" s="373">
        <v>0</v>
      </c>
      <c r="AD224" s="374">
        <v>0</v>
      </c>
      <c r="AE224" s="373">
        <v>0</v>
      </c>
      <c r="AF224" s="373">
        <v>0</v>
      </c>
      <c r="AG224" s="373">
        <v>0</v>
      </c>
      <c r="AH224" s="373">
        <v>0</v>
      </c>
      <c r="AI224" s="373">
        <v>0</v>
      </c>
      <c r="AJ224" s="375">
        <f t="shared" si="288"/>
        <v>0</v>
      </c>
      <c r="AK224" s="329"/>
      <c r="AL224" s="373">
        <v>757000</v>
      </c>
      <c r="AM224" s="373">
        <v>757000</v>
      </c>
      <c r="AN224" s="373">
        <v>757000</v>
      </c>
      <c r="AO224" s="373">
        <v>757000</v>
      </c>
      <c r="AP224" s="373">
        <v>757000</v>
      </c>
      <c r="AQ224" s="373">
        <v>757000</v>
      </c>
      <c r="AR224" s="374">
        <v>757000</v>
      </c>
      <c r="AS224" s="373">
        <v>757000</v>
      </c>
      <c r="AT224" s="373">
        <v>757000</v>
      </c>
      <c r="AU224" s="373">
        <v>757000</v>
      </c>
      <c r="AV224" s="373">
        <v>757000</v>
      </c>
      <c r="AW224" s="373">
        <v>757000</v>
      </c>
      <c r="AX224" s="375">
        <v>9084000</v>
      </c>
      <c r="AY224" s="776">
        <f t="shared" si="291"/>
        <v>-8644199</v>
      </c>
      <c r="AZ224" s="775">
        <f t="shared" si="292"/>
        <v>-19.654796146438958</v>
      </c>
      <c r="BA224" s="329"/>
      <c r="BB224" s="373">
        <v>122222</v>
      </c>
      <c r="BC224" s="373">
        <v>30329</v>
      </c>
      <c r="BD224" s="373">
        <v>0</v>
      </c>
      <c r="BE224" s="373">
        <v>0</v>
      </c>
      <c r="BF224" s="373">
        <v>0</v>
      </c>
      <c r="BG224" s="373">
        <v>0</v>
      </c>
      <c r="BH224" s="374">
        <v>287250</v>
      </c>
      <c r="BI224" s="373">
        <v>0</v>
      </c>
      <c r="BJ224" s="373">
        <v>0</v>
      </c>
      <c r="BK224" s="373">
        <v>0</v>
      </c>
      <c r="BL224" s="373">
        <v>0</v>
      </c>
      <c r="BM224" s="373">
        <v>0</v>
      </c>
      <c r="BN224" s="402">
        <v>439801</v>
      </c>
      <c r="BO224" s="329"/>
      <c r="BP224" s="374">
        <v>0</v>
      </c>
      <c r="BQ224" s="374">
        <v>0</v>
      </c>
      <c r="BR224" s="374">
        <v>0</v>
      </c>
      <c r="BS224" s="374">
        <v>0</v>
      </c>
      <c r="BT224" s="374">
        <v>0</v>
      </c>
      <c r="BU224" s="374">
        <v>0</v>
      </c>
      <c r="BV224" s="374">
        <v>0</v>
      </c>
      <c r="BW224" s="374">
        <v>0</v>
      </c>
      <c r="BX224" s="374">
        <v>0</v>
      </c>
      <c r="BY224" s="374">
        <v>0</v>
      </c>
      <c r="BZ224" s="374">
        <v>0</v>
      </c>
      <c r="CA224" s="374">
        <v>0</v>
      </c>
      <c r="CB224" s="402">
        <f t="shared" si="282"/>
        <v>0</v>
      </c>
      <c r="CC224" s="776">
        <f t="shared" si="274"/>
        <v>-439801</v>
      </c>
      <c r="CD224" s="775" t="str">
        <f t="shared" si="275"/>
        <v>N/A</v>
      </c>
      <c r="CE224" s="772"/>
      <c r="CF224" s="374">
        <v>0</v>
      </c>
      <c r="CG224" s="374">
        <v>0</v>
      </c>
      <c r="CH224" s="374">
        <v>0</v>
      </c>
      <c r="CI224" s="374">
        <v>0</v>
      </c>
      <c r="CJ224" s="374">
        <v>0</v>
      </c>
      <c r="CK224" s="374">
        <v>0</v>
      </c>
      <c r="CL224" s="374">
        <v>0</v>
      </c>
      <c r="CM224" s="374">
        <v>0</v>
      </c>
      <c r="CN224" s="374">
        <v>0</v>
      </c>
      <c r="CO224" s="374">
        <v>0</v>
      </c>
      <c r="CP224" s="374">
        <v>0</v>
      </c>
      <c r="CQ224" s="374">
        <v>0</v>
      </c>
      <c r="CR224" s="374">
        <v>0</v>
      </c>
      <c r="CS224" s="402">
        <f t="shared" si="276"/>
        <v>0</v>
      </c>
      <c r="CT224" s="776">
        <f t="shared" si="277"/>
        <v>-439801</v>
      </c>
      <c r="CU224" s="165" t="str">
        <f t="shared" si="278"/>
        <v>N/A</v>
      </c>
      <c r="CV224" s="329"/>
      <c r="CW224" s="373">
        <v>0</v>
      </c>
      <c r="CX224" s="373">
        <v>0</v>
      </c>
      <c r="CY224" s="373">
        <v>0</v>
      </c>
      <c r="CZ224" s="373">
        <v>0</v>
      </c>
      <c r="DA224" s="373">
        <v>0</v>
      </c>
      <c r="DB224" s="373">
        <v>0</v>
      </c>
      <c r="DC224" s="374">
        <v>0</v>
      </c>
      <c r="DD224" s="373">
        <v>0</v>
      </c>
      <c r="DE224" s="373">
        <v>0</v>
      </c>
      <c r="DF224" s="373">
        <v>0</v>
      </c>
      <c r="DG224" s="373">
        <v>0</v>
      </c>
      <c r="DH224" s="373">
        <v>0</v>
      </c>
      <c r="DI224" s="375">
        <f t="shared" si="279"/>
        <v>0</v>
      </c>
      <c r="DJ224" s="329"/>
      <c r="DK224" s="373">
        <v>0</v>
      </c>
      <c r="DL224" s="373">
        <v>0</v>
      </c>
      <c r="DM224" s="373">
        <v>0</v>
      </c>
      <c r="DN224" s="373">
        <v>0</v>
      </c>
      <c r="DO224" s="373">
        <v>0</v>
      </c>
      <c r="DP224" s="373">
        <v>0</v>
      </c>
      <c r="DQ224" s="374">
        <v>0</v>
      </c>
      <c r="DR224" s="373">
        <v>0</v>
      </c>
      <c r="DS224" s="373">
        <v>0</v>
      </c>
      <c r="DT224" s="373">
        <v>0</v>
      </c>
      <c r="DU224" s="373">
        <v>0</v>
      </c>
      <c r="DV224" s="373">
        <v>0</v>
      </c>
      <c r="DW224" s="375">
        <f t="shared" si="280"/>
        <v>0</v>
      </c>
      <c r="DY224" s="373">
        <v>0</v>
      </c>
      <c r="DZ224" s="373">
        <v>0</v>
      </c>
      <c r="EA224" s="373">
        <v>0</v>
      </c>
      <c r="EB224" s="373">
        <v>0</v>
      </c>
      <c r="EC224" s="373">
        <v>0</v>
      </c>
      <c r="ED224" s="373">
        <v>0</v>
      </c>
      <c r="EE224" s="374">
        <v>0</v>
      </c>
      <c r="EF224" s="373">
        <v>0</v>
      </c>
      <c r="EG224" s="373">
        <v>0</v>
      </c>
      <c r="EH224" s="373">
        <v>0</v>
      </c>
      <c r="EI224" s="373">
        <v>0</v>
      </c>
      <c r="EJ224" s="373">
        <v>0</v>
      </c>
      <c r="EK224" s="375">
        <f t="shared" si="293"/>
        <v>0</v>
      </c>
      <c r="EL224" s="177"/>
      <c r="EM224" s="373">
        <v>0</v>
      </c>
      <c r="EN224" s="373">
        <v>0</v>
      </c>
      <c r="EO224" s="373">
        <v>0</v>
      </c>
      <c r="EP224" s="373">
        <v>0</v>
      </c>
      <c r="EQ224" s="373">
        <v>0</v>
      </c>
      <c r="ER224" s="373">
        <v>0</v>
      </c>
      <c r="ES224" s="374">
        <v>0</v>
      </c>
      <c r="ET224" s="373">
        <v>0</v>
      </c>
      <c r="EU224" s="373">
        <v>0</v>
      </c>
      <c r="EV224" s="373">
        <v>0</v>
      </c>
      <c r="EW224" s="373">
        <v>0</v>
      </c>
      <c r="EX224" s="373">
        <v>0</v>
      </c>
      <c r="EY224" s="375">
        <f t="shared" si="294"/>
        <v>0</v>
      </c>
      <c r="EZ224" s="164">
        <v>0</v>
      </c>
      <c r="FA224" s="185">
        <v>0</v>
      </c>
    </row>
    <row r="225" spans="1:157" ht="18.75" customHeight="1">
      <c r="A225" s="185" t="s">
        <v>327</v>
      </c>
      <c r="B225" s="774"/>
      <c r="C225" s="494" t="s">
        <v>939</v>
      </c>
      <c r="D225" s="176">
        <v>65312000</v>
      </c>
      <c r="E225" s="368"/>
      <c r="F225" s="320" t="s">
        <v>938</v>
      </c>
      <c r="G225" s="329"/>
      <c r="H225" s="373"/>
      <c r="I225" s="373"/>
      <c r="J225" s="373"/>
      <c r="K225" s="373"/>
      <c r="L225" s="373"/>
      <c r="M225" s="373"/>
      <c r="N225" s="374"/>
      <c r="O225" s="373"/>
      <c r="P225" s="373"/>
      <c r="Q225" s="373"/>
      <c r="R225" s="373"/>
      <c r="S225" s="377">
        <v>6854481.143995041</v>
      </c>
      <c r="T225" s="375">
        <f t="shared" si="287"/>
        <v>6854481.143995041</v>
      </c>
      <c r="U225" s="776">
        <f t="shared" si="289"/>
        <v>1265366.8460049592</v>
      </c>
      <c r="V225" s="775">
        <f t="shared" si="290"/>
        <v>0.15583627274344566</v>
      </c>
      <c r="W225" s="329"/>
      <c r="X225" s="373">
        <v>224406.88</v>
      </c>
      <c r="Y225" s="373">
        <v>12165.08</v>
      </c>
      <c r="Z225" s="373">
        <v>235524.9</v>
      </c>
      <c r="AA225" s="373">
        <v>62308.4</v>
      </c>
      <c r="AB225" s="373">
        <v>669829.75</v>
      </c>
      <c r="AC225" s="373">
        <v>767309.7</v>
      </c>
      <c r="AD225" s="374">
        <v>1197115.21</v>
      </c>
      <c r="AE225" s="373">
        <v>-251666.82</v>
      </c>
      <c r="AF225" s="373">
        <v>901547.02</v>
      </c>
      <c r="AG225" s="373">
        <v>141814.13</v>
      </c>
      <c r="AH225" s="373">
        <v>87075.03</v>
      </c>
      <c r="AI225" s="373">
        <v>4072418.71</v>
      </c>
      <c r="AJ225" s="375">
        <f t="shared" si="288"/>
        <v>8119847.9900000002</v>
      </c>
      <c r="AK225" s="329"/>
      <c r="AL225" s="373">
        <v>0</v>
      </c>
      <c r="AM225" s="373">
        <v>0</v>
      </c>
      <c r="AN225" s="373">
        <v>0</v>
      </c>
      <c r="AO225" s="373">
        <v>0</v>
      </c>
      <c r="AP225" s="373">
        <v>0</v>
      </c>
      <c r="AQ225" s="373">
        <v>0</v>
      </c>
      <c r="AR225" s="374">
        <v>0</v>
      </c>
      <c r="AS225" s="373">
        <v>0</v>
      </c>
      <c r="AT225" s="373">
        <v>0</v>
      </c>
      <c r="AU225" s="373">
        <v>0</v>
      </c>
      <c r="AV225" s="373">
        <v>0</v>
      </c>
      <c r="AW225" s="373">
        <v>0</v>
      </c>
      <c r="AX225" s="375">
        <v>0</v>
      </c>
      <c r="AY225" s="776">
        <f t="shared" si="291"/>
        <v>2639159.91</v>
      </c>
      <c r="AZ225" s="775">
        <f t="shared" si="292"/>
        <v>1</v>
      </c>
      <c r="BA225" s="329"/>
      <c r="BB225" s="373">
        <v>0</v>
      </c>
      <c r="BC225" s="373">
        <v>0</v>
      </c>
      <c r="BD225" s="373">
        <v>14000</v>
      </c>
      <c r="BE225" s="373">
        <v>24000</v>
      </c>
      <c r="BF225" s="373">
        <v>124792</v>
      </c>
      <c r="BG225" s="373">
        <v>109503.84</v>
      </c>
      <c r="BH225" s="374">
        <v>222745.84</v>
      </c>
      <c r="BI225" s="373">
        <v>127515</v>
      </c>
      <c r="BJ225" s="373">
        <v>212730.5</v>
      </c>
      <c r="BK225" s="373">
        <v>3611564.02</v>
      </c>
      <c r="BL225" s="373">
        <v>-1612751</v>
      </c>
      <c r="BM225" s="373">
        <v>-194940.29</v>
      </c>
      <c r="BN225" s="402">
        <v>2639159.91</v>
      </c>
      <c r="BO225" s="329"/>
      <c r="BP225" s="374">
        <v>0</v>
      </c>
      <c r="BQ225" s="374">
        <v>0</v>
      </c>
      <c r="BR225" s="374">
        <v>0</v>
      </c>
      <c r="BS225" s="374">
        <v>0</v>
      </c>
      <c r="BT225" s="374">
        <v>0</v>
      </c>
      <c r="BU225" s="374">
        <v>0</v>
      </c>
      <c r="BV225" s="374">
        <v>0</v>
      </c>
      <c r="BW225" s="374">
        <v>0</v>
      </c>
      <c r="BX225" s="374">
        <v>0</v>
      </c>
      <c r="BY225" s="374">
        <v>0</v>
      </c>
      <c r="BZ225" s="374">
        <v>0</v>
      </c>
      <c r="CA225" s="374">
        <v>0</v>
      </c>
      <c r="CB225" s="402">
        <f t="shared" si="282"/>
        <v>0</v>
      </c>
      <c r="CC225" s="776">
        <f t="shared" si="274"/>
        <v>-2639159.91</v>
      </c>
      <c r="CD225" s="775" t="str">
        <f t="shared" si="275"/>
        <v>N/A</v>
      </c>
      <c r="CE225" s="772"/>
      <c r="CF225" s="374">
        <v>0</v>
      </c>
      <c r="CG225" s="374">
        <v>0</v>
      </c>
      <c r="CH225" s="374">
        <v>0</v>
      </c>
      <c r="CI225" s="374">
        <v>0</v>
      </c>
      <c r="CJ225" s="374">
        <v>0</v>
      </c>
      <c r="CK225" s="374">
        <v>0</v>
      </c>
      <c r="CL225" s="374">
        <v>0</v>
      </c>
      <c r="CM225" s="374">
        <v>0</v>
      </c>
      <c r="CN225" s="374">
        <v>0</v>
      </c>
      <c r="CO225" s="374">
        <v>0</v>
      </c>
      <c r="CP225" s="374">
        <v>0</v>
      </c>
      <c r="CQ225" s="374">
        <v>0</v>
      </c>
      <c r="CR225" s="374">
        <v>0</v>
      </c>
      <c r="CS225" s="402">
        <f t="shared" si="276"/>
        <v>0</v>
      </c>
      <c r="CT225" s="776">
        <f t="shared" si="277"/>
        <v>-2639159.91</v>
      </c>
      <c r="CU225" s="165" t="str">
        <f t="shared" si="278"/>
        <v>N/A</v>
      </c>
      <c r="CV225" s="329"/>
      <c r="CW225" s="373">
        <v>0</v>
      </c>
      <c r="CX225" s="373">
        <v>0</v>
      </c>
      <c r="CY225" s="373">
        <v>0</v>
      </c>
      <c r="CZ225" s="373">
        <v>0</v>
      </c>
      <c r="DA225" s="373">
        <v>0</v>
      </c>
      <c r="DB225" s="373">
        <v>0</v>
      </c>
      <c r="DC225" s="374">
        <v>0</v>
      </c>
      <c r="DD225" s="373">
        <v>0</v>
      </c>
      <c r="DE225" s="373">
        <v>0</v>
      </c>
      <c r="DF225" s="373">
        <v>0</v>
      </c>
      <c r="DG225" s="373">
        <v>0</v>
      </c>
      <c r="DH225" s="373">
        <v>0</v>
      </c>
      <c r="DI225" s="375">
        <f t="shared" si="279"/>
        <v>0</v>
      </c>
      <c r="DJ225" s="329"/>
      <c r="DK225" s="373">
        <v>0</v>
      </c>
      <c r="DL225" s="373">
        <v>0</v>
      </c>
      <c r="DM225" s="373">
        <v>0</v>
      </c>
      <c r="DN225" s="373">
        <v>0</v>
      </c>
      <c r="DO225" s="373">
        <v>0</v>
      </c>
      <c r="DP225" s="373">
        <v>0</v>
      </c>
      <c r="DQ225" s="374">
        <v>0</v>
      </c>
      <c r="DR225" s="373">
        <v>0</v>
      </c>
      <c r="DS225" s="373">
        <v>0</v>
      </c>
      <c r="DT225" s="373">
        <v>0</v>
      </c>
      <c r="DU225" s="373">
        <v>0</v>
      </c>
      <c r="DV225" s="373">
        <v>0</v>
      </c>
      <c r="DW225" s="375">
        <f t="shared" si="280"/>
        <v>0</v>
      </c>
      <c r="DY225" s="373">
        <v>0</v>
      </c>
      <c r="DZ225" s="373">
        <v>0</v>
      </c>
      <c r="EA225" s="373">
        <v>0</v>
      </c>
      <c r="EB225" s="373">
        <v>0</v>
      </c>
      <c r="EC225" s="373">
        <v>0</v>
      </c>
      <c r="ED225" s="373">
        <v>0</v>
      </c>
      <c r="EE225" s="374">
        <v>0</v>
      </c>
      <c r="EF225" s="373">
        <v>0</v>
      </c>
      <c r="EG225" s="373">
        <v>0</v>
      </c>
      <c r="EH225" s="373">
        <v>0</v>
      </c>
      <c r="EI225" s="373">
        <v>0</v>
      </c>
      <c r="EJ225" s="373">
        <v>0</v>
      </c>
      <c r="EK225" s="375">
        <f t="shared" si="293"/>
        <v>0</v>
      </c>
      <c r="EL225" s="177"/>
      <c r="EM225" s="373">
        <v>0</v>
      </c>
      <c r="EN225" s="373">
        <v>0</v>
      </c>
      <c r="EO225" s="373">
        <v>0</v>
      </c>
      <c r="EP225" s="373">
        <v>0</v>
      </c>
      <c r="EQ225" s="373">
        <v>0</v>
      </c>
      <c r="ER225" s="373">
        <v>0</v>
      </c>
      <c r="ES225" s="374">
        <v>0</v>
      </c>
      <c r="ET225" s="373">
        <v>0</v>
      </c>
      <c r="EU225" s="373">
        <v>0</v>
      </c>
      <c r="EV225" s="373">
        <v>0</v>
      </c>
      <c r="EW225" s="373">
        <v>0</v>
      </c>
      <c r="EX225" s="373">
        <v>0</v>
      </c>
      <c r="EY225" s="375">
        <f t="shared" si="294"/>
        <v>0</v>
      </c>
      <c r="EZ225" s="164">
        <v>0</v>
      </c>
      <c r="FA225" s="185">
        <v>0</v>
      </c>
    </row>
    <row r="226" spans="1:157" ht="18.75" customHeight="1">
      <c r="A226" s="185" t="s">
        <v>618</v>
      </c>
      <c r="B226" s="774"/>
      <c r="C226" s="176" t="s">
        <v>937</v>
      </c>
      <c r="D226" s="176">
        <v>66001000</v>
      </c>
      <c r="E226" s="773"/>
      <c r="F226" s="320" t="s">
        <v>360</v>
      </c>
      <c r="G226" s="329"/>
      <c r="H226" s="373"/>
      <c r="I226" s="373"/>
      <c r="J226" s="373"/>
      <c r="K226" s="373"/>
      <c r="L226" s="373"/>
      <c r="M226" s="373"/>
      <c r="N226" s="374"/>
      <c r="O226" s="373"/>
      <c r="P226" s="373"/>
      <c r="Q226" s="373"/>
      <c r="R226" s="373"/>
      <c r="S226" s="1524">
        <f>S38*66.3%</f>
        <v>143875988.06660345</v>
      </c>
      <c r="T226" s="981">
        <f t="shared" si="287"/>
        <v>143875988.06660345</v>
      </c>
      <c r="U226" s="378">
        <f>AJ226-T226</f>
        <v>-47896615.716603443</v>
      </c>
      <c r="V226" s="165">
        <f t="shared" si="290"/>
        <v>-0.49903030769927137</v>
      </c>
      <c r="W226" s="329"/>
      <c r="X226" s="373">
        <v>17015893.510000002</v>
      </c>
      <c r="Y226" s="373">
        <v>7448410.3799999999</v>
      </c>
      <c r="Z226" s="373">
        <v>1996809.35</v>
      </c>
      <c r="AA226" s="373">
        <v>1998429.46</v>
      </c>
      <c r="AB226" s="373">
        <v>0</v>
      </c>
      <c r="AC226" s="373">
        <v>4257717.41</v>
      </c>
      <c r="AD226" s="374">
        <v>11520482.720000001</v>
      </c>
      <c r="AE226" s="373">
        <v>30954476.66</v>
      </c>
      <c r="AF226" s="373">
        <v>19438709.109999999</v>
      </c>
      <c r="AG226" s="373">
        <v>-5654752.0199999996</v>
      </c>
      <c r="AH226" s="373">
        <v>3963416.08</v>
      </c>
      <c r="AI226" s="373">
        <v>3039779.6900000004</v>
      </c>
      <c r="AJ226" s="375">
        <f t="shared" si="288"/>
        <v>95979372.350000009</v>
      </c>
      <c r="AK226" s="329"/>
      <c r="AL226" s="373">
        <v>0</v>
      </c>
      <c r="AM226" s="373">
        <v>0</v>
      </c>
      <c r="AN226" s="373">
        <v>0</v>
      </c>
      <c r="AO226" s="373">
        <v>0</v>
      </c>
      <c r="AP226" s="373">
        <v>0</v>
      </c>
      <c r="AQ226" s="373">
        <v>0</v>
      </c>
      <c r="AR226" s="374">
        <v>0</v>
      </c>
      <c r="AS226" s="373">
        <v>0</v>
      </c>
      <c r="AT226" s="373">
        <v>0</v>
      </c>
      <c r="AU226" s="373">
        <v>0</v>
      </c>
      <c r="AV226" s="373">
        <v>0</v>
      </c>
      <c r="AW226" s="373">
        <v>154094723.75808001</v>
      </c>
      <c r="AX226" s="375">
        <v>154094724</v>
      </c>
      <c r="AY226" s="378">
        <f>BN226-AX226</f>
        <v>-54018206.61999999</v>
      </c>
      <c r="AZ226" s="165">
        <f t="shared" si="292"/>
        <v>-0.53976904906560397</v>
      </c>
      <c r="BA226" s="329"/>
      <c r="BB226" s="373">
        <v>0</v>
      </c>
      <c r="BC226" s="373">
        <v>0</v>
      </c>
      <c r="BD226" s="373">
        <v>0</v>
      </c>
      <c r="BE226" s="373">
        <v>0</v>
      </c>
      <c r="BF226" s="373">
        <v>0</v>
      </c>
      <c r="BG226" s="373">
        <v>2848833.72</v>
      </c>
      <c r="BH226" s="374">
        <v>2799329.03</v>
      </c>
      <c r="BI226" s="373">
        <v>15730038.09</v>
      </c>
      <c r="BJ226" s="373">
        <v>17716278.739999998</v>
      </c>
      <c r="BK226" s="373">
        <v>32256952.32</v>
      </c>
      <c r="BL226" s="373">
        <v>20072712.309999999</v>
      </c>
      <c r="BM226" s="373">
        <v>7729650.1699999981</v>
      </c>
      <c r="BN226" s="402">
        <v>100076517.38000001</v>
      </c>
      <c r="BO226" s="329"/>
      <c r="BP226" s="374">
        <v>0</v>
      </c>
      <c r="BQ226" s="374">
        <v>0</v>
      </c>
      <c r="BR226" s="374">
        <v>1552321.5606832122</v>
      </c>
      <c r="BS226" s="374">
        <v>0</v>
      </c>
      <c r="BT226" s="374">
        <v>11226073.633125274</v>
      </c>
      <c r="BU226" s="374">
        <v>21323673.304988943</v>
      </c>
      <c r="BV226" s="374">
        <v>5856021.1498860233</v>
      </c>
      <c r="BW226" s="374">
        <v>25134423.540081542</v>
      </c>
      <c r="BX226" s="374">
        <v>17455526.306308061</v>
      </c>
      <c r="BY226" s="374">
        <v>13262883.108569074</v>
      </c>
      <c r="BZ226" s="374">
        <v>0</v>
      </c>
      <c r="CA226" s="374">
        <v>28636433.496357862</v>
      </c>
      <c r="CB226" s="402">
        <f t="shared" si="282"/>
        <v>124447356.09999999</v>
      </c>
      <c r="CC226" s="776">
        <f t="shared" si="274"/>
        <v>24370838.719999984</v>
      </c>
      <c r="CD226" s="775">
        <f t="shared" si="275"/>
        <v>0.19583251491833006</v>
      </c>
      <c r="CE226" s="772"/>
      <c r="CF226" s="374">
        <v>5300873.29</v>
      </c>
      <c r="CG226" s="374">
        <v>9233978.9100000001</v>
      </c>
      <c r="CH226" s="374">
        <v>6585182.46</v>
      </c>
      <c r="CI226" s="374">
        <v>3448992</v>
      </c>
      <c r="CJ226" s="374">
        <v>15193902.68</v>
      </c>
      <c r="CK226" s="374">
        <v>3531463.79</v>
      </c>
      <c r="CL226" s="374">
        <v>39344344.68</v>
      </c>
      <c r="CM226" s="374">
        <v>13000321.17</v>
      </c>
      <c r="CN226" s="374">
        <v>1698542.09</v>
      </c>
      <c r="CO226" s="374">
        <v>12487634.470000001</v>
      </c>
      <c r="CP226" s="374">
        <v>22233796.84</v>
      </c>
      <c r="CQ226" s="374">
        <v>11039407.16</v>
      </c>
      <c r="CR226" s="374">
        <v>0</v>
      </c>
      <c r="CS226" s="402">
        <f t="shared" si="276"/>
        <v>143098439.54000002</v>
      </c>
      <c r="CT226" s="776">
        <f t="shared" si="277"/>
        <v>43021922.160000011</v>
      </c>
      <c r="CU226" s="165">
        <f t="shared" si="278"/>
        <v>0.30064564154785334</v>
      </c>
      <c r="CV226" s="329"/>
      <c r="CW226" s="373">
        <v>14596195.75</v>
      </c>
      <c r="CX226" s="373">
        <v>5760659.7999999998</v>
      </c>
      <c r="CY226" s="373">
        <v>5656908.6699999999</v>
      </c>
      <c r="CZ226" s="373">
        <v>3703914.79</v>
      </c>
      <c r="DA226" s="373">
        <v>5019762.42</v>
      </c>
      <c r="DB226" s="373">
        <v>7159864.1900000004</v>
      </c>
      <c r="DC226" s="374">
        <v>9698435.6300000008</v>
      </c>
      <c r="DD226" s="373">
        <v>19532252.93</v>
      </c>
      <c r="DE226" s="373">
        <v>20595036.530000001</v>
      </c>
      <c r="DF226" s="373">
        <v>6646817.8799999999</v>
      </c>
      <c r="DG226" s="373">
        <v>9957877.7200000007</v>
      </c>
      <c r="DH226" s="373">
        <v>8446647.8200000003</v>
      </c>
      <c r="DI226" s="375">
        <f t="shared" si="279"/>
        <v>116774374.13</v>
      </c>
      <c r="DJ226" s="329"/>
      <c r="DK226" s="373">
        <v>0</v>
      </c>
      <c r="DL226" s="373">
        <v>4997232.1100000003</v>
      </c>
      <c r="DM226" s="373">
        <v>7926105.8200000003</v>
      </c>
      <c r="DN226" s="373">
        <v>5202632.9400000004</v>
      </c>
      <c r="DO226" s="373">
        <v>6099761.9400000004</v>
      </c>
      <c r="DP226" s="373">
        <v>13945943.720000001</v>
      </c>
      <c r="DQ226" s="374">
        <v>17151992.960000001</v>
      </c>
      <c r="DR226" s="373">
        <v>9057123.6600000001</v>
      </c>
      <c r="DS226" s="373">
        <v>13022278.220000001</v>
      </c>
      <c r="DT226" s="373">
        <v>15007430.939999999</v>
      </c>
      <c r="DU226" s="373">
        <v>0</v>
      </c>
      <c r="DV226" s="373">
        <v>324077.56</v>
      </c>
      <c r="DW226" s="375">
        <f t="shared" si="280"/>
        <v>92734579.870000005</v>
      </c>
      <c r="DY226" s="373">
        <v>0</v>
      </c>
      <c r="DZ226" s="373">
        <v>7857321.4800000004</v>
      </c>
      <c r="EA226" s="373">
        <v>0</v>
      </c>
      <c r="EB226" s="373">
        <v>4052594.19</v>
      </c>
      <c r="EC226" s="373">
        <v>8692854.6699999999</v>
      </c>
      <c r="ED226" s="373">
        <v>9998379.9800000004</v>
      </c>
      <c r="EE226" s="374">
        <v>11186470.26</v>
      </c>
      <c r="EF226" s="373">
        <v>11052784.689999999</v>
      </c>
      <c r="EG226" s="373">
        <v>3999563.74</v>
      </c>
      <c r="EH226" s="373">
        <v>8643169.0099999998</v>
      </c>
      <c r="EI226" s="373">
        <v>5496751.1699999999</v>
      </c>
      <c r="EJ226" s="373">
        <v>13639117.48</v>
      </c>
      <c r="EK226" s="375">
        <f t="shared" si="293"/>
        <v>84619006.670000002</v>
      </c>
      <c r="EL226" s="177"/>
      <c r="EM226" s="373">
        <v>0</v>
      </c>
      <c r="EN226" s="373">
        <v>5521071.3200000003</v>
      </c>
      <c r="EO226" s="373">
        <v>4982527.84</v>
      </c>
      <c r="EP226" s="373">
        <v>0</v>
      </c>
      <c r="EQ226" s="373">
        <v>7223709.4000000004</v>
      </c>
      <c r="ER226" s="373">
        <v>11023305.48</v>
      </c>
      <c r="ES226" s="374">
        <v>11431329.93</v>
      </c>
      <c r="ET226" s="373">
        <v>11113589.51</v>
      </c>
      <c r="EU226" s="373">
        <v>0</v>
      </c>
      <c r="EV226" s="373">
        <v>9544709.0899999999</v>
      </c>
      <c r="EW226" s="373">
        <v>8091152.2000000002</v>
      </c>
      <c r="EX226" s="373">
        <v>10483393.48</v>
      </c>
      <c r="EY226" s="375">
        <f t="shared" si="294"/>
        <v>79414788.25</v>
      </c>
      <c r="EZ226" s="164">
        <v>0</v>
      </c>
      <c r="FA226" s="185">
        <v>0</v>
      </c>
    </row>
    <row r="227" spans="1:157" ht="18.75" customHeight="1">
      <c r="A227" s="185" t="s">
        <v>618</v>
      </c>
      <c r="B227" s="774"/>
      <c r="C227" s="176" t="s">
        <v>936</v>
      </c>
      <c r="D227" s="176">
        <v>66002000</v>
      </c>
      <c r="E227" s="773"/>
      <c r="F227" s="320" t="s">
        <v>706</v>
      </c>
      <c r="G227" s="329"/>
      <c r="H227" s="373"/>
      <c r="I227" s="373"/>
      <c r="J227" s="373"/>
      <c r="K227" s="373"/>
      <c r="L227" s="373"/>
      <c r="M227" s="373"/>
      <c r="N227" s="374"/>
      <c r="O227" s="373"/>
      <c r="P227" s="373"/>
      <c r="Q227" s="373"/>
      <c r="R227" s="373"/>
      <c r="S227" s="373"/>
      <c r="T227" s="375">
        <f t="shared" si="287"/>
        <v>0</v>
      </c>
      <c r="U227" s="378">
        <f t="shared" ref="U227:U230" si="296">AJ227-T227</f>
        <v>0</v>
      </c>
      <c r="V227" s="165" t="e">
        <f t="shared" si="290"/>
        <v>#DIV/0!</v>
      </c>
      <c r="W227" s="329"/>
      <c r="X227" s="373">
        <v>0</v>
      </c>
      <c r="Y227" s="373">
        <v>0</v>
      </c>
      <c r="Z227" s="373">
        <v>0</v>
      </c>
      <c r="AA227" s="373">
        <v>0</v>
      </c>
      <c r="AB227" s="373">
        <v>0</v>
      </c>
      <c r="AC227" s="373">
        <v>0</v>
      </c>
      <c r="AD227" s="374">
        <v>0</v>
      </c>
      <c r="AE227" s="373">
        <v>0</v>
      </c>
      <c r="AF227" s="373">
        <v>0</v>
      </c>
      <c r="AG227" s="373">
        <v>0</v>
      </c>
      <c r="AH227" s="373">
        <v>0</v>
      </c>
      <c r="AI227" s="373">
        <v>0</v>
      </c>
      <c r="AJ227" s="375">
        <f t="shared" si="288"/>
        <v>0</v>
      </c>
      <c r="AK227" s="329"/>
      <c r="AL227" s="373">
        <v>0</v>
      </c>
      <c r="AM227" s="373">
        <v>0</v>
      </c>
      <c r="AN227" s="373">
        <v>0</v>
      </c>
      <c r="AO227" s="373">
        <v>0</v>
      </c>
      <c r="AP227" s="373">
        <v>0</v>
      </c>
      <c r="AQ227" s="373">
        <v>0</v>
      </c>
      <c r="AR227" s="374">
        <v>0</v>
      </c>
      <c r="AS227" s="373">
        <v>0</v>
      </c>
      <c r="AT227" s="373">
        <v>0</v>
      </c>
      <c r="AU227" s="373">
        <v>0</v>
      </c>
      <c r="AV227" s="373">
        <v>0</v>
      </c>
      <c r="AW227" s="373">
        <v>0</v>
      </c>
      <c r="AX227" s="375">
        <v>0</v>
      </c>
      <c r="AY227" s="378">
        <f t="shared" si="291"/>
        <v>9449.5600000000013</v>
      </c>
      <c r="AZ227" s="165">
        <f t="shared" si="292"/>
        <v>1</v>
      </c>
      <c r="BA227" s="329"/>
      <c r="BB227" s="373">
        <v>0</v>
      </c>
      <c r="BC227" s="373">
        <v>0</v>
      </c>
      <c r="BD227" s="373">
        <v>0</v>
      </c>
      <c r="BE227" s="373">
        <v>0</v>
      </c>
      <c r="BF227" s="373">
        <v>0</v>
      </c>
      <c r="BG227" s="373">
        <v>0</v>
      </c>
      <c r="BH227" s="374">
        <v>6328.6</v>
      </c>
      <c r="BI227" s="373">
        <v>0</v>
      </c>
      <c r="BJ227" s="373">
        <v>1042.47</v>
      </c>
      <c r="BK227" s="373">
        <v>2078.4899999999998</v>
      </c>
      <c r="BL227" s="373">
        <v>0</v>
      </c>
      <c r="BM227" s="373">
        <v>0</v>
      </c>
      <c r="BN227" s="402">
        <v>9449.5600000000013</v>
      </c>
      <c r="BO227" s="329"/>
      <c r="BP227" s="374">
        <v>0</v>
      </c>
      <c r="BQ227" s="374">
        <v>0</v>
      </c>
      <c r="BR227" s="374">
        <v>0</v>
      </c>
      <c r="BS227" s="374">
        <v>0</v>
      </c>
      <c r="BT227" s="374">
        <v>0</v>
      </c>
      <c r="BU227" s="374">
        <v>0</v>
      </c>
      <c r="BV227" s="374">
        <v>0</v>
      </c>
      <c r="BW227" s="374">
        <v>0</v>
      </c>
      <c r="BX227" s="374">
        <v>0</v>
      </c>
      <c r="BY227" s="374">
        <v>0</v>
      </c>
      <c r="BZ227" s="374">
        <v>0</v>
      </c>
      <c r="CA227" s="374">
        <v>25000</v>
      </c>
      <c r="CB227" s="402">
        <f t="shared" si="282"/>
        <v>25000</v>
      </c>
      <c r="CC227" s="776">
        <f t="shared" si="274"/>
        <v>15550.439999999999</v>
      </c>
      <c r="CD227" s="775">
        <f t="shared" si="275"/>
        <v>0.62201759999999995</v>
      </c>
      <c r="CE227" s="772"/>
      <c r="CF227" s="374">
        <v>33105.24</v>
      </c>
      <c r="CG227" s="374">
        <v>862.03</v>
      </c>
      <c r="CH227" s="374">
        <v>300.91000000000003</v>
      </c>
      <c r="CI227" s="374">
        <v>0</v>
      </c>
      <c r="CJ227" s="374">
        <v>862.03</v>
      </c>
      <c r="CK227" s="374">
        <v>-862.03</v>
      </c>
      <c r="CL227" s="374">
        <v>0</v>
      </c>
      <c r="CM227" s="374">
        <v>0</v>
      </c>
      <c r="CN227" s="374">
        <v>0</v>
      </c>
      <c r="CO227" s="374">
        <v>0</v>
      </c>
      <c r="CP227" s="374">
        <v>31118.560000000001</v>
      </c>
      <c r="CQ227" s="374">
        <v>0</v>
      </c>
      <c r="CR227" s="374">
        <v>0</v>
      </c>
      <c r="CS227" s="402">
        <f t="shared" si="276"/>
        <v>65386.740000000005</v>
      </c>
      <c r="CT227" s="776">
        <f t="shared" si="277"/>
        <v>55937.180000000008</v>
      </c>
      <c r="CU227" s="165">
        <f t="shared" si="278"/>
        <v>0.85548201363151</v>
      </c>
      <c r="CV227" s="329"/>
      <c r="CW227" s="373">
        <v>0</v>
      </c>
      <c r="CX227" s="373">
        <v>0</v>
      </c>
      <c r="CY227" s="373">
        <v>0</v>
      </c>
      <c r="CZ227" s="373">
        <v>0</v>
      </c>
      <c r="DA227" s="373">
        <v>0</v>
      </c>
      <c r="DB227" s="373">
        <v>0</v>
      </c>
      <c r="DC227" s="374">
        <v>0</v>
      </c>
      <c r="DD227" s="373">
        <v>0</v>
      </c>
      <c r="DE227" s="373">
        <v>17765.36</v>
      </c>
      <c r="DF227" s="373">
        <v>0</v>
      </c>
      <c r="DG227" s="373">
        <v>0</v>
      </c>
      <c r="DH227" s="373">
        <v>0</v>
      </c>
      <c r="DI227" s="375">
        <f t="shared" si="279"/>
        <v>17765.36</v>
      </c>
      <c r="DJ227" s="329"/>
      <c r="DK227" s="373">
        <v>0</v>
      </c>
      <c r="DL227" s="373">
        <v>0</v>
      </c>
      <c r="DM227" s="373">
        <v>0</v>
      </c>
      <c r="DN227" s="373">
        <v>0</v>
      </c>
      <c r="DO227" s="373">
        <v>0</v>
      </c>
      <c r="DP227" s="373">
        <v>0</v>
      </c>
      <c r="DQ227" s="374">
        <v>0</v>
      </c>
      <c r="DR227" s="373">
        <v>0</v>
      </c>
      <c r="DS227" s="373">
        <v>0</v>
      </c>
      <c r="DT227" s="373">
        <v>0</v>
      </c>
      <c r="DU227" s="373">
        <v>0</v>
      </c>
      <c r="DV227" s="373">
        <v>0</v>
      </c>
      <c r="DW227" s="375">
        <f t="shared" si="280"/>
        <v>0</v>
      </c>
      <c r="DY227" s="373">
        <v>0</v>
      </c>
      <c r="DZ227" s="373">
        <v>0</v>
      </c>
      <c r="EA227" s="373">
        <v>0</v>
      </c>
      <c r="EB227" s="373">
        <v>0</v>
      </c>
      <c r="EC227" s="373">
        <v>0</v>
      </c>
      <c r="ED227" s="373">
        <v>0</v>
      </c>
      <c r="EE227" s="374">
        <v>0</v>
      </c>
      <c r="EF227" s="373">
        <v>0</v>
      </c>
      <c r="EG227" s="373">
        <v>0</v>
      </c>
      <c r="EH227" s="373">
        <v>0</v>
      </c>
      <c r="EI227" s="373">
        <v>0</v>
      </c>
      <c r="EJ227" s="373">
        <v>0</v>
      </c>
      <c r="EK227" s="375">
        <f t="shared" si="293"/>
        <v>0</v>
      </c>
      <c r="EL227" s="177"/>
      <c r="EM227" s="373">
        <v>0</v>
      </c>
      <c r="EN227" s="373">
        <v>0</v>
      </c>
      <c r="EO227" s="373">
        <v>0</v>
      </c>
      <c r="EP227" s="373">
        <v>0</v>
      </c>
      <c r="EQ227" s="373">
        <v>0</v>
      </c>
      <c r="ER227" s="373">
        <v>0</v>
      </c>
      <c r="ES227" s="374">
        <v>0</v>
      </c>
      <c r="ET227" s="373">
        <v>0</v>
      </c>
      <c r="EU227" s="373">
        <v>0</v>
      </c>
      <c r="EV227" s="373">
        <v>0</v>
      </c>
      <c r="EW227" s="373">
        <v>0</v>
      </c>
      <c r="EX227" s="373">
        <v>0</v>
      </c>
      <c r="EY227" s="375">
        <f t="shared" si="294"/>
        <v>0</v>
      </c>
      <c r="EZ227" s="164">
        <v>0</v>
      </c>
      <c r="FA227" s="185">
        <v>0</v>
      </c>
    </row>
    <row r="228" spans="1:157" ht="18" customHeight="1" outlineLevel="1">
      <c r="A228" s="185" t="s">
        <v>618</v>
      </c>
      <c r="B228" s="774"/>
      <c r="C228" s="176" t="s">
        <v>935</v>
      </c>
      <c r="D228" s="176">
        <v>66003000</v>
      </c>
      <c r="E228" s="773"/>
      <c r="F228" s="320" t="s">
        <v>707</v>
      </c>
      <c r="G228" s="329"/>
      <c r="H228" s="373"/>
      <c r="I228" s="373"/>
      <c r="J228" s="373"/>
      <c r="K228" s="373"/>
      <c r="L228" s="373"/>
      <c r="M228" s="373"/>
      <c r="N228" s="374"/>
      <c r="O228" s="373"/>
      <c r="P228" s="373"/>
      <c r="Q228" s="373"/>
      <c r="R228" s="373"/>
      <c r="S228" s="373"/>
      <c r="T228" s="375">
        <f t="shared" si="287"/>
        <v>0</v>
      </c>
      <c r="U228" s="378">
        <f t="shared" si="296"/>
        <v>0</v>
      </c>
      <c r="V228" s="165" t="e">
        <f t="shared" si="290"/>
        <v>#DIV/0!</v>
      </c>
      <c r="W228" s="329"/>
      <c r="X228" s="373">
        <v>0</v>
      </c>
      <c r="Y228" s="373">
        <v>0</v>
      </c>
      <c r="Z228" s="373">
        <v>0</v>
      </c>
      <c r="AA228" s="373">
        <v>0</v>
      </c>
      <c r="AB228" s="373">
        <v>0</v>
      </c>
      <c r="AC228" s="373">
        <v>0</v>
      </c>
      <c r="AD228" s="374">
        <v>0</v>
      </c>
      <c r="AE228" s="373">
        <v>0</v>
      </c>
      <c r="AF228" s="373">
        <v>0</v>
      </c>
      <c r="AG228" s="373">
        <v>0</v>
      </c>
      <c r="AH228" s="373">
        <v>0</v>
      </c>
      <c r="AI228" s="373">
        <v>0</v>
      </c>
      <c r="AJ228" s="375">
        <f t="shared" si="288"/>
        <v>0</v>
      </c>
      <c r="AK228" s="329"/>
      <c r="AL228" s="373">
        <v>0</v>
      </c>
      <c r="AM228" s="373">
        <v>0</v>
      </c>
      <c r="AN228" s="373">
        <v>0</v>
      </c>
      <c r="AO228" s="373">
        <v>0</v>
      </c>
      <c r="AP228" s="373">
        <v>0</v>
      </c>
      <c r="AQ228" s="373">
        <v>0</v>
      </c>
      <c r="AR228" s="374">
        <v>0</v>
      </c>
      <c r="AS228" s="373">
        <v>0</v>
      </c>
      <c r="AT228" s="373">
        <v>0</v>
      </c>
      <c r="AU228" s="373">
        <v>0</v>
      </c>
      <c r="AV228" s="373">
        <v>0</v>
      </c>
      <c r="AW228" s="373">
        <v>0</v>
      </c>
      <c r="AX228" s="375">
        <v>0</v>
      </c>
      <c r="AY228" s="378">
        <f t="shared" si="291"/>
        <v>0</v>
      </c>
      <c r="AZ228" s="165" t="e">
        <f t="shared" si="292"/>
        <v>#DIV/0!</v>
      </c>
      <c r="BA228" s="329"/>
      <c r="BB228" s="373">
        <v>0</v>
      </c>
      <c r="BC228" s="373">
        <v>0</v>
      </c>
      <c r="BD228" s="373">
        <v>0</v>
      </c>
      <c r="BE228" s="373">
        <v>0</v>
      </c>
      <c r="BF228" s="373">
        <v>0</v>
      </c>
      <c r="BG228" s="373">
        <v>0</v>
      </c>
      <c r="BH228" s="374">
        <v>0</v>
      </c>
      <c r="BI228" s="373">
        <v>0</v>
      </c>
      <c r="BJ228" s="373">
        <v>0</v>
      </c>
      <c r="BK228" s="373">
        <v>0</v>
      </c>
      <c r="BL228" s="373">
        <v>0</v>
      </c>
      <c r="BM228" s="373">
        <v>0</v>
      </c>
      <c r="BN228" s="402">
        <f t="shared" si="295"/>
        <v>0</v>
      </c>
      <c r="BO228" s="329"/>
      <c r="BP228" s="374">
        <v>0</v>
      </c>
      <c r="BQ228" s="374">
        <v>0</v>
      </c>
      <c r="BR228" s="374">
        <v>0</v>
      </c>
      <c r="BS228" s="374">
        <v>0</v>
      </c>
      <c r="BT228" s="374">
        <v>0</v>
      </c>
      <c r="BU228" s="374">
        <v>0</v>
      </c>
      <c r="BV228" s="374">
        <v>0</v>
      </c>
      <c r="BW228" s="374">
        <v>0</v>
      </c>
      <c r="BX228" s="374">
        <v>0</v>
      </c>
      <c r="BY228" s="374">
        <v>0</v>
      </c>
      <c r="BZ228" s="374">
        <v>0</v>
      </c>
      <c r="CA228" s="374">
        <v>0</v>
      </c>
      <c r="CB228" s="402">
        <f t="shared" si="282"/>
        <v>0</v>
      </c>
      <c r="CC228" s="776">
        <f t="shared" si="274"/>
        <v>0</v>
      </c>
      <c r="CD228" s="775" t="str">
        <f t="shared" si="275"/>
        <v>N/A</v>
      </c>
      <c r="CE228" s="772"/>
      <c r="CF228" s="374">
        <v>0</v>
      </c>
      <c r="CG228" s="374">
        <v>0</v>
      </c>
      <c r="CH228" s="374">
        <v>0</v>
      </c>
      <c r="CI228" s="374">
        <v>0</v>
      </c>
      <c r="CJ228" s="374">
        <v>0</v>
      </c>
      <c r="CK228" s="374">
        <v>0</v>
      </c>
      <c r="CL228" s="374">
        <v>0</v>
      </c>
      <c r="CM228" s="374">
        <v>0</v>
      </c>
      <c r="CN228" s="374">
        <v>0</v>
      </c>
      <c r="CO228" s="374">
        <v>0</v>
      </c>
      <c r="CP228" s="374">
        <v>0</v>
      </c>
      <c r="CQ228" s="374">
        <v>0</v>
      </c>
      <c r="CR228" s="374">
        <v>0</v>
      </c>
      <c r="CS228" s="402">
        <f t="shared" si="276"/>
        <v>0</v>
      </c>
      <c r="CT228" s="776">
        <f t="shared" si="277"/>
        <v>0</v>
      </c>
      <c r="CU228" s="165" t="str">
        <f t="shared" si="278"/>
        <v>N/A</v>
      </c>
      <c r="CV228" s="329"/>
      <c r="CW228" s="373">
        <v>0</v>
      </c>
      <c r="CX228" s="373">
        <v>0</v>
      </c>
      <c r="CY228" s="373">
        <v>0</v>
      </c>
      <c r="CZ228" s="373">
        <v>0</v>
      </c>
      <c r="DA228" s="373">
        <v>0</v>
      </c>
      <c r="DB228" s="373">
        <v>0</v>
      </c>
      <c r="DC228" s="374">
        <v>0</v>
      </c>
      <c r="DD228" s="373">
        <v>0</v>
      </c>
      <c r="DE228" s="373">
        <v>0</v>
      </c>
      <c r="DF228" s="373">
        <v>0</v>
      </c>
      <c r="DG228" s="373">
        <v>0</v>
      </c>
      <c r="DH228" s="373">
        <v>0</v>
      </c>
      <c r="DI228" s="375">
        <f t="shared" si="279"/>
        <v>0</v>
      </c>
      <c r="DJ228" s="329"/>
      <c r="DK228" s="373">
        <v>0</v>
      </c>
      <c r="DL228" s="373">
        <v>0</v>
      </c>
      <c r="DM228" s="373">
        <v>0</v>
      </c>
      <c r="DN228" s="373">
        <v>0</v>
      </c>
      <c r="DO228" s="373">
        <v>0</v>
      </c>
      <c r="DP228" s="373">
        <v>0</v>
      </c>
      <c r="DQ228" s="374">
        <v>0</v>
      </c>
      <c r="DR228" s="373">
        <v>0</v>
      </c>
      <c r="DS228" s="373">
        <v>0</v>
      </c>
      <c r="DT228" s="373">
        <v>0</v>
      </c>
      <c r="DU228" s="373">
        <v>0</v>
      </c>
      <c r="DV228" s="373">
        <v>0</v>
      </c>
      <c r="DW228" s="375">
        <f t="shared" si="280"/>
        <v>0</v>
      </c>
      <c r="DY228" s="373">
        <v>0</v>
      </c>
      <c r="DZ228" s="373">
        <v>0</v>
      </c>
      <c r="EA228" s="373">
        <v>0</v>
      </c>
      <c r="EB228" s="373">
        <v>0</v>
      </c>
      <c r="EC228" s="373">
        <v>0</v>
      </c>
      <c r="ED228" s="373">
        <v>0</v>
      </c>
      <c r="EE228" s="374">
        <v>0</v>
      </c>
      <c r="EF228" s="373">
        <v>0</v>
      </c>
      <c r="EG228" s="373">
        <v>0</v>
      </c>
      <c r="EH228" s="373">
        <v>0</v>
      </c>
      <c r="EI228" s="373">
        <v>0</v>
      </c>
      <c r="EJ228" s="373">
        <v>0</v>
      </c>
      <c r="EK228" s="375">
        <f t="shared" si="293"/>
        <v>0</v>
      </c>
      <c r="EL228" s="177"/>
      <c r="EM228" s="373">
        <v>0</v>
      </c>
      <c r="EN228" s="373">
        <v>0</v>
      </c>
      <c r="EO228" s="373">
        <v>0</v>
      </c>
      <c r="EP228" s="373">
        <v>0</v>
      </c>
      <c r="EQ228" s="373">
        <v>0</v>
      </c>
      <c r="ER228" s="373">
        <v>0</v>
      </c>
      <c r="ES228" s="374">
        <v>0</v>
      </c>
      <c r="ET228" s="373">
        <v>0</v>
      </c>
      <c r="EU228" s="373">
        <v>0</v>
      </c>
      <c r="EV228" s="373">
        <v>0</v>
      </c>
      <c r="EW228" s="373">
        <v>0</v>
      </c>
      <c r="EX228" s="373">
        <v>0</v>
      </c>
      <c r="EY228" s="375">
        <f t="shared" si="294"/>
        <v>0</v>
      </c>
      <c r="EZ228" s="164">
        <v>0</v>
      </c>
      <c r="FA228" s="185">
        <v>0</v>
      </c>
    </row>
    <row r="229" spans="1:157" ht="18.75" customHeight="1">
      <c r="A229" s="185" t="s">
        <v>328</v>
      </c>
      <c r="B229" s="774"/>
      <c r="C229" s="176" t="s">
        <v>934</v>
      </c>
      <c r="D229" s="176">
        <v>67001000</v>
      </c>
      <c r="E229" s="773"/>
      <c r="F229" s="320" t="s">
        <v>361</v>
      </c>
      <c r="G229" s="329"/>
      <c r="H229" s="373"/>
      <c r="I229" s="373"/>
      <c r="J229" s="373"/>
      <c r="K229" s="373"/>
      <c r="L229" s="373"/>
      <c r="M229" s="373"/>
      <c r="N229" s="374"/>
      <c r="O229" s="373"/>
      <c r="P229" s="373"/>
      <c r="Q229" s="373"/>
      <c r="R229" s="373"/>
      <c r="S229" s="377">
        <v>100000</v>
      </c>
      <c r="T229" s="375">
        <f t="shared" ref="T229:T234" si="297">SUM(H229:S229)</f>
        <v>100000</v>
      </c>
      <c r="U229" s="378">
        <f t="shared" si="296"/>
        <v>23353</v>
      </c>
      <c r="V229" s="165">
        <f t="shared" si="290"/>
        <v>0.18931846002934666</v>
      </c>
      <c r="W229" s="954"/>
      <c r="X229" s="373">
        <v>0</v>
      </c>
      <c r="Y229" s="373">
        <v>0</v>
      </c>
      <c r="Z229" s="373">
        <v>0</v>
      </c>
      <c r="AA229" s="373">
        <v>0</v>
      </c>
      <c r="AB229" s="373">
        <v>0</v>
      </c>
      <c r="AC229" s="373">
        <v>0</v>
      </c>
      <c r="AD229" s="374">
        <v>0</v>
      </c>
      <c r="AE229" s="373">
        <v>0</v>
      </c>
      <c r="AF229" s="373">
        <v>0</v>
      </c>
      <c r="AG229" s="373">
        <v>0</v>
      </c>
      <c r="AH229" s="373">
        <v>0</v>
      </c>
      <c r="AI229" s="373">
        <v>123353</v>
      </c>
      <c r="AJ229" s="375">
        <f t="shared" si="288"/>
        <v>123353</v>
      </c>
      <c r="AK229" s="954"/>
      <c r="AL229" s="373">
        <v>0</v>
      </c>
      <c r="AM229" s="373">
        <v>0</v>
      </c>
      <c r="AN229" s="373">
        <v>0</v>
      </c>
      <c r="AO229" s="373">
        <v>0</v>
      </c>
      <c r="AP229" s="373">
        <v>0</v>
      </c>
      <c r="AQ229" s="373">
        <v>0</v>
      </c>
      <c r="AR229" s="374">
        <v>161017.87</v>
      </c>
      <c r="AS229" s="373">
        <v>0</v>
      </c>
      <c r="AT229" s="373">
        <v>0</v>
      </c>
      <c r="AU229" s="373">
        <v>0</v>
      </c>
      <c r="AV229" s="373">
        <v>0</v>
      </c>
      <c r="AW229" s="373">
        <v>0</v>
      </c>
      <c r="AX229" s="375">
        <v>161018</v>
      </c>
      <c r="AY229" s="378">
        <f t="shared" si="291"/>
        <v>-0.13000000000465661</v>
      </c>
      <c r="AZ229" s="165">
        <f t="shared" si="292"/>
        <v>-8.0736380381045042E-7</v>
      </c>
      <c r="BA229" s="954"/>
      <c r="BB229" s="373">
        <v>0</v>
      </c>
      <c r="BC229" s="373">
        <v>0</v>
      </c>
      <c r="BD229" s="373">
        <v>161017.87</v>
      </c>
      <c r="BE229" s="373">
        <v>0</v>
      </c>
      <c r="BF229" s="373">
        <v>0</v>
      </c>
      <c r="BG229" s="373">
        <v>0</v>
      </c>
      <c r="BH229" s="374">
        <v>0</v>
      </c>
      <c r="BI229" s="373">
        <v>0</v>
      </c>
      <c r="BJ229" s="373">
        <v>0</v>
      </c>
      <c r="BK229" s="373">
        <v>0</v>
      </c>
      <c r="BL229" s="373">
        <v>0</v>
      </c>
      <c r="BM229" s="373">
        <v>0</v>
      </c>
      <c r="BN229" s="402">
        <f t="shared" si="295"/>
        <v>161017.87</v>
      </c>
      <c r="BO229" s="954"/>
      <c r="BP229" s="374">
        <v>0</v>
      </c>
      <c r="BQ229" s="374">
        <v>0</v>
      </c>
      <c r="BR229" s="374">
        <v>171989.076</v>
      </c>
      <c r="BS229" s="374">
        <v>0</v>
      </c>
      <c r="BT229" s="374">
        <v>0</v>
      </c>
      <c r="BU229" s="374">
        <v>0</v>
      </c>
      <c r="BV229" s="374">
        <v>0</v>
      </c>
      <c r="BW229" s="374">
        <v>0</v>
      </c>
      <c r="BX229" s="374">
        <v>0</v>
      </c>
      <c r="BY229" s="374">
        <v>0</v>
      </c>
      <c r="BZ229" s="374">
        <v>0</v>
      </c>
      <c r="CA229" s="374">
        <v>0</v>
      </c>
      <c r="CB229" s="402">
        <f t="shared" si="282"/>
        <v>171989.076</v>
      </c>
      <c r="CC229" s="776">
        <f t="shared" si="274"/>
        <v>10971.206000000006</v>
      </c>
      <c r="CD229" s="775">
        <f t="shared" si="275"/>
        <v>6.3790132810528075E-2</v>
      </c>
      <c r="CE229" s="772"/>
      <c r="CF229" s="374">
        <v>0</v>
      </c>
      <c r="CG229" s="374">
        <v>0</v>
      </c>
      <c r="CH229" s="374">
        <v>163799.12</v>
      </c>
      <c r="CI229" s="374">
        <v>0</v>
      </c>
      <c r="CJ229" s="374">
        <v>0</v>
      </c>
      <c r="CK229" s="374">
        <v>0</v>
      </c>
      <c r="CL229" s="374">
        <v>0</v>
      </c>
      <c r="CM229" s="374">
        <v>0</v>
      </c>
      <c r="CN229" s="374">
        <v>0</v>
      </c>
      <c r="CO229" s="374">
        <v>0</v>
      </c>
      <c r="CP229" s="374">
        <v>0</v>
      </c>
      <c r="CQ229" s="374">
        <v>0</v>
      </c>
      <c r="CR229" s="374">
        <v>0</v>
      </c>
      <c r="CS229" s="402">
        <f t="shared" si="276"/>
        <v>163799.12</v>
      </c>
      <c r="CT229" s="776">
        <f t="shared" si="277"/>
        <v>2781.25</v>
      </c>
      <c r="CU229" s="165">
        <f t="shared" si="278"/>
        <v>1.6979639451054438E-2</v>
      </c>
      <c r="CV229" s="329"/>
      <c r="CW229" s="373">
        <v>0</v>
      </c>
      <c r="CX229" s="373">
        <v>0</v>
      </c>
      <c r="CY229" s="373">
        <v>0</v>
      </c>
      <c r="CZ229" s="373">
        <v>0</v>
      </c>
      <c r="DA229" s="373">
        <v>0</v>
      </c>
      <c r="DB229" s="373">
        <v>0</v>
      </c>
      <c r="DC229" s="374">
        <v>115437.62</v>
      </c>
      <c r="DD229" s="373">
        <v>0</v>
      </c>
      <c r="DE229" s="373">
        <v>0</v>
      </c>
      <c r="DF229" s="373">
        <v>0</v>
      </c>
      <c r="DG229" s="373">
        <v>0</v>
      </c>
      <c r="DH229" s="373">
        <v>0</v>
      </c>
      <c r="DI229" s="375">
        <f t="shared" si="279"/>
        <v>115437.62</v>
      </c>
      <c r="DJ229" s="329"/>
      <c r="DK229" s="373">
        <v>0</v>
      </c>
      <c r="DL229" s="373">
        <v>112675.46</v>
      </c>
      <c r="DM229" s="373">
        <v>0</v>
      </c>
      <c r="DN229" s="373">
        <v>0</v>
      </c>
      <c r="DO229" s="373">
        <v>0</v>
      </c>
      <c r="DP229" s="373">
        <v>0</v>
      </c>
      <c r="DQ229" s="374">
        <v>0</v>
      </c>
      <c r="DR229" s="373">
        <v>0</v>
      </c>
      <c r="DS229" s="373">
        <v>0</v>
      </c>
      <c r="DT229" s="373">
        <v>0</v>
      </c>
      <c r="DU229" s="373">
        <v>0</v>
      </c>
      <c r="DV229" s="373">
        <v>0</v>
      </c>
      <c r="DW229" s="375">
        <f t="shared" si="280"/>
        <v>112675.46</v>
      </c>
      <c r="DY229" s="373">
        <v>0</v>
      </c>
      <c r="DZ229" s="373">
        <v>0</v>
      </c>
      <c r="EA229" s="373">
        <v>0</v>
      </c>
      <c r="EB229" s="373">
        <v>117153.28</v>
      </c>
      <c r="EC229" s="373">
        <v>0</v>
      </c>
      <c r="ED229" s="373">
        <v>0</v>
      </c>
      <c r="EE229" s="374">
        <v>0</v>
      </c>
      <c r="EF229" s="373">
        <v>0</v>
      </c>
      <c r="EG229" s="373">
        <v>0</v>
      </c>
      <c r="EH229" s="373">
        <v>0</v>
      </c>
      <c r="EI229" s="373">
        <v>0</v>
      </c>
      <c r="EJ229" s="373">
        <v>458644.97</v>
      </c>
      <c r="EK229" s="375">
        <f t="shared" si="293"/>
        <v>575798.25</v>
      </c>
      <c r="EL229" s="177"/>
      <c r="EM229" s="373">
        <v>0</v>
      </c>
      <c r="EN229" s="373">
        <v>0</v>
      </c>
      <c r="EO229" s="373">
        <v>0</v>
      </c>
      <c r="EP229" s="373">
        <v>0</v>
      </c>
      <c r="EQ229" s="373">
        <v>0</v>
      </c>
      <c r="ER229" s="373">
        <v>0</v>
      </c>
      <c r="ES229" s="374">
        <v>0</v>
      </c>
      <c r="ET229" s="373">
        <v>0</v>
      </c>
      <c r="EU229" s="373">
        <v>0</v>
      </c>
      <c r="EV229" s="373">
        <v>0</v>
      </c>
      <c r="EW229" s="373">
        <v>0</v>
      </c>
      <c r="EX229" s="373">
        <v>218169.9</v>
      </c>
      <c r="EY229" s="375">
        <f t="shared" si="294"/>
        <v>218169.9</v>
      </c>
      <c r="EZ229" s="164">
        <v>0</v>
      </c>
      <c r="FA229" s="185">
        <v>0</v>
      </c>
    </row>
    <row r="230" spans="1:157" ht="18.75" customHeight="1">
      <c r="A230" s="185" t="s">
        <v>328</v>
      </c>
      <c r="B230" s="774"/>
      <c r="C230" s="176" t="s">
        <v>933</v>
      </c>
      <c r="D230" s="176">
        <v>67002000</v>
      </c>
      <c r="E230" s="773"/>
      <c r="F230" s="320" t="s">
        <v>708</v>
      </c>
      <c r="G230" s="329"/>
      <c r="H230" s="373"/>
      <c r="I230" s="373"/>
      <c r="J230" s="373"/>
      <c r="K230" s="373"/>
      <c r="L230" s="373"/>
      <c r="M230" s="373"/>
      <c r="N230" s="374"/>
      <c r="O230" s="373"/>
      <c r="P230" s="373"/>
      <c r="Q230" s="373"/>
      <c r="R230" s="373"/>
      <c r="S230" s="373"/>
      <c r="T230" s="375">
        <f t="shared" si="297"/>
        <v>0</v>
      </c>
      <c r="U230" s="378">
        <f t="shared" si="296"/>
        <v>0</v>
      </c>
      <c r="V230" s="165" t="e">
        <f t="shared" si="290"/>
        <v>#DIV/0!</v>
      </c>
      <c r="W230" s="329"/>
      <c r="X230" s="373">
        <v>0</v>
      </c>
      <c r="Y230" s="373">
        <v>0</v>
      </c>
      <c r="Z230" s="373">
        <v>0</v>
      </c>
      <c r="AA230" s="373">
        <v>0</v>
      </c>
      <c r="AB230" s="373">
        <v>0</v>
      </c>
      <c r="AC230" s="373">
        <v>0</v>
      </c>
      <c r="AD230" s="374">
        <v>0</v>
      </c>
      <c r="AE230" s="373">
        <v>0</v>
      </c>
      <c r="AF230" s="373">
        <v>0</v>
      </c>
      <c r="AG230" s="373">
        <v>0</v>
      </c>
      <c r="AH230" s="373">
        <v>0</v>
      </c>
      <c r="AI230" s="373">
        <v>0</v>
      </c>
      <c r="AJ230" s="375">
        <f t="shared" ref="AJ230:AJ233" si="298">SUM(X230:AI230)</f>
        <v>0</v>
      </c>
      <c r="AK230" s="329"/>
      <c r="AL230" s="373">
        <v>0</v>
      </c>
      <c r="AM230" s="373">
        <v>0</v>
      </c>
      <c r="AN230" s="373">
        <v>0</v>
      </c>
      <c r="AO230" s="373">
        <v>0</v>
      </c>
      <c r="AP230" s="373">
        <v>0</v>
      </c>
      <c r="AQ230" s="373">
        <v>0</v>
      </c>
      <c r="AR230" s="374">
        <v>0</v>
      </c>
      <c r="AS230" s="373">
        <v>0</v>
      </c>
      <c r="AT230" s="373">
        <v>0</v>
      </c>
      <c r="AU230" s="373">
        <v>0</v>
      </c>
      <c r="AV230" s="373">
        <v>0</v>
      </c>
      <c r="AW230" s="373">
        <v>68962.95</v>
      </c>
      <c r="AX230" s="375">
        <v>68963</v>
      </c>
      <c r="AY230" s="378">
        <f t="shared" si="291"/>
        <v>335570.56</v>
      </c>
      <c r="AZ230" s="165">
        <f t="shared" si="292"/>
        <v>0.82952465056298419</v>
      </c>
      <c r="BA230" s="329"/>
      <c r="BB230" s="373">
        <v>0</v>
      </c>
      <c r="BC230" s="373">
        <v>0</v>
      </c>
      <c r="BD230" s="373">
        <v>0</v>
      </c>
      <c r="BE230" s="373">
        <v>0</v>
      </c>
      <c r="BF230" s="373">
        <v>0</v>
      </c>
      <c r="BG230" s="373">
        <v>0</v>
      </c>
      <c r="BH230" s="374">
        <v>0</v>
      </c>
      <c r="BI230" s="373">
        <v>0</v>
      </c>
      <c r="BJ230" s="373">
        <v>0</v>
      </c>
      <c r="BK230" s="373">
        <v>0</v>
      </c>
      <c r="BL230" s="373">
        <v>0</v>
      </c>
      <c r="BM230" s="373">
        <v>404533.56</v>
      </c>
      <c r="BN230" s="402">
        <f>SUM(BB230:BM230)</f>
        <v>404533.56</v>
      </c>
      <c r="BO230" s="329"/>
      <c r="BP230" s="374">
        <v>0</v>
      </c>
      <c r="BQ230" s="374">
        <v>0</v>
      </c>
      <c r="BR230" s="374">
        <v>0</v>
      </c>
      <c r="BS230" s="374">
        <v>0</v>
      </c>
      <c r="BT230" s="374">
        <v>0</v>
      </c>
      <c r="BU230" s="374">
        <v>0</v>
      </c>
      <c r="BV230" s="374">
        <v>0</v>
      </c>
      <c r="BW230" s="374">
        <v>0</v>
      </c>
      <c r="BX230" s="374">
        <v>0</v>
      </c>
      <c r="BY230" s="374">
        <v>0</v>
      </c>
      <c r="BZ230" s="374">
        <v>0</v>
      </c>
      <c r="CA230" s="374">
        <v>500000</v>
      </c>
      <c r="CB230" s="402">
        <f t="shared" si="282"/>
        <v>500000</v>
      </c>
      <c r="CC230" s="776">
        <f t="shared" si="274"/>
        <v>95466.44</v>
      </c>
      <c r="CD230" s="775">
        <f t="shared" si="275"/>
        <v>0.19093288</v>
      </c>
      <c r="CE230" s="772"/>
      <c r="CF230" s="374">
        <v>0</v>
      </c>
      <c r="CG230" s="374">
        <v>39956.81</v>
      </c>
      <c r="CH230" s="374">
        <v>0</v>
      </c>
      <c r="CI230" s="374">
        <v>0</v>
      </c>
      <c r="CJ230" s="374">
        <v>0</v>
      </c>
      <c r="CK230" s="374">
        <v>0</v>
      </c>
      <c r="CL230" s="374">
        <v>0</v>
      </c>
      <c r="CM230" s="374">
        <v>0</v>
      </c>
      <c r="CN230" s="374">
        <v>0</v>
      </c>
      <c r="CO230" s="374">
        <v>184533.18</v>
      </c>
      <c r="CP230" s="374">
        <v>0</v>
      </c>
      <c r="CQ230" s="374">
        <v>365792.63</v>
      </c>
      <c r="CR230" s="374">
        <v>0</v>
      </c>
      <c r="CS230" s="402">
        <f t="shared" si="276"/>
        <v>590282.62</v>
      </c>
      <c r="CT230" s="776">
        <f t="shared" si="277"/>
        <v>185749.06</v>
      </c>
      <c r="CU230" s="165">
        <f t="shared" si="278"/>
        <v>0.31467817907293288</v>
      </c>
      <c r="CV230" s="329"/>
      <c r="CW230" s="373">
        <v>0</v>
      </c>
      <c r="CX230" s="373">
        <v>0</v>
      </c>
      <c r="CY230" s="373">
        <v>0</v>
      </c>
      <c r="CZ230" s="373">
        <v>0</v>
      </c>
      <c r="DA230" s="373">
        <v>0</v>
      </c>
      <c r="DB230" s="373">
        <v>0</v>
      </c>
      <c r="DC230" s="374">
        <v>0</v>
      </c>
      <c r="DD230" s="373">
        <v>0</v>
      </c>
      <c r="DE230" s="373">
        <v>102066.48</v>
      </c>
      <c r="DF230" s="373">
        <v>0</v>
      </c>
      <c r="DG230" s="373">
        <v>0</v>
      </c>
      <c r="DH230" s="373">
        <v>184688.23</v>
      </c>
      <c r="DI230" s="375">
        <f t="shared" si="279"/>
        <v>286754.71000000002</v>
      </c>
      <c r="DJ230" s="329"/>
      <c r="DK230" s="373">
        <v>0</v>
      </c>
      <c r="DL230" s="373">
        <v>0</v>
      </c>
      <c r="DM230" s="373">
        <v>0</v>
      </c>
      <c r="DN230" s="373">
        <v>0</v>
      </c>
      <c r="DO230" s="373">
        <v>0</v>
      </c>
      <c r="DP230" s="373">
        <v>0</v>
      </c>
      <c r="DQ230" s="374">
        <v>0</v>
      </c>
      <c r="DR230" s="373">
        <v>0</v>
      </c>
      <c r="DS230" s="373">
        <v>0</v>
      </c>
      <c r="DT230" s="373">
        <v>0</v>
      </c>
      <c r="DU230" s="373">
        <v>0</v>
      </c>
      <c r="DV230" s="373">
        <v>0</v>
      </c>
      <c r="DW230" s="375">
        <f t="shared" si="280"/>
        <v>0</v>
      </c>
      <c r="DY230" s="373">
        <v>0</v>
      </c>
      <c r="DZ230" s="373">
        <v>0</v>
      </c>
      <c r="EA230" s="373">
        <v>0</v>
      </c>
      <c r="EB230" s="373">
        <v>0</v>
      </c>
      <c r="EC230" s="373">
        <v>0</v>
      </c>
      <c r="ED230" s="373">
        <v>0</v>
      </c>
      <c r="EE230" s="374">
        <v>0</v>
      </c>
      <c r="EF230" s="373">
        <v>0</v>
      </c>
      <c r="EG230" s="373">
        <v>0</v>
      </c>
      <c r="EH230" s="373">
        <v>0</v>
      </c>
      <c r="EI230" s="373">
        <v>0</v>
      </c>
      <c r="EJ230" s="373">
        <v>0</v>
      </c>
      <c r="EK230" s="375">
        <f t="shared" si="293"/>
        <v>0</v>
      </c>
      <c r="EL230" s="177"/>
      <c r="EM230" s="373">
        <v>0</v>
      </c>
      <c r="EN230" s="373">
        <v>0</v>
      </c>
      <c r="EO230" s="373">
        <v>0</v>
      </c>
      <c r="EP230" s="373">
        <v>0</v>
      </c>
      <c r="EQ230" s="373">
        <v>0</v>
      </c>
      <c r="ER230" s="373">
        <v>0</v>
      </c>
      <c r="ES230" s="374">
        <v>0</v>
      </c>
      <c r="ET230" s="373">
        <v>0</v>
      </c>
      <c r="EU230" s="373">
        <v>0</v>
      </c>
      <c r="EV230" s="373">
        <v>0</v>
      </c>
      <c r="EW230" s="373">
        <v>0</v>
      </c>
      <c r="EX230" s="373">
        <v>0</v>
      </c>
      <c r="EY230" s="375">
        <f t="shared" si="294"/>
        <v>0</v>
      </c>
      <c r="EZ230" s="164">
        <v>0</v>
      </c>
      <c r="FA230" s="185">
        <v>0</v>
      </c>
    </row>
    <row r="231" spans="1:157" ht="18.75" customHeight="1">
      <c r="A231" s="186" t="s">
        <v>1675</v>
      </c>
      <c r="B231" s="1525"/>
      <c r="C231" s="327"/>
      <c r="D231" s="186" t="s">
        <v>1675</v>
      </c>
      <c r="E231" s="1526"/>
      <c r="F231" s="329" t="s">
        <v>1676</v>
      </c>
      <c r="G231" s="329"/>
      <c r="H231" s="373"/>
      <c r="I231" s="373"/>
      <c r="J231" s="373"/>
      <c r="K231" s="373"/>
      <c r="L231" s="373"/>
      <c r="M231" s="373"/>
      <c r="N231" s="374"/>
      <c r="O231" s="373"/>
      <c r="P231" s="373"/>
      <c r="Q231" s="373"/>
      <c r="R231" s="373"/>
      <c r="S231" s="373">
        <v>88754951.150944859</v>
      </c>
      <c r="T231" s="981">
        <f>'Manufacturing cost analysis'!AW58</f>
        <v>89242976.570721164</v>
      </c>
      <c r="U231" s="378">
        <f t="shared" ref="U231:U233" si="299">AJ231-T231</f>
        <v>-89242976.570721164</v>
      </c>
      <c r="V231" s="165" t="e">
        <f t="shared" ref="V231:V233" si="300">U231/AJ231</f>
        <v>#DIV/0!</v>
      </c>
      <c r="W231" s="329"/>
      <c r="X231" s="373"/>
      <c r="Y231" s="373"/>
      <c r="Z231" s="373"/>
      <c r="AA231" s="373"/>
      <c r="AB231" s="373"/>
      <c r="AC231" s="373"/>
      <c r="AD231" s="374"/>
      <c r="AE231" s="373"/>
      <c r="AF231" s="373"/>
      <c r="AG231" s="373"/>
      <c r="AH231" s="373"/>
      <c r="AI231" s="373"/>
      <c r="AJ231" s="375">
        <f t="shared" si="298"/>
        <v>0</v>
      </c>
      <c r="AK231" s="329"/>
      <c r="AL231" s="373"/>
      <c r="AM231" s="373"/>
      <c r="AN231" s="373"/>
      <c r="AO231" s="373"/>
      <c r="AP231" s="373"/>
      <c r="AQ231" s="373"/>
      <c r="AR231" s="374"/>
      <c r="AS231" s="373"/>
      <c r="AT231" s="373"/>
      <c r="AU231" s="373"/>
      <c r="AV231" s="373"/>
      <c r="AW231" s="373"/>
      <c r="AX231" s="375"/>
      <c r="AY231" s="378"/>
      <c r="AZ231" s="165"/>
      <c r="BA231" s="329"/>
      <c r="BB231" s="373"/>
      <c r="BC231" s="373"/>
      <c r="BD231" s="373"/>
      <c r="BE231" s="373"/>
      <c r="BF231" s="373"/>
      <c r="BG231" s="373"/>
      <c r="BH231" s="374"/>
      <c r="BI231" s="373"/>
      <c r="BJ231" s="373"/>
      <c r="BK231" s="373"/>
      <c r="BL231" s="373"/>
      <c r="BM231" s="373"/>
      <c r="BN231" s="402"/>
      <c r="BO231" s="329"/>
      <c r="BP231" s="374"/>
      <c r="BQ231" s="374"/>
      <c r="BR231" s="374"/>
      <c r="BS231" s="374"/>
      <c r="BT231" s="374"/>
      <c r="BU231" s="374"/>
      <c r="BV231" s="374"/>
      <c r="BW231" s="374"/>
      <c r="BX231" s="374"/>
      <c r="BY231" s="374"/>
      <c r="BZ231" s="374"/>
      <c r="CA231" s="374"/>
      <c r="CB231" s="402"/>
      <c r="CC231" s="776"/>
      <c r="CD231" s="775"/>
      <c r="CE231" s="772"/>
      <c r="CF231" s="374"/>
      <c r="CG231" s="374"/>
      <c r="CH231" s="374"/>
      <c r="CI231" s="374"/>
      <c r="CJ231" s="374"/>
      <c r="CK231" s="374"/>
      <c r="CL231" s="374"/>
      <c r="CM231" s="374"/>
      <c r="CN231" s="374"/>
      <c r="CO231" s="374"/>
      <c r="CP231" s="374"/>
      <c r="CQ231" s="374"/>
      <c r="CR231" s="374"/>
      <c r="CS231" s="402"/>
      <c r="CT231" s="776"/>
      <c r="CU231" s="165"/>
      <c r="CV231" s="329"/>
      <c r="CW231" s="373"/>
      <c r="CX231" s="373"/>
      <c r="CY231" s="373"/>
      <c r="CZ231" s="373"/>
      <c r="DA231" s="373"/>
      <c r="DB231" s="373"/>
      <c r="DC231" s="374"/>
      <c r="DD231" s="373"/>
      <c r="DE231" s="373"/>
      <c r="DF231" s="373"/>
      <c r="DG231" s="373"/>
      <c r="DH231" s="373"/>
      <c r="DI231" s="375"/>
      <c r="DJ231" s="329"/>
      <c r="DK231" s="373"/>
      <c r="DL231" s="373"/>
      <c r="DM231" s="373"/>
      <c r="DN231" s="373"/>
      <c r="DO231" s="373"/>
      <c r="DP231" s="373"/>
      <c r="DQ231" s="374"/>
      <c r="DR231" s="373"/>
      <c r="DS231" s="373"/>
      <c r="DT231" s="373"/>
      <c r="DU231" s="373"/>
      <c r="DV231" s="373"/>
      <c r="DW231" s="375"/>
      <c r="DY231" s="373"/>
      <c r="DZ231" s="373"/>
      <c r="EA231" s="373"/>
      <c r="EB231" s="373"/>
      <c r="EC231" s="373"/>
      <c r="ED231" s="373"/>
      <c r="EE231" s="374"/>
      <c r="EF231" s="373"/>
      <c r="EG231" s="373"/>
      <c r="EH231" s="373"/>
      <c r="EI231" s="373"/>
      <c r="EJ231" s="373"/>
      <c r="EK231" s="375"/>
      <c r="EL231" s="177"/>
      <c r="EM231" s="373"/>
      <c r="EN231" s="373"/>
      <c r="EO231" s="373"/>
      <c r="EP231" s="373"/>
      <c r="EQ231" s="373"/>
      <c r="ER231" s="373"/>
      <c r="ES231" s="374"/>
      <c r="ET231" s="373"/>
      <c r="EU231" s="373"/>
      <c r="EV231" s="373"/>
      <c r="EW231" s="373"/>
      <c r="EX231" s="373"/>
      <c r="EY231" s="375"/>
      <c r="EZ231" s="164"/>
    </row>
    <row r="232" spans="1:157" ht="18.75" customHeight="1">
      <c r="A232" s="186" t="s">
        <v>1677</v>
      </c>
      <c r="B232" s="1525"/>
      <c r="C232" s="327"/>
      <c r="D232" s="186" t="s">
        <v>1677</v>
      </c>
      <c r="E232" s="1526"/>
      <c r="F232" s="329" t="s">
        <v>1747</v>
      </c>
      <c r="G232" s="329"/>
      <c r="H232" s="373"/>
      <c r="I232" s="373"/>
      <c r="J232" s="373"/>
      <c r="K232" s="373"/>
      <c r="L232" s="373"/>
      <c r="M232" s="373"/>
      <c r="N232" s="374"/>
      <c r="O232" s="373"/>
      <c r="P232" s="373"/>
      <c r="Q232" s="373"/>
      <c r="R232" s="373"/>
      <c r="S232" s="373">
        <v>37781912.763848536</v>
      </c>
      <c r="T232" s="981">
        <v>37487902.81963937</v>
      </c>
      <c r="U232" s="378">
        <f t="shared" si="299"/>
        <v>-37487902.81963937</v>
      </c>
      <c r="V232" s="165" t="e">
        <f t="shared" si="300"/>
        <v>#DIV/0!</v>
      </c>
      <c r="W232" s="329"/>
      <c r="X232" s="373"/>
      <c r="Y232" s="373"/>
      <c r="Z232" s="373"/>
      <c r="AA232" s="373"/>
      <c r="AB232" s="373"/>
      <c r="AC232" s="373"/>
      <c r="AD232" s="374"/>
      <c r="AE232" s="373"/>
      <c r="AF232" s="373"/>
      <c r="AG232" s="373"/>
      <c r="AH232" s="373"/>
      <c r="AI232" s="373"/>
      <c r="AJ232" s="375">
        <f t="shared" si="298"/>
        <v>0</v>
      </c>
      <c r="AK232" s="329"/>
      <c r="AL232" s="373"/>
      <c r="AM232" s="373"/>
      <c r="AN232" s="373"/>
      <c r="AO232" s="373"/>
      <c r="AP232" s="373"/>
      <c r="AQ232" s="373"/>
      <c r="AR232" s="374"/>
      <c r="AS232" s="373"/>
      <c r="AT232" s="373"/>
      <c r="AU232" s="373"/>
      <c r="AV232" s="373"/>
      <c r="AW232" s="373"/>
      <c r="AX232" s="375"/>
      <c r="AY232" s="378"/>
      <c r="AZ232" s="165"/>
      <c r="BA232" s="329"/>
      <c r="BB232" s="373"/>
      <c r="BC232" s="373"/>
      <c r="BD232" s="373"/>
      <c r="BE232" s="373"/>
      <c r="BF232" s="373"/>
      <c r="BG232" s="373"/>
      <c r="BH232" s="374"/>
      <c r="BI232" s="373"/>
      <c r="BJ232" s="373"/>
      <c r="BK232" s="373"/>
      <c r="BL232" s="373"/>
      <c r="BM232" s="373"/>
      <c r="BN232" s="402"/>
      <c r="BO232" s="329"/>
      <c r="BP232" s="374"/>
      <c r="BQ232" s="374"/>
      <c r="BR232" s="374"/>
      <c r="BS232" s="374"/>
      <c r="BT232" s="374"/>
      <c r="BU232" s="374"/>
      <c r="BV232" s="374"/>
      <c r="BW232" s="374"/>
      <c r="BX232" s="374"/>
      <c r="BY232" s="374"/>
      <c r="BZ232" s="374"/>
      <c r="CA232" s="374"/>
      <c r="CB232" s="402"/>
      <c r="CC232" s="776"/>
      <c r="CD232" s="775"/>
      <c r="CE232" s="772"/>
      <c r="CF232" s="374"/>
      <c r="CG232" s="374"/>
      <c r="CH232" s="374"/>
      <c r="CI232" s="374"/>
      <c r="CJ232" s="374"/>
      <c r="CK232" s="374"/>
      <c r="CL232" s="374"/>
      <c r="CM232" s="374"/>
      <c r="CN232" s="374"/>
      <c r="CO232" s="374"/>
      <c r="CP232" s="374"/>
      <c r="CQ232" s="374"/>
      <c r="CR232" s="374"/>
      <c r="CS232" s="402"/>
      <c r="CT232" s="776"/>
      <c r="CU232" s="165"/>
      <c r="CV232" s="329"/>
      <c r="CW232" s="373"/>
      <c r="CX232" s="373"/>
      <c r="CY232" s="373"/>
      <c r="CZ232" s="373"/>
      <c r="DA232" s="373"/>
      <c r="DB232" s="373"/>
      <c r="DC232" s="374"/>
      <c r="DD232" s="373"/>
      <c r="DE232" s="373"/>
      <c r="DF232" s="373"/>
      <c r="DG232" s="373"/>
      <c r="DH232" s="373"/>
      <c r="DI232" s="375"/>
      <c r="DJ232" s="329"/>
      <c r="DK232" s="373"/>
      <c r="DL232" s="373"/>
      <c r="DM232" s="373"/>
      <c r="DN232" s="373"/>
      <c r="DO232" s="373"/>
      <c r="DP232" s="373"/>
      <c r="DQ232" s="374"/>
      <c r="DR232" s="373"/>
      <c r="DS232" s="373"/>
      <c r="DT232" s="373"/>
      <c r="DU232" s="373"/>
      <c r="DV232" s="373"/>
      <c r="DW232" s="375"/>
      <c r="DY232" s="373"/>
      <c r="DZ232" s="373"/>
      <c r="EA232" s="373"/>
      <c r="EB232" s="373"/>
      <c r="EC232" s="373"/>
      <c r="ED232" s="373"/>
      <c r="EE232" s="374"/>
      <c r="EF232" s="373"/>
      <c r="EG232" s="373"/>
      <c r="EH232" s="373"/>
      <c r="EI232" s="373"/>
      <c r="EJ232" s="373"/>
      <c r="EK232" s="375"/>
      <c r="EL232" s="177"/>
      <c r="EM232" s="373"/>
      <c r="EN232" s="373"/>
      <c r="EO232" s="373"/>
      <c r="EP232" s="373"/>
      <c r="EQ232" s="373"/>
      <c r="ER232" s="373"/>
      <c r="ES232" s="374"/>
      <c r="ET232" s="373"/>
      <c r="EU232" s="373"/>
      <c r="EV232" s="373"/>
      <c r="EW232" s="373"/>
      <c r="EX232" s="373"/>
      <c r="EY232" s="375"/>
      <c r="EZ232" s="164"/>
    </row>
    <row r="233" spans="1:157" ht="18.75" customHeight="1">
      <c r="A233" s="186" t="s">
        <v>619</v>
      </c>
      <c r="B233" s="1525"/>
      <c r="C233" s="327"/>
      <c r="D233" s="327" t="s">
        <v>1727</v>
      </c>
      <c r="E233" s="1526"/>
      <c r="F233" s="329" t="s">
        <v>1678</v>
      </c>
      <c r="G233" s="329"/>
      <c r="H233" s="373"/>
      <c r="I233" s="373"/>
      <c r="J233" s="373"/>
      <c r="K233" s="373"/>
      <c r="L233" s="373"/>
      <c r="M233" s="373"/>
      <c r="N233" s="374"/>
      <c r="O233" s="373"/>
      <c r="P233" s="373"/>
      <c r="Q233" s="373"/>
      <c r="R233" s="373"/>
      <c r="S233" s="1523">
        <v>571400</v>
      </c>
      <c r="T233" s="375">
        <f t="shared" si="297"/>
        <v>571400</v>
      </c>
      <c r="U233" s="378">
        <f t="shared" si="299"/>
        <v>-571400</v>
      </c>
      <c r="V233" s="165" t="e">
        <f t="shared" si="300"/>
        <v>#DIV/0!</v>
      </c>
      <c r="W233" s="329"/>
      <c r="X233" s="373"/>
      <c r="Y233" s="373"/>
      <c r="Z233" s="373"/>
      <c r="AA233" s="373"/>
      <c r="AB233" s="373"/>
      <c r="AC233" s="373"/>
      <c r="AD233" s="374"/>
      <c r="AE233" s="373"/>
      <c r="AF233" s="373"/>
      <c r="AG233" s="373"/>
      <c r="AH233" s="373"/>
      <c r="AI233" s="373"/>
      <c r="AJ233" s="375">
        <f t="shared" si="298"/>
        <v>0</v>
      </c>
      <c r="AK233" s="329"/>
      <c r="AL233" s="373"/>
      <c r="AM233" s="373"/>
      <c r="AN233" s="373"/>
      <c r="AO233" s="373"/>
      <c r="AP233" s="373"/>
      <c r="AQ233" s="373"/>
      <c r="AR233" s="374"/>
      <c r="AS233" s="373"/>
      <c r="AT233" s="373"/>
      <c r="AU233" s="373"/>
      <c r="AV233" s="373"/>
      <c r="AW233" s="373"/>
      <c r="AX233" s="375"/>
      <c r="AY233" s="378"/>
      <c r="AZ233" s="165"/>
      <c r="BA233" s="329"/>
      <c r="BB233" s="373"/>
      <c r="BC233" s="373"/>
      <c r="BD233" s="373"/>
      <c r="BE233" s="373"/>
      <c r="BF233" s="373"/>
      <c r="BG233" s="373"/>
      <c r="BH233" s="374"/>
      <c r="BI233" s="373"/>
      <c r="BJ233" s="373"/>
      <c r="BK233" s="373"/>
      <c r="BL233" s="373"/>
      <c r="BM233" s="373"/>
      <c r="BN233" s="402"/>
      <c r="BO233" s="329"/>
      <c r="BP233" s="374"/>
      <c r="BQ233" s="374"/>
      <c r="BR233" s="374"/>
      <c r="BS233" s="374"/>
      <c r="BT233" s="374"/>
      <c r="BU233" s="374"/>
      <c r="BV233" s="374"/>
      <c r="BW233" s="374"/>
      <c r="BX233" s="374"/>
      <c r="BY233" s="374"/>
      <c r="BZ233" s="374"/>
      <c r="CA233" s="374"/>
      <c r="CB233" s="402"/>
      <c r="CC233" s="776"/>
      <c r="CD233" s="775"/>
      <c r="CE233" s="772"/>
      <c r="CF233" s="374"/>
      <c r="CG233" s="374"/>
      <c r="CH233" s="374"/>
      <c r="CI233" s="374"/>
      <c r="CJ233" s="374"/>
      <c r="CK233" s="374"/>
      <c r="CL233" s="374"/>
      <c r="CM233" s="374"/>
      <c r="CN233" s="374"/>
      <c r="CO233" s="374"/>
      <c r="CP233" s="374"/>
      <c r="CQ233" s="374"/>
      <c r="CR233" s="374"/>
      <c r="CS233" s="402"/>
      <c r="CT233" s="776"/>
      <c r="CU233" s="165"/>
      <c r="CV233" s="329"/>
      <c r="CW233" s="373"/>
      <c r="CX233" s="373"/>
      <c r="CY233" s="373"/>
      <c r="CZ233" s="373"/>
      <c r="DA233" s="373"/>
      <c r="DB233" s="373"/>
      <c r="DC233" s="374"/>
      <c r="DD233" s="373"/>
      <c r="DE233" s="373"/>
      <c r="DF233" s="373"/>
      <c r="DG233" s="373"/>
      <c r="DH233" s="373"/>
      <c r="DI233" s="375"/>
      <c r="DJ233" s="329"/>
      <c r="DK233" s="373"/>
      <c r="DL233" s="373"/>
      <c r="DM233" s="373"/>
      <c r="DN233" s="373"/>
      <c r="DO233" s="373"/>
      <c r="DP233" s="373"/>
      <c r="DQ233" s="374"/>
      <c r="DR233" s="373"/>
      <c r="DS233" s="373"/>
      <c r="DT233" s="373"/>
      <c r="DU233" s="373"/>
      <c r="DV233" s="373"/>
      <c r="DW233" s="375"/>
      <c r="DY233" s="373"/>
      <c r="DZ233" s="373"/>
      <c r="EA233" s="373"/>
      <c r="EB233" s="373"/>
      <c r="EC233" s="373"/>
      <c r="ED233" s="373"/>
      <c r="EE233" s="374"/>
      <c r="EF233" s="373"/>
      <c r="EG233" s="373"/>
      <c r="EH233" s="373"/>
      <c r="EI233" s="373"/>
      <c r="EJ233" s="373"/>
      <c r="EK233" s="375"/>
      <c r="EL233" s="177"/>
      <c r="EM233" s="373"/>
      <c r="EN233" s="373"/>
      <c r="EO233" s="373"/>
      <c r="EP233" s="373"/>
      <c r="EQ233" s="373"/>
      <c r="ER233" s="373"/>
      <c r="ES233" s="374"/>
      <c r="ET233" s="373"/>
      <c r="EU233" s="373"/>
      <c r="EV233" s="373"/>
      <c r="EW233" s="373"/>
      <c r="EX233" s="373"/>
      <c r="EY233" s="375"/>
      <c r="EZ233" s="164"/>
    </row>
    <row r="234" spans="1:157" ht="18.75" customHeight="1">
      <c r="A234" s="210"/>
      <c r="B234" s="327"/>
      <c r="C234" s="327"/>
      <c r="D234" s="327"/>
      <c r="E234" s="328"/>
      <c r="F234" s="329"/>
      <c r="G234" s="329"/>
      <c r="H234" s="373"/>
      <c r="I234" s="373"/>
      <c r="J234" s="373"/>
      <c r="K234" s="373"/>
      <c r="L234" s="374"/>
      <c r="M234" s="373"/>
      <c r="N234" s="374"/>
      <c r="O234" s="373"/>
      <c r="P234" s="373"/>
      <c r="Q234" s="373"/>
      <c r="R234" s="373"/>
      <c r="S234" s="373"/>
      <c r="T234" s="375">
        <f t="shared" si="297"/>
        <v>0</v>
      </c>
      <c r="U234" s="378"/>
      <c r="V234" s="165"/>
      <c r="W234" s="329"/>
      <c r="X234" s="373"/>
      <c r="Y234" s="373"/>
      <c r="Z234" s="373"/>
      <c r="AA234" s="373"/>
      <c r="AB234" s="374"/>
      <c r="AC234" s="373"/>
      <c r="AD234" s="374"/>
      <c r="AE234" s="373"/>
      <c r="AF234" s="373"/>
      <c r="AG234" s="373"/>
      <c r="AH234" s="373"/>
      <c r="AI234" s="373"/>
      <c r="AJ234" s="375"/>
      <c r="AK234" s="329"/>
      <c r="AL234" s="373"/>
      <c r="AM234" s="373"/>
      <c r="AN234" s="373"/>
      <c r="AO234" s="373"/>
      <c r="AP234" s="374"/>
      <c r="AQ234" s="373"/>
      <c r="AR234" s="374"/>
      <c r="AS234" s="373"/>
      <c r="AT234" s="373"/>
      <c r="AU234" s="373"/>
      <c r="AV234" s="373"/>
      <c r="AW234" s="373"/>
      <c r="AX234" s="375"/>
      <c r="AY234" s="378"/>
      <c r="AZ234" s="165"/>
      <c r="BA234" s="329"/>
      <c r="BB234" s="373"/>
      <c r="BC234" s="373"/>
      <c r="BD234" s="373"/>
      <c r="BE234" s="373"/>
      <c r="BF234" s="374"/>
      <c r="BG234" s="373"/>
      <c r="BH234" s="374"/>
      <c r="BI234" s="373"/>
      <c r="BJ234" s="373"/>
      <c r="BK234" s="373"/>
      <c r="BL234" s="373"/>
      <c r="BM234" s="373"/>
      <c r="BN234" s="375"/>
      <c r="BO234" s="329"/>
      <c r="BP234" s="373"/>
      <c r="BQ234" s="373"/>
      <c r="BR234" s="373"/>
      <c r="BS234" s="373"/>
      <c r="BT234" s="374"/>
      <c r="BU234" s="373"/>
      <c r="BV234" s="374"/>
      <c r="BW234" s="373"/>
      <c r="BX234" s="373"/>
      <c r="BY234" s="373"/>
      <c r="BZ234" s="373"/>
      <c r="CA234" s="373"/>
      <c r="CB234" s="375"/>
      <c r="CC234" s="378"/>
      <c r="CD234" s="165"/>
      <c r="CE234" s="329"/>
      <c r="CF234" s="373"/>
      <c r="CG234" s="373"/>
      <c r="CH234" s="373"/>
      <c r="CI234" s="373"/>
      <c r="CJ234" s="374"/>
      <c r="CK234" s="373"/>
      <c r="CL234" s="374"/>
      <c r="CM234" s="373"/>
      <c r="CN234" s="373"/>
      <c r="CO234" s="373"/>
      <c r="CP234" s="373"/>
      <c r="CQ234" s="373"/>
      <c r="CR234" s="376"/>
      <c r="CS234" s="375"/>
      <c r="CT234" s="378"/>
      <c r="CU234" s="165"/>
      <c r="CV234" s="329"/>
      <c r="CW234" s="373"/>
      <c r="CX234" s="373"/>
      <c r="CY234" s="373"/>
      <c r="CZ234" s="373"/>
      <c r="DA234" s="374"/>
      <c r="DB234" s="373"/>
      <c r="DC234" s="374"/>
      <c r="DD234" s="373"/>
      <c r="DE234" s="373"/>
      <c r="DF234" s="373"/>
      <c r="DG234" s="373"/>
      <c r="DH234" s="373"/>
      <c r="DI234" s="375"/>
      <c r="DJ234" s="329"/>
      <c r="DK234" s="373"/>
      <c r="DL234" s="373"/>
      <c r="DM234" s="373"/>
      <c r="DN234" s="373"/>
      <c r="DO234" s="374"/>
      <c r="DP234" s="373"/>
      <c r="DQ234" s="374"/>
      <c r="DR234" s="373"/>
      <c r="DS234" s="373"/>
      <c r="DT234" s="373"/>
      <c r="DU234" s="373"/>
      <c r="DV234" s="373"/>
      <c r="DW234" s="375"/>
      <c r="DY234" s="373"/>
      <c r="DZ234" s="373"/>
      <c r="EA234" s="373"/>
      <c r="EB234" s="373"/>
      <c r="EC234" s="374"/>
      <c r="ED234" s="373"/>
      <c r="EE234" s="374"/>
      <c r="EF234" s="373"/>
      <c r="EG234" s="373"/>
      <c r="EH234" s="373"/>
      <c r="EI234" s="373"/>
      <c r="EJ234" s="373"/>
      <c r="EK234" s="375"/>
      <c r="EL234" s="177"/>
      <c r="EM234" s="373"/>
      <c r="EN234" s="373"/>
      <c r="EO234" s="373"/>
      <c r="EP234" s="373"/>
      <c r="EQ234" s="373"/>
      <c r="ER234" s="373"/>
      <c r="ES234" s="373"/>
      <c r="ET234" s="373"/>
      <c r="EU234" s="373"/>
      <c r="EV234" s="373"/>
      <c r="EW234" s="373"/>
      <c r="EX234" s="373"/>
      <c r="EY234" s="375"/>
      <c r="EZ234" s="164"/>
    </row>
    <row r="235" spans="1:157" ht="9" customHeight="1">
      <c r="B235" s="176"/>
      <c r="C235" s="176"/>
      <c r="D235" s="176"/>
      <c r="E235" s="324"/>
      <c r="F235" s="325"/>
      <c r="G235" s="325"/>
      <c r="H235" s="374"/>
      <c r="I235" s="374"/>
      <c r="J235" s="374"/>
      <c r="K235" s="374"/>
      <c r="L235" s="374"/>
      <c r="M235" s="374"/>
      <c r="N235" s="374"/>
      <c r="O235" s="374"/>
      <c r="P235" s="374"/>
      <c r="Q235" s="374"/>
      <c r="R235" s="374"/>
      <c r="S235" s="374"/>
      <c r="T235" s="375"/>
      <c r="U235" s="393"/>
      <c r="V235" s="163"/>
      <c r="W235" s="326"/>
      <c r="X235" s="374"/>
      <c r="Y235" s="374"/>
      <c r="Z235" s="374"/>
      <c r="AA235" s="374"/>
      <c r="AB235" s="374"/>
      <c r="AC235" s="374"/>
      <c r="AD235" s="374"/>
      <c r="AE235" s="374"/>
      <c r="AF235" s="374"/>
      <c r="AG235" s="374"/>
      <c r="AH235" s="374"/>
      <c r="AI235" s="374"/>
      <c r="AJ235" s="375"/>
      <c r="AK235" s="326"/>
      <c r="AL235" s="374"/>
      <c r="AM235" s="374"/>
      <c r="AN235" s="374"/>
      <c r="AO235" s="374"/>
      <c r="AP235" s="374"/>
      <c r="AQ235" s="374"/>
      <c r="AR235" s="374"/>
      <c r="AS235" s="374"/>
      <c r="AT235" s="374"/>
      <c r="AU235" s="374"/>
      <c r="AV235" s="374"/>
      <c r="AW235" s="374"/>
      <c r="AX235" s="375"/>
      <c r="AY235" s="393"/>
      <c r="AZ235" s="163"/>
      <c r="BA235" s="326"/>
      <c r="BB235" s="374"/>
      <c r="BC235" s="374"/>
      <c r="BD235" s="374"/>
      <c r="BE235" s="374"/>
      <c r="BF235" s="374"/>
      <c r="BG235" s="374"/>
      <c r="BH235" s="374"/>
      <c r="BI235" s="374"/>
      <c r="BJ235" s="374"/>
      <c r="BK235" s="374"/>
      <c r="BL235" s="374"/>
      <c r="BM235" s="374"/>
      <c r="BN235" s="375"/>
      <c r="BO235" s="326"/>
      <c r="BP235" s="374"/>
      <c r="BQ235" s="374"/>
      <c r="BR235" s="374"/>
      <c r="BS235" s="374"/>
      <c r="BT235" s="374"/>
      <c r="BU235" s="374"/>
      <c r="BV235" s="374"/>
      <c r="BW235" s="374"/>
      <c r="BX235" s="374"/>
      <c r="BY235" s="374"/>
      <c r="BZ235" s="374"/>
      <c r="CA235" s="374"/>
      <c r="CB235" s="375"/>
      <c r="CC235" s="393"/>
      <c r="CD235" s="163"/>
      <c r="CE235" s="325"/>
      <c r="CF235" s="374"/>
      <c r="CG235" s="374"/>
      <c r="CH235" s="374"/>
      <c r="CI235" s="374"/>
      <c r="CJ235" s="374"/>
      <c r="CK235" s="374"/>
      <c r="CL235" s="374"/>
      <c r="CM235" s="374"/>
      <c r="CN235" s="374"/>
      <c r="CO235" s="374"/>
      <c r="CP235" s="374"/>
      <c r="CQ235" s="374"/>
      <c r="CR235" s="376"/>
      <c r="CS235" s="375"/>
      <c r="CT235" s="393"/>
      <c r="CU235" s="163"/>
      <c r="CV235" s="326"/>
      <c r="CW235" s="374"/>
      <c r="CX235" s="374"/>
      <c r="CY235" s="374"/>
      <c r="CZ235" s="374"/>
      <c r="DA235" s="374"/>
      <c r="DB235" s="374"/>
      <c r="DC235" s="374"/>
      <c r="DD235" s="374"/>
      <c r="DE235" s="374"/>
      <c r="DF235" s="374"/>
      <c r="DG235" s="374"/>
      <c r="DH235" s="374"/>
      <c r="DI235" s="375"/>
      <c r="DJ235" s="326"/>
      <c r="DK235" s="374"/>
      <c r="DL235" s="374"/>
      <c r="DM235" s="374"/>
      <c r="DN235" s="374"/>
      <c r="DO235" s="374"/>
      <c r="DP235" s="374"/>
      <c r="DQ235" s="374"/>
      <c r="DR235" s="374"/>
      <c r="DS235" s="374"/>
      <c r="DT235" s="374"/>
      <c r="DU235" s="374"/>
      <c r="DV235" s="374"/>
      <c r="DW235" s="375"/>
      <c r="DY235" s="374"/>
      <c r="DZ235" s="374"/>
      <c r="EA235" s="374"/>
      <c r="EB235" s="374"/>
      <c r="EC235" s="374"/>
      <c r="ED235" s="374"/>
      <c r="EE235" s="374"/>
      <c r="EF235" s="374"/>
      <c r="EG235" s="374"/>
      <c r="EH235" s="374"/>
      <c r="EI235" s="374"/>
      <c r="EJ235" s="374"/>
      <c r="EK235" s="375"/>
      <c r="EL235" s="164"/>
      <c r="EM235" s="374"/>
      <c r="EN235" s="374"/>
      <c r="EO235" s="374"/>
      <c r="EP235" s="374"/>
      <c r="EQ235" s="374"/>
      <c r="ER235" s="374"/>
      <c r="ES235" s="374"/>
      <c r="ET235" s="374"/>
      <c r="EU235" s="374"/>
      <c r="EV235" s="374"/>
      <c r="EW235" s="374"/>
      <c r="EX235" s="403"/>
      <c r="EY235" s="375"/>
      <c r="EZ235" s="164"/>
    </row>
    <row r="236" spans="1:157" ht="13.5" customHeight="1">
      <c r="B236" s="176"/>
      <c r="C236" s="176"/>
      <c r="D236" s="176"/>
      <c r="E236" s="324" t="s">
        <v>330</v>
      </c>
      <c r="F236" s="325"/>
      <c r="G236" s="325"/>
      <c r="H236" s="344">
        <f t="shared" ref="H236:T236" si="301">SUM(H101:H235)</f>
        <v>0</v>
      </c>
      <c r="I236" s="344">
        <f t="shared" si="301"/>
        <v>0</v>
      </c>
      <c r="J236" s="344">
        <f t="shared" si="301"/>
        <v>0</v>
      </c>
      <c r="K236" s="344">
        <f t="shared" si="301"/>
        <v>0</v>
      </c>
      <c r="L236" s="344">
        <f t="shared" si="301"/>
        <v>0</v>
      </c>
      <c r="M236" s="344">
        <f t="shared" si="301"/>
        <v>0</v>
      </c>
      <c r="N236" s="345">
        <f t="shared" si="301"/>
        <v>0</v>
      </c>
      <c r="O236" s="344">
        <f t="shared" si="301"/>
        <v>0</v>
      </c>
      <c r="P236" s="344">
        <f t="shared" si="301"/>
        <v>0</v>
      </c>
      <c r="Q236" s="344">
        <f t="shared" si="301"/>
        <v>0</v>
      </c>
      <c r="R236" s="344">
        <f t="shared" si="301"/>
        <v>0</v>
      </c>
      <c r="S236" s="344">
        <f t="shared" si="301"/>
        <v>472341913.13184619</v>
      </c>
      <c r="T236" s="335">
        <f t="shared" si="301"/>
        <v>472535928.60741335</v>
      </c>
      <c r="U236" s="342">
        <f>AJ236-T236</f>
        <v>-229093235.63741332</v>
      </c>
      <c r="V236" s="343">
        <f>U236/AJ236</f>
        <v>-0.94105611814623236</v>
      </c>
      <c r="W236" s="326"/>
      <c r="X236" s="344">
        <f t="shared" ref="X236:AJ236" si="302">SUM(X101:X235)</f>
        <v>23978282.660000004</v>
      </c>
      <c r="Y236" s="344">
        <f t="shared" si="302"/>
        <v>15114643.169999998</v>
      </c>
      <c r="Z236" s="344">
        <f t="shared" si="302"/>
        <v>12048147.329999996</v>
      </c>
      <c r="AA236" s="344">
        <f t="shared" si="302"/>
        <v>12767792.009999998</v>
      </c>
      <c r="AB236" s="344">
        <f t="shared" si="302"/>
        <v>12660046.289999999</v>
      </c>
      <c r="AC236" s="344">
        <f t="shared" si="302"/>
        <v>15395485.379999999</v>
      </c>
      <c r="AD236" s="345">
        <f t="shared" si="302"/>
        <v>23531474.310000002</v>
      </c>
      <c r="AE236" s="344">
        <f t="shared" si="302"/>
        <v>41789673.020000003</v>
      </c>
      <c r="AF236" s="344">
        <f t="shared" si="302"/>
        <v>31052040.529999997</v>
      </c>
      <c r="AG236" s="344">
        <f t="shared" si="302"/>
        <v>4289996.92</v>
      </c>
      <c r="AH236" s="344">
        <f t="shared" si="302"/>
        <v>14267548.93</v>
      </c>
      <c r="AI236" s="344">
        <f t="shared" si="302"/>
        <v>36547562.420000002</v>
      </c>
      <c r="AJ236" s="335">
        <f t="shared" si="302"/>
        <v>243442692.97000003</v>
      </c>
      <c r="AK236" s="326"/>
      <c r="AL236" s="344">
        <f t="shared" ref="AL236:AX236" si="303">SUM(AL101:AL235)</f>
        <v>6214627.1783194933</v>
      </c>
      <c r="AM236" s="344">
        <f t="shared" si="303"/>
        <v>5984225.1528194947</v>
      </c>
      <c r="AN236" s="344">
        <f t="shared" si="303"/>
        <v>6251341.9368194938</v>
      </c>
      <c r="AO236" s="344">
        <f t="shared" si="303"/>
        <v>6132286.824819494</v>
      </c>
      <c r="AP236" s="344">
        <f t="shared" si="303"/>
        <v>6061747.972319494</v>
      </c>
      <c r="AQ236" s="344">
        <f t="shared" si="303"/>
        <v>6806927.7483194927</v>
      </c>
      <c r="AR236" s="345">
        <f t="shared" si="303"/>
        <v>6383374.8888194943</v>
      </c>
      <c r="AS236" s="344">
        <f t="shared" si="303"/>
        <v>6002157.449819494</v>
      </c>
      <c r="AT236" s="344">
        <f t="shared" si="303"/>
        <v>6889941.1173194926</v>
      </c>
      <c r="AU236" s="344">
        <f t="shared" si="303"/>
        <v>6521149.2083194936</v>
      </c>
      <c r="AV236" s="344">
        <f t="shared" si="303"/>
        <v>6376797.8678194936</v>
      </c>
      <c r="AW236" s="344">
        <f t="shared" si="303"/>
        <v>232949276.18319935</v>
      </c>
      <c r="AX236" s="335">
        <f t="shared" si="303"/>
        <v>302203853.05000001</v>
      </c>
      <c r="AY236" s="342">
        <f>BN236-AX236</f>
        <v>-71020624.904269725</v>
      </c>
      <c r="AZ236" s="343">
        <f>AY236/BN236</f>
        <v>-0.30720491911939507</v>
      </c>
      <c r="BA236" s="326"/>
      <c r="BB236" s="344">
        <f t="shared" ref="BB236:BN236" si="304">SUM(BB101:BB235)</f>
        <v>10157921.09</v>
      </c>
      <c r="BC236" s="344">
        <f t="shared" si="304"/>
        <v>9477251.4500000011</v>
      </c>
      <c r="BD236" s="344">
        <f t="shared" si="304"/>
        <v>13365948.350000001</v>
      </c>
      <c r="BE236" s="344">
        <f t="shared" si="304"/>
        <v>12976447.719999999</v>
      </c>
      <c r="BF236" s="344">
        <f t="shared" si="304"/>
        <v>9636210.4100000039</v>
      </c>
      <c r="BG236" s="344">
        <f t="shared" si="304"/>
        <v>13669067.550000004</v>
      </c>
      <c r="BH236" s="345">
        <f t="shared" si="304"/>
        <v>13850349.099999998</v>
      </c>
      <c r="BI236" s="344">
        <f t="shared" si="304"/>
        <v>24896283.460000001</v>
      </c>
      <c r="BJ236" s="344">
        <f t="shared" si="304"/>
        <v>27830519.640000001</v>
      </c>
      <c r="BK236" s="344">
        <f t="shared" si="304"/>
        <v>45930563.340000004</v>
      </c>
      <c r="BL236" s="344">
        <f t="shared" si="304"/>
        <v>26650173.119999997</v>
      </c>
      <c r="BM236" s="344">
        <f t="shared" si="304"/>
        <v>22557350.729999997</v>
      </c>
      <c r="BN236" s="335">
        <f t="shared" si="304"/>
        <v>231183228.14573029</v>
      </c>
      <c r="BO236" s="326"/>
      <c r="BP236" s="344">
        <f t="shared" ref="BP236:CB236" si="305">SUM(BP101:BP235)</f>
        <v>13313963.290250512</v>
      </c>
      <c r="BQ236" s="344">
        <f t="shared" si="305"/>
        <v>13783404.8011596</v>
      </c>
      <c r="BR236" s="344">
        <f t="shared" si="305"/>
        <v>16493910.36450948</v>
      </c>
      <c r="BS236" s="344">
        <f t="shared" si="305"/>
        <v>13373683.356992932</v>
      </c>
      <c r="BT236" s="344">
        <f t="shared" si="305"/>
        <v>24881107.770118207</v>
      </c>
      <c r="BU236" s="344">
        <f t="shared" si="305"/>
        <v>36222964.101981871</v>
      </c>
      <c r="BV236" s="345">
        <f t="shared" si="305"/>
        <v>19343969.700212292</v>
      </c>
      <c r="BW236" s="344">
        <f t="shared" si="305"/>
        <v>38707284.150407806</v>
      </c>
      <c r="BX236" s="344">
        <f t="shared" si="305"/>
        <v>32476959.573300991</v>
      </c>
      <c r="BY236" s="344">
        <f t="shared" si="305"/>
        <v>27258210.268895343</v>
      </c>
      <c r="BZ236" s="344">
        <f t="shared" si="305"/>
        <v>13006976.576326268</v>
      </c>
      <c r="CA236" s="344">
        <f t="shared" si="305"/>
        <v>44607465.816017464</v>
      </c>
      <c r="CB236" s="335">
        <f t="shared" si="305"/>
        <v>293469899.77017272</v>
      </c>
      <c r="CC236" s="342">
        <f>CB236-BN236</f>
        <v>62286671.624442428</v>
      </c>
      <c r="CD236" s="343">
        <f>IFERROR(CC236/CB236,"N/A")</f>
        <v>0.21224211298406229</v>
      </c>
      <c r="CE236" s="325"/>
      <c r="CF236" s="344">
        <f t="shared" ref="CF236:CS236" si="306">SUM(CF101:CF235)</f>
        <v>21533453.639999997</v>
      </c>
      <c r="CG236" s="344">
        <f t="shared" si="306"/>
        <v>23538042.910000004</v>
      </c>
      <c r="CH236" s="344">
        <f t="shared" si="306"/>
        <v>19232857.139999997</v>
      </c>
      <c r="CI236" s="344">
        <f t="shared" si="306"/>
        <v>18614296.259999994</v>
      </c>
      <c r="CJ236" s="344">
        <f t="shared" si="306"/>
        <v>32871794.659999996</v>
      </c>
      <c r="CK236" s="344">
        <f t="shared" si="306"/>
        <v>21144469.52</v>
      </c>
      <c r="CL236" s="345">
        <f t="shared" si="306"/>
        <v>60638786.120000005</v>
      </c>
      <c r="CM236" s="344">
        <f t="shared" si="306"/>
        <v>27540124.370000005</v>
      </c>
      <c r="CN236" s="344">
        <f t="shared" si="306"/>
        <v>20232305.66</v>
      </c>
      <c r="CO236" s="344">
        <f t="shared" si="306"/>
        <v>30325267.379999995</v>
      </c>
      <c r="CP236" s="344">
        <f t="shared" si="306"/>
        <v>35389276.730000004</v>
      </c>
      <c r="CQ236" s="344">
        <f t="shared" si="306"/>
        <v>18287726.889999997</v>
      </c>
      <c r="CR236" s="346">
        <f t="shared" si="306"/>
        <v>0</v>
      </c>
      <c r="CS236" s="335">
        <f t="shared" si="306"/>
        <v>329348401.28000003</v>
      </c>
      <c r="CT236" s="342">
        <f>CS236-BN236</f>
        <v>98165173.134269744</v>
      </c>
      <c r="CU236" s="343">
        <f>IFERROR(CT236/CS236,"N/A")</f>
        <v>0.29805875101489648</v>
      </c>
      <c r="CV236" s="326"/>
      <c r="CW236" s="344">
        <f t="shared" ref="CW236:DI236" si="307">SUM(CW101:CW235)</f>
        <v>23684187.310000002</v>
      </c>
      <c r="CX236" s="344">
        <f t="shared" si="307"/>
        <v>16674635.73</v>
      </c>
      <c r="CY236" s="344">
        <f t="shared" si="307"/>
        <v>18003639.199999999</v>
      </c>
      <c r="CZ236" s="344">
        <f t="shared" si="307"/>
        <v>20151273.98</v>
      </c>
      <c r="DA236" s="344">
        <f t="shared" si="307"/>
        <v>19448657</v>
      </c>
      <c r="DB236" s="344">
        <f t="shared" si="307"/>
        <v>19284514.170000006</v>
      </c>
      <c r="DC236" s="345">
        <f t="shared" si="307"/>
        <v>24983177.590000004</v>
      </c>
      <c r="DD236" s="344">
        <f t="shared" si="307"/>
        <v>37122202.5</v>
      </c>
      <c r="DE236" s="344">
        <f t="shared" si="307"/>
        <v>43723827.229999997</v>
      </c>
      <c r="DF236" s="344">
        <f t="shared" si="307"/>
        <v>21427351.119999997</v>
      </c>
      <c r="DG236" s="344">
        <f t="shared" si="307"/>
        <v>22506245.489999995</v>
      </c>
      <c r="DH236" s="344">
        <f t="shared" si="307"/>
        <v>24090004.98</v>
      </c>
      <c r="DI236" s="335">
        <f t="shared" si="307"/>
        <v>291099716.30000001</v>
      </c>
      <c r="DJ236" s="326"/>
      <c r="DK236" s="344">
        <f t="shared" ref="DK236:DW236" si="308">SUM(DK101:DK235)</f>
        <v>11972637.469999999</v>
      </c>
      <c r="DL236" s="344">
        <f t="shared" si="308"/>
        <v>16197071.120000001</v>
      </c>
      <c r="DM236" s="344">
        <f t="shared" si="308"/>
        <v>19795632.670000002</v>
      </c>
      <c r="DN236" s="344">
        <f t="shared" si="308"/>
        <v>17016416.930000003</v>
      </c>
      <c r="DO236" s="344">
        <f t="shared" si="308"/>
        <v>21715988.859999999</v>
      </c>
      <c r="DP236" s="344">
        <f t="shared" si="308"/>
        <v>25911310.600000001</v>
      </c>
      <c r="DQ236" s="345">
        <f t="shared" si="308"/>
        <v>35419067.420000002</v>
      </c>
      <c r="DR236" s="344">
        <f t="shared" si="308"/>
        <v>24068888.149999999</v>
      </c>
      <c r="DS236" s="344">
        <f t="shared" si="308"/>
        <v>27546617.34</v>
      </c>
      <c r="DT236" s="344">
        <f t="shared" si="308"/>
        <v>29773310.759999998</v>
      </c>
      <c r="DU236" s="344">
        <f t="shared" si="308"/>
        <v>11190842.289999999</v>
      </c>
      <c r="DV236" s="344">
        <f t="shared" si="308"/>
        <v>18114028.09</v>
      </c>
      <c r="DW236" s="335">
        <f t="shared" si="308"/>
        <v>258721811.70000005</v>
      </c>
      <c r="DY236" s="344">
        <f t="shared" ref="DY236:EK236" si="309">SUM(DY101:DY235)</f>
        <v>9322346.040000001</v>
      </c>
      <c r="DZ236" s="344">
        <f t="shared" si="309"/>
        <v>16840204.449999999</v>
      </c>
      <c r="EA236" s="344">
        <f t="shared" si="309"/>
        <v>10834163.17</v>
      </c>
      <c r="EB236" s="344">
        <f t="shared" si="309"/>
        <v>15120175.979999999</v>
      </c>
      <c r="EC236" s="344">
        <f t="shared" si="309"/>
        <v>22128019.580000002</v>
      </c>
      <c r="ED236" s="344">
        <f t="shared" si="309"/>
        <v>19154574.580000006</v>
      </c>
      <c r="EE236" s="345">
        <f t="shared" si="309"/>
        <v>28377175.909999996</v>
      </c>
      <c r="EF236" s="344">
        <f t="shared" si="309"/>
        <v>29206453.490000002</v>
      </c>
      <c r="EG236" s="344">
        <f t="shared" si="309"/>
        <v>19061155.400000002</v>
      </c>
      <c r="EH236" s="344">
        <f t="shared" si="309"/>
        <v>18475445.129999999</v>
      </c>
      <c r="EI236" s="344">
        <f t="shared" si="309"/>
        <v>17082715.949999999</v>
      </c>
      <c r="EJ236" s="344">
        <f t="shared" si="309"/>
        <v>28082408.349999994</v>
      </c>
      <c r="EK236" s="335">
        <f t="shared" si="309"/>
        <v>233684838.03000003</v>
      </c>
      <c r="EL236" s="164"/>
      <c r="EM236" s="344">
        <f t="shared" ref="EM236:EY236" si="310">SUM(EM101:EM235)</f>
        <v>11175733.379999999</v>
      </c>
      <c r="EN236" s="344">
        <f t="shared" si="310"/>
        <v>15673434.619999999</v>
      </c>
      <c r="EO236" s="344">
        <f t="shared" si="310"/>
        <v>13730144.41</v>
      </c>
      <c r="EP236" s="344">
        <f t="shared" si="310"/>
        <v>9211170.4100000001</v>
      </c>
      <c r="EQ236" s="344">
        <f t="shared" si="310"/>
        <v>19148349.289999999</v>
      </c>
      <c r="ER236" s="344">
        <f t="shared" si="310"/>
        <v>14397914.369999999</v>
      </c>
      <c r="ES236" s="344">
        <f t="shared" si="310"/>
        <v>21354474.859999999</v>
      </c>
      <c r="ET236" s="344">
        <f t="shared" si="310"/>
        <v>19578279.359999999</v>
      </c>
      <c r="EU236" s="344">
        <f t="shared" si="310"/>
        <v>15372978.459999997</v>
      </c>
      <c r="EV236" s="344">
        <f t="shared" si="310"/>
        <v>18183672.509999998</v>
      </c>
      <c r="EW236" s="344">
        <f t="shared" si="310"/>
        <v>19000811.870000001</v>
      </c>
      <c r="EX236" s="344">
        <f t="shared" si="310"/>
        <v>25498125.009999998</v>
      </c>
      <c r="EY236" s="335">
        <f t="shared" si="310"/>
        <v>202325088.54999998</v>
      </c>
      <c r="EZ236" s="164"/>
    </row>
    <row r="237" spans="1:157" ht="13.5" customHeight="1">
      <c r="B237" s="176"/>
      <c r="C237" s="176"/>
      <c r="D237" s="176"/>
      <c r="E237" s="324"/>
      <c r="F237" s="325"/>
      <c r="G237" s="325"/>
      <c r="H237" s="373"/>
      <c r="I237" s="373"/>
      <c r="J237" s="373"/>
      <c r="K237" s="373"/>
      <c r="L237" s="373"/>
      <c r="M237" s="373"/>
      <c r="N237" s="374"/>
      <c r="O237" s="373"/>
      <c r="P237" s="373"/>
      <c r="Q237" s="373"/>
      <c r="R237" s="373"/>
      <c r="S237" s="373"/>
      <c r="T237" s="375"/>
      <c r="U237" s="379"/>
      <c r="V237" s="163"/>
      <c r="W237" s="326"/>
      <c r="X237" s="373"/>
      <c r="Y237" s="373"/>
      <c r="Z237" s="373"/>
      <c r="AA237" s="373"/>
      <c r="AB237" s="373"/>
      <c r="AC237" s="373"/>
      <c r="AD237" s="374"/>
      <c r="AE237" s="373"/>
      <c r="AF237" s="373"/>
      <c r="AG237" s="373"/>
      <c r="AH237" s="373"/>
      <c r="AI237" s="373"/>
      <c r="AJ237" s="375"/>
      <c r="AK237" s="326"/>
      <c r="AL237" s="373"/>
      <c r="AM237" s="373"/>
      <c r="AN237" s="373"/>
      <c r="AO237" s="373"/>
      <c r="AP237" s="373"/>
      <c r="AQ237" s="373"/>
      <c r="AR237" s="374"/>
      <c r="AS237" s="373"/>
      <c r="AT237" s="373"/>
      <c r="AU237" s="373"/>
      <c r="AV237" s="373"/>
      <c r="AW237" s="373"/>
      <c r="AX237" s="375"/>
      <c r="AY237" s="379"/>
      <c r="AZ237" s="163"/>
      <c r="BA237" s="326"/>
      <c r="BB237" s="373"/>
      <c r="BC237" s="373"/>
      <c r="BD237" s="373"/>
      <c r="BE237" s="373"/>
      <c r="BF237" s="373"/>
      <c r="BG237" s="373"/>
      <c r="BH237" s="374"/>
      <c r="BI237" s="373"/>
      <c r="BJ237" s="373"/>
      <c r="BK237" s="373"/>
      <c r="BL237" s="373"/>
      <c r="BM237" s="373"/>
      <c r="BN237" s="375"/>
      <c r="BO237" s="326"/>
      <c r="BP237" s="373"/>
      <c r="BQ237" s="373"/>
      <c r="BR237" s="373"/>
      <c r="BS237" s="373"/>
      <c r="BT237" s="373"/>
      <c r="BU237" s="373"/>
      <c r="BV237" s="374"/>
      <c r="BW237" s="373"/>
      <c r="BX237" s="373"/>
      <c r="BY237" s="373"/>
      <c r="BZ237" s="373"/>
      <c r="CA237" s="373"/>
      <c r="CB237" s="375"/>
      <c r="CC237" s="379"/>
      <c r="CD237" s="163"/>
      <c r="CE237" s="325"/>
      <c r="CF237" s="373"/>
      <c r="CG237" s="373"/>
      <c r="CH237" s="373"/>
      <c r="CI237" s="373"/>
      <c r="CJ237" s="373"/>
      <c r="CK237" s="373"/>
      <c r="CL237" s="374"/>
      <c r="CM237" s="373"/>
      <c r="CN237" s="373"/>
      <c r="CO237" s="373"/>
      <c r="CP237" s="373"/>
      <c r="CQ237" s="373"/>
      <c r="CR237" s="376"/>
      <c r="CS237" s="375"/>
      <c r="CT237" s="379"/>
      <c r="CU237" s="163"/>
      <c r="CV237" s="326"/>
      <c r="CW237" s="373"/>
      <c r="CX237" s="373"/>
      <c r="CY237" s="373"/>
      <c r="CZ237" s="373"/>
      <c r="DA237" s="373"/>
      <c r="DB237" s="373"/>
      <c r="DC237" s="374"/>
      <c r="DD237" s="373"/>
      <c r="DE237" s="373"/>
      <c r="DF237" s="373"/>
      <c r="DG237" s="373"/>
      <c r="DH237" s="373"/>
      <c r="DI237" s="375"/>
      <c r="DJ237" s="326"/>
      <c r="DK237" s="373"/>
      <c r="DL237" s="373"/>
      <c r="DM237" s="373"/>
      <c r="DN237" s="373"/>
      <c r="DO237" s="373"/>
      <c r="DP237" s="373"/>
      <c r="DQ237" s="374"/>
      <c r="DR237" s="373"/>
      <c r="DS237" s="373"/>
      <c r="DT237" s="373"/>
      <c r="DU237" s="373"/>
      <c r="DV237" s="373"/>
      <c r="DW237" s="375"/>
      <c r="DY237" s="373"/>
      <c r="DZ237" s="373"/>
      <c r="EA237" s="373"/>
      <c r="EB237" s="373"/>
      <c r="EC237" s="373"/>
      <c r="ED237" s="373"/>
      <c r="EE237" s="374"/>
      <c r="EF237" s="373"/>
      <c r="EG237" s="373"/>
      <c r="EH237" s="373"/>
      <c r="EI237" s="373"/>
      <c r="EJ237" s="373"/>
      <c r="EK237" s="375"/>
      <c r="EL237" s="164"/>
      <c r="EM237" s="373"/>
      <c r="EN237" s="373"/>
      <c r="EO237" s="373"/>
      <c r="EP237" s="373"/>
      <c r="EQ237" s="373"/>
      <c r="ER237" s="373"/>
      <c r="ES237" s="373"/>
      <c r="ET237" s="373"/>
      <c r="EU237" s="373"/>
      <c r="EV237" s="373"/>
      <c r="EW237" s="373"/>
      <c r="EX237" s="377"/>
      <c r="EY237" s="375"/>
      <c r="EZ237" s="164"/>
    </row>
    <row r="238" spans="1:157" s="182" customFormat="1" ht="18" customHeight="1">
      <c r="B238" s="331"/>
      <c r="C238" s="331"/>
      <c r="D238" s="331"/>
      <c r="E238" s="331" t="s">
        <v>331</v>
      </c>
      <c r="F238" s="332"/>
      <c r="G238" s="332"/>
      <c r="H238" s="404">
        <f t="shared" ref="H238:T238" si="311">H83+H98-H236</f>
        <v>0</v>
      </c>
      <c r="I238" s="404">
        <f t="shared" si="311"/>
        <v>0</v>
      </c>
      <c r="J238" s="404">
        <f t="shared" si="311"/>
        <v>0</v>
      </c>
      <c r="K238" s="404">
        <f t="shared" si="311"/>
        <v>0</v>
      </c>
      <c r="L238" s="404">
        <f t="shared" si="311"/>
        <v>0</v>
      </c>
      <c r="M238" s="404">
        <f t="shared" si="311"/>
        <v>0</v>
      </c>
      <c r="N238" s="405">
        <f t="shared" si="311"/>
        <v>0</v>
      </c>
      <c r="O238" s="405">
        <f t="shared" si="311"/>
        <v>0</v>
      </c>
      <c r="P238" s="405">
        <f t="shared" si="311"/>
        <v>0</v>
      </c>
      <c r="Q238" s="405">
        <f t="shared" si="311"/>
        <v>0</v>
      </c>
      <c r="R238" s="405">
        <f t="shared" si="311"/>
        <v>0</v>
      </c>
      <c r="S238" s="405">
        <f t="shared" si="311"/>
        <v>-115488053.43950456</v>
      </c>
      <c r="T238" s="406">
        <f t="shared" si="311"/>
        <v>-110212068.91507173</v>
      </c>
      <c r="U238" s="378">
        <f>T238-AJ238</f>
        <v>-178169691.62966132</v>
      </c>
      <c r="V238" s="165">
        <f>U238/AJ238</f>
        <v>-2.6217764028907187</v>
      </c>
      <c r="W238" s="768"/>
      <c r="X238" s="404">
        <f t="shared" ref="X238:AJ238" si="312">X83+X98-X236</f>
        <v>1318031.5171932988</v>
      </c>
      <c r="Y238" s="404">
        <f t="shared" si="312"/>
        <v>4651571.1383369006</v>
      </c>
      <c r="Z238" s="404">
        <f t="shared" si="312"/>
        <v>952316.83876690641</v>
      </c>
      <c r="AA238" s="404">
        <f t="shared" si="312"/>
        <v>-4272303.8954610005</v>
      </c>
      <c r="AB238" s="404">
        <f t="shared" si="312"/>
        <v>-4579507.7437479971</v>
      </c>
      <c r="AC238" s="404">
        <f t="shared" si="312"/>
        <v>1318158.6428379975</v>
      </c>
      <c r="AD238" s="405">
        <f t="shared" si="312"/>
        <v>192650.57971270382</v>
      </c>
      <c r="AE238" s="405">
        <f t="shared" si="312"/>
        <v>6965181.4310171083</v>
      </c>
      <c r="AF238" s="405">
        <f t="shared" si="312"/>
        <v>18999870.362501901</v>
      </c>
      <c r="AG238" s="405">
        <f t="shared" si="312"/>
        <v>1619769.7742783036</v>
      </c>
      <c r="AH238" s="405">
        <f t="shared" si="312"/>
        <v>31420082.975346699</v>
      </c>
      <c r="AI238" s="405">
        <f t="shared" si="312"/>
        <v>9371801.0938068107</v>
      </c>
      <c r="AJ238" s="406">
        <f t="shared" si="312"/>
        <v>67957622.714589596</v>
      </c>
      <c r="AK238" s="768"/>
      <c r="AL238" s="404">
        <f t="shared" ref="AL238:AX238" si="313">AL83+AL98-AL236</f>
        <v>-6214627.1783194933</v>
      </c>
      <c r="AM238" s="404">
        <f t="shared" si="313"/>
        <v>-5984225.1528194947</v>
      </c>
      <c r="AN238" s="404">
        <f t="shared" si="313"/>
        <v>-6251341.9368194938</v>
      </c>
      <c r="AO238" s="404">
        <f t="shared" si="313"/>
        <v>-6132286.824819494</v>
      </c>
      <c r="AP238" s="404">
        <f t="shared" si="313"/>
        <v>-6061747.972319494</v>
      </c>
      <c r="AQ238" s="404">
        <f t="shared" si="313"/>
        <v>-6806927.7483194927</v>
      </c>
      <c r="AR238" s="405">
        <f t="shared" si="313"/>
        <v>-6383374.8888194943</v>
      </c>
      <c r="AS238" s="405">
        <f t="shared" si="313"/>
        <v>-6002157.449819494</v>
      </c>
      <c r="AT238" s="405">
        <f t="shared" si="313"/>
        <v>-6889941.1173194926</v>
      </c>
      <c r="AU238" s="405">
        <f t="shared" si="313"/>
        <v>-6521149.2083194936</v>
      </c>
      <c r="AV238" s="405">
        <f t="shared" si="313"/>
        <v>-6376797.8678194936</v>
      </c>
      <c r="AW238" s="405">
        <f t="shared" si="313"/>
        <v>113635770.9606986</v>
      </c>
      <c r="AX238" s="406">
        <f t="shared" si="313"/>
        <v>44381194.093897939</v>
      </c>
      <c r="AY238" s="378">
        <f>AX238-BN238</f>
        <v>50251934.263696313</v>
      </c>
      <c r="AZ238" s="165">
        <f>AY238/BN238</f>
        <v>-8.5597271911664539</v>
      </c>
      <c r="BA238" s="768"/>
      <c r="BB238" s="404">
        <f t="shared" ref="BB238:BN238" si="314">BB83+BB98-BB236</f>
        <v>-8870934.605128346</v>
      </c>
      <c r="BC238" s="404">
        <f t="shared" si="314"/>
        <v>-6535043.3629056672</v>
      </c>
      <c r="BD238" s="404">
        <f t="shared" si="314"/>
        <v>-3113634.067140786</v>
      </c>
      <c r="BE238" s="404">
        <f t="shared" si="314"/>
        <v>-9757109.615173202</v>
      </c>
      <c r="BF238" s="404">
        <f t="shared" si="314"/>
        <v>-3187106.2497550026</v>
      </c>
      <c r="BG238" s="404">
        <f t="shared" si="314"/>
        <v>-5194728.6806996074</v>
      </c>
      <c r="BH238" s="405">
        <f t="shared" si="314"/>
        <v>-2436802.6186271943</v>
      </c>
      <c r="BI238" s="405">
        <f t="shared" si="314"/>
        <v>8572001.9290871136</v>
      </c>
      <c r="BJ238" s="405">
        <f t="shared" si="314"/>
        <v>12761352.3441981</v>
      </c>
      <c r="BK238" s="405">
        <f t="shared" si="314"/>
        <v>8965042.2560776845</v>
      </c>
      <c r="BL238" s="405">
        <f t="shared" si="314"/>
        <v>5160091.2468251027</v>
      </c>
      <c r="BM238" s="405">
        <f t="shared" si="314"/>
        <v>-2048726.5608263016</v>
      </c>
      <c r="BN238" s="406">
        <f t="shared" si="314"/>
        <v>-5870740.1697983742</v>
      </c>
      <c r="BO238" s="768"/>
      <c r="BP238" s="404">
        <f t="shared" ref="BP238:CB238" si="315">BP83+BP98-BP236</f>
        <v>-11339322.423683064</v>
      </c>
      <c r="BQ238" s="404">
        <f t="shared" si="315"/>
        <v>-9536203.8234429434</v>
      </c>
      <c r="BR238" s="404">
        <f t="shared" si="315"/>
        <v>-3320073.2912026457</v>
      </c>
      <c r="BS238" s="404">
        <f t="shared" si="315"/>
        <v>-5411687.6529188594</v>
      </c>
      <c r="BT238" s="404">
        <f t="shared" si="315"/>
        <v>1436126.5498649925</v>
      </c>
      <c r="BU238" s="404">
        <f t="shared" si="315"/>
        <v>16039655.500243545</v>
      </c>
      <c r="BV238" s="405">
        <f t="shared" si="315"/>
        <v>765491.37307583913</v>
      </c>
      <c r="BW238" s="405">
        <f t="shared" si="315"/>
        <v>10649631.745897017</v>
      </c>
      <c r="BX238" s="405">
        <f t="shared" si="315"/>
        <v>29914129.600314427</v>
      </c>
      <c r="BY238" s="405">
        <f t="shared" si="315"/>
        <v>16734988.282599278</v>
      </c>
      <c r="BZ238" s="405">
        <f t="shared" si="315"/>
        <v>6413838.5882574525</v>
      </c>
      <c r="CA238" s="405">
        <f t="shared" si="315"/>
        <v>22032429.983915143</v>
      </c>
      <c r="CB238" s="406">
        <f t="shared" si="315"/>
        <v>74379004.432920277</v>
      </c>
      <c r="CC238" s="378">
        <f>BN238-CB238</f>
        <v>-80249744.602718651</v>
      </c>
      <c r="CD238" s="165">
        <f>IFERROR(CC238/CB238,"N/A")</f>
        <v>-1.0789300719276631</v>
      </c>
      <c r="CE238" s="332"/>
      <c r="CF238" s="404">
        <f t="shared" ref="CF238:CQ238" si="316">CF83+CF98-CF236</f>
        <v>-3222708.6638440862</v>
      </c>
      <c r="CG238" s="404">
        <f t="shared" si="316"/>
        <v>10491736.722831666</v>
      </c>
      <c r="CH238" s="404">
        <f t="shared" si="316"/>
        <v>16217449.805452574</v>
      </c>
      <c r="CI238" s="404">
        <f t="shared" si="316"/>
        <v>2032556.6231322177</v>
      </c>
      <c r="CJ238" s="404">
        <f t="shared" si="316"/>
        <v>783704.83540800959</v>
      </c>
      <c r="CK238" s="404">
        <f t="shared" si="316"/>
        <v>11726210.444049086</v>
      </c>
      <c r="CL238" s="405">
        <f t="shared" si="316"/>
        <v>-2379198.4642905891</v>
      </c>
      <c r="CM238" s="405">
        <f t="shared" si="316"/>
        <v>11948781.176609397</v>
      </c>
      <c r="CN238" s="405">
        <f t="shared" si="316"/>
        <v>13244079.630865</v>
      </c>
      <c r="CO238" s="405">
        <f t="shared" si="316"/>
        <v>3479564.6950841993</v>
      </c>
      <c r="CP238" s="405">
        <f t="shared" si="316"/>
        <v>13047840.304471597</v>
      </c>
      <c r="CQ238" s="405">
        <f t="shared" si="316"/>
        <v>15335497.4178393</v>
      </c>
      <c r="CR238" s="407">
        <f>CR65+CR98-CR236</f>
        <v>0</v>
      </c>
      <c r="CS238" s="406">
        <f>CS83+CS98-CS236</f>
        <v>92705514.527608275</v>
      </c>
      <c r="CT238" s="378">
        <f>BN238-CS238</f>
        <v>-98576254.69740665</v>
      </c>
      <c r="CU238" s="165">
        <f>IFERROR(CT238/CS238,"N/A")</f>
        <v>-1.0633267632428709</v>
      </c>
      <c r="CV238" s="333"/>
      <c r="CW238" s="404">
        <f t="shared" ref="CW238:DI238" si="317">CW65+CW98-CW236</f>
        <v>10718624.118899994</v>
      </c>
      <c r="CX238" s="404">
        <f t="shared" si="317"/>
        <v>9853932.4492000006</v>
      </c>
      <c r="CY238" s="404">
        <f t="shared" si="317"/>
        <v>15947984.3893</v>
      </c>
      <c r="CZ238" s="404">
        <f t="shared" si="317"/>
        <v>2978608.6161000021</v>
      </c>
      <c r="DA238" s="404">
        <f t="shared" si="317"/>
        <v>12655035.047299992</v>
      </c>
      <c r="DB238" s="404">
        <f t="shared" si="317"/>
        <v>15575644.057199996</v>
      </c>
      <c r="DC238" s="405">
        <f t="shared" si="317"/>
        <v>4459016.9573999941</v>
      </c>
      <c r="DD238" s="405">
        <f t="shared" si="317"/>
        <v>8358748.2991000116</v>
      </c>
      <c r="DE238" s="405">
        <f t="shared" si="317"/>
        <v>20533048.634499997</v>
      </c>
      <c r="DF238" s="405">
        <f t="shared" si="317"/>
        <v>15346924.903176397</v>
      </c>
      <c r="DG238" s="405">
        <f t="shared" si="317"/>
        <v>7098485.9902450033</v>
      </c>
      <c r="DH238" s="405">
        <f t="shared" si="317"/>
        <v>16104651.346752804</v>
      </c>
      <c r="DI238" s="406">
        <f t="shared" si="317"/>
        <v>139630704.80917424</v>
      </c>
      <c r="DJ238" s="333"/>
      <c r="DK238" s="404">
        <f t="shared" ref="DK238:DW238" si="318">DK65+DK98-DK236</f>
        <v>3149735.856999997</v>
      </c>
      <c r="DL238" s="404">
        <f t="shared" si="318"/>
        <v>10094136.275999997</v>
      </c>
      <c r="DM238" s="404">
        <f t="shared" si="318"/>
        <v>15967580.138400003</v>
      </c>
      <c r="DN238" s="404">
        <f t="shared" si="318"/>
        <v>6658291.479399994</v>
      </c>
      <c r="DO238" s="404">
        <f t="shared" si="318"/>
        <v>11345901.112500004</v>
      </c>
      <c r="DP238" s="404">
        <f t="shared" si="318"/>
        <v>16694413.382200003</v>
      </c>
      <c r="DQ238" s="405">
        <f t="shared" si="318"/>
        <v>-1185228.1853</v>
      </c>
      <c r="DR238" s="405">
        <f t="shared" si="318"/>
        <v>8088713.5439000092</v>
      </c>
      <c r="DS238" s="405">
        <f t="shared" si="318"/>
        <v>19754573.860400002</v>
      </c>
      <c r="DT238" s="405">
        <f t="shared" si="318"/>
        <v>19378951.723999999</v>
      </c>
      <c r="DU238" s="405">
        <f t="shared" si="318"/>
        <v>8282546.5928000063</v>
      </c>
      <c r="DV238" s="405">
        <f t="shared" si="318"/>
        <v>16821187.027100008</v>
      </c>
      <c r="DW238" s="406">
        <f t="shared" si="318"/>
        <v>135050802.80840003</v>
      </c>
      <c r="DY238" s="404">
        <f t="shared" ref="DY238:EK238" si="319">DY65+DY98-DY236</f>
        <v>16469208.089999994</v>
      </c>
      <c r="DZ238" s="404">
        <f t="shared" si="319"/>
        <v>12295191.150000002</v>
      </c>
      <c r="EA238" s="404">
        <f t="shared" si="319"/>
        <v>6016365.4400000032</v>
      </c>
      <c r="EB238" s="404">
        <f t="shared" si="319"/>
        <v>1793588.3999999966</v>
      </c>
      <c r="EC238" s="404">
        <f t="shared" si="319"/>
        <v>19218641.649999987</v>
      </c>
      <c r="ED238" s="404">
        <f t="shared" si="319"/>
        <v>15410009.909999989</v>
      </c>
      <c r="EE238" s="405">
        <f t="shared" si="319"/>
        <v>-681967.22130000219</v>
      </c>
      <c r="EF238" s="405">
        <f t="shared" si="319"/>
        <v>3212966.0126837231</v>
      </c>
      <c r="EG238" s="405">
        <f t="shared" si="319"/>
        <v>18437567.394200008</v>
      </c>
      <c r="EH238" s="405">
        <f t="shared" si="319"/>
        <v>10034163.0053</v>
      </c>
      <c r="EI238" s="405">
        <f t="shared" si="319"/>
        <v>8647345.7297000028</v>
      </c>
      <c r="EJ238" s="405">
        <f t="shared" si="319"/>
        <v>9993344.753200002</v>
      </c>
      <c r="EK238" s="406">
        <f t="shared" si="319"/>
        <v>120846424.31378371</v>
      </c>
      <c r="EL238" s="178"/>
      <c r="EM238" s="405">
        <f t="shared" ref="EM238:EY238" si="320">EM65+EM98-EM236</f>
        <v>22534516.947812635</v>
      </c>
      <c r="EN238" s="405">
        <f t="shared" si="320"/>
        <v>6709203.8357909117</v>
      </c>
      <c r="EO238" s="405">
        <f t="shared" si="320"/>
        <v>6666541.4808681272</v>
      </c>
      <c r="EP238" s="405">
        <f t="shared" si="320"/>
        <v>9274472.9842623733</v>
      </c>
      <c r="EQ238" s="405">
        <f t="shared" si="320"/>
        <v>14713526.882958569</v>
      </c>
      <c r="ER238" s="405">
        <f t="shared" si="320"/>
        <v>12568811.105419202</v>
      </c>
      <c r="ES238" s="405">
        <f t="shared" si="320"/>
        <v>9780317.8867876306</v>
      </c>
      <c r="ET238" s="405">
        <f t="shared" si="320"/>
        <v>11450707.912148781</v>
      </c>
      <c r="EU238" s="405">
        <f t="shared" si="320"/>
        <v>8153116.2570010312</v>
      </c>
      <c r="EV238" s="405">
        <f t="shared" si="320"/>
        <v>29545250.565423883</v>
      </c>
      <c r="EW238" s="405">
        <f t="shared" si="320"/>
        <v>12335269.099237692</v>
      </c>
      <c r="EX238" s="405">
        <f t="shared" si="320"/>
        <v>-2518033.2162981145</v>
      </c>
      <c r="EY238" s="406">
        <f t="shared" si="320"/>
        <v>141213701.74141273</v>
      </c>
      <c r="EZ238" s="178"/>
    </row>
    <row r="239" spans="1:157" ht="18" customHeight="1">
      <c r="H239" s="769"/>
      <c r="I239" s="769"/>
      <c r="J239" s="769"/>
      <c r="K239" s="769"/>
      <c r="L239" s="769"/>
      <c r="M239" s="769"/>
      <c r="N239" s="769"/>
      <c r="O239" s="769"/>
      <c r="P239" s="769"/>
      <c r="Q239" s="769"/>
      <c r="R239" s="769"/>
      <c r="S239" s="769"/>
      <c r="T239" s="375"/>
      <c r="U239" s="942"/>
      <c r="V239" s="204"/>
      <c r="W239" s="186"/>
      <c r="X239" s="769"/>
      <c r="Y239" s="769"/>
      <c r="Z239" s="769"/>
      <c r="AA239" s="769"/>
      <c r="AB239" s="769"/>
      <c r="AC239" s="769"/>
      <c r="AD239" s="769"/>
      <c r="AE239" s="769"/>
      <c r="AF239" s="769"/>
      <c r="AG239" s="769"/>
      <c r="AH239" s="769"/>
      <c r="AI239" s="769"/>
      <c r="AJ239" s="375"/>
      <c r="AK239" s="186"/>
      <c r="AL239" s="769"/>
      <c r="AM239" s="769"/>
      <c r="AN239" s="769"/>
      <c r="AO239" s="769"/>
      <c r="AP239" s="769"/>
      <c r="AQ239" s="769"/>
      <c r="AR239" s="769"/>
      <c r="AS239" s="769"/>
      <c r="AT239" s="769"/>
      <c r="AU239" s="769"/>
      <c r="AV239" s="769"/>
      <c r="AW239" s="769"/>
      <c r="AX239" s="375"/>
      <c r="AY239" s="942"/>
      <c r="AZ239" s="204"/>
      <c r="BA239" s="186"/>
      <c r="BB239" s="769"/>
      <c r="BC239" s="769"/>
      <c r="BD239" s="769"/>
      <c r="BE239" s="769"/>
      <c r="BF239" s="769"/>
      <c r="BG239" s="769"/>
      <c r="BH239" s="769"/>
      <c r="BI239" s="769"/>
      <c r="BJ239" s="769"/>
      <c r="BK239" s="769"/>
      <c r="BL239" s="769"/>
      <c r="BM239" s="769"/>
      <c r="BN239" s="375"/>
      <c r="BO239" s="186"/>
      <c r="BP239" s="769"/>
      <c r="BQ239" s="769"/>
      <c r="BR239" s="769"/>
      <c r="BS239" s="769"/>
      <c r="BT239" s="769"/>
      <c r="BU239" s="769"/>
      <c r="BV239" s="769"/>
      <c r="BW239" s="769"/>
      <c r="BX239" s="769"/>
      <c r="BY239" s="769"/>
      <c r="BZ239" s="769"/>
      <c r="CA239" s="769"/>
      <c r="CB239" s="375"/>
      <c r="CC239" s="942"/>
      <c r="CD239" s="204"/>
      <c r="CF239" s="769"/>
      <c r="CG239" s="769"/>
      <c r="CH239" s="769"/>
      <c r="CI239" s="769"/>
      <c r="CJ239" s="769"/>
      <c r="CK239" s="769"/>
      <c r="CL239" s="769"/>
      <c r="CM239" s="769"/>
      <c r="CN239" s="769"/>
      <c r="CO239" s="769"/>
      <c r="CP239" s="769"/>
      <c r="CQ239" s="769"/>
      <c r="CS239" s="375"/>
      <c r="CT239" s="770"/>
      <c r="CU239" s="161"/>
      <c r="CW239" s="769"/>
      <c r="CX239" s="769"/>
      <c r="CY239" s="769"/>
      <c r="CZ239" s="769"/>
      <c r="DA239" s="769"/>
      <c r="DB239" s="769"/>
      <c r="DC239" s="769"/>
      <c r="DD239" s="769"/>
      <c r="DE239" s="769"/>
      <c r="DF239" s="769"/>
      <c r="DG239" s="769"/>
      <c r="DH239" s="769"/>
      <c r="DI239" s="375"/>
      <c r="DK239" s="769"/>
      <c r="DL239" s="769"/>
      <c r="DM239" s="769"/>
      <c r="DN239" s="769"/>
      <c r="DO239" s="769"/>
      <c r="DP239" s="769"/>
      <c r="DQ239" s="769"/>
      <c r="DR239" s="769"/>
      <c r="DS239" s="769"/>
      <c r="DT239" s="769"/>
      <c r="DU239" s="769"/>
      <c r="DV239" s="769"/>
      <c r="DW239" s="375"/>
      <c r="DX239" s="192"/>
      <c r="DY239" s="769"/>
      <c r="DZ239" s="769"/>
      <c r="EA239" s="769"/>
      <c r="EB239" s="769"/>
      <c r="EC239" s="769"/>
      <c r="ED239" s="769"/>
      <c r="EE239" s="769"/>
      <c r="EF239" s="769"/>
      <c r="EG239" s="769"/>
      <c r="EH239" s="769"/>
      <c r="EI239" s="769"/>
      <c r="EJ239" s="769"/>
      <c r="EK239" s="375"/>
      <c r="EL239" s="192"/>
      <c r="EM239" s="769"/>
      <c r="EN239" s="769"/>
      <c r="EO239" s="769"/>
      <c r="EP239" s="769"/>
      <c r="EQ239" s="769"/>
      <c r="ER239" s="769"/>
      <c r="ES239" s="769"/>
      <c r="ET239" s="769"/>
      <c r="EU239" s="769"/>
      <c r="EV239" s="769"/>
      <c r="EW239" s="769"/>
      <c r="EX239" s="769"/>
      <c r="EY239" s="375"/>
    </row>
    <row r="240" spans="1:157" ht="18" customHeight="1" outlineLevel="1">
      <c r="H240" s="769"/>
      <c r="I240" s="769"/>
      <c r="J240" s="769"/>
      <c r="K240" s="769"/>
      <c r="L240" s="769"/>
      <c r="M240" s="769"/>
      <c r="N240" s="769"/>
      <c r="O240" s="769"/>
      <c r="P240" s="769"/>
      <c r="Q240" s="769"/>
      <c r="R240" s="769"/>
      <c r="S240" s="769"/>
      <c r="T240" s="375">
        <v>0</v>
      </c>
      <c r="U240" s="942"/>
      <c r="V240" s="204"/>
      <c r="W240" s="186"/>
      <c r="X240" s="769"/>
      <c r="Y240" s="769"/>
      <c r="Z240" s="769"/>
      <c r="AA240" s="769"/>
      <c r="AB240" s="769"/>
      <c r="AC240" s="769"/>
      <c r="AD240" s="769"/>
      <c r="AE240" s="769"/>
      <c r="AF240" s="769"/>
      <c r="AG240" s="769"/>
      <c r="AH240" s="769"/>
      <c r="AI240" s="769"/>
      <c r="AJ240" s="375">
        <v>0</v>
      </c>
      <c r="AK240" s="186"/>
      <c r="AL240" s="769"/>
      <c r="AM240" s="769"/>
      <c r="AN240" s="769"/>
      <c r="AO240" s="769"/>
      <c r="AP240" s="769"/>
      <c r="AQ240" s="769"/>
      <c r="AR240" s="769"/>
      <c r="AS240" s="769"/>
      <c r="AT240" s="769"/>
      <c r="AU240" s="769"/>
      <c r="AV240" s="769"/>
      <c r="AW240" s="769"/>
      <c r="AX240" s="375">
        <v>0</v>
      </c>
      <c r="AY240" s="942"/>
      <c r="AZ240" s="204"/>
      <c r="BA240" s="186"/>
      <c r="BB240" s="769"/>
      <c r="BC240" s="769"/>
      <c r="BD240" s="769"/>
      <c r="BE240" s="769"/>
      <c r="BF240" s="769"/>
      <c r="BG240" s="769"/>
      <c r="BH240" s="769"/>
      <c r="BI240" s="769"/>
      <c r="BJ240" s="769"/>
      <c r="BK240" s="769"/>
      <c r="BL240" s="769"/>
      <c r="BM240" s="769"/>
      <c r="BN240" s="375">
        <v>0</v>
      </c>
      <c r="BO240" s="186"/>
      <c r="BP240" s="769"/>
      <c r="BQ240" s="769"/>
      <c r="BR240" s="769"/>
      <c r="BS240" s="769"/>
      <c r="BT240" s="769"/>
      <c r="BU240" s="769"/>
      <c r="BV240" s="769"/>
      <c r="BW240" s="769"/>
      <c r="BX240" s="769"/>
      <c r="BY240" s="769"/>
      <c r="BZ240" s="769"/>
      <c r="CA240" s="769"/>
      <c r="CB240" s="375">
        <v>-1.4901161193847656E-8</v>
      </c>
      <c r="CC240" s="942"/>
      <c r="CD240" s="204"/>
      <c r="CF240" s="769"/>
      <c r="CG240" s="769"/>
      <c r="CH240" s="769"/>
      <c r="CI240" s="769"/>
      <c r="CJ240" s="769"/>
      <c r="CK240" s="769"/>
      <c r="CL240" s="769"/>
      <c r="CM240" s="769"/>
      <c r="CN240" s="769"/>
      <c r="CO240" s="769"/>
      <c r="CP240" s="769"/>
      <c r="CQ240" s="769"/>
      <c r="CS240" s="375">
        <v>-6.5192580223083496E-9</v>
      </c>
      <c r="CT240" s="770"/>
      <c r="CU240" s="161"/>
      <c r="CW240" s="769"/>
      <c r="CX240" s="769"/>
      <c r="CY240" s="769"/>
      <c r="CZ240" s="769"/>
      <c r="DA240" s="769"/>
      <c r="DB240" s="769"/>
      <c r="DC240" s="769"/>
      <c r="DD240" s="769"/>
      <c r="DE240" s="769"/>
      <c r="DF240" s="769"/>
      <c r="DG240" s="769"/>
      <c r="DH240" s="769"/>
      <c r="DI240" s="375">
        <v>5.1222741603851318E-9</v>
      </c>
      <c r="DK240" s="769"/>
      <c r="DL240" s="769"/>
      <c r="DM240" s="769"/>
      <c r="DN240" s="769"/>
      <c r="DO240" s="769"/>
      <c r="DP240" s="769"/>
      <c r="DQ240" s="769"/>
      <c r="DR240" s="769"/>
      <c r="DS240" s="769"/>
      <c r="DT240" s="769"/>
      <c r="DU240" s="769"/>
      <c r="DV240" s="769"/>
      <c r="DW240" s="375">
        <v>-1.3038516044616699E-8</v>
      </c>
      <c r="DX240" s="192"/>
      <c r="DY240" s="769"/>
      <c r="DZ240" s="769"/>
      <c r="EA240" s="769"/>
      <c r="EB240" s="769"/>
      <c r="EC240" s="769"/>
      <c r="ED240" s="769"/>
      <c r="EE240" s="769"/>
      <c r="EF240" s="769"/>
      <c r="EG240" s="769"/>
      <c r="EH240" s="769"/>
      <c r="EI240" s="769"/>
      <c r="EJ240" s="769"/>
      <c r="EK240" s="375">
        <v>-8.3819031715393066E-9</v>
      </c>
      <c r="EL240" s="192"/>
      <c r="EM240" s="769"/>
      <c r="EN240" s="769"/>
      <c r="EO240" s="769"/>
      <c r="EP240" s="769"/>
      <c r="EQ240" s="769"/>
      <c r="ER240" s="769"/>
      <c r="ES240" s="769"/>
      <c r="ET240" s="769"/>
      <c r="EU240" s="769"/>
      <c r="EV240" s="769"/>
      <c r="EW240" s="769"/>
      <c r="EX240" s="769"/>
      <c r="EY240" s="375">
        <v>-1.3038516044616699E-8</v>
      </c>
    </row>
    <row r="241" spans="2:156" ht="18" customHeight="1" outlineLevel="1">
      <c r="H241" s="769"/>
      <c r="I241" s="769"/>
      <c r="J241" s="769"/>
      <c r="K241" s="769"/>
      <c r="L241" s="769"/>
      <c r="M241" s="769"/>
      <c r="N241" s="769"/>
      <c r="O241" s="769"/>
      <c r="P241" s="769"/>
      <c r="Q241" s="769"/>
      <c r="R241" s="769"/>
      <c r="S241" s="769"/>
      <c r="T241" s="375"/>
      <c r="U241" s="942"/>
      <c r="V241" s="204"/>
      <c r="W241" s="186"/>
      <c r="X241" s="769"/>
      <c r="Y241" s="769"/>
      <c r="Z241" s="769"/>
      <c r="AA241" s="769"/>
      <c r="AB241" s="769"/>
      <c r="AC241" s="769"/>
      <c r="AD241" s="769"/>
      <c r="AE241" s="769"/>
      <c r="AF241" s="769"/>
      <c r="AG241" s="769"/>
      <c r="AH241" s="769"/>
      <c r="AI241" s="769"/>
      <c r="AJ241" s="375"/>
      <c r="AK241" s="186"/>
      <c r="AL241" s="769"/>
      <c r="AM241" s="769"/>
      <c r="AN241" s="769"/>
      <c r="AO241" s="769"/>
      <c r="AP241" s="769"/>
      <c r="AQ241" s="769"/>
      <c r="AR241" s="769"/>
      <c r="AS241" s="769"/>
      <c r="AT241" s="769"/>
      <c r="AU241" s="769"/>
      <c r="AV241" s="769"/>
      <c r="AW241" s="769"/>
      <c r="AX241" s="375"/>
      <c r="AY241" s="942"/>
      <c r="AZ241" s="204"/>
      <c r="BA241" s="186"/>
      <c r="BB241" s="769"/>
      <c r="BC241" s="769"/>
      <c r="BD241" s="769"/>
      <c r="BE241" s="769"/>
      <c r="BF241" s="769"/>
      <c r="BG241" s="769"/>
      <c r="BH241" s="769"/>
      <c r="BI241" s="769"/>
      <c r="BJ241" s="769"/>
      <c r="BK241" s="769"/>
      <c r="BL241" s="769"/>
      <c r="BM241" s="769"/>
      <c r="BN241" s="375"/>
      <c r="BO241" s="186"/>
      <c r="BP241" s="769"/>
      <c r="BQ241" s="769"/>
      <c r="BR241" s="769"/>
      <c r="BS241" s="769"/>
      <c r="BT241" s="769"/>
      <c r="BU241" s="769"/>
      <c r="BV241" s="769"/>
      <c r="BW241" s="769"/>
      <c r="BX241" s="769"/>
      <c r="BY241" s="769"/>
      <c r="BZ241" s="769"/>
      <c r="CA241" s="769"/>
      <c r="CB241" s="375"/>
      <c r="CC241" s="942"/>
      <c r="CD241" s="204"/>
      <c r="CF241" s="769"/>
      <c r="CG241" s="769"/>
      <c r="CH241" s="769"/>
      <c r="CI241" s="769"/>
      <c r="CJ241" s="769"/>
      <c r="CK241" s="769"/>
      <c r="CL241" s="769"/>
      <c r="CM241" s="769"/>
      <c r="CN241" s="769"/>
      <c r="CO241" s="769"/>
      <c r="CP241" s="769"/>
      <c r="CQ241" s="769"/>
      <c r="CS241" s="375"/>
      <c r="CT241" s="770"/>
      <c r="CU241" s="161"/>
      <c r="CW241" s="769"/>
      <c r="CX241" s="769"/>
      <c r="CY241" s="769"/>
      <c r="CZ241" s="769"/>
      <c r="DA241" s="769"/>
      <c r="DB241" s="769"/>
      <c r="DC241" s="769"/>
      <c r="DD241" s="769"/>
      <c r="DE241" s="769"/>
      <c r="DF241" s="769"/>
      <c r="DG241" s="769"/>
      <c r="DH241" s="769"/>
      <c r="DI241" s="375"/>
      <c r="DK241" s="769"/>
      <c r="DL241" s="769"/>
      <c r="DM241" s="769"/>
      <c r="DN241" s="769"/>
      <c r="DO241" s="769"/>
      <c r="DP241" s="769"/>
      <c r="DQ241" s="769"/>
      <c r="DR241" s="769"/>
      <c r="DS241" s="769"/>
      <c r="DT241" s="769"/>
      <c r="DU241" s="769"/>
      <c r="DV241" s="769"/>
      <c r="DW241" s="375"/>
      <c r="DX241" s="192"/>
      <c r="DY241" s="769"/>
      <c r="DZ241" s="769"/>
      <c r="EA241" s="769"/>
      <c r="EB241" s="769"/>
      <c r="EC241" s="769"/>
      <c r="ED241" s="769"/>
      <c r="EE241" s="769"/>
      <c r="EF241" s="769"/>
      <c r="EG241" s="769"/>
      <c r="EH241" s="769"/>
      <c r="EI241" s="769"/>
      <c r="EJ241" s="769"/>
      <c r="EK241" s="375"/>
      <c r="EL241" s="192"/>
      <c r="EM241" s="769"/>
      <c r="EN241" s="769"/>
      <c r="EO241" s="769"/>
      <c r="EP241" s="769"/>
      <c r="EQ241" s="769"/>
      <c r="ER241" s="769"/>
      <c r="ES241" s="769"/>
      <c r="ET241" s="769"/>
      <c r="EU241" s="769"/>
      <c r="EV241" s="769"/>
      <c r="EW241" s="769"/>
      <c r="EX241" s="769"/>
      <c r="EY241" s="375"/>
    </row>
    <row r="242" spans="2:156" ht="18" customHeight="1">
      <c r="E242" s="187" t="s">
        <v>932</v>
      </c>
      <c r="H242" s="769"/>
      <c r="I242" s="769"/>
      <c r="J242" s="769"/>
      <c r="K242" s="769"/>
      <c r="L242" s="769"/>
      <c r="M242" s="769"/>
      <c r="N242" s="769"/>
      <c r="O242" s="769"/>
      <c r="P242" s="769"/>
      <c r="Q242" s="769"/>
      <c r="R242" s="769"/>
      <c r="S242" s="769"/>
      <c r="T242" s="375"/>
      <c r="U242" s="942"/>
      <c r="V242" s="204"/>
      <c r="W242" s="186"/>
      <c r="X242" s="769"/>
      <c r="Y242" s="769"/>
      <c r="Z242" s="769"/>
      <c r="AA242" s="769"/>
      <c r="AB242" s="769"/>
      <c r="AC242" s="769"/>
      <c r="AD242" s="769"/>
      <c r="AE242" s="769"/>
      <c r="AF242" s="769"/>
      <c r="AG242" s="769"/>
      <c r="AH242" s="769"/>
      <c r="AI242" s="769"/>
      <c r="AJ242" s="375"/>
      <c r="AK242" s="186"/>
      <c r="AL242" s="769"/>
      <c r="AM242" s="769"/>
      <c r="AN242" s="769"/>
      <c r="AO242" s="769"/>
      <c r="AP242" s="769"/>
      <c r="AQ242" s="769"/>
      <c r="AR242" s="769"/>
      <c r="AS242" s="769"/>
      <c r="AT242" s="769"/>
      <c r="AU242" s="769"/>
      <c r="AV242" s="769"/>
      <c r="AW242" s="769"/>
      <c r="AX242" s="375"/>
      <c r="AY242" s="942"/>
      <c r="AZ242" s="204"/>
      <c r="BA242" s="186"/>
      <c r="BB242" s="769"/>
      <c r="BC242" s="769"/>
      <c r="BD242" s="769"/>
      <c r="BE242" s="769"/>
      <c r="BF242" s="769"/>
      <c r="BG242" s="769"/>
      <c r="BH242" s="769"/>
      <c r="BI242" s="769"/>
      <c r="BJ242" s="769"/>
      <c r="BK242" s="769"/>
      <c r="BL242" s="769"/>
      <c r="BM242" s="769"/>
      <c r="BN242" s="375"/>
      <c r="BO242" s="186"/>
      <c r="BP242" s="769"/>
      <c r="BQ242" s="769"/>
      <c r="BR242" s="769"/>
      <c r="BS242" s="769"/>
      <c r="BT242" s="769"/>
      <c r="BU242" s="769"/>
      <c r="BV242" s="769"/>
      <c r="BW242" s="769"/>
      <c r="BX242" s="769"/>
      <c r="BY242" s="769"/>
      <c r="BZ242" s="769"/>
      <c r="CA242" s="769"/>
      <c r="CB242" s="375"/>
      <c r="CC242" s="942"/>
      <c r="CD242" s="204"/>
      <c r="CF242" s="769"/>
      <c r="CG242" s="769"/>
      <c r="CH242" s="769"/>
      <c r="CI242" s="769"/>
      <c r="CJ242" s="769"/>
      <c r="CK242" s="769"/>
      <c r="CL242" s="769"/>
      <c r="CM242" s="769"/>
      <c r="CN242" s="769"/>
      <c r="CO242" s="769"/>
      <c r="CP242" s="769"/>
      <c r="CQ242" s="769"/>
      <c r="CS242" s="375"/>
      <c r="CT242" s="770"/>
      <c r="CU242" s="161"/>
      <c r="CW242" s="769"/>
      <c r="CX242" s="769"/>
      <c r="CY242" s="769"/>
      <c r="CZ242" s="769"/>
      <c r="DA242" s="769"/>
      <c r="DB242" s="769"/>
      <c r="DC242" s="769"/>
      <c r="DD242" s="769"/>
      <c r="DE242" s="769"/>
      <c r="DF242" s="769"/>
      <c r="DG242" s="769"/>
      <c r="DH242" s="769"/>
      <c r="DI242" s="375"/>
      <c r="DK242" s="769"/>
      <c r="DL242" s="769"/>
      <c r="DM242" s="769"/>
      <c r="DN242" s="769"/>
      <c r="DO242" s="769"/>
      <c r="DP242" s="769"/>
      <c r="DQ242" s="769"/>
      <c r="DR242" s="769"/>
      <c r="DS242" s="769"/>
      <c r="DT242" s="769"/>
      <c r="DU242" s="769"/>
      <c r="DV242" s="769"/>
      <c r="DW242" s="375"/>
      <c r="DX242" s="192"/>
      <c r="DY242" s="769"/>
      <c r="DZ242" s="769"/>
      <c r="EA242" s="769"/>
      <c r="EB242" s="769"/>
      <c r="EC242" s="769"/>
      <c r="ED242" s="769"/>
      <c r="EE242" s="769"/>
      <c r="EF242" s="769"/>
      <c r="EG242" s="769"/>
      <c r="EH242" s="769"/>
      <c r="EI242" s="769"/>
      <c r="EJ242" s="769"/>
      <c r="EK242" s="375"/>
      <c r="EL242" s="192"/>
      <c r="EM242" s="769"/>
      <c r="EN242" s="769"/>
      <c r="EO242" s="769"/>
      <c r="EP242" s="769"/>
      <c r="EQ242" s="769"/>
      <c r="ER242" s="769"/>
      <c r="ES242" s="769"/>
      <c r="ET242" s="769"/>
      <c r="EU242" s="769"/>
      <c r="EV242" s="769"/>
      <c r="EW242" s="769"/>
      <c r="EX242" s="769"/>
      <c r="EY242" s="375"/>
    </row>
    <row r="243" spans="2:156" ht="18" customHeight="1">
      <c r="F243" s="186" t="s">
        <v>931</v>
      </c>
      <c r="H243" s="769">
        <f t="shared" ref="H243:R243" si="321">SUM(H174:H177)</f>
        <v>0</v>
      </c>
      <c r="I243" s="769">
        <f t="shared" si="321"/>
        <v>0</v>
      </c>
      <c r="J243" s="769">
        <f t="shared" si="321"/>
        <v>0</v>
      </c>
      <c r="K243" s="769">
        <f t="shared" si="321"/>
        <v>0</v>
      </c>
      <c r="L243" s="769">
        <f t="shared" si="321"/>
        <v>0</v>
      </c>
      <c r="M243" s="769">
        <f t="shared" si="321"/>
        <v>0</v>
      </c>
      <c r="N243" s="769">
        <f t="shared" si="321"/>
        <v>0</v>
      </c>
      <c r="O243" s="769">
        <f t="shared" si="321"/>
        <v>0</v>
      </c>
      <c r="P243" s="769">
        <f t="shared" si="321"/>
        <v>0</v>
      </c>
      <c r="Q243" s="769">
        <f t="shared" si="321"/>
        <v>0</v>
      </c>
      <c r="R243" s="769">
        <f t="shared" si="321"/>
        <v>0</v>
      </c>
      <c r="S243" s="769">
        <f>SUM(S174:S177)</f>
        <v>9333609.6500000004</v>
      </c>
      <c r="T243" s="375">
        <f>SUM(H243:S243)</f>
        <v>9333609.6500000004</v>
      </c>
      <c r="U243" s="378">
        <f t="shared" ref="U243:U247" si="322">AJ243-T243</f>
        <v>47855.629999997094</v>
      </c>
      <c r="V243" s="165">
        <f t="shared" ref="V243:V247" si="323">U243/AJ243</f>
        <v>5.1010826743684446E-3</v>
      </c>
      <c r="W243" s="186"/>
      <c r="X243" s="769">
        <v>790560.86</v>
      </c>
      <c r="Y243" s="769">
        <v>790045.01</v>
      </c>
      <c r="Z243" s="769">
        <v>786137.04</v>
      </c>
      <c r="AA243" s="769">
        <v>786079.75</v>
      </c>
      <c r="AB243" s="769">
        <v>778570.02</v>
      </c>
      <c r="AC243" s="769">
        <v>776777.45000000007</v>
      </c>
      <c r="AD243" s="769">
        <v>777530.29</v>
      </c>
      <c r="AE243" s="769">
        <v>777499.24000000011</v>
      </c>
      <c r="AF243" s="769">
        <v>787723.96</v>
      </c>
      <c r="AG243" s="769">
        <v>784530.6</v>
      </c>
      <c r="AH243" s="769">
        <v>770686.42</v>
      </c>
      <c r="AI243" s="769">
        <v>775324.63999999687</v>
      </c>
      <c r="AJ243" s="1809">
        <f>SUM(X243:AI243)</f>
        <v>9381465.2799999975</v>
      </c>
      <c r="AK243" s="1810"/>
      <c r="AL243" s="1811">
        <v>794602.76</v>
      </c>
      <c r="AM243" s="1811">
        <v>794602.76</v>
      </c>
      <c r="AN243" s="1811">
        <v>794602.76</v>
      </c>
      <c r="AO243" s="1811">
        <v>794602.76</v>
      </c>
      <c r="AP243" s="1811">
        <v>794602.76</v>
      </c>
      <c r="AQ243" s="1811">
        <v>794602.76</v>
      </c>
      <c r="AR243" s="1811">
        <v>794602.76</v>
      </c>
      <c r="AS243" s="1811">
        <v>794602.76</v>
      </c>
      <c r="AT243" s="1811">
        <v>794602.76</v>
      </c>
      <c r="AU243" s="1811">
        <v>794602.76</v>
      </c>
      <c r="AV243" s="1811">
        <v>794602.76</v>
      </c>
      <c r="AW243" s="1811">
        <v>994602.76</v>
      </c>
      <c r="AX243" s="1809">
        <f>SUM(AL243:AW243)</f>
        <v>9735233.1199999992</v>
      </c>
      <c r="AY243" s="1812"/>
      <c r="AZ243" s="1813"/>
      <c r="BA243" s="1810"/>
      <c r="BB243" s="1811">
        <v>817250.35</v>
      </c>
      <c r="BC243" s="1811">
        <v>817195.13</v>
      </c>
      <c r="BD243" s="1811">
        <v>816820.21000000008</v>
      </c>
      <c r="BE243" s="1811">
        <v>814706.28999999992</v>
      </c>
      <c r="BF243" s="1811">
        <v>809914.70000000007</v>
      </c>
      <c r="BG243" s="1811">
        <v>809663.29</v>
      </c>
      <c r="BH243" s="1811">
        <v>809336.08</v>
      </c>
      <c r="BI243" s="1811">
        <v>808951.1</v>
      </c>
      <c r="BJ243" s="1811">
        <v>789424.43</v>
      </c>
      <c r="BK243" s="1811">
        <v>801027.15</v>
      </c>
      <c r="BL243" s="1811">
        <v>801029.76</v>
      </c>
      <c r="BM243" s="1811">
        <v>794602.76</v>
      </c>
      <c r="BN243" s="1809">
        <f>SUM(BB243:BM243)</f>
        <v>9689921.25</v>
      </c>
      <c r="BO243" s="1810"/>
      <c r="BP243" s="1811">
        <v>817156.55999999982</v>
      </c>
      <c r="BQ243" s="1811">
        <v>817272.17333333322</v>
      </c>
      <c r="BR243" s="1811">
        <v>819120.87333333318</v>
      </c>
      <c r="BS243" s="1811">
        <v>818329.69333333301</v>
      </c>
      <c r="BT243" s="1811">
        <v>820037.08333333337</v>
      </c>
      <c r="BU243" s="1811">
        <v>819391.08333333337</v>
      </c>
      <c r="BV243" s="1811">
        <v>818762.30333333334</v>
      </c>
      <c r="BW243" s="1811">
        <v>818361.89333333343</v>
      </c>
      <c r="BX243" s="1811">
        <v>798906.83000000019</v>
      </c>
      <c r="BY243" s="1811">
        <v>813812.96000000031</v>
      </c>
      <c r="BZ243" s="1811">
        <v>813245.21000000031</v>
      </c>
      <c r="CA243" s="1811">
        <v>840540.91333333368</v>
      </c>
      <c r="CB243" s="1809">
        <f>SUM(BP243:CA243)</f>
        <v>9814937.5766666681</v>
      </c>
      <c r="CC243" s="1812"/>
      <c r="CD243" s="1813"/>
      <c r="CE243" s="1810"/>
      <c r="CF243" s="1811">
        <v>504300.2</v>
      </c>
      <c r="CG243" s="1811">
        <v>509160.27999999997</v>
      </c>
      <c r="CH243" s="1811">
        <v>513577.58</v>
      </c>
      <c r="CI243" s="1811">
        <v>539702.59</v>
      </c>
      <c r="CJ243" s="1811">
        <v>620380.01</v>
      </c>
      <c r="CK243" s="1811">
        <v>1919003.1899999997</v>
      </c>
      <c r="CL243" s="1811">
        <v>781071.19000000006</v>
      </c>
      <c r="CM243" s="1811">
        <v>787523.83</v>
      </c>
      <c r="CN243" s="1811">
        <v>803098.79</v>
      </c>
      <c r="CO243" s="1811">
        <v>808920.96000000008</v>
      </c>
      <c r="CP243" s="1811">
        <v>809072.72000000009</v>
      </c>
      <c r="CQ243" s="1811">
        <v>817180.6</v>
      </c>
      <c r="CR243" s="1814"/>
      <c r="CS243" s="1809">
        <f>SUM(CF243:CQ243)</f>
        <v>9412991.9399999995</v>
      </c>
      <c r="CT243" s="1815"/>
      <c r="CU243" s="1816"/>
      <c r="CV243" s="1810"/>
      <c r="CW243" s="1811">
        <v>504983.06</v>
      </c>
      <c r="CX243" s="1811">
        <v>506239.04000000004</v>
      </c>
      <c r="CY243" s="1811">
        <v>505502.22</v>
      </c>
      <c r="CZ243" s="1811">
        <v>475848.98</v>
      </c>
      <c r="DA243" s="1811">
        <v>477283.63</v>
      </c>
      <c r="DB243" s="1811">
        <v>476599.88</v>
      </c>
      <c r="DC243" s="1811">
        <v>475745.34</v>
      </c>
      <c r="DD243" s="1811">
        <v>493119.37</v>
      </c>
      <c r="DE243" s="1811">
        <v>477976.83999999997</v>
      </c>
      <c r="DF243" s="1811">
        <v>474791.68000000005</v>
      </c>
      <c r="DG243" s="1811">
        <v>475417.57</v>
      </c>
      <c r="DH243" s="1811">
        <v>494555.11</v>
      </c>
      <c r="DI243" s="1809">
        <f>SUM(CW243:DH243)</f>
        <v>5838062.7200000007</v>
      </c>
      <c r="DJ243" s="1810"/>
      <c r="DK243" s="1811">
        <v>383879.62</v>
      </c>
      <c r="DL243" s="1811">
        <v>390169.47</v>
      </c>
      <c r="DM243" s="1811">
        <v>392652.73999999993</v>
      </c>
      <c r="DN243" s="1811">
        <v>393247.25999999995</v>
      </c>
      <c r="DO243" s="1811">
        <v>404349.01</v>
      </c>
      <c r="DP243" s="1811">
        <v>406574.69</v>
      </c>
      <c r="DQ243" s="1811">
        <v>410485.07999999996</v>
      </c>
      <c r="DR243" s="1811">
        <v>416320.73999999993</v>
      </c>
      <c r="DS243" s="1811">
        <v>428507.41</v>
      </c>
      <c r="DT243" s="1811">
        <v>428744.86999999994</v>
      </c>
      <c r="DU243" s="1811">
        <v>439459.3</v>
      </c>
      <c r="DV243" s="1811">
        <v>1234882.2699999998</v>
      </c>
      <c r="DW243" s="1809">
        <f>SUM(DK243:DV243)</f>
        <v>5729272.46</v>
      </c>
      <c r="DX243" s="1817"/>
      <c r="DY243" s="1811">
        <v>286945.02</v>
      </c>
      <c r="DZ243" s="1811">
        <v>288353.18000000005</v>
      </c>
      <c r="EA243" s="1811">
        <v>292523.77</v>
      </c>
      <c r="EB243" s="1811">
        <v>295339.5</v>
      </c>
      <c r="EC243" s="1811">
        <v>303125.64</v>
      </c>
      <c r="ED243" s="1811">
        <v>276090.03999999998</v>
      </c>
      <c r="EE243" s="1811">
        <v>278730.28999999998</v>
      </c>
      <c r="EF243" s="1811">
        <v>278730.28999999998</v>
      </c>
      <c r="EG243" s="1811">
        <v>318769.12</v>
      </c>
      <c r="EH243" s="1811">
        <v>591987.82000000007</v>
      </c>
      <c r="EI243" s="1811">
        <v>235859.82999999996</v>
      </c>
      <c r="EJ243" s="1811">
        <v>383955.16</v>
      </c>
      <c r="EK243" s="1809">
        <f>SUM(DY243:EJ243)</f>
        <v>3830409.6600000011</v>
      </c>
      <c r="EL243" s="1817"/>
      <c r="EM243" s="1811">
        <v>202616.95999999999</v>
      </c>
      <c r="EN243" s="1811">
        <v>238171.37</v>
      </c>
      <c r="EO243" s="1811">
        <v>238522.54</v>
      </c>
      <c r="EP243" s="1811">
        <v>240877.18000000002</v>
      </c>
      <c r="EQ243" s="1811">
        <v>245681.56999999998</v>
      </c>
      <c r="ER243" s="1811">
        <v>247463.79</v>
      </c>
      <c r="ES243" s="1811">
        <v>247976.85</v>
      </c>
      <c r="ET243" s="1811">
        <v>253270.06999999998</v>
      </c>
      <c r="EU243" s="1811">
        <v>274910.05000000005</v>
      </c>
      <c r="EV243" s="1811">
        <v>275129.45</v>
      </c>
      <c r="EW243" s="1811">
        <v>276028.87</v>
      </c>
      <c r="EX243" s="1811">
        <v>284171.36</v>
      </c>
      <c r="EY243" s="1809">
        <f>SUM(EM243:EX243)</f>
        <v>3024820.0600000005</v>
      </c>
    </row>
    <row r="244" spans="2:156" ht="18" customHeight="1">
      <c r="F244" s="186" t="s">
        <v>930</v>
      </c>
      <c r="H244" s="769">
        <v>0</v>
      </c>
      <c r="I244" s="769">
        <v>0</v>
      </c>
      <c r="J244" s="769">
        <v>0</v>
      </c>
      <c r="K244" s="769">
        <v>0</v>
      </c>
      <c r="L244" s="769">
        <v>0</v>
      </c>
      <c r="M244" s="769">
        <v>0</v>
      </c>
      <c r="N244" s="769">
        <v>0</v>
      </c>
      <c r="O244" s="769">
        <v>0</v>
      </c>
      <c r="P244" s="769">
        <v>0</v>
      </c>
      <c r="Q244" s="769">
        <v>0</v>
      </c>
      <c r="R244" s="769">
        <v>0</v>
      </c>
      <c r="S244" s="1527">
        <v>6796874.7584671723</v>
      </c>
      <c r="T244" s="981">
        <f>SUM(H244:S244)</f>
        <v>6796874.7584671723</v>
      </c>
      <c r="U244" s="378">
        <f t="shared" si="322"/>
        <v>-1871309.5641755266</v>
      </c>
      <c r="V244" s="165">
        <f t="shared" si="323"/>
        <v>-0.3799177333687983</v>
      </c>
      <c r="W244" s="186"/>
      <c r="X244" s="769">
        <v>472995.73226331867</v>
      </c>
      <c r="Y244" s="769">
        <v>271829.28601723514</v>
      </c>
      <c r="Z244" s="769">
        <v>181982.75206341207</v>
      </c>
      <c r="AA244" s="769">
        <v>123180.65760390805</v>
      </c>
      <c r="AB244" s="769">
        <v>110133.2811161881</v>
      </c>
      <c r="AC244" s="769">
        <v>243472.16521661956</v>
      </c>
      <c r="AD244" s="769">
        <v>415728.67438525957</v>
      </c>
      <c r="AE244" s="769">
        <v>988485.87254416372</v>
      </c>
      <c r="AF244" s="769">
        <v>767631.76482340391</v>
      </c>
      <c r="AG244" s="769">
        <v>69996.332166111111</v>
      </c>
      <c r="AH244" s="769">
        <v>609947.1060473884</v>
      </c>
      <c r="AI244" s="769">
        <v>670181.57004463742</v>
      </c>
      <c r="AJ244" s="1809">
        <f>SUM(X244:AI244)</f>
        <v>4925565.1942916457</v>
      </c>
      <c r="AK244" s="1810"/>
      <c r="AL244" s="1811">
        <v>0</v>
      </c>
      <c r="AM244" s="1811">
        <v>0</v>
      </c>
      <c r="AN244" s="1811">
        <v>0</v>
      </c>
      <c r="AO244" s="1811">
        <v>0</v>
      </c>
      <c r="AP244" s="1811">
        <v>0</v>
      </c>
      <c r="AQ244" s="1811">
        <v>0</v>
      </c>
      <c r="AR244" s="1811">
        <v>0</v>
      </c>
      <c r="AS244" s="1811">
        <v>0</v>
      </c>
      <c r="AT244" s="1811">
        <v>0</v>
      </c>
      <c r="AU244" s="1811">
        <v>0</v>
      </c>
      <c r="AV244" s="1811">
        <v>0</v>
      </c>
      <c r="AW244" s="1811">
        <v>5879290.6731891111</v>
      </c>
      <c r="AX244" s="1809">
        <f>SUM(AL244:AW244)</f>
        <v>5879290.6731891111</v>
      </c>
      <c r="AY244" s="1812"/>
      <c r="AZ244" s="1813"/>
      <c r="BA244" s="1810"/>
      <c r="BB244" s="1811">
        <v>40266.660790265953</v>
      </c>
      <c r="BC244" s="1811">
        <v>46047.323119340334</v>
      </c>
      <c r="BD244" s="1811">
        <v>146849.76929906319</v>
      </c>
      <c r="BE244" s="1811">
        <v>59033.360053577591</v>
      </c>
      <c r="BF244" s="1811">
        <v>88488.917754164722</v>
      </c>
      <c r="BG244" s="1811">
        <v>148352.05886789187</v>
      </c>
      <c r="BH244" s="1811">
        <v>194895.06748914754</v>
      </c>
      <c r="BI244" s="1811">
        <v>566875.17214981606</v>
      </c>
      <c r="BJ244" s="1811">
        <v>670680.94841033034</v>
      </c>
      <c r="BK244" s="1811">
        <v>971071.54887235537</v>
      </c>
      <c r="BL244" s="1811">
        <v>577600.22608279425</v>
      </c>
      <c r="BM244" s="1811">
        <v>453521.65951272158</v>
      </c>
      <c r="BN244" s="1809">
        <f>SUM(BB244:BM244)</f>
        <v>3963682.7124014688</v>
      </c>
      <c r="BO244" s="1810"/>
      <c r="BP244" s="1818">
        <v>40266.660790265953</v>
      </c>
      <c r="BQ244" s="1811">
        <v>46047.323119340334</v>
      </c>
      <c r="BR244" s="1811">
        <v>190641.37717870963</v>
      </c>
      <c r="BS244" s="1811">
        <v>96562.313232957807</v>
      </c>
      <c r="BT244" s="1811">
        <v>451663.11704497394</v>
      </c>
      <c r="BU244" s="1811">
        <v>889823.49056946998</v>
      </c>
      <c r="BV244" s="1811">
        <v>304378.17467260495</v>
      </c>
      <c r="BW244" s="1811">
        <v>899355.18954214547</v>
      </c>
      <c r="BX244" s="1811">
        <v>949283.65331788233</v>
      </c>
      <c r="BY244" s="1811">
        <v>678269.38461047714</v>
      </c>
      <c r="BZ244" s="1811">
        <v>226596.26326527295</v>
      </c>
      <c r="CA244" s="1811">
        <v>1275764.1947880934</v>
      </c>
      <c r="CB244" s="1809">
        <f>SUM(BP244:CA244)</f>
        <v>6048651.1421321938</v>
      </c>
      <c r="CC244" s="1812"/>
      <c r="CD244" s="1813"/>
      <c r="CE244" s="1810"/>
      <c r="CF244" s="1818">
        <v>294276.82009748108</v>
      </c>
      <c r="CG244" s="1811">
        <v>559284.51780832466</v>
      </c>
      <c r="CH244" s="1811">
        <v>538716.54277724773</v>
      </c>
      <c r="CI244" s="1811">
        <v>302605.28689901321</v>
      </c>
      <c r="CJ244" s="1811">
        <v>619633.4877360902</v>
      </c>
      <c r="CK244" s="1811">
        <v>428063.002322977</v>
      </c>
      <c r="CL244" s="1811">
        <v>1317705.8187623678</v>
      </c>
      <c r="CM244" s="1811">
        <v>671547.95679576753</v>
      </c>
      <c r="CN244" s="1811">
        <v>463778.64296188625</v>
      </c>
      <c r="CO244" s="1811">
        <v>638699.41757902969</v>
      </c>
      <c r="CP244" s="1811">
        <v>876612.32937277143</v>
      </c>
      <c r="CQ244" s="1811">
        <v>639853.81765727827</v>
      </c>
      <c r="CR244" s="1814"/>
      <c r="CS244" s="1809">
        <f>SUM(CF244:CQ244)</f>
        <v>7350777.6407702342</v>
      </c>
      <c r="CT244" s="1815"/>
      <c r="CU244" s="1816"/>
      <c r="CV244" s="1810"/>
      <c r="CW244" s="1811">
        <v>623036.19017306727</v>
      </c>
      <c r="CX244" s="1811">
        <v>408915.9109371602</v>
      </c>
      <c r="CY244" s="1811">
        <v>518020.70233787049</v>
      </c>
      <c r="CZ244" s="1811">
        <v>397011.47578861419</v>
      </c>
      <c r="DA244" s="1811">
        <v>458344.13230514363</v>
      </c>
      <c r="DB244" s="1811">
        <v>523598.12139212503</v>
      </c>
      <c r="DC244" s="1811">
        <v>558226.97394400823</v>
      </c>
      <c r="DD244" s="1811">
        <v>891997.0170976246</v>
      </c>
      <c r="DE244" s="1811">
        <v>1158133.3463005039</v>
      </c>
      <c r="DF244" s="1811">
        <v>580725.50212847756</v>
      </c>
      <c r="DG244" s="1811">
        <v>513116.36201390781</v>
      </c>
      <c r="DH244" s="1811">
        <v>701078.86520946422</v>
      </c>
      <c r="DI244" s="1809">
        <f>SUM(CW244:DH244)</f>
        <v>7332204.5996279679</v>
      </c>
      <c r="DJ244" s="1810"/>
      <c r="DK244" s="1811">
        <v>241957.62945982243</v>
      </c>
      <c r="DL244" s="1811">
        <v>437751.04036969674</v>
      </c>
      <c r="DM244" s="1811">
        <v>621867.72462837165</v>
      </c>
      <c r="DN244" s="1811">
        <v>415918.01511409308</v>
      </c>
      <c r="DO244" s="1811">
        <v>514248.00753446779</v>
      </c>
      <c r="DP244" s="1811">
        <v>717923.89048449602</v>
      </c>
      <c r="DQ244" s="1811">
        <v>686162.32942865498</v>
      </c>
      <c r="DR244" s="1811">
        <v>527645.50009239849</v>
      </c>
      <c r="DS244" s="1811">
        <v>803645.90289986751</v>
      </c>
      <c r="DT244" s="1811">
        <v>809646.1548566597</v>
      </c>
      <c r="DU244" s="1811">
        <v>259519.36899522421</v>
      </c>
      <c r="DV244" s="1811">
        <v>541551.95616979781</v>
      </c>
      <c r="DW244" s="1809">
        <f>SUM(DK244:DV244)</f>
        <v>6577837.5200335504</v>
      </c>
      <c r="DX244" s="1817"/>
      <c r="DY244" s="1811">
        <v>359930.29015428876</v>
      </c>
      <c r="DZ244" s="1811">
        <v>536932.183583993</v>
      </c>
      <c r="EA244" s="1811">
        <v>271940.75076581701</v>
      </c>
      <c r="EB244" s="1811">
        <v>313214.47723096854</v>
      </c>
      <c r="EC244" s="1811">
        <v>720742.46876276575</v>
      </c>
      <c r="ED244" s="1811">
        <v>593386.40412982332</v>
      </c>
      <c r="EE244" s="1811">
        <v>554245.30649624846</v>
      </c>
      <c r="EF244" s="1811">
        <v>613600.81460760324</v>
      </c>
      <c r="EG244" s="1811">
        <v>560265.76059017703</v>
      </c>
      <c r="EH244" s="1811">
        <v>542823.49605934543</v>
      </c>
      <c r="EI244" s="1811">
        <v>446992.2147459141</v>
      </c>
      <c r="EJ244" s="1811">
        <v>612166.13702999719</v>
      </c>
      <c r="EK244" s="1809">
        <f>SUM(DY244:EJ244)</f>
        <v>6126240.3041569414</v>
      </c>
      <c r="EL244" s="1817"/>
      <c r="EM244" s="1811">
        <v>469950.99323207967</v>
      </c>
      <c r="EN244" s="1811">
        <v>388392.8747998476</v>
      </c>
      <c r="EO244" s="1811">
        <v>378261.28579866129</v>
      </c>
      <c r="EP244" s="1811">
        <v>252446.09573034168</v>
      </c>
      <c r="EQ244" s="1811">
        <v>550790.57812546298</v>
      </c>
      <c r="ER244" s="1811">
        <v>599046.69539179339</v>
      </c>
      <c r="ES244" s="1811">
        <v>606552.0608720677</v>
      </c>
      <c r="ET244" s="1811">
        <v>582272.70343766059</v>
      </c>
      <c r="EU244" s="1811">
        <v>318200.46785919083</v>
      </c>
      <c r="EV244" s="1811">
        <v>804864.98240104469</v>
      </c>
      <c r="EW244" s="1811">
        <v>592311.34631597332</v>
      </c>
      <c r="EX244" s="1811">
        <v>446080.02308602131</v>
      </c>
      <c r="EY244" s="1809">
        <f>SUM(EM244:EX244)</f>
        <v>5989170.107050146</v>
      </c>
    </row>
    <row r="245" spans="2:156" ht="18" customHeight="1">
      <c r="F245" s="186" t="s">
        <v>1672</v>
      </c>
      <c r="H245" s="769"/>
      <c r="I245" s="769"/>
      <c r="J245" s="769"/>
      <c r="K245" s="769"/>
      <c r="L245" s="769"/>
      <c r="M245" s="769"/>
      <c r="N245" s="769"/>
      <c r="O245" s="769"/>
      <c r="P245" s="769"/>
      <c r="Q245" s="769"/>
      <c r="R245" s="769"/>
      <c r="S245" s="769">
        <f>SUM(S172:S173)</f>
        <v>15354177.84</v>
      </c>
      <c r="T245" s="375">
        <f t="shared" ref="T245:T247" si="324">SUM(H245:S245)</f>
        <v>15354177.84</v>
      </c>
      <c r="U245" s="378">
        <f t="shared" si="322"/>
        <v>-15354177.84</v>
      </c>
      <c r="V245" s="165" t="e">
        <f t="shared" si="323"/>
        <v>#DIV/0!</v>
      </c>
      <c r="W245" s="186"/>
      <c r="X245" s="769"/>
      <c r="Y245" s="769"/>
      <c r="Z245" s="769"/>
      <c r="AA245" s="769"/>
      <c r="AB245" s="769"/>
      <c r="AC245" s="769"/>
      <c r="AD245" s="769"/>
      <c r="AE245" s="769"/>
      <c r="AF245" s="769"/>
      <c r="AG245" s="769"/>
      <c r="AH245" s="769"/>
      <c r="AI245" s="769"/>
      <c r="AJ245" s="1809">
        <v>0</v>
      </c>
      <c r="AK245" s="1810"/>
      <c r="AL245" s="1811"/>
      <c r="AM245" s="1811"/>
      <c r="AN245" s="1811"/>
      <c r="AO245" s="1811"/>
      <c r="AP245" s="1811"/>
      <c r="AQ245" s="1811"/>
      <c r="AR245" s="1811"/>
      <c r="AS245" s="1811"/>
      <c r="AT245" s="1811"/>
      <c r="AU245" s="1811"/>
      <c r="AV245" s="1811"/>
      <c r="AW245" s="1811"/>
      <c r="AX245" s="1809"/>
      <c r="AY245" s="1812"/>
      <c r="AZ245" s="1813"/>
      <c r="BA245" s="1810"/>
      <c r="BB245" s="1811"/>
      <c r="BC245" s="1811"/>
      <c r="BD245" s="1811"/>
      <c r="BE245" s="1811"/>
      <c r="BF245" s="1811"/>
      <c r="BG245" s="1811"/>
      <c r="BH245" s="1811"/>
      <c r="BI245" s="1811"/>
      <c r="BJ245" s="1811"/>
      <c r="BK245" s="1811"/>
      <c r="BL245" s="1811"/>
      <c r="BM245" s="1811"/>
      <c r="BN245" s="1809"/>
      <c r="BO245" s="1810"/>
      <c r="BP245" s="1818"/>
      <c r="BQ245" s="1811"/>
      <c r="BR245" s="1811"/>
      <c r="BS245" s="1811"/>
      <c r="BT245" s="1811"/>
      <c r="BU245" s="1811"/>
      <c r="BV245" s="1811"/>
      <c r="BW245" s="1811"/>
      <c r="BX245" s="1811"/>
      <c r="BY245" s="1811"/>
      <c r="BZ245" s="1811"/>
      <c r="CA245" s="1811"/>
      <c r="CB245" s="1809"/>
      <c r="CC245" s="1812"/>
      <c r="CD245" s="1813"/>
      <c r="CE245" s="1810"/>
      <c r="CF245" s="1818"/>
      <c r="CG245" s="1811"/>
      <c r="CH245" s="1811"/>
      <c r="CI245" s="1811"/>
      <c r="CJ245" s="1811"/>
      <c r="CK245" s="1811"/>
      <c r="CL245" s="1811"/>
      <c r="CM245" s="1811"/>
      <c r="CN245" s="1811"/>
      <c r="CO245" s="1811"/>
      <c r="CP245" s="1811"/>
      <c r="CQ245" s="1811"/>
      <c r="CR245" s="1814"/>
      <c r="CS245" s="1809"/>
      <c r="CT245" s="1815"/>
      <c r="CU245" s="1816"/>
      <c r="CV245" s="1810"/>
      <c r="CW245" s="1811"/>
      <c r="CX245" s="1811"/>
      <c r="CY245" s="1811"/>
      <c r="CZ245" s="1811"/>
      <c r="DA245" s="1811"/>
      <c r="DB245" s="1811"/>
      <c r="DC245" s="1811"/>
      <c r="DD245" s="1811"/>
      <c r="DE245" s="1811"/>
      <c r="DF245" s="1811"/>
      <c r="DG245" s="1811"/>
      <c r="DH245" s="1811"/>
      <c r="DI245" s="1809"/>
      <c r="DJ245" s="1810"/>
      <c r="DK245" s="1811"/>
      <c r="DL245" s="1811"/>
      <c r="DM245" s="1811"/>
      <c r="DN245" s="1811"/>
      <c r="DO245" s="1811"/>
      <c r="DP245" s="1811"/>
      <c r="DQ245" s="1811"/>
      <c r="DR245" s="1811"/>
      <c r="DS245" s="1811"/>
      <c r="DT245" s="1811"/>
      <c r="DU245" s="1811"/>
      <c r="DV245" s="1811"/>
      <c r="DW245" s="1809"/>
      <c r="DX245" s="1817"/>
      <c r="DY245" s="1811"/>
      <c r="DZ245" s="1811"/>
      <c r="EA245" s="1811"/>
      <c r="EB245" s="1811"/>
      <c r="EC245" s="1811"/>
      <c r="ED245" s="1811"/>
      <c r="EE245" s="1811"/>
      <c r="EF245" s="1811"/>
      <c r="EG245" s="1811"/>
      <c r="EH245" s="1811"/>
      <c r="EI245" s="1811"/>
      <c r="EJ245" s="1811"/>
      <c r="EK245" s="1809"/>
      <c r="EL245" s="1817"/>
      <c r="EM245" s="1811"/>
      <c r="EN245" s="1811"/>
      <c r="EO245" s="1811"/>
      <c r="EP245" s="1811"/>
      <c r="EQ245" s="1811"/>
      <c r="ER245" s="1811"/>
      <c r="ES245" s="1811"/>
      <c r="ET245" s="1811"/>
      <c r="EU245" s="1811"/>
      <c r="EV245" s="1811"/>
      <c r="EW245" s="1811"/>
      <c r="EX245" s="1811"/>
      <c r="EY245" s="1809"/>
    </row>
    <row r="246" spans="2:156" ht="18" customHeight="1">
      <c r="F246" s="186" t="s">
        <v>1673</v>
      </c>
      <c r="H246" s="769"/>
      <c r="I246" s="769"/>
      <c r="J246" s="769"/>
      <c r="K246" s="769"/>
      <c r="L246" s="769"/>
      <c r="M246" s="769"/>
      <c r="N246" s="769"/>
      <c r="O246" s="769"/>
      <c r="P246" s="769"/>
      <c r="Q246" s="769"/>
      <c r="R246" s="769"/>
      <c r="S246" s="1527">
        <v>78687579.379503593</v>
      </c>
      <c r="T246" s="981">
        <f t="shared" si="324"/>
        <v>78687579.379503593</v>
      </c>
      <c r="U246" s="378">
        <f t="shared" si="322"/>
        <v>-78687579.379503593</v>
      </c>
      <c r="V246" s="165" t="e">
        <f t="shared" si="323"/>
        <v>#DIV/0!</v>
      </c>
      <c r="W246" s="186"/>
      <c r="X246" s="769"/>
      <c r="Y246" s="769"/>
      <c r="Z246" s="769"/>
      <c r="AA246" s="769"/>
      <c r="AB246" s="769"/>
      <c r="AC246" s="769"/>
      <c r="AD246" s="769"/>
      <c r="AE246" s="769"/>
      <c r="AF246" s="769"/>
      <c r="AG246" s="769"/>
      <c r="AH246" s="769"/>
      <c r="AI246" s="769"/>
      <c r="AJ246" s="1809">
        <v>0</v>
      </c>
      <c r="AK246" s="1810"/>
      <c r="AL246" s="1811"/>
      <c r="AM246" s="1811"/>
      <c r="AN246" s="1811"/>
      <c r="AO246" s="1811"/>
      <c r="AP246" s="1811"/>
      <c r="AQ246" s="1811"/>
      <c r="AR246" s="1811"/>
      <c r="AS246" s="1811"/>
      <c r="AT246" s="1811"/>
      <c r="AU246" s="1811"/>
      <c r="AV246" s="1811"/>
      <c r="AW246" s="1811"/>
      <c r="AX246" s="1809"/>
      <c r="AY246" s="1812"/>
      <c r="AZ246" s="1813"/>
      <c r="BA246" s="1810"/>
      <c r="BB246" s="1811"/>
      <c r="BC246" s="1811"/>
      <c r="BD246" s="1811"/>
      <c r="BE246" s="1811"/>
      <c r="BF246" s="1811"/>
      <c r="BG246" s="1811"/>
      <c r="BH246" s="1811"/>
      <c r="BI246" s="1811"/>
      <c r="BJ246" s="1811"/>
      <c r="BK246" s="1811"/>
      <c r="BL246" s="1811"/>
      <c r="BM246" s="1811"/>
      <c r="BN246" s="1809"/>
      <c r="BO246" s="1810"/>
      <c r="BP246" s="1818"/>
      <c r="BQ246" s="1811"/>
      <c r="BR246" s="1811"/>
      <c r="BS246" s="1811"/>
      <c r="BT246" s="1811"/>
      <c r="BU246" s="1811"/>
      <c r="BV246" s="1811"/>
      <c r="BW246" s="1811"/>
      <c r="BX246" s="1811"/>
      <c r="BY246" s="1811"/>
      <c r="BZ246" s="1811"/>
      <c r="CA246" s="1811"/>
      <c r="CB246" s="1809"/>
      <c r="CC246" s="1812"/>
      <c r="CD246" s="1813"/>
      <c r="CE246" s="1810"/>
      <c r="CF246" s="1818"/>
      <c r="CG246" s="1811"/>
      <c r="CH246" s="1811"/>
      <c r="CI246" s="1811"/>
      <c r="CJ246" s="1811"/>
      <c r="CK246" s="1811"/>
      <c r="CL246" s="1811"/>
      <c r="CM246" s="1811"/>
      <c r="CN246" s="1811"/>
      <c r="CO246" s="1811"/>
      <c r="CP246" s="1811"/>
      <c r="CQ246" s="1811"/>
      <c r="CR246" s="1814"/>
      <c r="CS246" s="1809"/>
      <c r="CT246" s="1815"/>
      <c r="CU246" s="1816"/>
      <c r="CV246" s="1810"/>
      <c r="CW246" s="1811"/>
      <c r="CX246" s="1811"/>
      <c r="CY246" s="1811"/>
      <c r="CZ246" s="1811"/>
      <c r="DA246" s="1811"/>
      <c r="DB246" s="1811"/>
      <c r="DC246" s="1811"/>
      <c r="DD246" s="1811"/>
      <c r="DE246" s="1811"/>
      <c r="DF246" s="1811"/>
      <c r="DG246" s="1811"/>
      <c r="DH246" s="1811"/>
      <c r="DI246" s="1809"/>
      <c r="DJ246" s="1810"/>
      <c r="DK246" s="1811"/>
      <c r="DL246" s="1811"/>
      <c r="DM246" s="1811"/>
      <c r="DN246" s="1811"/>
      <c r="DO246" s="1811"/>
      <c r="DP246" s="1811"/>
      <c r="DQ246" s="1811"/>
      <c r="DR246" s="1811"/>
      <c r="DS246" s="1811"/>
      <c r="DT246" s="1811"/>
      <c r="DU246" s="1811"/>
      <c r="DV246" s="1811"/>
      <c r="DW246" s="1809"/>
      <c r="DX246" s="1817"/>
      <c r="DY246" s="1811"/>
      <c r="DZ246" s="1811"/>
      <c r="EA246" s="1811"/>
      <c r="EB246" s="1811"/>
      <c r="EC246" s="1811"/>
      <c r="ED246" s="1811"/>
      <c r="EE246" s="1811"/>
      <c r="EF246" s="1811"/>
      <c r="EG246" s="1811"/>
      <c r="EH246" s="1811"/>
      <c r="EI246" s="1811"/>
      <c r="EJ246" s="1811"/>
      <c r="EK246" s="1809"/>
      <c r="EL246" s="1817"/>
      <c r="EM246" s="1811"/>
      <c r="EN246" s="1811"/>
      <c r="EO246" s="1811"/>
      <c r="EP246" s="1811"/>
      <c r="EQ246" s="1811"/>
      <c r="ER246" s="1811"/>
      <c r="ES246" s="1811"/>
      <c r="ET246" s="1811"/>
      <c r="EU246" s="1811"/>
      <c r="EV246" s="1811"/>
      <c r="EW246" s="1811"/>
      <c r="EX246" s="1811"/>
      <c r="EY246" s="1809"/>
    </row>
    <row r="247" spans="2:156" ht="18" customHeight="1">
      <c r="F247" s="320" t="s">
        <v>655</v>
      </c>
      <c r="H247" s="769"/>
      <c r="I247" s="769"/>
      <c r="J247" s="769"/>
      <c r="K247" s="769"/>
      <c r="L247" s="769"/>
      <c r="M247" s="769"/>
      <c r="N247" s="769"/>
      <c r="O247" s="769"/>
      <c r="P247" s="769"/>
      <c r="Q247" s="769"/>
      <c r="R247" s="769"/>
      <c r="S247" s="1527">
        <f>S171</f>
        <v>11163722.732315069</v>
      </c>
      <c r="T247" s="375">
        <f t="shared" si="324"/>
        <v>11163722.732315069</v>
      </c>
      <c r="U247" s="378">
        <f t="shared" si="322"/>
        <v>-11163722.732315069</v>
      </c>
      <c r="V247" s="165" t="e">
        <f t="shared" si="323"/>
        <v>#DIV/0!</v>
      </c>
      <c r="W247" s="186"/>
      <c r="X247" s="769"/>
      <c r="Y247" s="769"/>
      <c r="Z247" s="769"/>
      <c r="AA247" s="769"/>
      <c r="AB247" s="769"/>
      <c r="AC247" s="769"/>
      <c r="AD247" s="769"/>
      <c r="AE247" s="769"/>
      <c r="AF247" s="769"/>
      <c r="AG247" s="769"/>
      <c r="AH247" s="769"/>
      <c r="AI247" s="769"/>
      <c r="AJ247" s="1811">
        <f>AJ171</f>
        <v>0</v>
      </c>
      <c r="AK247" s="1810"/>
      <c r="AL247" s="1811"/>
      <c r="AM247" s="1811"/>
      <c r="AN247" s="1811"/>
      <c r="AO247" s="1811"/>
      <c r="AP247" s="1811"/>
      <c r="AQ247" s="1811"/>
      <c r="AR247" s="1811"/>
      <c r="AS247" s="1811"/>
      <c r="AT247" s="1811"/>
      <c r="AU247" s="1811"/>
      <c r="AV247" s="1811"/>
      <c r="AW247" s="1811"/>
      <c r="AX247" s="1809"/>
      <c r="AY247" s="1812"/>
      <c r="AZ247" s="1813"/>
      <c r="BA247" s="1810"/>
      <c r="BB247" s="1811"/>
      <c r="BC247" s="1811"/>
      <c r="BD247" s="1811"/>
      <c r="BE247" s="1811"/>
      <c r="BF247" s="1811"/>
      <c r="BG247" s="1811"/>
      <c r="BH247" s="1811"/>
      <c r="BI247" s="1811"/>
      <c r="BJ247" s="1811"/>
      <c r="BK247" s="1811"/>
      <c r="BL247" s="1811"/>
      <c r="BM247" s="1811"/>
      <c r="BN247" s="1809"/>
      <c r="BO247" s="1810"/>
      <c r="BP247" s="1818"/>
      <c r="BQ247" s="1811"/>
      <c r="BR247" s="1811"/>
      <c r="BS247" s="1811"/>
      <c r="BT247" s="1811"/>
      <c r="BU247" s="1811"/>
      <c r="BV247" s="1811"/>
      <c r="BW247" s="1811"/>
      <c r="BX247" s="1811"/>
      <c r="BY247" s="1811"/>
      <c r="BZ247" s="1811"/>
      <c r="CA247" s="1811"/>
      <c r="CB247" s="1809"/>
      <c r="CC247" s="1812"/>
      <c r="CD247" s="1813"/>
      <c r="CE247" s="1810"/>
      <c r="CF247" s="1818"/>
      <c r="CG247" s="1811"/>
      <c r="CH247" s="1811"/>
      <c r="CI247" s="1811"/>
      <c r="CJ247" s="1811"/>
      <c r="CK247" s="1811"/>
      <c r="CL247" s="1811"/>
      <c r="CM247" s="1811"/>
      <c r="CN247" s="1811"/>
      <c r="CO247" s="1811"/>
      <c r="CP247" s="1811"/>
      <c r="CQ247" s="1811"/>
      <c r="CR247" s="1814"/>
      <c r="CS247" s="1809"/>
      <c r="CT247" s="1815"/>
      <c r="CU247" s="1816"/>
      <c r="CV247" s="1810"/>
      <c r="CW247" s="1811"/>
      <c r="CX247" s="1811"/>
      <c r="CY247" s="1811"/>
      <c r="CZ247" s="1811"/>
      <c r="DA247" s="1811"/>
      <c r="DB247" s="1811"/>
      <c r="DC247" s="1811"/>
      <c r="DD247" s="1811"/>
      <c r="DE247" s="1811"/>
      <c r="DF247" s="1811"/>
      <c r="DG247" s="1811"/>
      <c r="DH247" s="1811"/>
      <c r="DI247" s="1809"/>
      <c r="DJ247" s="1810"/>
      <c r="DK247" s="1811"/>
      <c r="DL247" s="1811"/>
      <c r="DM247" s="1811"/>
      <c r="DN247" s="1811"/>
      <c r="DO247" s="1811"/>
      <c r="DP247" s="1811"/>
      <c r="DQ247" s="1811"/>
      <c r="DR247" s="1811"/>
      <c r="DS247" s="1811"/>
      <c r="DT247" s="1811"/>
      <c r="DU247" s="1811"/>
      <c r="DV247" s="1811"/>
      <c r="DW247" s="1809"/>
      <c r="DX247" s="1817"/>
      <c r="DY247" s="1811"/>
      <c r="DZ247" s="1811"/>
      <c r="EA247" s="1811"/>
      <c r="EB247" s="1811"/>
      <c r="EC247" s="1811"/>
      <c r="ED247" s="1811"/>
      <c r="EE247" s="1811"/>
      <c r="EF247" s="1811"/>
      <c r="EG247" s="1811"/>
      <c r="EH247" s="1811"/>
      <c r="EI247" s="1811"/>
      <c r="EJ247" s="1811"/>
      <c r="EK247" s="1809"/>
      <c r="EL247" s="1817"/>
      <c r="EM247" s="1811"/>
      <c r="EN247" s="1811"/>
      <c r="EO247" s="1811"/>
      <c r="EP247" s="1811"/>
      <c r="EQ247" s="1811"/>
      <c r="ER247" s="1811"/>
      <c r="ES247" s="1811"/>
      <c r="ET247" s="1811"/>
      <c r="EU247" s="1811"/>
      <c r="EV247" s="1811"/>
      <c r="EW247" s="1811"/>
      <c r="EX247" s="1811"/>
      <c r="EY247" s="1809"/>
    </row>
    <row r="248" spans="2:156" ht="18" customHeight="1">
      <c r="F248" s="186" t="s">
        <v>380</v>
      </c>
      <c r="H248" s="771">
        <f t="shared" ref="H248:S248" si="325">SUM(H243:H244)</f>
        <v>0</v>
      </c>
      <c r="I248" s="771">
        <f t="shared" si="325"/>
        <v>0</v>
      </c>
      <c r="J248" s="771">
        <f t="shared" si="325"/>
        <v>0</v>
      </c>
      <c r="K248" s="771">
        <f t="shared" si="325"/>
        <v>0</v>
      </c>
      <c r="L248" s="771">
        <f t="shared" si="325"/>
        <v>0</v>
      </c>
      <c r="M248" s="771">
        <f t="shared" si="325"/>
        <v>0</v>
      </c>
      <c r="N248" s="771">
        <f t="shared" si="325"/>
        <v>0</v>
      </c>
      <c r="O248" s="771">
        <f t="shared" si="325"/>
        <v>0</v>
      </c>
      <c r="P248" s="771">
        <f t="shared" si="325"/>
        <v>0</v>
      </c>
      <c r="Q248" s="771">
        <f t="shared" si="325"/>
        <v>0</v>
      </c>
      <c r="R248" s="771">
        <f t="shared" si="325"/>
        <v>0</v>
      </c>
      <c r="S248" s="771">
        <f t="shared" si="325"/>
        <v>16130484.408467174</v>
      </c>
      <c r="T248" s="771">
        <f>SUM(T243:T247)</f>
        <v>121335964.36028583</v>
      </c>
      <c r="U248" s="378">
        <f>T248-AJ248</f>
        <v>107028933.8859942</v>
      </c>
      <c r="V248" s="165">
        <f>U248/AJ248</f>
        <v>7.4808629280768564</v>
      </c>
      <c r="W248" s="186"/>
      <c r="X248" s="771">
        <f t="shared" ref="X248:AI248" si="326">SUM(X243:X244)</f>
        <v>1263556.5922633186</v>
      </c>
      <c r="Y248" s="771">
        <f t="shared" si="326"/>
        <v>1061874.2960172351</v>
      </c>
      <c r="Z248" s="771">
        <f t="shared" si="326"/>
        <v>968119.79206341214</v>
      </c>
      <c r="AA248" s="771">
        <f t="shared" si="326"/>
        <v>909260.4076039081</v>
      </c>
      <c r="AB248" s="771">
        <f t="shared" si="326"/>
        <v>888703.30111618806</v>
      </c>
      <c r="AC248" s="771">
        <f t="shared" si="326"/>
        <v>1020249.6152166196</v>
      </c>
      <c r="AD248" s="771">
        <f t="shared" si="326"/>
        <v>1193258.9643852597</v>
      </c>
      <c r="AE248" s="771">
        <f t="shared" si="326"/>
        <v>1765985.1125441638</v>
      </c>
      <c r="AF248" s="771">
        <f t="shared" si="326"/>
        <v>1555355.7248234039</v>
      </c>
      <c r="AG248" s="771">
        <f t="shared" si="326"/>
        <v>854526.93216611107</v>
      </c>
      <c r="AH248" s="771">
        <f t="shared" si="326"/>
        <v>1380633.5260473886</v>
      </c>
      <c r="AI248" s="771">
        <f t="shared" si="326"/>
        <v>1445506.2100446343</v>
      </c>
      <c r="AJ248" s="1819">
        <f>SUM(AJ243:AJ247)</f>
        <v>14307030.474291643</v>
      </c>
      <c r="AK248" s="1810"/>
      <c r="AL248" s="1819">
        <f t="shared" ref="AL248:AW248" si="327">SUM(AL243:AL244)</f>
        <v>794602.76</v>
      </c>
      <c r="AM248" s="1819">
        <f t="shared" si="327"/>
        <v>794602.76</v>
      </c>
      <c r="AN248" s="1819">
        <f t="shared" si="327"/>
        <v>794602.76</v>
      </c>
      <c r="AO248" s="1819">
        <f t="shared" si="327"/>
        <v>794602.76</v>
      </c>
      <c r="AP248" s="1819">
        <f t="shared" si="327"/>
        <v>794602.76</v>
      </c>
      <c r="AQ248" s="1819">
        <f t="shared" si="327"/>
        <v>794602.76</v>
      </c>
      <c r="AR248" s="1819">
        <f t="shared" si="327"/>
        <v>794602.76</v>
      </c>
      <c r="AS248" s="1819">
        <f t="shared" si="327"/>
        <v>794602.76</v>
      </c>
      <c r="AT248" s="1819">
        <f t="shared" si="327"/>
        <v>794602.76</v>
      </c>
      <c r="AU248" s="1819">
        <f t="shared" si="327"/>
        <v>794602.76</v>
      </c>
      <c r="AV248" s="1819">
        <f t="shared" si="327"/>
        <v>794602.76</v>
      </c>
      <c r="AW248" s="1819">
        <f t="shared" si="327"/>
        <v>6873893.4331891108</v>
      </c>
      <c r="AX248" s="1819">
        <f>SUM(AX243:AX244)</f>
        <v>15614523.79318911</v>
      </c>
      <c r="AY248" s="1812"/>
      <c r="AZ248" s="1813"/>
      <c r="BA248" s="1810"/>
      <c r="BB248" s="1819">
        <f t="shared" ref="BB248:BM248" si="328">SUM(BB243:BB244)</f>
        <v>857517.01079026598</v>
      </c>
      <c r="BC248" s="1819">
        <f t="shared" si="328"/>
        <v>863242.45311934035</v>
      </c>
      <c r="BD248" s="1819">
        <f t="shared" si="328"/>
        <v>963669.97929906333</v>
      </c>
      <c r="BE248" s="1819">
        <f t="shared" si="328"/>
        <v>873739.6500535775</v>
      </c>
      <c r="BF248" s="1819">
        <f t="shared" si="328"/>
        <v>898403.61775416485</v>
      </c>
      <c r="BG248" s="1819">
        <f t="shared" si="328"/>
        <v>958015.34886789194</v>
      </c>
      <c r="BH248" s="1819">
        <f t="shared" si="328"/>
        <v>1004231.1474891475</v>
      </c>
      <c r="BI248" s="1819">
        <f t="shared" si="328"/>
        <v>1375826.2721498162</v>
      </c>
      <c r="BJ248" s="1819">
        <f t="shared" si="328"/>
        <v>1460105.3784103305</v>
      </c>
      <c r="BK248" s="1819">
        <f t="shared" si="328"/>
        <v>1772098.6988723553</v>
      </c>
      <c r="BL248" s="1819">
        <f t="shared" si="328"/>
        <v>1378629.9860827941</v>
      </c>
      <c r="BM248" s="1819">
        <f t="shared" si="328"/>
        <v>1248124.4195127217</v>
      </c>
      <c r="BN248" s="1819">
        <f>SUM(BN243:BN244)</f>
        <v>13653603.962401468</v>
      </c>
      <c r="BO248" s="1810"/>
      <c r="BP248" s="1819">
        <f t="shared" ref="BP248:CA248" si="329">SUM(BP243:BP244)</f>
        <v>857423.22079026583</v>
      </c>
      <c r="BQ248" s="1819">
        <f t="shared" si="329"/>
        <v>863319.49645267357</v>
      </c>
      <c r="BR248" s="1819">
        <f t="shared" si="329"/>
        <v>1009762.2505120428</v>
      </c>
      <c r="BS248" s="1819">
        <f t="shared" si="329"/>
        <v>914892.00656629086</v>
      </c>
      <c r="BT248" s="1819">
        <f t="shared" si="329"/>
        <v>1271700.2003783074</v>
      </c>
      <c r="BU248" s="1819">
        <f t="shared" si="329"/>
        <v>1709214.5739028035</v>
      </c>
      <c r="BV248" s="1819">
        <f t="shared" si="329"/>
        <v>1123140.4780059382</v>
      </c>
      <c r="BW248" s="1819">
        <f t="shared" si="329"/>
        <v>1717717.082875479</v>
      </c>
      <c r="BX248" s="1819">
        <f t="shared" si="329"/>
        <v>1748190.4833178825</v>
      </c>
      <c r="BY248" s="1819">
        <f t="shared" si="329"/>
        <v>1492082.3446104773</v>
      </c>
      <c r="BZ248" s="1819">
        <f t="shared" si="329"/>
        <v>1039841.4732652733</v>
      </c>
      <c r="CA248" s="1819">
        <f t="shared" si="329"/>
        <v>2116305.1081214272</v>
      </c>
      <c r="CB248" s="1819">
        <f>SUM(CB243:CB244)</f>
        <v>15863588.718798861</v>
      </c>
      <c r="CC248" s="1812"/>
      <c r="CD248" s="1813"/>
      <c r="CE248" s="1810"/>
      <c r="CF248" s="1819">
        <f t="shared" ref="CF248:CQ248" si="330">SUM(CF243:CF244)</f>
        <v>798577.02009748109</v>
      </c>
      <c r="CG248" s="1819">
        <f t="shared" si="330"/>
        <v>1068444.7978083247</v>
      </c>
      <c r="CH248" s="1819">
        <f t="shared" si="330"/>
        <v>1052294.1227772478</v>
      </c>
      <c r="CI248" s="1819">
        <f t="shared" si="330"/>
        <v>842307.87689901318</v>
      </c>
      <c r="CJ248" s="1819">
        <f t="shared" si="330"/>
        <v>1240013.4977360903</v>
      </c>
      <c r="CK248" s="1819">
        <f t="shared" si="330"/>
        <v>2347066.1923229769</v>
      </c>
      <c r="CL248" s="1819">
        <f t="shared" si="330"/>
        <v>2098777.008762368</v>
      </c>
      <c r="CM248" s="1819">
        <f t="shared" si="330"/>
        <v>1459071.7867957675</v>
      </c>
      <c r="CN248" s="1819">
        <f t="shared" si="330"/>
        <v>1266877.4329618863</v>
      </c>
      <c r="CO248" s="1819">
        <f t="shared" si="330"/>
        <v>1447620.3775790296</v>
      </c>
      <c r="CP248" s="1819">
        <f t="shared" si="330"/>
        <v>1685685.0493727715</v>
      </c>
      <c r="CQ248" s="1819">
        <f t="shared" si="330"/>
        <v>1457034.4176572782</v>
      </c>
      <c r="CR248" s="1814"/>
      <c r="CS248" s="1819">
        <f>SUM(CS243:CS244)</f>
        <v>16763769.580770234</v>
      </c>
      <c r="CT248" s="1815"/>
      <c r="CU248" s="1816"/>
      <c r="CV248" s="1810"/>
      <c r="CW248" s="1819">
        <f t="shared" ref="CW248:DH248" si="331">SUM(CW243:CW244)</f>
        <v>1128019.2501730672</v>
      </c>
      <c r="CX248" s="1819">
        <f t="shared" si="331"/>
        <v>915154.95093716029</v>
      </c>
      <c r="CY248" s="1819">
        <f t="shared" si="331"/>
        <v>1023522.9223378705</v>
      </c>
      <c r="CZ248" s="1819">
        <f t="shared" si="331"/>
        <v>872860.45578861423</v>
      </c>
      <c r="DA248" s="1819">
        <f t="shared" si="331"/>
        <v>935627.76230514364</v>
      </c>
      <c r="DB248" s="1819">
        <f t="shared" si="331"/>
        <v>1000198.001392125</v>
      </c>
      <c r="DC248" s="1819">
        <f t="shared" si="331"/>
        <v>1033972.3139440082</v>
      </c>
      <c r="DD248" s="1819">
        <f t="shared" si="331"/>
        <v>1385116.3870976246</v>
      </c>
      <c r="DE248" s="1819">
        <f t="shared" si="331"/>
        <v>1636110.186300504</v>
      </c>
      <c r="DF248" s="1819">
        <f t="shared" si="331"/>
        <v>1055517.1821284776</v>
      </c>
      <c r="DG248" s="1819">
        <f t="shared" si="331"/>
        <v>988533.93201390782</v>
      </c>
      <c r="DH248" s="1819">
        <f t="shared" si="331"/>
        <v>1195633.9752094643</v>
      </c>
      <c r="DI248" s="1819">
        <f>SUM(DI243:DI244)</f>
        <v>13170267.319627969</v>
      </c>
      <c r="DJ248" s="1810"/>
      <c r="DK248" s="1819">
        <f t="shared" ref="DK248:DV248" si="332">SUM(DK243:DK244)</f>
        <v>625837.24945982243</v>
      </c>
      <c r="DL248" s="1819">
        <f t="shared" si="332"/>
        <v>827920.51036969665</v>
      </c>
      <c r="DM248" s="1819">
        <f t="shared" si="332"/>
        <v>1014520.4646283716</v>
      </c>
      <c r="DN248" s="1819">
        <f t="shared" si="332"/>
        <v>809165.27511409298</v>
      </c>
      <c r="DO248" s="1819">
        <f t="shared" si="332"/>
        <v>918597.01753446786</v>
      </c>
      <c r="DP248" s="1819">
        <f t="shared" si="332"/>
        <v>1124498.580484496</v>
      </c>
      <c r="DQ248" s="1819">
        <f t="shared" si="332"/>
        <v>1096647.4094286549</v>
      </c>
      <c r="DR248" s="1819">
        <f t="shared" si="332"/>
        <v>943966.24009239837</v>
      </c>
      <c r="DS248" s="1819">
        <f t="shared" si="332"/>
        <v>1232153.3128998675</v>
      </c>
      <c r="DT248" s="1819">
        <f t="shared" si="332"/>
        <v>1238391.0248566596</v>
      </c>
      <c r="DU248" s="1819">
        <f t="shared" si="332"/>
        <v>698978.66899522417</v>
      </c>
      <c r="DV248" s="1819">
        <f t="shared" si="332"/>
        <v>1776434.2261697976</v>
      </c>
      <c r="DW248" s="1819">
        <f>SUM(DW243:DW244)</f>
        <v>12307109.98003355</v>
      </c>
      <c r="DX248" s="1817"/>
      <c r="DY248" s="1819">
        <f t="shared" ref="DY248:EJ248" si="333">SUM(DY243:DY244)</f>
        <v>646875.31015428877</v>
      </c>
      <c r="DZ248" s="1819">
        <f t="shared" si="333"/>
        <v>825285.36358399305</v>
      </c>
      <c r="EA248" s="1819">
        <f t="shared" si="333"/>
        <v>564464.52076581703</v>
      </c>
      <c r="EB248" s="1819">
        <f t="shared" si="333"/>
        <v>608553.97723096854</v>
      </c>
      <c r="EC248" s="1819">
        <f t="shared" si="333"/>
        <v>1023868.1087627658</v>
      </c>
      <c r="ED248" s="1819">
        <f t="shared" si="333"/>
        <v>869476.44412982324</v>
      </c>
      <c r="EE248" s="1819">
        <f t="shared" si="333"/>
        <v>832975.59649624838</v>
      </c>
      <c r="EF248" s="1819">
        <f t="shared" si="333"/>
        <v>892331.10460760328</v>
      </c>
      <c r="EG248" s="1819">
        <f t="shared" si="333"/>
        <v>879034.88059017702</v>
      </c>
      <c r="EH248" s="1819">
        <f t="shared" si="333"/>
        <v>1134811.3160593454</v>
      </c>
      <c r="EI248" s="1819">
        <f t="shared" si="333"/>
        <v>682852.04474591406</v>
      </c>
      <c r="EJ248" s="1819">
        <f t="shared" si="333"/>
        <v>996121.29702999722</v>
      </c>
      <c r="EK248" s="1819">
        <f>SUM(EK243:EK244)</f>
        <v>9956649.9641569424</v>
      </c>
      <c r="EL248" s="1817"/>
      <c r="EM248" s="1819">
        <f t="shared" ref="EM248:EX248" si="334">SUM(EM243:EM244)</f>
        <v>672567.95323207963</v>
      </c>
      <c r="EN248" s="1819">
        <f t="shared" si="334"/>
        <v>626564.2447998476</v>
      </c>
      <c r="EO248" s="1819">
        <f t="shared" si="334"/>
        <v>616783.82579866133</v>
      </c>
      <c r="EP248" s="1819">
        <f t="shared" si="334"/>
        <v>493323.27573034167</v>
      </c>
      <c r="EQ248" s="1819">
        <f t="shared" si="334"/>
        <v>796472.14812546293</v>
      </c>
      <c r="ER248" s="1819">
        <f t="shared" si="334"/>
        <v>846510.48539179342</v>
      </c>
      <c r="ES248" s="1819">
        <f t="shared" si="334"/>
        <v>854528.91087206767</v>
      </c>
      <c r="ET248" s="1819">
        <f t="shared" si="334"/>
        <v>835542.77343766054</v>
      </c>
      <c r="EU248" s="1819">
        <f t="shared" si="334"/>
        <v>593110.51785919094</v>
      </c>
      <c r="EV248" s="1819">
        <f t="shared" si="334"/>
        <v>1079994.4324010448</v>
      </c>
      <c r="EW248" s="1819">
        <f t="shared" si="334"/>
        <v>868340.21631597332</v>
      </c>
      <c r="EX248" s="1819">
        <f t="shared" si="334"/>
        <v>730251.38308602129</v>
      </c>
      <c r="EY248" s="1819">
        <f>SUM(EY243:EY244)</f>
        <v>9013990.1670501456</v>
      </c>
    </row>
    <row r="249" spans="2:156" ht="18" customHeight="1">
      <c r="H249" s="941"/>
      <c r="I249" s="941"/>
      <c r="J249" s="941"/>
      <c r="K249" s="941"/>
      <c r="L249" s="941"/>
      <c r="M249" s="941"/>
      <c r="N249" s="941"/>
      <c r="O249" s="941"/>
      <c r="P249" s="941"/>
      <c r="Q249" s="941"/>
      <c r="R249" s="941"/>
      <c r="S249" s="941"/>
      <c r="T249" s="941"/>
      <c r="U249" s="942"/>
      <c r="V249" s="204"/>
      <c r="W249" s="186"/>
      <c r="X249" s="941"/>
      <c r="Y249" s="941"/>
      <c r="Z249" s="941"/>
      <c r="AA249" s="941"/>
      <c r="AB249" s="941"/>
      <c r="AC249" s="941"/>
      <c r="AD249" s="941"/>
      <c r="AE249" s="941"/>
      <c r="AF249" s="941"/>
      <c r="AG249" s="941"/>
      <c r="AH249" s="941"/>
      <c r="AI249" s="941"/>
      <c r="AJ249" s="1818"/>
      <c r="AK249" s="1810"/>
      <c r="AL249" s="1818"/>
      <c r="AM249" s="1818"/>
      <c r="AN249" s="1818"/>
      <c r="AO249" s="1818"/>
      <c r="AP249" s="1818"/>
      <c r="AQ249" s="1818"/>
      <c r="AR249" s="1818"/>
      <c r="AS249" s="1818"/>
      <c r="AT249" s="1818"/>
      <c r="AU249" s="1818"/>
      <c r="AV249" s="1818"/>
      <c r="AW249" s="1818"/>
      <c r="AX249" s="1818"/>
      <c r="AY249" s="1812"/>
      <c r="AZ249" s="1813"/>
      <c r="BA249" s="1810"/>
      <c r="BB249" s="1818"/>
      <c r="BC249" s="1818"/>
      <c r="BD249" s="1818"/>
      <c r="BE249" s="1818"/>
      <c r="BF249" s="1818"/>
      <c r="BG249" s="1818"/>
      <c r="BH249" s="1818"/>
      <c r="BI249" s="1818"/>
      <c r="BJ249" s="1818"/>
      <c r="BK249" s="1818"/>
      <c r="BL249" s="1818"/>
      <c r="BM249" s="1818"/>
      <c r="BN249" s="1818"/>
      <c r="BO249" s="1810"/>
      <c r="BP249" s="1818"/>
      <c r="BQ249" s="1818"/>
      <c r="BR249" s="1818"/>
      <c r="BS249" s="1818"/>
      <c r="BT249" s="1818"/>
      <c r="BU249" s="1818"/>
      <c r="BV249" s="1818"/>
      <c r="BW249" s="1818"/>
      <c r="BX249" s="1818"/>
      <c r="BY249" s="1818"/>
      <c r="BZ249" s="1818"/>
      <c r="CA249" s="1818"/>
      <c r="CB249" s="1818"/>
      <c r="CC249" s="1812"/>
      <c r="CD249" s="1813"/>
      <c r="CE249" s="1810"/>
      <c r="CF249" s="1818"/>
      <c r="CG249" s="1818"/>
      <c r="CH249" s="1818"/>
      <c r="CI249" s="1818"/>
      <c r="CJ249" s="1818"/>
      <c r="CK249" s="1818"/>
      <c r="CL249" s="1818"/>
      <c r="CM249" s="1818"/>
      <c r="CN249" s="1818"/>
      <c r="CO249" s="1818"/>
      <c r="CP249" s="1818"/>
      <c r="CQ249" s="1818"/>
      <c r="CR249" s="1814"/>
      <c r="CS249" s="1818"/>
      <c r="CT249" s="1815"/>
      <c r="CU249" s="1816"/>
      <c r="CV249" s="1810"/>
      <c r="CW249" s="1811"/>
      <c r="CX249" s="1811"/>
      <c r="CY249" s="1811"/>
      <c r="CZ249" s="1811"/>
      <c r="DA249" s="1811"/>
      <c r="DB249" s="1811"/>
      <c r="DC249" s="1811"/>
      <c r="DD249" s="1811"/>
      <c r="DE249" s="1811"/>
      <c r="DF249" s="1811"/>
      <c r="DG249" s="1811"/>
      <c r="DH249" s="1811"/>
      <c r="DI249" s="1811"/>
      <c r="DJ249" s="1810"/>
      <c r="DK249" s="1811"/>
      <c r="DL249" s="1811"/>
      <c r="DM249" s="1811"/>
      <c r="DN249" s="1811"/>
      <c r="DO249" s="1811"/>
      <c r="DP249" s="1811"/>
      <c r="DQ249" s="1811"/>
      <c r="DR249" s="1811"/>
      <c r="DS249" s="1811"/>
      <c r="DT249" s="1811"/>
      <c r="DU249" s="1811"/>
      <c r="DV249" s="1811"/>
      <c r="DW249" s="1811"/>
      <c r="DX249" s="1817"/>
      <c r="DY249" s="1811"/>
      <c r="DZ249" s="1811"/>
      <c r="EA249" s="1811"/>
      <c r="EB249" s="1811"/>
      <c r="EC249" s="1811"/>
      <c r="ED249" s="1811"/>
      <c r="EE249" s="1811"/>
      <c r="EF249" s="1811"/>
      <c r="EG249" s="1811"/>
      <c r="EH249" s="1811"/>
      <c r="EI249" s="1811"/>
      <c r="EJ249" s="1811"/>
      <c r="EK249" s="1811"/>
      <c r="EL249" s="1817"/>
      <c r="EM249" s="1811"/>
      <c r="EN249" s="1811"/>
      <c r="EO249" s="1811"/>
      <c r="EP249" s="1811"/>
      <c r="EQ249" s="1811"/>
      <c r="ER249" s="1811"/>
      <c r="ES249" s="1811"/>
      <c r="ET249" s="1811"/>
      <c r="EU249" s="1811"/>
      <c r="EV249" s="1811"/>
      <c r="EW249" s="1811"/>
      <c r="EX249" s="1811"/>
      <c r="EY249" s="1811"/>
    </row>
    <row r="250" spans="2:156" s="182" customFormat="1" ht="18" customHeight="1">
      <c r="B250" s="331"/>
      <c r="C250" s="331"/>
      <c r="D250" s="331"/>
      <c r="E250" s="331" t="s">
        <v>929</v>
      </c>
      <c r="F250" s="332"/>
      <c r="G250" s="332"/>
      <c r="H250" s="404">
        <f>H238+H248</f>
        <v>0</v>
      </c>
      <c r="I250" s="404">
        <f t="shared" ref="I250:T250" si="335">I238+I248</f>
        <v>0</v>
      </c>
      <c r="J250" s="404">
        <f t="shared" si="335"/>
        <v>0</v>
      </c>
      <c r="K250" s="404">
        <f t="shared" si="335"/>
        <v>0</v>
      </c>
      <c r="L250" s="404">
        <f t="shared" si="335"/>
        <v>0</v>
      </c>
      <c r="M250" s="404">
        <f t="shared" si="335"/>
        <v>0</v>
      </c>
      <c r="N250" s="405">
        <f t="shared" si="335"/>
        <v>0</v>
      </c>
      <c r="O250" s="405">
        <f t="shared" si="335"/>
        <v>0</v>
      </c>
      <c r="P250" s="405">
        <f t="shared" si="335"/>
        <v>0</v>
      </c>
      <c r="Q250" s="405">
        <f t="shared" si="335"/>
        <v>0</v>
      </c>
      <c r="R250" s="405">
        <f t="shared" si="335"/>
        <v>0</v>
      </c>
      <c r="S250" s="405">
        <f t="shared" si="335"/>
        <v>-99357569.03103739</v>
      </c>
      <c r="T250" s="406">
        <f t="shared" si="335"/>
        <v>11123895.445214108</v>
      </c>
      <c r="U250" s="378">
        <f>T250-AJ250</f>
        <v>-71140757.743667126</v>
      </c>
      <c r="V250" s="165">
        <f>U250/AJ250</f>
        <v>-0.86477916074509631</v>
      </c>
      <c r="W250" s="768"/>
      <c r="X250" s="404">
        <f>X238+X248</f>
        <v>2581588.1094566174</v>
      </c>
      <c r="Y250" s="404">
        <f t="shared" ref="Y250:AJ250" si="336">Y238+Y248</f>
        <v>5713445.4343541358</v>
      </c>
      <c r="Z250" s="404">
        <f t="shared" si="336"/>
        <v>1920436.6308303187</v>
      </c>
      <c r="AA250" s="404">
        <f t="shared" si="336"/>
        <v>-3363043.4878570922</v>
      </c>
      <c r="AB250" s="404">
        <f t="shared" si="336"/>
        <v>-3690804.442631809</v>
      </c>
      <c r="AC250" s="404">
        <f t="shared" si="336"/>
        <v>2338408.2580546169</v>
      </c>
      <c r="AD250" s="405">
        <f t="shared" si="336"/>
        <v>1385909.5440979635</v>
      </c>
      <c r="AE250" s="405">
        <f t="shared" si="336"/>
        <v>8731166.5435612723</v>
      </c>
      <c r="AF250" s="405">
        <f t="shared" si="336"/>
        <v>20555226.087325305</v>
      </c>
      <c r="AG250" s="405">
        <f t="shared" si="336"/>
        <v>2474296.7064444148</v>
      </c>
      <c r="AH250" s="405">
        <f t="shared" si="336"/>
        <v>32800716.501394089</v>
      </c>
      <c r="AI250" s="405">
        <f t="shared" si="336"/>
        <v>10817307.303851444</v>
      </c>
      <c r="AJ250" s="1820">
        <f t="shared" si="336"/>
        <v>82264653.188881233</v>
      </c>
      <c r="AK250" s="1821"/>
      <c r="AL250" s="1822">
        <f>AL238+AL248</f>
        <v>-5420024.4183194935</v>
      </c>
      <c r="AM250" s="1822">
        <f t="shared" ref="AM250:AX250" si="337">AM238+AM248</f>
        <v>-5189622.3928194949</v>
      </c>
      <c r="AN250" s="1822">
        <f t="shared" si="337"/>
        <v>-5456739.176819494</v>
      </c>
      <c r="AO250" s="1822">
        <f t="shared" si="337"/>
        <v>-5337684.0648194943</v>
      </c>
      <c r="AP250" s="1822">
        <f t="shared" si="337"/>
        <v>-5267145.2123194942</v>
      </c>
      <c r="AQ250" s="1822">
        <f t="shared" si="337"/>
        <v>-6012324.9883194929</v>
      </c>
      <c r="AR250" s="1822">
        <f t="shared" si="337"/>
        <v>-5588772.1288194945</v>
      </c>
      <c r="AS250" s="1822">
        <f t="shared" si="337"/>
        <v>-5207554.6898194943</v>
      </c>
      <c r="AT250" s="1822">
        <f t="shared" si="337"/>
        <v>-6095338.3573194928</v>
      </c>
      <c r="AU250" s="1822">
        <f t="shared" si="337"/>
        <v>-5726546.4483194938</v>
      </c>
      <c r="AV250" s="1822">
        <f t="shared" si="337"/>
        <v>-5582195.1078194939</v>
      </c>
      <c r="AW250" s="1822">
        <f t="shared" si="337"/>
        <v>120509664.39388771</v>
      </c>
      <c r="AX250" s="1820">
        <f t="shared" si="337"/>
        <v>59995717.887087047</v>
      </c>
      <c r="AY250" s="1823">
        <f>AX250-BN250</f>
        <v>52212854.094483957</v>
      </c>
      <c r="AZ250" s="1824">
        <f>AY250/BN250</f>
        <v>6.7086943168795443</v>
      </c>
      <c r="BA250" s="1821"/>
      <c r="BB250" s="1822">
        <f>BB238+BB248</f>
        <v>-8013417.5943380799</v>
      </c>
      <c r="BC250" s="1822">
        <f t="shared" ref="BC250:BN250" si="338">BC238+BC248</f>
        <v>-5671800.9097863268</v>
      </c>
      <c r="BD250" s="1822">
        <f t="shared" si="338"/>
        <v>-2149964.0878417226</v>
      </c>
      <c r="BE250" s="1822">
        <f t="shared" si="338"/>
        <v>-8883369.9651196245</v>
      </c>
      <c r="BF250" s="1822">
        <f t="shared" si="338"/>
        <v>-2288702.6320008375</v>
      </c>
      <c r="BG250" s="1822">
        <f t="shared" si="338"/>
        <v>-4236713.3318317151</v>
      </c>
      <c r="BH250" s="1822">
        <f t="shared" si="338"/>
        <v>-1432571.4711380468</v>
      </c>
      <c r="BI250" s="1822">
        <f t="shared" si="338"/>
        <v>9947828.2012369297</v>
      </c>
      <c r="BJ250" s="1822">
        <f t="shared" si="338"/>
        <v>14221457.72260843</v>
      </c>
      <c r="BK250" s="1822">
        <f t="shared" si="338"/>
        <v>10737140.95495004</v>
      </c>
      <c r="BL250" s="1822">
        <f t="shared" si="338"/>
        <v>6538721.2329078969</v>
      </c>
      <c r="BM250" s="1822">
        <f t="shared" si="338"/>
        <v>-800602.14131357986</v>
      </c>
      <c r="BN250" s="1820">
        <f t="shared" si="338"/>
        <v>7782863.7926030941</v>
      </c>
      <c r="BO250" s="1821"/>
      <c r="BP250" s="1822">
        <f t="shared" ref="BP250:CB250" si="339">BP238+BP248</f>
        <v>-10481899.202892799</v>
      </c>
      <c r="BQ250" s="1822">
        <f t="shared" si="339"/>
        <v>-8672884.3269902691</v>
      </c>
      <c r="BR250" s="1822">
        <f t="shared" si="339"/>
        <v>-2310311.0406906027</v>
      </c>
      <c r="BS250" s="1822">
        <f t="shared" si="339"/>
        <v>-4496795.6463525686</v>
      </c>
      <c r="BT250" s="1822">
        <f t="shared" si="339"/>
        <v>2707826.7502432996</v>
      </c>
      <c r="BU250" s="1822">
        <f t="shared" si="339"/>
        <v>17748870.074146349</v>
      </c>
      <c r="BV250" s="1822">
        <f t="shared" si="339"/>
        <v>1888631.8510817774</v>
      </c>
      <c r="BW250" s="1822">
        <f t="shared" si="339"/>
        <v>12367348.828772496</v>
      </c>
      <c r="BX250" s="1822">
        <f t="shared" si="339"/>
        <v>31662320.083632309</v>
      </c>
      <c r="BY250" s="1822">
        <f t="shared" si="339"/>
        <v>18227070.627209757</v>
      </c>
      <c r="BZ250" s="1822">
        <f t="shared" si="339"/>
        <v>7453680.061522726</v>
      </c>
      <c r="CA250" s="1822">
        <f t="shared" si="339"/>
        <v>24148735.092036571</v>
      </c>
      <c r="CB250" s="1820">
        <f t="shared" si="339"/>
        <v>90242593.151719138</v>
      </c>
      <c r="CC250" s="1823">
        <f>BN250-CB250</f>
        <v>-82459729.359116048</v>
      </c>
      <c r="CD250" s="1824">
        <f>IFERROR(CC250/CB250,"N/A")</f>
        <v>-0.91375620401866942</v>
      </c>
      <c r="CE250" s="1825"/>
      <c r="CF250" s="1822">
        <f t="shared" ref="CF250:CS250" si="340">CF238+CF248</f>
        <v>-2424131.6437466051</v>
      </c>
      <c r="CG250" s="1822">
        <f t="shared" si="340"/>
        <v>11560181.520639991</v>
      </c>
      <c r="CH250" s="1822">
        <f t="shared" si="340"/>
        <v>17269743.928229824</v>
      </c>
      <c r="CI250" s="1822">
        <f t="shared" si="340"/>
        <v>2874864.500031231</v>
      </c>
      <c r="CJ250" s="1822">
        <f t="shared" si="340"/>
        <v>2023718.3331440999</v>
      </c>
      <c r="CK250" s="1822">
        <f t="shared" si="340"/>
        <v>14073276.636372063</v>
      </c>
      <c r="CL250" s="1822">
        <f t="shared" si="340"/>
        <v>-280421.45552822109</v>
      </c>
      <c r="CM250" s="1822">
        <f t="shared" si="340"/>
        <v>13407852.963405164</v>
      </c>
      <c r="CN250" s="1822">
        <f t="shared" si="340"/>
        <v>14510957.063826887</v>
      </c>
      <c r="CO250" s="1822">
        <f t="shared" si="340"/>
        <v>4927185.072663229</v>
      </c>
      <c r="CP250" s="1822">
        <f t="shared" si="340"/>
        <v>14733525.353844369</v>
      </c>
      <c r="CQ250" s="1822">
        <f t="shared" si="340"/>
        <v>16792531.835496578</v>
      </c>
      <c r="CR250" s="1822"/>
      <c r="CS250" s="1820">
        <f t="shared" si="340"/>
        <v>109469284.10837851</v>
      </c>
      <c r="CT250" s="1823">
        <f>BN250-CS250</f>
        <v>-101686420.31577542</v>
      </c>
      <c r="CU250" s="1824">
        <f>IFERROR(CT250/CS250,"N/A")</f>
        <v>-0.92890367507201588</v>
      </c>
      <c r="CV250" s="1825"/>
      <c r="CW250" s="1822">
        <f t="shared" ref="CW250:DH250" si="341">CW238+CW248</f>
        <v>11846643.369073061</v>
      </c>
      <c r="CX250" s="1822">
        <f t="shared" si="341"/>
        <v>10769087.40013716</v>
      </c>
      <c r="CY250" s="1822">
        <f t="shared" si="341"/>
        <v>16971507.311637871</v>
      </c>
      <c r="CZ250" s="1822">
        <f t="shared" si="341"/>
        <v>3851469.0718886163</v>
      </c>
      <c r="DA250" s="1822">
        <f t="shared" si="341"/>
        <v>13590662.809605137</v>
      </c>
      <c r="DB250" s="1822">
        <f t="shared" si="341"/>
        <v>16575842.05859212</v>
      </c>
      <c r="DC250" s="1822">
        <f t="shared" si="341"/>
        <v>5492989.2713440023</v>
      </c>
      <c r="DD250" s="1822">
        <f t="shared" si="341"/>
        <v>9743864.6861976366</v>
      </c>
      <c r="DE250" s="1822">
        <f t="shared" si="341"/>
        <v>22169158.820800502</v>
      </c>
      <c r="DF250" s="1822">
        <f t="shared" si="341"/>
        <v>16402442.085304875</v>
      </c>
      <c r="DG250" s="1822">
        <f t="shared" si="341"/>
        <v>8087019.9222589107</v>
      </c>
      <c r="DH250" s="1822">
        <f t="shared" si="341"/>
        <v>17300285.321962267</v>
      </c>
      <c r="DI250" s="1820">
        <f>DI238+DI248</f>
        <v>152800972.12880221</v>
      </c>
      <c r="DJ250" s="1825"/>
      <c r="DK250" s="1822">
        <f t="shared" ref="DK250:DV250" si="342">DK238+DK248</f>
        <v>3775573.1064598197</v>
      </c>
      <c r="DL250" s="1822">
        <f t="shared" si="342"/>
        <v>10922056.786369693</v>
      </c>
      <c r="DM250" s="1822">
        <f t="shared" si="342"/>
        <v>16982100.603028376</v>
      </c>
      <c r="DN250" s="1822">
        <f t="shared" si="342"/>
        <v>7467456.754514087</v>
      </c>
      <c r="DO250" s="1822">
        <f t="shared" si="342"/>
        <v>12264498.130034473</v>
      </c>
      <c r="DP250" s="1822">
        <f t="shared" si="342"/>
        <v>17818911.962684497</v>
      </c>
      <c r="DQ250" s="1822">
        <f t="shared" si="342"/>
        <v>-88580.775871345075</v>
      </c>
      <c r="DR250" s="1822">
        <f t="shared" si="342"/>
        <v>9032679.7839924078</v>
      </c>
      <c r="DS250" s="1822">
        <f t="shared" si="342"/>
        <v>20986727.173299871</v>
      </c>
      <c r="DT250" s="1822">
        <f t="shared" si="342"/>
        <v>20617342.74885666</v>
      </c>
      <c r="DU250" s="1822">
        <f t="shared" si="342"/>
        <v>8981525.2617952302</v>
      </c>
      <c r="DV250" s="1822">
        <f t="shared" si="342"/>
        <v>18597621.253269807</v>
      </c>
      <c r="DW250" s="1820">
        <f>DW238+DW248</f>
        <v>147357912.78843358</v>
      </c>
      <c r="DX250" s="1826"/>
      <c r="DY250" s="1822">
        <f t="shared" ref="DY250:EJ250" si="343">DY238+DY248</f>
        <v>17116083.400154281</v>
      </c>
      <c r="DZ250" s="1822">
        <f t="shared" si="343"/>
        <v>13120476.513583995</v>
      </c>
      <c r="EA250" s="1822">
        <f t="shared" si="343"/>
        <v>6580829.96076582</v>
      </c>
      <c r="EB250" s="1822">
        <f t="shared" si="343"/>
        <v>2402142.3772309651</v>
      </c>
      <c r="EC250" s="1822">
        <f t="shared" si="343"/>
        <v>20242509.758762754</v>
      </c>
      <c r="ED250" s="1822">
        <f t="shared" si="343"/>
        <v>16279486.354129812</v>
      </c>
      <c r="EE250" s="1822">
        <f t="shared" si="343"/>
        <v>151008.3751962462</v>
      </c>
      <c r="EF250" s="1822">
        <f t="shared" si="343"/>
        <v>4105297.1172913266</v>
      </c>
      <c r="EG250" s="1822">
        <f t="shared" si="343"/>
        <v>19316602.274790186</v>
      </c>
      <c r="EH250" s="1822">
        <f t="shared" si="343"/>
        <v>11168974.321359346</v>
      </c>
      <c r="EI250" s="1822">
        <f t="shared" si="343"/>
        <v>9330197.7744459175</v>
      </c>
      <c r="EJ250" s="1822">
        <f t="shared" si="343"/>
        <v>10989466.05023</v>
      </c>
      <c r="EK250" s="1820">
        <f>EK238+EK248</f>
        <v>130803074.27794065</v>
      </c>
      <c r="EL250" s="1827"/>
      <c r="EM250" s="1822">
        <f t="shared" ref="EM250:EX250" si="344">EM238+EM248</f>
        <v>23207084.901044715</v>
      </c>
      <c r="EN250" s="1822">
        <f t="shared" si="344"/>
        <v>7335768.0805907594</v>
      </c>
      <c r="EO250" s="1822">
        <f t="shared" si="344"/>
        <v>7283325.3066667886</v>
      </c>
      <c r="EP250" s="1822">
        <f t="shared" si="344"/>
        <v>9767796.259992715</v>
      </c>
      <c r="EQ250" s="1822">
        <f t="shared" si="344"/>
        <v>15509999.031084031</v>
      </c>
      <c r="ER250" s="1822">
        <f t="shared" si="344"/>
        <v>13415321.590810996</v>
      </c>
      <c r="ES250" s="1822">
        <f t="shared" si="344"/>
        <v>10634846.797659699</v>
      </c>
      <c r="ET250" s="1822">
        <f t="shared" si="344"/>
        <v>12286250.685586441</v>
      </c>
      <c r="EU250" s="1822">
        <f t="shared" si="344"/>
        <v>8746226.7748602219</v>
      </c>
      <c r="EV250" s="1822">
        <f t="shared" si="344"/>
        <v>30625244.99782493</v>
      </c>
      <c r="EW250" s="1822">
        <f t="shared" si="344"/>
        <v>13203609.315553665</v>
      </c>
      <c r="EX250" s="1822">
        <f t="shared" si="344"/>
        <v>-1787781.8332120932</v>
      </c>
      <c r="EY250" s="1820">
        <f>EY238+EY248</f>
        <v>150227691.90846288</v>
      </c>
      <c r="EZ250" s="178"/>
    </row>
    <row r="251" spans="2:156" s="192" customFormat="1" ht="18" customHeight="1">
      <c r="B251" s="193"/>
      <c r="C251" s="193"/>
      <c r="D251" s="193"/>
      <c r="E251" s="194"/>
      <c r="F251" s="193"/>
      <c r="G251" s="193"/>
      <c r="H251" s="769"/>
      <c r="I251" s="769"/>
      <c r="J251" s="769"/>
      <c r="K251" s="769"/>
      <c r="L251" s="769"/>
      <c r="M251" s="769"/>
      <c r="N251" s="769"/>
      <c r="O251" s="769"/>
      <c r="P251" s="769"/>
      <c r="Q251" s="769"/>
      <c r="R251" s="769"/>
      <c r="S251" s="769"/>
      <c r="T251" s="375"/>
      <c r="U251" s="942"/>
      <c r="V251" s="204"/>
      <c r="W251" s="917"/>
      <c r="X251" s="769"/>
      <c r="Y251" s="769"/>
      <c r="Z251" s="769"/>
      <c r="AA251" s="769"/>
      <c r="AB251" s="769"/>
      <c r="AC251" s="769"/>
      <c r="AD251" s="769"/>
      <c r="AE251" s="769"/>
      <c r="AF251" s="769"/>
      <c r="AG251" s="769"/>
      <c r="AH251" s="769"/>
      <c r="AI251" s="769"/>
      <c r="AJ251" s="1809"/>
      <c r="AK251" s="1828"/>
      <c r="AL251" s="1829"/>
      <c r="AM251" s="1829"/>
      <c r="AN251" s="1829"/>
      <c r="AO251" s="1829"/>
      <c r="AP251" s="1829"/>
      <c r="AQ251" s="1829"/>
      <c r="AR251" s="1829"/>
      <c r="AS251" s="1829"/>
      <c r="AT251" s="1829"/>
      <c r="AU251" s="1829"/>
      <c r="AV251" s="1829"/>
      <c r="AW251" s="1829"/>
      <c r="AX251" s="1809"/>
      <c r="AY251" s="1829"/>
      <c r="AZ251" s="1829"/>
      <c r="BA251" s="1828"/>
      <c r="BB251" s="1829"/>
      <c r="BC251" s="1829"/>
      <c r="BD251" s="1829"/>
      <c r="BE251" s="1829"/>
      <c r="BF251" s="1829"/>
      <c r="BG251" s="1829"/>
      <c r="BH251" s="1829"/>
      <c r="BI251" s="1829"/>
      <c r="BJ251" s="1829"/>
      <c r="BK251" s="1829"/>
      <c r="BL251" s="1829"/>
      <c r="BM251" s="1829"/>
      <c r="BN251" s="1829"/>
      <c r="BO251" s="1828"/>
      <c r="BP251" s="1829"/>
      <c r="BQ251" s="1829"/>
      <c r="BR251" s="1829"/>
      <c r="BS251" s="1829"/>
      <c r="BT251" s="1829"/>
      <c r="BU251" s="1829"/>
      <c r="BV251" s="1829"/>
      <c r="BW251" s="1829"/>
      <c r="BX251" s="1829"/>
      <c r="BY251" s="1829"/>
      <c r="BZ251" s="1829"/>
      <c r="CA251" s="1829"/>
      <c r="CB251" s="1830"/>
      <c r="CC251" s="1829"/>
      <c r="CD251" s="1829"/>
      <c r="CE251" s="1829"/>
      <c r="CF251" s="1817"/>
      <c r="CG251" s="1817"/>
      <c r="CH251" s="1817"/>
      <c r="CI251" s="1817"/>
      <c r="CJ251" s="1817"/>
      <c r="CK251" s="1817"/>
      <c r="CL251" s="1817"/>
      <c r="CM251" s="1817"/>
      <c r="CN251" s="1817"/>
      <c r="CO251" s="1817"/>
      <c r="CP251" s="1817"/>
      <c r="CQ251" s="1817"/>
      <c r="CR251" s="1817"/>
      <c r="CS251" s="1830"/>
      <c r="CT251" s="1830"/>
      <c r="CU251" s="1830"/>
      <c r="CV251" s="1829"/>
      <c r="CW251" s="1817"/>
      <c r="CX251" s="1817"/>
      <c r="CY251" s="1817"/>
      <c r="CZ251" s="1817"/>
      <c r="DA251" s="1817"/>
      <c r="DB251" s="1817"/>
      <c r="DC251" s="1817"/>
      <c r="DD251" s="1817"/>
      <c r="DE251" s="1817"/>
      <c r="DF251" s="1817"/>
      <c r="DG251" s="1817"/>
      <c r="DH251" s="1817"/>
      <c r="DI251" s="1830"/>
      <c r="DJ251" s="1829"/>
      <c r="DK251" s="1817"/>
      <c r="DL251" s="1817"/>
      <c r="DM251" s="1817"/>
      <c r="DN251" s="1817"/>
      <c r="DO251" s="1817"/>
      <c r="DP251" s="1817"/>
      <c r="DQ251" s="1817"/>
      <c r="DR251" s="1817"/>
      <c r="DS251" s="1817"/>
      <c r="DT251" s="1817"/>
      <c r="DU251" s="1817"/>
      <c r="DV251" s="1817"/>
      <c r="DW251" s="1830"/>
      <c r="DX251" s="1817"/>
      <c r="DY251" s="1817"/>
      <c r="DZ251" s="1817"/>
      <c r="EA251" s="1817"/>
      <c r="EB251" s="1817"/>
      <c r="EC251" s="1817"/>
      <c r="ED251" s="1817"/>
      <c r="EE251" s="1817"/>
      <c r="EF251" s="1817"/>
      <c r="EG251" s="1817"/>
      <c r="EH251" s="1817"/>
      <c r="EI251" s="1817"/>
      <c r="EJ251" s="1817"/>
      <c r="EK251" s="1830"/>
      <c r="EL251" s="1817"/>
      <c r="EM251" s="1817"/>
      <c r="EN251" s="1817"/>
      <c r="EO251" s="1817"/>
      <c r="EP251" s="1817"/>
      <c r="EQ251" s="1817"/>
      <c r="ER251" s="1817"/>
      <c r="ES251" s="1817"/>
      <c r="ET251" s="1817"/>
      <c r="EU251" s="1817"/>
      <c r="EV251" s="1817"/>
      <c r="EW251" s="1817"/>
      <c r="EX251" s="1817"/>
      <c r="EY251" s="1830"/>
    </row>
    <row r="252" spans="2:156" s="192" customFormat="1" ht="18" customHeight="1">
      <c r="B252" s="193"/>
      <c r="C252" s="193"/>
      <c r="D252" s="193"/>
      <c r="E252" s="1520" t="s">
        <v>1679</v>
      </c>
      <c r="F252" s="193"/>
      <c r="G252" s="193"/>
      <c r="H252" s="769"/>
      <c r="I252" s="769"/>
      <c r="J252" s="769"/>
      <c r="K252" s="769"/>
      <c r="L252" s="769"/>
      <c r="M252" s="769"/>
      <c r="N252" s="769"/>
      <c r="O252" s="769"/>
      <c r="P252" s="769"/>
      <c r="Q252" s="769"/>
      <c r="R252" s="769"/>
      <c r="S252" s="769"/>
      <c r="T252" s="375"/>
      <c r="U252" s="942"/>
      <c r="V252" s="204"/>
      <c r="W252" s="917"/>
      <c r="X252" s="769"/>
      <c r="Y252" s="769"/>
      <c r="Z252" s="769"/>
      <c r="AA252" s="769"/>
      <c r="AB252" s="769"/>
      <c r="AC252" s="769"/>
      <c r="AD252" s="769"/>
      <c r="AE252" s="769"/>
      <c r="AF252" s="769"/>
      <c r="AG252" s="769"/>
      <c r="AH252" s="769"/>
      <c r="AI252" s="769"/>
      <c r="AJ252" s="1809"/>
      <c r="AK252" s="1828"/>
      <c r="AL252" s="1829"/>
      <c r="AM252" s="1829"/>
      <c r="AN252" s="1829"/>
      <c r="AO252" s="1829"/>
      <c r="AP252" s="1829"/>
      <c r="AQ252" s="1829"/>
      <c r="AR252" s="1829"/>
      <c r="AS252" s="1829"/>
      <c r="AT252" s="1829"/>
      <c r="AU252" s="1829"/>
      <c r="AV252" s="1829"/>
      <c r="AW252" s="1829"/>
      <c r="AX252" s="1809"/>
      <c r="AY252" s="1829"/>
      <c r="AZ252" s="1829"/>
      <c r="BA252" s="1828"/>
      <c r="BB252" s="1829"/>
      <c r="BC252" s="1829"/>
      <c r="BD252" s="1829"/>
      <c r="BE252" s="1829"/>
      <c r="BF252" s="1829"/>
      <c r="BG252" s="1829"/>
      <c r="BH252" s="1829"/>
      <c r="BI252" s="1829"/>
      <c r="BJ252" s="1829"/>
      <c r="BK252" s="1829"/>
      <c r="BL252" s="1829"/>
      <c r="BM252" s="1829"/>
      <c r="BN252" s="1829"/>
      <c r="BO252" s="1828"/>
      <c r="BP252" s="1829"/>
      <c r="BQ252" s="1829"/>
      <c r="BR252" s="1829"/>
      <c r="BS252" s="1829"/>
      <c r="BT252" s="1829"/>
      <c r="BU252" s="1829"/>
      <c r="BV252" s="1829"/>
      <c r="BW252" s="1829"/>
      <c r="BX252" s="1829"/>
      <c r="BY252" s="1829"/>
      <c r="BZ252" s="1829"/>
      <c r="CA252" s="1829"/>
      <c r="CB252" s="1830"/>
      <c r="CC252" s="1829"/>
      <c r="CD252" s="1829"/>
      <c r="CE252" s="1829"/>
      <c r="CF252" s="1817"/>
      <c r="CG252" s="1817"/>
      <c r="CH252" s="1817"/>
      <c r="CI252" s="1817"/>
      <c r="CJ252" s="1817"/>
      <c r="CK252" s="1817"/>
      <c r="CL252" s="1817"/>
      <c r="CM252" s="1817"/>
      <c r="CN252" s="1817"/>
      <c r="CO252" s="1817"/>
      <c r="CP252" s="1817"/>
      <c r="CQ252" s="1817"/>
      <c r="CR252" s="1817"/>
      <c r="CS252" s="1830"/>
      <c r="CT252" s="1830"/>
      <c r="CU252" s="1830"/>
      <c r="CV252" s="1829"/>
      <c r="CW252" s="1817"/>
      <c r="CX252" s="1817"/>
      <c r="CY252" s="1817"/>
      <c r="CZ252" s="1817"/>
      <c r="DA252" s="1817"/>
      <c r="DB252" s="1817"/>
      <c r="DC252" s="1817"/>
      <c r="DD252" s="1817"/>
      <c r="DE252" s="1817"/>
      <c r="DF252" s="1817"/>
      <c r="DG252" s="1817"/>
      <c r="DH252" s="1817"/>
      <c r="DI252" s="1830"/>
      <c r="DJ252" s="1829"/>
      <c r="DK252" s="1817"/>
      <c r="DL252" s="1817"/>
      <c r="DM252" s="1817"/>
      <c r="DN252" s="1817"/>
      <c r="DO252" s="1817"/>
      <c r="DP252" s="1817"/>
      <c r="DQ252" s="1817"/>
      <c r="DR252" s="1817"/>
      <c r="DS252" s="1817"/>
      <c r="DT252" s="1817"/>
      <c r="DU252" s="1817"/>
      <c r="DV252" s="1817"/>
      <c r="DW252" s="1830"/>
      <c r="DX252" s="1817"/>
      <c r="DY252" s="1817"/>
      <c r="DZ252" s="1817"/>
      <c r="EA252" s="1817"/>
      <c r="EB252" s="1817"/>
      <c r="EC252" s="1817"/>
      <c r="ED252" s="1817"/>
      <c r="EE252" s="1817"/>
      <c r="EF252" s="1817"/>
      <c r="EG252" s="1817"/>
      <c r="EH252" s="1817"/>
      <c r="EI252" s="1817"/>
      <c r="EJ252" s="1817"/>
      <c r="EK252" s="1830"/>
      <c r="EL252" s="1817"/>
      <c r="EM252" s="1817"/>
      <c r="EN252" s="1817"/>
      <c r="EO252" s="1817"/>
      <c r="EP252" s="1817"/>
      <c r="EQ252" s="1817"/>
      <c r="ER252" s="1817"/>
      <c r="ES252" s="1817"/>
      <c r="ET252" s="1817"/>
      <c r="EU252" s="1817"/>
      <c r="EV252" s="1817"/>
      <c r="EW252" s="1817"/>
      <c r="EX252" s="1817"/>
      <c r="EY252" s="1830"/>
    </row>
    <row r="253" spans="2:156" s="192" customFormat="1" ht="18" customHeight="1">
      <c r="B253" s="193"/>
      <c r="C253" s="193"/>
      <c r="D253" s="193"/>
      <c r="E253" s="194"/>
      <c r="F253" s="186" t="s">
        <v>1672</v>
      </c>
      <c r="G253" s="193"/>
      <c r="H253" s="769">
        <f>SUM('Non-Core P&amp;L'!H98:H99)</f>
        <v>0</v>
      </c>
      <c r="I253" s="769">
        <f>SUM('Non-Core P&amp;L'!I98:I99)</f>
        <v>0</v>
      </c>
      <c r="J253" s="769">
        <f>SUM('Non-Core P&amp;L'!J98:J99)</f>
        <v>0</v>
      </c>
      <c r="K253" s="769">
        <f>SUM('Non-Core P&amp;L'!K98:K99)</f>
        <v>0</v>
      </c>
      <c r="L253" s="769">
        <f>SUM('Non-Core P&amp;L'!L98:L99)</f>
        <v>0</v>
      </c>
      <c r="M253" s="769">
        <f>SUM('Non-Core P&amp;L'!M98:M99)</f>
        <v>0</v>
      </c>
      <c r="N253" s="769">
        <f>SUM('Non-Core P&amp;L'!N98:N99)</f>
        <v>0</v>
      </c>
      <c r="O253" s="769">
        <f>SUM('Non-Core P&amp;L'!O98:O99)</f>
        <v>0</v>
      </c>
      <c r="P253" s="769">
        <f>SUM('Non-Core P&amp;L'!P98:P99)</f>
        <v>0</v>
      </c>
      <c r="Q253" s="769">
        <f>SUM('Non-Core P&amp;L'!Q98:Q99)</f>
        <v>0</v>
      </c>
      <c r="R253" s="769">
        <f>SUM('Non-Core P&amp;L'!R98:R99)</f>
        <v>0</v>
      </c>
      <c r="S253" s="769"/>
      <c r="T253" s="375">
        <f t="shared" ref="T253:T255" si="345">SUM(H253:S253)</f>
        <v>0</v>
      </c>
      <c r="U253" s="378">
        <f t="shared" ref="U253:U255" si="346">AJ253-T253</f>
        <v>17006078</v>
      </c>
      <c r="V253" s="165">
        <f t="shared" ref="V253:V255" si="347">U253/AJ253</f>
        <v>1</v>
      </c>
      <c r="W253" s="917"/>
      <c r="X253" s="769">
        <f>SUM('Non-Core P&amp;L'!X98:X99)</f>
        <v>0</v>
      </c>
      <c r="Y253" s="769">
        <f>SUM('Non-Core P&amp;L'!Y98:Y99)</f>
        <v>0</v>
      </c>
      <c r="Z253" s="769">
        <f>SUM('Non-Core P&amp;L'!Z98:Z99)</f>
        <v>0</v>
      </c>
      <c r="AA253" s="769">
        <f>SUM('Non-Core P&amp;L'!AA98:AA99)</f>
        <v>0</v>
      </c>
      <c r="AB253" s="769">
        <f>SUM('Non-Core P&amp;L'!AB98:AB99)</f>
        <v>0</v>
      </c>
      <c r="AC253" s="769">
        <f>SUM('Non-Core P&amp;L'!AC98:AC99)</f>
        <v>0</v>
      </c>
      <c r="AD253" s="769">
        <f>SUM('Non-Core P&amp;L'!AD98:AD99)</f>
        <v>0</v>
      </c>
      <c r="AE253" s="769">
        <f>SUM('Non-Core P&amp;L'!AE98:AE99)</f>
        <v>0</v>
      </c>
      <c r="AF253" s="769">
        <f>SUM('Non-Core P&amp;L'!AF98:AF99)</f>
        <v>0</v>
      </c>
      <c r="AG253" s="769">
        <f>SUM('Non-Core P&amp;L'!AG98:AG99)</f>
        <v>0</v>
      </c>
      <c r="AH253" s="769">
        <f>SUM('Non-Core P&amp;L'!AH98:AH99)</f>
        <v>0</v>
      </c>
      <c r="AI253" s="769">
        <f>SUM('Non-Core P&amp;L'!AI98:AI99)</f>
        <v>17006078</v>
      </c>
      <c r="AJ253" s="1809">
        <f t="shared" ref="AJ253:AJ255" si="348">SUM(X253:AI253)</f>
        <v>17006078</v>
      </c>
      <c r="AK253" s="1828"/>
      <c r="AL253" s="1829"/>
      <c r="AM253" s="1829"/>
      <c r="AN253" s="1829"/>
      <c r="AO253" s="1829"/>
      <c r="AP253" s="1829"/>
      <c r="AQ253" s="1829"/>
      <c r="AR253" s="1829"/>
      <c r="AS253" s="1829"/>
      <c r="AT253" s="1829"/>
      <c r="AU253" s="1829"/>
      <c r="AV253" s="1829"/>
      <c r="AW253" s="1829"/>
      <c r="AX253" s="1809"/>
      <c r="AY253" s="1829"/>
      <c r="AZ253" s="1829"/>
      <c r="BA253" s="1828"/>
      <c r="BB253" s="1829"/>
      <c r="BC253" s="1829"/>
      <c r="BD253" s="1829"/>
      <c r="BE253" s="1829"/>
      <c r="BF253" s="1829"/>
      <c r="BG253" s="1829"/>
      <c r="BH253" s="1829"/>
      <c r="BI253" s="1829"/>
      <c r="BJ253" s="1829"/>
      <c r="BK253" s="1829"/>
      <c r="BL253" s="1829"/>
      <c r="BM253" s="1829"/>
      <c r="BN253" s="1829"/>
      <c r="BO253" s="1828"/>
      <c r="BP253" s="1829"/>
      <c r="BQ253" s="1829"/>
      <c r="BR253" s="1829"/>
      <c r="BS253" s="1829"/>
      <c r="BT253" s="1829"/>
      <c r="BU253" s="1829"/>
      <c r="BV253" s="1829"/>
      <c r="BW253" s="1829"/>
      <c r="BX253" s="1829"/>
      <c r="BY253" s="1829"/>
      <c r="BZ253" s="1829"/>
      <c r="CA253" s="1829"/>
      <c r="CB253" s="1830"/>
      <c r="CC253" s="1829"/>
      <c r="CD253" s="1829"/>
      <c r="CE253" s="1829"/>
      <c r="CF253" s="1817"/>
      <c r="CG253" s="1817"/>
      <c r="CH253" s="1817"/>
      <c r="CI253" s="1817"/>
      <c r="CJ253" s="1817"/>
      <c r="CK253" s="1817"/>
      <c r="CL253" s="1817"/>
      <c r="CM253" s="1817"/>
      <c r="CN253" s="1817"/>
      <c r="CO253" s="1817"/>
      <c r="CP253" s="1817"/>
      <c r="CQ253" s="1817"/>
      <c r="CR253" s="1817"/>
      <c r="CS253" s="1830"/>
      <c r="CT253" s="1830"/>
      <c r="CU253" s="1830"/>
      <c r="CV253" s="1829"/>
      <c r="CW253" s="1817"/>
      <c r="CX253" s="1817"/>
      <c r="CY253" s="1817"/>
      <c r="CZ253" s="1817"/>
      <c r="DA253" s="1817"/>
      <c r="DB253" s="1817"/>
      <c r="DC253" s="1817"/>
      <c r="DD253" s="1817"/>
      <c r="DE253" s="1817"/>
      <c r="DF253" s="1817"/>
      <c r="DG253" s="1817"/>
      <c r="DH253" s="1817"/>
      <c r="DI253" s="1830"/>
      <c r="DJ253" s="1829"/>
      <c r="DK253" s="1817"/>
      <c r="DL253" s="1817"/>
      <c r="DM253" s="1817"/>
      <c r="DN253" s="1817"/>
      <c r="DO253" s="1817"/>
      <c r="DP253" s="1817"/>
      <c r="DQ253" s="1817"/>
      <c r="DR253" s="1817"/>
      <c r="DS253" s="1817"/>
      <c r="DT253" s="1817"/>
      <c r="DU253" s="1817"/>
      <c r="DV253" s="1817"/>
      <c r="DW253" s="1830"/>
      <c r="DX253" s="1817"/>
      <c r="DY253" s="1817"/>
      <c r="DZ253" s="1817"/>
      <c r="EA253" s="1817"/>
      <c r="EB253" s="1817"/>
      <c r="EC253" s="1817"/>
      <c r="ED253" s="1817"/>
      <c r="EE253" s="1817"/>
      <c r="EF253" s="1817"/>
      <c r="EG253" s="1817"/>
      <c r="EH253" s="1817"/>
      <c r="EI253" s="1817"/>
      <c r="EJ253" s="1817"/>
      <c r="EK253" s="1830"/>
      <c r="EL253" s="1817"/>
      <c r="EM253" s="1817"/>
      <c r="EN253" s="1817"/>
      <c r="EO253" s="1817"/>
      <c r="EP253" s="1817"/>
      <c r="EQ253" s="1817"/>
      <c r="ER253" s="1817"/>
      <c r="ES253" s="1817"/>
      <c r="ET253" s="1817"/>
      <c r="EU253" s="1817"/>
      <c r="EV253" s="1817"/>
      <c r="EW253" s="1817"/>
      <c r="EX253" s="1817"/>
      <c r="EY253" s="1830"/>
    </row>
    <row r="254" spans="2:156" s="192" customFormat="1" ht="18" customHeight="1">
      <c r="B254" s="193"/>
      <c r="C254" s="193"/>
      <c r="D254" s="193"/>
      <c r="E254" s="194"/>
      <c r="F254" s="186" t="s">
        <v>1673</v>
      </c>
      <c r="G254" s="193"/>
      <c r="H254" s="769">
        <v>0</v>
      </c>
      <c r="I254" s="769">
        <v>0</v>
      </c>
      <c r="J254" s="769">
        <v>0</v>
      </c>
      <c r="K254" s="769">
        <v>0</v>
      </c>
      <c r="L254" s="769">
        <v>0</v>
      </c>
      <c r="M254" s="769">
        <v>0</v>
      </c>
      <c r="N254" s="769">
        <v>0</v>
      </c>
      <c r="O254" s="769">
        <v>0</v>
      </c>
      <c r="P254" s="769">
        <v>0</v>
      </c>
      <c r="Q254" s="769">
        <v>0</v>
      </c>
      <c r="R254" s="769">
        <v>0</v>
      </c>
      <c r="S254" s="769">
        <v>0</v>
      </c>
      <c r="T254" s="375">
        <f t="shared" si="345"/>
        <v>0</v>
      </c>
      <c r="U254" s="378">
        <f t="shared" si="346"/>
        <v>0</v>
      </c>
      <c r="V254" s="165" t="e">
        <f t="shared" si="347"/>
        <v>#DIV/0!</v>
      </c>
      <c r="W254" s="917"/>
      <c r="X254" s="769">
        <v>0</v>
      </c>
      <c r="Y254" s="769">
        <v>0</v>
      </c>
      <c r="Z254" s="769">
        <v>0</v>
      </c>
      <c r="AA254" s="769">
        <v>0</v>
      </c>
      <c r="AB254" s="769">
        <v>0</v>
      </c>
      <c r="AC254" s="769">
        <v>0</v>
      </c>
      <c r="AD254" s="769">
        <v>0</v>
      </c>
      <c r="AE254" s="769">
        <v>0</v>
      </c>
      <c r="AF254" s="769">
        <v>0</v>
      </c>
      <c r="AG254" s="769">
        <v>0</v>
      </c>
      <c r="AH254" s="769">
        <v>0</v>
      </c>
      <c r="AI254" s="769">
        <v>0</v>
      </c>
      <c r="AJ254" s="1809">
        <f t="shared" si="348"/>
        <v>0</v>
      </c>
      <c r="AK254" s="1828"/>
      <c r="AL254" s="1829"/>
      <c r="AM254" s="1829"/>
      <c r="AN254" s="1829"/>
      <c r="AO254" s="1829"/>
      <c r="AP254" s="1829"/>
      <c r="AQ254" s="1829"/>
      <c r="AR254" s="1829"/>
      <c r="AS254" s="1829"/>
      <c r="AT254" s="1829"/>
      <c r="AU254" s="1829"/>
      <c r="AV254" s="1829"/>
      <c r="AW254" s="1829"/>
      <c r="AX254" s="1809"/>
      <c r="AY254" s="1829"/>
      <c r="AZ254" s="1829"/>
      <c r="BA254" s="1828"/>
      <c r="BB254" s="1829"/>
      <c r="BC254" s="1829"/>
      <c r="BD254" s="1829"/>
      <c r="BE254" s="1829"/>
      <c r="BF254" s="1829"/>
      <c r="BG254" s="1829"/>
      <c r="BH254" s="1829"/>
      <c r="BI254" s="1829"/>
      <c r="BJ254" s="1829"/>
      <c r="BK254" s="1829"/>
      <c r="BL254" s="1829"/>
      <c r="BM254" s="1829"/>
      <c r="BN254" s="1829"/>
      <c r="BO254" s="1828"/>
      <c r="BP254" s="1829"/>
      <c r="BQ254" s="1829"/>
      <c r="BR254" s="1829"/>
      <c r="BS254" s="1829"/>
      <c r="BT254" s="1829"/>
      <c r="BU254" s="1829"/>
      <c r="BV254" s="1829"/>
      <c r="BW254" s="1829"/>
      <c r="BX254" s="1829"/>
      <c r="BY254" s="1829"/>
      <c r="BZ254" s="1829"/>
      <c r="CA254" s="1829"/>
      <c r="CB254" s="1830"/>
      <c r="CC254" s="1829"/>
      <c r="CD254" s="1829"/>
      <c r="CE254" s="1829"/>
      <c r="CF254" s="1817"/>
      <c r="CG254" s="1817"/>
      <c r="CH254" s="1817"/>
      <c r="CI254" s="1817"/>
      <c r="CJ254" s="1817"/>
      <c r="CK254" s="1817"/>
      <c r="CL254" s="1817"/>
      <c r="CM254" s="1817"/>
      <c r="CN254" s="1817"/>
      <c r="CO254" s="1817"/>
      <c r="CP254" s="1817"/>
      <c r="CQ254" s="1817"/>
      <c r="CR254" s="1817"/>
      <c r="CS254" s="1830"/>
      <c r="CT254" s="1830"/>
      <c r="CU254" s="1830"/>
      <c r="CV254" s="1829"/>
      <c r="CW254" s="1817"/>
      <c r="CX254" s="1817"/>
      <c r="CY254" s="1817"/>
      <c r="CZ254" s="1817"/>
      <c r="DA254" s="1817"/>
      <c r="DB254" s="1817"/>
      <c r="DC254" s="1817"/>
      <c r="DD254" s="1817"/>
      <c r="DE254" s="1817"/>
      <c r="DF254" s="1817"/>
      <c r="DG254" s="1817"/>
      <c r="DH254" s="1817"/>
      <c r="DI254" s="1830"/>
      <c r="DJ254" s="1829"/>
      <c r="DK254" s="1817"/>
      <c r="DL254" s="1817"/>
      <c r="DM254" s="1817"/>
      <c r="DN254" s="1817"/>
      <c r="DO254" s="1817"/>
      <c r="DP254" s="1817"/>
      <c r="DQ254" s="1817"/>
      <c r="DR254" s="1817"/>
      <c r="DS254" s="1817"/>
      <c r="DT254" s="1817"/>
      <c r="DU254" s="1817"/>
      <c r="DV254" s="1817"/>
      <c r="DW254" s="1830"/>
      <c r="DX254" s="1817"/>
      <c r="DY254" s="1817"/>
      <c r="DZ254" s="1817"/>
      <c r="EA254" s="1817"/>
      <c r="EB254" s="1817"/>
      <c r="EC254" s="1817"/>
      <c r="ED254" s="1817"/>
      <c r="EE254" s="1817"/>
      <c r="EF254" s="1817"/>
      <c r="EG254" s="1817"/>
      <c r="EH254" s="1817"/>
      <c r="EI254" s="1817"/>
      <c r="EJ254" s="1817"/>
      <c r="EK254" s="1830"/>
      <c r="EL254" s="1817"/>
      <c r="EM254" s="1817"/>
      <c r="EN254" s="1817"/>
      <c r="EO254" s="1817"/>
      <c r="EP254" s="1817"/>
      <c r="EQ254" s="1817"/>
      <c r="ER254" s="1817"/>
      <c r="ES254" s="1817"/>
      <c r="ET254" s="1817"/>
      <c r="EU254" s="1817"/>
      <c r="EV254" s="1817"/>
      <c r="EW254" s="1817"/>
      <c r="EX254" s="1817"/>
      <c r="EY254" s="1830"/>
    </row>
    <row r="255" spans="2:156" s="192" customFormat="1" ht="18" customHeight="1">
      <c r="B255" s="193"/>
      <c r="C255" s="193"/>
      <c r="D255" s="193"/>
      <c r="E255" s="194"/>
      <c r="F255" s="320" t="s">
        <v>655</v>
      </c>
      <c r="G255" s="193"/>
      <c r="H255" s="769">
        <f>'Non-Core P&amp;L'!H97</f>
        <v>0</v>
      </c>
      <c r="I255" s="769">
        <f>'Non-Core P&amp;L'!I97</f>
        <v>0</v>
      </c>
      <c r="J255" s="769">
        <f>'Non-Core P&amp;L'!J97</f>
        <v>0</v>
      </c>
      <c r="K255" s="769">
        <f>'Non-Core P&amp;L'!K97</f>
        <v>0</v>
      </c>
      <c r="L255" s="769">
        <f>'Non-Core P&amp;L'!L97</f>
        <v>0</v>
      </c>
      <c r="M255" s="769">
        <f>'Non-Core P&amp;L'!M97</f>
        <v>0</v>
      </c>
      <c r="N255" s="769">
        <f>'Non-Core P&amp;L'!N97</f>
        <v>0</v>
      </c>
      <c r="O255" s="769">
        <f>'Non-Core P&amp;L'!O97</f>
        <v>0</v>
      </c>
      <c r="P255" s="769">
        <f>'Non-Core P&amp;L'!P97</f>
        <v>0</v>
      </c>
      <c r="Q255" s="769">
        <f>'Non-Core P&amp;L'!Q97</f>
        <v>0</v>
      </c>
      <c r="R255" s="769">
        <f>'Non-Core P&amp;L'!R97</f>
        <v>0</v>
      </c>
      <c r="S255" s="769"/>
      <c r="T255" s="375">
        <f t="shared" si="345"/>
        <v>0</v>
      </c>
      <c r="U255" s="378">
        <f t="shared" si="346"/>
        <v>1948970.54</v>
      </c>
      <c r="V255" s="165">
        <f t="shared" si="347"/>
        <v>1</v>
      </c>
      <c r="W255" s="917"/>
      <c r="X255" s="769">
        <f>'Non-Core P&amp;L'!X97</f>
        <v>0</v>
      </c>
      <c r="Y255" s="769">
        <f>'Non-Core P&amp;L'!Y97</f>
        <v>0</v>
      </c>
      <c r="Z255" s="769">
        <f>'Non-Core P&amp;L'!Z97</f>
        <v>0</v>
      </c>
      <c r="AA255" s="769">
        <f>'Non-Core P&amp;L'!AA97</f>
        <v>0</v>
      </c>
      <c r="AB255" s="769">
        <f>'Non-Core P&amp;L'!AB97</f>
        <v>0</v>
      </c>
      <c r="AC255" s="769">
        <f>'Non-Core P&amp;L'!AC97</f>
        <v>0</v>
      </c>
      <c r="AD255" s="769">
        <f>'Non-Core P&amp;L'!AD97</f>
        <v>0</v>
      </c>
      <c r="AE255" s="769">
        <f>'Non-Core P&amp;L'!AE97</f>
        <v>0</v>
      </c>
      <c r="AF255" s="769">
        <f>'Non-Core P&amp;L'!AF97</f>
        <v>0</v>
      </c>
      <c r="AG255" s="769">
        <f>'Non-Core P&amp;L'!AG97</f>
        <v>0</v>
      </c>
      <c r="AH255" s="769">
        <f>'Non-Core P&amp;L'!AH97</f>
        <v>920058.73</v>
      </c>
      <c r="AI255" s="769">
        <f>'Non-Core P&amp;L'!AI97</f>
        <v>1028911.81</v>
      </c>
      <c r="AJ255" s="1809">
        <f t="shared" si="348"/>
        <v>1948970.54</v>
      </c>
      <c r="AK255" s="1828"/>
      <c r="AL255" s="1829"/>
      <c r="AM255" s="1829"/>
      <c r="AN255" s="1829"/>
      <c r="AO255" s="1829"/>
      <c r="AP255" s="1829"/>
      <c r="AQ255" s="1829"/>
      <c r="AR255" s="1829"/>
      <c r="AS255" s="1829"/>
      <c r="AT255" s="1829"/>
      <c r="AU255" s="1829"/>
      <c r="AV255" s="1829"/>
      <c r="AW255" s="1829"/>
      <c r="AX255" s="1809"/>
      <c r="AY255" s="1829"/>
      <c r="AZ255" s="1829"/>
      <c r="BA255" s="1828"/>
      <c r="BB255" s="1829"/>
      <c r="BC255" s="1829"/>
      <c r="BD255" s="1829"/>
      <c r="BE255" s="1829"/>
      <c r="BF255" s="1829"/>
      <c r="BG255" s="1829"/>
      <c r="BH255" s="1829"/>
      <c r="BI255" s="1829"/>
      <c r="BJ255" s="1829"/>
      <c r="BK255" s="1829"/>
      <c r="BL255" s="1829"/>
      <c r="BM255" s="1829"/>
      <c r="BN255" s="1829"/>
      <c r="BO255" s="1828"/>
      <c r="BP255" s="1829"/>
      <c r="BQ255" s="1829"/>
      <c r="BR255" s="1829"/>
      <c r="BS255" s="1829"/>
      <c r="BT255" s="1829"/>
      <c r="BU255" s="1829"/>
      <c r="BV255" s="1829"/>
      <c r="BW255" s="1829"/>
      <c r="BX255" s="1829"/>
      <c r="BY255" s="1829"/>
      <c r="BZ255" s="1829"/>
      <c r="CA255" s="1829"/>
      <c r="CB255" s="1830"/>
      <c r="CC255" s="1829"/>
      <c r="CD255" s="1829"/>
      <c r="CE255" s="1829"/>
      <c r="CF255" s="1817"/>
      <c r="CG255" s="1817"/>
      <c r="CH255" s="1817"/>
      <c r="CI255" s="1817"/>
      <c r="CJ255" s="1817"/>
      <c r="CK255" s="1817"/>
      <c r="CL255" s="1817"/>
      <c r="CM255" s="1817"/>
      <c r="CN255" s="1817"/>
      <c r="CO255" s="1817"/>
      <c r="CP255" s="1817"/>
      <c r="CQ255" s="1817"/>
      <c r="CR255" s="1817"/>
      <c r="CS255" s="1830"/>
      <c r="CT255" s="1830"/>
      <c r="CU255" s="1830"/>
      <c r="CV255" s="1829"/>
      <c r="CW255" s="1817"/>
      <c r="CX255" s="1817"/>
      <c r="CY255" s="1817"/>
      <c r="CZ255" s="1817"/>
      <c r="DA255" s="1817"/>
      <c r="DB255" s="1817"/>
      <c r="DC255" s="1817"/>
      <c r="DD255" s="1817"/>
      <c r="DE255" s="1817"/>
      <c r="DF255" s="1817"/>
      <c r="DG255" s="1817"/>
      <c r="DH255" s="1817"/>
      <c r="DI255" s="1830"/>
      <c r="DJ255" s="1829"/>
      <c r="DK255" s="1817"/>
      <c r="DL255" s="1817"/>
      <c r="DM255" s="1817"/>
      <c r="DN255" s="1817"/>
      <c r="DO255" s="1817"/>
      <c r="DP255" s="1817"/>
      <c r="DQ255" s="1817"/>
      <c r="DR255" s="1817"/>
      <c r="DS255" s="1817"/>
      <c r="DT255" s="1817"/>
      <c r="DU255" s="1817"/>
      <c r="DV255" s="1817"/>
      <c r="DW255" s="1830"/>
      <c r="DX255" s="1817"/>
      <c r="DY255" s="1817"/>
      <c r="DZ255" s="1817"/>
      <c r="EA255" s="1817"/>
      <c r="EB255" s="1817"/>
      <c r="EC255" s="1817"/>
      <c r="ED255" s="1817"/>
      <c r="EE255" s="1817"/>
      <c r="EF255" s="1817"/>
      <c r="EG255" s="1817"/>
      <c r="EH255" s="1817"/>
      <c r="EI255" s="1817"/>
      <c r="EJ255" s="1817"/>
      <c r="EK255" s="1830"/>
      <c r="EL255" s="1817"/>
      <c r="EM255" s="1817"/>
      <c r="EN255" s="1817"/>
      <c r="EO255" s="1817"/>
      <c r="EP255" s="1817"/>
      <c r="EQ255" s="1817"/>
      <c r="ER255" s="1817"/>
      <c r="ES255" s="1817"/>
      <c r="ET255" s="1817"/>
      <c r="EU255" s="1817"/>
      <c r="EV255" s="1817"/>
      <c r="EW255" s="1817"/>
      <c r="EX255" s="1817"/>
      <c r="EY255" s="1830"/>
    </row>
    <row r="256" spans="2:156" s="192" customFormat="1" ht="18" customHeight="1">
      <c r="B256" s="193"/>
      <c r="C256" s="193"/>
      <c r="D256" s="193"/>
      <c r="E256" s="194"/>
      <c r="F256" s="186" t="s">
        <v>380</v>
      </c>
      <c r="G256" s="193"/>
      <c r="H256" s="771">
        <f>SUM(H253:H255)</f>
        <v>0</v>
      </c>
      <c r="I256" s="771">
        <f t="shared" ref="I256" si="349">SUM(I253:I255)</f>
        <v>0</v>
      </c>
      <c r="J256" s="771">
        <f t="shared" ref="J256" si="350">SUM(J253:J255)</f>
        <v>0</v>
      </c>
      <c r="K256" s="771">
        <f t="shared" ref="K256" si="351">SUM(K253:K255)</f>
        <v>0</v>
      </c>
      <c r="L256" s="771">
        <f t="shared" ref="L256" si="352">SUM(L253:L255)</f>
        <v>0</v>
      </c>
      <c r="M256" s="771">
        <f t="shared" ref="M256" si="353">SUM(M253:M255)</f>
        <v>0</v>
      </c>
      <c r="N256" s="771">
        <f t="shared" ref="N256" si="354">SUM(N253:N255)</f>
        <v>0</v>
      </c>
      <c r="O256" s="771">
        <f t="shared" ref="O256" si="355">SUM(O253:O255)</f>
        <v>0</v>
      </c>
      <c r="P256" s="771">
        <f t="shared" ref="P256" si="356">SUM(P253:P255)</f>
        <v>0</v>
      </c>
      <c r="Q256" s="771">
        <f t="shared" ref="Q256" si="357">SUM(Q253:Q255)</f>
        <v>0</v>
      </c>
      <c r="R256" s="771">
        <f t="shared" ref="R256" si="358">SUM(R253:R255)</f>
        <v>0</v>
      </c>
      <c r="S256" s="771">
        <f t="shared" ref="S256" si="359">SUM(S253:S255)</f>
        <v>0</v>
      </c>
      <c r="T256" s="771">
        <f>SUM(T253:T255)</f>
        <v>0</v>
      </c>
      <c r="U256" s="378">
        <f>T256-AJ256</f>
        <v>-18955048.539999999</v>
      </c>
      <c r="V256" s="165">
        <f>U256/AJ256</f>
        <v>-1</v>
      </c>
      <c r="W256" s="917"/>
      <c r="X256" s="771">
        <f>SUM(X253:X255)</f>
        <v>0</v>
      </c>
      <c r="Y256" s="771">
        <f t="shared" ref="Y256:AI256" si="360">SUM(Y253:Y255)</f>
        <v>0</v>
      </c>
      <c r="Z256" s="771">
        <f t="shared" si="360"/>
        <v>0</v>
      </c>
      <c r="AA256" s="771">
        <f t="shared" si="360"/>
        <v>0</v>
      </c>
      <c r="AB256" s="771">
        <f t="shared" si="360"/>
        <v>0</v>
      </c>
      <c r="AC256" s="771">
        <f t="shared" si="360"/>
        <v>0</v>
      </c>
      <c r="AD256" s="771">
        <f t="shared" si="360"/>
        <v>0</v>
      </c>
      <c r="AE256" s="771">
        <f t="shared" si="360"/>
        <v>0</v>
      </c>
      <c r="AF256" s="771">
        <f t="shared" si="360"/>
        <v>0</v>
      </c>
      <c r="AG256" s="771">
        <f t="shared" si="360"/>
        <v>0</v>
      </c>
      <c r="AH256" s="771">
        <f t="shared" si="360"/>
        <v>920058.73</v>
      </c>
      <c r="AI256" s="771">
        <f t="shared" si="360"/>
        <v>18034989.809999999</v>
      </c>
      <c r="AJ256" s="1819">
        <f>SUM(AJ253:AJ255)</f>
        <v>18955048.539999999</v>
      </c>
      <c r="AK256" s="1828"/>
      <c r="AL256" s="1829"/>
      <c r="AM256" s="1829"/>
      <c r="AN256" s="1829"/>
      <c r="AO256" s="1829"/>
      <c r="AP256" s="1829"/>
      <c r="AQ256" s="1829"/>
      <c r="AR256" s="1829"/>
      <c r="AS256" s="1829"/>
      <c r="AT256" s="1829"/>
      <c r="AU256" s="1829"/>
      <c r="AV256" s="1829"/>
      <c r="AW256" s="1829"/>
      <c r="AX256" s="1809"/>
      <c r="AY256" s="1829"/>
      <c r="AZ256" s="1829"/>
      <c r="BA256" s="1828"/>
      <c r="BB256" s="1829"/>
      <c r="BC256" s="1829"/>
      <c r="BD256" s="1829"/>
      <c r="BE256" s="1829"/>
      <c r="BF256" s="1829"/>
      <c r="BG256" s="1829"/>
      <c r="BH256" s="1829"/>
      <c r="BI256" s="1829"/>
      <c r="BJ256" s="1829"/>
      <c r="BK256" s="1829"/>
      <c r="BL256" s="1829"/>
      <c r="BM256" s="1829"/>
      <c r="BN256" s="1829"/>
      <c r="BO256" s="1828"/>
      <c r="BP256" s="1829"/>
      <c r="BQ256" s="1829"/>
      <c r="BR256" s="1829"/>
      <c r="BS256" s="1829"/>
      <c r="BT256" s="1829"/>
      <c r="BU256" s="1829"/>
      <c r="BV256" s="1829"/>
      <c r="BW256" s="1829"/>
      <c r="BX256" s="1829"/>
      <c r="BY256" s="1829"/>
      <c r="BZ256" s="1829"/>
      <c r="CA256" s="1829"/>
      <c r="CB256" s="1830"/>
      <c r="CC256" s="1829"/>
      <c r="CD256" s="1829"/>
      <c r="CE256" s="1829"/>
      <c r="CF256" s="1817"/>
      <c r="CG256" s="1817"/>
      <c r="CH256" s="1817"/>
      <c r="CI256" s="1817"/>
      <c r="CJ256" s="1817"/>
      <c r="CK256" s="1817"/>
      <c r="CL256" s="1817"/>
      <c r="CM256" s="1817"/>
      <c r="CN256" s="1817"/>
      <c r="CO256" s="1817"/>
      <c r="CP256" s="1817"/>
      <c r="CQ256" s="1817"/>
      <c r="CR256" s="1817"/>
      <c r="CS256" s="1830"/>
      <c r="CT256" s="1830"/>
      <c r="CU256" s="1830"/>
      <c r="CV256" s="1829"/>
      <c r="CW256" s="1817"/>
      <c r="CX256" s="1817"/>
      <c r="CY256" s="1817"/>
      <c r="CZ256" s="1817"/>
      <c r="DA256" s="1817"/>
      <c r="DB256" s="1817"/>
      <c r="DC256" s="1817"/>
      <c r="DD256" s="1817"/>
      <c r="DE256" s="1817"/>
      <c r="DF256" s="1817"/>
      <c r="DG256" s="1817"/>
      <c r="DH256" s="1817"/>
      <c r="DI256" s="1830"/>
      <c r="DJ256" s="1829"/>
      <c r="DK256" s="1817"/>
      <c r="DL256" s="1817"/>
      <c r="DM256" s="1817"/>
      <c r="DN256" s="1817"/>
      <c r="DO256" s="1817"/>
      <c r="DP256" s="1817"/>
      <c r="DQ256" s="1817"/>
      <c r="DR256" s="1817"/>
      <c r="DS256" s="1817"/>
      <c r="DT256" s="1817"/>
      <c r="DU256" s="1817"/>
      <c r="DV256" s="1817"/>
      <c r="DW256" s="1830"/>
      <c r="DX256" s="1817"/>
      <c r="DY256" s="1817"/>
      <c r="DZ256" s="1817"/>
      <c r="EA256" s="1817"/>
      <c r="EB256" s="1817"/>
      <c r="EC256" s="1817"/>
      <c r="ED256" s="1817"/>
      <c r="EE256" s="1817"/>
      <c r="EF256" s="1817"/>
      <c r="EG256" s="1817"/>
      <c r="EH256" s="1817"/>
      <c r="EI256" s="1817"/>
      <c r="EJ256" s="1817"/>
      <c r="EK256" s="1830"/>
      <c r="EL256" s="1817"/>
      <c r="EM256" s="1817"/>
      <c r="EN256" s="1817"/>
      <c r="EO256" s="1817"/>
      <c r="EP256" s="1817"/>
      <c r="EQ256" s="1817"/>
      <c r="ER256" s="1817"/>
      <c r="ES256" s="1817"/>
      <c r="ET256" s="1817"/>
      <c r="EU256" s="1817"/>
      <c r="EV256" s="1817"/>
      <c r="EW256" s="1817"/>
      <c r="EX256" s="1817"/>
      <c r="EY256" s="1830"/>
    </row>
    <row r="257" spans="2:155" s="192" customFormat="1" ht="18" customHeight="1">
      <c r="B257" s="193"/>
      <c r="C257" s="193"/>
      <c r="D257" s="193"/>
      <c r="E257" s="194"/>
      <c r="F257" s="186"/>
      <c r="G257" s="193"/>
      <c r="H257" s="769"/>
      <c r="I257" s="769"/>
      <c r="J257" s="769"/>
      <c r="K257" s="769"/>
      <c r="L257" s="769"/>
      <c r="M257" s="769"/>
      <c r="N257" s="769"/>
      <c r="O257" s="769"/>
      <c r="P257" s="769"/>
      <c r="Q257" s="769"/>
      <c r="R257" s="769"/>
      <c r="S257" s="769"/>
      <c r="T257" s="769"/>
      <c r="U257" s="942"/>
      <c r="V257" s="204"/>
      <c r="W257" s="917"/>
      <c r="X257" s="769"/>
      <c r="Y257" s="769"/>
      <c r="Z257" s="769"/>
      <c r="AA257" s="769"/>
      <c r="AB257" s="769"/>
      <c r="AC257" s="769"/>
      <c r="AD257" s="769"/>
      <c r="AE257" s="769"/>
      <c r="AF257" s="769"/>
      <c r="AG257" s="769"/>
      <c r="AH257" s="769"/>
      <c r="AI257" s="769"/>
      <c r="AJ257" s="769"/>
      <c r="AK257" s="917"/>
      <c r="AL257" s="193"/>
      <c r="AM257" s="193"/>
      <c r="AN257" s="193"/>
      <c r="AO257" s="193"/>
      <c r="AP257" s="193"/>
      <c r="AQ257" s="193"/>
      <c r="AR257" s="193"/>
      <c r="AS257" s="193"/>
      <c r="AT257" s="193"/>
      <c r="AU257" s="193"/>
      <c r="AV257" s="193"/>
      <c r="AW257" s="193"/>
      <c r="AX257" s="162"/>
      <c r="AY257" s="193"/>
      <c r="AZ257" s="193"/>
      <c r="BA257" s="917"/>
      <c r="BB257" s="193"/>
      <c r="BC257" s="193"/>
      <c r="BD257" s="193"/>
      <c r="BE257" s="193"/>
      <c r="BF257" s="193"/>
      <c r="BG257" s="193"/>
      <c r="BH257" s="193"/>
      <c r="BI257" s="193"/>
      <c r="BJ257" s="193"/>
      <c r="BK257" s="193"/>
      <c r="BL257" s="193"/>
      <c r="BM257" s="193"/>
      <c r="BN257" s="193"/>
      <c r="BO257" s="917"/>
      <c r="BP257" s="193"/>
      <c r="BQ257" s="193"/>
      <c r="BR257" s="193"/>
      <c r="BS257" s="193"/>
      <c r="BT257" s="193"/>
      <c r="BU257" s="193"/>
      <c r="BV257" s="193"/>
      <c r="BW257" s="193"/>
      <c r="BX257" s="193"/>
      <c r="BY257" s="193"/>
      <c r="BZ257" s="193"/>
      <c r="CA257" s="193"/>
      <c r="CB257" s="158"/>
      <c r="CC257" s="193"/>
      <c r="CD257" s="193"/>
      <c r="CE257" s="193"/>
      <c r="CL257" s="334"/>
      <c r="CS257" s="158"/>
      <c r="CT257" s="158"/>
      <c r="CU257" s="158"/>
      <c r="CV257" s="316"/>
      <c r="DC257" s="334"/>
      <c r="DI257" s="158"/>
      <c r="DJ257" s="316"/>
      <c r="DQ257" s="334"/>
      <c r="DW257" s="158"/>
      <c r="EE257" s="334"/>
      <c r="EK257" s="158"/>
      <c r="EY257" s="158"/>
    </row>
    <row r="258" spans="2:155" s="192" customFormat="1" ht="18" customHeight="1">
      <c r="B258" s="193"/>
      <c r="C258" s="193"/>
      <c r="D258" s="193"/>
      <c r="E258" s="194"/>
      <c r="F258" s="186"/>
      <c r="G258" s="193"/>
      <c r="H258" s="769"/>
      <c r="I258" s="769"/>
      <c r="J258" s="769"/>
      <c r="K258" s="769"/>
      <c r="L258" s="769"/>
      <c r="M258" s="769"/>
      <c r="N258" s="769"/>
      <c r="O258" s="769"/>
      <c r="P258" s="769"/>
      <c r="Q258" s="769"/>
      <c r="R258" s="769"/>
      <c r="S258" s="769"/>
      <c r="T258" s="769"/>
      <c r="U258" s="942"/>
      <c r="V258" s="204"/>
      <c r="W258" s="917"/>
      <c r="X258" s="769"/>
      <c r="Y258" s="769"/>
      <c r="Z258" s="769"/>
      <c r="AA258" s="769"/>
      <c r="AB258" s="769"/>
      <c r="AC258" s="769"/>
      <c r="AD258" s="769"/>
      <c r="AE258" s="769"/>
      <c r="AF258" s="769"/>
      <c r="AG258" s="769"/>
      <c r="AH258" s="769"/>
      <c r="AI258" s="769"/>
      <c r="AJ258" s="769"/>
      <c r="AK258" s="917"/>
      <c r="AL258" s="193"/>
      <c r="AM258" s="193"/>
      <c r="AN258" s="193"/>
      <c r="AO258" s="193"/>
      <c r="AP258" s="193"/>
      <c r="AQ258" s="193"/>
      <c r="AR258" s="193"/>
      <c r="AS258" s="193"/>
      <c r="AT258" s="193"/>
      <c r="AU258" s="193"/>
      <c r="AV258" s="193"/>
      <c r="AW258" s="193"/>
      <c r="AX258" s="162"/>
      <c r="AY258" s="193"/>
      <c r="AZ258" s="193"/>
      <c r="BA258" s="917"/>
      <c r="BB258" s="193"/>
      <c r="BC258" s="193"/>
      <c r="BD258" s="193"/>
      <c r="BE258" s="193"/>
      <c r="BF258" s="193"/>
      <c r="BG258" s="193"/>
      <c r="BH258" s="193"/>
      <c r="BI258" s="193"/>
      <c r="BJ258" s="193"/>
      <c r="BK258" s="193"/>
      <c r="BL258" s="193"/>
      <c r="BM258" s="193"/>
      <c r="BN258" s="193"/>
      <c r="BO258" s="917"/>
      <c r="BP258" s="193"/>
      <c r="BQ258" s="193"/>
      <c r="BR258" s="193"/>
      <c r="BS258" s="193"/>
      <c r="BT258" s="193"/>
      <c r="BU258" s="193"/>
      <c r="BV258" s="193"/>
      <c r="BW258" s="193"/>
      <c r="BX258" s="193"/>
      <c r="BY258" s="193"/>
      <c r="BZ258" s="193"/>
      <c r="CA258" s="193"/>
      <c r="CB258" s="158"/>
      <c r="CC258" s="193"/>
      <c r="CD258" s="193"/>
      <c r="CE258" s="193"/>
      <c r="CL258" s="334"/>
      <c r="CS258" s="158"/>
      <c r="CT258" s="158"/>
      <c r="CU258" s="158"/>
      <c r="CV258" s="316"/>
      <c r="DC258" s="334"/>
      <c r="DI258" s="158"/>
      <c r="DJ258" s="316"/>
      <c r="DQ258" s="334"/>
      <c r="DW258" s="158"/>
      <c r="EE258" s="334"/>
      <c r="EK258" s="158"/>
      <c r="EY258" s="158"/>
    </row>
    <row r="259" spans="2:155" s="192" customFormat="1" ht="18" customHeight="1">
      <c r="B259" s="193"/>
      <c r="C259" s="193"/>
      <c r="D259" s="193"/>
      <c r="E259" s="194" t="s">
        <v>1680</v>
      </c>
      <c r="F259" s="186"/>
      <c r="G259" s="193"/>
      <c r="H259" s="769"/>
      <c r="I259" s="769"/>
      <c r="J259" s="769"/>
      <c r="K259" s="769"/>
      <c r="L259" s="769"/>
      <c r="M259" s="769"/>
      <c r="N259" s="769"/>
      <c r="O259" s="769"/>
      <c r="P259" s="769"/>
      <c r="Q259" s="769"/>
      <c r="R259" s="769"/>
      <c r="S259" s="769"/>
      <c r="T259" s="769"/>
      <c r="U259" s="942"/>
      <c r="V259" s="204"/>
      <c r="W259" s="917"/>
      <c r="X259" s="769"/>
      <c r="Y259" s="769"/>
      <c r="Z259" s="769"/>
      <c r="AA259" s="769"/>
      <c r="AB259" s="769"/>
      <c r="AC259" s="769"/>
      <c r="AD259" s="769"/>
      <c r="AE259" s="769"/>
      <c r="AF259" s="769"/>
      <c r="AG259" s="769"/>
      <c r="AH259" s="769"/>
      <c r="AI259" s="769"/>
      <c r="AJ259" s="769"/>
      <c r="AK259" s="917"/>
      <c r="AL259" s="193"/>
      <c r="AM259" s="193"/>
      <c r="AN259" s="193"/>
      <c r="AO259" s="193"/>
      <c r="AP259" s="193"/>
      <c r="AQ259" s="193"/>
      <c r="AR259" s="193"/>
      <c r="AS259" s="193"/>
      <c r="AT259" s="193"/>
      <c r="AU259" s="193"/>
      <c r="AV259" s="193"/>
      <c r="AW259" s="193"/>
      <c r="AX259" s="162"/>
      <c r="AY259" s="193"/>
      <c r="AZ259" s="193"/>
      <c r="BA259" s="917"/>
      <c r="BB259" s="193"/>
      <c r="BC259" s="193"/>
      <c r="BD259" s="193"/>
      <c r="BE259" s="193"/>
      <c r="BF259" s="193"/>
      <c r="BG259" s="193"/>
      <c r="BH259" s="193"/>
      <c r="BI259" s="193"/>
      <c r="BJ259" s="193"/>
      <c r="BK259" s="193"/>
      <c r="BL259" s="193"/>
      <c r="BM259" s="193"/>
      <c r="BN259" s="193"/>
      <c r="BO259" s="917"/>
      <c r="BP259" s="193"/>
      <c r="BQ259" s="193"/>
      <c r="BR259" s="193"/>
      <c r="BS259" s="193"/>
      <c r="BT259" s="193"/>
      <c r="BU259" s="193"/>
      <c r="BV259" s="193"/>
      <c r="BW259" s="193"/>
      <c r="BX259" s="193"/>
      <c r="BY259" s="193"/>
      <c r="BZ259" s="193"/>
      <c r="CA259" s="193"/>
      <c r="CB259" s="158"/>
      <c r="CC259" s="193"/>
      <c r="CD259" s="193"/>
      <c r="CE259" s="193"/>
      <c r="CL259" s="334"/>
      <c r="CS259" s="158"/>
      <c r="CT259" s="158"/>
      <c r="CU259" s="158"/>
      <c r="CV259" s="316"/>
      <c r="DC259" s="334"/>
      <c r="DI259" s="158"/>
      <c r="DJ259" s="316"/>
      <c r="DQ259" s="334"/>
      <c r="DW259" s="158"/>
      <c r="EE259" s="334"/>
      <c r="EK259" s="158"/>
      <c r="EY259" s="158"/>
    </row>
    <row r="260" spans="2:155" s="192" customFormat="1" ht="18" customHeight="1">
      <c r="B260" s="193"/>
      <c r="C260" s="193"/>
      <c r="D260" s="193"/>
      <c r="E260" s="194"/>
      <c r="F260" s="186" t="s">
        <v>1681</v>
      </c>
      <c r="G260" s="193"/>
      <c r="H260" s="769"/>
      <c r="I260" s="769"/>
      <c r="J260" s="769"/>
      <c r="K260" s="769"/>
      <c r="L260" s="769"/>
      <c r="M260" s="769"/>
      <c r="N260" s="769"/>
      <c r="O260" s="769"/>
      <c r="P260" s="769"/>
      <c r="Q260" s="769"/>
      <c r="R260" s="769"/>
      <c r="S260" s="769"/>
      <c r="T260" s="769">
        <f>'Non-Core P&amp;L'!T162</f>
        <v>0</v>
      </c>
      <c r="U260" s="378">
        <f>T260-AJ260</f>
        <v>-79222501.539999992</v>
      </c>
      <c r="V260" s="165">
        <f>U260/AJ260</f>
        <v>-1</v>
      </c>
      <c r="W260" s="917"/>
      <c r="X260" s="769"/>
      <c r="Y260" s="769"/>
      <c r="Z260" s="769"/>
      <c r="AA260" s="769"/>
      <c r="AB260" s="769"/>
      <c r="AC260" s="769"/>
      <c r="AD260" s="769"/>
      <c r="AE260" s="769"/>
      <c r="AF260" s="769"/>
      <c r="AG260" s="769"/>
      <c r="AH260" s="769"/>
      <c r="AI260" s="769"/>
      <c r="AJ260" s="769">
        <f>'Non-Core P&amp;L'!AJ162</f>
        <v>79222501.539999992</v>
      </c>
      <c r="AK260" s="917"/>
      <c r="AL260" s="193"/>
      <c r="AM260" s="193"/>
      <c r="AN260" s="193"/>
      <c r="AO260" s="193"/>
      <c r="AP260" s="193"/>
      <c r="AQ260" s="193"/>
      <c r="AR260" s="193"/>
      <c r="AS260" s="193"/>
      <c r="AT260" s="193"/>
      <c r="AU260" s="193"/>
      <c r="AV260" s="193"/>
      <c r="AW260" s="193"/>
      <c r="AX260" s="162"/>
      <c r="AY260" s="193"/>
      <c r="AZ260" s="193"/>
      <c r="BA260" s="917"/>
      <c r="BB260" s="193"/>
      <c r="BC260" s="193"/>
      <c r="BD260" s="193"/>
      <c r="BE260" s="193"/>
      <c r="BF260" s="193"/>
      <c r="BG260" s="193"/>
      <c r="BH260" s="193"/>
      <c r="BI260" s="193"/>
      <c r="BJ260" s="193"/>
      <c r="BK260" s="193"/>
      <c r="BL260" s="193"/>
      <c r="BM260" s="193"/>
      <c r="BN260" s="193"/>
      <c r="BO260" s="917"/>
      <c r="BP260" s="193"/>
      <c r="BQ260" s="193"/>
      <c r="BR260" s="193"/>
      <c r="BS260" s="193"/>
      <c r="BT260" s="193"/>
      <c r="BU260" s="193"/>
      <c r="BV260" s="193"/>
      <c r="BW260" s="193"/>
      <c r="BX260" s="193"/>
      <c r="BY260" s="193"/>
      <c r="BZ260" s="193"/>
      <c r="CA260" s="193"/>
      <c r="CB260" s="158"/>
      <c r="CC260" s="193"/>
      <c r="CD260" s="193"/>
      <c r="CE260" s="193"/>
      <c r="CL260" s="334"/>
      <c r="CS260" s="158"/>
      <c r="CT260" s="158"/>
      <c r="CU260" s="158"/>
      <c r="CV260" s="316"/>
      <c r="DC260" s="334"/>
      <c r="DI260" s="158"/>
      <c r="DJ260" s="316"/>
      <c r="DQ260" s="334"/>
      <c r="DW260" s="158"/>
      <c r="EE260" s="334"/>
      <c r="EK260" s="158"/>
      <c r="EY260" s="158"/>
    </row>
    <row r="261" spans="2:155" s="192" customFormat="1" ht="18" customHeight="1">
      <c r="B261" s="193"/>
      <c r="C261" s="193"/>
      <c r="D261" s="193"/>
      <c r="E261" s="194"/>
      <c r="F261" s="193"/>
      <c r="G261" s="193"/>
      <c r="H261" s="769"/>
      <c r="I261" s="769"/>
      <c r="J261" s="769"/>
      <c r="K261" s="769"/>
      <c r="L261" s="769"/>
      <c r="M261" s="769"/>
      <c r="N261" s="769"/>
      <c r="O261" s="769"/>
      <c r="P261" s="769"/>
      <c r="Q261" s="769"/>
      <c r="R261" s="769"/>
      <c r="S261" s="769"/>
      <c r="T261" s="769"/>
      <c r="U261" s="942"/>
      <c r="V261" s="204"/>
      <c r="W261" s="917"/>
      <c r="X261" s="769"/>
      <c r="Y261" s="769"/>
      <c r="Z261" s="769"/>
      <c r="AA261" s="769"/>
      <c r="AB261" s="769"/>
      <c r="AC261" s="769"/>
      <c r="AD261" s="769"/>
      <c r="AE261" s="769"/>
      <c r="AF261" s="769"/>
      <c r="AG261" s="769"/>
      <c r="AH261" s="769"/>
      <c r="AI261" s="769"/>
      <c r="AJ261" s="769"/>
      <c r="AK261" s="917"/>
      <c r="AL261" s="193"/>
      <c r="AM261" s="193"/>
      <c r="AN261" s="193"/>
      <c r="AO261" s="193"/>
      <c r="AP261" s="193"/>
      <c r="AQ261" s="193"/>
      <c r="AR261" s="193"/>
      <c r="AS261" s="193"/>
      <c r="AT261" s="193"/>
      <c r="AU261" s="193"/>
      <c r="AV261" s="193"/>
      <c r="AW261" s="193"/>
      <c r="AX261" s="193"/>
      <c r="AY261" s="193"/>
      <c r="AZ261" s="193"/>
      <c r="BA261" s="917"/>
      <c r="BB261" s="193"/>
      <c r="BC261" s="193"/>
      <c r="BD261" s="193"/>
      <c r="BE261" s="193"/>
      <c r="BF261" s="193"/>
      <c r="BG261" s="193"/>
      <c r="BH261" s="193"/>
      <c r="BI261" s="193"/>
      <c r="BJ261" s="193"/>
      <c r="BK261" s="193"/>
      <c r="BL261" s="193"/>
      <c r="BM261" s="193"/>
      <c r="BN261" s="193"/>
      <c r="BO261" s="917"/>
      <c r="BP261" s="193"/>
      <c r="BQ261" s="193"/>
      <c r="BR261" s="193"/>
      <c r="BS261" s="193"/>
      <c r="BT261" s="193"/>
      <c r="BU261" s="193"/>
      <c r="BV261" s="193"/>
      <c r="BW261" s="193"/>
      <c r="BX261" s="193"/>
      <c r="BY261" s="193"/>
      <c r="BZ261" s="193"/>
      <c r="CA261" s="193"/>
      <c r="CB261" s="158"/>
      <c r="CC261" s="193"/>
      <c r="CD261" s="193"/>
      <c r="CE261" s="193"/>
      <c r="CL261" s="334"/>
      <c r="CS261" s="158"/>
      <c r="CT261" s="158"/>
      <c r="CU261" s="158"/>
      <c r="CV261" s="316"/>
      <c r="DC261" s="334"/>
      <c r="DI261" s="158"/>
      <c r="DJ261" s="316"/>
      <c r="DQ261" s="334"/>
      <c r="DW261" s="158"/>
      <c r="EE261" s="334"/>
      <c r="EK261" s="158"/>
      <c r="EY261" s="158"/>
    </row>
    <row r="262" spans="2:155" s="192" customFormat="1" ht="18" customHeight="1">
      <c r="B262" s="193"/>
      <c r="C262" s="193"/>
      <c r="D262" s="193"/>
      <c r="E262" s="331" t="s">
        <v>1674</v>
      </c>
      <c r="F262" s="1521"/>
      <c r="G262" s="193"/>
      <c r="H262" s="406">
        <f t="shared" ref="H262:S262" si="361">H250+H256</f>
        <v>0</v>
      </c>
      <c r="I262" s="406">
        <f t="shared" si="361"/>
        <v>0</v>
      </c>
      <c r="J262" s="406">
        <f t="shared" si="361"/>
        <v>0</v>
      </c>
      <c r="K262" s="406">
        <f t="shared" si="361"/>
        <v>0</v>
      </c>
      <c r="L262" s="406">
        <f t="shared" si="361"/>
        <v>0</v>
      </c>
      <c r="M262" s="406">
        <f t="shared" si="361"/>
        <v>0</v>
      </c>
      <c r="N262" s="406">
        <f t="shared" si="361"/>
        <v>0</v>
      </c>
      <c r="O262" s="406">
        <f t="shared" si="361"/>
        <v>0</v>
      </c>
      <c r="P262" s="406">
        <f t="shared" si="361"/>
        <v>0</v>
      </c>
      <c r="Q262" s="406">
        <f t="shared" si="361"/>
        <v>0</v>
      </c>
      <c r="R262" s="406">
        <f t="shared" si="361"/>
        <v>0</v>
      </c>
      <c r="S262" s="406">
        <f t="shared" si="361"/>
        <v>-99357569.03103739</v>
      </c>
      <c r="T262" s="406">
        <f>T250+T256</f>
        <v>11123895.445214108</v>
      </c>
      <c r="U262" s="378">
        <f>T262-AJ262</f>
        <v>-10873304.743667141</v>
      </c>
      <c r="V262" s="165">
        <f>U262/AJ262</f>
        <v>-0.49430403189053052</v>
      </c>
      <c r="W262" s="917"/>
      <c r="X262" s="406">
        <f t="shared" ref="X262:AI262" si="362">X250+X256</f>
        <v>2581588.1094566174</v>
      </c>
      <c r="Y262" s="406">
        <f t="shared" si="362"/>
        <v>5713445.4343541358</v>
      </c>
      <c r="Z262" s="406">
        <f t="shared" si="362"/>
        <v>1920436.6308303187</v>
      </c>
      <c r="AA262" s="406">
        <f t="shared" si="362"/>
        <v>-3363043.4878570922</v>
      </c>
      <c r="AB262" s="406">
        <f t="shared" si="362"/>
        <v>-3690804.442631809</v>
      </c>
      <c r="AC262" s="406">
        <f t="shared" si="362"/>
        <v>2338408.2580546169</v>
      </c>
      <c r="AD262" s="406">
        <f t="shared" si="362"/>
        <v>1385909.5440979635</v>
      </c>
      <c r="AE262" s="406">
        <f t="shared" si="362"/>
        <v>8731166.5435612723</v>
      </c>
      <c r="AF262" s="406">
        <f t="shared" si="362"/>
        <v>20555226.087325305</v>
      </c>
      <c r="AG262" s="406">
        <f t="shared" si="362"/>
        <v>2474296.7064444148</v>
      </c>
      <c r="AH262" s="406">
        <f t="shared" si="362"/>
        <v>33720775.23139409</v>
      </c>
      <c r="AI262" s="406">
        <f t="shared" si="362"/>
        <v>28852297.113851443</v>
      </c>
      <c r="AJ262" s="406">
        <f>AJ250+AJ256-AJ260</f>
        <v>21997200.188881248</v>
      </c>
      <c r="AK262" s="917"/>
      <c r="AL262" s="193"/>
      <c r="AM262" s="193"/>
      <c r="AN262" s="193"/>
      <c r="AO262" s="193"/>
      <c r="AP262" s="193"/>
      <c r="AQ262" s="193"/>
      <c r="AR262" s="193"/>
      <c r="AS262" s="193"/>
      <c r="AT262" s="193"/>
      <c r="AU262" s="193"/>
      <c r="AV262" s="193"/>
      <c r="AW262" s="193"/>
      <c r="AX262" s="193"/>
      <c r="AY262" s="193"/>
      <c r="AZ262" s="193"/>
      <c r="BA262" s="917"/>
      <c r="BB262" s="193"/>
      <c r="BC262" s="193"/>
      <c r="BD262" s="193"/>
      <c r="BE262" s="193"/>
      <c r="BF262" s="193"/>
      <c r="BG262" s="193"/>
      <c r="BH262" s="193"/>
      <c r="BI262" s="193"/>
      <c r="BJ262" s="193"/>
      <c r="BK262" s="193"/>
      <c r="BL262" s="193"/>
      <c r="BM262" s="193"/>
      <c r="BN262" s="193"/>
      <c r="BO262" s="917"/>
      <c r="BP262" s="193"/>
      <c r="BQ262" s="193"/>
      <c r="BR262" s="193"/>
      <c r="BS262" s="193"/>
      <c r="BT262" s="193"/>
      <c r="BU262" s="193"/>
      <c r="BV262" s="193"/>
      <c r="BW262" s="193"/>
      <c r="BX262" s="193"/>
      <c r="BY262" s="193"/>
      <c r="BZ262" s="193"/>
      <c r="CA262" s="193"/>
      <c r="CB262" s="158"/>
      <c r="CC262" s="193"/>
      <c r="CD262" s="193"/>
      <c r="CE262" s="193"/>
      <c r="CL262" s="334"/>
      <c r="CS262" s="158"/>
      <c r="CT262" s="158"/>
      <c r="CU262" s="158"/>
      <c r="CV262" s="316"/>
      <c r="DC262" s="334"/>
      <c r="DI262" s="158"/>
      <c r="DJ262" s="316"/>
      <c r="DQ262" s="334"/>
      <c r="DW262" s="158"/>
      <c r="EE262" s="334"/>
      <c r="EK262" s="158"/>
      <c r="EY262" s="158"/>
    </row>
    <row r="263" spans="2:155" s="192" customFormat="1" ht="18" customHeight="1">
      <c r="B263" s="193"/>
      <c r="C263" s="193"/>
      <c r="D263" s="193"/>
      <c r="E263" s="194"/>
      <c r="F263" s="193"/>
      <c r="G263" s="193"/>
      <c r="H263" s="193"/>
      <c r="I263" s="193"/>
      <c r="J263" s="193"/>
      <c r="K263" s="193"/>
      <c r="L263" s="193"/>
      <c r="M263" s="193"/>
      <c r="N263" s="193"/>
      <c r="O263" s="193"/>
      <c r="P263" s="193"/>
      <c r="Q263" s="193"/>
      <c r="R263" s="193"/>
      <c r="S263" s="193"/>
      <c r="T263" s="193"/>
      <c r="U263" s="193"/>
      <c r="V263" s="193"/>
      <c r="W263" s="917"/>
      <c r="X263" s="193"/>
      <c r="Y263" s="193"/>
      <c r="Z263" s="193"/>
      <c r="AA263" s="193"/>
      <c r="AB263" s="193"/>
      <c r="AC263" s="193"/>
      <c r="AD263" s="193"/>
      <c r="AE263" s="193"/>
      <c r="AF263" s="193"/>
      <c r="AG263" s="193"/>
      <c r="AH263" s="193"/>
      <c r="AI263" s="193"/>
      <c r="AJ263" s="193"/>
      <c r="AK263" s="917"/>
      <c r="AL263" s="193"/>
      <c r="AM263" s="193"/>
      <c r="AN263" s="193"/>
      <c r="AO263" s="193"/>
      <c r="AP263" s="193"/>
      <c r="AQ263" s="193"/>
      <c r="AR263" s="193"/>
      <c r="AS263" s="193"/>
      <c r="AT263" s="193"/>
      <c r="AU263" s="193"/>
      <c r="AV263" s="193"/>
      <c r="AW263" s="193"/>
      <c r="AX263" s="193"/>
      <c r="AY263" s="193"/>
      <c r="AZ263" s="193"/>
      <c r="BA263" s="917"/>
      <c r="BB263" s="193"/>
      <c r="BC263" s="193"/>
      <c r="BD263" s="193"/>
      <c r="BE263" s="193"/>
      <c r="BF263" s="193"/>
      <c r="BG263" s="193"/>
      <c r="BH263" s="193"/>
      <c r="BI263" s="193"/>
      <c r="BJ263" s="193"/>
      <c r="BK263" s="193"/>
      <c r="BL263" s="193"/>
      <c r="BM263" s="193"/>
      <c r="BN263" s="193"/>
      <c r="BO263" s="917"/>
      <c r="BP263" s="193"/>
      <c r="BQ263" s="193"/>
      <c r="BR263" s="193"/>
      <c r="BS263" s="193"/>
      <c r="BT263" s="193"/>
      <c r="BU263" s="193"/>
      <c r="BV263" s="193"/>
      <c r="BW263" s="193"/>
      <c r="BX263" s="193"/>
      <c r="BY263" s="193"/>
      <c r="BZ263" s="193"/>
      <c r="CA263" s="193"/>
      <c r="CB263" s="158"/>
      <c r="CC263" s="193"/>
      <c r="CD263" s="193"/>
      <c r="CE263" s="193"/>
      <c r="CL263" s="334"/>
      <c r="CS263" s="158"/>
      <c r="CT263" s="158"/>
      <c r="CU263" s="158"/>
      <c r="CV263" s="316"/>
      <c r="DC263" s="334"/>
      <c r="DI263" s="158"/>
      <c r="DJ263" s="316"/>
      <c r="DQ263" s="334"/>
      <c r="DW263" s="158"/>
      <c r="EE263" s="334"/>
      <c r="EK263" s="158"/>
      <c r="EY263" s="158"/>
    </row>
    <row r="264" spans="2:155" s="192" customFormat="1" ht="18" customHeight="1">
      <c r="B264" s="193"/>
      <c r="C264" s="193"/>
      <c r="D264" s="193"/>
      <c r="E264" s="194"/>
      <c r="F264" s="193"/>
      <c r="G264" s="193"/>
      <c r="H264" s="193"/>
      <c r="I264" s="193"/>
      <c r="J264" s="193"/>
      <c r="K264" s="193"/>
      <c r="L264" s="193"/>
      <c r="M264" s="193"/>
      <c r="N264" s="193"/>
      <c r="O264" s="193"/>
      <c r="P264" s="193"/>
      <c r="Q264" s="193"/>
      <c r="R264" s="193"/>
      <c r="S264" s="193"/>
      <c r="T264" s="193"/>
      <c r="U264" s="193"/>
      <c r="V264" s="193"/>
      <c r="W264" s="917"/>
      <c r="X264" s="193"/>
      <c r="Y264" s="193"/>
      <c r="Z264" s="193"/>
      <c r="AA264" s="193"/>
      <c r="AB264" s="193"/>
      <c r="AC264" s="193"/>
      <c r="AD264" s="193"/>
      <c r="AE264" s="193"/>
      <c r="AF264" s="193"/>
      <c r="AG264" s="193"/>
      <c r="AH264" s="193"/>
      <c r="AI264" s="193"/>
      <c r="AJ264" s="193"/>
      <c r="AK264" s="917"/>
      <c r="AL264" s="193"/>
      <c r="AM264" s="193"/>
      <c r="AN264" s="193"/>
      <c r="AO264" s="193"/>
      <c r="AP264" s="193"/>
      <c r="AQ264" s="193"/>
      <c r="AR264" s="193"/>
      <c r="AS264" s="193"/>
      <c r="AT264" s="193"/>
      <c r="AU264" s="193"/>
      <c r="AV264" s="193"/>
      <c r="AW264" s="193"/>
      <c r="AX264" s="193"/>
      <c r="AY264" s="193"/>
      <c r="AZ264" s="193"/>
      <c r="BA264" s="917"/>
      <c r="BB264" s="193"/>
      <c r="BC264" s="193"/>
      <c r="BD264" s="193"/>
      <c r="BE264" s="193"/>
      <c r="BF264" s="193"/>
      <c r="BG264" s="193"/>
      <c r="BH264" s="193"/>
      <c r="BI264" s="193"/>
      <c r="BJ264" s="193"/>
      <c r="BK264" s="193"/>
      <c r="BL264" s="193"/>
      <c r="BM264" s="193"/>
      <c r="BN264" s="193"/>
      <c r="BO264" s="917"/>
      <c r="BP264" s="193"/>
      <c r="BQ264" s="193"/>
      <c r="BR264" s="193"/>
      <c r="BS264" s="193"/>
      <c r="BT264" s="193"/>
      <c r="BU264" s="193"/>
      <c r="BV264" s="193"/>
      <c r="BW264" s="193"/>
      <c r="BX264" s="193"/>
      <c r="BY264" s="193"/>
      <c r="BZ264" s="193"/>
      <c r="CA264" s="193"/>
      <c r="CB264" s="158"/>
      <c r="CC264" s="193"/>
      <c r="CD264" s="193"/>
      <c r="CE264" s="193"/>
      <c r="CL264" s="334"/>
      <c r="CS264" s="158"/>
      <c r="CT264" s="158"/>
      <c r="CU264" s="158"/>
      <c r="CV264" s="316"/>
      <c r="DC264" s="334"/>
      <c r="DI264" s="158"/>
      <c r="DJ264" s="316"/>
      <c r="DQ264" s="334"/>
      <c r="DW264" s="158"/>
      <c r="EE264" s="334"/>
      <c r="EK264" s="158"/>
      <c r="EY264" s="158"/>
    </row>
    <row r="265" spans="2:155" s="192" customFormat="1" ht="18" customHeight="1">
      <c r="B265" s="193"/>
      <c r="C265" s="193"/>
      <c r="D265" s="193"/>
      <c r="E265" s="194"/>
      <c r="F265" s="193"/>
      <c r="G265" s="193"/>
      <c r="H265" s="193"/>
      <c r="I265" s="193"/>
      <c r="J265" s="193"/>
      <c r="K265" s="193"/>
      <c r="L265" s="193"/>
      <c r="M265" s="193"/>
      <c r="N265" s="193"/>
      <c r="O265" s="193"/>
      <c r="P265" s="193"/>
      <c r="Q265" s="193"/>
      <c r="R265" s="193"/>
      <c r="S265" s="193"/>
      <c r="T265" s="193"/>
      <c r="U265" s="193"/>
      <c r="V265" s="193"/>
      <c r="W265" s="917"/>
      <c r="X265" s="193"/>
      <c r="Y265" s="193"/>
      <c r="Z265" s="193"/>
      <c r="AA265" s="193"/>
      <c r="AB265" s="193"/>
      <c r="AC265" s="193"/>
      <c r="AD265" s="193"/>
      <c r="AE265" s="193"/>
      <c r="AF265" s="193"/>
      <c r="AG265" s="193"/>
      <c r="AH265" s="193"/>
      <c r="AI265" s="193"/>
      <c r="AJ265" s="193"/>
      <c r="AK265" s="917"/>
      <c r="AL265" s="193"/>
      <c r="AM265" s="193"/>
      <c r="AN265" s="193"/>
      <c r="AO265" s="193"/>
      <c r="AP265" s="193"/>
      <c r="AQ265" s="193"/>
      <c r="AR265" s="193"/>
      <c r="AS265" s="193"/>
      <c r="AT265" s="193"/>
      <c r="AU265" s="193"/>
      <c r="AV265" s="193"/>
      <c r="AW265" s="193"/>
      <c r="AX265" s="193"/>
      <c r="AY265" s="193"/>
      <c r="AZ265" s="193"/>
      <c r="BA265" s="917"/>
      <c r="BB265" s="193"/>
      <c r="BC265" s="193"/>
      <c r="BD265" s="193"/>
      <c r="BE265" s="193"/>
      <c r="BF265" s="193"/>
      <c r="BG265" s="193"/>
      <c r="BH265" s="193"/>
      <c r="BI265" s="193"/>
      <c r="BJ265" s="193"/>
      <c r="BK265" s="193"/>
      <c r="BL265" s="193"/>
      <c r="BM265" s="193"/>
      <c r="BN265" s="193"/>
      <c r="BO265" s="917"/>
      <c r="BP265" s="193"/>
      <c r="BQ265" s="193"/>
      <c r="BR265" s="193"/>
      <c r="BS265" s="193"/>
      <c r="BT265" s="193"/>
      <c r="BU265" s="193"/>
      <c r="BV265" s="193"/>
      <c r="BW265" s="193"/>
      <c r="BX265" s="193"/>
      <c r="BY265" s="193"/>
      <c r="BZ265" s="193"/>
      <c r="CA265" s="193"/>
      <c r="CB265" s="158"/>
      <c r="CC265" s="193"/>
      <c r="CD265" s="193"/>
      <c r="CE265" s="193"/>
      <c r="CL265" s="334"/>
      <c r="CS265" s="158"/>
      <c r="CT265" s="158"/>
      <c r="CU265" s="158"/>
      <c r="CV265" s="316"/>
      <c r="DC265" s="334"/>
      <c r="DI265" s="158"/>
      <c r="DJ265" s="316"/>
      <c r="DQ265" s="334"/>
      <c r="DW265" s="158"/>
      <c r="EE265" s="334"/>
      <c r="EK265" s="158"/>
      <c r="EY265" s="158"/>
    </row>
    <row r="266" spans="2:155" s="192" customFormat="1" ht="18" customHeight="1">
      <c r="B266" s="193"/>
      <c r="C266" s="193"/>
      <c r="D266" s="193"/>
      <c r="E266" s="194"/>
      <c r="F266" s="193"/>
      <c r="G266" s="193"/>
      <c r="H266" s="193"/>
      <c r="I266" s="193"/>
      <c r="J266" s="193"/>
      <c r="K266" s="193"/>
      <c r="L266" s="193"/>
      <c r="M266" s="193"/>
      <c r="N266" s="193"/>
      <c r="O266" s="193"/>
      <c r="P266" s="193"/>
      <c r="Q266" s="193"/>
      <c r="R266" s="193"/>
      <c r="S266" s="193"/>
      <c r="T266" s="193"/>
      <c r="U266" s="193"/>
      <c r="V266" s="193"/>
      <c r="W266" s="917"/>
      <c r="X266" s="193"/>
      <c r="Y266" s="193"/>
      <c r="Z266" s="193"/>
      <c r="AA266" s="193"/>
      <c r="AB266" s="193"/>
      <c r="AC266" s="193"/>
      <c r="AD266" s="193"/>
      <c r="AE266" s="193"/>
      <c r="AF266" s="193"/>
      <c r="AG266" s="193"/>
      <c r="AH266" s="193"/>
      <c r="AI266" s="193"/>
      <c r="AJ266" s="193"/>
      <c r="AK266" s="917"/>
      <c r="AL266" s="193"/>
      <c r="AM266" s="193"/>
      <c r="AN266" s="193"/>
      <c r="AO266" s="193"/>
      <c r="AP266" s="193"/>
      <c r="AQ266" s="193"/>
      <c r="AR266" s="193"/>
      <c r="AS266" s="193"/>
      <c r="AT266" s="193"/>
      <c r="AU266" s="193"/>
      <c r="AV266" s="193"/>
      <c r="AW266" s="193"/>
      <c r="AX266" s="193"/>
      <c r="AY266" s="193"/>
      <c r="AZ266" s="193"/>
      <c r="BA266" s="917"/>
      <c r="BB266" s="193"/>
      <c r="BC266" s="193"/>
      <c r="BD266" s="193"/>
      <c r="BE266" s="193"/>
      <c r="BF266" s="193"/>
      <c r="BG266" s="193"/>
      <c r="BH266" s="193"/>
      <c r="BI266" s="193"/>
      <c r="BJ266" s="193"/>
      <c r="BK266" s="193"/>
      <c r="BL266" s="193"/>
      <c r="BM266" s="193"/>
      <c r="BN266" s="193"/>
      <c r="BO266" s="917"/>
      <c r="BP266" s="193"/>
      <c r="BQ266" s="193"/>
      <c r="BR266" s="193"/>
      <c r="BS266" s="193"/>
      <c r="BT266" s="193"/>
      <c r="BU266" s="193"/>
      <c r="BV266" s="193"/>
      <c r="BW266" s="193"/>
      <c r="BX266" s="193"/>
      <c r="BY266" s="193"/>
      <c r="BZ266" s="193"/>
      <c r="CA266" s="193"/>
      <c r="CB266" s="158"/>
      <c r="CC266" s="193"/>
      <c r="CD266" s="193"/>
      <c r="CE266" s="193"/>
      <c r="CL266" s="334"/>
      <c r="CS266" s="158"/>
      <c r="CT266" s="158"/>
      <c r="CU266" s="158"/>
      <c r="CV266" s="316"/>
      <c r="DC266" s="334"/>
      <c r="DI266" s="158"/>
      <c r="DJ266" s="316"/>
      <c r="DQ266" s="334"/>
      <c r="DW266" s="158"/>
      <c r="EE266" s="334"/>
      <c r="EK266" s="158"/>
      <c r="EY266" s="158"/>
    </row>
    <row r="267" spans="2:155" s="192" customFormat="1" ht="18" customHeight="1">
      <c r="B267" s="193"/>
      <c r="C267" s="193"/>
      <c r="D267" s="193"/>
      <c r="E267" s="194"/>
      <c r="F267" s="193"/>
      <c r="G267" s="193"/>
      <c r="H267" s="193"/>
      <c r="I267" s="193"/>
      <c r="J267" s="193"/>
      <c r="K267" s="193"/>
      <c r="L267" s="193"/>
      <c r="M267" s="193"/>
      <c r="N267" s="193"/>
      <c r="O267" s="193"/>
      <c r="P267" s="193"/>
      <c r="Q267" s="193"/>
      <c r="R267" s="193"/>
      <c r="S267" s="193"/>
      <c r="T267" s="193"/>
      <c r="U267" s="193"/>
      <c r="V267" s="193"/>
      <c r="W267" s="917"/>
      <c r="X267" s="193"/>
      <c r="Y267" s="193"/>
      <c r="Z267" s="193"/>
      <c r="AA267" s="193"/>
      <c r="AB267" s="193"/>
      <c r="AC267" s="193"/>
      <c r="AD267" s="193"/>
      <c r="AE267" s="193"/>
      <c r="AF267" s="193"/>
      <c r="AG267" s="193"/>
      <c r="AH267" s="193"/>
      <c r="AI267" s="193"/>
      <c r="AJ267" s="193"/>
      <c r="AK267" s="917"/>
      <c r="AL267" s="193"/>
      <c r="AM267" s="193"/>
      <c r="AN267" s="193"/>
      <c r="AO267" s="193"/>
      <c r="AP267" s="193"/>
      <c r="AQ267" s="193"/>
      <c r="AR267" s="193"/>
      <c r="AS267" s="193"/>
      <c r="AT267" s="193"/>
      <c r="AU267" s="193"/>
      <c r="AV267" s="193"/>
      <c r="AW267" s="193"/>
      <c r="AX267" s="193"/>
      <c r="AY267" s="193"/>
      <c r="AZ267" s="193"/>
      <c r="BA267" s="917"/>
      <c r="BB267" s="193"/>
      <c r="BC267" s="193"/>
      <c r="BD267" s="193"/>
      <c r="BE267" s="193"/>
      <c r="BF267" s="193"/>
      <c r="BG267" s="193"/>
      <c r="BH267" s="193"/>
      <c r="BI267" s="193"/>
      <c r="BJ267" s="193"/>
      <c r="BK267" s="193"/>
      <c r="BL267" s="193"/>
      <c r="BM267" s="193"/>
      <c r="BN267" s="193"/>
      <c r="BO267" s="917"/>
      <c r="BP267" s="193"/>
      <c r="BQ267" s="193"/>
      <c r="BR267" s="193"/>
      <c r="BS267" s="193"/>
      <c r="BT267" s="193"/>
      <c r="BU267" s="193"/>
      <c r="BV267" s="193"/>
      <c r="BW267" s="193"/>
      <c r="BX267" s="193"/>
      <c r="BY267" s="193"/>
      <c r="BZ267" s="193"/>
      <c r="CA267" s="193"/>
      <c r="CB267" s="158"/>
      <c r="CC267" s="193"/>
      <c r="CD267" s="193"/>
      <c r="CE267" s="193"/>
      <c r="CL267" s="334"/>
      <c r="CS267" s="158"/>
      <c r="CT267" s="158"/>
      <c r="CU267" s="158"/>
      <c r="CV267" s="316"/>
      <c r="DC267" s="334"/>
      <c r="DI267" s="158"/>
      <c r="DJ267" s="316"/>
      <c r="DQ267" s="334"/>
      <c r="DW267" s="158"/>
      <c r="EE267" s="334"/>
      <c r="EK267" s="158"/>
      <c r="EY267" s="158"/>
    </row>
    <row r="268" spans="2:155" s="192" customFormat="1" ht="18" customHeight="1">
      <c r="B268" s="193"/>
      <c r="C268" s="193"/>
      <c r="D268" s="193"/>
      <c r="E268" s="194"/>
      <c r="F268" s="193"/>
      <c r="G268" s="193"/>
      <c r="H268" s="193"/>
      <c r="I268" s="193"/>
      <c r="J268" s="193"/>
      <c r="K268" s="193"/>
      <c r="L268" s="193"/>
      <c r="M268" s="193"/>
      <c r="N268" s="193"/>
      <c r="O268" s="193"/>
      <c r="P268" s="193"/>
      <c r="Q268" s="193"/>
      <c r="R268" s="193"/>
      <c r="S268" s="193"/>
      <c r="T268" s="193"/>
      <c r="U268" s="193"/>
      <c r="V268" s="193"/>
      <c r="W268" s="917"/>
      <c r="X268" s="193"/>
      <c r="Y268" s="193"/>
      <c r="Z268" s="193"/>
      <c r="AA268" s="193"/>
      <c r="AB268" s="193"/>
      <c r="AC268" s="193"/>
      <c r="AD268" s="193"/>
      <c r="AE268" s="193"/>
      <c r="AF268" s="193"/>
      <c r="AG268" s="193"/>
      <c r="AH268" s="193"/>
      <c r="AI268" s="193"/>
      <c r="AJ268" s="193"/>
      <c r="AK268" s="917"/>
      <c r="AL268" s="193"/>
      <c r="AM268" s="193"/>
      <c r="AN268" s="193"/>
      <c r="AO268" s="193"/>
      <c r="AP268" s="193"/>
      <c r="AQ268" s="193"/>
      <c r="AR268" s="193"/>
      <c r="AS268" s="193"/>
      <c r="AT268" s="193"/>
      <c r="AU268" s="193"/>
      <c r="AV268" s="193"/>
      <c r="AW268" s="193"/>
      <c r="AX268" s="193"/>
      <c r="AY268" s="193"/>
      <c r="AZ268" s="193"/>
      <c r="BA268" s="917"/>
      <c r="BB268" s="193"/>
      <c r="BC268" s="193"/>
      <c r="BD268" s="193"/>
      <c r="BE268" s="193"/>
      <c r="BF268" s="193"/>
      <c r="BG268" s="193"/>
      <c r="BH268" s="193"/>
      <c r="BI268" s="193"/>
      <c r="BJ268" s="193"/>
      <c r="BK268" s="193"/>
      <c r="BL268" s="193"/>
      <c r="BM268" s="193"/>
      <c r="BN268" s="193"/>
      <c r="BO268" s="917"/>
      <c r="BP268" s="193"/>
      <c r="BQ268" s="193"/>
      <c r="BR268" s="193"/>
      <c r="BS268" s="193"/>
      <c r="BT268" s="193"/>
      <c r="BU268" s="193"/>
      <c r="BV268" s="193"/>
      <c r="BW268" s="193"/>
      <c r="BX268" s="193"/>
      <c r="BY268" s="193"/>
      <c r="BZ268" s="193"/>
      <c r="CA268" s="193"/>
      <c r="CB268" s="158"/>
      <c r="CC268" s="193"/>
      <c r="CD268" s="193"/>
      <c r="CE268" s="193"/>
      <c r="CL268" s="334"/>
      <c r="CS268" s="158"/>
      <c r="CT268" s="158"/>
      <c r="CU268" s="158"/>
      <c r="CV268" s="316"/>
      <c r="DC268" s="334"/>
      <c r="DI268" s="158"/>
      <c r="DJ268" s="316"/>
      <c r="DQ268" s="334"/>
      <c r="DW268" s="158"/>
      <c r="EE268" s="334"/>
      <c r="EK268" s="158"/>
      <c r="EY268" s="158"/>
    </row>
    <row r="269" spans="2:155" s="192" customFormat="1" ht="18" customHeight="1">
      <c r="B269" s="193"/>
      <c r="C269" s="193"/>
      <c r="D269" s="193"/>
      <c r="E269" s="194"/>
      <c r="F269" s="193"/>
      <c r="G269" s="193"/>
      <c r="H269" s="193"/>
      <c r="I269" s="193"/>
      <c r="J269" s="193"/>
      <c r="K269" s="193"/>
      <c r="L269" s="193"/>
      <c r="M269" s="193"/>
      <c r="N269" s="193"/>
      <c r="O269" s="193"/>
      <c r="P269" s="193"/>
      <c r="Q269" s="193"/>
      <c r="R269" s="193"/>
      <c r="S269" s="193"/>
      <c r="T269" s="193"/>
      <c r="U269" s="193"/>
      <c r="V269" s="193"/>
      <c r="W269" s="917"/>
      <c r="X269" s="193"/>
      <c r="Y269" s="193"/>
      <c r="Z269" s="193"/>
      <c r="AA269" s="193"/>
      <c r="AB269" s="193"/>
      <c r="AC269" s="193"/>
      <c r="AD269" s="193"/>
      <c r="AE269" s="193"/>
      <c r="AF269" s="193"/>
      <c r="AG269" s="193"/>
      <c r="AH269" s="193"/>
      <c r="AI269" s="193"/>
      <c r="AJ269" s="193"/>
      <c r="AK269" s="917"/>
      <c r="AL269" s="193"/>
      <c r="AM269" s="193"/>
      <c r="AN269" s="193"/>
      <c r="AO269" s="193"/>
      <c r="AP269" s="193"/>
      <c r="AQ269" s="193"/>
      <c r="AR269" s="193"/>
      <c r="AS269" s="193"/>
      <c r="AT269" s="193"/>
      <c r="AU269" s="193"/>
      <c r="AV269" s="193"/>
      <c r="AW269" s="193"/>
      <c r="AX269" s="193"/>
      <c r="AY269" s="193"/>
      <c r="AZ269" s="193"/>
      <c r="BA269" s="917"/>
      <c r="BB269" s="193"/>
      <c r="BC269" s="193"/>
      <c r="BD269" s="193"/>
      <c r="BE269" s="193"/>
      <c r="BF269" s="193"/>
      <c r="BG269" s="193"/>
      <c r="BH269" s="193"/>
      <c r="BI269" s="193"/>
      <c r="BJ269" s="193"/>
      <c r="BK269" s="193"/>
      <c r="BL269" s="193"/>
      <c r="BM269" s="193"/>
      <c r="BN269" s="193"/>
      <c r="BO269" s="917"/>
      <c r="BP269" s="193"/>
      <c r="BQ269" s="193"/>
      <c r="BR269" s="193"/>
      <c r="BS269" s="193"/>
      <c r="BT269" s="193"/>
      <c r="BU269" s="193"/>
      <c r="BV269" s="193"/>
      <c r="BW269" s="193"/>
      <c r="BX269" s="193"/>
      <c r="BY269" s="193"/>
      <c r="BZ269" s="193"/>
      <c r="CA269" s="193"/>
      <c r="CB269" s="158"/>
      <c r="CC269" s="193"/>
      <c r="CD269" s="193"/>
      <c r="CE269" s="193"/>
      <c r="CL269" s="334"/>
      <c r="CS269" s="158"/>
      <c r="CT269" s="158"/>
      <c r="CU269" s="158"/>
      <c r="CV269" s="316"/>
      <c r="DC269" s="334"/>
      <c r="DI269" s="158"/>
      <c r="DJ269" s="316"/>
      <c r="DQ269" s="334"/>
      <c r="DW269" s="158"/>
      <c r="EE269" s="334"/>
      <c r="EK269" s="158"/>
      <c r="EY269" s="158"/>
    </row>
    <row r="270" spans="2:155" s="192" customFormat="1" ht="18" customHeight="1">
      <c r="B270" s="193"/>
      <c r="C270" s="193"/>
      <c r="D270" s="193"/>
      <c r="E270" s="194"/>
      <c r="F270" s="193"/>
      <c r="G270" s="193"/>
      <c r="H270" s="193"/>
      <c r="I270" s="193"/>
      <c r="J270" s="193"/>
      <c r="K270" s="193"/>
      <c r="L270" s="193"/>
      <c r="M270" s="193"/>
      <c r="N270" s="193"/>
      <c r="O270" s="193"/>
      <c r="P270" s="193"/>
      <c r="Q270" s="193"/>
      <c r="R270" s="193"/>
      <c r="S270" s="193"/>
      <c r="T270" s="193"/>
      <c r="U270" s="193"/>
      <c r="V270" s="193"/>
      <c r="W270" s="917"/>
      <c r="X270" s="193"/>
      <c r="Y270" s="193"/>
      <c r="Z270" s="193"/>
      <c r="AA270" s="193"/>
      <c r="AB270" s="193"/>
      <c r="AC270" s="193"/>
      <c r="AD270" s="193"/>
      <c r="AE270" s="193"/>
      <c r="AF270" s="193"/>
      <c r="AG270" s="193"/>
      <c r="AH270" s="193"/>
      <c r="AI270" s="193"/>
      <c r="AJ270" s="193"/>
      <c r="AK270" s="917"/>
      <c r="AL270" s="193"/>
      <c r="AM270" s="193"/>
      <c r="AN270" s="193"/>
      <c r="AO270" s="193"/>
      <c r="AP270" s="193"/>
      <c r="AQ270" s="193"/>
      <c r="AR270" s="193"/>
      <c r="AS270" s="193"/>
      <c r="AT270" s="193"/>
      <c r="AU270" s="193"/>
      <c r="AV270" s="193"/>
      <c r="AW270" s="193"/>
      <c r="AX270" s="193"/>
      <c r="AY270" s="193"/>
      <c r="AZ270" s="193"/>
      <c r="BA270" s="917"/>
      <c r="BB270" s="193"/>
      <c r="BC270" s="193"/>
      <c r="BD270" s="193"/>
      <c r="BE270" s="193"/>
      <c r="BF270" s="193"/>
      <c r="BG270" s="193"/>
      <c r="BH270" s="193"/>
      <c r="BI270" s="193"/>
      <c r="BJ270" s="193"/>
      <c r="BK270" s="193"/>
      <c r="BL270" s="193"/>
      <c r="BM270" s="193"/>
      <c r="BN270" s="193"/>
      <c r="BO270" s="917"/>
      <c r="BP270" s="193"/>
      <c r="BQ270" s="193"/>
      <c r="BR270" s="193"/>
      <c r="BS270" s="193"/>
      <c r="BT270" s="193"/>
      <c r="BU270" s="193"/>
      <c r="BV270" s="193"/>
      <c r="BW270" s="193"/>
      <c r="BX270" s="193"/>
      <c r="BY270" s="193"/>
      <c r="BZ270" s="193"/>
      <c r="CA270" s="193"/>
      <c r="CB270" s="158"/>
      <c r="CC270" s="193"/>
      <c r="CD270" s="193"/>
      <c r="CE270" s="193"/>
      <c r="CL270" s="334"/>
      <c r="CS270" s="158"/>
      <c r="CT270" s="158"/>
      <c r="CU270" s="158"/>
      <c r="CV270" s="316"/>
      <c r="DC270" s="334"/>
      <c r="DI270" s="158"/>
      <c r="DJ270" s="316"/>
      <c r="DQ270" s="334"/>
      <c r="DW270" s="158"/>
      <c r="EE270" s="334"/>
      <c r="EK270" s="158"/>
      <c r="EY270" s="158"/>
    </row>
    <row r="271" spans="2:155" s="192" customFormat="1" ht="18" customHeight="1">
      <c r="B271" s="193"/>
      <c r="C271" s="193"/>
      <c r="D271" s="193"/>
      <c r="E271" s="194"/>
      <c r="F271" s="193"/>
      <c r="G271" s="193"/>
      <c r="H271" s="193"/>
      <c r="I271" s="193"/>
      <c r="J271" s="193"/>
      <c r="K271" s="193"/>
      <c r="L271" s="193"/>
      <c r="M271" s="193"/>
      <c r="N271" s="193"/>
      <c r="O271" s="193"/>
      <c r="P271" s="193"/>
      <c r="Q271" s="193"/>
      <c r="R271" s="193"/>
      <c r="S271" s="193"/>
      <c r="T271" s="193"/>
      <c r="U271" s="193"/>
      <c r="V271" s="193"/>
      <c r="W271" s="917"/>
      <c r="X271" s="193"/>
      <c r="Y271" s="193"/>
      <c r="Z271" s="193"/>
      <c r="AA271" s="193"/>
      <c r="AB271" s="193"/>
      <c r="AC271" s="193"/>
      <c r="AD271" s="193"/>
      <c r="AE271" s="193"/>
      <c r="AF271" s="193"/>
      <c r="AG271" s="193"/>
      <c r="AH271" s="193"/>
      <c r="AI271" s="193"/>
      <c r="AJ271" s="193"/>
      <c r="AK271" s="917"/>
      <c r="AL271" s="193"/>
      <c r="AM271" s="193"/>
      <c r="AN271" s="193"/>
      <c r="AO271" s="193"/>
      <c r="AP271" s="193"/>
      <c r="AQ271" s="193"/>
      <c r="AR271" s="193"/>
      <c r="AS271" s="193"/>
      <c r="AT271" s="193"/>
      <c r="AU271" s="193"/>
      <c r="AV271" s="193"/>
      <c r="AW271" s="193"/>
      <c r="AX271" s="193"/>
      <c r="AY271" s="193"/>
      <c r="AZ271" s="193"/>
      <c r="BA271" s="917"/>
      <c r="BB271" s="193"/>
      <c r="BC271" s="193"/>
      <c r="BD271" s="193"/>
      <c r="BE271" s="193"/>
      <c r="BF271" s="193"/>
      <c r="BG271" s="193"/>
      <c r="BH271" s="193"/>
      <c r="BI271" s="193"/>
      <c r="BJ271" s="193"/>
      <c r="BK271" s="193"/>
      <c r="BL271" s="193"/>
      <c r="BM271" s="193"/>
      <c r="BN271" s="193"/>
      <c r="BO271" s="917"/>
      <c r="BP271" s="193"/>
      <c r="BQ271" s="193"/>
      <c r="BR271" s="193"/>
      <c r="BS271" s="193"/>
      <c r="BT271" s="193"/>
      <c r="BU271" s="193"/>
      <c r="BV271" s="193"/>
      <c r="BW271" s="193"/>
      <c r="BX271" s="193"/>
      <c r="BY271" s="193"/>
      <c r="BZ271" s="193"/>
      <c r="CA271" s="193"/>
      <c r="CB271" s="158"/>
      <c r="CC271" s="193"/>
      <c r="CD271" s="193"/>
      <c r="CE271" s="193"/>
      <c r="CL271" s="334"/>
      <c r="CS271" s="158"/>
      <c r="CT271" s="158"/>
      <c r="CU271" s="158"/>
      <c r="CV271" s="316"/>
      <c r="DC271" s="334"/>
      <c r="DI271" s="158"/>
      <c r="DJ271" s="316"/>
      <c r="DQ271" s="334"/>
      <c r="DW271" s="158"/>
      <c r="EE271" s="334"/>
      <c r="EK271" s="158"/>
      <c r="EY271" s="158"/>
    </row>
    <row r="272" spans="2:155" s="192" customFormat="1" ht="18" customHeight="1">
      <c r="B272" s="193"/>
      <c r="C272" s="193"/>
      <c r="D272" s="193"/>
      <c r="E272" s="194"/>
      <c r="F272" s="193"/>
      <c r="G272" s="193"/>
      <c r="H272" s="193"/>
      <c r="I272" s="193"/>
      <c r="J272" s="193"/>
      <c r="K272" s="193"/>
      <c r="L272" s="193"/>
      <c r="M272" s="193"/>
      <c r="N272" s="193"/>
      <c r="O272" s="193"/>
      <c r="P272" s="193"/>
      <c r="Q272" s="193"/>
      <c r="R272" s="193"/>
      <c r="S272" s="193"/>
      <c r="T272" s="193"/>
      <c r="U272" s="193"/>
      <c r="V272" s="193"/>
      <c r="W272" s="917"/>
      <c r="X272" s="193"/>
      <c r="Y272" s="193"/>
      <c r="Z272" s="193"/>
      <c r="AA272" s="193"/>
      <c r="AB272" s="193"/>
      <c r="AC272" s="193"/>
      <c r="AD272" s="193"/>
      <c r="AE272" s="193"/>
      <c r="AF272" s="193"/>
      <c r="AG272" s="193"/>
      <c r="AH272" s="193"/>
      <c r="AI272" s="193"/>
      <c r="AJ272" s="193"/>
      <c r="AK272" s="917"/>
      <c r="AL272" s="193"/>
      <c r="AM272" s="193"/>
      <c r="AN272" s="193"/>
      <c r="AO272" s="193"/>
      <c r="AP272" s="193"/>
      <c r="AQ272" s="193"/>
      <c r="AR272" s="193"/>
      <c r="AS272" s="193"/>
      <c r="AT272" s="193"/>
      <c r="AU272" s="193"/>
      <c r="AV272" s="193"/>
      <c r="AW272" s="193"/>
      <c r="AX272" s="193"/>
      <c r="AY272" s="193"/>
      <c r="AZ272" s="193"/>
      <c r="BA272" s="917"/>
      <c r="BB272" s="193"/>
      <c r="BC272" s="193"/>
      <c r="BD272" s="193"/>
      <c r="BE272" s="193"/>
      <c r="BF272" s="193"/>
      <c r="BG272" s="193"/>
      <c r="BH272" s="193"/>
      <c r="BI272" s="193"/>
      <c r="BJ272" s="193"/>
      <c r="BK272" s="193"/>
      <c r="BL272" s="193"/>
      <c r="BM272" s="193"/>
      <c r="BN272" s="193"/>
      <c r="BO272" s="917"/>
      <c r="BP272" s="193"/>
      <c r="BQ272" s="193"/>
      <c r="BR272" s="193"/>
      <c r="BS272" s="193"/>
      <c r="BT272" s="193"/>
      <c r="BU272" s="193"/>
      <c r="BV272" s="193"/>
      <c r="BW272" s="193"/>
      <c r="BX272" s="193"/>
      <c r="BY272" s="193"/>
      <c r="BZ272" s="193"/>
      <c r="CA272" s="193"/>
      <c r="CB272" s="158"/>
      <c r="CC272" s="193"/>
      <c r="CD272" s="193"/>
      <c r="CE272" s="193"/>
      <c r="CL272" s="334"/>
      <c r="CS272" s="158"/>
      <c r="CT272" s="158"/>
      <c r="CU272" s="158"/>
      <c r="CV272" s="316"/>
      <c r="DC272" s="334"/>
      <c r="DI272" s="158"/>
      <c r="DJ272" s="316"/>
      <c r="DQ272" s="334"/>
      <c r="DW272" s="158"/>
      <c r="EE272" s="334"/>
      <c r="EK272" s="158"/>
      <c r="EY272" s="158"/>
    </row>
    <row r="273" spans="2:155" s="192" customFormat="1" ht="18" customHeight="1">
      <c r="B273" s="193"/>
      <c r="C273" s="193"/>
      <c r="D273" s="193"/>
      <c r="E273" s="194"/>
      <c r="F273" s="193"/>
      <c r="G273" s="193"/>
      <c r="H273" s="193"/>
      <c r="I273" s="193"/>
      <c r="J273" s="193"/>
      <c r="K273" s="193"/>
      <c r="L273" s="193"/>
      <c r="M273" s="193"/>
      <c r="N273" s="193"/>
      <c r="O273" s="193"/>
      <c r="P273" s="193"/>
      <c r="Q273" s="193"/>
      <c r="R273" s="193"/>
      <c r="S273" s="193"/>
      <c r="T273" s="193"/>
      <c r="U273" s="193"/>
      <c r="V273" s="193"/>
      <c r="W273" s="917"/>
      <c r="X273" s="193"/>
      <c r="Y273" s="193"/>
      <c r="Z273" s="193"/>
      <c r="AA273" s="193"/>
      <c r="AB273" s="193"/>
      <c r="AC273" s="193"/>
      <c r="AD273" s="193"/>
      <c r="AE273" s="193"/>
      <c r="AF273" s="193"/>
      <c r="AG273" s="193"/>
      <c r="AH273" s="193"/>
      <c r="AI273" s="193"/>
      <c r="AJ273" s="193"/>
      <c r="AK273" s="917"/>
      <c r="AL273" s="193"/>
      <c r="AM273" s="193"/>
      <c r="AN273" s="193"/>
      <c r="AO273" s="193"/>
      <c r="AP273" s="193"/>
      <c r="AQ273" s="193"/>
      <c r="AR273" s="193"/>
      <c r="AS273" s="193"/>
      <c r="AT273" s="193"/>
      <c r="AU273" s="193"/>
      <c r="AV273" s="193"/>
      <c r="AW273" s="193"/>
      <c r="AX273" s="193"/>
      <c r="AY273" s="193"/>
      <c r="AZ273" s="193"/>
      <c r="BA273" s="917"/>
      <c r="BB273" s="193"/>
      <c r="BC273" s="193"/>
      <c r="BD273" s="193"/>
      <c r="BE273" s="193"/>
      <c r="BF273" s="193"/>
      <c r="BG273" s="193"/>
      <c r="BH273" s="193"/>
      <c r="BI273" s="193"/>
      <c r="BJ273" s="193"/>
      <c r="BK273" s="193"/>
      <c r="BL273" s="193"/>
      <c r="BM273" s="193"/>
      <c r="BN273" s="193"/>
      <c r="BO273" s="917"/>
      <c r="BP273" s="193"/>
      <c r="BQ273" s="193"/>
      <c r="BR273" s="193"/>
      <c r="BS273" s="193"/>
      <c r="BT273" s="193"/>
      <c r="BU273" s="193"/>
      <c r="BV273" s="193"/>
      <c r="BW273" s="193"/>
      <c r="BX273" s="193"/>
      <c r="BY273" s="193"/>
      <c r="BZ273" s="193"/>
      <c r="CA273" s="193"/>
      <c r="CB273" s="158"/>
      <c r="CC273" s="193"/>
      <c r="CD273" s="193"/>
      <c r="CE273" s="193"/>
      <c r="CL273" s="334"/>
      <c r="CS273" s="158"/>
      <c r="CT273" s="158"/>
      <c r="CU273" s="158"/>
      <c r="CV273" s="316"/>
      <c r="DC273" s="334"/>
      <c r="DI273" s="158"/>
      <c r="DJ273" s="316"/>
      <c r="DQ273" s="334"/>
      <c r="DW273" s="158"/>
      <c r="EE273" s="334"/>
      <c r="EK273" s="158"/>
      <c r="EY273" s="158"/>
    </row>
    <row r="274" spans="2:155" s="192" customFormat="1" ht="18" customHeight="1">
      <c r="B274" s="193"/>
      <c r="C274" s="193"/>
      <c r="D274" s="193"/>
      <c r="E274" s="194"/>
      <c r="F274" s="193"/>
      <c r="G274" s="193"/>
      <c r="H274" s="193"/>
      <c r="I274" s="193"/>
      <c r="J274" s="193"/>
      <c r="K274" s="193"/>
      <c r="L274" s="193"/>
      <c r="M274" s="193"/>
      <c r="N274" s="193"/>
      <c r="O274" s="193"/>
      <c r="P274" s="193"/>
      <c r="Q274" s="193"/>
      <c r="R274" s="193"/>
      <c r="S274" s="193"/>
      <c r="T274" s="193"/>
      <c r="U274" s="193"/>
      <c r="V274" s="193"/>
      <c r="W274" s="917"/>
      <c r="X274" s="193"/>
      <c r="Y274" s="193"/>
      <c r="Z274" s="193"/>
      <c r="AA274" s="193"/>
      <c r="AB274" s="193"/>
      <c r="AC274" s="193"/>
      <c r="AD274" s="193"/>
      <c r="AE274" s="193"/>
      <c r="AF274" s="193"/>
      <c r="AG274" s="193"/>
      <c r="AH274" s="193"/>
      <c r="AI274" s="193"/>
      <c r="AJ274" s="193"/>
      <c r="AK274" s="917"/>
      <c r="AL274" s="193"/>
      <c r="AM274" s="193"/>
      <c r="AN274" s="193"/>
      <c r="AO274" s="193"/>
      <c r="AP274" s="193"/>
      <c r="AQ274" s="193"/>
      <c r="AR274" s="193"/>
      <c r="AS274" s="193"/>
      <c r="AT274" s="193"/>
      <c r="AU274" s="193"/>
      <c r="AV274" s="193"/>
      <c r="AW274" s="193"/>
      <c r="AX274" s="193"/>
      <c r="AY274" s="193"/>
      <c r="AZ274" s="193"/>
      <c r="BA274" s="917"/>
      <c r="BB274" s="193"/>
      <c r="BC274" s="193"/>
      <c r="BD274" s="193"/>
      <c r="BE274" s="193"/>
      <c r="BF274" s="193"/>
      <c r="BG274" s="193"/>
      <c r="BH274" s="193"/>
      <c r="BI274" s="193"/>
      <c r="BJ274" s="193"/>
      <c r="BK274" s="193"/>
      <c r="BL274" s="193"/>
      <c r="BM274" s="193"/>
      <c r="BN274" s="193"/>
      <c r="BO274" s="917"/>
      <c r="BP274" s="193"/>
      <c r="BQ274" s="193"/>
      <c r="BR274" s="193"/>
      <c r="BS274" s="193"/>
      <c r="BT274" s="193"/>
      <c r="BU274" s="193"/>
      <c r="BV274" s="193"/>
      <c r="BW274" s="193"/>
      <c r="BX274" s="193"/>
      <c r="BY274" s="193"/>
      <c r="BZ274" s="193"/>
      <c r="CA274" s="193"/>
      <c r="CB274" s="158"/>
      <c r="CC274" s="193"/>
      <c r="CD274" s="193"/>
      <c r="CE274" s="193"/>
      <c r="CL274" s="334"/>
      <c r="CS274" s="158"/>
      <c r="CT274" s="158"/>
      <c r="CU274" s="158"/>
      <c r="CV274" s="316"/>
      <c r="DC274" s="334"/>
      <c r="DI274" s="158"/>
      <c r="DJ274" s="316"/>
      <c r="DQ274" s="334"/>
      <c r="DW274" s="158"/>
      <c r="EE274" s="334"/>
      <c r="EK274" s="158"/>
      <c r="EY274" s="158"/>
    </row>
    <row r="275" spans="2:155" s="192" customFormat="1" ht="18" customHeight="1">
      <c r="B275" s="193"/>
      <c r="C275" s="193"/>
      <c r="D275" s="193"/>
      <c r="E275" s="194"/>
      <c r="F275" s="193"/>
      <c r="G275" s="193"/>
      <c r="H275" s="193"/>
      <c r="I275" s="193"/>
      <c r="J275" s="193"/>
      <c r="K275" s="193"/>
      <c r="L275" s="193"/>
      <c r="M275" s="193"/>
      <c r="N275" s="193"/>
      <c r="O275" s="193"/>
      <c r="P275" s="193"/>
      <c r="Q275" s="193"/>
      <c r="R275" s="193"/>
      <c r="S275" s="193"/>
      <c r="T275" s="193"/>
      <c r="U275" s="193"/>
      <c r="V275" s="193"/>
      <c r="W275" s="917"/>
      <c r="X275" s="193"/>
      <c r="Y275" s="193"/>
      <c r="Z275" s="193"/>
      <c r="AA275" s="193"/>
      <c r="AB275" s="193"/>
      <c r="AC275" s="193"/>
      <c r="AD275" s="193"/>
      <c r="AE275" s="193"/>
      <c r="AF275" s="193"/>
      <c r="AG275" s="193"/>
      <c r="AH275" s="193"/>
      <c r="AI275" s="193"/>
      <c r="AJ275" s="193"/>
      <c r="AK275" s="917"/>
      <c r="AL275" s="193"/>
      <c r="AM275" s="193"/>
      <c r="AN275" s="193"/>
      <c r="AO275" s="193"/>
      <c r="AP275" s="193"/>
      <c r="AQ275" s="193"/>
      <c r="AR275" s="193"/>
      <c r="AS275" s="193"/>
      <c r="AT275" s="193"/>
      <c r="AU275" s="193"/>
      <c r="AV275" s="193"/>
      <c r="AW275" s="193"/>
      <c r="AX275" s="193"/>
      <c r="AY275" s="193"/>
      <c r="AZ275" s="193"/>
      <c r="BA275" s="917"/>
      <c r="BB275" s="193"/>
      <c r="BC275" s="193"/>
      <c r="BD275" s="193"/>
      <c r="BE275" s="193"/>
      <c r="BF275" s="193"/>
      <c r="BG275" s="193"/>
      <c r="BH275" s="193"/>
      <c r="BI275" s="193"/>
      <c r="BJ275" s="193"/>
      <c r="BK275" s="193"/>
      <c r="BL275" s="193"/>
      <c r="BM275" s="193"/>
      <c r="BN275" s="193"/>
      <c r="BO275" s="917"/>
      <c r="BP275" s="193"/>
      <c r="BQ275" s="193"/>
      <c r="BR275" s="193"/>
      <c r="BS275" s="193"/>
      <c r="BT275" s="193"/>
      <c r="BU275" s="193"/>
      <c r="BV275" s="193"/>
      <c r="BW275" s="193"/>
      <c r="BX275" s="193"/>
      <c r="BY275" s="193"/>
      <c r="BZ275" s="193"/>
      <c r="CA275" s="193"/>
      <c r="CB275" s="158"/>
      <c r="CC275" s="193"/>
      <c r="CD275" s="193"/>
      <c r="CE275" s="193"/>
      <c r="CL275" s="334"/>
      <c r="CS275" s="158"/>
      <c r="CT275" s="158"/>
      <c r="CU275" s="158"/>
      <c r="CV275" s="316"/>
      <c r="DC275" s="334"/>
      <c r="DI275" s="158"/>
      <c r="DJ275" s="316"/>
      <c r="DQ275" s="334"/>
      <c r="DW275" s="158"/>
      <c r="EE275" s="334"/>
      <c r="EK275" s="158"/>
      <c r="EY275" s="158"/>
    </row>
    <row r="276" spans="2:155" s="192" customFormat="1" ht="18" customHeight="1">
      <c r="B276" s="193"/>
      <c r="C276" s="193"/>
      <c r="D276" s="193"/>
      <c r="E276" s="194"/>
      <c r="F276" s="193"/>
      <c r="G276" s="193"/>
      <c r="H276" s="193"/>
      <c r="I276" s="193"/>
      <c r="J276" s="193"/>
      <c r="K276" s="193"/>
      <c r="L276" s="193"/>
      <c r="M276" s="193"/>
      <c r="N276" s="193"/>
      <c r="O276" s="193"/>
      <c r="P276" s="193"/>
      <c r="Q276" s="193"/>
      <c r="R276" s="193"/>
      <c r="S276" s="193"/>
      <c r="T276" s="193"/>
      <c r="U276" s="193"/>
      <c r="V276" s="193"/>
      <c r="W276" s="917"/>
      <c r="X276" s="193"/>
      <c r="Y276" s="193"/>
      <c r="Z276" s="193"/>
      <c r="AA276" s="193"/>
      <c r="AB276" s="193"/>
      <c r="AC276" s="193"/>
      <c r="AD276" s="193"/>
      <c r="AE276" s="193"/>
      <c r="AF276" s="193"/>
      <c r="AG276" s="193"/>
      <c r="AH276" s="193"/>
      <c r="AI276" s="193"/>
      <c r="AJ276" s="193"/>
      <c r="AK276" s="917"/>
      <c r="AL276" s="193"/>
      <c r="AM276" s="193"/>
      <c r="AN276" s="193"/>
      <c r="AO276" s="193"/>
      <c r="AP276" s="193"/>
      <c r="AQ276" s="193"/>
      <c r="AR276" s="193"/>
      <c r="AS276" s="193"/>
      <c r="AT276" s="193"/>
      <c r="AU276" s="193"/>
      <c r="AV276" s="193"/>
      <c r="AW276" s="193"/>
      <c r="AX276" s="193"/>
      <c r="AY276" s="193"/>
      <c r="AZ276" s="193"/>
      <c r="BA276" s="917"/>
      <c r="BB276" s="193"/>
      <c r="BC276" s="193"/>
      <c r="BD276" s="193"/>
      <c r="BE276" s="193"/>
      <c r="BF276" s="193"/>
      <c r="BG276" s="193"/>
      <c r="BH276" s="193"/>
      <c r="BI276" s="193"/>
      <c r="BJ276" s="193"/>
      <c r="BK276" s="193"/>
      <c r="BL276" s="193"/>
      <c r="BM276" s="193"/>
      <c r="BN276" s="193"/>
      <c r="BO276" s="917"/>
      <c r="BP276" s="193"/>
      <c r="BQ276" s="193"/>
      <c r="BR276" s="193"/>
      <c r="BS276" s="193"/>
      <c r="BT276" s="193"/>
      <c r="BU276" s="193"/>
      <c r="BV276" s="193"/>
      <c r="BW276" s="193"/>
      <c r="BX276" s="193"/>
      <c r="BY276" s="193"/>
      <c r="BZ276" s="193"/>
      <c r="CA276" s="193"/>
      <c r="CB276" s="158"/>
      <c r="CC276" s="193"/>
      <c r="CD276" s="193"/>
      <c r="CE276" s="193"/>
      <c r="CL276" s="334"/>
      <c r="CS276" s="158"/>
      <c r="CT276" s="158"/>
      <c r="CU276" s="158"/>
      <c r="CV276" s="316"/>
      <c r="DC276" s="334"/>
      <c r="DI276" s="158"/>
      <c r="DJ276" s="316"/>
      <c r="DQ276" s="334"/>
      <c r="DW276" s="158"/>
      <c r="EE276" s="334"/>
      <c r="EK276" s="158"/>
      <c r="EY276" s="158"/>
    </row>
    <row r="277" spans="2:155" s="192" customFormat="1" ht="18" customHeight="1">
      <c r="B277" s="193"/>
      <c r="C277" s="193"/>
      <c r="D277" s="193"/>
      <c r="E277" s="194"/>
      <c r="F277" s="193"/>
      <c r="G277" s="193"/>
      <c r="H277" s="193"/>
      <c r="I277" s="193"/>
      <c r="J277" s="193"/>
      <c r="K277" s="193"/>
      <c r="L277" s="193"/>
      <c r="M277" s="193"/>
      <c r="N277" s="193"/>
      <c r="O277" s="193"/>
      <c r="P277" s="193"/>
      <c r="Q277" s="193"/>
      <c r="R277" s="193"/>
      <c r="S277" s="193"/>
      <c r="T277" s="193"/>
      <c r="U277" s="193"/>
      <c r="V277" s="193"/>
      <c r="W277" s="917"/>
      <c r="X277" s="193"/>
      <c r="Y277" s="193"/>
      <c r="Z277" s="193"/>
      <c r="AA277" s="193"/>
      <c r="AB277" s="193"/>
      <c r="AC277" s="193"/>
      <c r="AD277" s="193"/>
      <c r="AE277" s="193"/>
      <c r="AF277" s="193"/>
      <c r="AG277" s="193"/>
      <c r="AH277" s="193"/>
      <c r="AI277" s="193"/>
      <c r="AJ277" s="193"/>
      <c r="AK277" s="917"/>
      <c r="AL277" s="193"/>
      <c r="AM277" s="193"/>
      <c r="AN277" s="193"/>
      <c r="AO277" s="193"/>
      <c r="AP277" s="193"/>
      <c r="AQ277" s="193"/>
      <c r="AR277" s="193"/>
      <c r="AS277" s="193"/>
      <c r="AT277" s="193"/>
      <c r="AU277" s="193"/>
      <c r="AV277" s="193"/>
      <c r="AW277" s="193"/>
      <c r="AX277" s="193"/>
      <c r="AY277" s="193"/>
      <c r="AZ277" s="193"/>
      <c r="BA277" s="917"/>
      <c r="BB277" s="193"/>
      <c r="BC277" s="193"/>
      <c r="BD277" s="193"/>
      <c r="BE277" s="193"/>
      <c r="BF277" s="193"/>
      <c r="BG277" s="193"/>
      <c r="BH277" s="193"/>
      <c r="BI277" s="193"/>
      <c r="BJ277" s="193"/>
      <c r="BK277" s="193"/>
      <c r="BL277" s="193"/>
      <c r="BM277" s="193"/>
      <c r="BN277" s="193"/>
      <c r="BO277" s="917"/>
      <c r="BP277" s="193"/>
      <c r="BQ277" s="193"/>
      <c r="BR277" s="193"/>
      <c r="BS277" s="193"/>
      <c r="BT277" s="193"/>
      <c r="BU277" s="193"/>
      <c r="BV277" s="193"/>
      <c r="BW277" s="193"/>
      <c r="BX277" s="193"/>
      <c r="BY277" s="193"/>
      <c r="BZ277" s="193"/>
      <c r="CA277" s="193"/>
      <c r="CB277" s="158"/>
      <c r="CC277" s="193"/>
      <c r="CD277" s="193"/>
      <c r="CE277" s="193"/>
      <c r="CL277" s="334"/>
      <c r="CS277" s="158"/>
      <c r="CT277" s="158"/>
      <c r="CU277" s="158"/>
      <c r="CV277" s="316"/>
      <c r="DC277" s="334"/>
      <c r="DI277" s="158"/>
      <c r="DJ277" s="316"/>
      <c r="DQ277" s="334"/>
      <c r="DW277" s="158"/>
      <c r="EE277" s="334"/>
      <c r="EK277" s="158"/>
      <c r="EY277" s="158"/>
    </row>
    <row r="278" spans="2:155" s="192" customFormat="1" ht="18" customHeight="1">
      <c r="B278" s="193"/>
      <c r="C278" s="193"/>
      <c r="D278" s="193"/>
      <c r="E278" s="194"/>
      <c r="F278" s="193"/>
      <c r="G278" s="193"/>
      <c r="H278" s="193"/>
      <c r="I278" s="193"/>
      <c r="J278" s="193"/>
      <c r="K278" s="193"/>
      <c r="L278" s="193"/>
      <c r="M278" s="193"/>
      <c r="N278" s="193"/>
      <c r="O278" s="193"/>
      <c r="P278" s="193"/>
      <c r="Q278" s="193"/>
      <c r="R278" s="193"/>
      <c r="S278" s="193"/>
      <c r="T278" s="193"/>
      <c r="U278" s="193"/>
      <c r="V278" s="193"/>
      <c r="W278" s="917"/>
      <c r="X278" s="193"/>
      <c r="Y278" s="193"/>
      <c r="Z278" s="193"/>
      <c r="AA278" s="193"/>
      <c r="AB278" s="193"/>
      <c r="AC278" s="193"/>
      <c r="AD278" s="193"/>
      <c r="AE278" s="193"/>
      <c r="AF278" s="193"/>
      <c r="AG278" s="193"/>
      <c r="AH278" s="193"/>
      <c r="AI278" s="193"/>
      <c r="AJ278" s="193"/>
      <c r="AK278" s="917"/>
      <c r="AL278" s="193"/>
      <c r="AM278" s="193"/>
      <c r="AN278" s="193"/>
      <c r="AO278" s="193"/>
      <c r="AP278" s="193"/>
      <c r="AQ278" s="193"/>
      <c r="AR278" s="193"/>
      <c r="AS278" s="193"/>
      <c r="AT278" s="193"/>
      <c r="AU278" s="193"/>
      <c r="AV278" s="193"/>
      <c r="AW278" s="193"/>
      <c r="AX278" s="193"/>
      <c r="AY278" s="193"/>
      <c r="AZ278" s="193"/>
      <c r="BA278" s="917"/>
      <c r="BB278" s="193"/>
      <c r="BC278" s="193"/>
      <c r="BD278" s="193"/>
      <c r="BE278" s="193"/>
      <c r="BF278" s="193"/>
      <c r="BG278" s="193"/>
      <c r="BH278" s="193"/>
      <c r="BI278" s="193"/>
      <c r="BJ278" s="193"/>
      <c r="BK278" s="193"/>
      <c r="BL278" s="193"/>
      <c r="BM278" s="193"/>
      <c r="BN278" s="193"/>
      <c r="BO278" s="917"/>
      <c r="BP278" s="193"/>
      <c r="BQ278" s="193"/>
      <c r="BR278" s="193"/>
      <c r="BS278" s="193"/>
      <c r="BT278" s="193"/>
      <c r="BU278" s="193"/>
      <c r="BV278" s="193"/>
      <c r="BW278" s="193"/>
      <c r="BX278" s="193"/>
      <c r="BY278" s="193"/>
      <c r="BZ278" s="193"/>
      <c r="CA278" s="193"/>
      <c r="CB278" s="158"/>
      <c r="CC278" s="193"/>
      <c r="CD278" s="193"/>
      <c r="CE278" s="193"/>
      <c r="CL278" s="334"/>
      <c r="CS278" s="158"/>
      <c r="CT278" s="158"/>
      <c r="CU278" s="158"/>
      <c r="CV278" s="316"/>
      <c r="DC278" s="334"/>
      <c r="DI278" s="158"/>
      <c r="DJ278" s="316"/>
      <c r="DQ278" s="334"/>
      <c r="DW278" s="158"/>
      <c r="EE278" s="334"/>
      <c r="EK278" s="158"/>
      <c r="EY278" s="158"/>
    </row>
    <row r="279" spans="2:155" s="192" customFormat="1" ht="18" customHeight="1">
      <c r="B279" s="193"/>
      <c r="C279" s="193"/>
      <c r="D279" s="193"/>
      <c r="E279" s="194"/>
      <c r="F279" s="193"/>
      <c r="G279" s="193"/>
      <c r="H279" s="193"/>
      <c r="I279" s="193"/>
      <c r="J279" s="193"/>
      <c r="K279" s="193"/>
      <c r="L279" s="193"/>
      <c r="M279" s="193"/>
      <c r="N279" s="193"/>
      <c r="O279" s="193"/>
      <c r="P279" s="193"/>
      <c r="Q279" s="193"/>
      <c r="R279" s="193"/>
      <c r="S279" s="193"/>
      <c r="T279" s="193"/>
      <c r="U279" s="193"/>
      <c r="V279" s="193"/>
      <c r="W279" s="917"/>
      <c r="X279" s="193"/>
      <c r="Y279" s="193"/>
      <c r="Z279" s="193"/>
      <c r="AA279" s="193"/>
      <c r="AB279" s="193"/>
      <c r="AC279" s="193"/>
      <c r="AD279" s="193"/>
      <c r="AE279" s="193"/>
      <c r="AF279" s="193"/>
      <c r="AG279" s="193"/>
      <c r="AH279" s="193"/>
      <c r="AI279" s="193"/>
      <c r="AJ279" s="193"/>
      <c r="AK279" s="917"/>
      <c r="AL279" s="193"/>
      <c r="AM279" s="193"/>
      <c r="AN279" s="193"/>
      <c r="AO279" s="193"/>
      <c r="AP279" s="193"/>
      <c r="AQ279" s="193"/>
      <c r="AR279" s="193"/>
      <c r="AS279" s="193"/>
      <c r="AT279" s="193"/>
      <c r="AU279" s="193"/>
      <c r="AV279" s="193"/>
      <c r="AW279" s="193"/>
      <c r="AX279" s="193"/>
      <c r="AY279" s="193"/>
      <c r="AZ279" s="193"/>
      <c r="BA279" s="917"/>
      <c r="BB279" s="193"/>
      <c r="BC279" s="193"/>
      <c r="BD279" s="193"/>
      <c r="BE279" s="193"/>
      <c r="BF279" s="193"/>
      <c r="BG279" s="193"/>
      <c r="BH279" s="193"/>
      <c r="BI279" s="193"/>
      <c r="BJ279" s="193"/>
      <c r="BK279" s="193"/>
      <c r="BL279" s="193"/>
      <c r="BM279" s="193"/>
      <c r="BN279" s="193"/>
      <c r="BO279" s="917"/>
      <c r="BP279" s="193"/>
      <c r="BQ279" s="193"/>
      <c r="BR279" s="193"/>
      <c r="BS279" s="193"/>
      <c r="BT279" s="193"/>
      <c r="BU279" s="193"/>
      <c r="BV279" s="193"/>
      <c r="BW279" s="193"/>
      <c r="BX279" s="193"/>
      <c r="BY279" s="193"/>
      <c r="BZ279" s="193"/>
      <c r="CA279" s="193"/>
      <c r="CB279" s="158"/>
      <c r="CC279" s="193"/>
      <c r="CD279" s="193"/>
      <c r="CE279" s="193"/>
      <c r="CL279" s="334"/>
      <c r="CS279" s="158"/>
      <c r="CT279" s="158"/>
      <c r="CU279" s="158"/>
      <c r="CV279" s="316"/>
      <c r="DC279" s="334"/>
      <c r="DI279" s="158"/>
      <c r="DJ279" s="316"/>
      <c r="DQ279" s="334"/>
      <c r="DW279" s="158"/>
      <c r="EE279" s="334"/>
      <c r="EK279" s="158"/>
      <c r="EY279" s="158"/>
    </row>
    <row r="280" spans="2:155" s="192" customFormat="1" ht="18" customHeight="1">
      <c r="B280" s="193"/>
      <c r="C280" s="193"/>
      <c r="D280" s="193"/>
      <c r="E280" s="194"/>
      <c r="F280" s="193"/>
      <c r="G280" s="193"/>
      <c r="H280" s="193"/>
      <c r="I280" s="193"/>
      <c r="J280" s="193"/>
      <c r="K280" s="193"/>
      <c r="L280" s="193"/>
      <c r="M280" s="193"/>
      <c r="N280" s="193"/>
      <c r="O280" s="193"/>
      <c r="P280" s="193"/>
      <c r="Q280" s="193"/>
      <c r="R280" s="193"/>
      <c r="S280" s="193"/>
      <c r="T280" s="193"/>
      <c r="U280" s="193"/>
      <c r="V280" s="193"/>
      <c r="W280" s="917"/>
      <c r="X280" s="193"/>
      <c r="Y280" s="193"/>
      <c r="Z280" s="193"/>
      <c r="AA280" s="193"/>
      <c r="AB280" s="193"/>
      <c r="AC280" s="193"/>
      <c r="AD280" s="193"/>
      <c r="AE280" s="193"/>
      <c r="AF280" s="193"/>
      <c r="AG280" s="193"/>
      <c r="AH280" s="193"/>
      <c r="AI280" s="193"/>
      <c r="AJ280" s="193"/>
      <c r="AK280" s="917"/>
      <c r="AL280" s="193"/>
      <c r="AM280" s="193"/>
      <c r="AN280" s="193"/>
      <c r="AO280" s="193"/>
      <c r="AP280" s="193"/>
      <c r="AQ280" s="193"/>
      <c r="AR280" s="193"/>
      <c r="AS280" s="193"/>
      <c r="AT280" s="193"/>
      <c r="AU280" s="193"/>
      <c r="AV280" s="193"/>
      <c r="AW280" s="193"/>
      <c r="AX280" s="193"/>
      <c r="AY280" s="193"/>
      <c r="AZ280" s="193"/>
      <c r="BA280" s="917"/>
      <c r="BB280" s="193"/>
      <c r="BC280" s="193"/>
      <c r="BD280" s="193"/>
      <c r="BE280" s="193"/>
      <c r="BF280" s="193"/>
      <c r="BG280" s="193"/>
      <c r="BH280" s="193"/>
      <c r="BI280" s="193"/>
      <c r="BJ280" s="193"/>
      <c r="BK280" s="193"/>
      <c r="BL280" s="193"/>
      <c r="BM280" s="193"/>
      <c r="BN280" s="193"/>
      <c r="BO280" s="917"/>
      <c r="BP280" s="193"/>
      <c r="BQ280" s="193"/>
      <c r="BR280" s="193"/>
      <c r="BS280" s="193"/>
      <c r="BT280" s="193"/>
      <c r="BU280" s="193"/>
      <c r="BV280" s="193"/>
      <c r="BW280" s="193"/>
      <c r="BX280" s="193"/>
      <c r="BY280" s="193"/>
      <c r="BZ280" s="193"/>
      <c r="CA280" s="193"/>
      <c r="CB280" s="158"/>
      <c r="CC280" s="193"/>
      <c r="CD280" s="193"/>
      <c r="CE280" s="193"/>
      <c r="CL280" s="334"/>
      <c r="CS280" s="158"/>
      <c r="CT280" s="158"/>
      <c r="CU280" s="158"/>
      <c r="CV280" s="316"/>
      <c r="DC280" s="334"/>
      <c r="DI280" s="158"/>
      <c r="DJ280" s="316"/>
      <c r="DQ280" s="334"/>
      <c r="DW280" s="158"/>
      <c r="EE280" s="334"/>
      <c r="EK280" s="158"/>
      <c r="EY280" s="158"/>
    </row>
    <row r="281" spans="2:155" s="192" customFormat="1" ht="18" customHeight="1">
      <c r="B281" s="193"/>
      <c r="C281" s="193"/>
      <c r="D281" s="193"/>
      <c r="E281" s="194"/>
      <c r="F281" s="193"/>
      <c r="G281" s="193"/>
      <c r="H281" s="193"/>
      <c r="I281" s="193"/>
      <c r="J281" s="193"/>
      <c r="K281" s="193"/>
      <c r="L281" s="193"/>
      <c r="M281" s="193"/>
      <c r="N281" s="193"/>
      <c r="O281" s="193"/>
      <c r="P281" s="193"/>
      <c r="Q281" s="193"/>
      <c r="R281" s="193"/>
      <c r="S281" s="193"/>
      <c r="T281" s="193"/>
      <c r="U281" s="193"/>
      <c r="V281" s="193"/>
      <c r="W281" s="917"/>
      <c r="X281" s="193"/>
      <c r="Y281" s="193"/>
      <c r="Z281" s="193"/>
      <c r="AA281" s="193"/>
      <c r="AB281" s="193"/>
      <c r="AC281" s="193"/>
      <c r="AD281" s="193"/>
      <c r="AE281" s="193"/>
      <c r="AF281" s="193"/>
      <c r="AG281" s="193"/>
      <c r="AH281" s="193"/>
      <c r="AI281" s="193"/>
      <c r="AJ281" s="193"/>
      <c r="AK281" s="917"/>
      <c r="AL281" s="193"/>
      <c r="AM281" s="193"/>
      <c r="AN281" s="193"/>
      <c r="AO281" s="193"/>
      <c r="AP281" s="193"/>
      <c r="AQ281" s="193"/>
      <c r="AR281" s="193"/>
      <c r="AS281" s="193"/>
      <c r="AT281" s="193"/>
      <c r="AU281" s="193"/>
      <c r="AV281" s="193"/>
      <c r="AW281" s="193"/>
      <c r="AX281" s="193"/>
      <c r="AY281" s="193"/>
      <c r="AZ281" s="193"/>
      <c r="BA281" s="917"/>
      <c r="BB281" s="193"/>
      <c r="BC281" s="193"/>
      <c r="BD281" s="193"/>
      <c r="BE281" s="193"/>
      <c r="BF281" s="193"/>
      <c r="BG281" s="193"/>
      <c r="BH281" s="193"/>
      <c r="BI281" s="193"/>
      <c r="BJ281" s="193"/>
      <c r="BK281" s="193"/>
      <c r="BL281" s="193"/>
      <c r="BM281" s="193"/>
      <c r="BN281" s="193"/>
      <c r="BO281" s="917"/>
      <c r="BP281" s="193"/>
      <c r="BQ281" s="193"/>
      <c r="BR281" s="193"/>
      <c r="BS281" s="193"/>
      <c r="BT281" s="193"/>
      <c r="BU281" s="193"/>
      <c r="BV281" s="193"/>
      <c r="BW281" s="193"/>
      <c r="BX281" s="193"/>
      <c r="BY281" s="193"/>
      <c r="BZ281" s="193"/>
      <c r="CA281" s="193"/>
      <c r="CB281" s="158"/>
      <c r="CC281" s="193"/>
      <c r="CD281" s="193"/>
      <c r="CE281" s="193"/>
      <c r="CL281" s="334"/>
      <c r="CS281" s="158"/>
      <c r="CT281" s="158"/>
      <c r="CU281" s="158"/>
      <c r="CV281" s="316"/>
      <c r="DC281" s="334"/>
      <c r="DI281" s="158"/>
      <c r="DJ281" s="316"/>
      <c r="DQ281" s="334"/>
      <c r="DW281" s="158"/>
      <c r="EE281" s="334"/>
      <c r="EK281" s="158"/>
      <c r="EY281" s="158"/>
    </row>
    <row r="282" spans="2:155" s="192" customFormat="1" ht="18" customHeight="1">
      <c r="B282" s="193"/>
      <c r="C282" s="193"/>
      <c r="D282" s="193"/>
      <c r="E282" s="194"/>
      <c r="F282" s="193"/>
      <c r="G282" s="193"/>
      <c r="H282" s="193"/>
      <c r="I282" s="193"/>
      <c r="J282" s="193"/>
      <c r="K282" s="193"/>
      <c r="L282" s="193"/>
      <c r="M282" s="193"/>
      <c r="N282" s="193"/>
      <c r="O282" s="193"/>
      <c r="P282" s="193"/>
      <c r="Q282" s="193"/>
      <c r="R282" s="193"/>
      <c r="S282" s="193"/>
      <c r="T282" s="193"/>
      <c r="U282" s="193"/>
      <c r="V282" s="193"/>
      <c r="W282" s="917"/>
      <c r="X282" s="193"/>
      <c r="Y282" s="193"/>
      <c r="Z282" s="193"/>
      <c r="AA282" s="193"/>
      <c r="AB282" s="193"/>
      <c r="AC282" s="193"/>
      <c r="AD282" s="193"/>
      <c r="AE282" s="193"/>
      <c r="AF282" s="193"/>
      <c r="AG282" s="193"/>
      <c r="AH282" s="193"/>
      <c r="AI282" s="193"/>
      <c r="AJ282" s="193"/>
      <c r="AK282" s="917"/>
      <c r="AL282" s="193"/>
      <c r="AM282" s="193"/>
      <c r="AN282" s="193"/>
      <c r="AO282" s="193"/>
      <c r="AP282" s="193"/>
      <c r="AQ282" s="193"/>
      <c r="AR282" s="193"/>
      <c r="AS282" s="193"/>
      <c r="AT282" s="193"/>
      <c r="AU282" s="193"/>
      <c r="AV282" s="193"/>
      <c r="AW282" s="193"/>
      <c r="AX282" s="193"/>
      <c r="AY282" s="193"/>
      <c r="AZ282" s="193"/>
      <c r="BA282" s="917"/>
      <c r="BB282" s="193"/>
      <c r="BC282" s="193"/>
      <c r="BD282" s="193"/>
      <c r="BE282" s="193"/>
      <c r="BF282" s="193"/>
      <c r="BG282" s="193"/>
      <c r="BH282" s="193"/>
      <c r="BI282" s="193"/>
      <c r="BJ282" s="193"/>
      <c r="BK282" s="193"/>
      <c r="BL282" s="193"/>
      <c r="BM282" s="193"/>
      <c r="BN282" s="193"/>
      <c r="BO282" s="917"/>
      <c r="BP282" s="193"/>
      <c r="BQ282" s="193"/>
      <c r="BR282" s="193"/>
      <c r="BS282" s="193"/>
      <c r="BT282" s="193"/>
      <c r="BU282" s="193"/>
      <c r="BV282" s="193"/>
      <c r="BW282" s="193"/>
      <c r="BX282" s="193"/>
      <c r="BY282" s="193"/>
      <c r="BZ282" s="193"/>
      <c r="CA282" s="193"/>
      <c r="CB282" s="158"/>
      <c r="CC282" s="193"/>
      <c r="CD282" s="193"/>
      <c r="CE282" s="193"/>
      <c r="CL282" s="334"/>
      <c r="CS282" s="158"/>
      <c r="CT282" s="158"/>
      <c r="CU282" s="158"/>
      <c r="CV282" s="316"/>
      <c r="DC282" s="334"/>
      <c r="DI282" s="158"/>
      <c r="DJ282" s="316"/>
      <c r="DQ282" s="334"/>
      <c r="DW282" s="158"/>
      <c r="EE282" s="334"/>
      <c r="EK282" s="158"/>
      <c r="EY282" s="158"/>
    </row>
    <row r="283" spans="2:155" s="192" customFormat="1" ht="18" customHeight="1">
      <c r="B283" s="193"/>
      <c r="C283" s="193"/>
      <c r="D283" s="193"/>
      <c r="E283" s="194"/>
      <c r="F283" s="193"/>
      <c r="G283" s="193"/>
      <c r="H283" s="193"/>
      <c r="I283" s="193"/>
      <c r="J283" s="193"/>
      <c r="K283" s="193"/>
      <c r="L283" s="193"/>
      <c r="M283" s="193"/>
      <c r="N283" s="193"/>
      <c r="O283" s="193"/>
      <c r="P283" s="193"/>
      <c r="Q283" s="193"/>
      <c r="R283" s="193"/>
      <c r="S283" s="193"/>
      <c r="T283" s="193"/>
      <c r="U283" s="193"/>
      <c r="V283" s="193"/>
      <c r="W283" s="917"/>
      <c r="X283" s="193"/>
      <c r="Y283" s="193"/>
      <c r="Z283" s="193"/>
      <c r="AA283" s="193"/>
      <c r="AB283" s="193"/>
      <c r="AC283" s="193"/>
      <c r="AD283" s="193"/>
      <c r="AE283" s="193"/>
      <c r="AF283" s="193"/>
      <c r="AG283" s="193"/>
      <c r="AH283" s="193"/>
      <c r="AI283" s="193"/>
      <c r="AJ283" s="193"/>
      <c r="AK283" s="917"/>
      <c r="AL283" s="193"/>
      <c r="AM283" s="193"/>
      <c r="AN283" s="193"/>
      <c r="AO283" s="193"/>
      <c r="AP283" s="193"/>
      <c r="AQ283" s="193"/>
      <c r="AR283" s="193"/>
      <c r="AS283" s="193"/>
      <c r="AT283" s="193"/>
      <c r="AU283" s="193"/>
      <c r="AV283" s="193"/>
      <c r="AW283" s="193"/>
      <c r="AX283" s="193"/>
      <c r="AY283" s="193"/>
      <c r="AZ283" s="193"/>
      <c r="BA283" s="917"/>
      <c r="BB283" s="193"/>
      <c r="BC283" s="193"/>
      <c r="BD283" s="193"/>
      <c r="BE283" s="193"/>
      <c r="BF283" s="193"/>
      <c r="BG283" s="193"/>
      <c r="BH283" s="193"/>
      <c r="BI283" s="193"/>
      <c r="BJ283" s="193"/>
      <c r="BK283" s="193"/>
      <c r="BL283" s="193"/>
      <c r="BM283" s="193"/>
      <c r="BN283" s="193"/>
      <c r="BO283" s="917"/>
      <c r="BP283" s="193"/>
      <c r="BQ283" s="193"/>
      <c r="BR283" s="193"/>
      <c r="BS283" s="193"/>
      <c r="BT283" s="193"/>
      <c r="BU283" s="193"/>
      <c r="BV283" s="193"/>
      <c r="BW283" s="193"/>
      <c r="BX283" s="193"/>
      <c r="BY283" s="193"/>
      <c r="BZ283" s="193"/>
      <c r="CA283" s="193"/>
      <c r="CB283" s="158"/>
      <c r="CC283" s="193"/>
      <c r="CD283" s="193"/>
      <c r="CE283" s="193"/>
      <c r="CL283" s="334"/>
      <c r="CS283" s="158"/>
      <c r="CT283" s="158"/>
      <c r="CU283" s="158"/>
      <c r="CV283" s="316"/>
      <c r="DC283" s="334"/>
      <c r="DI283" s="158"/>
      <c r="DJ283" s="316"/>
      <c r="DQ283" s="334"/>
      <c r="DW283" s="158"/>
      <c r="EE283" s="334"/>
      <c r="EK283" s="158"/>
      <c r="EY283" s="158"/>
    </row>
    <row r="284" spans="2:155" s="192" customFormat="1" ht="18" customHeight="1">
      <c r="B284" s="193"/>
      <c r="C284" s="193"/>
      <c r="D284" s="193"/>
      <c r="E284" s="194"/>
      <c r="F284" s="193"/>
      <c r="G284" s="193"/>
      <c r="H284" s="193"/>
      <c r="I284" s="193"/>
      <c r="J284" s="193"/>
      <c r="K284" s="193"/>
      <c r="L284" s="193"/>
      <c r="M284" s="193"/>
      <c r="N284" s="193"/>
      <c r="O284" s="193"/>
      <c r="P284" s="193"/>
      <c r="Q284" s="193"/>
      <c r="R284" s="193"/>
      <c r="S284" s="193"/>
      <c r="T284" s="193"/>
      <c r="U284" s="193"/>
      <c r="V284" s="193"/>
      <c r="W284" s="917"/>
      <c r="X284" s="193"/>
      <c r="Y284" s="193"/>
      <c r="Z284" s="193"/>
      <c r="AA284" s="193"/>
      <c r="AB284" s="193"/>
      <c r="AC284" s="193"/>
      <c r="AD284" s="193"/>
      <c r="AE284" s="193"/>
      <c r="AF284" s="193"/>
      <c r="AG284" s="193"/>
      <c r="AH284" s="193"/>
      <c r="AI284" s="193"/>
      <c r="AJ284" s="193"/>
      <c r="AK284" s="917"/>
      <c r="AL284" s="193"/>
      <c r="AM284" s="193"/>
      <c r="AN284" s="193"/>
      <c r="AO284" s="193"/>
      <c r="AP284" s="193"/>
      <c r="AQ284" s="193"/>
      <c r="AR284" s="193"/>
      <c r="AS284" s="193"/>
      <c r="AT284" s="193"/>
      <c r="AU284" s="193"/>
      <c r="AV284" s="193"/>
      <c r="AW284" s="193"/>
      <c r="AX284" s="193"/>
      <c r="AY284" s="193"/>
      <c r="AZ284" s="193"/>
      <c r="BA284" s="917"/>
      <c r="BB284" s="193"/>
      <c r="BC284" s="193"/>
      <c r="BD284" s="193"/>
      <c r="BE284" s="193"/>
      <c r="BF284" s="193"/>
      <c r="BG284" s="193"/>
      <c r="BH284" s="193"/>
      <c r="BI284" s="193"/>
      <c r="BJ284" s="193"/>
      <c r="BK284" s="193"/>
      <c r="BL284" s="193"/>
      <c r="BM284" s="193"/>
      <c r="BN284" s="193"/>
      <c r="BO284" s="917"/>
      <c r="BP284" s="193"/>
      <c r="BQ284" s="193"/>
      <c r="BR284" s="193"/>
      <c r="BS284" s="193"/>
      <c r="BT284" s="193"/>
      <c r="BU284" s="193"/>
      <c r="BV284" s="193"/>
      <c r="BW284" s="193"/>
      <c r="BX284" s="193"/>
      <c r="BY284" s="193"/>
      <c r="BZ284" s="193"/>
      <c r="CA284" s="193"/>
      <c r="CB284" s="158"/>
      <c r="CC284" s="193"/>
      <c r="CD284" s="193"/>
      <c r="CE284" s="193"/>
      <c r="CL284" s="334"/>
      <c r="CS284" s="158"/>
      <c r="CT284" s="158"/>
      <c r="CU284" s="158"/>
      <c r="CV284" s="316"/>
      <c r="DC284" s="334"/>
      <c r="DI284" s="158"/>
      <c r="DJ284" s="316"/>
      <c r="DQ284" s="334"/>
      <c r="DW284" s="158"/>
      <c r="EE284" s="334"/>
      <c r="EK284" s="158"/>
      <c r="EY284" s="158"/>
    </row>
    <row r="285" spans="2:155" s="192" customFormat="1" ht="18" customHeight="1">
      <c r="B285" s="193"/>
      <c r="C285" s="193"/>
      <c r="D285" s="193"/>
      <c r="E285" s="194"/>
      <c r="F285" s="193"/>
      <c r="G285" s="193"/>
      <c r="H285" s="193"/>
      <c r="I285" s="193"/>
      <c r="J285" s="193"/>
      <c r="K285" s="193"/>
      <c r="L285" s="193"/>
      <c r="M285" s="193"/>
      <c r="N285" s="193"/>
      <c r="O285" s="193"/>
      <c r="P285" s="193"/>
      <c r="Q285" s="193"/>
      <c r="R285" s="193"/>
      <c r="S285" s="193"/>
      <c r="T285" s="193"/>
      <c r="U285" s="193"/>
      <c r="V285" s="193"/>
      <c r="W285" s="917"/>
      <c r="X285" s="193"/>
      <c r="Y285" s="193"/>
      <c r="Z285" s="193"/>
      <c r="AA285" s="193"/>
      <c r="AB285" s="193"/>
      <c r="AC285" s="193"/>
      <c r="AD285" s="193"/>
      <c r="AE285" s="193"/>
      <c r="AF285" s="193"/>
      <c r="AG285" s="193"/>
      <c r="AH285" s="193"/>
      <c r="AI285" s="193"/>
      <c r="AJ285" s="193"/>
      <c r="AK285" s="917"/>
      <c r="AL285" s="193"/>
      <c r="AM285" s="193"/>
      <c r="AN285" s="193"/>
      <c r="AO285" s="193"/>
      <c r="AP285" s="193"/>
      <c r="AQ285" s="193"/>
      <c r="AR285" s="193"/>
      <c r="AS285" s="193"/>
      <c r="AT285" s="193"/>
      <c r="AU285" s="193"/>
      <c r="AV285" s="193"/>
      <c r="AW285" s="193"/>
      <c r="AX285" s="193"/>
      <c r="AY285" s="193"/>
      <c r="AZ285" s="193"/>
      <c r="BA285" s="917"/>
      <c r="BB285" s="193"/>
      <c r="BC285" s="193"/>
      <c r="BD285" s="193"/>
      <c r="BE285" s="193"/>
      <c r="BF285" s="193"/>
      <c r="BG285" s="193"/>
      <c r="BH285" s="193"/>
      <c r="BI285" s="193"/>
      <c r="BJ285" s="193"/>
      <c r="BK285" s="193"/>
      <c r="BL285" s="193"/>
      <c r="BM285" s="193"/>
      <c r="BN285" s="193"/>
      <c r="BO285" s="917"/>
      <c r="BP285" s="193"/>
      <c r="BQ285" s="193"/>
      <c r="BR285" s="193"/>
      <c r="BS285" s="193"/>
      <c r="BT285" s="193"/>
      <c r="BU285" s="193"/>
      <c r="BV285" s="193"/>
      <c r="BW285" s="193"/>
      <c r="BX285" s="193"/>
      <c r="BY285" s="193"/>
      <c r="BZ285" s="193"/>
      <c r="CA285" s="193"/>
      <c r="CB285" s="158"/>
      <c r="CC285" s="193"/>
      <c r="CD285" s="193"/>
      <c r="CE285" s="193"/>
      <c r="CL285" s="334"/>
      <c r="CS285" s="158"/>
      <c r="CT285" s="158"/>
      <c r="CU285" s="158"/>
      <c r="CV285" s="316"/>
      <c r="DC285" s="334"/>
      <c r="DI285" s="158"/>
      <c r="DJ285" s="316"/>
      <c r="DQ285" s="334"/>
      <c r="DW285" s="158"/>
      <c r="EE285" s="334"/>
      <c r="EK285" s="158"/>
      <c r="EY285" s="158"/>
    </row>
    <row r="286" spans="2:155" s="192" customFormat="1" ht="18" customHeight="1">
      <c r="B286" s="193"/>
      <c r="C286" s="193"/>
      <c r="D286" s="193"/>
      <c r="E286" s="194"/>
      <c r="F286" s="193"/>
      <c r="G286" s="193"/>
      <c r="H286" s="193"/>
      <c r="I286" s="193"/>
      <c r="J286" s="193"/>
      <c r="K286" s="193"/>
      <c r="L286" s="193"/>
      <c r="M286" s="193"/>
      <c r="N286" s="193"/>
      <c r="O286" s="193"/>
      <c r="P286" s="193"/>
      <c r="Q286" s="193"/>
      <c r="R286" s="193"/>
      <c r="S286" s="193"/>
      <c r="T286" s="193"/>
      <c r="U286" s="193"/>
      <c r="V286" s="193"/>
      <c r="W286" s="917"/>
      <c r="X286" s="193"/>
      <c r="Y286" s="193"/>
      <c r="Z286" s="193"/>
      <c r="AA286" s="193"/>
      <c r="AB286" s="193"/>
      <c r="AC286" s="193"/>
      <c r="AD286" s="193"/>
      <c r="AE286" s="193"/>
      <c r="AF286" s="193"/>
      <c r="AG286" s="193"/>
      <c r="AH286" s="193"/>
      <c r="AI286" s="193"/>
      <c r="AJ286" s="193"/>
      <c r="AK286" s="917"/>
      <c r="AL286" s="193"/>
      <c r="AM286" s="193"/>
      <c r="AN286" s="193"/>
      <c r="AO286" s="193"/>
      <c r="AP286" s="193"/>
      <c r="AQ286" s="193"/>
      <c r="AR286" s="193"/>
      <c r="AS286" s="193"/>
      <c r="AT286" s="193"/>
      <c r="AU286" s="193"/>
      <c r="AV286" s="193"/>
      <c r="AW286" s="193"/>
      <c r="AX286" s="193"/>
      <c r="AY286" s="193"/>
      <c r="AZ286" s="193"/>
      <c r="BA286" s="917"/>
      <c r="BB286" s="193"/>
      <c r="BC286" s="193"/>
      <c r="BD286" s="193"/>
      <c r="BE286" s="193"/>
      <c r="BF286" s="193"/>
      <c r="BG286" s="193"/>
      <c r="BH286" s="193"/>
      <c r="BI286" s="193"/>
      <c r="BJ286" s="193"/>
      <c r="BK286" s="193"/>
      <c r="BL286" s="193"/>
      <c r="BM286" s="193"/>
      <c r="BN286" s="193"/>
      <c r="BO286" s="917"/>
      <c r="BP286" s="193"/>
      <c r="BQ286" s="193"/>
      <c r="BR286" s="193"/>
      <c r="BS286" s="193"/>
      <c r="BT286" s="193"/>
      <c r="BU286" s="193"/>
      <c r="BV286" s="193"/>
      <c r="BW286" s="193"/>
      <c r="BX286" s="193"/>
      <c r="BY286" s="193"/>
      <c r="BZ286" s="193"/>
      <c r="CA286" s="193"/>
      <c r="CB286" s="158"/>
      <c r="CC286" s="193"/>
      <c r="CD286" s="193"/>
      <c r="CE286" s="193"/>
      <c r="CL286" s="334"/>
      <c r="CS286" s="158"/>
      <c r="CT286" s="158"/>
      <c r="CU286" s="158"/>
      <c r="CV286" s="316"/>
      <c r="DC286" s="334"/>
      <c r="DI286" s="158"/>
      <c r="DJ286" s="316"/>
      <c r="DQ286" s="334"/>
      <c r="DW286" s="158"/>
      <c r="EE286" s="334"/>
      <c r="EK286" s="158"/>
      <c r="EY286" s="158"/>
    </row>
    <row r="287" spans="2:155" s="192" customFormat="1" ht="18" customHeight="1">
      <c r="B287" s="193"/>
      <c r="C287" s="193"/>
      <c r="D287" s="193"/>
      <c r="E287" s="194"/>
      <c r="F287" s="193"/>
      <c r="G287" s="193"/>
      <c r="H287" s="193"/>
      <c r="I287" s="193"/>
      <c r="J287" s="193"/>
      <c r="K287" s="193"/>
      <c r="L287" s="193"/>
      <c r="M287" s="193"/>
      <c r="N287" s="193"/>
      <c r="O287" s="193"/>
      <c r="P287" s="193"/>
      <c r="Q287" s="193"/>
      <c r="R287" s="193"/>
      <c r="S287" s="193"/>
      <c r="T287" s="193"/>
      <c r="U287" s="193"/>
      <c r="V287" s="193"/>
      <c r="W287" s="917"/>
      <c r="X287" s="193"/>
      <c r="Y287" s="193"/>
      <c r="Z287" s="193"/>
      <c r="AA287" s="193"/>
      <c r="AB287" s="193"/>
      <c r="AC287" s="193"/>
      <c r="AD287" s="193"/>
      <c r="AE287" s="193"/>
      <c r="AF287" s="193"/>
      <c r="AG287" s="193"/>
      <c r="AH287" s="193"/>
      <c r="AI287" s="193"/>
      <c r="AJ287" s="193"/>
      <c r="AK287" s="917"/>
      <c r="AL287" s="193"/>
      <c r="AM287" s="193"/>
      <c r="AN287" s="193"/>
      <c r="AO287" s="193"/>
      <c r="AP287" s="193"/>
      <c r="AQ287" s="193"/>
      <c r="AR287" s="193"/>
      <c r="AS287" s="193"/>
      <c r="AT287" s="193"/>
      <c r="AU287" s="193"/>
      <c r="AV287" s="193"/>
      <c r="AW287" s="193"/>
      <c r="AX287" s="193"/>
      <c r="AY287" s="193"/>
      <c r="AZ287" s="193"/>
      <c r="BA287" s="917"/>
      <c r="BB287" s="193"/>
      <c r="BC287" s="193"/>
      <c r="BD287" s="193"/>
      <c r="BE287" s="193"/>
      <c r="BF287" s="193"/>
      <c r="BG287" s="193"/>
      <c r="BH287" s="193"/>
      <c r="BI287" s="193"/>
      <c r="BJ287" s="193"/>
      <c r="BK287" s="193"/>
      <c r="BL287" s="193"/>
      <c r="BM287" s="193"/>
      <c r="BN287" s="193"/>
      <c r="BO287" s="917"/>
      <c r="BP287" s="193"/>
      <c r="BQ287" s="193"/>
      <c r="BR287" s="193"/>
      <c r="BS287" s="193"/>
      <c r="BT287" s="193"/>
      <c r="BU287" s="193"/>
      <c r="BV287" s="193"/>
      <c r="BW287" s="193"/>
      <c r="BX287" s="193"/>
      <c r="BY287" s="193"/>
      <c r="BZ287" s="193"/>
      <c r="CA287" s="193"/>
      <c r="CB287" s="158"/>
      <c r="CC287" s="193"/>
      <c r="CD287" s="193"/>
      <c r="CE287" s="193"/>
      <c r="CL287" s="334"/>
      <c r="CS287" s="158"/>
      <c r="CT287" s="158"/>
      <c r="CU287" s="158"/>
      <c r="CV287" s="316"/>
      <c r="DC287" s="334"/>
      <c r="DI287" s="158"/>
      <c r="DJ287" s="316"/>
      <c r="DQ287" s="334"/>
      <c r="DW287" s="158"/>
      <c r="EE287" s="334"/>
      <c r="EK287" s="158"/>
      <c r="EY287" s="158"/>
    </row>
    <row r="288" spans="2:155" s="192" customFormat="1" ht="18" customHeight="1">
      <c r="B288" s="193"/>
      <c r="C288" s="193"/>
      <c r="D288" s="193"/>
      <c r="E288" s="194"/>
      <c r="F288" s="193"/>
      <c r="G288" s="193"/>
      <c r="H288" s="193"/>
      <c r="I288" s="193"/>
      <c r="J288" s="193"/>
      <c r="K288" s="193"/>
      <c r="L288" s="193"/>
      <c r="M288" s="193"/>
      <c r="N288" s="193"/>
      <c r="O288" s="193"/>
      <c r="P288" s="193"/>
      <c r="Q288" s="193"/>
      <c r="R288" s="193"/>
      <c r="S288" s="193"/>
      <c r="T288" s="193"/>
      <c r="U288" s="193"/>
      <c r="V288" s="193"/>
      <c r="W288" s="917"/>
      <c r="X288" s="193"/>
      <c r="Y288" s="193"/>
      <c r="Z288" s="193"/>
      <c r="AA288" s="193"/>
      <c r="AB288" s="193"/>
      <c r="AC288" s="193"/>
      <c r="AD288" s="193"/>
      <c r="AE288" s="193"/>
      <c r="AF288" s="193"/>
      <c r="AG288" s="193"/>
      <c r="AH288" s="193"/>
      <c r="AI288" s="193"/>
      <c r="AJ288" s="193"/>
      <c r="AK288" s="917"/>
      <c r="AL288" s="193"/>
      <c r="AM288" s="193"/>
      <c r="AN288" s="193"/>
      <c r="AO288" s="193"/>
      <c r="AP288" s="193"/>
      <c r="AQ288" s="193"/>
      <c r="AR288" s="193"/>
      <c r="AS288" s="193"/>
      <c r="AT288" s="193"/>
      <c r="AU288" s="193"/>
      <c r="AV288" s="193"/>
      <c r="AW288" s="193"/>
      <c r="AX288" s="193"/>
      <c r="AY288" s="193"/>
      <c r="AZ288" s="193"/>
      <c r="BA288" s="917"/>
      <c r="BB288" s="193"/>
      <c r="BC288" s="193"/>
      <c r="BD288" s="193"/>
      <c r="BE288" s="193"/>
      <c r="BF288" s="193"/>
      <c r="BG288" s="193"/>
      <c r="BH288" s="193"/>
      <c r="BI288" s="193"/>
      <c r="BJ288" s="193"/>
      <c r="BK288" s="193"/>
      <c r="BL288" s="193"/>
      <c r="BM288" s="193"/>
      <c r="BN288" s="193"/>
      <c r="BO288" s="917"/>
      <c r="BP288" s="193"/>
      <c r="BQ288" s="193"/>
      <c r="BR288" s="193"/>
      <c r="BS288" s="193"/>
      <c r="BT288" s="193"/>
      <c r="BU288" s="193"/>
      <c r="BV288" s="193"/>
      <c r="BW288" s="193"/>
      <c r="BX288" s="193"/>
      <c r="BY288" s="193"/>
      <c r="BZ288" s="193"/>
      <c r="CA288" s="193"/>
      <c r="CB288" s="158"/>
      <c r="CC288" s="193"/>
      <c r="CD288" s="193"/>
      <c r="CE288" s="193"/>
      <c r="CL288" s="334"/>
      <c r="CS288" s="158"/>
      <c r="CT288" s="158"/>
      <c r="CU288" s="158"/>
      <c r="CV288" s="316"/>
      <c r="DC288" s="334"/>
      <c r="DI288" s="158"/>
      <c r="DJ288" s="316"/>
      <c r="DQ288" s="334"/>
      <c r="DW288" s="158"/>
      <c r="EE288" s="334"/>
      <c r="EK288" s="158"/>
      <c r="EY288" s="158"/>
    </row>
    <row r="289" spans="2:155" s="192" customFormat="1" ht="18" customHeight="1">
      <c r="B289" s="193"/>
      <c r="C289" s="193"/>
      <c r="D289" s="193"/>
      <c r="E289" s="194"/>
      <c r="F289" s="193"/>
      <c r="G289" s="193"/>
      <c r="H289" s="193"/>
      <c r="I289" s="193"/>
      <c r="J289" s="193"/>
      <c r="K289" s="193"/>
      <c r="L289" s="193"/>
      <c r="M289" s="193"/>
      <c r="N289" s="193"/>
      <c r="O289" s="193"/>
      <c r="P289" s="193"/>
      <c r="Q289" s="193"/>
      <c r="R289" s="193"/>
      <c r="S289" s="193"/>
      <c r="T289" s="193"/>
      <c r="U289" s="193"/>
      <c r="V289" s="193"/>
      <c r="W289" s="917"/>
      <c r="X289" s="193"/>
      <c r="Y289" s="193"/>
      <c r="Z289" s="193"/>
      <c r="AA289" s="193"/>
      <c r="AB289" s="193"/>
      <c r="AC289" s="193"/>
      <c r="AD289" s="193"/>
      <c r="AE289" s="193"/>
      <c r="AF289" s="193"/>
      <c r="AG289" s="193"/>
      <c r="AH289" s="193"/>
      <c r="AI289" s="193"/>
      <c r="AJ289" s="193"/>
      <c r="AK289" s="917"/>
      <c r="AL289" s="193"/>
      <c r="AM289" s="193"/>
      <c r="AN289" s="193"/>
      <c r="AO289" s="193"/>
      <c r="AP289" s="193"/>
      <c r="AQ289" s="193"/>
      <c r="AR289" s="193"/>
      <c r="AS289" s="193"/>
      <c r="AT289" s="193"/>
      <c r="AU289" s="193"/>
      <c r="AV289" s="193"/>
      <c r="AW289" s="193"/>
      <c r="AX289" s="193"/>
      <c r="AY289" s="193"/>
      <c r="AZ289" s="193"/>
      <c r="BA289" s="917"/>
      <c r="BB289" s="193"/>
      <c r="BC289" s="193"/>
      <c r="BD289" s="193"/>
      <c r="BE289" s="193"/>
      <c r="BF289" s="193"/>
      <c r="BG289" s="193"/>
      <c r="BH289" s="193"/>
      <c r="BI289" s="193"/>
      <c r="BJ289" s="193"/>
      <c r="BK289" s="193"/>
      <c r="BL289" s="193"/>
      <c r="BM289" s="193"/>
      <c r="BN289" s="193"/>
      <c r="BO289" s="917"/>
      <c r="BP289" s="193"/>
      <c r="BQ289" s="193"/>
      <c r="BR289" s="193"/>
      <c r="BS289" s="193"/>
      <c r="BT289" s="193"/>
      <c r="BU289" s="193"/>
      <c r="BV289" s="193"/>
      <c r="BW289" s="193"/>
      <c r="BX289" s="193"/>
      <c r="BY289" s="193"/>
      <c r="BZ289" s="193"/>
      <c r="CA289" s="193"/>
      <c r="CB289" s="158"/>
      <c r="CC289" s="193"/>
      <c r="CD289" s="193"/>
      <c r="CE289" s="193"/>
      <c r="CL289" s="334"/>
      <c r="CS289" s="158"/>
      <c r="CT289" s="158"/>
      <c r="CU289" s="158"/>
      <c r="CV289" s="316"/>
      <c r="DC289" s="334"/>
      <c r="DI289" s="158"/>
      <c r="DJ289" s="316"/>
      <c r="DQ289" s="334"/>
      <c r="DW289" s="158"/>
      <c r="EE289" s="334"/>
      <c r="EK289" s="158"/>
      <c r="EY289" s="158"/>
    </row>
    <row r="290" spans="2:155" s="192" customFormat="1" ht="18" customHeight="1">
      <c r="B290" s="193"/>
      <c r="C290" s="193"/>
      <c r="D290" s="193"/>
      <c r="E290" s="194"/>
      <c r="F290" s="193"/>
      <c r="G290" s="193"/>
      <c r="H290" s="193"/>
      <c r="I290" s="193"/>
      <c r="J290" s="193"/>
      <c r="K290" s="193"/>
      <c r="L290" s="193"/>
      <c r="M290" s="193"/>
      <c r="N290" s="193"/>
      <c r="O290" s="193"/>
      <c r="P290" s="193"/>
      <c r="Q290" s="193"/>
      <c r="R290" s="193"/>
      <c r="S290" s="193"/>
      <c r="T290" s="193"/>
      <c r="U290" s="193"/>
      <c r="V290" s="193"/>
      <c r="W290" s="917"/>
      <c r="X290" s="193"/>
      <c r="Y290" s="193"/>
      <c r="Z290" s="193"/>
      <c r="AA290" s="193"/>
      <c r="AB290" s="193"/>
      <c r="AC290" s="193"/>
      <c r="AD290" s="193"/>
      <c r="AE290" s="193"/>
      <c r="AF290" s="193"/>
      <c r="AG290" s="193"/>
      <c r="AH290" s="193"/>
      <c r="AI290" s="193"/>
      <c r="AJ290" s="193"/>
      <c r="AK290" s="917"/>
      <c r="AL290" s="193"/>
      <c r="AM290" s="193"/>
      <c r="AN290" s="193"/>
      <c r="AO290" s="193"/>
      <c r="AP290" s="193"/>
      <c r="AQ290" s="193"/>
      <c r="AR290" s="193"/>
      <c r="AS290" s="193"/>
      <c r="AT290" s="193"/>
      <c r="AU290" s="193"/>
      <c r="AV290" s="193"/>
      <c r="AW290" s="193"/>
      <c r="AX290" s="193"/>
      <c r="AY290" s="193"/>
      <c r="AZ290" s="193"/>
      <c r="BA290" s="917"/>
      <c r="BB290" s="193"/>
      <c r="BC290" s="193"/>
      <c r="BD290" s="193"/>
      <c r="BE290" s="193"/>
      <c r="BF290" s="193"/>
      <c r="BG290" s="193"/>
      <c r="BH290" s="193"/>
      <c r="BI290" s="193"/>
      <c r="BJ290" s="193"/>
      <c r="BK290" s="193"/>
      <c r="BL290" s="193"/>
      <c r="BM290" s="193"/>
      <c r="BN290" s="193"/>
      <c r="BO290" s="917"/>
      <c r="BP290" s="193"/>
      <c r="BQ290" s="193"/>
      <c r="BR290" s="193"/>
      <c r="BS290" s="193"/>
      <c r="BT290" s="193"/>
      <c r="BU290" s="193"/>
      <c r="BV290" s="193"/>
      <c r="BW290" s="193"/>
      <c r="BX290" s="193"/>
      <c r="BY290" s="193"/>
      <c r="BZ290" s="193"/>
      <c r="CA290" s="193"/>
      <c r="CB290" s="158"/>
      <c r="CC290" s="193"/>
      <c r="CD290" s="193"/>
      <c r="CE290" s="193"/>
      <c r="CL290" s="334"/>
      <c r="CS290" s="158"/>
      <c r="CT290" s="158"/>
      <c r="CU290" s="158"/>
      <c r="CV290" s="316"/>
      <c r="DC290" s="334"/>
      <c r="DI290" s="158"/>
      <c r="DJ290" s="316"/>
      <c r="DQ290" s="334"/>
      <c r="DW290" s="158"/>
      <c r="EE290" s="334"/>
      <c r="EK290" s="158"/>
      <c r="EY290" s="158"/>
    </row>
    <row r="291" spans="2:155" s="192" customFormat="1" ht="18" customHeight="1">
      <c r="B291" s="193"/>
      <c r="C291" s="193"/>
      <c r="D291" s="193"/>
      <c r="E291" s="194"/>
      <c r="F291" s="193"/>
      <c r="G291" s="193"/>
      <c r="H291" s="193"/>
      <c r="I291" s="193"/>
      <c r="J291" s="193"/>
      <c r="K291" s="193"/>
      <c r="L291" s="193"/>
      <c r="M291" s="193"/>
      <c r="N291" s="193"/>
      <c r="O291" s="193"/>
      <c r="P291" s="193"/>
      <c r="Q291" s="193"/>
      <c r="R291" s="193"/>
      <c r="S291" s="193"/>
      <c r="T291" s="193"/>
      <c r="U291" s="193"/>
      <c r="V291" s="193"/>
      <c r="W291" s="917"/>
      <c r="X291" s="193"/>
      <c r="Y291" s="193"/>
      <c r="Z291" s="193"/>
      <c r="AA291" s="193"/>
      <c r="AB291" s="193"/>
      <c r="AC291" s="193"/>
      <c r="AD291" s="193"/>
      <c r="AE291" s="193"/>
      <c r="AF291" s="193"/>
      <c r="AG291" s="193"/>
      <c r="AH291" s="193"/>
      <c r="AI291" s="193"/>
      <c r="AJ291" s="193"/>
      <c r="AK291" s="917"/>
      <c r="AL291" s="193"/>
      <c r="AM291" s="193"/>
      <c r="AN291" s="193"/>
      <c r="AO291" s="193"/>
      <c r="AP291" s="193"/>
      <c r="AQ291" s="193"/>
      <c r="AR291" s="193"/>
      <c r="AS291" s="193"/>
      <c r="AT291" s="193"/>
      <c r="AU291" s="193"/>
      <c r="AV291" s="193"/>
      <c r="AW291" s="193"/>
      <c r="AX291" s="193"/>
      <c r="AY291" s="193"/>
      <c r="AZ291" s="193"/>
      <c r="BA291" s="917"/>
      <c r="BB291" s="193"/>
      <c r="BC291" s="193"/>
      <c r="BD291" s="193"/>
      <c r="BE291" s="193"/>
      <c r="BF291" s="193"/>
      <c r="BG291" s="193"/>
      <c r="BH291" s="193"/>
      <c r="BI291" s="193"/>
      <c r="BJ291" s="193"/>
      <c r="BK291" s="193"/>
      <c r="BL291" s="193"/>
      <c r="BM291" s="193"/>
      <c r="BN291" s="193"/>
      <c r="BO291" s="917"/>
      <c r="BP291" s="193"/>
      <c r="BQ291" s="193"/>
      <c r="BR291" s="193"/>
      <c r="BS291" s="193"/>
      <c r="BT291" s="193"/>
      <c r="BU291" s="193"/>
      <c r="BV291" s="193"/>
      <c r="BW291" s="193"/>
      <c r="BX291" s="193"/>
      <c r="BY291" s="193"/>
      <c r="BZ291" s="193"/>
      <c r="CA291" s="193"/>
      <c r="CB291" s="158"/>
      <c r="CC291" s="193"/>
      <c r="CD291" s="193"/>
      <c r="CE291" s="193"/>
      <c r="CL291" s="334"/>
      <c r="CS291" s="158"/>
      <c r="CT291" s="158"/>
      <c r="CU291" s="158"/>
      <c r="CV291" s="316"/>
      <c r="DC291" s="334"/>
      <c r="DI291" s="158"/>
      <c r="DJ291" s="316"/>
      <c r="DQ291" s="334"/>
      <c r="DW291" s="158"/>
      <c r="EE291" s="334"/>
      <c r="EK291" s="158"/>
      <c r="EY291" s="158"/>
    </row>
    <row r="292" spans="2:155" s="192" customFormat="1" ht="18" customHeight="1">
      <c r="B292" s="193"/>
      <c r="C292" s="193"/>
      <c r="D292" s="193"/>
      <c r="E292" s="194"/>
      <c r="F292" s="193"/>
      <c r="G292" s="193"/>
      <c r="H292" s="193"/>
      <c r="I292" s="193"/>
      <c r="J292" s="193"/>
      <c r="K292" s="193"/>
      <c r="L292" s="193"/>
      <c r="M292" s="193"/>
      <c r="N292" s="193"/>
      <c r="O292" s="193"/>
      <c r="P292" s="193"/>
      <c r="Q292" s="193"/>
      <c r="R292" s="193"/>
      <c r="S292" s="193"/>
      <c r="T292" s="193"/>
      <c r="U292" s="193"/>
      <c r="V292" s="193"/>
      <c r="W292" s="917"/>
      <c r="X292" s="193"/>
      <c r="Y292" s="193"/>
      <c r="Z292" s="193"/>
      <c r="AA292" s="193"/>
      <c r="AB292" s="193"/>
      <c r="AC292" s="193"/>
      <c r="AD292" s="193"/>
      <c r="AE292" s="193"/>
      <c r="AF292" s="193"/>
      <c r="AG292" s="193"/>
      <c r="AH292" s="193"/>
      <c r="AI292" s="193"/>
      <c r="AJ292" s="193"/>
      <c r="AK292" s="917"/>
      <c r="AL292" s="193"/>
      <c r="AM292" s="193"/>
      <c r="AN292" s="193"/>
      <c r="AO292" s="193"/>
      <c r="AP292" s="193"/>
      <c r="AQ292" s="193"/>
      <c r="AR292" s="193"/>
      <c r="AS292" s="193"/>
      <c r="AT292" s="193"/>
      <c r="AU292" s="193"/>
      <c r="AV292" s="193"/>
      <c r="AW292" s="193"/>
      <c r="AX292" s="193"/>
      <c r="AY292" s="193"/>
      <c r="AZ292" s="193"/>
      <c r="BA292" s="917"/>
      <c r="BB292" s="193"/>
      <c r="BC292" s="193"/>
      <c r="BD292" s="193"/>
      <c r="BE292" s="193"/>
      <c r="BF292" s="193"/>
      <c r="BG292" s="193"/>
      <c r="BH292" s="193"/>
      <c r="BI292" s="193"/>
      <c r="BJ292" s="193"/>
      <c r="BK292" s="193"/>
      <c r="BL292" s="193"/>
      <c r="BM292" s="193"/>
      <c r="BN292" s="193"/>
      <c r="BO292" s="917"/>
      <c r="BP292" s="193"/>
      <c r="BQ292" s="193"/>
      <c r="BR292" s="193"/>
      <c r="BS292" s="193"/>
      <c r="BT292" s="193"/>
      <c r="BU292" s="193"/>
      <c r="BV292" s="193"/>
      <c r="BW292" s="193"/>
      <c r="BX292" s="193"/>
      <c r="BY292" s="193"/>
      <c r="BZ292" s="193"/>
      <c r="CA292" s="193"/>
      <c r="CB292" s="158"/>
      <c r="CC292" s="193"/>
      <c r="CD292" s="193"/>
      <c r="CE292" s="193"/>
      <c r="CL292" s="334"/>
      <c r="CS292" s="158"/>
      <c r="CT292" s="158"/>
      <c r="CU292" s="158"/>
      <c r="CV292" s="316"/>
      <c r="DC292" s="334"/>
      <c r="DI292" s="158"/>
      <c r="DJ292" s="316"/>
      <c r="DQ292" s="334"/>
      <c r="DW292" s="158"/>
      <c r="EE292" s="334"/>
      <c r="EK292" s="158"/>
      <c r="EY292" s="158"/>
    </row>
    <row r="293" spans="2:155" s="192" customFormat="1" ht="18" customHeight="1">
      <c r="B293" s="193"/>
      <c r="C293" s="193"/>
      <c r="D293" s="193"/>
      <c r="E293" s="194"/>
      <c r="F293" s="193"/>
      <c r="G293" s="193"/>
      <c r="H293" s="193"/>
      <c r="I293" s="193"/>
      <c r="J293" s="193"/>
      <c r="K293" s="193"/>
      <c r="L293" s="193"/>
      <c r="M293" s="193"/>
      <c r="N293" s="193"/>
      <c r="O293" s="193"/>
      <c r="P293" s="193"/>
      <c r="Q293" s="193"/>
      <c r="R293" s="193"/>
      <c r="S293" s="193"/>
      <c r="T293" s="193"/>
      <c r="U293" s="193"/>
      <c r="V293" s="193"/>
      <c r="W293" s="917"/>
      <c r="X293" s="193"/>
      <c r="Y293" s="193"/>
      <c r="Z293" s="193"/>
      <c r="AA293" s="193"/>
      <c r="AB293" s="193"/>
      <c r="AC293" s="193"/>
      <c r="AD293" s="193"/>
      <c r="AE293" s="193"/>
      <c r="AF293" s="193"/>
      <c r="AG293" s="193"/>
      <c r="AH293" s="193"/>
      <c r="AI293" s="193"/>
      <c r="AJ293" s="193"/>
      <c r="AK293" s="917"/>
      <c r="AL293" s="193"/>
      <c r="AM293" s="193"/>
      <c r="AN293" s="193"/>
      <c r="AO293" s="193"/>
      <c r="AP293" s="193"/>
      <c r="AQ293" s="193"/>
      <c r="AR293" s="193"/>
      <c r="AS293" s="193"/>
      <c r="AT293" s="193"/>
      <c r="AU293" s="193"/>
      <c r="AV293" s="193"/>
      <c r="AW293" s="193"/>
      <c r="AX293" s="193"/>
      <c r="AY293" s="193"/>
      <c r="AZ293" s="193"/>
      <c r="BA293" s="917"/>
      <c r="BB293" s="193"/>
      <c r="BC293" s="193"/>
      <c r="BD293" s="193"/>
      <c r="BE293" s="193"/>
      <c r="BF293" s="193"/>
      <c r="BG293" s="193"/>
      <c r="BH293" s="193"/>
      <c r="BI293" s="193"/>
      <c r="BJ293" s="193"/>
      <c r="BK293" s="193"/>
      <c r="BL293" s="193"/>
      <c r="BM293" s="193"/>
      <c r="BN293" s="193"/>
      <c r="BO293" s="917"/>
      <c r="BP293" s="193"/>
      <c r="BQ293" s="193"/>
      <c r="BR293" s="193"/>
      <c r="BS293" s="193"/>
      <c r="BT293" s="193"/>
      <c r="BU293" s="193"/>
      <c r="BV293" s="193"/>
      <c r="BW293" s="193"/>
      <c r="BX293" s="193"/>
      <c r="BY293" s="193"/>
      <c r="BZ293" s="193"/>
      <c r="CA293" s="193"/>
      <c r="CB293" s="158"/>
      <c r="CC293" s="193"/>
      <c r="CD293" s="193"/>
      <c r="CE293" s="193"/>
      <c r="CL293" s="334"/>
      <c r="CS293" s="158"/>
      <c r="CT293" s="158"/>
      <c r="CU293" s="158"/>
      <c r="CV293" s="316"/>
      <c r="DC293" s="334"/>
      <c r="DI293" s="158"/>
      <c r="DJ293" s="316"/>
      <c r="DQ293" s="334"/>
      <c r="DW293" s="158"/>
      <c r="EE293" s="334"/>
      <c r="EK293" s="158"/>
      <c r="EY293" s="158"/>
    </row>
    <row r="294" spans="2:155" s="192" customFormat="1" ht="18" customHeight="1">
      <c r="B294" s="193"/>
      <c r="C294" s="193"/>
      <c r="D294" s="193"/>
      <c r="E294" s="194"/>
      <c r="F294" s="193"/>
      <c r="G294" s="193"/>
      <c r="H294" s="193"/>
      <c r="I294" s="193"/>
      <c r="J294" s="193"/>
      <c r="K294" s="193"/>
      <c r="L294" s="193"/>
      <c r="M294" s="193"/>
      <c r="N294" s="193"/>
      <c r="O294" s="193"/>
      <c r="P294" s="193"/>
      <c r="Q294" s="193"/>
      <c r="R294" s="193"/>
      <c r="S294" s="193"/>
      <c r="T294" s="193"/>
      <c r="U294" s="193"/>
      <c r="V294" s="193"/>
      <c r="W294" s="917"/>
      <c r="X294" s="193"/>
      <c r="Y294" s="193"/>
      <c r="Z294" s="193"/>
      <c r="AA294" s="193"/>
      <c r="AB294" s="193"/>
      <c r="AC294" s="193"/>
      <c r="AD294" s="193"/>
      <c r="AE294" s="193"/>
      <c r="AF294" s="193"/>
      <c r="AG294" s="193"/>
      <c r="AH294" s="193"/>
      <c r="AI294" s="193"/>
      <c r="AJ294" s="193"/>
      <c r="AK294" s="917"/>
      <c r="AL294" s="193"/>
      <c r="AM294" s="193"/>
      <c r="AN294" s="193"/>
      <c r="AO294" s="193"/>
      <c r="AP294" s="193"/>
      <c r="AQ294" s="193"/>
      <c r="AR294" s="193"/>
      <c r="AS294" s="193"/>
      <c r="AT294" s="193"/>
      <c r="AU294" s="193"/>
      <c r="AV294" s="193"/>
      <c r="AW294" s="193"/>
      <c r="AX294" s="193"/>
      <c r="AY294" s="193"/>
      <c r="AZ294" s="193"/>
      <c r="BA294" s="917"/>
      <c r="BB294" s="193"/>
      <c r="BC294" s="193"/>
      <c r="BD294" s="193"/>
      <c r="BE294" s="193"/>
      <c r="BF294" s="193"/>
      <c r="BG294" s="193"/>
      <c r="BH294" s="193"/>
      <c r="BI294" s="193"/>
      <c r="BJ294" s="193"/>
      <c r="BK294" s="193"/>
      <c r="BL294" s="193"/>
      <c r="BM294" s="193"/>
      <c r="BN294" s="193"/>
      <c r="BO294" s="917"/>
      <c r="BP294" s="193"/>
      <c r="BQ294" s="193"/>
      <c r="BR294" s="193"/>
      <c r="BS294" s="193"/>
      <c r="BT294" s="193"/>
      <c r="BU294" s="193"/>
      <c r="BV294" s="193"/>
      <c r="BW294" s="193"/>
      <c r="BX294" s="193"/>
      <c r="BY294" s="193"/>
      <c r="BZ294" s="193"/>
      <c r="CA294" s="193"/>
      <c r="CB294" s="158"/>
      <c r="CC294" s="193"/>
      <c r="CD294" s="193"/>
      <c r="CE294" s="193"/>
      <c r="CL294" s="334"/>
      <c r="CS294" s="158"/>
      <c r="CT294" s="158"/>
      <c r="CU294" s="158"/>
      <c r="CV294" s="316"/>
      <c r="DC294" s="334"/>
      <c r="DI294" s="158"/>
      <c r="DJ294" s="316"/>
      <c r="DQ294" s="334"/>
      <c r="DW294" s="158"/>
      <c r="EE294" s="334"/>
      <c r="EK294" s="158"/>
      <c r="EY294" s="158"/>
    </row>
    <row r="295" spans="2:155" s="192" customFormat="1" ht="18" customHeight="1">
      <c r="B295" s="193"/>
      <c r="C295" s="193"/>
      <c r="D295" s="193"/>
      <c r="E295" s="194"/>
      <c r="F295" s="193"/>
      <c r="G295" s="193"/>
      <c r="H295" s="193"/>
      <c r="I295" s="193"/>
      <c r="J295" s="193"/>
      <c r="K295" s="193"/>
      <c r="L295" s="193"/>
      <c r="M295" s="193"/>
      <c r="N295" s="193"/>
      <c r="O295" s="193"/>
      <c r="P295" s="193"/>
      <c r="Q295" s="193"/>
      <c r="R295" s="193"/>
      <c r="S295" s="193"/>
      <c r="T295" s="193"/>
      <c r="U295" s="193"/>
      <c r="V295" s="193"/>
      <c r="W295" s="917"/>
      <c r="X295" s="193"/>
      <c r="Y295" s="193"/>
      <c r="Z295" s="193"/>
      <c r="AA295" s="193"/>
      <c r="AB295" s="193"/>
      <c r="AC295" s="193"/>
      <c r="AD295" s="193"/>
      <c r="AE295" s="193"/>
      <c r="AF295" s="193"/>
      <c r="AG295" s="193"/>
      <c r="AH295" s="193"/>
      <c r="AI295" s="193"/>
      <c r="AJ295" s="193"/>
      <c r="AK295" s="917"/>
      <c r="AL295" s="193"/>
      <c r="AM295" s="193"/>
      <c r="AN295" s="193"/>
      <c r="AO295" s="193"/>
      <c r="AP295" s="193"/>
      <c r="AQ295" s="193"/>
      <c r="AR295" s="193"/>
      <c r="AS295" s="193"/>
      <c r="AT295" s="193"/>
      <c r="AU295" s="193"/>
      <c r="AV295" s="193"/>
      <c r="AW295" s="193"/>
      <c r="AX295" s="193"/>
      <c r="AY295" s="193"/>
      <c r="AZ295" s="193"/>
      <c r="BA295" s="917"/>
      <c r="BB295" s="193"/>
      <c r="BC295" s="193"/>
      <c r="BD295" s="193"/>
      <c r="BE295" s="193"/>
      <c r="BF295" s="193"/>
      <c r="BG295" s="193"/>
      <c r="BH295" s="193"/>
      <c r="BI295" s="193"/>
      <c r="BJ295" s="193"/>
      <c r="BK295" s="193"/>
      <c r="BL295" s="193"/>
      <c r="BM295" s="193"/>
      <c r="BN295" s="193"/>
      <c r="BO295" s="917"/>
      <c r="BP295" s="193"/>
      <c r="BQ295" s="193"/>
      <c r="BR295" s="193"/>
      <c r="BS295" s="193"/>
      <c r="BT295" s="193"/>
      <c r="BU295" s="193"/>
      <c r="BV295" s="193"/>
      <c r="BW295" s="193"/>
      <c r="BX295" s="193"/>
      <c r="BY295" s="193"/>
      <c r="BZ295" s="193"/>
      <c r="CA295" s="193"/>
      <c r="CB295" s="158"/>
      <c r="CC295" s="193"/>
      <c r="CD295" s="193"/>
      <c r="CE295" s="193"/>
      <c r="CL295" s="334"/>
      <c r="CS295" s="158"/>
      <c r="CT295" s="158"/>
      <c r="CU295" s="158"/>
      <c r="CV295" s="316"/>
      <c r="DC295" s="334"/>
      <c r="DI295" s="158"/>
      <c r="DJ295" s="316"/>
      <c r="DQ295" s="334"/>
      <c r="DW295" s="158"/>
      <c r="EE295" s="334"/>
      <c r="EK295" s="158"/>
      <c r="EY295" s="158"/>
    </row>
    <row r="296" spans="2:155" s="192" customFormat="1" ht="18" customHeight="1">
      <c r="B296" s="193"/>
      <c r="C296" s="193"/>
      <c r="D296" s="193"/>
      <c r="E296" s="194"/>
      <c r="F296" s="193"/>
      <c r="G296" s="193"/>
      <c r="H296" s="193"/>
      <c r="I296" s="193"/>
      <c r="J296" s="193"/>
      <c r="K296" s="193"/>
      <c r="L296" s="193"/>
      <c r="M296" s="193"/>
      <c r="N296" s="193"/>
      <c r="O296" s="193"/>
      <c r="P296" s="193"/>
      <c r="Q296" s="193"/>
      <c r="R296" s="193"/>
      <c r="S296" s="193"/>
      <c r="T296" s="193"/>
      <c r="U296" s="193"/>
      <c r="V296" s="193"/>
      <c r="W296" s="917"/>
      <c r="X296" s="193"/>
      <c r="Y296" s="193"/>
      <c r="Z296" s="193"/>
      <c r="AA296" s="193"/>
      <c r="AB296" s="193"/>
      <c r="AC296" s="193"/>
      <c r="AD296" s="193"/>
      <c r="AE296" s="193"/>
      <c r="AF296" s="193"/>
      <c r="AG296" s="193"/>
      <c r="AH296" s="193"/>
      <c r="AI296" s="193"/>
      <c r="AJ296" s="193"/>
      <c r="AK296" s="917"/>
      <c r="AL296" s="193"/>
      <c r="AM296" s="193"/>
      <c r="AN296" s="193"/>
      <c r="AO296" s="193"/>
      <c r="AP296" s="193"/>
      <c r="AQ296" s="193"/>
      <c r="AR296" s="193"/>
      <c r="AS296" s="193"/>
      <c r="AT296" s="193"/>
      <c r="AU296" s="193"/>
      <c r="AV296" s="193"/>
      <c r="AW296" s="193"/>
      <c r="AX296" s="193"/>
      <c r="AY296" s="193"/>
      <c r="AZ296" s="193"/>
      <c r="BA296" s="917"/>
      <c r="BB296" s="193"/>
      <c r="BC296" s="193"/>
      <c r="BD296" s="193"/>
      <c r="BE296" s="193"/>
      <c r="BF296" s="193"/>
      <c r="BG296" s="193"/>
      <c r="BH296" s="193"/>
      <c r="BI296" s="193"/>
      <c r="BJ296" s="193"/>
      <c r="BK296" s="193"/>
      <c r="BL296" s="193"/>
      <c r="BM296" s="193"/>
      <c r="BN296" s="193"/>
      <c r="BO296" s="917"/>
      <c r="BP296" s="193"/>
      <c r="BQ296" s="193"/>
      <c r="BR296" s="193"/>
      <c r="BS296" s="193"/>
      <c r="BT296" s="193"/>
      <c r="BU296" s="193"/>
      <c r="BV296" s="193"/>
      <c r="BW296" s="193"/>
      <c r="BX296" s="193"/>
      <c r="BY296" s="193"/>
      <c r="BZ296" s="193"/>
      <c r="CA296" s="193"/>
      <c r="CB296" s="158"/>
      <c r="CC296" s="193"/>
      <c r="CD296" s="193"/>
      <c r="CE296" s="193"/>
      <c r="CL296" s="334"/>
      <c r="CS296" s="158"/>
      <c r="CT296" s="158"/>
      <c r="CU296" s="158"/>
      <c r="CV296" s="316"/>
      <c r="DC296" s="334"/>
      <c r="DI296" s="158"/>
      <c r="DJ296" s="316"/>
      <c r="DQ296" s="334"/>
      <c r="DW296" s="158"/>
      <c r="EE296" s="334"/>
      <c r="EK296" s="158"/>
      <c r="EY296" s="158"/>
    </row>
    <row r="297" spans="2:155" s="192" customFormat="1" ht="18" customHeight="1">
      <c r="B297" s="193"/>
      <c r="C297" s="193"/>
      <c r="D297" s="193"/>
      <c r="E297" s="194"/>
      <c r="F297" s="193"/>
      <c r="G297" s="193"/>
      <c r="H297" s="193"/>
      <c r="I297" s="193"/>
      <c r="J297" s="193"/>
      <c r="K297" s="193"/>
      <c r="L297" s="193"/>
      <c r="M297" s="193"/>
      <c r="N297" s="193"/>
      <c r="O297" s="193"/>
      <c r="P297" s="193"/>
      <c r="Q297" s="193"/>
      <c r="R297" s="193"/>
      <c r="S297" s="193"/>
      <c r="T297" s="193"/>
      <c r="U297" s="193"/>
      <c r="V297" s="193"/>
      <c r="W297" s="917"/>
      <c r="X297" s="193"/>
      <c r="Y297" s="193"/>
      <c r="Z297" s="193"/>
      <c r="AA297" s="193"/>
      <c r="AB297" s="193"/>
      <c r="AC297" s="193"/>
      <c r="AD297" s="193"/>
      <c r="AE297" s="193"/>
      <c r="AF297" s="193"/>
      <c r="AG297" s="193"/>
      <c r="AH297" s="193"/>
      <c r="AI297" s="193"/>
      <c r="AJ297" s="193"/>
      <c r="AK297" s="917"/>
      <c r="AL297" s="193"/>
      <c r="AM297" s="193"/>
      <c r="AN297" s="193"/>
      <c r="AO297" s="193"/>
      <c r="AP297" s="193"/>
      <c r="AQ297" s="193"/>
      <c r="AR297" s="193"/>
      <c r="AS297" s="193"/>
      <c r="AT297" s="193"/>
      <c r="AU297" s="193"/>
      <c r="AV297" s="193"/>
      <c r="AW297" s="193"/>
      <c r="AX297" s="193"/>
      <c r="AY297" s="193"/>
      <c r="AZ297" s="193"/>
      <c r="BA297" s="917"/>
      <c r="BB297" s="193"/>
      <c r="BC297" s="193"/>
      <c r="BD297" s="193"/>
      <c r="BE297" s="193"/>
      <c r="BF297" s="193"/>
      <c r="BG297" s="193"/>
      <c r="BH297" s="193"/>
      <c r="BI297" s="193"/>
      <c r="BJ297" s="193"/>
      <c r="BK297" s="193"/>
      <c r="BL297" s="193"/>
      <c r="BM297" s="193"/>
      <c r="BN297" s="193"/>
      <c r="BO297" s="917"/>
      <c r="BP297" s="193"/>
      <c r="BQ297" s="193"/>
      <c r="BR297" s="193"/>
      <c r="BS297" s="193"/>
      <c r="BT297" s="193"/>
      <c r="BU297" s="193"/>
      <c r="BV297" s="193"/>
      <c r="BW297" s="193"/>
      <c r="BX297" s="193"/>
      <c r="BY297" s="193"/>
      <c r="BZ297" s="193"/>
      <c r="CA297" s="193"/>
      <c r="CB297" s="158"/>
      <c r="CC297" s="193"/>
      <c r="CD297" s="193"/>
      <c r="CE297" s="193"/>
      <c r="CL297" s="334"/>
      <c r="CS297" s="158"/>
      <c r="CT297" s="158"/>
      <c r="CU297" s="158"/>
      <c r="CV297" s="316"/>
      <c r="DC297" s="334"/>
      <c r="DI297" s="158"/>
      <c r="DJ297" s="316"/>
      <c r="DQ297" s="334"/>
      <c r="DW297" s="158"/>
      <c r="EE297" s="334"/>
      <c r="EK297" s="158"/>
      <c r="EY297" s="158"/>
    </row>
    <row r="298" spans="2:155" s="192" customFormat="1" ht="18" customHeight="1">
      <c r="B298" s="193"/>
      <c r="C298" s="193"/>
      <c r="D298" s="193"/>
      <c r="E298" s="194"/>
      <c r="F298" s="193"/>
      <c r="G298" s="193"/>
      <c r="H298" s="193"/>
      <c r="I298" s="193"/>
      <c r="J298" s="193"/>
      <c r="K298" s="193"/>
      <c r="L298" s="193"/>
      <c r="M298" s="193"/>
      <c r="N298" s="193"/>
      <c r="O298" s="193"/>
      <c r="P298" s="193"/>
      <c r="Q298" s="193"/>
      <c r="R298" s="193"/>
      <c r="S298" s="193"/>
      <c r="T298" s="193"/>
      <c r="U298" s="193"/>
      <c r="V298" s="193"/>
      <c r="W298" s="917"/>
      <c r="X298" s="193"/>
      <c r="Y298" s="193"/>
      <c r="Z298" s="193"/>
      <c r="AA298" s="193"/>
      <c r="AB298" s="193"/>
      <c r="AC298" s="193"/>
      <c r="AD298" s="193"/>
      <c r="AE298" s="193"/>
      <c r="AF298" s="193"/>
      <c r="AG298" s="193"/>
      <c r="AH298" s="193"/>
      <c r="AI298" s="193"/>
      <c r="AJ298" s="193"/>
      <c r="AK298" s="917"/>
      <c r="AL298" s="193"/>
      <c r="AM298" s="193"/>
      <c r="AN298" s="193"/>
      <c r="AO298" s="193"/>
      <c r="AP298" s="193"/>
      <c r="AQ298" s="193"/>
      <c r="AR298" s="193"/>
      <c r="AS298" s="193"/>
      <c r="AT298" s="193"/>
      <c r="AU298" s="193"/>
      <c r="AV298" s="193"/>
      <c r="AW298" s="193"/>
      <c r="AX298" s="193"/>
      <c r="AY298" s="193"/>
      <c r="AZ298" s="193"/>
      <c r="BA298" s="917"/>
      <c r="BB298" s="193"/>
      <c r="BC298" s="193"/>
      <c r="BD298" s="193"/>
      <c r="BE298" s="193"/>
      <c r="BF298" s="193"/>
      <c r="BG298" s="193"/>
      <c r="BH298" s="193"/>
      <c r="BI298" s="193"/>
      <c r="BJ298" s="193"/>
      <c r="BK298" s="193"/>
      <c r="BL298" s="193"/>
      <c r="BM298" s="193"/>
      <c r="BN298" s="193"/>
      <c r="BO298" s="917"/>
      <c r="BP298" s="193"/>
      <c r="BQ298" s="193"/>
      <c r="BR298" s="193"/>
      <c r="BS298" s="193"/>
      <c r="BT298" s="193"/>
      <c r="BU298" s="193"/>
      <c r="BV298" s="193"/>
      <c r="BW298" s="193"/>
      <c r="BX298" s="193"/>
      <c r="BY298" s="193"/>
      <c r="BZ298" s="193"/>
      <c r="CA298" s="193"/>
      <c r="CB298" s="158"/>
      <c r="CC298" s="193"/>
      <c r="CD298" s="193"/>
      <c r="CE298" s="193"/>
      <c r="CL298" s="334"/>
      <c r="CS298" s="158"/>
      <c r="CT298" s="158"/>
      <c r="CU298" s="158"/>
      <c r="CV298" s="316"/>
      <c r="DC298" s="334"/>
      <c r="DI298" s="158"/>
      <c r="DJ298" s="316"/>
      <c r="DQ298" s="334"/>
      <c r="DW298" s="158"/>
      <c r="EE298" s="334"/>
      <c r="EK298" s="158"/>
      <c r="EY298" s="158"/>
    </row>
    <row r="299" spans="2:155" s="192" customFormat="1" ht="18" customHeight="1">
      <c r="B299" s="193"/>
      <c r="C299" s="193"/>
      <c r="D299" s="193"/>
      <c r="E299" s="194"/>
      <c r="F299" s="193"/>
      <c r="G299" s="193"/>
      <c r="H299" s="193"/>
      <c r="I299" s="193"/>
      <c r="J299" s="193"/>
      <c r="K299" s="193"/>
      <c r="L299" s="193"/>
      <c r="M299" s="193"/>
      <c r="N299" s="193"/>
      <c r="O299" s="193"/>
      <c r="P299" s="193"/>
      <c r="Q299" s="193"/>
      <c r="R299" s="193"/>
      <c r="S299" s="193"/>
      <c r="T299" s="193"/>
      <c r="U299" s="193"/>
      <c r="V299" s="193"/>
      <c r="W299" s="917"/>
      <c r="X299" s="193"/>
      <c r="Y299" s="193"/>
      <c r="Z299" s="193"/>
      <c r="AA299" s="193"/>
      <c r="AB299" s="193"/>
      <c r="AC299" s="193"/>
      <c r="AD299" s="193"/>
      <c r="AE299" s="193"/>
      <c r="AF299" s="193"/>
      <c r="AG299" s="193"/>
      <c r="AH299" s="193"/>
      <c r="AI299" s="193"/>
      <c r="AJ299" s="193"/>
      <c r="AK299" s="917"/>
      <c r="AL299" s="193"/>
      <c r="AM299" s="193"/>
      <c r="AN299" s="193"/>
      <c r="AO299" s="193"/>
      <c r="AP299" s="193"/>
      <c r="AQ299" s="193"/>
      <c r="AR299" s="193"/>
      <c r="AS299" s="193"/>
      <c r="AT299" s="193"/>
      <c r="AU299" s="193"/>
      <c r="AV299" s="193"/>
      <c r="AW299" s="193"/>
      <c r="AX299" s="193"/>
      <c r="AY299" s="193"/>
      <c r="AZ299" s="193"/>
      <c r="BA299" s="917"/>
      <c r="BB299" s="193"/>
      <c r="BC299" s="193"/>
      <c r="BD299" s="193"/>
      <c r="BE299" s="193"/>
      <c r="BF299" s="193"/>
      <c r="BG299" s="193"/>
      <c r="BH299" s="193"/>
      <c r="BI299" s="193"/>
      <c r="BJ299" s="193"/>
      <c r="BK299" s="193"/>
      <c r="BL299" s="193"/>
      <c r="BM299" s="193"/>
      <c r="BN299" s="193"/>
      <c r="BO299" s="917"/>
      <c r="BP299" s="193"/>
      <c r="BQ299" s="193"/>
      <c r="BR299" s="193"/>
      <c r="BS299" s="193"/>
      <c r="BT299" s="193"/>
      <c r="BU299" s="193"/>
      <c r="BV299" s="193"/>
      <c r="BW299" s="193"/>
      <c r="BX299" s="193"/>
      <c r="BY299" s="193"/>
      <c r="BZ299" s="193"/>
      <c r="CA299" s="193"/>
      <c r="CB299" s="158"/>
      <c r="CC299" s="193"/>
      <c r="CD299" s="193"/>
      <c r="CE299" s="193"/>
      <c r="CL299" s="334"/>
      <c r="CS299" s="158"/>
      <c r="CT299" s="158"/>
      <c r="CU299" s="158"/>
      <c r="CV299" s="316"/>
      <c r="DC299" s="334"/>
      <c r="DI299" s="158"/>
      <c r="DJ299" s="316"/>
      <c r="DQ299" s="334"/>
      <c r="DW299" s="158"/>
      <c r="EE299" s="334"/>
      <c r="EK299" s="158"/>
      <c r="EY299" s="158"/>
    </row>
    <row r="300" spans="2:155" s="192" customFormat="1" ht="18" customHeight="1">
      <c r="B300" s="193"/>
      <c r="C300" s="193"/>
      <c r="D300" s="193"/>
      <c r="E300" s="194"/>
      <c r="F300" s="193"/>
      <c r="G300" s="193"/>
      <c r="H300" s="193"/>
      <c r="I300" s="193"/>
      <c r="J300" s="193"/>
      <c r="K300" s="193"/>
      <c r="L300" s="193"/>
      <c r="M300" s="193"/>
      <c r="N300" s="193"/>
      <c r="O300" s="193"/>
      <c r="P300" s="193"/>
      <c r="Q300" s="193"/>
      <c r="R300" s="193"/>
      <c r="S300" s="193"/>
      <c r="T300" s="193"/>
      <c r="U300" s="193"/>
      <c r="V300" s="193"/>
      <c r="W300" s="917"/>
      <c r="X300" s="193"/>
      <c r="Y300" s="193"/>
      <c r="Z300" s="193"/>
      <c r="AA300" s="193"/>
      <c r="AB300" s="193"/>
      <c r="AC300" s="193"/>
      <c r="AD300" s="193"/>
      <c r="AE300" s="193"/>
      <c r="AF300" s="193"/>
      <c r="AG300" s="193"/>
      <c r="AH300" s="193"/>
      <c r="AI300" s="193"/>
      <c r="AJ300" s="193"/>
      <c r="AK300" s="917"/>
      <c r="AL300" s="193"/>
      <c r="AM300" s="193"/>
      <c r="AN300" s="193"/>
      <c r="AO300" s="193"/>
      <c r="AP300" s="193"/>
      <c r="AQ300" s="193"/>
      <c r="AR300" s="193"/>
      <c r="AS300" s="193"/>
      <c r="AT300" s="193"/>
      <c r="AU300" s="193"/>
      <c r="AV300" s="193"/>
      <c r="AW300" s="193"/>
      <c r="AX300" s="193"/>
      <c r="AY300" s="193"/>
      <c r="AZ300" s="193"/>
      <c r="BA300" s="917"/>
      <c r="BB300" s="193"/>
      <c r="BC300" s="193"/>
      <c r="BD300" s="193"/>
      <c r="BE300" s="193"/>
      <c r="BF300" s="193"/>
      <c r="BG300" s="193"/>
      <c r="BH300" s="193"/>
      <c r="BI300" s="193"/>
      <c r="BJ300" s="193"/>
      <c r="BK300" s="193"/>
      <c r="BL300" s="193"/>
      <c r="BM300" s="193"/>
      <c r="BN300" s="193"/>
      <c r="BO300" s="917"/>
      <c r="BP300" s="193"/>
      <c r="BQ300" s="193"/>
      <c r="BR300" s="193"/>
      <c r="BS300" s="193"/>
      <c r="BT300" s="193"/>
      <c r="BU300" s="193"/>
      <c r="BV300" s="193"/>
      <c r="BW300" s="193"/>
      <c r="BX300" s="193"/>
      <c r="BY300" s="193"/>
      <c r="BZ300" s="193"/>
      <c r="CA300" s="193"/>
      <c r="CB300" s="158"/>
      <c r="CC300" s="193"/>
      <c r="CD300" s="193"/>
      <c r="CE300" s="193"/>
      <c r="CL300" s="334"/>
      <c r="CS300" s="158"/>
      <c r="CT300" s="158"/>
      <c r="CU300" s="158"/>
      <c r="CV300" s="316"/>
      <c r="DC300" s="334"/>
      <c r="DI300" s="158"/>
      <c r="DJ300" s="316"/>
      <c r="DQ300" s="334"/>
      <c r="DW300" s="158"/>
      <c r="EE300" s="334"/>
      <c r="EK300" s="158"/>
      <c r="EY300" s="158"/>
    </row>
    <row r="301" spans="2:155" s="192" customFormat="1" ht="18" customHeight="1">
      <c r="B301" s="193"/>
      <c r="C301" s="193"/>
      <c r="D301" s="193"/>
      <c r="E301" s="194"/>
      <c r="F301" s="193"/>
      <c r="G301" s="193"/>
      <c r="H301" s="193"/>
      <c r="I301" s="193"/>
      <c r="J301" s="193"/>
      <c r="K301" s="193"/>
      <c r="L301" s="193"/>
      <c r="M301" s="193"/>
      <c r="N301" s="193"/>
      <c r="O301" s="193"/>
      <c r="P301" s="193"/>
      <c r="Q301" s="193"/>
      <c r="R301" s="193"/>
      <c r="S301" s="193"/>
      <c r="T301" s="193"/>
      <c r="U301" s="193"/>
      <c r="V301" s="193"/>
      <c r="W301" s="917"/>
      <c r="X301" s="193"/>
      <c r="Y301" s="193"/>
      <c r="Z301" s="193"/>
      <c r="AA301" s="193"/>
      <c r="AB301" s="193"/>
      <c r="AC301" s="193"/>
      <c r="AD301" s="193"/>
      <c r="AE301" s="193"/>
      <c r="AF301" s="193"/>
      <c r="AG301" s="193"/>
      <c r="AH301" s="193"/>
      <c r="AI301" s="193"/>
      <c r="AJ301" s="193"/>
      <c r="AK301" s="917"/>
      <c r="AL301" s="193"/>
      <c r="AM301" s="193"/>
      <c r="AN301" s="193"/>
      <c r="AO301" s="193"/>
      <c r="AP301" s="193"/>
      <c r="AQ301" s="193"/>
      <c r="AR301" s="193"/>
      <c r="AS301" s="193"/>
      <c r="AT301" s="193"/>
      <c r="AU301" s="193"/>
      <c r="AV301" s="193"/>
      <c r="AW301" s="193"/>
      <c r="AX301" s="193"/>
      <c r="AY301" s="193"/>
      <c r="AZ301" s="193"/>
      <c r="BA301" s="917"/>
      <c r="BB301" s="193"/>
      <c r="BC301" s="193"/>
      <c r="BD301" s="193"/>
      <c r="BE301" s="193"/>
      <c r="BF301" s="193"/>
      <c r="BG301" s="193"/>
      <c r="BH301" s="193"/>
      <c r="BI301" s="193"/>
      <c r="BJ301" s="193"/>
      <c r="BK301" s="193"/>
      <c r="BL301" s="193"/>
      <c r="BM301" s="193"/>
      <c r="BN301" s="193"/>
      <c r="BO301" s="917"/>
      <c r="BP301" s="193"/>
      <c r="BQ301" s="193"/>
      <c r="BR301" s="193"/>
      <c r="BS301" s="193"/>
      <c r="BT301" s="193"/>
      <c r="BU301" s="193"/>
      <c r="BV301" s="193"/>
      <c r="BW301" s="193"/>
      <c r="BX301" s="193"/>
      <c r="BY301" s="193"/>
      <c r="BZ301" s="193"/>
      <c r="CA301" s="193"/>
      <c r="CB301" s="158"/>
      <c r="CC301" s="193"/>
      <c r="CD301" s="193"/>
      <c r="CE301" s="193"/>
      <c r="CL301" s="334"/>
      <c r="CS301" s="158"/>
      <c r="CT301" s="158"/>
      <c r="CU301" s="158"/>
      <c r="CV301" s="316"/>
      <c r="DC301" s="334"/>
      <c r="DI301" s="158"/>
      <c r="DJ301" s="316"/>
      <c r="DQ301" s="334"/>
      <c r="DW301" s="158"/>
      <c r="EE301" s="334"/>
      <c r="EK301" s="158"/>
      <c r="EY301" s="158"/>
    </row>
    <row r="302" spans="2:155" s="192" customFormat="1" ht="18" customHeight="1">
      <c r="B302" s="193"/>
      <c r="C302" s="193"/>
      <c r="D302" s="193"/>
      <c r="E302" s="194"/>
      <c r="F302" s="193"/>
      <c r="G302" s="193"/>
      <c r="H302" s="193"/>
      <c r="I302" s="193"/>
      <c r="J302" s="193"/>
      <c r="K302" s="193"/>
      <c r="L302" s="193"/>
      <c r="M302" s="193"/>
      <c r="N302" s="193"/>
      <c r="O302" s="193"/>
      <c r="P302" s="193"/>
      <c r="Q302" s="193"/>
      <c r="R302" s="193"/>
      <c r="S302" s="193"/>
      <c r="T302" s="193"/>
      <c r="U302" s="193"/>
      <c r="V302" s="193"/>
      <c r="W302" s="917"/>
      <c r="X302" s="193"/>
      <c r="Y302" s="193"/>
      <c r="Z302" s="193"/>
      <c r="AA302" s="193"/>
      <c r="AB302" s="193"/>
      <c r="AC302" s="193"/>
      <c r="AD302" s="193"/>
      <c r="AE302" s="193"/>
      <c r="AF302" s="193"/>
      <c r="AG302" s="193"/>
      <c r="AH302" s="193"/>
      <c r="AI302" s="193"/>
      <c r="AJ302" s="193"/>
      <c r="AK302" s="917"/>
      <c r="AL302" s="193"/>
      <c r="AM302" s="193"/>
      <c r="AN302" s="193"/>
      <c r="AO302" s="193"/>
      <c r="AP302" s="193"/>
      <c r="AQ302" s="193"/>
      <c r="AR302" s="193"/>
      <c r="AS302" s="193"/>
      <c r="AT302" s="193"/>
      <c r="AU302" s="193"/>
      <c r="AV302" s="193"/>
      <c r="AW302" s="193"/>
      <c r="AX302" s="193"/>
      <c r="AY302" s="193"/>
      <c r="AZ302" s="193"/>
      <c r="BA302" s="917"/>
      <c r="BB302" s="193"/>
      <c r="BC302" s="193"/>
      <c r="BD302" s="193"/>
      <c r="BE302" s="193"/>
      <c r="BF302" s="193"/>
      <c r="BG302" s="193"/>
      <c r="BH302" s="193"/>
      <c r="BI302" s="193"/>
      <c r="BJ302" s="193"/>
      <c r="BK302" s="193"/>
      <c r="BL302" s="193"/>
      <c r="BM302" s="193"/>
      <c r="BN302" s="193"/>
      <c r="BO302" s="917"/>
      <c r="BP302" s="193"/>
      <c r="BQ302" s="193"/>
      <c r="BR302" s="193"/>
      <c r="BS302" s="193"/>
      <c r="BT302" s="193"/>
      <c r="BU302" s="193"/>
      <c r="BV302" s="193"/>
      <c r="BW302" s="193"/>
      <c r="BX302" s="193"/>
      <c r="BY302" s="193"/>
      <c r="BZ302" s="193"/>
      <c r="CA302" s="193"/>
      <c r="CB302" s="158"/>
      <c r="CC302" s="193"/>
      <c r="CD302" s="193"/>
      <c r="CE302" s="193"/>
      <c r="CL302" s="334"/>
      <c r="CS302" s="158"/>
      <c r="CT302" s="158"/>
      <c r="CU302" s="158"/>
      <c r="CV302" s="316"/>
      <c r="DC302" s="334"/>
      <c r="DI302" s="158"/>
      <c r="DJ302" s="316"/>
      <c r="DQ302" s="334"/>
      <c r="DW302" s="158"/>
      <c r="EE302" s="334"/>
      <c r="EK302" s="158"/>
      <c r="EY302" s="158"/>
    </row>
    <row r="303" spans="2:155" s="192" customFormat="1" ht="18" customHeight="1">
      <c r="B303" s="193"/>
      <c r="C303" s="193"/>
      <c r="D303" s="193"/>
      <c r="E303" s="194"/>
      <c r="F303" s="193"/>
      <c r="G303" s="193"/>
      <c r="H303" s="193"/>
      <c r="I303" s="193"/>
      <c r="J303" s="193"/>
      <c r="K303" s="193"/>
      <c r="L303" s="193"/>
      <c r="M303" s="193"/>
      <c r="N303" s="193"/>
      <c r="O303" s="193"/>
      <c r="P303" s="193"/>
      <c r="Q303" s="193"/>
      <c r="R303" s="193"/>
      <c r="S303" s="193"/>
      <c r="T303" s="193"/>
      <c r="U303" s="193"/>
      <c r="V303" s="193"/>
      <c r="W303" s="917"/>
      <c r="X303" s="193"/>
      <c r="Y303" s="193"/>
      <c r="Z303" s="193"/>
      <c r="AA303" s="193"/>
      <c r="AB303" s="193"/>
      <c r="AC303" s="193"/>
      <c r="AD303" s="193"/>
      <c r="AE303" s="193"/>
      <c r="AF303" s="193"/>
      <c r="AG303" s="193"/>
      <c r="AH303" s="193"/>
      <c r="AI303" s="193"/>
      <c r="AJ303" s="193"/>
      <c r="AK303" s="917"/>
      <c r="AL303" s="193"/>
      <c r="AM303" s="193"/>
      <c r="AN303" s="193"/>
      <c r="AO303" s="193"/>
      <c r="AP303" s="193"/>
      <c r="AQ303" s="193"/>
      <c r="AR303" s="193"/>
      <c r="AS303" s="193"/>
      <c r="AT303" s="193"/>
      <c r="AU303" s="193"/>
      <c r="AV303" s="193"/>
      <c r="AW303" s="193"/>
      <c r="AX303" s="193"/>
      <c r="AY303" s="193"/>
      <c r="AZ303" s="193"/>
      <c r="BA303" s="917"/>
      <c r="BB303" s="193"/>
      <c r="BC303" s="193"/>
      <c r="BD303" s="193"/>
      <c r="BE303" s="193"/>
      <c r="BF303" s="193"/>
      <c r="BG303" s="193"/>
      <c r="BH303" s="193"/>
      <c r="BI303" s="193"/>
      <c r="BJ303" s="193"/>
      <c r="BK303" s="193"/>
      <c r="BL303" s="193"/>
      <c r="BM303" s="193"/>
      <c r="BN303" s="193"/>
      <c r="BO303" s="917"/>
      <c r="BP303" s="193"/>
      <c r="BQ303" s="193"/>
      <c r="BR303" s="193"/>
      <c r="BS303" s="193"/>
      <c r="BT303" s="193"/>
      <c r="BU303" s="193"/>
      <c r="BV303" s="193"/>
      <c r="BW303" s="193"/>
      <c r="BX303" s="193"/>
      <c r="BY303" s="193"/>
      <c r="BZ303" s="193"/>
      <c r="CA303" s="193"/>
      <c r="CB303" s="158"/>
      <c r="CC303" s="193"/>
      <c r="CD303" s="193"/>
      <c r="CE303" s="193"/>
      <c r="CL303" s="334"/>
      <c r="CS303" s="158"/>
      <c r="CT303" s="158"/>
      <c r="CU303" s="158"/>
      <c r="CV303" s="316"/>
      <c r="DC303" s="334"/>
      <c r="DI303" s="158"/>
      <c r="DJ303" s="316"/>
      <c r="DQ303" s="334"/>
      <c r="DW303" s="158"/>
      <c r="EE303" s="334"/>
      <c r="EK303" s="158"/>
      <c r="EY303" s="158"/>
    </row>
    <row r="304" spans="2:155" s="192" customFormat="1" ht="18" customHeight="1">
      <c r="B304" s="193"/>
      <c r="C304" s="193"/>
      <c r="D304" s="193"/>
      <c r="E304" s="194"/>
      <c r="F304" s="193"/>
      <c r="G304" s="193"/>
      <c r="H304" s="193"/>
      <c r="I304" s="193"/>
      <c r="J304" s="193"/>
      <c r="K304" s="193"/>
      <c r="L304" s="193"/>
      <c r="M304" s="193"/>
      <c r="N304" s="193"/>
      <c r="O304" s="193"/>
      <c r="P304" s="193"/>
      <c r="Q304" s="193"/>
      <c r="R304" s="193"/>
      <c r="S304" s="193"/>
      <c r="T304" s="193"/>
      <c r="U304" s="193"/>
      <c r="V304" s="193"/>
      <c r="W304" s="917"/>
      <c r="X304" s="193"/>
      <c r="Y304" s="193"/>
      <c r="Z304" s="193"/>
      <c r="AA304" s="193"/>
      <c r="AB304" s="193"/>
      <c r="AC304" s="193"/>
      <c r="AD304" s="193"/>
      <c r="AE304" s="193"/>
      <c r="AF304" s="193"/>
      <c r="AG304" s="193"/>
      <c r="AH304" s="193"/>
      <c r="AI304" s="193"/>
      <c r="AJ304" s="193"/>
      <c r="AK304" s="917"/>
      <c r="AL304" s="193"/>
      <c r="AM304" s="193"/>
      <c r="AN304" s="193"/>
      <c r="AO304" s="193"/>
      <c r="AP304" s="193"/>
      <c r="AQ304" s="193"/>
      <c r="AR304" s="193"/>
      <c r="AS304" s="193"/>
      <c r="AT304" s="193"/>
      <c r="AU304" s="193"/>
      <c r="AV304" s="193"/>
      <c r="AW304" s="193"/>
      <c r="AX304" s="193"/>
      <c r="AY304" s="193"/>
      <c r="AZ304" s="193"/>
      <c r="BA304" s="917"/>
      <c r="BB304" s="193"/>
      <c r="BC304" s="193"/>
      <c r="BD304" s="193"/>
      <c r="BE304" s="193"/>
      <c r="BF304" s="193"/>
      <c r="BG304" s="193"/>
      <c r="BH304" s="193"/>
      <c r="BI304" s="193"/>
      <c r="BJ304" s="193"/>
      <c r="BK304" s="193"/>
      <c r="BL304" s="193"/>
      <c r="BM304" s="193"/>
      <c r="BN304" s="193"/>
      <c r="BO304" s="917"/>
      <c r="BP304" s="193"/>
      <c r="BQ304" s="193"/>
      <c r="BR304" s="193"/>
      <c r="BS304" s="193"/>
      <c r="BT304" s="193"/>
      <c r="BU304" s="193"/>
      <c r="BV304" s="193"/>
      <c r="BW304" s="193"/>
      <c r="BX304" s="193"/>
      <c r="BY304" s="193"/>
      <c r="BZ304" s="193"/>
      <c r="CA304" s="193"/>
      <c r="CB304" s="158"/>
      <c r="CC304" s="193"/>
      <c r="CD304" s="193"/>
      <c r="CE304" s="193"/>
      <c r="CL304" s="334"/>
      <c r="CS304" s="158"/>
      <c r="CT304" s="158"/>
      <c r="CU304" s="158"/>
      <c r="CV304" s="316"/>
      <c r="DC304" s="334"/>
      <c r="DI304" s="158"/>
      <c r="DJ304" s="316"/>
      <c r="DQ304" s="334"/>
      <c r="DW304" s="158"/>
      <c r="EE304" s="334"/>
      <c r="EK304" s="158"/>
      <c r="EY304" s="158"/>
    </row>
    <row r="305" spans="2:155" s="192" customFormat="1" ht="18" customHeight="1">
      <c r="B305" s="193"/>
      <c r="C305" s="193"/>
      <c r="D305" s="193"/>
      <c r="E305" s="194"/>
      <c r="F305" s="193"/>
      <c r="G305" s="193"/>
      <c r="H305" s="193"/>
      <c r="I305" s="193"/>
      <c r="J305" s="193"/>
      <c r="K305" s="193"/>
      <c r="L305" s="193"/>
      <c r="M305" s="193"/>
      <c r="N305" s="193"/>
      <c r="O305" s="193"/>
      <c r="P305" s="193"/>
      <c r="Q305" s="193"/>
      <c r="R305" s="193"/>
      <c r="S305" s="193"/>
      <c r="T305" s="193"/>
      <c r="U305" s="193"/>
      <c r="V305" s="193"/>
      <c r="W305" s="917"/>
      <c r="X305" s="193"/>
      <c r="Y305" s="193"/>
      <c r="Z305" s="193"/>
      <c r="AA305" s="193"/>
      <c r="AB305" s="193"/>
      <c r="AC305" s="193"/>
      <c r="AD305" s="193"/>
      <c r="AE305" s="193"/>
      <c r="AF305" s="193"/>
      <c r="AG305" s="193"/>
      <c r="AH305" s="193"/>
      <c r="AI305" s="193"/>
      <c r="AJ305" s="193"/>
      <c r="AK305" s="917"/>
      <c r="AL305" s="193"/>
      <c r="AM305" s="193"/>
      <c r="AN305" s="193"/>
      <c r="AO305" s="193"/>
      <c r="AP305" s="193"/>
      <c r="AQ305" s="193"/>
      <c r="AR305" s="193"/>
      <c r="AS305" s="193"/>
      <c r="AT305" s="193"/>
      <c r="AU305" s="193"/>
      <c r="AV305" s="193"/>
      <c r="AW305" s="193"/>
      <c r="AX305" s="193"/>
      <c r="AY305" s="193"/>
      <c r="AZ305" s="193"/>
      <c r="BA305" s="917"/>
      <c r="BB305" s="193"/>
      <c r="BC305" s="193"/>
      <c r="BD305" s="193"/>
      <c r="BE305" s="193"/>
      <c r="BF305" s="193"/>
      <c r="BG305" s="193"/>
      <c r="BH305" s="193"/>
      <c r="BI305" s="193"/>
      <c r="BJ305" s="193"/>
      <c r="BK305" s="193"/>
      <c r="BL305" s="193"/>
      <c r="BM305" s="193"/>
      <c r="BN305" s="193"/>
      <c r="BO305" s="917"/>
      <c r="BP305" s="193"/>
      <c r="BQ305" s="193"/>
      <c r="BR305" s="193"/>
      <c r="BS305" s="193"/>
      <c r="BT305" s="193"/>
      <c r="BU305" s="193"/>
      <c r="BV305" s="193"/>
      <c r="BW305" s="193"/>
      <c r="BX305" s="193"/>
      <c r="BY305" s="193"/>
      <c r="BZ305" s="193"/>
      <c r="CA305" s="193"/>
      <c r="CB305" s="158"/>
      <c r="CC305" s="193"/>
      <c r="CD305" s="193"/>
      <c r="CE305" s="193"/>
      <c r="CL305" s="334"/>
      <c r="CS305" s="158"/>
      <c r="CT305" s="158"/>
      <c r="CU305" s="158"/>
      <c r="CV305" s="316"/>
      <c r="DC305" s="334"/>
      <c r="DI305" s="158"/>
      <c r="DJ305" s="316"/>
      <c r="DQ305" s="334"/>
      <c r="DW305" s="158"/>
      <c r="EE305" s="334"/>
      <c r="EK305" s="158"/>
      <c r="EY305" s="158"/>
    </row>
    <row r="306" spans="2:155" s="192" customFormat="1" ht="18" customHeight="1">
      <c r="B306" s="193"/>
      <c r="C306" s="193"/>
      <c r="D306" s="193"/>
      <c r="E306" s="194"/>
      <c r="F306" s="193"/>
      <c r="G306" s="193"/>
      <c r="H306" s="193"/>
      <c r="I306" s="193"/>
      <c r="J306" s="193"/>
      <c r="K306" s="193"/>
      <c r="L306" s="193"/>
      <c r="M306" s="193"/>
      <c r="N306" s="193"/>
      <c r="O306" s="193"/>
      <c r="P306" s="193"/>
      <c r="Q306" s="193"/>
      <c r="R306" s="193"/>
      <c r="S306" s="193"/>
      <c r="T306" s="193"/>
      <c r="U306" s="193"/>
      <c r="V306" s="193"/>
      <c r="W306" s="917"/>
      <c r="X306" s="193"/>
      <c r="Y306" s="193"/>
      <c r="Z306" s="193"/>
      <c r="AA306" s="193"/>
      <c r="AB306" s="193"/>
      <c r="AC306" s="193"/>
      <c r="AD306" s="193"/>
      <c r="AE306" s="193"/>
      <c r="AF306" s="193"/>
      <c r="AG306" s="193"/>
      <c r="AH306" s="193"/>
      <c r="AI306" s="193"/>
      <c r="AJ306" s="193"/>
      <c r="AK306" s="917"/>
      <c r="AL306" s="193"/>
      <c r="AM306" s="193"/>
      <c r="AN306" s="193"/>
      <c r="AO306" s="193"/>
      <c r="AP306" s="193"/>
      <c r="AQ306" s="193"/>
      <c r="AR306" s="193"/>
      <c r="AS306" s="193"/>
      <c r="AT306" s="193"/>
      <c r="AU306" s="193"/>
      <c r="AV306" s="193"/>
      <c r="AW306" s="193"/>
      <c r="AX306" s="193"/>
      <c r="AY306" s="193"/>
      <c r="AZ306" s="193"/>
      <c r="BA306" s="917"/>
      <c r="BB306" s="193"/>
      <c r="BC306" s="193"/>
      <c r="BD306" s="193"/>
      <c r="BE306" s="193"/>
      <c r="BF306" s="193"/>
      <c r="BG306" s="193"/>
      <c r="BH306" s="193"/>
      <c r="BI306" s="193"/>
      <c r="BJ306" s="193"/>
      <c r="BK306" s="193"/>
      <c r="BL306" s="193"/>
      <c r="BM306" s="193"/>
      <c r="BN306" s="193"/>
      <c r="BO306" s="917"/>
      <c r="BP306" s="193"/>
      <c r="BQ306" s="193"/>
      <c r="BR306" s="193"/>
      <c r="BS306" s="193"/>
      <c r="BT306" s="193"/>
      <c r="BU306" s="193"/>
      <c r="BV306" s="193"/>
      <c r="BW306" s="193"/>
      <c r="BX306" s="193"/>
      <c r="BY306" s="193"/>
      <c r="BZ306" s="193"/>
      <c r="CA306" s="193"/>
      <c r="CB306" s="158"/>
      <c r="CC306" s="193"/>
      <c r="CD306" s="193"/>
      <c r="CE306" s="193"/>
      <c r="CL306" s="334"/>
      <c r="CS306" s="158"/>
      <c r="CT306" s="158"/>
      <c r="CU306" s="158"/>
      <c r="CV306" s="316"/>
      <c r="DC306" s="334"/>
      <c r="DI306" s="158"/>
      <c r="DJ306" s="316"/>
      <c r="DQ306" s="334"/>
      <c r="DW306" s="158"/>
      <c r="EE306" s="334"/>
      <c r="EK306" s="158"/>
      <c r="EY306" s="158"/>
    </row>
    <row r="307" spans="2:155" s="192" customFormat="1" ht="18" customHeight="1">
      <c r="B307" s="193"/>
      <c r="C307" s="193"/>
      <c r="D307" s="193"/>
      <c r="E307" s="194"/>
      <c r="F307" s="193"/>
      <c r="G307" s="193"/>
      <c r="H307" s="193"/>
      <c r="I307" s="193"/>
      <c r="J307" s="193"/>
      <c r="K307" s="193"/>
      <c r="L307" s="193"/>
      <c r="M307" s="193"/>
      <c r="N307" s="193"/>
      <c r="O307" s="193"/>
      <c r="P307" s="193"/>
      <c r="Q307" s="193"/>
      <c r="R307" s="193"/>
      <c r="S307" s="193"/>
      <c r="T307" s="193"/>
      <c r="U307" s="193"/>
      <c r="V307" s="193"/>
      <c r="W307" s="917"/>
      <c r="X307" s="193"/>
      <c r="Y307" s="193"/>
      <c r="Z307" s="193"/>
      <c r="AA307" s="193"/>
      <c r="AB307" s="193"/>
      <c r="AC307" s="193"/>
      <c r="AD307" s="193"/>
      <c r="AE307" s="193"/>
      <c r="AF307" s="193"/>
      <c r="AG307" s="193"/>
      <c r="AH307" s="193"/>
      <c r="AI307" s="193"/>
      <c r="AJ307" s="193"/>
      <c r="AK307" s="917"/>
      <c r="AL307" s="193"/>
      <c r="AM307" s="193"/>
      <c r="AN307" s="193"/>
      <c r="AO307" s="193"/>
      <c r="AP307" s="193"/>
      <c r="AQ307" s="193"/>
      <c r="AR307" s="193"/>
      <c r="AS307" s="193"/>
      <c r="AT307" s="193"/>
      <c r="AU307" s="193"/>
      <c r="AV307" s="193"/>
      <c r="AW307" s="193"/>
      <c r="AX307" s="193"/>
      <c r="AY307" s="193"/>
      <c r="AZ307" s="193"/>
      <c r="BA307" s="917"/>
      <c r="BB307" s="193"/>
      <c r="BC307" s="193"/>
      <c r="BD307" s="193"/>
      <c r="BE307" s="193"/>
      <c r="BF307" s="193"/>
      <c r="BG307" s="193"/>
      <c r="BH307" s="193"/>
      <c r="BI307" s="193"/>
      <c r="BJ307" s="193"/>
      <c r="BK307" s="193"/>
      <c r="BL307" s="193"/>
      <c r="BM307" s="193"/>
      <c r="BN307" s="193"/>
      <c r="BO307" s="917"/>
      <c r="BP307" s="193"/>
      <c r="BQ307" s="193"/>
      <c r="BR307" s="193"/>
      <c r="BS307" s="193"/>
      <c r="BT307" s="193"/>
      <c r="BU307" s="193"/>
      <c r="BV307" s="193"/>
      <c r="BW307" s="193"/>
      <c r="BX307" s="193"/>
      <c r="BY307" s="193"/>
      <c r="BZ307" s="193"/>
      <c r="CA307" s="193"/>
      <c r="CB307" s="158"/>
      <c r="CC307" s="193"/>
      <c r="CD307" s="193"/>
      <c r="CE307" s="193"/>
      <c r="CL307" s="334"/>
      <c r="CS307" s="158"/>
      <c r="CT307" s="158"/>
      <c r="CU307" s="158"/>
      <c r="CV307" s="316"/>
      <c r="DC307" s="334"/>
      <c r="DI307" s="158"/>
      <c r="DJ307" s="316"/>
      <c r="DQ307" s="334"/>
      <c r="DW307" s="158"/>
      <c r="EE307" s="334"/>
      <c r="EK307" s="158"/>
      <c r="EY307" s="158"/>
    </row>
    <row r="308" spans="2:155" s="192" customFormat="1" ht="18" customHeight="1">
      <c r="B308" s="193"/>
      <c r="C308" s="193"/>
      <c r="D308" s="193"/>
      <c r="E308" s="194"/>
      <c r="F308" s="193"/>
      <c r="G308" s="193"/>
      <c r="H308" s="193"/>
      <c r="I308" s="193"/>
      <c r="J308" s="193"/>
      <c r="K308" s="193"/>
      <c r="L308" s="193"/>
      <c r="M308" s="193"/>
      <c r="N308" s="193"/>
      <c r="O308" s="193"/>
      <c r="P308" s="193"/>
      <c r="Q308" s="193"/>
      <c r="R308" s="193"/>
      <c r="S308" s="193"/>
      <c r="T308" s="193"/>
      <c r="U308" s="193"/>
      <c r="V308" s="193"/>
      <c r="W308" s="917"/>
      <c r="X308" s="193"/>
      <c r="Y308" s="193"/>
      <c r="Z308" s="193"/>
      <c r="AA308" s="193"/>
      <c r="AB308" s="193"/>
      <c r="AC308" s="193"/>
      <c r="AD308" s="193"/>
      <c r="AE308" s="193"/>
      <c r="AF308" s="193"/>
      <c r="AG308" s="193"/>
      <c r="AH308" s="193"/>
      <c r="AI308" s="193"/>
      <c r="AJ308" s="193"/>
      <c r="AK308" s="917"/>
      <c r="AL308" s="193"/>
      <c r="AM308" s="193"/>
      <c r="AN308" s="193"/>
      <c r="AO308" s="193"/>
      <c r="AP308" s="193"/>
      <c r="AQ308" s="193"/>
      <c r="AR308" s="193"/>
      <c r="AS308" s="193"/>
      <c r="AT308" s="193"/>
      <c r="AU308" s="193"/>
      <c r="AV308" s="193"/>
      <c r="AW308" s="193"/>
      <c r="AX308" s="193"/>
      <c r="AY308" s="193"/>
      <c r="AZ308" s="193"/>
      <c r="BA308" s="917"/>
      <c r="BB308" s="193"/>
      <c r="BC308" s="193"/>
      <c r="BD308" s="193"/>
      <c r="BE308" s="193"/>
      <c r="BF308" s="193"/>
      <c r="BG308" s="193"/>
      <c r="BH308" s="193"/>
      <c r="BI308" s="193"/>
      <c r="BJ308" s="193"/>
      <c r="BK308" s="193"/>
      <c r="BL308" s="193"/>
      <c r="BM308" s="193"/>
      <c r="BN308" s="193"/>
      <c r="BO308" s="917"/>
      <c r="BP308" s="193"/>
      <c r="BQ308" s="193"/>
      <c r="BR308" s="193"/>
      <c r="BS308" s="193"/>
      <c r="BT308" s="193"/>
      <c r="BU308" s="193"/>
      <c r="BV308" s="193"/>
      <c r="BW308" s="193"/>
      <c r="BX308" s="193"/>
      <c r="BY308" s="193"/>
      <c r="BZ308" s="193"/>
      <c r="CA308" s="193"/>
      <c r="CB308" s="158"/>
      <c r="CC308" s="193"/>
      <c r="CD308" s="193"/>
      <c r="CE308" s="193"/>
      <c r="CL308" s="334"/>
      <c r="CS308" s="158"/>
      <c r="CT308" s="158"/>
      <c r="CU308" s="158"/>
      <c r="CV308" s="316"/>
      <c r="DC308" s="334"/>
      <c r="DI308" s="158"/>
      <c r="DJ308" s="316"/>
      <c r="DQ308" s="334"/>
      <c r="DW308" s="158"/>
      <c r="EE308" s="334"/>
      <c r="EK308" s="158"/>
      <c r="EY308" s="158"/>
    </row>
    <row r="309" spans="2:155" s="192" customFormat="1" ht="18" customHeight="1">
      <c r="B309" s="193"/>
      <c r="C309" s="193"/>
      <c r="D309" s="193"/>
      <c r="E309" s="194"/>
      <c r="F309" s="193"/>
      <c r="G309" s="193"/>
      <c r="H309" s="193"/>
      <c r="I309" s="193"/>
      <c r="J309" s="193"/>
      <c r="K309" s="193"/>
      <c r="L309" s="193"/>
      <c r="M309" s="193"/>
      <c r="N309" s="193"/>
      <c r="O309" s="193"/>
      <c r="P309" s="193"/>
      <c r="Q309" s="193"/>
      <c r="R309" s="193"/>
      <c r="S309" s="193"/>
      <c r="T309" s="193"/>
      <c r="U309" s="193"/>
      <c r="V309" s="193"/>
      <c r="W309" s="917"/>
      <c r="X309" s="193"/>
      <c r="Y309" s="193"/>
      <c r="Z309" s="193"/>
      <c r="AA309" s="193"/>
      <c r="AB309" s="193"/>
      <c r="AC309" s="193"/>
      <c r="AD309" s="193"/>
      <c r="AE309" s="193"/>
      <c r="AF309" s="193"/>
      <c r="AG309" s="193"/>
      <c r="AH309" s="193"/>
      <c r="AI309" s="193"/>
      <c r="AJ309" s="193"/>
      <c r="AK309" s="917"/>
      <c r="AL309" s="193"/>
      <c r="AM309" s="193"/>
      <c r="AN309" s="193"/>
      <c r="AO309" s="193"/>
      <c r="AP309" s="193"/>
      <c r="AQ309" s="193"/>
      <c r="AR309" s="193"/>
      <c r="AS309" s="193"/>
      <c r="AT309" s="193"/>
      <c r="AU309" s="193"/>
      <c r="AV309" s="193"/>
      <c r="AW309" s="193"/>
      <c r="AX309" s="193"/>
      <c r="AY309" s="193"/>
      <c r="AZ309" s="193"/>
      <c r="BA309" s="917"/>
      <c r="BB309" s="193"/>
      <c r="BC309" s="193"/>
      <c r="BD309" s="193"/>
      <c r="BE309" s="193"/>
      <c r="BF309" s="193"/>
      <c r="BG309" s="193"/>
      <c r="BH309" s="193"/>
      <c r="BI309" s="193"/>
      <c r="BJ309" s="193"/>
      <c r="BK309" s="193"/>
      <c r="BL309" s="193"/>
      <c r="BM309" s="193"/>
      <c r="BN309" s="193"/>
      <c r="BO309" s="917"/>
      <c r="BP309" s="193"/>
      <c r="BQ309" s="193"/>
      <c r="BR309" s="193"/>
      <c r="BS309" s="193"/>
      <c r="BT309" s="193"/>
      <c r="BU309" s="193"/>
      <c r="BV309" s="193"/>
      <c r="BW309" s="193"/>
      <c r="BX309" s="193"/>
      <c r="BY309" s="193"/>
      <c r="BZ309" s="193"/>
      <c r="CA309" s="193"/>
      <c r="CB309" s="158"/>
      <c r="CC309" s="193"/>
      <c r="CD309" s="193"/>
      <c r="CE309" s="193"/>
      <c r="CL309" s="334"/>
      <c r="CS309" s="158"/>
      <c r="CT309" s="158"/>
      <c r="CU309" s="158"/>
      <c r="CV309" s="316"/>
      <c r="DC309" s="334"/>
      <c r="DI309" s="158"/>
      <c r="DJ309" s="316"/>
      <c r="DQ309" s="334"/>
      <c r="DW309" s="158"/>
      <c r="EE309" s="334"/>
      <c r="EK309" s="158"/>
      <c r="EY309" s="158"/>
    </row>
    <row r="310" spans="2:155" s="192" customFormat="1" ht="18" customHeight="1">
      <c r="B310" s="193"/>
      <c r="C310" s="193"/>
      <c r="D310" s="193"/>
      <c r="E310" s="194"/>
      <c r="F310" s="193"/>
      <c r="G310" s="193"/>
      <c r="H310" s="193"/>
      <c r="I310" s="193"/>
      <c r="J310" s="193"/>
      <c r="K310" s="193"/>
      <c r="L310" s="193"/>
      <c r="M310" s="193"/>
      <c r="N310" s="193"/>
      <c r="O310" s="193"/>
      <c r="P310" s="193"/>
      <c r="Q310" s="193"/>
      <c r="R310" s="193"/>
      <c r="S310" s="193"/>
      <c r="T310" s="193"/>
      <c r="U310" s="193"/>
      <c r="V310" s="193"/>
      <c r="W310" s="917"/>
      <c r="X310" s="193"/>
      <c r="Y310" s="193"/>
      <c r="Z310" s="193"/>
      <c r="AA310" s="193"/>
      <c r="AB310" s="193"/>
      <c r="AC310" s="193"/>
      <c r="AD310" s="193"/>
      <c r="AE310" s="193"/>
      <c r="AF310" s="193"/>
      <c r="AG310" s="193"/>
      <c r="AH310" s="193"/>
      <c r="AI310" s="193"/>
      <c r="AJ310" s="193"/>
      <c r="AK310" s="917"/>
      <c r="AL310" s="193"/>
      <c r="AM310" s="193"/>
      <c r="AN310" s="193"/>
      <c r="AO310" s="193"/>
      <c r="AP310" s="193"/>
      <c r="AQ310" s="193"/>
      <c r="AR310" s="193"/>
      <c r="AS310" s="193"/>
      <c r="AT310" s="193"/>
      <c r="AU310" s="193"/>
      <c r="AV310" s="193"/>
      <c r="AW310" s="193"/>
      <c r="AX310" s="193"/>
      <c r="AY310" s="193"/>
      <c r="AZ310" s="193"/>
      <c r="BA310" s="917"/>
      <c r="BB310" s="193"/>
      <c r="BC310" s="193"/>
      <c r="BD310" s="193"/>
      <c r="BE310" s="193"/>
      <c r="BF310" s="193"/>
      <c r="BG310" s="193"/>
      <c r="BH310" s="193"/>
      <c r="BI310" s="193"/>
      <c r="BJ310" s="193"/>
      <c r="BK310" s="193"/>
      <c r="BL310" s="193"/>
      <c r="BM310" s="193"/>
      <c r="BN310" s="193"/>
      <c r="BO310" s="917"/>
      <c r="BP310" s="193"/>
      <c r="BQ310" s="193"/>
      <c r="BR310" s="193"/>
      <c r="BS310" s="193"/>
      <c r="BT310" s="193"/>
      <c r="BU310" s="193"/>
      <c r="BV310" s="193"/>
      <c r="BW310" s="193"/>
      <c r="BX310" s="193"/>
      <c r="BY310" s="193"/>
      <c r="BZ310" s="193"/>
      <c r="CA310" s="193"/>
      <c r="CB310" s="158"/>
      <c r="CC310" s="193"/>
      <c r="CD310" s="193"/>
      <c r="CE310" s="193"/>
      <c r="CL310" s="334"/>
      <c r="CS310" s="158"/>
      <c r="CT310" s="158"/>
      <c r="CU310" s="158"/>
      <c r="CV310" s="316"/>
      <c r="DC310" s="334"/>
      <c r="DI310" s="158"/>
      <c r="DJ310" s="316"/>
      <c r="DQ310" s="334"/>
      <c r="DW310" s="158"/>
      <c r="EE310" s="334"/>
      <c r="EK310" s="158"/>
      <c r="EY310" s="158"/>
    </row>
    <row r="311" spans="2:155" s="192" customFormat="1" ht="18" customHeight="1">
      <c r="B311" s="193"/>
      <c r="C311" s="193"/>
      <c r="D311" s="193"/>
      <c r="E311" s="194"/>
      <c r="F311" s="193"/>
      <c r="G311" s="193"/>
      <c r="H311" s="193"/>
      <c r="I311" s="193"/>
      <c r="J311" s="193"/>
      <c r="K311" s="193"/>
      <c r="L311" s="193"/>
      <c r="M311" s="193"/>
      <c r="N311" s="193"/>
      <c r="O311" s="193"/>
      <c r="P311" s="193"/>
      <c r="Q311" s="193"/>
      <c r="R311" s="193"/>
      <c r="S311" s="193"/>
      <c r="T311" s="193"/>
      <c r="U311" s="193"/>
      <c r="V311" s="193"/>
      <c r="W311" s="917"/>
      <c r="X311" s="193"/>
      <c r="Y311" s="193"/>
      <c r="Z311" s="193"/>
      <c r="AA311" s="193"/>
      <c r="AB311" s="193"/>
      <c r="AC311" s="193"/>
      <c r="AD311" s="193"/>
      <c r="AE311" s="193"/>
      <c r="AF311" s="193"/>
      <c r="AG311" s="193"/>
      <c r="AH311" s="193"/>
      <c r="AI311" s="193"/>
      <c r="AJ311" s="193"/>
      <c r="AK311" s="917"/>
      <c r="AL311" s="193"/>
      <c r="AM311" s="193"/>
      <c r="AN311" s="193"/>
      <c r="AO311" s="193"/>
      <c r="AP311" s="193"/>
      <c r="AQ311" s="193"/>
      <c r="AR311" s="193"/>
      <c r="AS311" s="193"/>
      <c r="AT311" s="193"/>
      <c r="AU311" s="193"/>
      <c r="AV311" s="193"/>
      <c r="AW311" s="193"/>
      <c r="AX311" s="193"/>
      <c r="AY311" s="193"/>
      <c r="AZ311" s="193"/>
      <c r="BA311" s="917"/>
      <c r="BB311" s="193"/>
      <c r="BC311" s="193"/>
      <c r="BD311" s="193"/>
      <c r="BE311" s="193"/>
      <c r="BF311" s="193"/>
      <c r="BG311" s="193"/>
      <c r="BH311" s="193"/>
      <c r="BI311" s="193"/>
      <c r="BJ311" s="193"/>
      <c r="BK311" s="193"/>
      <c r="BL311" s="193"/>
      <c r="BM311" s="193"/>
      <c r="BN311" s="193"/>
      <c r="BO311" s="917"/>
      <c r="BP311" s="193"/>
      <c r="BQ311" s="193"/>
      <c r="BR311" s="193"/>
      <c r="BS311" s="193"/>
      <c r="BT311" s="193"/>
      <c r="BU311" s="193"/>
      <c r="BV311" s="193"/>
      <c r="BW311" s="193"/>
      <c r="BX311" s="193"/>
      <c r="BY311" s="193"/>
      <c r="BZ311" s="193"/>
      <c r="CA311" s="193"/>
      <c r="CB311" s="158"/>
      <c r="CC311" s="193"/>
      <c r="CD311" s="193"/>
      <c r="CE311" s="193"/>
      <c r="CL311" s="334"/>
      <c r="CS311" s="158"/>
      <c r="CT311" s="158"/>
      <c r="CU311" s="158"/>
      <c r="CV311" s="316"/>
      <c r="DC311" s="334"/>
      <c r="DI311" s="158"/>
      <c r="DJ311" s="316"/>
      <c r="DQ311" s="334"/>
      <c r="DW311" s="158"/>
      <c r="EE311" s="334"/>
      <c r="EK311" s="158"/>
      <c r="EY311" s="158"/>
    </row>
    <row r="312" spans="2:155" s="192" customFormat="1" ht="18" customHeight="1">
      <c r="B312" s="193"/>
      <c r="C312" s="193"/>
      <c r="D312" s="193"/>
      <c r="E312" s="194"/>
      <c r="F312" s="193"/>
      <c r="G312" s="193"/>
      <c r="H312" s="193"/>
      <c r="I312" s="193"/>
      <c r="J312" s="193"/>
      <c r="K312" s="193"/>
      <c r="L312" s="193"/>
      <c r="M312" s="193"/>
      <c r="N312" s="193"/>
      <c r="O312" s="193"/>
      <c r="P312" s="193"/>
      <c r="Q312" s="193"/>
      <c r="R312" s="193"/>
      <c r="S312" s="193"/>
      <c r="T312" s="193"/>
      <c r="U312" s="193"/>
      <c r="V312" s="193"/>
      <c r="W312" s="917"/>
      <c r="X312" s="193"/>
      <c r="Y312" s="193"/>
      <c r="Z312" s="193"/>
      <c r="AA312" s="193"/>
      <c r="AB312" s="193"/>
      <c r="AC312" s="193"/>
      <c r="AD312" s="193"/>
      <c r="AE312" s="193"/>
      <c r="AF312" s="193"/>
      <c r="AG312" s="193"/>
      <c r="AH312" s="193"/>
      <c r="AI312" s="193"/>
      <c r="AJ312" s="193"/>
      <c r="AK312" s="917"/>
      <c r="AL312" s="193"/>
      <c r="AM312" s="193"/>
      <c r="AN312" s="193"/>
      <c r="AO312" s="193"/>
      <c r="AP312" s="193"/>
      <c r="AQ312" s="193"/>
      <c r="AR312" s="193"/>
      <c r="AS312" s="193"/>
      <c r="AT312" s="193"/>
      <c r="AU312" s="193"/>
      <c r="AV312" s="193"/>
      <c r="AW312" s="193"/>
      <c r="AX312" s="193"/>
      <c r="AY312" s="193"/>
      <c r="AZ312" s="193"/>
      <c r="BA312" s="917"/>
      <c r="BB312" s="193"/>
      <c r="BC312" s="193"/>
      <c r="BD312" s="193"/>
      <c r="BE312" s="193"/>
      <c r="BF312" s="193"/>
      <c r="BG312" s="193"/>
      <c r="BH312" s="193"/>
      <c r="BI312" s="193"/>
      <c r="BJ312" s="193"/>
      <c r="BK312" s="193"/>
      <c r="BL312" s="193"/>
      <c r="BM312" s="193"/>
      <c r="BN312" s="193"/>
      <c r="BO312" s="917"/>
      <c r="BP312" s="193"/>
      <c r="BQ312" s="193"/>
      <c r="BR312" s="193"/>
      <c r="BS312" s="193"/>
      <c r="BT312" s="193"/>
      <c r="BU312" s="193"/>
      <c r="BV312" s="193"/>
      <c r="BW312" s="193"/>
      <c r="BX312" s="193"/>
      <c r="BY312" s="193"/>
      <c r="BZ312" s="193"/>
      <c r="CA312" s="193"/>
      <c r="CB312" s="158"/>
      <c r="CC312" s="193"/>
      <c r="CD312" s="193"/>
      <c r="CE312" s="193"/>
      <c r="CL312" s="334"/>
      <c r="CS312" s="158"/>
      <c r="CT312" s="158"/>
      <c r="CU312" s="158"/>
      <c r="CV312" s="316"/>
      <c r="DC312" s="334"/>
      <c r="DI312" s="158"/>
      <c r="DJ312" s="316"/>
      <c r="DQ312" s="334"/>
      <c r="DW312" s="158"/>
      <c r="EE312" s="334"/>
      <c r="EK312" s="158"/>
      <c r="EY312" s="158"/>
    </row>
    <row r="313" spans="2:155" s="192" customFormat="1" ht="18" customHeight="1">
      <c r="B313" s="193"/>
      <c r="C313" s="193"/>
      <c r="D313" s="193"/>
      <c r="E313" s="194"/>
      <c r="F313" s="193"/>
      <c r="G313" s="193"/>
      <c r="H313" s="193"/>
      <c r="I313" s="193"/>
      <c r="J313" s="193"/>
      <c r="K313" s="193"/>
      <c r="L313" s="193"/>
      <c r="M313" s="193"/>
      <c r="N313" s="193"/>
      <c r="O313" s="193"/>
      <c r="P313" s="193"/>
      <c r="Q313" s="193"/>
      <c r="R313" s="193"/>
      <c r="S313" s="193"/>
      <c r="T313" s="193"/>
      <c r="U313" s="193"/>
      <c r="V313" s="193"/>
      <c r="W313" s="917"/>
      <c r="X313" s="193"/>
      <c r="Y313" s="193"/>
      <c r="Z313" s="193"/>
      <c r="AA313" s="193"/>
      <c r="AB313" s="193"/>
      <c r="AC313" s="193"/>
      <c r="AD313" s="193"/>
      <c r="AE313" s="193"/>
      <c r="AF313" s="193"/>
      <c r="AG313" s="193"/>
      <c r="AH313" s="193"/>
      <c r="AI313" s="193"/>
      <c r="AJ313" s="193"/>
      <c r="AK313" s="917"/>
      <c r="AL313" s="193"/>
      <c r="AM313" s="193"/>
      <c r="AN313" s="193"/>
      <c r="AO313" s="193"/>
      <c r="AP313" s="193"/>
      <c r="AQ313" s="193"/>
      <c r="AR313" s="193"/>
      <c r="AS313" s="193"/>
      <c r="AT313" s="193"/>
      <c r="AU313" s="193"/>
      <c r="AV313" s="193"/>
      <c r="AW313" s="193"/>
      <c r="AX313" s="193"/>
      <c r="AY313" s="193"/>
      <c r="AZ313" s="193"/>
      <c r="BA313" s="917"/>
      <c r="BB313" s="193"/>
      <c r="BC313" s="193"/>
      <c r="BD313" s="193"/>
      <c r="BE313" s="193"/>
      <c r="BF313" s="193"/>
      <c r="BG313" s="193"/>
      <c r="BH313" s="193"/>
      <c r="BI313" s="193"/>
      <c r="BJ313" s="193"/>
      <c r="BK313" s="193"/>
      <c r="BL313" s="193"/>
      <c r="BM313" s="193"/>
      <c r="BN313" s="193"/>
      <c r="BO313" s="917"/>
      <c r="BP313" s="193"/>
      <c r="BQ313" s="193"/>
      <c r="BR313" s="193"/>
      <c r="BS313" s="193"/>
      <c r="BT313" s="193"/>
      <c r="BU313" s="193"/>
      <c r="BV313" s="193"/>
      <c r="BW313" s="193"/>
      <c r="BX313" s="193"/>
      <c r="BY313" s="193"/>
      <c r="BZ313" s="193"/>
      <c r="CA313" s="193"/>
      <c r="CB313" s="158"/>
      <c r="CC313" s="193"/>
      <c r="CD313" s="193"/>
      <c r="CE313" s="193"/>
      <c r="CL313" s="334"/>
      <c r="CS313" s="158"/>
      <c r="CT313" s="158"/>
      <c r="CU313" s="158"/>
      <c r="CV313" s="316"/>
      <c r="DC313" s="334"/>
      <c r="DI313" s="158"/>
      <c r="DJ313" s="316"/>
      <c r="DQ313" s="334"/>
      <c r="DW313" s="158"/>
      <c r="EE313" s="334"/>
      <c r="EK313" s="158"/>
      <c r="EY313" s="158"/>
    </row>
    <row r="314" spans="2:155" s="192" customFormat="1" ht="18" customHeight="1">
      <c r="B314" s="193"/>
      <c r="C314" s="193"/>
      <c r="D314" s="193"/>
      <c r="E314" s="194"/>
      <c r="F314" s="193"/>
      <c r="G314" s="193"/>
      <c r="H314" s="193"/>
      <c r="I314" s="193"/>
      <c r="J314" s="193"/>
      <c r="K314" s="193"/>
      <c r="L314" s="193"/>
      <c r="M314" s="193"/>
      <c r="N314" s="193"/>
      <c r="O314" s="193"/>
      <c r="P314" s="193"/>
      <c r="Q314" s="193"/>
      <c r="R314" s="193"/>
      <c r="S314" s="193"/>
      <c r="T314" s="193"/>
      <c r="U314" s="193"/>
      <c r="V314" s="193"/>
      <c r="W314" s="917"/>
      <c r="X314" s="193"/>
      <c r="Y314" s="193"/>
      <c r="Z314" s="193"/>
      <c r="AA314" s="193"/>
      <c r="AB314" s="193"/>
      <c r="AC314" s="193"/>
      <c r="AD314" s="193"/>
      <c r="AE314" s="193"/>
      <c r="AF314" s="193"/>
      <c r="AG314" s="193"/>
      <c r="AH314" s="193"/>
      <c r="AI314" s="193"/>
      <c r="AJ314" s="193"/>
      <c r="AK314" s="917"/>
      <c r="AL314" s="193"/>
      <c r="AM314" s="193"/>
      <c r="AN314" s="193"/>
      <c r="AO314" s="193"/>
      <c r="AP314" s="193"/>
      <c r="AQ314" s="193"/>
      <c r="AR314" s="193"/>
      <c r="AS314" s="193"/>
      <c r="AT314" s="193"/>
      <c r="AU314" s="193"/>
      <c r="AV314" s="193"/>
      <c r="AW314" s="193"/>
      <c r="AX314" s="193"/>
      <c r="AY314" s="193"/>
      <c r="AZ314" s="193"/>
      <c r="BA314" s="917"/>
      <c r="BB314" s="193"/>
      <c r="BC314" s="193"/>
      <c r="BD314" s="193"/>
      <c r="BE314" s="193"/>
      <c r="BF314" s="193"/>
      <c r="BG314" s="193"/>
      <c r="BH314" s="193"/>
      <c r="BI314" s="193"/>
      <c r="BJ314" s="193"/>
      <c r="BK314" s="193"/>
      <c r="BL314" s="193"/>
      <c r="BM314" s="193"/>
      <c r="BN314" s="193"/>
      <c r="BO314" s="917"/>
      <c r="BP314" s="193"/>
      <c r="BQ314" s="193"/>
      <c r="BR314" s="193"/>
      <c r="BS314" s="193"/>
      <c r="BT314" s="193"/>
      <c r="BU314" s="193"/>
      <c r="BV314" s="193"/>
      <c r="BW314" s="193"/>
      <c r="BX314" s="193"/>
      <c r="BY314" s="193"/>
      <c r="BZ314" s="193"/>
      <c r="CA314" s="193"/>
      <c r="CB314" s="158"/>
      <c r="CC314" s="193"/>
      <c r="CD314" s="193"/>
      <c r="CE314" s="193"/>
      <c r="CL314" s="334"/>
      <c r="CS314" s="158"/>
      <c r="CT314" s="158"/>
      <c r="CU314" s="158"/>
      <c r="CV314" s="316"/>
      <c r="DC314" s="334"/>
      <c r="DI314" s="158"/>
      <c r="DJ314" s="316"/>
      <c r="DQ314" s="334"/>
      <c r="DW314" s="158"/>
      <c r="EE314" s="334"/>
      <c r="EK314" s="158"/>
      <c r="EY314" s="158"/>
    </row>
    <row r="315" spans="2:155" s="192" customFormat="1" ht="18" customHeight="1">
      <c r="B315" s="193"/>
      <c r="C315" s="193"/>
      <c r="D315" s="193"/>
      <c r="E315" s="194"/>
      <c r="F315" s="193"/>
      <c r="G315" s="193"/>
      <c r="H315" s="193"/>
      <c r="I315" s="193"/>
      <c r="J315" s="193"/>
      <c r="K315" s="193"/>
      <c r="L315" s="193"/>
      <c r="M315" s="193"/>
      <c r="N315" s="193"/>
      <c r="O315" s="193"/>
      <c r="P315" s="193"/>
      <c r="Q315" s="193"/>
      <c r="R315" s="193"/>
      <c r="S315" s="193"/>
      <c r="T315" s="193"/>
      <c r="U315" s="193"/>
      <c r="V315" s="193"/>
      <c r="W315" s="917"/>
      <c r="X315" s="193"/>
      <c r="Y315" s="193"/>
      <c r="Z315" s="193"/>
      <c r="AA315" s="193"/>
      <c r="AB315" s="193"/>
      <c r="AC315" s="193"/>
      <c r="AD315" s="193"/>
      <c r="AE315" s="193"/>
      <c r="AF315" s="193"/>
      <c r="AG315" s="193"/>
      <c r="AH315" s="193"/>
      <c r="AI315" s="193"/>
      <c r="AJ315" s="193"/>
      <c r="AK315" s="917"/>
      <c r="AL315" s="193"/>
      <c r="AM315" s="193"/>
      <c r="AN315" s="193"/>
      <c r="AO315" s="193"/>
      <c r="AP315" s="193"/>
      <c r="AQ315" s="193"/>
      <c r="AR315" s="193"/>
      <c r="AS315" s="193"/>
      <c r="AT315" s="193"/>
      <c r="AU315" s="193"/>
      <c r="AV315" s="193"/>
      <c r="AW315" s="193"/>
      <c r="AX315" s="193"/>
      <c r="AY315" s="193"/>
      <c r="AZ315" s="193"/>
      <c r="BA315" s="917"/>
      <c r="BB315" s="193"/>
      <c r="BC315" s="193"/>
      <c r="BD315" s="193"/>
      <c r="BE315" s="193"/>
      <c r="BF315" s="193"/>
      <c r="BG315" s="193"/>
      <c r="BH315" s="193"/>
      <c r="BI315" s="193"/>
      <c r="BJ315" s="193"/>
      <c r="BK315" s="193"/>
      <c r="BL315" s="193"/>
      <c r="BM315" s="193"/>
      <c r="BN315" s="193"/>
      <c r="BO315" s="917"/>
      <c r="BP315" s="193"/>
      <c r="BQ315" s="193"/>
      <c r="BR315" s="193"/>
      <c r="BS315" s="193"/>
      <c r="BT315" s="193"/>
      <c r="BU315" s="193"/>
      <c r="BV315" s="193"/>
      <c r="BW315" s="193"/>
      <c r="BX315" s="193"/>
      <c r="BY315" s="193"/>
      <c r="BZ315" s="193"/>
      <c r="CA315" s="193"/>
      <c r="CB315" s="158"/>
      <c r="CC315" s="193"/>
      <c r="CD315" s="193"/>
      <c r="CE315" s="193"/>
      <c r="CL315" s="334"/>
      <c r="CS315" s="158"/>
      <c r="CT315" s="158"/>
      <c r="CU315" s="158"/>
      <c r="CV315" s="316"/>
      <c r="DC315" s="334"/>
      <c r="DI315" s="158"/>
      <c r="DJ315" s="316"/>
      <c r="DQ315" s="334"/>
      <c r="DW315" s="158"/>
      <c r="EE315" s="334"/>
      <c r="EK315" s="158"/>
      <c r="EY315" s="158"/>
    </row>
    <row r="316" spans="2:155" s="192" customFormat="1" ht="18" customHeight="1">
      <c r="B316" s="193"/>
      <c r="C316" s="193"/>
      <c r="D316" s="193"/>
      <c r="E316" s="194"/>
      <c r="F316" s="193"/>
      <c r="G316" s="193"/>
      <c r="H316" s="193"/>
      <c r="I316" s="193"/>
      <c r="J316" s="193"/>
      <c r="K316" s="193"/>
      <c r="L316" s="193"/>
      <c r="M316" s="193"/>
      <c r="N316" s="193"/>
      <c r="O316" s="193"/>
      <c r="P316" s="193"/>
      <c r="Q316" s="193"/>
      <c r="R316" s="193"/>
      <c r="S316" s="193"/>
      <c r="T316" s="193"/>
      <c r="U316" s="193"/>
      <c r="V316" s="193"/>
      <c r="W316" s="917"/>
      <c r="X316" s="193"/>
      <c r="Y316" s="193"/>
      <c r="Z316" s="193"/>
      <c r="AA316" s="193"/>
      <c r="AB316" s="193"/>
      <c r="AC316" s="193"/>
      <c r="AD316" s="193"/>
      <c r="AE316" s="193"/>
      <c r="AF316" s="193"/>
      <c r="AG316" s="193"/>
      <c r="AH316" s="193"/>
      <c r="AI316" s="193"/>
      <c r="AJ316" s="193"/>
      <c r="AK316" s="917"/>
      <c r="AL316" s="193"/>
      <c r="AM316" s="193"/>
      <c r="AN316" s="193"/>
      <c r="AO316" s="193"/>
      <c r="AP316" s="193"/>
      <c r="AQ316" s="193"/>
      <c r="AR316" s="193"/>
      <c r="AS316" s="193"/>
      <c r="AT316" s="193"/>
      <c r="AU316" s="193"/>
      <c r="AV316" s="193"/>
      <c r="AW316" s="193"/>
      <c r="AX316" s="193"/>
      <c r="AY316" s="193"/>
      <c r="AZ316" s="193"/>
      <c r="BA316" s="917"/>
      <c r="BB316" s="193"/>
      <c r="BC316" s="193"/>
      <c r="BD316" s="193"/>
      <c r="BE316" s="193"/>
      <c r="BF316" s="193"/>
      <c r="BG316" s="193"/>
      <c r="BH316" s="193"/>
      <c r="BI316" s="193"/>
      <c r="BJ316" s="193"/>
      <c r="BK316" s="193"/>
      <c r="BL316" s="193"/>
      <c r="BM316" s="193"/>
      <c r="BN316" s="193"/>
      <c r="BO316" s="917"/>
      <c r="BP316" s="193"/>
      <c r="BQ316" s="193"/>
      <c r="BR316" s="193"/>
      <c r="BS316" s="193"/>
      <c r="BT316" s="193"/>
      <c r="BU316" s="193"/>
      <c r="BV316" s="193"/>
      <c r="BW316" s="193"/>
      <c r="BX316" s="193"/>
      <c r="BY316" s="193"/>
      <c r="BZ316" s="193"/>
      <c r="CA316" s="193"/>
      <c r="CB316" s="158"/>
      <c r="CC316" s="193"/>
      <c r="CD316" s="193"/>
      <c r="CE316" s="193"/>
      <c r="CL316" s="334"/>
      <c r="CS316" s="158"/>
      <c r="CT316" s="158"/>
      <c r="CU316" s="158"/>
      <c r="CV316" s="316"/>
      <c r="DC316" s="334"/>
      <c r="DI316" s="158"/>
      <c r="DJ316" s="316"/>
      <c r="DQ316" s="334"/>
      <c r="DW316" s="158"/>
      <c r="EE316" s="334"/>
      <c r="EK316" s="158"/>
      <c r="EY316" s="158"/>
    </row>
    <row r="317" spans="2:155" ht="18" customHeight="1"/>
    <row r="318" spans="2:155" ht="18" customHeight="1">
      <c r="B318" s="185"/>
      <c r="C318" s="185"/>
      <c r="D318" s="185"/>
      <c r="E318" s="185"/>
      <c r="F318" s="185"/>
      <c r="G318" s="185"/>
      <c r="H318" s="185"/>
      <c r="I318" s="185"/>
      <c r="J318" s="185"/>
      <c r="K318" s="185"/>
      <c r="L318" s="185"/>
      <c r="M318" s="185"/>
      <c r="N318" s="185"/>
      <c r="O318" s="185"/>
      <c r="P318" s="185"/>
      <c r="Q318" s="185"/>
      <c r="R318" s="185"/>
      <c r="S318" s="185"/>
      <c r="T318" s="185"/>
      <c r="U318" s="185"/>
      <c r="V318" s="185"/>
      <c r="W318" s="953"/>
      <c r="X318" s="185"/>
      <c r="Y318" s="185"/>
      <c r="Z318" s="185"/>
      <c r="AA318" s="185"/>
      <c r="AB318" s="185"/>
      <c r="AC318" s="185"/>
      <c r="AD318" s="185"/>
      <c r="AE318" s="185"/>
      <c r="AF318" s="185"/>
      <c r="AG318" s="185"/>
      <c r="AH318" s="185"/>
      <c r="AI318" s="185"/>
      <c r="AJ318" s="185"/>
      <c r="AK318" s="953"/>
      <c r="AL318" s="185"/>
      <c r="AM318" s="185"/>
      <c r="AN318" s="185"/>
      <c r="AO318" s="185"/>
      <c r="AP318" s="185"/>
      <c r="AQ318" s="185"/>
      <c r="AR318" s="185"/>
      <c r="AS318" s="185"/>
      <c r="AT318" s="185"/>
      <c r="AU318" s="185"/>
      <c r="AV318" s="185"/>
      <c r="AW318" s="185"/>
      <c r="AX318" s="185"/>
      <c r="AY318" s="185"/>
      <c r="AZ318" s="185"/>
      <c r="BA318" s="953"/>
      <c r="BB318" s="185"/>
      <c r="BC318" s="185"/>
      <c r="BD318" s="185"/>
      <c r="BE318" s="185"/>
      <c r="BF318" s="185"/>
      <c r="BG318" s="185"/>
      <c r="BH318" s="185"/>
      <c r="BI318" s="185"/>
      <c r="BJ318" s="185"/>
      <c r="BK318" s="185"/>
      <c r="BL318" s="185"/>
      <c r="BM318" s="185"/>
      <c r="BN318" s="185"/>
      <c r="BO318" s="953"/>
      <c r="BP318" s="185"/>
      <c r="BQ318" s="185"/>
      <c r="BR318" s="185"/>
      <c r="BS318" s="185"/>
      <c r="BT318" s="185"/>
      <c r="BU318" s="185"/>
      <c r="BV318" s="185"/>
      <c r="BW318" s="185"/>
      <c r="BX318" s="185"/>
      <c r="BY318" s="185"/>
      <c r="BZ318" s="185"/>
      <c r="CA318" s="185"/>
      <c r="CB318" s="185"/>
      <c r="CC318" s="185"/>
      <c r="CD318" s="185"/>
      <c r="CE318" s="185"/>
      <c r="CL318" s="185"/>
      <c r="CS318" s="185"/>
      <c r="CT318" s="185"/>
      <c r="CU318" s="185"/>
      <c r="CV318" s="185"/>
      <c r="DC318" s="185"/>
      <c r="DI318" s="185"/>
      <c r="DJ318" s="185"/>
      <c r="DQ318" s="185"/>
      <c r="DW318" s="185"/>
      <c r="EE318" s="185"/>
      <c r="EK318" s="185"/>
      <c r="EY318" s="185"/>
    </row>
    <row r="319" spans="2:155" ht="18" customHeight="1">
      <c r="B319" s="185"/>
      <c r="C319" s="185"/>
      <c r="D319" s="185"/>
      <c r="E319" s="185"/>
      <c r="F319" s="185"/>
      <c r="G319" s="185"/>
      <c r="H319" s="185"/>
      <c r="I319" s="185"/>
      <c r="J319" s="185"/>
      <c r="K319" s="185"/>
      <c r="L319" s="185"/>
      <c r="M319" s="185"/>
      <c r="N319" s="185"/>
      <c r="O319" s="185"/>
      <c r="P319" s="185"/>
      <c r="Q319" s="185"/>
      <c r="R319" s="185"/>
      <c r="S319" s="185"/>
      <c r="T319" s="185"/>
      <c r="U319" s="185"/>
      <c r="V319" s="185"/>
      <c r="W319" s="953"/>
      <c r="X319" s="185"/>
      <c r="Y319" s="185"/>
      <c r="Z319" s="185"/>
      <c r="AA319" s="185"/>
      <c r="AB319" s="185"/>
      <c r="AC319" s="185"/>
      <c r="AD319" s="185"/>
      <c r="AE319" s="185"/>
      <c r="AF319" s="185"/>
      <c r="AG319" s="185"/>
      <c r="AH319" s="185"/>
      <c r="AI319" s="185"/>
      <c r="AJ319" s="185"/>
      <c r="AK319" s="953"/>
      <c r="AL319" s="185"/>
      <c r="AM319" s="185"/>
      <c r="AN319" s="185"/>
      <c r="AO319" s="185"/>
      <c r="AP319" s="185"/>
      <c r="AQ319" s="185"/>
      <c r="AR319" s="185"/>
      <c r="AS319" s="185"/>
      <c r="AT319" s="185"/>
      <c r="AU319" s="185"/>
      <c r="AV319" s="185"/>
      <c r="AW319" s="185"/>
      <c r="AX319" s="185"/>
      <c r="AY319" s="185"/>
      <c r="AZ319" s="185"/>
      <c r="BA319" s="953"/>
      <c r="BB319" s="185"/>
      <c r="BC319" s="185"/>
      <c r="BD319" s="185"/>
      <c r="BE319" s="185"/>
      <c r="BF319" s="185"/>
      <c r="BG319" s="185"/>
      <c r="BH319" s="185"/>
      <c r="BI319" s="185"/>
      <c r="BJ319" s="185"/>
      <c r="BK319" s="185"/>
      <c r="BL319" s="185"/>
      <c r="BM319" s="185"/>
      <c r="BN319" s="185"/>
      <c r="BO319" s="953"/>
      <c r="BP319" s="185"/>
      <c r="BQ319" s="185"/>
      <c r="BR319" s="185"/>
      <c r="BS319" s="185"/>
      <c r="BT319" s="185"/>
      <c r="BU319" s="185"/>
      <c r="BV319" s="185"/>
      <c r="BW319" s="185"/>
      <c r="BX319" s="185"/>
      <c r="BY319" s="185"/>
      <c r="BZ319" s="185"/>
      <c r="CA319" s="185"/>
      <c r="CB319" s="185"/>
      <c r="CC319" s="185"/>
      <c r="CD319" s="185"/>
      <c r="CE319" s="185"/>
      <c r="CL319" s="185"/>
      <c r="CS319" s="185"/>
      <c r="CT319" s="185"/>
      <c r="CU319" s="185"/>
      <c r="CV319" s="185"/>
      <c r="DC319" s="185"/>
      <c r="DI319" s="185"/>
      <c r="DJ319" s="185"/>
      <c r="DQ319" s="185"/>
      <c r="DW319" s="185"/>
      <c r="EE319" s="185"/>
      <c r="EK319" s="185"/>
      <c r="EY319" s="185"/>
    </row>
    <row r="320" spans="2:155" ht="18" customHeight="1">
      <c r="B320" s="185"/>
      <c r="C320" s="185"/>
      <c r="D320" s="185"/>
      <c r="E320" s="185"/>
      <c r="F320" s="185"/>
      <c r="G320" s="185"/>
      <c r="H320" s="185"/>
      <c r="I320" s="185"/>
      <c r="J320" s="185"/>
      <c r="K320" s="185"/>
      <c r="L320" s="185"/>
      <c r="M320" s="185"/>
      <c r="N320" s="185"/>
      <c r="O320" s="185"/>
      <c r="P320" s="185"/>
      <c r="Q320" s="185"/>
      <c r="R320" s="185"/>
      <c r="S320" s="185"/>
      <c r="T320" s="185"/>
      <c r="U320" s="185"/>
      <c r="V320" s="185"/>
      <c r="W320" s="953"/>
      <c r="X320" s="185"/>
      <c r="Y320" s="185"/>
      <c r="Z320" s="185"/>
      <c r="AA320" s="185"/>
      <c r="AB320" s="185"/>
      <c r="AC320" s="185"/>
      <c r="AD320" s="185"/>
      <c r="AE320" s="185"/>
      <c r="AF320" s="185"/>
      <c r="AG320" s="185"/>
      <c r="AH320" s="185"/>
      <c r="AI320" s="185"/>
      <c r="AJ320" s="185"/>
      <c r="AK320" s="953"/>
      <c r="AL320" s="185"/>
      <c r="AM320" s="185"/>
      <c r="AN320" s="185"/>
      <c r="AO320" s="185"/>
      <c r="AP320" s="185"/>
      <c r="AQ320" s="185"/>
      <c r="AR320" s="185"/>
      <c r="AS320" s="185"/>
      <c r="AT320" s="185"/>
      <c r="AU320" s="185"/>
      <c r="AV320" s="185"/>
      <c r="AW320" s="185"/>
      <c r="AX320" s="185"/>
      <c r="AY320" s="185"/>
      <c r="AZ320" s="185"/>
      <c r="BA320" s="953"/>
      <c r="BB320" s="185"/>
      <c r="BC320" s="185"/>
      <c r="BD320" s="185"/>
      <c r="BE320" s="185"/>
      <c r="BF320" s="185"/>
      <c r="BG320" s="185"/>
      <c r="BH320" s="185"/>
      <c r="BI320" s="185"/>
      <c r="BJ320" s="185"/>
      <c r="BK320" s="185"/>
      <c r="BL320" s="185"/>
      <c r="BM320" s="185"/>
      <c r="BN320" s="185"/>
      <c r="BO320" s="953"/>
      <c r="BP320" s="185"/>
      <c r="BQ320" s="185"/>
      <c r="BR320" s="185"/>
      <c r="BS320" s="185"/>
      <c r="BT320" s="185"/>
      <c r="BU320" s="185"/>
      <c r="BV320" s="185"/>
      <c r="BW320" s="185"/>
      <c r="BX320" s="185"/>
      <c r="BY320" s="185"/>
      <c r="BZ320" s="185"/>
      <c r="CA320" s="185"/>
      <c r="CB320" s="185"/>
      <c r="CC320" s="185"/>
      <c r="CD320" s="185"/>
      <c r="CE320" s="185"/>
      <c r="CL320" s="185"/>
      <c r="CS320" s="185"/>
      <c r="CT320" s="185"/>
      <c r="CU320" s="185"/>
      <c r="CV320" s="185"/>
      <c r="DC320" s="185"/>
      <c r="DI320" s="185"/>
      <c r="DJ320" s="185"/>
      <c r="DQ320" s="185"/>
      <c r="DW320" s="185"/>
      <c r="EE320" s="185"/>
      <c r="EK320" s="185"/>
      <c r="EY320" s="185"/>
    </row>
  </sheetData>
  <phoneticPr fontId="301" type="noConversion"/>
  <printOptions horizontalCentered="1"/>
  <pageMargins left="1.1811024E-2" right="1.1811024E-2" top="0.30118110199999998" bottom="0.30118110199999998" header="0.31496062992126" footer="0.31496062992126"/>
  <pageSetup paperSize="9" scale="32" fitToHeight="2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92D050"/>
    <pageSetUpPr fitToPage="1"/>
  </sheetPr>
  <dimension ref="A1:FF281"/>
  <sheetViews>
    <sheetView topLeftCell="E2" workbookViewId="0">
      <pane xSplit="2" ySplit="10" topLeftCell="G12" activePane="bottomRight" state="frozen"/>
      <selection activeCell="E2" sqref="E2"/>
      <selection pane="topRight" activeCell="G2" sqref="G2"/>
      <selection pane="bottomLeft" activeCell="E12" sqref="E12"/>
      <selection pane="bottomRight" activeCell="CS25" sqref="CS25"/>
    </sheetView>
  </sheetViews>
  <sheetFormatPr defaultColWidth="10.28515625" defaultRowHeight="12.75" outlineLevelRow="1" outlineLevelCol="2"/>
  <cols>
    <col min="1" max="1" width="11.42578125" style="185" hidden="1" customWidth="1" outlineLevel="1"/>
    <col min="2" max="2" width="11.7109375" style="186" hidden="1" customWidth="1" outlineLevel="1"/>
    <col min="3" max="3" width="24.7109375" style="186" hidden="1" customWidth="1" outlineLevel="1"/>
    <col min="4" max="4" width="13.7109375" style="186" hidden="1" customWidth="1" outlineLevel="1"/>
    <col min="5" max="5" width="10.7109375" style="187" customWidth="1" collapsed="1"/>
    <col min="6" max="6" width="47" style="186" customWidth="1"/>
    <col min="7" max="7" width="3.140625" style="186" customWidth="1"/>
    <col min="8" max="19" width="15.42578125" style="186" hidden="1" customWidth="1" outlineLevel="1"/>
    <col min="20" max="20" width="15.7109375" style="186" customWidth="1" collapsed="1"/>
    <col min="21" max="21" width="16.7109375" style="186" customWidth="1"/>
    <col min="22" max="22" width="10.28515625" style="186" customWidth="1"/>
    <col min="23" max="23" width="3" style="186" customWidth="1"/>
    <col min="24" max="35" width="15.42578125" style="186" hidden="1" customWidth="1" outlineLevel="1"/>
    <col min="36" max="36" width="15.7109375" style="186" customWidth="1" collapsed="1"/>
    <col min="37" max="37" width="3" style="186" customWidth="1"/>
    <col min="38" max="49" width="15.42578125" style="186" hidden="1" customWidth="1" outlineLevel="1"/>
    <col min="50" max="50" width="15.7109375" style="186" customWidth="1" collapsed="1"/>
    <col min="51" max="51" width="16.7109375" style="186" customWidth="1"/>
    <col min="52" max="52" width="10.28515625" style="186" customWidth="1"/>
    <col min="53" max="53" width="3" style="186" customWidth="1"/>
    <col min="54" max="65" width="15.42578125" style="186" hidden="1" customWidth="1" outlineLevel="1"/>
    <col min="66" max="66" width="15.7109375" style="186" customWidth="1" collapsed="1"/>
    <col min="67" max="67" width="3" style="186" customWidth="1"/>
    <col min="68" max="78" width="13.42578125" style="186" hidden="1" customWidth="1" outlineLevel="1"/>
    <col min="79" max="79" width="16.28515625" style="186" hidden="1" customWidth="1" outlineLevel="1"/>
    <col min="80" max="80" width="17.140625" style="199" customWidth="1" collapsed="1"/>
    <col min="81" max="81" width="16.7109375" style="186" customWidth="1"/>
    <col min="82" max="82" width="10.28515625" style="186" customWidth="1"/>
    <col min="83" max="83" width="3.85546875" style="186" customWidth="1"/>
    <col min="84" max="89" width="15.28515625" style="185" hidden="1" customWidth="1" outlineLevel="1"/>
    <col min="90" max="90" width="15.28515625" style="188" hidden="1" customWidth="1" outlineLevel="1"/>
    <col min="91" max="91" width="15.28515625" style="185" hidden="1" customWidth="1" outlineLevel="1"/>
    <col min="92" max="96" width="15.28515625" style="185" hidden="1" customWidth="1" outlineLevel="2"/>
    <col min="97" max="97" width="15" style="155" customWidth="1" collapsed="1"/>
    <col min="98" max="98" width="17.28515625" style="155" customWidth="1"/>
    <col min="99" max="99" width="10.42578125" style="155" customWidth="1"/>
    <col min="100" max="100" width="3.85546875" style="312" customWidth="1"/>
    <col min="101" max="106" width="15.28515625" style="185" hidden="1" customWidth="1" outlineLevel="1"/>
    <col min="107" max="107" width="15.28515625" style="188" hidden="1" customWidth="1" outlineLevel="1"/>
    <col min="108" max="108" width="15.28515625" style="185" hidden="1" customWidth="1" outlineLevel="1"/>
    <col min="109" max="112" width="15.28515625" style="185" hidden="1" customWidth="1" outlineLevel="2"/>
    <col min="113" max="113" width="15" style="155" customWidth="1" collapsed="1"/>
    <col min="114" max="114" width="3.85546875" style="312" customWidth="1"/>
    <col min="115" max="120" width="15.28515625" style="185" hidden="1" customWidth="1" outlineLevel="1"/>
    <col min="121" max="121" width="15.28515625" style="188" hidden="1" customWidth="1" outlineLevel="1"/>
    <col min="122" max="122" width="15.28515625" style="185" hidden="1" customWidth="1" outlineLevel="1"/>
    <col min="123" max="126" width="15.28515625" style="185" hidden="1" customWidth="1" outlineLevel="2"/>
    <col min="127" max="127" width="15" style="155" customWidth="1" collapsed="1"/>
    <col min="128" max="128" width="3.42578125" style="185" customWidth="1"/>
    <col min="129" max="134" width="15.28515625" style="185" hidden="1" customWidth="1" outlineLevel="1"/>
    <col min="135" max="135" width="15.28515625" style="188" hidden="1" customWidth="1" outlineLevel="1"/>
    <col min="136" max="136" width="15.28515625" style="185" hidden="1" customWidth="1" outlineLevel="1"/>
    <col min="137" max="140" width="15.28515625" style="185" hidden="1" customWidth="1" outlineLevel="2"/>
    <col min="141" max="141" width="17.28515625" style="155" customWidth="1" collapsed="1"/>
    <col min="142" max="142" width="3.140625" style="185" customWidth="1"/>
    <col min="143" max="154" width="16.140625" style="185" hidden="1" customWidth="1" outlineLevel="1"/>
    <col min="155" max="155" width="15.85546875" style="155" customWidth="1" collapsed="1"/>
    <col min="156" max="156" width="3.28515625" style="185" customWidth="1"/>
    <col min="157" max="161" width="10.28515625" style="185"/>
    <col min="162" max="162" width="11.28515625" style="173" bestFit="1" customWidth="1"/>
    <col min="163" max="16384" width="10.28515625" style="185"/>
  </cols>
  <sheetData>
    <row r="1" spans="1:162" hidden="1">
      <c r="A1" s="185" t="s">
        <v>284</v>
      </c>
    </row>
    <row r="2" spans="1:162" s="180" customFormat="1" ht="15.75" customHeight="1">
      <c r="B2" s="181"/>
      <c r="C2" s="181"/>
      <c r="D2" s="181"/>
      <c r="E2" s="182" t="s">
        <v>285</v>
      </c>
      <c r="F2" s="181"/>
      <c r="G2" s="181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  <c r="BV2" s="181"/>
      <c r="BW2" s="181"/>
      <c r="BX2" s="181"/>
      <c r="BY2" s="181"/>
      <c r="BZ2" s="181"/>
      <c r="CA2" s="181"/>
      <c r="CB2" s="956"/>
      <c r="CC2" s="181"/>
      <c r="CD2" s="181"/>
      <c r="CE2" s="181"/>
      <c r="CL2" s="183"/>
      <c r="CS2" s="156"/>
      <c r="CT2" s="156"/>
      <c r="CU2" s="156"/>
      <c r="CV2" s="313"/>
      <c r="DC2" s="183"/>
      <c r="DI2" s="156"/>
      <c r="DJ2" s="313"/>
      <c r="DQ2" s="183"/>
      <c r="DW2" s="156"/>
      <c r="EE2" s="183"/>
      <c r="EK2" s="156"/>
      <c r="EY2" s="156"/>
      <c r="FF2" s="821"/>
    </row>
    <row r="3" spans="1:162" s="180" customFormat="1" ht="15.75" customHeight="1">
      <c r="B3" s="181"/>
      <c r="C3" s="181"/>
      <c r="D3" s="181"/>
      <c r="E3" s="182" t="s">
        <v>332</v>
      </c>
      <c r="F3" s="181"/>
      <c r="G3" s="181"/>
      <c r="H3" s="181" t="s">
        <v>1110</v>
      </c>
      <c r="I3" s="181" t="s">
        <v>1110</v>
      </c>
      <c r="J3" s="181" t="s">
        <v>1110</v>
      </c>
      <c r="K3" s="181" t="s">
        <v>1110</v>
      </c>
      <c r="L3" s="181" t="s">
        <v>1110</v>
      </c>
      <c r="M3" s="181" t="s">
        <v>1110</v>
      </c>
      <c r="N3" s="181" t="s">
        <v>1110</v>
      </c>
      <c r="O3" s="181" t="s">
        <v>1110</v>
      </c>
      <c r="P3" s="181" t="s">
        <v>1110</v>
      </c>
      <c r="Q3" s="181" t="s">
        <v>1110</v>
      </c>
      <c r="R3" s="181" t="s">
        <v>1110</v>
      </c>
      <c r="S3" s="181" t="s">
        <v>1110</v>
      </c>
      <c r="T3" s="181" t="s">
        <v>1110</v>
      </c>
      <c r="U3" s="181"/>
      <c r="V3" s="181"/>
      <c r="W3" s="181"/>
      <c r="X3" s="181" t="s">
        <v>1110</v>
      </c>
      <c r="Y3" s="181" t="s">
        <v>1110</v>
      </c>
      <c r="Z3" s="181" t="s">
        <v>1110</v>
      </c>
      <c r="AA3" s="181" t="s">
        <v>1110</v>
      </c>
      <c r="AB3" s="181" t="s">
        <v>1110</v>
      </c>
      <c r="AC3" s="181" t="s">
        <v>1110</v>
      </c>
      <c r="AD3" s="181" t="s">
        <v>1110</v>
      </c>
      <c r="AE3" s="181" t="s">
        <v>1110</v>
      </c>
      <c r="AF3" s="181" t="s">
        <v>1110</v>
      </c>
      <c r="AG3" s="181" t="s">
        <v>1110</v>
      </c>
      <c r="AH3" s="181" t="s">
        <v>1110</v>
      </c>
      <c r="AI3" s="181" t="s">
        <v>1110</v>
      </c>
      <c r="AJ3" s="181" t="s">
        <v>1110</v>
      </c>
      <c r="AK3" s="181"/>
      <c r="AL3" s="181" t="s">
        <v>1110</v>
      </c>
      <c r="AM3" s="181" t="s">
        <v>1110</v>
      </c>
      <c r="AN3" s="181" t="s">
        <v>1110</v>
      </c>
      <c r="AO3" s="181" t="s">
        <v>1110</v>
      </c>
      <c r="AP3" s="181" t="s">
        <v>1110</v>
      </c>
      <c r="AQ3" s="181" t="s">
        <v>1110</v>
      </c>
      <c r="AR3" s="181" t="s">
        <v>1110</v>
      </c>
      <c r="AS3" s="181" t="s">
        <v>1110</v>
      </c>
      <c r="AT3" s="181" t="s">
        <v>1110</v>
      </c>
      <c r="AU3" s="181" t="s">
        <v>1110</v>
      </c>
      <c r="AV3" s="181" t="s">
        <v>1110</v>
      </c>
      <c r="AW3" s="181" t="s">
        <v>1110</v>
      </c>
      <c r="AX3" s="181" t="s">
        <v>1110</v>
      </c>
      <c r="AY3" s="181"/>
      <c r="AZ3" s="181"/>
      <c r="BA3" s="181"/>
      <c r="BB3" s="181" t="s">
        <v>1110</v>
      </c>
      <c r="BC3" s="181" t="s">
        <v>1110</v>
      </c>
      <c r="BD3" s="181" t="s">
        <v>1110</v>
      </c>
      <c r="BE3" s="181" t="s">
        <v>1110</v>
      </c>
      <c r="BF3" s="181" t="s">
        <v>1110</v>
      </c>
      <c r="BG3" s="181" t="s">
        <v>1110</v>
      </c>
      <c r="BH3" s="181" t="s">
        <v>1110</v>
      </c>
      <c r="BI3" s="181" t="s">
        <v>1110</v>
      </c>
      <c r="BJ3" s="181" t="s">
        <v>1110</v>
      </c>
      <c r="BK3" s="181" t="s">
        <v>1110</v>
      </c>
      <c r="BL3" s="181" t="s">
        <v>1110</v>
      </c>
      <c r="BM3" s="181" t="s">
        <v>1110</v>
      </c>
      <c r="BN3" s="181" t="s">
        <v>1110</v>
      </c>
      <c r="BO3" s="181"/>
      <c r="BP3" s="181"/>
      <c r="BQ3" s="181"/>
      <c r="BR3" s="181"/>
      <c r="BS3" s="181"/>
      <c r="BT3" s="181"/>
      <c r="BU3" s="181"/>
      <c r="BV3" s="181"/>
      <c r="BW3" s="181"/>
      <c r="BX3" s="181"/>
      <c r="BY3" s="181"/>
      <c r="BZ3" s="181"/>
      <c r="CA3" s="181"/>
      <c r="CB3" s="956"/>
      <c r="CC3" s="181"/>
      <c r="CD3" s="181"/>
      <c r="CE3" s="181"/>
      <c r="CF3" s="184"/>
      <c r="CL3" s="183"/>
      <c r="CS3" s="156"/>
      <c r="CT3" s="156"/>
      <c r="CU3" s="156"/>
      <c r="CV3" s="313"/>
      <c r="CW3" s="184"/>
      <c r="DC3" s="183"/>
      <c r="DI3" s="156"/>
      <c r="DJ3" s="313"/>
      <c r="DK3" s="184"/>
      <c r="DQ3" s="183"/>
      <c r="DW3" s="156"/>
      <c r="DY3" s="184"/>
      <c r="EE3" s="183"/>
      <c r="EK3" s="156"/>
      <c r="EY3" s="156"/>
      <c r="FF3" s="821"/>
    </row>
    <row r="4" spans="1:162" s="180" customFormat="1" ht="15.75" customHeight="1">
      <c r="B4" s="181"/>
      <c r="C4" s="181"/>
      <c r="D4" s="181"/>
      <c r="E4" s="182"/>
      <c r="F4" s="181"/>
      <c r="G4" s="181"/>
      <c r="H4" s="181"/>
      <c r="I4" s="181"/>
      <c r="J4" s="181"/>
      <c r="K4" s="181"/>
      <c r="L4" s="181"/>
      <c r="M4" s="181"/>
      <c r="N4" s="181"/>
      <c r="O4" s="181"/>
      <c r="P4" s="181"/>
      <c r="Q4" s="181"/>
      <c r="R4" s="181"/>
      <c r="S4" s="181"/>
      <c r="T4" s="181"/>
      <c r="U4" s="181"/>
      <c r="V4" s="181"/>
      <c r="W4" s="181"/>
      <c r="X4" s="181"/>
      <c r="Y4" s="181"/>
      <c r="Z4" s="181"/>
      <c r="AA4" s="181"/>
      <c r="AB4" s="181"/>
      <c r="AC4" s="181"/>
      <c r="AD4" s="18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  <c r="BV4" s="181"/>
      <c r="BW4" s="181"/>
      <c r="BX4" s="181"/>
      <c r="BY4" s="181"/>
      <c r="BZ4" s="181"/>
      <c r="CA4" s="181"/>
      <c r="CB4" s="956"/>
      <c r="CC4" s="181"/>
      <c r="CD4" s="181"/>
      <c r="CE4" s="181"/>
      <c r="CF4" s="184"/>
      <c r="CL4" s="183"/>
      <c r="CS4" s="156"/>
      <c r="CT4" s="156"/>
      <c r="CU4" s="156"/>
      <c r="CV4" s="313"/>
      <c r="CW4" s="184"/>
      <c r="DC4" s="183"/>
      <c r="DI4" s="156"/>
      <c r="DJ4" s="313"/>
      <c r="DK4" s="184"/>
      <c r="DQ4" s="183"/>
      <c r="DW4" s="156"/>
      <c r="DY4" s="184"/>
      <c r="EE4" s="183"/>
      <c r="EK4" s="156"/>
      <c r="EY4" s="156"/>
      <c r="FF4" s="821"/>
    </row>
    <row r="5" spans="1:162" s="180" customFormat="1" ht="15.75" hidden="1" customHeight="1" outlineLevel="1">
      <c r="B5" s="181"/>
      <c r="C5" s="181"/>
      <c r="D5" s="181"/>
      <c r="E5" s="182"/>
      <c r="F5" s="181"/>
      <c r="G5" s="181"/>
      <c r="H5" s="181"/>
      <c r="I5" s="181"/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  <c r="AA5" s="181"/>
      <c r="AB5" s="181"/>
      <c r="AC5" s="181"/>
      <c r="AD5" s="181"/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  <c r="BV5" s="181"/>
      <c r="BW5" s="181"/>
      <c r="BX5" s="181"/>
      <c r="BY5" s="181"/>
      <c r="BZ5" s="181"/>
      <c r="CA5" s="181"/>
      <c r="CB5" s="956"/>
      <c r="CC5" s="181"/>
      <c r="CD5" s="181"/>
      <c r="CE5" s="181"/>
      <c r="CF5" s="184"/>
      <c r="CL5" s="183"/>
      <c r="CS5" s="156"/>
      <c r="CT5" s="156"/>
      <c r="CU5" s="156"/>
      <c r="CV5" s="313"/>
      <c r="CW5" s="184"/>
      <c r="DC5" s="183"/>
      <c r="DI5" s="156"/>
      <c r="DJ5" s="313"/>
      <c r="DK5" s="184"/>
      <c r="DQ5" s="183"/>
      <c r="DW5" s="156"/>
      <c r="DY5" s="184"/>
      <c r="EE5" s="183"/>
      <c r="EK5" s="156"/>
      <c r="EY5" s="156"/>
      <c r="FF5" s="821"/>
    </row>
    <row r="6" spans="1:162" s="180" customFormat="1" ht="15.75" hidden="1" customHeight="1" outlineLevel="1">
      <c r="B6" s="181"/>
      <c r="C6" s="181"/>
      <c r="D6" s="181"/>
      <c r="E6" s="182"/>
      <c r="F6" s="181"/>
      <c r="G6" s="181"/>
      <c r="H6" s="181"/>
      <c r="I6" s="181"/>
      <c r="J6" s="181"/>
      <c r="K6" s="181"/>
      <c r="L6" s="181"/>
      <c r="M6" s="181"/>
      <c r="N6" s="181"/>
      <c r="O6" s="181"/>
      <c r="P6" s="181"/>
      <c r="Q6" s="181"/>
      <c r="R6" s="181"/>
      <c r="S6" s="181"/>
      <c r="T6" s="181"/>
      <c r="U6" s="181"/>
      <c r="V6" s="181"/>
      <c r="W6" s="181"/>
      <c r="X6" s="181"/>
      <c r="Y6" s="181"/>
      <c r="Z6" s="181"/>
      <c r="AA6" s="181"/>
      <c r="AB6" s="181"/>
      <c r="AC6" s="181"/>
      <c r="AD6" s="181"/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  <c r="BV6" s="181"/>
      <c r="BW6" s="181"/>
      <c r="BX6" s="181"/>
      <c r="BY6" s="181"/>
      <c r="BZ6" s="181"/>
      <c r="CA6" s="181"/>
      <c r="CB6" s="956"/>
      <c r="CC6" s="181"/>
      <c r="CD6" s="181"/>
      <c r="CE6" s="181"/>
      <c r="CF6" s="184"/>
      <c r="CL6" s="183"/>
      <c r="CS6" s="156"/>
      <c r="CT6" s="156"/>
      <c r="CU6" s="156"/>
      <c r="CV6" s="313"/>
      <c r="CW6" s="184"/>
      <c r="DC6" s="183"/>
      <c r="DI6" s="156"/>
      <c r="DJ6" s="313"/>
      <c r="DK6" s="184"/>
      <c r="DQ6" s="183"/>
      <c r="DW6" s="156"/>
      <c r="DY6" s="184"/>
      <c r="EE6" s="183"/>
      <c r="EK6" s="156"/>
      <c r="EY6" s="156"/>
      <c r="FF6" s="821"/>
    </row>
    <row r="7" spans="1:162" s="180" customFormat="1" ht="15.75" hidden="1" customHeight="1" outlineLevel="1">
      <c r="B7" s="181"/>
      <c r="C7" s="181"/>
      <c r="D7" s="181"/>
      <c r="E7" s="182"/>
      <c r="F7" s="181"/>
      <c r="G7" s="181"/>
      <c r="H7" s="181"/>
      <c r="I7" s="181"/>
      <c r="J7" s="181"/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181"/>
      <c r="AD7" s="181"/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  <c r="BV7" s="181"/>
      <c r="BW7" s="181"/>
      <c r="BX7" s="181"/>
      <c r="BY7" s="181"/>
      <c r="BZ7" s="181"/>
      <c r="CA7" s="181"/>
      <c r="CB7" s="956"/>
      <c r="CC7" s="181"/>
      <c r="CD7" s="181"/>
      <c r="CE7" s="181"/>
      <c r="CF7" s="184"/>
      <c r="CL7" s="183"/>
      <c r="CS7" s="156"/>
      <c r="CT7" s="156"/>
      <c r="CU7" s="156"/>
      <c r="CV7" s="313"/>
      <c r="CW7" s="184"/>
      <c r="DC7" s="183"/>
      <c r="DI7" s="156"/>
      <c r="DJ7" s="313"/>
      <c r="DK7" s="184"/>
      <c r="DQ7" s="183"/>
      <c r="DW7" s="156"/>
      <c r="DY7" s="184"/>
      <c r="EE7" s="183"/>
      <c r="EK7" s="156"/>
      <c r="EY7" s="156"/>
      <c r="FF7" s="821"/>
    </row>
    <row r="8" spans="1:162" s="180" customFormat="1" ht="15.75" hidden="1" customHeight="1" outlineLevel="1">
      <c r="B8" s="181"/>
      <c r="C8" s="181"/>
      <c r="D8" s="181"/>
      <c r="E8" s="182"/>
      <c r="F8" s="181"/>
      <c r="G8" s="181"/>
      <c r="H8" s="181"/>
      <c r="I8" s="181"/>
      <c r="J8" s="181"/>
      <c r="K8" s="181"/>
      <c r="L8" s="181"/>
      <c r="M8" s="181"/>
      <c r="N8" s="181"/>
      <c r="O8" s="181"/>
      <c r="P8" s="181"/>
      <c r="Q8" s="181"/>
      <c r="R8" s="181"/>
      <c r="S8" s="181"/>
      <c r="T8" s="181"/>
      <c r="U8" s="181"/>
      <c r="V8" s="181"/>
      <c r="W8" s="181"/>
      <c r="X8" s="181"/>
      <c r="Y8" s="181"/>
      <c r="Z8" s="181"/>
      <c r="AA8" s="181"/>
      <c r="AB8" s="181"/>
      <c r="AC8" s="181"/>
      <c r="AD8" s="181"/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181"/>
      <c r="AQ8" s="181"/>
      <c r="AR8" s="181"/>
      <c r="AS8" s="181"/>
      <c r="AT8" s="181"/>
      <c r="AU8" s="181"/>
      <c r="AV8" s="181"/>
      <c r="AW8" s="181"/>
      <c r="AX8" s="181"/>
      <c r="AY8" s="181"/>
      <c r="AZ8" s="181"/>
      <c r="BA8" s="181"/>
      <c r="BB8" s="181"/>
      <c r="BC8" s="181"/>
      <c r="BD8" s="181"/>
      <c r="BE8" s="181"/>
      <c r="BF8" s="181"/>
      <c r="BG8" s="181"/>
      <c r="BH8" s="181"/>
      <c r="BI8" s="181"/>
      <c r="BJ8" s="181"/>
      <c r="BK8" s="181"/>
      <c r="BL8" s="181"/>
      <c r="BM8" s="181"/>
      <c r="BN8" s="181"/>
      <c r="BO8" s="181"/>
      <c r="BP8" s="181"/>
      <c r="BQ8" s="181"/>
      <c r="BR8" s="181"/>
      <c r="BS8" s="181"/>
      <c r="BT8" s="181"/>
      <c r="BU8" s="181"/>
      <c r="BV8" s="181"/>
      <c r="BW8" s="181"/>
      <c r="BX8" s="181"/>
      <c r="BY8" s="181"/>
      <c r="BZ8" s="181"/>
      <c r="CA8" s="181"/>
      <c r="CB8" s="956"/>
      <c r="CC8" s="181"/>
      <c r="CD8" s="181"/>
      <c r="CE8" s="181"/>
      <c r="CF8" s="184"/>
      <c r="CL8" s="183"/>
      <c r="CS8" s="156"/>
      <c r="CT8" s="156"/>
      <c r="CU8" s="156"/>
      <c r="CV8" s="313"/>
      <c r="CW8" s="184"/>
      <c r="DC8" s="183"/>
      <c r="DI8" s="156"/>
      <c r="DJ8" s="313"/>
      <c r="DK8" s="184"/>
      <c r="DQ8" s="183"/>
      <c r="DW8" s="156"/>
      <c r="DY8" s="184"/>
      <c r="EE8" s="183"/>
      <c r="EK8" s="156"/>
      <c r="EY8" s="156"/>
      <c r="FF8" s="821"/>
    </row>
    <row r="9" spans="1:162" s="180" customFormat="1" ht="15.75" hidden="1" customHeight="1" outlineLevel="1">
      <c r="B9" s="181"/>
      <c r="C9" s="181"/>
      <c r="D9" s="181"/>
      <c r="E9" s="182"/>
      <c r="F9" s="181"/>
      <c r="G9" s="193"/>
      <c r="H9" s="193" t="s">
        <v>1098</v>
      </c>
      <c r="I9" s="193" t="str">
        <f>H9</f>
        <v>Current Year</v>
      </c>
      <c r="J9" s="193" t="str">
        <f t="shared" ref="J9" si="0">I9</f>
        <v>Current Year</v>
      </c>
      <c r="K9" s="193" t="str">
        <f t="shared" ref="K9" si="1">J9</f>
        <v>Current Year</v>
      </c>
      <c r="L9" s="193" t="str">
        <f t="shared" ref="L9" si="2">K9</f>
        <v>Current Year</v>
      </c>
      <c r="M9" s="193" t="str">
        <f t="shared" ref="M9" si="3">L9</f>
        <v>Current Year</v>
      </c>
      <c r="N9" s="193" t="str">
        <f t="shared" ref="N9" si="4">M9</f>
        <v>Current Year</v>
      </c>
      <c r="O9" s="193" t="str">
        <f t="shared" ref="O9" si="5">N9</f>
        <v>Current Year</v>
      </c>
      <c r="P9" s="193" t="str">
        <f t="shared" ref="P9" si="6">O9</f>
        <v>Current Year</v>
      </c>
      <c r="Q9" s="193" t="str">
        <f t="shared" ref="Q9" si="7">P9</f>
        <v>Current Year</v>
      </c>
      <c r="R9" s="193" t="str">
        <f t="shared" ref="R9" si="8">Q9</f>
        <v>Current Year</v>
      </c>
      <c r="S9" s="193" t="str">
        <f t="shared" ref="S9" si="9">R9</f>
        <v>Current Year</v>
      </c>
      <c r="T9" s="193" t="str">
        <f t="shared" ref="T9" si="10">S9</f>
        <v>Current Year</v>
      </c>
      <c r="U9" s="193"/>
      <c r="V9" s="193"/>
      <c r="W9" s="193"/>
      <c r="X9" s="193" t="s">
        <v>1098</v>
      </c>
      <c r="Y9" s="193" t="str">
        <f>X9</f>
        <v>Current Year</v>
      </c>
      <c r="Z9" s="193" t="str">
        <f t="shared" ref="Z9" si="11">Y9</f>
        <v>Current Year</v>
      </c>
      <c r="AA9" s="193" t="str">
        <f t="shared" ref="AA9" si="12">Z9</f>
        <v>Current Year</v>
      </c>
      <c r="AB9" s="193" t="str">
        <f t="shared" ref="AB9" si="13">AA9</f>
        <v>Current Year</v>
      </c>
      <c r="AC9" s="193" t="str">
        <f t="shared" ref="AC9" si="14">AB9</f>
        <v>Current Year</v>
      </c>
      <c r="AD9" s="193" t="str">
        <f t="shared" ref="AD9" si="15">AC9</f>
        <v>Current Year</v>
      </c>
      <c r="AE9" s="193" t="str">
        <f t="shared" ref="AE9" si="16">AD9</f>
        <v>Current Year</v>
      </c>
      <c r="AF9" s="193" t="str">
        <f t="shared" ref="AF9" si="17">AE9</f>
        <v>Current Year</v>
      </c>
      <c r="AG9" s="193" t="str">
        <f t="shared" ref="AG9" si="18">AF9</f>
        <v>Current Year</v>
      </c>
      <c r="AH9" s="193" t="str">
        <f t="shared" ref="AH9" si="19">AG9</f>
        <v>Current Year</v>
      </c>
      <c r="AI9" s="193" t="str">
        <f t="shared" ref="AI9" si="20">AH9</f>
        <v>Current Year</v>
      </c>
      <c r="AJ9" s="193" t="str">
        <f t="shared" ref="AJ9" si="21">AI9</f>
        <v>Current Year</v>
      </c>
      <c r="AK9" s="193"/>
      <c r="AL9" s="193" t="s">
        <v>1098</v>
      </c>
      <c r="AM9" s="193" t="str">
        <f>AL9</f>
        <v>Current Year</v>
      </c>
      <c r="AN9" s="193" t="str">
        <f t="shared" ref="AN9:AX9" si="22">AM9</f>
        <v>Current Year</v>
      </c>
      <c r="AO9" s="193" t="str">
        <f t="shared" si="22"/>
        <v>Current Year</v>
      </c>
      <c r="AP9" s="193" t="str">
        <f t="shared" si="22"/>
        <v>Current Year</v>
      </c>
      <c r="AQ9" s="193" t="str">
        <f t="shared" si="22"/>
        <v>Current Year</v>
      </c>
      <c r="AR9" s="193" t="str">
        <f t="shared" si="22"/>
        <v>Current Year</v>
      </c>
      <c r="AS9" s="193" t="str">
        <f t="shared" si="22"/>
        <v>Current Year</v>
      </c>
      <c r="AT9" s="193" t="str">
        <f t="shared" si="22"/>
        <v>Current Year</v>
      </c>
      <c r="AU9" s="193" t="str">
        <f t="shared" si="22"/>
        <v>Current Year</v>
      </c>
      <c r="AV9" s="193" t="str">
        <f t="shared" si="22"/>
        <v>Current Year</v>
      </c>
      <c r="AW9" s="193" t="str">
        <f t="shared" si="22"/>
        <v>Current Year</v>
      </c>
      <c r="AX9" s="193" t="str">
        <f t="shared" si="22"/>
        <v>Current Year</v>
      </c>
      <c r="AY9" s="193"/>
      <c r="AZ9" s="193"/>
      <c r="BA9" s="193"/>
      <c r="BB9" s="193" t="s">
        <v>1098</v>
      </c>
      <c r="BC9" s="193" t="str">
        <f>BB9</f>
        <v>Current Year</v>
      </c>
      <c r="BD9" s="193" t="str">
        <f t="shared" ref="BD9:BN9" si="23">BC9</f>
        <v>Current Year</v>
      </c>
      <c r="BE9" s="193" t="str">
        <f t="shared" si="23"/>
        <v>Current Year</v>
      </c>
      <c r="BF9" s="193" t="str">
        <f t="shared" si="23"/>
        <v>Current Year</v>
      </c>
      <c r="BG9" s="193" t="str">
        <f t="shared" si="23"/>
        <v>Current Year</v>
      </c>
      <c r="BH9" s="193" t="str">
        <f t="shared" si="23"/>
        <v>Current Year</v>
      </c>
      <c r="BI9" s="193" t="str">
        <f t="shared" si="23"/>
        <v>Current Year</v>
      </c>
      <c r="BJ9" s="193" t="str">
        <f t="shared" si="23"/>
        <v>Current Year</v>
      </c>
      <c r="BK9" s="193" t="str">
        <f t="shared" si="23"/>
        <v>Current Year</v>
      </c>
      <c r="BL9" s="193" t="str">
        <f t="shared" si="23"/>
        <v>Current Year</v>
      </c>
      <c r="BM9" s="193" t="str">
        <f t="shared" si="23"/>
        <v>Current Year</v>
      </c>
      <c r="BN9" s="193" t="str">
        <f t="shared" si="23"/>
        <v>Current Year</v>
      </c>
      <c r="BO9" s="193"/>
      <c r="BP9" s="193" t="s">
        <v>52</v>
      </c>
      <c r="BQ9" s="193" t="str">
        <f>BP9</f>
        <v>Budget</v>
      </c>
      <c r="BR9" s="193" t="str">
        <f t="shared" ref="BR9:CB9" si="24">BQ9</f>
        <v>Budget</v>
      </c>
      <c r="BS9" s="193" t="str">
        <f t="shared" si="24"/>
        <v>Budget</v>
      </c>
      <c r="BT9" s="193" t="str">
        <f t="shared" si="24"/>
        <v>Budget</v>
      </c>
      <c r="BU9" s="193" t="str">
        <f t="shared" si="24"/>
        <v>Budget</v>
      </c>
      <c r="BV9" s="193" t="str">
        <f t="shared" si="24"/>
        <v>Budget</v>
      </c>
      <c r="BW9" s="193" t="str">
        <f t="shared" si="24"/>
        <v>Budget</v>
      </c>
      <c r="BX9" s="193" t="str">
        <f t="shared" si="24"/>
        <v>Budget</v>
      </c>
      <c r="BY9" s="193" t="str">
        <f t="shared" si="24"/>
        <v>Budget</v>
      </c>
      <c r="BZ9" s="193" t="str">
        <f t="shared" si="24"/>
        <v>Budget</v>
      </c>
      <c r="CA9" s="193" t="str">
        <f t="shared" si="24"/>
        <v>Budget</v>
      </c>
      <c r="CB9" s="193" t="str">
        <f t="shared" si="24"/>
        <v>Budget</v>
      </c>
      <c r="CC9" s="193"/>
      <c r="CD9" s="193"/>
      <c r="CE9" s="193"/>
      <c r="CF9" s="193" t="s">
        <v>1097</v>
      </c>
      <c r="CG9" s="193" t="str">
        <f>CF9</f>
        <v>Last year</v>
      </c>
      <c r="CH9" s="193" t="str">
        <f t="shared" ref="CH9:CS9" si="25">CG9</f>
        <v>Last year</v>
      </c>
      <c r="CI9" s="193" t="str">
        <f t="shared" si="25"/>
        <v>Last year</v>
      </c>
      <c r="CJ9" s="193" t="str">
        <f t="shared" si="25"/>
        <v>Last year</v>
      </c>
      <c r="CK9" s="193" t="str">
        <f t="shared" si="25"/>
        <v>Last year</v>
      </c>
      <c r="CL9" s="193" t="str">
        <f t="shared" si="25"/>
        <v>Last year</v>
      </c>
      <c r="CM9" s="193" t="str">
        <f t="shared" si="25"/>
        <v>Last year</v>
      </c>
      <c r="CN9" s="193" t="str">
        <f t="shared" si="25"/>
        <v>Last year</v>
      </c>
      <c r="CO9" s="193" t="str">
        <f t="shared" si="25"/>
        <v>Last year</v>
      </c>
      <c r="CP9" s="193" t="str">
        <f t="shared" si="25"/>
        <v>Last year</v>
      </c>
      <c r="CQ9" s="193" t="str">
        <f t="shared" si="25"/>
        <v>Last year</v>
      </c>
      <c r="CR9" s="193" t="str">
        <f>CQ9</f>
        <v>Last year</v>
      </c>
      <c r="CS9" s="193" t="str">
        <f t="shared" si="25"/>
        <v>Last year</v>
      </c>
      <c r="CT9" s="158"/>
      <c r="CU9" s="158"/>
      <c r="CV9" s="316"/>
      <c r="CW9" s="195"/>
      <c r="CX9" s="195"/>
      <c r="CY9" s="195"/>
      <c r="CZ9" s="195"/>
      <c r="DA9" s="195"/>
      <c r="DB9" s="195"/>
      <c r="DC9" s="196"/>
      <c r="DD9" s="195"/>
      <c r="DE9" s="195"/>
      <c r="DF9" s="195"/>
      <c r="DG9" s="195"/>
      <c r="DH9" s="195"/>
      <c r="DI9" s="158"/>
      <c r="DJ9" s="316"/>
      <c r="DK9" s="195"/>
      <c r="DL9" s="195"/>
      <c r="DM9" s="195"/>
      <c r="DN9" s="195"/>
      <c r="DO9" s="195"/>
      <c r="DP9" s="195"/>
      <c r="DQ9" s="196"/>
      <c r="DR9" s="195"/>
      <c r="DS9" s="195"/>
      <c r="DT9" s="195"/>
      <c r="DU9" s="195"/>
      <c r="DV9" s="195"/>
      <c r="DW9" s="158"/>
      <c r="DX9" s="192"/>
      <c r="DY9" s="195"/>
      <c r="DZ9" s="195"/>
      <c r="EA9" s="195"/>
      <c r="EB9" s="195"/>
      <c r="EC9" s="195"/>
      <c r="ED9" s="195"/>
      <c r="EE9" s="196"/>
      <c r="EF9" s="195"/>
      <c r="EG9" s="195"/>
      <c r="EH9" s="195"/>
      <c r="EI9" s="195"/>
      <c r="EJ9" s="195"/>
      <c r="EK9" s="158"/>
      <c r="EL9" s="192"/>
      <c r="EM9" s="195"/>
      <c r="EN9" s="195"/>
      <c r="EO9" s="195"/>
      <c r="EP9" s="195"/>
      <c r="EQ9" s="195"/>
      <c r="ER9" s="195"/>
      <c r="ES9" s="195"/>
      <c r="ET9" s="195"/>
      <c r="EU9" s="195"/>
      <c r="EV9" s="195"/>
      <c r="EW9" s="195"/>
      <c r="EX9" s="195"/>
      <c r="EY9" s="158"/>
      <c r="FF9" s="821"/>
    </row>
    <row r="10" spans="1:162" s="180" customFormat="1" ht="15" hidden="1" outlineLevel="1">
      <c r="B10" s="181"/>
      <c r="C10" s="181"/>
      <c r="D10" s="181"/>
      <c r="E10" s="182"/>
      <c r="F10" s="181"/>
      <c r="G10" s="193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3"/>
      <c r="V10" s="193"/>
      <c r="W10" s="193"/>
      <c r="X10" s="191"/>
      <c r="Y10" s="191"/>
      <c r="Z10" s="191"/>
      <c r="AA10" s="191"/>
      <c r="AB10" s="191"/>
      <c r="AC10" s="191"/>
      <c r="AD10" s="191"/>
      <c r="AE10" s="191"/>
      <c r="AF10" s="191"/>
      <c r="AG10" s="191"/>
      <c r="AH10" s="191"/>
      <c r="AI10" s="191"/>
      <c r="AJ10" s="191"/>
      <c r="AK10" s="193"/>
      <c r="AL10" s="191"/>
      <c r="AM10" s="191"/>
      <c r="AN10" s="191"/>
      <c r="AO10" s="191"/>
      <c r="AP10" s="191"/>
      <c r="AQ10" s="191"/>
      <c r="AR10" s="191"/>
      <c r="AS10" s="191"/>
      <c r="AT10" s="191"/>
      <c r="AU10" s="191"/>
      <c r="AV10" s="191"/>
      <c r="AW10" s="191"/>
      <c r="AX10" s="191"/>
      <c r="AY10" s="193"/>
      <c r="AZ10" s="193"/>
      <c r="BA10" s="193"/>
      <c r="BB10" s="191"/>
      <c r="BC10" s="191"/>
      <c r="BD10" s="191"/>
      <c r="BE10" s="191"/>
      <c r="BF10" s="191"/>
      <c r="BG10" s="191"/>
      <c r="BH10" s="191"/>
      <c r="BI10" s="191"/>
      <c r="BJ10" s="191"/>
      <c r="BK10" s="191"/>
      <c r="BL10" s="191"/>
      <c r="BM10" s="191"/>
      <c r="BN10" s="191"/>
      <c r="BO10" s="193"/>
      <c r="BP10" s="191"/>
      <c r="BQ10" s="191"/>
      <c r="BR10" s="191"/>
      <c r="BS10" s="191"/>
      <c r="BT10" s="191"/>
      <c r="BU10" s="191"/>
      <c r="BV10" s="191"/>
      <c r="BW10" s="191"/>
      <c r="BX10" s="191"/>
      <c r="BY10" s="191"/>
      <c r="BZ10" s="191"/>
      <c r="CA10" s="191"/>
      <c r="CB10" s="191"/>
      <c r="CC10" s="193"/>
      <c r="CD10" s="193"/>
      <c r="CE10" s="193"/>
      <c r="CF10" s="191"/>
      <c r="CG10" s="191"/>
      <c r="CH10" s="191"/>
      <c r="CI10" s="191"/>
      <c r="CJ10" s="191"/>
      <c r="CK10" s="191"/>
      <c r="CL10" s="191"/>
      <c r="CM10" s="191"/>
      <c r="CN10" s="191"/>
      <c r="CO10" s="191"/>
      <c r="CP10" s="191"/>
      <c r="CQ10" s="191"/>
      <c r="CR10" s="198"/>
      <c r="CS10" s="158"/>
      <c r="CT10" s="158"/>
      <c r="CU10" s="158"/>
      <c r="CV10" s="316"/>
      <c r="CW10" s="191"/>
      <c r="CX10" s="191"/>
      <c r="CY10" s="191"/>
      <c r="CZ10" s="191"/>
      <c r="DA10" s="191"/>
      <c r="DB10" s="191"/>
      <c r="DC10" s="191"/>
      <c r="DD10" s="191"/>
      <c r="DE10" s="191"/>
      <c r="DF10" s="191"/>
      <c r="DG10" s="191"/>
      <c r="DH10" s="191"/>
      <c r="DI10" s="191"/>
      <c r="DJ10" s="316"/>
      <c r="DK10" s="191"/>
      <c r="DL10" s="191"/>
      <c r="DM10" s="191"/>
      <c r="DN10" s="191"/>
      <c r="DO10" s="191"/>
      <c r="DP10" s="191"/>
      <c r="DQ10" s="191"/>
      <c r="DR10" s="191"/>
      <c r="DS10" s="191"/>
      <c r="DT10" s="191"/>
      <c r="DU10" s="191"/>
      <c r="DV10" s="191"/>
      <c r="DW10" s="191"/>
      <c r="DX10" s="192"/>
      <c r="DY10" s="191"/>
      <c r="DZ10" s="191"/>
      <c r="EA10" s="191"/>
      <c r="EB10" s="191"/>
      <c r="EC10" s="191"/>
      <c r="ED10" s="191"/>
      <c r="EE10" s="191"/>
      <c r="EF10" s="191"/>
      <c r="EG10" s="191"/>
      <c r="EH10" s="191"/>
      <c r="EI10" s="191"/>
      <c r="EJ10" s="191"/>
      <c r="EK10" s="191"/>
      <c r="EL10" s="192"/>
      <c r="EM10" s="191"/>
      <c r="EN10" s="191"/>
      <c r="EO10" s="191"/>
      <c r="EP10" s="191"/>
      <c r="EQ10" s="191"/>
      <c r="ER10" s="191"/>
      <c r="ES10" s="191"/>
      <c r="ET10" s="191"/>
      <c r="EU10" s="191"/>
      <c r="EV10" s="191"/>
      <c r="EW10" s="191"/>
      <c r="EX10" s="191"/>
      <c r="EY10" s="191"/>
      <c r="FF10" s="821"/>
    </row>
    <row r="11" spans="1:162" s="187" customFormat="1" ht="53.25" customHeight="1" collapsed="1">
      <c r="B11" s="199"/>
      <c r="C11" s="199"/>
      <c r="D11" s="199"/>
      <c r="F11" s="199"/>
      <c r="G11" s="199"/>
      <c r="H11" s="918">
        <v>44681</v>
      </c>
      <c r="I11" s="919">
        <f>EOMONTH(H11,1)</f>
        <v>44712</v>
      </c>
      <c r="J11" s="919">
        <f t="shared" ref="J11" si="26">EOMONTH(I11,1)</f>
        <v>44742</v>
      </c>
      <c r="K11" s="919">
        <f t="shared" ref="K11" si="27">EOMONTH(J11,1)</f>
        <v>44773</v>
      </c>
      <c r="L11" s="919">
        <f t="shared" ref="L11" si="28">EOMONTH(K11,1)</f>
        <v>44804</v>
      </c>
      <c r="M11" s="919">
        <f t="shared" ref="M11" si="29">EOMONTH(L11,1)</f>
        <v>44834</v>
      </c>
      <c r="N11" s="919">
        <f t="shared" ref="N11" si="30">EOMONTH(M11,1)</f>
        <v>44865</v>
      </c>
      <c r="O11" s="919">
        <f t="shared" ref="O11" si="31">EOMONTH(N11,1)</f>
        <v>44895</v>
      </c>
      <c r="P11" s="919">
        <f t="shared" ref="P11" si="32">EOMONTH(O11,1)</f>
        <v>44926</v>
      </c>
      <c r="Q11" s="919">
        <f t="shared" ref="Q11" si="33">EOMONTH(P11,1)</f>
        <v>44957</v>
      </c>
      <c r="R11" s="919">
        <f t="shared" ref="R11" si="34">EOMONTH(Q11,1)</f>
        <v>44985</v>
      </c>
      <c r="S11" s="919">
        <f t="shared" ref="S11" si="35">EOMONTH(R11,1)</f>
        <v>45016</v>
      </c>
      <c r="T11" s="920" t="s">
        <v>1668</v>
      </c>
      <c r="U11" s="211" t="s">
        <v>1669</v>
      </c>
      <c r="V11" s="200" t="s">
        <v>289</v>
      </c>
      <c r="W11" s="199"/>
      <c r="X11" s="923">
        <v>44316</v>
      </c>
      <c r="Y11" s="924">
        <f>EOMONTH(X11,1)</f>
        <v>44347</v>
      </c>
      <c r="Z11" s="924">
        <f t="shared" ref="Z11" si="36">EOMONTH(Y11,1)</f>
        <v>44377</v>
      </c>
      <c r="AA11" s="924">
        <f t="shared" ref="AA11" si="37">EOMONTH(Z11,1)</f>
        <v>44408</v>
      </c>
      <c r="AB11" s="924">
        <f t="shared" ref="AB11" si="38">EOMONTH(AA11,1)</f>
        <v>44439</v>
      </c>
      <c r="AC11" s="924">
        <f t="shared" ref="AC11" si="39">EOMONTH(AB11,1)</f>
        <v>44469</v>
      </c>
      <c r="AD11" s="924">
        <f t="shared" ref="AD11" si="40">EOMONTH(AC11,1)</f>
        <v>44500</v>
      </c>
      <c r="AE11" s="924">
        <f t="shared" ref="AE11" si="41">EOMONTH(AD11,1)</f>
        <v>44530</v>
      </c>
      <c r="AF11" s="924">
        <f t="shared" ref="AF11" si="42">EOMONTH(AE11,1)</f>
        <v>44561</v>
      </c>
      <c r="AG11" s="924">
        <f t="shared" ref="AG11" si="43">EOMONTH(AF11,1)</f>
        <v>44592</v>
      </c>
      <c r="AH11" s="924">
        <f t="shared" ref="AH11" si="44">EOMONTH(AG11,1)</f>
        <v>44620</v>
      </c>
      <c r="AI11" s="924">
        <f t="shared" ref="AI11" si="45">EOMONTH(AH11,1)</f>
        <v>44651</v>
      </c>
      <c r="AJ11" s="925" t="s">
        <v>1667</v>
      </c>
      <c r="AK11" s="199"/>
      <c r="AL11" s="918">
        <v>44316</v>
      </c>
      <c r="AM11" s="919">
        <f>EOMONTH(AL11,1)</f>
        <v>44347</v>
      </c>
      <c r="AN11" s="919">
        <f t="shared" ref="AN11:AW11" si="46">EOMONTH(AM11,1)</f>
        <v>44377</v>
      </c>
      <c r="AO11" s="919">
        <f t="shared" si="46"/>
        <v>44408</v>
      </c>
      <c r="AP11" s="919">
        <f t="shared" si="46"/>
        <v>44439</v>
      </c>
      <c r="AQ11" s="919">
        <f t="shared" si="46"/>
        <v>44469</v>
      </c>
      <c r="AR11" s="919">
        <f t="shared" si="46"/>
        <v>44500</v>
      </c>
      <c r="AS11" s="919">
        <f t="shared" si="46"/>
        <v>44530</v>
      </c>
      <c r="AT11" s="919">
        <f t="shared" si="46"/>
        <v>44561</v>
      </c>
      <c r="AU11" s="919">
        <f t="shared" si="46"/>
        <v>44592</v>
      </c>
      <c r="AV11" s="919">
        <f t="shared" si="46"/>
        <v>44620</v>
      </c>
      <c r="AW11" s="919">
        <f t="shared" si="46"/>
        <v>44651</v>
      </c>
      <c r="AX11" s="920" t="s">
        <v>1094</v>
      </c>
      <c r="AY11" s="211" t="s">
        <v>1093</v>
      </c>
      <c r="AZ11" s="200" t="s">
        <v>289</v>
      </c>
      <c r="BA11" s="199"/>
      <c r="BB11" s="923">
        <v>43951</v>
      </c>
      <c r="BC11" s="924">
        <f>EOMONTH(BB11,1)</f>
        <v>43982</v>
      </c>
      <c r="BD11" s="924">
        <f t="shared" ref="BD11:BM11" si="47">EOMONTH(BC11,1)</f>
        <v>44012</v>
      </c>
      <c r="BE11" s="924">
        <f t="shared" si="47"/>
        <v>44043</v>
      </c>
      <c r="BF11" s="924">
        <f t="shared" si="47"/>
        <v>44074</v>
      </c>
      <c r="BG11" s="924">
        <f t="shared" si="47"/>
        <v>44104</v>
      </c>
      <c r="BH11" s="924">
        <f t="shared" si="47"/>
        <v>44135</v>
      </c>
      <c r="BI11" s="924">
        <f t="shared" si="47"/>
        <v>44165</v>
      </c>
      <c r="BJ11" s="924">
        <f t="shared" si="47"/>
        <v>44196</v>
      </c>
      <c r="BK11" s="924">
        <f t="shared" si="47"/>
        <v>44227</v>
      </c>
      <c r="BL11" s="924">
        <f t="shared" si="47"/>
        <v>44255</v>
      </c>
      <c r="BM11" s="924">
        <f t="shared" si="47"/>
        <v>44286</v>
      </c>
      <c r="BN11" s="925" t="s">
        <v>1198</v>
      </c>
      <c r="BO11" s="199"/>
      <c r="BP11" s="926">
        <v>43951</v>
      </c>
      <c r="BQ11" s="927">
        <f>EOMONTH(BP11,1)</f>
        <v>43982</v>
      </c>
      <c r="BR11" s="927">
        <f t="shared" ref="BR11:CA11" si="48">EOMONTH(BQ11,1)</f>
        <v>44012</v>
      </c>
      <c r="BS11" s="927">
        <f t="shared" si="48"/>
        <v>44043</v>
      </c>
      <c r="BT11" s="927">
        <f t="shared" si="48"/>
        <v>44074</v>
      </c>
      <c r="BU11" s="927">
        <f t="shared" si="48"/>
        <v>44104</v>
      </c>
      <c r="BV11" s="927">
        <f t="shared" si="48"/>
        <v>44135</v>
      </c>
      <c r="BW11" s="927">
        <f t="shared" si="48"/>
        <v>44165</v>
      </c>
      <c r="BX11" s="927">
        <f t="shared" si="48"/>
        <v>44196</v>
      </c>
      <c r="BY11" s="927">
        <f t="shared" si="48"/>
        <v>44227</v>
      </c>
      <c r="BZ11" s="927">
        <f t="shared" si="48"/>
        <v>44255</v>
      </c>
      <c r="CA11" s="927">
        <f t="shared" si="48"/>
        <v>44286</v>
      </c>
      <c r="CB11" s="369" t="s">
        <v>1092</v>
      </c>
      <c r="CC11" s="957" t="s">
        <v>791</v>
      </c>
      <c r="CD11" s="929" t="s">
        <v>289</v>
      </c>
      <c r="CE11" s="199"/>
      <c r="CF11" s="930">
        <v>43585</v>
      </c>
      <c r="CG11" s="931">
        <f>EOMONTH(CF11,1)</f>
        <v>43616</v>
      </c>
      <c r="CH11" s="931">
        <f t="shared" ref="CH11:CQ11" si="49">EOMONTH(CG11,1)</f>
        <v>43646</v>
      </c>
      <c r="CI11" s="931">
        <f t="shared" si="49"/>
        <v>43677</v>
      </c>
      <c r="CJ11" s="931">
        <f t="shared" si="49"/>
        <v>43708</v>
      </c>
      <c r="CK11" s="931">
        <f t="shared" si="49"/>
        <v>43738</v>
      </c>
      <c r="CL11" s="931">
        <f t="shared" si="49"/>
        <v>43769</v>
      </c>
      <c r="CM11" s="931">
        <f t="shared" si="49"/>
        <v>43799</v>
      </c>
      <c r="CN11" s="931">
        <f t="shared" si="49"/>
        <v>43830</v>
      </c>
      <c r="CO11" s="931">
        <f t="shared" si="49"/>
        <v>43861</v>
      </c>
      <c r="CP11" s="931">
        <f t="shared" si="49"/>
        <v>43890</v>
      </c>
      <c r="CQ11" s="931">
        <f t="shared" si="49"/>
        <v>43921</v>
      </c>
      <c r="CR11" s="932" t="s">
        <v>290</v>
      </c>
      <c r="CS11" s="813" t="s">
        <v>1091</v>
      </c>
      <c r="CT11" s="812" t="s">
        <v>1090</v>
      </c>
      <c r="CU11" s="811" t="s">
        <v>292</v>
      </c>
      <c r="CV11" s="202"/>
      <c r="CW11" s="933">
        <v>43220</v>
      </c>
      <c r="CX11" s="934">
        <f>EOMONTH(CW11,1)</f>
        <v>43251</v>
      </c>
      <c r="CY11" s="934">
        <f t="shared" ref="CY11:DH11" si="50">EOMONTH(CX11,1)</f>
        <v>43281</v>
      </c>
      <c r="CZ11" s="934">
        <f t="shared" si="50"/>
        <v>43312</v>
      </c>
      <c r="DA11" s="934">
        <f t="shared" si="50"/>
        <v>43343</v>
      </c>
      <c r="DB11" s="934">
        <f t="shared" si="50"/>
        <v>43373</v>
      </c>
      <c r="DC11" s="934">
        <f t="shared" si="50"/>
        <v>43404</v>
      </c>
      <c r="DD11" s="934">
        <f t="shared" si="50"/>
        <v>43434</v>
      </c>
      <c r="DE11" s="934">
        <f t="shared" si="50"/>
        <v>43465</v>
      </c>
      <c r="DF11" s="934">
        <f t="shared" si="50"/>
        <v>43496</v>
      </c>
      <c r="DG11" s="934">
        <f t="shared" si="50"/>
        <v>43524</v>
      </c>
      <c r="DH11" s="934">
        <f t="shared" si="50"/>
        <v>43555</v>
      </c>
      <c r="DI11" s="370" t="s">
        <v>1089</v>
      </c>
      <c r="DJ11" s="202"/>
      <c r="DK11" s="933">
        <v>42855</v>
      </c>
      <c r="DL11" s="934">
        <f>EOMONTH(DK11,1)</f>
        <v>42886</v>
      </c>
      <c r="DM11" s="934">
        <f t="shared" ref="DM11:DV11" si="51">EOMONTH(DL11,1)</f>
        <v>42916</v>
      </c>
      <c r="DN11" s="934">
        <f t="shared" si="51"/>
        <v>42947</v>
      </c>
      <c r="DO11" s="934">
        <f t="shared" si="51"/>
        <v>42978</v>
      </c>
      <c r="DP11" s="934">
        <f t="shared" si="51"/>
        <v>43008</v>
      </c>
      <c r="DQ11" s="934">
        <f t="shared" si="51"/>
        <v>43039</v>
      </c>
      <c r="DR11" s="934">
        <f t="shared" si="51"/>
        <v>43069</v>
      </c>
      <c r="DS11" s="934">
        <f t="shared" si="51"/>
        <v>43100</v>
      </c>
      <c r="DT11" s="934">
        <f t="shared" si="51"/>
        <v>43131</v>
      </c>
      <c r="DU11" s="934">
        <f t="shared" si="51"/>
        <v>43159</v>
      </c>
      <c r="DV11" s="934">
        <f t="shared" si="51"/>
        <v>43190</v>
      </c>
      <c r="DW11" s="370" t="s">
        <v>371</v>
      </c>
      <c r="DY11" s="934">
        <v>42490</v>
      </c>
      <c r="DZ11" s="934">
        <f>EOMONTH(DY11,1)</f>
        <v>42521</v>
      </c>
      <c r="EA11" s="934">
        <f t="shared" ref="EA11:EJ11" si="52">EOMONTH(DZ11,1)</f>
        <v>42551</v>
      </c>
      <c r="EB11" s="934">
        <f t="shared" si="52"/>
        <v>42582</v>
      </c>
      <c r="EC11" s="934">
        <f t="shared" si="52"/>
        <v>42613</v>
      </c>
      <c r="ED11" s="934">
        <f t="shared" si="52"/>
        <v>42643</v>
      </c>
      <c r="EE11" s="934">
        <f t="shared" si="52"/>
        <v>42674</v>
      </c>
      <c r="EF11" s="934">
        <f t="shared" si="52"/>
        <v>42704</v>
      </c>
      <c r="EG11" s="934">
        <f t="shared" si="52"/>
        <v>42735</v>
      </c>
      <c r="EH11" s="934">
        <f t="shared" si="52"/>
        <v>42766</v>
      </c>
      <c r="EI11" s="934">
        <f t="shared" si="52"/>
        <v>42794</v>
      </c>
      <c r="EJ11" s="934">
        <f t="shared" si="52"/>
        <v>42825</v>
      </c>
      <c r="EK11" s="370" t="s">
        <v>291</v>
      </c>
      <c r="EM11" s="934">
        <v>42124</v>
      </c>
      <c r="EN11" s="934">
        <f>EOMONTH(EM11,1)</f>
        <v>42155</v>
      </c>
      <c r="EO11" s="934">
        <f t="shared" ref="EO11:EX11" si="53">EOMONTH(EN11,1)</f>
        <v>42185</v>
      </c>
      <c r="EP11" s="934">
        <f t="shared" si="53"/>
        <v>42216</v>
      </c>
      <c r="EQ11" s="934">
        <f t="shared" si="53"/>
        <v>42247</v>
      </c>
      <c r="ER11" s="934">
        <f t="shared" si="53"/>
        <v>42277</v>
      </c>
      <c r="ES11" s="934">
        <f t="shared" si="53"/>
        <v>42308</v>
      </c>
      <c r="ET11" s="934">
        <f t="shared" si="53"/>
        <v>42338</v>
      </c>
      <c r="EU11" s="934">
        <f t="shared" si="53"/>
        <v>42369</v>
      </c>
      <c r="EV11" s="934">
        <f t="shared" si="53"/>
        <v>42400</v>
      </c>
      <c r="EW11" s="934">
        <f t="shared" si="53"/>
        <v>42429</v>
      </c>
      <c r="EX11" s="935">
        <f t="shared" si="53"/>
        <v>42460</v>
      </c>
      <c r="EY11" s="370" t="s">
        <v>293</v>
      </c>
      <c r="FF11" s="155"/>
    </row>
    <row r="12" spans="1:162" s="173" customFormat="1" ht="18" customHeight="1">
      <c r="B12" s="174"/>
      <c r="C12" s="174"/>
      <c r="D12" s="174"/>
      <c r="E12" s="155"/>
      <c r="F12" s="174"/>
      <c r="G12" s="174"/>
      <c r="H12" s="411"/>
      <c r="I12" s="411"/>
      <c r="J12" s="411"/>
      <c r="K12" s="411"/>
      <c r="L12" s="411"/>
      <c r="M12" s="411"/>
      <c r="N12" s="411"/>
      <c r="O12" s="411"/>
      <c r="P12" s="411"/>
      <c r="Q12" s="411"/>
      <c r="R12" s="411"/>
      <c r="S12" s="411"/>
      <c r="T12" s="411"/>
      <c r="U12" s="365"/>
      <c r="V12" s="163"/>
      <c r="W12" s="174"/>
      <c r="X12" s="411"/>
      <c r="Y12" s="411"/>
      <c r="Z12" s="411"/>
      <c r="AA12" s="411"/>
      <c r="AB12" s="411"/>
      <c r="AC12" s="411"/>
      <c r="AD12" s="411"/>
      <c r="AE12" s="411"/>
      <c r="AF12" s="411"/>
      <c r="AG12" s="411"/>
      <c r="AH12" s="411"/>
      <c r="AI12" s="411"/>
      <c r="AJ12" s="411"/>
      <c r="AK12" s="174"/>
      <c r="AL12" s="411"/>
      <c r="AM12" s="411"/>
      <c r="AN12" s="411"/>
      <c r="AO12" s="411"/>
      <c r="AP12" s="411"/>
      <c r="AQ12" s="411"/>
      <c r="AR12" s="411"/>
      <c r="AS12" s="411"/>
      <c r="AT12" s="411"/>
      <c r="AU12" s="411"/>
      <c r="AV12" s="411"/>
      <c r="AW12" s="411"/>
      <c r="AX12" s="411"/>
      <c r="AY12" s="365"/>
      <c r="AZ12" s="163"/>
      <c r="BA12" s="174"/>
      <c r="BB12" s="411"/>
      <c r="BC12" s="411"/>
      <c r="BD12" s="411"/>
      <c r="BE12" s="411"/>
      <c r="BF12" s="411"/>
      <c r="BG12" s="411"/>
      <c r="BH12" s="411"/>
      <c r="BI12" s="411"/>
      <c r="BJ12" s="411"/>
      <c r="BK12" s="411"/>
      <c r="BL12" s="411"/>
      <c r="BM12" s="411"/>
      <c r="BN12" s="411"/>
      <c r="BO12" s="174"/>
      <c r="BP12" s="411"/>
      <c r="BQ12" s="411"/>
      <c r="BR12" s="411"/>
      <c r="BS12" s="411"/>
      <c r="BT12" s="411"/>
      <c r="BU12" s="411"/>
      <c r="BV12" s="411"/>
      <c r="BW12" s="411"/>
      <c r="BX12" s="411"/>
      <c r="BY12" s="411"/>
      <c r="BZ12" s="411"/>
      <c r="CA12" s="411"/>
      <c r="CB12" s="412"/>
      <c r="CC12" s="365"/>
      <c r="CD12" s="163"/>
      <c r="CE12" s="174"/>
      <c r="CF12" s="373"/>
      <c r="CG12" s="373"/>
      <c r="CH12" s="373"/>
      <c r="CI12" s="373"/>
      <c r="CJ12" s="373"/>
      <c r="CK12" s="373"/>
      <c r="CL12" s="374"/>
      <c r="CM12" s="373"/>
      <c r="CN12" s="373"/>
      <c r="CO12" s="373"/>
      <c r="CP12" s="373"/>
      <c r="CQ12" s="373"/>
      <c r="CR12" s="376"/>
      <c r="CS12" s="375"/>
      <c r="CT12" s="393"/>
      <c r="CU12" s="163"/>
      <c r="CV12" s="323"/>
      <c r="CW12" s="373"/>
      <c r="CX12" s="373"/>
      <c r="CY12" s="373"/>
      <c r="CZ12" s="373"/>
      <c r="DA12" s="373"/>
      <c r="DB12" s="373"/>
      <c r="DC12" s="374"/>
      <c r="DD12" s="373"/>
      <c r="DE12" s="373"/>
      <c r="DF12" s="373"/>
      <c r="DG12" s="373"/>
      <c r="DH12" s="373"/>
      <c r="DI12" s="375"/>
      <c r="DJ12" s="323"/>
      <c r="DK12" s="373"/>
      <c r="DL12" s="373"/>
      <c r="DM12" s="373"/>
      <c r="DN12" s="373"/>
      <c r="DO12" s="373"/>
      <c r="DP12" s="373"/>
      <c r="DQ12" s="374"/>
      <c r="DR12" s="373"/>
      <c r="DS12" s="373"/>
      <c r="DT12" s="373"/>
      <c r="DU12" s="373"/>
      <c r="DV12" s="373"/>
      <c r="DW12" s="375"/>
      <c r="DY12" s="373"/>
      <c r="DZ12" s="373"/>
      <c r="EA12" s="373"/>
      <c r="EB12" s="373"/>
      <c r="EC12" s="373"/>
      <c r="ED12" s="373"/>
      <c r="EE12" s="374"/>
      <c r="EF12" s="373"/>
      <c r="EG12" s="373"/>
      <c r="EH12" s="373"/>
      <c r="EI12" s="373"/>
      <c r="EJ12" s="373"/>
      <c r="EK12" s="375"/>
      <c r="EL12" s="164"/>
      <c r="EM12" s="373"/>
      <c r="EN12" s="373"/>
      <c r="EO12" s="373"/>
      <c r="EP12" s="373"/>
      <c r="EQ12" s="373"/>
      <c r="ER12" s="373"/>
      <c r="ES12" s="373"/>
      <c r="ET12" s="373"/>
      <c r="EU12" s="373"/>
      <c r="EV12" s="373"/>
      <c r="EW12" s="373"/>
      <c r="EX12" s="377"/>
      <c r="EY12" s="375"/>
      <c r="EZ12" s="164"/>
    </row>
    <row r="13" spans="1:162" ht="18" customHeight="1">
      <c r="E13" s="199" t="s">
        <v>311</v>
      </c>
      <c r="H13" s="941"/>
      <c r="I13" s="941"/>
      <c r="J13" s="941"/>
      <c r="K13" s="941"/>
      <c r="L13" s="941"/>
      <c r="M13" s="941"/>
      <c r="N13" s="941"/>
      <c r="O13" s="941"/>
      <c r="P13" s="941"/>
      <c r="Q13" s="941"/>
      <c r="R13" s="941"/>
      <c r="S13" s="941"/>
      <c r="T13" s="958"/>
      <c r="U13" s="365"/>
      <c r="V13" s="163"/>
      <c r="X13" s="941"/>
      <c r="Y13" s="941"/>
      <c r="Z13" s="941"/>
      <c r="AA13" s="941"/>
      <c r="AB13" s="941"/>
      <c r="AC13" s="941"/>
      <c r="AD13" s="941"/>
      <c r="AE13" s="941"/>
      <c r="AF13" s="941"/>
      <c r="AG13" s="941"/>
      <c r="AH13" s="941"/>
      <c r="AI13" s="941"/>
      <c r="AJ13" s="958"/>
      <c r="AL13" s="941"/>
      <c r="AM13" s="941"/>
      <c r="AN13" s="941"/>
      <c r="AO13" s="941"/>
      <c r="AP13" s="941"/>
      <c r="AQ13" s="941"/>
      <c r="AR13" s="941"/>
      <c r="AS13" s="941"/>
      <c r="AT13" s="941"/>
      <c r="AU13" s="941"/>
      <c r="AV13" s="941"/>
      <c r="AW13" s="941"/>
      <c r="AX13" s="958"/>
      <c r="AY13" s="365"/>
      <c r="AZ13" s="163"/>
      <c r="BB13" s="941"/>
      <c r="BC13" s="941"/>
      <c r="BD13" s="941"/>
      <c r="BE13" s="941"/>
      <c r="BF13" s="941"/>
      <c r="BG13" s="941"/>
      <c r="BH13" s="941"/>
      <c r="BI13" s="941"/>
      <c r="BJ13" s="941"/>
      <c r="BK13" s="941"/>
      <c r="BL13" s="941"/>
      <c r="BM13" s="941"/>
      <c r="BN13" s="958"/>
      <c r="BP13" s="941"/>
      <c r="BQ13" s="941"/>
      <c r="BR13" s="941"/>
      <c r="BS13" s="941"/>
      <c r="BT13" s="941"/>
      <c r="BU13" s="941"/>
      <c r="BV13" s="941"/>
      <c r="BW13" s="941"/>
      <c r="BX13" s="941"/>
      <c r="BY13" s="941"/>
      <c r="BZ13" s="941"/>
      <c r="CA13" s="941"/>
      <c r="CB13" s="958"/>
      <c r="CC13" s="365"/>
      <c r="CD13" s="163"/>
      <c r="CF13" s="373"/>
      <c r="CG13" s="373"/>
      <c r="CH13" s="373"/>
      <c r="CI13" s="373"/>
      <c r="CJ13" s="373"/>
      <c r="CK13" s="373"/>
      <c r="CL13" s="374"/>
      <c r="CM13" s="373"/>
      <c r="CN13" s="373"/>
      <c r="CO13" s="373"/>
      <c r="CP13" s="373"/>
      <c r="CQ13" s="373"/>
      <c r="CR13" s="376"/>
      <c r="CS13" s="375"/>
      <c r="CT13" s="393"/>
      <c r="CU13" s="163"/>
      <c r="CW13" s="373"/>
      <c r="CX13" s="373"/>
      <c r="CY13" s="373"/>
      <c r="CZ13" s="373"/>
      <c r="DA13" s="373"/>
      <c r="DB13" s="373"/>
      <c r="DC13" s="374"/>
      <c r="DD13" s="373"/>
      <c r="DE13" s="373"/>
      <c r="DF13" s="373"/>
      <c r="DG13" s="373"/>
      <c r="DH13" s="373"/>
      <c r="DI13" s="375"/>
      <c r="DK13" s="373"/>
      <c r="DL13" s="373"/>
      <c r="DM13" s="373"/>
      <c r="DN13" s="373"/>
      <c r="DO13" s="373"/>
      <c r="DP13" s="373"/>
      <c r="DQ13" s="374"/>
      <c r="DR13" s="373"/>
      <c r="DS13" s="373"/>
      <c r="DT13" s="373"/>
      <c r="DU13" s="373"/>
      <c r="DV13" s="373"/>
      <c r="DW13" s="375"/>
      <c r="DY13" s="373"/>
      <c r="DZ13" s="373"/>
      <c r="EA13" s="373"/>
      <c r="EB13" s="373"/>
      <c r="EC13" s="373"/>
      <c r="ED13" s="373"/>
      <c r="EE13" s="374"/>
      <c r="EF13" s="373"/>
      <c r="EG13" s="373"/>
      <c r="EH13" s="373"/>
      <c r="EI13" s="373"/>
      <c r="EJ13" s="373"/>
      <c r="EK13" s="375"/>
      <c r="EL13" s="164"/>
      <c r="EM13" s="373"/>
      <c r="EN13" s="373"/>
      <c r="EO13" s="373"/>
      <c r="EP13" s="373"/>
      <c r="EQ13" s="373"/>
      <c r="ER13" s="373"/>
      <c r="ES13" s="373"/>
      <c r="ET13" s="373"/>
      <c r="EU13" s="373"/>
      <c r="EV13" s="373"/>
      <c r="EW13" s="373"/>
      <c r="EX13" s="377"/>
      <c r="EY13" s="375"/>
      <c r="EZ13" s="164"/>
    </row>
    <row r="14" spans="1:162" ht="18.75" customHeight="1">
      <c r="A14" s="185" t="s">
        <v>313</v>
      </c>
      <c r="B14" s="176">
        <v>48101000</v>
      </c>
      <c r="C14" s="176" t="s">
        <v>1108</v>
      </c>
      <c r="D14" s="176"/>
      <c r="E14" s="199"/>
      <c r="F14" s="320" t="s">
        <v>523</v>
      </c>
      <c r="G14" s="320"/>
      <c r="H14" s="373">
        <v>0</v>
      </c>
      <c r="I14" s="373">
        <v>0</v>
      </c>
      <c r="J14" s="373">
        <v>0</v>
      </c>
      <c r="K14" s="373">
        <v>0</v>
      </c>
      <c r="L14" s="373">
        <v>0</v>
      </c>
      <c r="M14" s="373">
        <v>0</v>
      </c>
      <c r="N14" s="373">
        <v>0</v>
      </c>
      <c r="O14" s="373">
        <v>0</v>
      </c>
      <c r="P14" s="373">
        <v>0</v>
      </c>
      <c r="Q14" s="373">
        <v>0</v>
      </c>
      <c r="R14" s="373">
        <v>0</v>
      </c>
      <c r="S14" s="373">
        <v>100000</v>
      </c>
      <c r="T14" s="375"/>
      <c r="U14" s="378">
        <f t="shared" ref="U14:U23" si="54">AJ14-T14</f>
        <v>94499.199999999997</v>
      </c>
      <c r="V14" s="165">
        <f t="shared" ref="V14:V23" si="55">U14/AJ14</f>
        <v>1</v>
      </c>
      <c r="W14" s="320"/>
      <c r="X14" s="373">
        <v>7267.4</v>
      </c>
      <c r="Y14" s="373">
        <v>9109.16</v>
      </c>
      <c r="Z14" s="373">
        <v>8136.53</v>
      </c>
      <c r="AA14" s="373">
        <v>4975.3500000000004</v>
      </c>
      <c r="AB14" s="373">
        <v>4147.58</v>
      </c>
      <c r="AC14" s="373">
        <v>4429.3</v>
      </c>
      <c r="AD14" s="373">
        <v>4757.6099999999997</v>
      </c>
      <c r="AE14" s="373">
        <v>3378.84</v>
      </c>
      <c r="AF14" s="373">
        <v>32288.32</v>
      </c>
      <c r="AG14" s="373">
        <v>3669.72</v>
      </c>
      <c r="AH14" s="373">
        <v>6671.25</v>
      </c>
      <c r="AI14" s="373">
        <v>5668.14</v>
      </c>
      <c r="AJ14" s="375">
        <f>SUM(X14:AI14)</f>
        <v>94499.199999999997</v>
      </c>
      <c r="AK14" s="320"/>
      <c r="AL14" s="373">
        <v>0</v>
      </c>
      <c r="AM14" s="373">
        <v>0</v>
      </c>
      <c r="AN14" s="373">
        <v>0</v>
      </c>
      <c r="AO14" s="373">
        <v>0</v>
      </c>
      <c r="AP14" s="373">
        <v>0</v>
      </c>
      <c r="AQ14" s="373">
        <v>0</v>
      </c>
      <c r="AR14" s="373">
        <v>0</v>
      </c>
      <c r="AS14" s="373">
        <v>0</v>
      </c>
      <c r="AT14" s="373">
        <v>0</v>
      </c>
      <c r="AU14" s="373">
        <v>0</v>
      </c>
      <c r="AV14" s="373">
        <v>0</v>
      </c>
      <c r="AW14" s="373">
        <v>100000</v>
      </c>
      <c r="AX14" s="375">
        <f>SUM(AL14:AW14)</f>
        <v>100000</v>
      </c>
      <c r="AY14" s="378">
        <f t="shared" ref="AY14:AY23" si="56">BN14-AX14</f>
        <v>-47443.67</v>
      </c>
      <c r="AZ14" s="165">
        <f t="shared" ref="AZ14:AZ23" si="57">AY14/BN14</f>
        <v>-0.90272037640375569</v>
      </c>
      <c r="BA14" s="320"/>
      <c r="BB14" s="373">
        <v>7567.2</v>
      </c>
      <c r="BC14" s="373">
        <v>8837.4</v>
      </c>
      <c r="BD14" s="373">
        <v>9868.92</v>
      </c>
      <c r="BE14" s="373">
        <v>4541.1499999999996</v>
      </c>
      <c r="BF14" s="373">
        <v>3937.38</v>
      </c>
      <c r="BG14" s="373">
        <v>3254.61</v>
      </c>
      <c r="BH14" s="373">
        <v>2570.21</v>
      </c>
      <c r="BI14" s="373">
        <v>2869.33</v>
      </c>
      <c r="BJ14" s="373">
        <v>2047.8</v>
      </c>
      <c r="BK14" s="373">
        <v>1661.65</v>
      </c>
      <c r="BL14" s="373">
        <v>1199.6300000000001</v>
      </c>
      <c r="BM14" s="373">
        <v>4201.05</v>
      </c>
      <c r="BN14" s="375">
        <f>SUM(BB14:BM14)</f>
        <v>52556.33</v>
      </c>
      <c r="BO14" s="320"/>
      <c r="BP14" s="413">
        <v>0</v>
      </c>
      <c r="BQ14" s="413">
        <v>0</v>
      </c>
      <c r="BR14" s="413">
        <v>25000</v>
      </c>
      <c r="BS14" s="413">
        <v>0</v>
      </c>
      <c r="BT14" s="413">
        <v>0</v>
      </c>
      <c r="BU14" s="413">
        <v>25000</v>
      </c>
      <c r="BV14" s="413">
        <v>0</v>
      </c>
      <c r="BW14" s="413">
        <v>0</v>
      </c>
      <c r="BX14" s="413">
        <v>25000</v>
      </c>
      <c r="BY14" s="413">
        <v>0</v>
      </c>
      <c r="BZ14" s="413">
        <v>0</v>
      </c>
      <c r="CA14" s="413">
        <v>25000</v>
      </c>
      <c r="CB14" s="375">
        <f>SUM(BP14:CA14)</f>
        <v>100000</v>
      </c>
      <c r="CC14" s="378">
        <f t="shared" ref="CC14:CC23" si="58">BN14-CB14</f>
        <v>-47443.67</v>
      </c>
      <c r="CD14" s="165">
        <f t="shared" ref="CD14:CD23" si="59">IFERROR(CC14/CB14,"N/A")</f>
        <v>-0.47443669999999999</v>
      </c>
      <c r="CE14" s="320"/>
      <c r="CF14" s="373">
        <v>33288.53</v>
      </c>
      <c r="CG14" s="373">
        <v>11663.85</v>
      </c>
      <c r="CH14" s="373">
        <v>18456.54</v>
      </c>
      <c r="CI14" s="373">
        <v>5233.22</v>
      </c>
      <c r="CJ14" s="373">
        <v>6069.33</v>
      </c>
      <c r="CK14" s="373">
        <v>5654.71</v>
      </c>
      <c r="CL14" s="373">
        <v>5687.82</v>
      </c>
      <c r="CM14" s="373">
        <v>6827.86</v>
      </c>
      <c r="CN14" s="373">
        <v>12496.69</v>
      </c>
      <c r="CO14" s="373">
        <v>5143.78</v>
      </c>
      <c r="CP14" s="373">
        <v>3658.69</v>
      </c>
      <c r="CQ14" s="373">
        <v>2402.9</v>
      </c>
      <c r="CR14" s="376"/>
      <c r="CS14" s="375">
        <f t="shared" ref="CS14:CS23" si="60">SUM(CF14:CR14)</f>
        <v>116583.92</v>
      </c>
      <c r="CT14" s="378">
        <f t="shared" ref="CT14:CT23" si="61">BN14-CS14</f>
        <v>-64027.59</v>
      </c>
      <c r="CU14" s="165">
        <f t="shared" ref="CU14:CU23" si="62">IFERROR(CT14/CS14,"N/A")</f>
        <v>-0.54919743649038388</v>
      </c>
      <c r="CV14" s="320"/>
      <c r="CW14" s="373">
        <v>27000.760000000002</v>
      </c>
      <c r="CX14" s="373">
        <v>32222.82</v>
      </c>
      <c r="CY14" s="373">
        <v>26331.05</v>
      </c>
      <c r="CZ14" s="373">
        <v>4953.74</v>
      </c>
      <c r="DA14" s="373">
        <v>41276.479999999996</v>
      </c>
      <c r="DB14" s="373">
        <v>27389.5</v>
      </c>
      <c r="DC14" s="373">
        <v>11268.699999999999</v>
      </c>
      <c r="DD14" s="373">
        <v>29047.870000000003</v>
      </c>
      <c r="DE14" s="373">
        <v>30927</v>
      </c>
      <c r="DF14" s="373">
        <v>12360.82</v>
      </c>
      <c r="DG14" s="373">
        <v>12778.39</v>
      </c>
      <c r="DH14" s="373">
        <v>-36018.559999999998</v>
      </c>
      <c r="DI14" s="375">
        <f t="shared" ref="DI14:DI23" si="63">SUM(CW14:DH14)</f>
        <v>219538.57</v>
      </c>
      <c r="DJ14" s="320"/>
      <c r="DK14" s="373">
        <v>13566.079999999998</v>
      </c>
      <c r="DL14" s="373">
        <v>26208.350000000002</v>
      </c>
      <c r="DM14" s="373">
        <v>48470.3</v>
      </c>
      <c r="DN14" s="373">
        <v>15275.590000000002</v>
      </c>
      <c r="DO14" s="373">
        <v>6262.05</v>
      </c>
      <c r="DP14" s="373">
        <v>27848.100000000002</v>
      </c>
      <c r="DQ14" s="373">
        <v>30151.23</v>
      </c>
      <c r="DR14" s="373">
        <v>32822.44</v>
      </c>
      <c r="DS14" s="373">
        <v>43672.21</v>
      </c>
      <c r="DT14" s="373">
        <v>30651.229999999992</v>
      </c>
      <c r="DU14" s="373">
        <v>38382.97</v>
      </c>
      <c r="DV14" s="373">
        <v>66953.61</v>
      </c>
      <c r="DW14" s="375">
        <f t="shared" ref="DW14:DW23" si="64">SUM(DK14:DV14)</f>
        <v>380264.16000000003</v>
      </c>
      <c r="DY14" s="373">
        <v>23648.949999999997</v>
      </c>
      <c r="DZ14" s="373">
        <v>24474.41</v>
      </c>
      <c r="EA14" s="373">
        <v>21410.720000000005</v>
      </c>
      <c r="EB14" s="373">
        <v>22036.879999999997</v>
      </c>
      <c r="EC14" s="373">
        <v>45869.569999999992</v>
      </c>
      <c r="ED14" s="373">
        <v>43274.020000000004</v>
      </c>
      <c r="EE14" s="373">
        <v>51219.51</v>
      </c>
      <c r="EF14" s="373">
        <v>73375.55</v>
      </c>
      <c r="EG14" s="373">
        <v>110953.79000000001</v>
      </c>
      <c r="EH14" s="373">
        <v>33726.6</v>
      </c>
      <c r="EI14" s="373">
        <v>40753.760000000002</v>
      </c>
      <c r="EJ14" s="373">
        <v>16029.130000000001</v>
      </c>
      <c r="EK14" s="375">
        <f t="shared" ref="EK14:EK23" si="65">SUM(DY14:EJ14)</f>
        <v>506772.89</v>
      </c>
      <c r="EL14" s="164"/>
      <c r="EM14" s="373">
        <v>36967.5</v>
      </c>
      <c r="EN14" s="373">
        <v>60214.990000000005</v>
      </c>
      <c r="EO14" s="373">
        <v>67572.23</v>
      </c>
      <c r="EP14" s="373">
        <v>39616.639999999999</v>
      </c>
      <c r="EQ14" s="373">
        <v>42255.5</v>
      </c>
      <c r="ER14" s="373">
        <v>52536.86</v>
      </c>
      <c r="ES14" s="373">
        <v>35420.71</v>
      </c>
      <c r="ET14" s="373">
        <v>25932.799999999999</v>
      </c>
      <c r="EU14" s="373">
        <v>36558.03</v>
      </c>
      <c r="EV14" s="373">
        <v>30920.21</v>
      </c>
      <c r="EW14" s="373">
        <v>30084.26</v>
      </c>
      <c r="EX14" s="373">
        <v>31953.16</v>
      </c>
      <c r="EY14" s="375">
        <f>SUM(EM14:EX14)</f>
        <v>490032.89</v>
      </c>
      <c r="EZ14" s="164"/>
    </row>
    <row r="15" spans="1:162" ht="18.75" customHeight="1">
      <c r="A15" s="185" t="s">
        <v>313</v>
      </c>
      <c r="B15" s="176">
        <v>48102000</v>
      </c>
      <c r="C15" s="176" t="s">
        <v>1108</v>
      </c>
      <c r="D15" s="176"/>
      <c r="E15" s="199"/>
      <c r="F15" s="320" t="s">
        <v>524</v>
      </c>
      <c r="G15" s="320"/>
      <c r="H15" s="373">
        <v>0</v>
      </c>
      <c r="I15" s="373">
        <v>0</v>
      </c>
      <c r="J15" s="373">
        <v>0</v>
      </c>
      <c r="K15" s="373">
        <v>0</v>
      </c>
      <c r="L15" s="373">
        <v>0</v>
      </c>
      <c r="M15" s="373">
        <v>0</v>
      </c>
      <c r="N15" s="373">
        <v>0</v>
      </c>
      <c r="O15" s="373">
        <v>0</v>
      </c>
      <c r="P15" s="373">
        <v>0</v>
      </c>
      <c r="Q15" s="373">
        <v>0</v>
      </c>
      <c r="R15" s="373">
        <v>0</v>
      </c>
      <c r="S15" s="373">
        <v>65000</v>
      </c>
      <c r="T15" s="375"/>
      <c r="U15" s="378">
        <f t="shared" si="54"/>
        <v>65200</v>
      </c>
      <c r="V15" s="165">
        <f t="shared" si="55"/>
        <v>1</v>
      </c>
      <c r="W15" s="320"/>
      <c r="X15" s="373">
        <v>5400</v>
      </c>
      <c r="Y15" s="373">
        <v>5400</v>
      </c>
      <c r="Z15" s="373">
        <v>5400</v>
      </c>
      <c r="AA15" s="373">
        <v>5400</v>
      </c>
      <c r="AB15" s="373">
        <v>5400</v>
      </c>
      <c r="AC15" s="373">
        <v>5400</v>
      </c>
      <c r="AD15" s="373">
        <v>5400</v>
      </c>
      <c r="AE15" s="373">
        <v>5400</v>
      </c>
      <c r="AF15" s="373">
        <v>5500</v>
      </c>
      <c r="AG15" s="373">
        <v>5500</v>
      </c>
      <c r="AH15" s="373">
        <v>5500</v>
      </c>
      <c r="AI15" s="373">
        <v>5500</v>
      </c>
      <c r="AJ15" s="375">
        <f t="shared" ref="AJ15:AJ23" si="66">SUM(X15:AI15)</f>
        <v>65200</v>
      </c>
      <c r="AK15" s="320"/>
      <c r="AL15" s="373">
        <v>0</v>
      </c>
      <c r="AM15" s="373">
        <v>0</v>
      </c>
      <c r="AN15" s="373">
        <v>0</v>
      </c>
      <c r="AO15" s="373">
        <v>0</v>
      </c>
      <c r="AP15" s="373">
        <v>0</v>
      </c>
      <c r="AQ15" s="373">
        <v>0</v>
      </c>
      <c r="AR15" s="373">
        <v>0</v>
      </c>
      <c r="AS15" s="373">
        <v>0</v>
      </c>
      <c r="AT15" s="373">
        <v>0</v>
      </c>
      <c r="AU15" s="373">
        <v>0</v>
      </c>
      <c r="AV15" s="373">
        <v>0</v>
      </c>
      <c r="AW15" s="373">
        <v>65000</v>
      </c>
      <c r="AX15" s="375">
        <f t="shared" ref="AX15:AX23" si="67">SUM(AL15:AW15)</f>
        <v>65000</v>
      </c>
      <c r="AY15" s="378">
        <f t="shared" si="56"/>
        <v>-200</v>
      </c>
      <c r="AZ15" s="165">
        <f t="shared" si="57"/>
        <v>-3.0864197530864196E-3</v>
      </c>
      <c r="BA15" s="320"/>
      <c r="BB15" s="373">
        <v>5400</v>
      </c>
      <c r="BC15" s="373">
        <v>5400</v>
      </c>
      <c r="BD15" s="373">
        <v>5400</v>
      </c>
      <c r="BE15" s="373">
        <v>5400</v>
      </c>
      <c r="BF15" s="373">
        <v>5400</v>
      </c>
      <c r="BG15" s="373">
        <v>5400</v>
      </c>
      <c r="BH15" s="373">
        <v>5400</v>
      </c>
      <c r="BI15" s="373">
        <v>5400</v>
      </c>
      <c r="BJ15" s="373">
        <v>5400</v>
      </c>
      <c r="BK15" s="373">
        <v>5400</v>
      </c>
      <c r="BL15" s="373">
        <v>5400</v>
      </c>
      <c r="BM15" s="373">
        <v>5400</v>
      </c>
      <c r="BN15" s="375">
        <f t="shared" ref="BN15:BN23" si="68">SUM(BB15:BM15)</f>
        <v>64800</v>
      </c>
      <c r="BO15" s="320"/>
      <c r="BP15" s="413">
        <v>5400</v>
      </c>
      <c r="BQ15" s="413">
        <v>5400</v>
      </c>
      <c r="BR15" s="413">
        <v>5400</v>
      </c>
      <c r="BS15" s="413">
        <v>5400</v>
      </c>
      <c r="BT15" s="413">
        <v>5400</v>
      </c>
      <c r="BU15" s="413">
        <v>5400</v>
      </c>
      <c r="BV15" s="413">
        <v>5400</v>
      </c>
      <c r="BW15" s="413">
        <v>5400</v>
      </c>
      <c r="BX15" s="413">
        <v>5400</v>
      </c>
      <c r="BY15" s="413">
        <v>5400</v>
      </c>
      <c r="BZ15" s="413">
        <v>5400</v>
      </c>
      <c r="CA15" s="413">
        <v>5600</v>
      </c>
      <c r="CB15" s="375">
        <f t="shared" ref="CB15:CB23" si="69">SUM(BP15:CA15)</f>
        <v>65000</v>
      </c>
      <c r="CC15" s="378">
        <f t="shared" si="58"/>
        <v>-200</v>
      </c>
      <c r="CD15" s="165">
        <f t="shared" si="59"/>
        <v>-3.0769230769230769E-3</v>
      </c>
      <c r="CE15" s="320"/>
      <c r="CF15" s="373">
        <v>5400</v>
      </c>
      <c r="CG15" s="373">
        <v>5400</v>
      </c>
      <c r="CH15" s="373">
        <v>5400</v>
      </c>
      <c r="CI15" s="373">
        <v>5400</v>
      </c>
      <c r="CJ15" s="373">
        <v>5400</v>
      </c>
      <c r="CK15" s="373">
        <v>5400</v>
      </c>
      <c r="CL15" s="373">
        <v>5400</v>
      </c>
      <c r="CM15" s="373">
        <v>5400</v>
      </c>
      <c r="CN15" s="373">
        <v>5400</v>
      </c>
      <c r="CO15" s="373">
        <v>5400</v>
      </c>
      <c r="CP15" s="373">
        <v>5400</v>
      </c>
      <c r="CQ15" s="373">
        <v>5400</v>
      </c>
      <c r="CR15" s="376"/>
      <c r="CS15" s="375">
        <f t="shared" si="60"/>
        <v>64800</v>
      </c>
      <c r="CT15" s="378">
        <f t="shared" si="61"/>
        <v>0</v>
      </c>
      <c r="CU15" s="165">
        <f t="shared" si="62"/>
        <v>0</v>
      </c>
      <c r="CV15" s="320"/>
      <c r="CW15" s="373">
        <v>5400</v>
      </c>
      <c r="CX15" s="373">
        <v>5400</v>
      </c>
      <c r="CY15" s="373">
        <v>5400</v>
      </c>
      <c r="CZ15" s="373">
        <v>5400</v>
      </c>
      <c r="DA15" s="373">
        <v>5400</v>
      </c>
      <c r="DB15" s="373">
        <v>5400</v>
      </c>
      <c r="DC15" s="373">
        <v>5400</v>
      </c>
      <c r="DD15" s="373">
        <v>5400</v>
      </c>
      <c r="DE15" s="373">
        <v>5400</v>
      </c>
      <c r="DF15" s="373">
        <v>5400</v>
      </c>
      <c r="DG15" s="373">
        <v>5400</v>
      </c>
      <c r="DH15" s="373">
        <v>-6400</v>
      </c>
      <c r="DI15" s="375">
        <f t="shared" si="63"/>
        <v>53000</v>
      </c>
      <c r="DJ15" s="320"/>
      <c r="DK15" s="373">
        <v>2700</v>
      </c>
      <c r="DL15" s="373">
        <v>2700</v>
      </c>
      <c r="DM15" s="373">
        <v>2700</v>
      </c>
      <c r="DN15" s="373">
        <v>2700</v>
      </c>
      <c r="DO15" s="373">
        <v>2700</v>
      </c>
      <c r="DP15" s="373">
        <v>2700</v>
      </c>
      <c r="DQ15" s="373">
        <v>2700</v>
      </c>
      <c r="DR15" s="373">
        <v>2700</v>
      </c>
      <c r="DS15" s="373">
        <v>2700</v>
      </c>
      <c r="DT15" s="373">
        <v>5400</v>
      </c>
      <c r="DU15" s="373">
        <v>5400</v>
      </c>
      <c r="DV15" s="373">
        <v>5400</v>
      </c>
      <c r="DW15" s="375">
        <f t="shared" si="64"/>
        <v>40500</v>
      </c>
      <c r="DY15" s="373">
        <v>10200</v>
      </c>
      <c r="DZ15" s="373">
        <v>2700</v>
      </c>
      <c r="EA15" s="373">
        <v>2700</v>
      </c>
      <c r="EB15" s="373">
        <v>17700</v>
      </c>
      <c r="EC15" s="373">
        <v>2700</v>
      </c>
      <c r="ED15" s="373">
        <v>2700</v>
      </c>
      <c r="EE15" s="373">
        <v>0</v>
      </c>
      <c r="EF15" s="373">
        <v>5400</v>
      </c>
      <c r="EG15" s="373">
        <v>2700</v>
      </c>
      <c r="EH15" s="373">
        <v>2700</v>
      </c>
      <c r="EI15" s="373">
        <v>2700</v>
      </c>
      <c r="EJ15" s="373">
        <v>2700</v>
      </c>
      <c r="EK15" s="375">
        <f t="shared" si="65"/>
        <v>54900</v>
      </c>
      <c r="EL15" s="164"/>
      <c r="EM15" s="373">
        <v>17700</v>
      </c>
      <c r="EN15" s="373">
        <v>2700</v>
      </c>
      <c r="EO15" s="373">
        <v>2700</v>
      </c>
      <c r="EP15" s="373">
        <v>2700</v>
      </c>
      <c r="EQ15" s="373">
        <v>2700</v>
      </c>
      <c r="ER15" s="373">
        <v>2700</v>
      </c>
      <c r="ES15" s="373">
        <v>2700</v>
      </c>
      <c r="ET15" s="373">
        <v>2700</v>
      </c>
      <c r="EU15" s="373">
        <v>10200</v>
      </c>
      <c r="EV15" s="373">
        <v>2700</v>
      </c>
      <c r="EW15" s="373">
        <v>2700</v>
      </c>
      <c r="EX15" s="373">
        <v>2700</v>
      </c>
      <c r="EY15" s="375">
        <f t="shared" ref="EY15:EY23" si="70">SUM(EM15:EX15)</f>
        <v>54900</v>
      </c>
      <c r="EZ15" s="164"/>
    </row>
    <row r="16" spans="1:162" ht="18.75" customHeight="1">
      <c r="A16" s="185" t="s">
        <v>1174</v>
      </c>
      <c r="B16" s="176">
        <v>48103000</v>
      </c>
      <c r="C16" s="176" t="s">
        <v>1108</v>
      </c>
      <c r="D16" s="176"/>
      <c r="E16" s="324"/>
      <c r="F16" s="320" t="s">
        <v>525</v>
      </c>
      <c r="G16" s="320"/>
      <c r="H16" s="373">
        <v>0</v>
      </c>
      <c r="I16" s="373">
        <v>0</v>
      </c>
      <c r="J16" s="373">
        <v>0</v>
      </c>
      <c r="K16" s="373">
        <v>0</v>
      </c>
      <c r="L16" s="373">
        <v>0</v>
      </c>
      <c r="M16" s="373">
        <v>0</v>
      </c>
      <c r="N16" s="373">
        <v>0</v>
      </c>
      <c r="O16" s="373">
        <v>0</v>
      </c>
      <c r="P16" s="373">
        <v>0</v>
      </c>
      <c r="Q16" s="373">
        <v>0</v>
      </c>
      <c r="R16" s="373">
        <v>0</v>
      </c>
      <c r="S16" s="373">
        <v>0</v>
      </c>
      <c r="T16" s="375"/>
      <c r="U16" s="378">
        <f t="shared" si="54"/>
        <v>0</v>
      </c>
      <c r="V16" s="165" t="e">
        <f t="shared" si="55"/>
        <v>#DIV/0!</v>
      </c>
      <c r="W16" s="320"/>
      <c r="X16" s="373">
        <v>0</v>
      </c>
      <c r="Y16" s="373">
        <v>0</v>
      </c>
      <c r="Z16" s="373">
        <v>0</v>
      </c>
      <c r="AA16" s="373">
        <v>0</v>
      </c>
      <c r="AB16" s="373">
        <v>0</v>
      </c>
      <c r="AC16" s="373">
        <v>0</v>
      </c>
      <c r="AD16" s="373">
        <v>0</v>
      </c>
      <c r="AE16" s="373">
        <v>0</v>
      </c>
      <c r="AF16" s="373">
        <v>0</v>
      </c>
      <c r="AG16" s="373">
        <v>0</v>
      </c>
      <c r="AH16" s="373">
        <v>0</v>
      </c>
      <c r="AI16" s="373">
        <v>0</v>
      </c>
      <c r="AJ16" s="375">
        <f t="shared" si="66"/>
        <v>0</v>
      </c>
      <c r="AK16" s="320"/>
      <c r="AL16" s="373">
        <v>0</v>
      </c>
      <c r="AM16" s="373">
        <v>0</v>
      </c>
      <c r="AN16" s="373">
        <v>0</v>
      </c>
      <c r="AO16" s="373">
        <v>0</v>
      </c>
      <c r="AP16" s="373">
        <v>0</v>
      </c>
      <c r="AQ16" s="373">
        <v>0</v>
      </c>
      <c r="AR16" s="373">
        <v>0</v>
      </c>
      <c r="AS16" s="373">
        <v>0</v>
      </c>
      <c r="AT16" s="373">
        <v>0</v>
      </c>
      <c r="AU16" s="373">
        <v>0</v>
      </c>
      <c r="AV16" s="373">
        <v>0</v>
      </c>
      <c r="AW16" s="373">
        <v>0</v>
      </c>
      <c r="AX16" s="375">
        <f t="shared" si="67"/>
        <v>0</v>
      </c>
      <c r="AY16" s="378">
        <f t="shared" si="56"/>
        <v>14412314.359999999</v>
      </c>
      <c r="AZ16" s="165">
        <f t="shared" si="57"/>
        <v>1</v>
      </c>
      <c r="BA16" s="320"/>
      <c r="BB16" s="373">
        <v>1000</v>
      </c>
      <c r="BC16" s="373">
        <v>1000</v>
      </c>
      <c r="BD16" s="373">
        <v>7774437</v>
      </c>
      <c r="BE16" s="373">
        <v>1000</v>
      </c>
      <c r="BF16" s="373">
        <v>1000</v>
      </c>
      <c r="BG16" s="373">
        <v>1000</v>
      </c>
      <c r="BH16" s="373">
        <v>7319763</v>
      </c>
      <c r="BI16" s="373">
        <v>163000</v>
      </c>
      <c r="BJ16" s="373">
        <v>1000</v>
      </c>
      <c r="BK16" s="373">
        <v>1000</v>
      </c>
      <c r="BL16" s="373">
        <v>0</v>
      </c>
      <c r="BM16" s="373">
        <v>-851885.64</v>
      </c>
      <c r="BN16" s="375">
        <f t="shared" si="68"/>
        <v>14412314.359999999</v>
      </c>
      <c r="BO16" s="320"/>
      <c r="BP16" s="413">
        <v>1000</v>
      </c>
      <c r="BQ16" s="413">
        <v>1000</v>
      </c>
      <c r="BR16" s="413">
        <v>7601000</v>
      </c>
      <c r="BS16" s="413">
        <v>1000</v>
      </c>
      <c r="BT16" s="413">
        <v>1000</v>
      </c>
      <c r="BU16" s="413">
        <v>1000</v>
      </c>
      <c r="BV16" s="413">
        <v>1000</v>
      </c>
      <c r="BW16" s="413">
        <v>7781834</v>
      </c>
      <c r="BX16" s="413">
        <v>1000</v>
      </c>
      <c r="BY16" s="413">
        <v>1000</v>
      </c>
      <c r="BZ16" s="413">
        <v>1000</v>
      </c>
      <c r="CA16" s="413">
        <v>1000</v>
      </c>
      <c r="CB16" s="375">
        <f t="shared" si="69"/>
        <v>15392834</v>
      </c>
      <c r="CC16" s="378">
        <f t="shared" si="58"/>
        <v>-980519.6400000006</v>
      </c>
      <c r="CD16" s="165">
        <f t="shared" si="59"/>
        <v>-6.369974755785715E-2</v>
      </c>
      <c r="CE16" s="320"/>
      <c r="CF16" s="373">
        <v>1000</v>
      </c>
      <c r="CG16" s="373">
        <v>1000</v>
      </c>
      <c r="CH16" s="373">
        <v>1000</v>
      </c>
      <c r="CI16" s="373">
        <v>1000</v>
      </c>
      <c r="CJ16" s="373">
        <v>0</v>
      </c>
      <c r="CK16" s="373">
        <v>1000</v>
      </c>
      <c r="CL16" s="373">
        <v>1000</v>
      </c>
      <c r="CM16" s="373">
        <v>1000</v>
      </c>
      <c r="CN16" s="373">
        <v>2000</v>
      </c>
      <c r="CO16" s="373">
        <v>1000</v>
      </c>
      <c r="CP16" s="373">
        <v>1000</v>
      </c>
      <c r="CQ16" s="373">
        <v>1000.09</v>
      </c>
      <c r="CR16" s="376"/>
      <c r="CS16" s="375">
        <f t="shared" si="60"/>
        <v>12000.09</v>
      </c>
      <c r="CT16" s="378">
        <f t="shared" si="61"/>
        <v>14400314.27</v>
      </c>
      <c r="CU16" s="165">
        <f t="shared" si="62"/>
        <v>1200.0171890377487</v>
      </c>
      <c r="CV16" s="320"/>
      <c r="CW16" s="373">
        <v>0</v>
      </c>
      <c r="CX16" s="373">
        <v>0</v>
      </c>
      <c r="CY16" s="373">
        <v>0</v>
      </c>
      <c r="CZ16" s="373">
        <v>0</v>
      </c>
      <c r="DA16" s="373">
        <v>0</v>
      </c>
      <c r="DB16" s="373">
        <v>0</v>
      </c>
      <c r="DC16" s="373">
        <v>8170.84</v>
      </c>
      <c r="DD16" s="373">
        <v>0</v>
      </c>
      <c r="DE16" s="373">
        <v>0</v>
      </c>
      <c r="DF16" s="373">
        <v>0</v>
      </c>
      <c r="DG16" s="373">
        <v>0</v>
      </c>
      <c r="DH16" s="373">
        <v>0</v>
      </c>
      <c r="DI16" s="375">
        <f t="shared" si="63"/>
        <v>8170.84</v>
      </c>
      <c r="DJ16" s="320"/>
      <c r="DK16" s="373">
        <v>0</v>
      </c>
      <c r="DL16" s="373">
        <v>0</v>
      </c>
      <c r="DM16" s="373">
        <v>0</v>
      </c>
      <c r="DN16" s="373">
        <v>0</v>
      </c>
      <c r="DO16" s="373">
        <v>0</v>
      </c>
      <c r="DP16" s="373">
        <v>0</v>
      </c>
      <c r="DQ16" s="373">
        <v>0</v>
      </c>
      <c r="DR16" s="373">
        <v>0</v>
      </c>
      <c r="DS16" s="373">
        <v>0</v>
      </c>
      <c r="DT16" s="373">
        <v>0</v>
      </c>
      <c r="DU16" s="373">
        <v>0</v>
      </c>
      <c r="DV16" s="373">
        <v>0</v>
      </c>
      <c r="DW16" s="375">
        <f t="shared" si="64"/>
        <v>0</v>
      </c>
      <c r="DY16" s="373">
        <v>0</v>
      </c>
      <c r="DZ16" s="373">
        <v>0</v>
      </c>
      <c r="EA16" s="373">
        <v>0</v>
      </c>
      <c r="EB16" s="373">
        <v>0</v>
      </c>
      <c r="EC16" s="373">
        <v>0</v>
      </c>
      <c r="ED16" s="373">
        <v>0</v>
      </c>
      <c r="EE16" s="373">
        <v>0</v>
      </c>
      <c r="EF16" s="373">
        <v>0</v>
      </c>
      <c r="EG16" s="373">
        <v>0</v>
      </c>
      <c r="EH16" s="373">
        <v>81736.800000000003</v>
      </c>
      <c r="EI16" s="373">
        <v>2700</v>
      </c>
      <c r="EJ16" s="373">
        <v>79951.399999999994</v>
      </c>
      <c r="EK16" s="375">
        <f t="shared" si="65"/>
        <v>164388.20000000001</v>
      </c>
      <c r="EL16" s="164"/>
      <c r="EM16" s="373">
        <v>0.5</v>
      </c>
      <c r="EN16" s="373">
        <v>0</v>
      </c>
      <c r="EO16" s="373">
        <v>0</v>
      </c>
      <c r="EP16" s="373">
        <v>0</v>
      </c>
      <c r="EQ16" s="373">
        <v>0</v>
      </c>
      <c r="ER16" s="373">
        <v>0.3</v>
      </c>
      <c r="ES16" s="373">
        <v>0</v>
      </c>
      <c r="ET16" s="373">
        <v>0</v>
      </c>
      <c r="EU16" s="373">
        <v>0</v>
      </c>
      <c r="EV16" s="373">
        <v>0</v>
      </c>
      <c r="EW16" s="373">
        <v>0</v>
      </c>
      <c r="EX16" s="373">
        <v>0</v>
      </c>
      <c r="EY16" s="375">
        <f t="shared" si="70"/>
        <v>0.8</v>
      </c>
      <c r="EZ16" s="164"/>
    </row>
    <row r="17" spans="1:162" ht="18.75" customHeight="1">
      <c r="A17" s="185" t="s">
        <v>313</v>
      </c>
      <c r="B17" s="176">
        <v>48103000</v>
      </c>
      <c r="C17" s="176" t="s">
        <v>1108</v>
      </c>
      <c r="D17" s="176"/>
      <c r="E17" s="324"/>
      <c r="F17" s="320" t="s">
        <v>1109</v>
      </c>
      <c r="G17" s="320"/>
      <c r="H17" s="373">
        <v>0</v>
      </c>
      <c r="I17" s="373">
        <v>0</v>
      </c>
      <c r="J17" s="373">
        <v>0</v>
      </c>
      <c r="K17" s="373">
        <v>0</v>
      </c>
      <c r="L17" s="373">
        <v>0</v>
      </c>
      <c r="M17" s="373">
        <v>0</v>
      </c>
      <c r="N17" s="373">
        <v>0</v>
      </c>
      <c r="O17" s="373">
        <v>0</v>
      </c>
      <c r="P17" s="373">
        <v>0</v>
      </c>
      <c r="Q17" s="373">
        <v>0</v>
      </c>
      <c r="R17" s="373">
        <v>0</v>
      </c>
      <c r="S17" s="373">
        <v>-800000</v>
      </c>
      <c r="T17" s="375"/>
      <c r="U17" s="378">
        <f t="shared" si="54"/>
        <v>79707.5</v>
      </c>
      <c r="V17" s="165">
        <f t="shared" si="55"/>
        <v>1</v>
      </c>
      <c r="W17" s="320"/>
      <c r="X17" s="373">
        <v>1354</v>
      </c>
      <c r="Y17" s="373">
        <v>360</v>
      </c>
      <c r="Z17" s="373">
        <v>8404</v>
      </c>
      <c r="AA17" s="373">
        <v>1699</v>
      </c>
      <c r="AB17" s="373">
        <v>29711</v>
      </c>
      <c r="AC17" s="373">
        <v>1591</v>
      </c>
      <c r="AD17" s="373">
        <v>31828</v>
      </c>
      <c r="AE17" s="373">
        <v>-5400</v>
      </c>
      <c r="AF17" s="373">
        <v>1594</v>
      </c>
      <c r="AG17" s="373">
        <v>590</v>
      </c>
      <c r="AH17" s="373">
        <v>120</v>
      </c>
      <c r="AI17" s="373">
        <v>7856.5</v>
      </c>
      <c r="AJ17" s="375">
        <f t="shared" si="66"/>
        <v>79707.5</v>
      </c>
      <c r="AK17" s="320"/>
      <c r="AL17" s="373">
        <v>0</v>
      </c>
      <c r="AM17" s="373">
        <v>0</v>
      </c>
      <c r="AN17" s="373">
        <v>0</v>
      </c>
      <c r="AO17" s="373">
        <v>0</v>
      </c>
      <c r="AP17" s="373">
        <v>0</v>
      </c>
      <c r="AQ17" s="373">
        <v>0</v>
      </c>
      <c r="AR17" s="373">
        <v>0</v>
      </c>
      <c r="AS17" s="373">
        <v>0</v>
      </c>
      <c r="AT17" s="373">
        <v>0</v>
      </c>
      <c r="AU17" s="373">
        <v>0</v>
      </c>
      <c r="AV17" s="373">
        <v>0</v>
      </c>
      <c r="AW17" s="373">
        <v>-800000</v>
      </c>
      <c r="AX17" s="375">
        <f t="shared" si="67"/>
        <v>-800000</v>
      </c>
      <c r="AY17" s="378">
        <f t="shared" si="56"/>
        <v>868296</v>
      </c>
      <c r="AZ17" s="165">
        <f t="shared" si="57"/>
        <v>12.713716762328687</v>
      </c>
      <c r="BA17" s="320"/>
      <c r="BB17" s="373">
        <v>0</v>
      </c>
      <c r="BC17" s="373">
        <v>0</v>
      </c>
      <c r="BD17" s="373">
        <v>0</v>
      </c>
      <c r="BE17" s="373">
        <v>0</v>
      </c>
      <c r="BF17" s="373">
        <v>0</v>
      </c>
      <c r="BG17" s="373">
        <v>0</v>
      </c>
      <c r="BH17" s="373">
        <v>0</v>
      </c>
      <c r="BI17" s="373">
        <v>0</v>
      </c>
      <c r="BJ17" s="373">
        <v>15280</v>
      </c>
      <c r="BK17" s="373">
        <v>960</v>
      </c>
      <c r="BL17" s="373">
        <v>48958</v>
      </c>
      <c r="BM17" s="373">
        <v>3098</v>
      </c>
      <c r="BN17" s="375">
        <f t="shared" si="68"/>
        <v>68296</v>
      </c>
      <c r="BO17" s="320"/>
      <c r="BP17" s="413">
        <v>0</v>
      </c>
      <c r="BQ17" s="413">
        <v>0</v>
      </c>
      <c r="BR17" s="413">
        <v>0</v>
      </c>
      <c r="BS17" s="413">
        <v>0</v>
      </c>
      <c r="BT17" s="413">
        <v>0</v>
      </c>
      <c r="BU17" s="413">
        <v>0</v>
      </c>
      <c r="BV17" s="413">
        <v>0</v>
      </c>
      <c r="BW17" s="413">
        <v>0</v>
      </c>
      <c r="BX17" s="413">
        <v>0</v>
      </c>
      <c r="BY17" s="413">
        <v>0</v>
      </c>
      <c r="BZ17" s="413">
        <v>0</v>
      </c>
      <c r="CA17" s="413">
        <v>0</v>
      </c>
      <c r="CB17" s="375">
        <f t="shared" si="69"/>
        <v>0</v>
      </c>
      <c r="CC17" s="378">
        <f t="shared" si="58"/>
        <v>68296</v>
      </c>
      <c r="CD17" s="165" t="str">
        <f t="shared" si="59"/>
        <v>N/A</v>
      </c>
      <c r="CE17" s="320"/>
      <c r="CF17" s="373">
        <v>0</v>
      </c>
      <c r="CG17" s="373">
        <v>0</v>
      </c>
      <c r="CH17" s="373">
        <v>0</v>
      </c>
      <c r="CI17" s="373">
        <v>0</v>
      </c>
      <c r="CJ17" s="373">
        <v>0</v>
      </c>
      <c r="CK17" s="373">
        <v>0</v>
      </c>
      <c r="CL17" s="373">
        <v>0</v>
      </c>
      <c r="CM17" s="373">
        <v>0</v>
      </c>
      <c r="CN17" s="373">
        <v>0</v>
      </c>
      <c r="CO17" s="373">
        <v>0</v>
      </c>
      <c r="CP17" s="373">
        <v>0</v>
      </c>
      <c r="CQ17" s="373">
        <v>0</v>
      </c>
      <c r="CR17" s="376"/>
      <c r="CS17" s="375">
        <f t="shared" si="60"/>
        <v>0</v>
      </c>
      <c r="CT17" s="378">
        <f t="shared" si="61"/>
        <v>68296</v>
      </c>
      <c r="CU17" s="165" t="str">
        <f t="shared" si="62"/>
        <v>N/A</v>
      </c>
      <c r="CV17" s="320"/>
      <c r="CW17" s="373">
        <v>0</v>
      </c>
      <c r="CX17" s="373">
        <v>0</v>
      </c>
      <c r="CY17" s="373">
        <v>0</v>
      </c>
      <c r="CZ17" s="373">
        <v>0</v>
      </c>
      <c r="DA17" s="373">
        <v>0</v>
      </c>
      <c r="DB17" s="373">
        <v>0</v>
      </c>
      <c r="DC17" s="373">
        <v>0</v>
      </c>
      <c r="DD17" s="373">
        <v>0</v>
      </c>
      <c r="DE17" s="373">
        <v>0</v>
      </c>
      <c r="DF17" s="373">
        <v>0</v>
      </c>
      <c r="DG17" s="373">
        <v>0</v>
      </c>
      <c r="DH17" s="373">
        <v>0</v>
      </c>
      <c r="DI17" s="375">
        <f t="shared" si="63"/>
        <v>0</v>
      </c>
      <c r="DJ17" s="320"/>
      <c r="DK17" s="373">
        <v>0</v>
      </c>
      <c r="DL17" s="373">
        <v>0</v>
      </c>
      <c r="DM17" s="373">
        <v>0</v>
      </c>
      <c r="DN17" s="373">
        <v>0</v>
      </c>
      <c r="DO17" s="373">
        <v>0</v>
      </c>
      <c r="DP17" s="373">
        <v>0</v>
      </c>
      <c r="DQ17" s="373">
        <v>0</v>
      </c>
      <c r="DR17" s="373">
        <v>0</v>
      </c>
      <c r="DS17" s="373">
        <v>0</v>
      </c>
      <c r="DT17" s="373">
        <v>0</v>
      </c>
      <c r="DU17" s="373">
        <v>0</v>
      </c>
      <c r="DV17" s="373">
        <v>0</v>
      </c>
      <c r="DW17" s="375">
        <f t="shared" si="64"/>
        <v>0</v>
      </c>
      <c r="DY17" s="373">
        <v>0</v>
      </c>
      <c r="DZ17" s="373">
        <v>0</v>
      </c>
      <c r="EA17" s="373">
        <v>0</v>
      </c>
      <c r="EB17" s="373">
        <v>0</v>
      </c>
      <c r="EC17" s="373">
        <v>0</v>
      </c>
      <c r="ED17" s="373">
        <v>0</v>
      </c>
      <c r="EE17" s="373">
        <v>0</v>
      </c>
      <c r="EF17" s="373">
        <v>0</v>
      </c>
      <c r="EG17" s="373">
        <v>0</v>
      </c>
      <c r="EH17" s="373">
        <v>0</v>
      </c>
      <c r="EI17" s="373">
        <v>0</v>
      </c>
      <c r="EJ17" s="373">
        <v>0</v>
      </c>
      <c r="EK17" s="375">
        <f t="shared" si="65"/>
        <v>0</v>
      </c>
      <c r="EL17" s="164"/>
      <c r="EM17" s="373">
        <v>0</v>
      </c>
      <c r="EN17" s="373">
        <v>0</v>
      </c>
      <c r="EO17" s="373">
        <v>0</v>
      </c>
      <c r="EP17" s="373">
        <v>0</v>
      </c>
      <c r="EQ17" s="373">
        <v>0</v>
      </c>
      <c r="ER17" s="373">
        <v>0</v>
      </c>
      <c r="ES17" s="373">
        <v>0</v>
      </c>
      <c r="ET17" s="373">
        <v>0</v>
      </c>
      <c r="EU17" s="373">
        <v>0</v>
      </c>
      <c r="EV17" s="373">
        <v>0</v>
      </c>
      <c r="EW17" s="373">
        <v>0</v>
      </c>
      <c r="EX17" s="373">
        <v>0</v>
      </c>
      <c r="EY17" s="375">
        <f t="shared" si="70"/>
        <v>0</v>
      </c>
      <c r="EZ17" s="164"/>
    </row>
    <row r="18" spans="1:162" ht="18.75" customHeight="1">
      <c r="A18" s="185" t="s">
        <v>313</v>
      </c>
      <c r="B18" s="176">
        <v>48104000</v>
      </c>
      <c r="C18" s="176" t="s">
        <v>1108</v>
      </c>
      <c r="D18" s="176"/>
      <c r="E18" s="324"/>
      <c r="F18" s="320" t="s">
        <v>526</v>
      </c>
      <c r="G18" s="320"/>
      <c r="H18" s="373">
        <v>0</v>
      </c>
      <c r="I18" s="373">
        <v>0</v>
      </c>
      <c r="J18" s="373">
        <v>0</v>
      </c>
      <c r="K18" s="373">
        <v>0</v>
      </c>
      <c r="L18" s="373">
        <v>0</v>
      </c>
      <c r="M18" s="373">
        <v>0</v>
      </c>
      <c r="N18" s="373">
        <v>0</v>
      </c>
      <c r="O18" s="373">
        <v>0</v>
      </c>
      <c r="P18" s="373">
        <v>0</v>
      </c>
      <c r="Q18" s="373">
        <v>0</v>
      </c>
      <c r="R18" s="373">
        <v>0</v>
      </c>
      <c r="S18" s="373">
        <v>0</v>
      </c>
      <c r="T18" s="375"/>
      <c r="U18" s="378">
        <f t="shared" si="54"/>
        <v>0</v>
      </c>
      <c r="V18" s="165" t="e">
        <f t="shared" si="55"/>
        <v>#DIV/0!</v>
      </c>
      <c r="W18" s="320"/>
      <c r="X18" s="373">
        <v>0</v>
      </c>
      <c r="Y18" s="373">
        <v>0</v>
      </c>
      <c r="Z18" s="373">
        <v>0</v>
      </c>
      <c r="AA18" s="373">
        <v>0</v>
      </c>
      <c r="AB18" s="373">
        <v>0</v>
      </c>
      <c r="AC18" s="373">
        <v>0</v>
      </c>
      <c r="AD18" s="373">
        <v>0</v>
      </c>
      <c r="AE18" s="373">
        <v>0</v>
      </c>
      <c r="AF18" s="373">
        <v>0</v>
      </c>
      <c r="AG18" s="373">
        <v>0</v>
      </c>
      <c r="AH18" s="373">
        <v>0</v>
      </c>
      <c r="AI18" s="373">
        <v>0</v>
      </c>
      <c r="AJ18" s="375">
        <f t="shared" si="66"/>
        <v>0</v>
      </c>
      <c r="AK18" s="320"/>
      <c r="AL18" s="373">
        <v>0</v>
      </c>
      <c r="AM18" s="373">
        <v>0</v>
      </c>
      <c r="AN18" s="373">
        <v>0</v>
      </c>
      <c r="AO18" s="373">
        <v>0</v>
      </c>
      <c r="AP18" s="373">
        <v>0</v>
      </c>
      <c r="AQ18" s="373">
        <v>0</v>
      </c>
      <c r="AR18" s="373">
        <v>0</v>
      </c>
      <c r="AS18" s="373">
        <v>0</v>
      </c>
      <c r="AT18" s="373">
        <v>0</v>
      </c>
      <c r="AU18" s="373">
        <v>0</v>
      </c>
      <c r="AV18" s="373">
        <v>0</v>
      </c>
      <c r="AW18" s="373">
        <v>0</v>
      </c>
      <c r="AX18" s="375">
        <f t="shared" si="67"/>
        <v>0</v>
      </c>
      <c r="AY18" s="378">
        <f t="shared" si="56"/>
        <v>0</v>
      </c>
      <c r="AZ18" s="165" t="e">
        <f t="shared" si="57"/>
        <v>#DIV/0!</v>
      </c>
      <c r="BA18" s="320"/>
      <c r="BB18" s="373">
        <v>0</v>
      </c>
      <c r="BC18" s="373">
        <v>0</v>
      </c>
      <c r="BD18" s="373">
        <v>0</v>
      </c>
      <c r="BE18" s="373">
        <v>0</v>
      </c>
      <c r="BF18" s="373">
        <v>0</v>
      </c>
      <c r="BG18" s="373">
        <v>0</v>
      </c>
      <c r="BH18" s="373">
        <v>0</v>
      </c>
      <c r="BI18" s="373">
        <v>0</v>
      </c>
      <c r="BJ18" s="373">
        <v>0</v>
      </c>
      <c r="BK18" s="373">
        <v>0</v>
      </c>
      <c r="BL18" s="373">
        <v>0</v>
      </c>
      <c r="BM18" s="373">
        <v>0</v>
      </c>
      <c r="BN18" s="375">
        <f t="shared" si="68"/>
        <v>0</v>
      </c>
      <c r="BO18" s="320"/>
      <c r="BP18" s="413">
        <v>0</v>
      </c>
      <c r="BQ18" s="413">
        <v>0</v>
      </c>
      <c r="BR18" s="413">
        <v>0</v>
      </c>
      <c r="BS18" s="413">
        <v>0</v>
      </c>
      <c r="BT18" s="413">
        <v>0</v>
      </c>
      <c r="BU18" s="413">
        <v>0</v>
      </c>
      <c r="BV18" s="413">
        <v>0</v>
      </c>
      <c r="BW18" s="413">
        <v>0</v>
      </c>
      <c r="BX18" s="413">
        <v>0</v>
      </c>
      <c r="BY18" s="413">
        <v>0</v>
      </c>
      <c r="BZ18" s="413">
        <v>0</v>
      </c>
      <c r="CA18" s="413">
        <v>0</v>
      </c>
      <c r="CB18" s="379">
        <f t="shared" si="69"/>
        <v>0</v>
      </c>
      <c r="CC18" s="378">
        <f t="shared" si="58"/>
        <v>0</v>
      </c>
      <c r="CD18" s="165" t="str">
        <f t="shared" si="59"/>
        <v>N/A</v>
      </c>
      <c r="CE18" s="320"/>
      <c r="CF18" s="373">
        <v>0</v>
      </c>
      <c r="CG18" s="373">
        <v>0</v>
      </c>
      <c r="CH18" s="373">
        <v>0</v>
      </c>
      <c r="CI18" s="373">
        <v>0</v>
      </c>
      <c r="CJ18" s="373">
        <v>0</v>
      </c>
      <c r="CK18" s="373">
        <v>0</v>
      </c>
      <c r="CL18" s="373">
        <v>0</v>
      </c>
      <c r="CM18" s="373">
        <v>0</v>
      </c>
      <c r="CN18" s="373">
        <v>0</v>
      </c>
      <c r="CO18" s="373">
        <v>0</v>
      </c>
      <c r="CP18" s="373">
        <v>0</v>
      </c>
      <c r="CQ18" s="373">
        <v>0</v>
      </c>
      <c r="CR18" s="376"/>
      <c r="CS18" s="375">
        <f t="shared" si="60"/>
        <v>0</v>
      </c>
      <c r="CT18" s="378">
        <f t="shared" si="61"/>
        <v>0</v>
      </c>
      <c r="CU18" s="165" t="str">
        <f t="shared" si="62"/>
        <v>N/A</v>
      </c>
      <c r="CV18" s="320"/>
      <c r="CW18" s="373">
        <v>0</v>
      </c>
      <c r="CX18" s="373">
        <v>0</v>
      </c>
      <c r="CY18" s="373">
        <v>0</v>
      </c>
      <c r="CZ18" s="373">
        <v>0</v>
      </c>
      <c r="DA18" s="373">
        <v>0</v>
      </c>
      <c r="DB18" s="373">
        <v>0</v>
      </c>
      <c r="DC18" s="373">
        <v>0</v>
      </c>
      <c r="DD18" s="373">
        <v>0</v>
      </c>
      <c r="DE18" s="373">
        <v>0</v>
      </c>
      <c r="DF18" s="373">
        <v>0</v>
      </c>
      <c r="DG18" s="373">
        <v>0</v>
      </c>
      <c r="DH18" s="373">
        <v>0</v>
      </c>
      <c r="DI18" s="375">
        <f t="shared" si="63"/>
        <v>0</v>
      </c>
      <c r="DJ18" s="320"/>
      <c r="DK18" s="373">
        <v>0</v>
      </c>
      <c r="DL18" s="373">
        <v>0</v>
      </c>
      <c r="DM18" s="373">
        <v>0</v>
      </c>
      <c r="DN18" s="373">
        <v>0</v>
      </c>
      <c r="DO18" s="373">
        <v>0</v>
      </c>
      <c r="DP18" s="373">
        <v>0</v>
      </c>
      <c r="DQ18" s="373">
        <v>0</v>
      </c>
      <c r="DR18" s="373">
        <v>0</v>
      </c>
      <c r="DS18" s="373">
        <v>0</v>
      </c>
      <c r="DT18" s="373">
        <v>0</v>
      </c>
      <c r="DU18" s="373">
        <v>0</v>
      </c>
      <c r="DV18" s="373">
        <v>0</v>
      </c>
      <c r="DW18" s="375">
        <f t="shared" si="64"/>
        <v>0</v>
      </c>
      <c r="DY18" s="373">
        <v>36000</v>
      </c>
      <c r="DZ18" s="373">
        <v>0</v>
      </c>
      <c r="EA18" s="373">
        <v>0</v>
      </c>
      <c r="EB18" s="373">
        <v>0</v>
      </c>
      <c r="EC18" s="373">
        <v>0</v>
      </c>
      <c r="ED18" s="373">
        <v>0</v>
      </c>
      <c r="EE18" s="373">
        <v>0</v>
      </c>
      <c r="EF18" s="373">
        <v>0</v>
      </c>
      <c r="EG18" s="373">
        <v>0</v>
      </c>
      <c r="EH18" s="373">
        <v>0</v>
      </c>
      <c r="EI18" s="373">
        <v>0</v>
      </c>
      <c r="EJ18" s="373">
        <v>0</v>
      </c>
      <c r="EK18" s="375">
        <f t="shared" si="65"/>
        <v>36000</v>
      </c>
      <c r="EL18" s="164"/>
      <c r="EM18" s="373">
        <v>36000</v>
      </c>
      <c r="EN18" s="373">
        <v>0</v>
      </c>
      <c r="EO18" s="373">
        <v>0</v>
      </c>
      <c r="EP18" s="373">
        <v>0</v>
      </c>
      <c r="EQ18" s="373">
        <v>0</v>
      </c>
      <c r="ER18" s="373">
        <v>0</v>
      </c>
      <c r="ES18" s="373">
        <v>0</v>
      </c>
      <c r="ET18" s="373">
        <v>0</v>
      </c>
      <c r="EU18" s="373">
        <v>0</v>
      </c>
      <c r="EV18" s="373">
        <v>0</v>
      </c>
      <c r="EW18" s="373">
        <v>0</v>
      </c>
      <c r="EX18" s="373">
        <v>0</v>
      </c>
      <c r="EY18" s="375">
        <f t="shared" si="70"/>
        <v>36000</v>
      </c>
      <c r="EZ18" s="164"/>
    </row>
    <row r="19" spans="1:162" ht="18.75" customHeight="1">
      <c r="A19" s="185" t="s">
        <v>313</v>
      </c>
      <c r="B19" s="176">
        <v>48104100</v>
      </c>
      <c r="C19" s="176" t="s">
        <v>1108</v>
      </c>
      <c r="D19" s="176"/>
      <c r="E19" s="324"/>
      <c r="F19" s="320" t="s">
        <v>620</v>
      </c>
      <c r="G19" s="320"/>
      <c r="H19" s="373">
        <v>0</v>
      </c>
      <c r="I19" s="373">
        <v>0</v>
      </c>
      <c r="J19" s="373">
        <v>0</v>
      </c>
      <c r="K19" s="373">
        <v>0</v>
      </c>
      <c r="L19" s="373">
        <v>0</v>
      </c>
      <c r="M19" s="373">
        <v>0</v>
      </c>
      <c r="N19" s="373">
        <v>0</v>
      </c>
      <c r="O19" s="373">
        <v>0</v>
      </c>
      <c r="P19" s="373">
        <v>0</v>
      </c>
      <c r="Q19" s="373">
        <v>0</v>
      </c>
      <c r="R19" s="373">
        <v>0</v>
      </c>
      <c r="S19" s="373">
        <v>0</v>
      </c>
      <c r="T19" s="375"/>
      <c r="U19" s="378">
        <f t="shared" si="54"/>
        <v>0</v>
      </c>
      <c r="V19" s="165" t="e">
        <f t="shared" si="55"/>
        <v>#DIV/0!</v>
      </c>
      <c r="W19" s="320"/>
      <c r="X19" s="373">
        <v>0</v>
      </c>
      <c r="Y19" s="373">
        <v>0</v>
      </c>
      <c r="Z19" s="373">
        <v>0</v>
      </c>
      <c r="AA19" s="373">
        <v>0</v>
      </c>
      <c r="AB19" s="373">
        <v>0</v>
      </c>
      <c r="AC19" s="373">
        <v>0</v>
      </c>
      <c r="AD19" s="373">
        <v>0</v>
      </c>
      <c r="AE19" s="373">
        <v>0</v>
      </c>
      <c r="AF19" s="373">
        <v>0</v>
      </c>
      <c r="AG19" s="373">
        <v>0</v>
      </c>
      <c r="AH19" s="373">
        <v>0</v>
      </c>
      <c r="AI19" s="373">
        <v>0</v>
      </c>
      <c r="AJ19" s="375">
        <f t="shared" si="66"/>
        <v>0</v>
      </c>
      <c r="AK19" s="320"/>
      <c r="AL19" s="373">
        <v>0</v>
      </c>
      <c r="AM19" s="373">
        <v>0</v>
      </c>
      <c r="AN19" s="373">
        <v>0</v>
      </c>
      <c r="AO19" s="373">
        <v>0</v>
      </c>
      <c r="AP19" s="373">
        <v>0</v>
      </c>
      <c r="AQ19" s="373">
        <v>0</v>
      </c>
      <c r="AR19" s="373">
        <v>0</v>
      </c>
      <c r="AS19" s="373">
        <v>0</v>
      </c>
      <c r="AT19" s="373">
        <v>0</v>
      </c>
      <c r="AU19" s="373">
        <v>0</v>
      </c>
      <c r="AV19" s="373">
        <v>0</v>
      </c>
      <c r="AW19" s="373">
        <v>0</v>
      </c>
      <c r="AX19" s="375">
        <f t="shared" si="67"/>
        <v>0</v>
      </c>
      <c r="AY19" s="378">
        <f t="shared" si="56"/>
        <v>0</v>
      </c>
      <c r="AZ19" s="165" t="e">
        <f t="shared" si="57"/>
        <v>#DIV/0!</v>
      </c>
      <c r="BA19" s="320"/>
      <c r="BB19" s="373">
        <v>0</v>
      </c>
      <c r="BC19" s="373">
        <v>0</v>
      </c>
      <c r="BD19" s="373">
        <v>0</v>
      </c>
      <c r="BE19" s="373">
        <v>0</v>
      </c>
      <c r="BF19" s="373">
        <v>0</v>
      </c>
      <c r="BG19" s="373">
        <v>0</v>
      </c>
      <c r="BH19" s="373">
        <v>0</v>
      </c>
      <c r="BI19" s="373">
        <v>0</v>
      </c>
      <c r="BJ19" s="373">
        <v>0</v>
      </c>
      <c r="BK19" s="373">
        <v>0</v>
      </c>
      <c r="BL19" s="373">
        <v>0</v>
      </c>
      <c r="BM19" s="373">
        <v>0</v>
      </c>
      <c r="BN19" s="375">
        <f t="shared" si="68"/>
        <v>0</v>
      </c>
      <c r="BO19" s="320"/>
      <c r="BP19" s="413">
        <v>0</v>
      </c>
      <c r="BQ19" s="413">
        <v>0</v>
      </c>
      <c r="BR19" s="413">
        <v>0</v>
      </c>
      <c r="BS19" s="413">
        <v>0</v>
      </c>
      <c r="BT19" s="413">
        <v>0</v>
      </c>
      <c r="BU19" s="413">
        <v>0</v>
      </c>
      <c r="BV19" s="413">
        <v>0</v>
      </c>
      <c r="BW19" s="413">
        <v>0</v>
      </c>
      <c r="BX19" s="413">
        <v>0</v>
      </c>
      <c r="BY19" s="413">
        <v>0</v>
      </c>
      <c r="BZ19" s="413">
        <v>0</v>
      </c>
      <c r="CA19" s="413">
        <v>0</v>
      </c>
      <c r="CB19" s="379">
        <f t="shared" si="69"/>
        <v>0</v>
      </c>
      <c r="CC19" s="378">
        <f t="shared" si="58"/>
        <v>0</v>
      </c>
      <c r="CD19" s="165" t="str">
        <f t="shared" si="59"/>
        <v>N/A</v>
      </c>
      <c r="CE19" s="320"/>
      <c r="CF19" s="373">
        <v>0</v>
      </c>
      <c r="CG19" s="373">
        <v>0</v>
      </c>
      <c r="CH19" s="373">
        <v>0</v>
      </c>
      <c r="CI19" s="373">
        <v>0</v>
      </c>
      <c r="CJ19" s="373">
        <v>0</v>
      </c>
      <c r="CK19" s="373">
        <v>0</v>
      </c>
      <c r="CL19" s="373">
        <v>0</v>
      </c>
      <c r="CM19" s="373">
        <v>0</v>
      </c>
      <c r="CN19" s="373">
        <v>0</v>
      </c>
      <c r="CO19" s="373">
        <v>0</v>
      </c>
      <c r="CP19" s="373">
        <v>0</v>
      </c>
      <c r="CQ19" s="373">
        <v>0</v>
      </c>
      <c r="CR19" s="376"/>
      <c r="CS19" s="375">
        <f t="shared" si="60"/>
        <v>0</v>
      </c>
      <c r="CT19" s="378">
        <f t="shared" si="61"/>
        <v>0</v>
      </c>
      <c r="CU19" s="165" t="str">
        <f t="shared" si="62"/>
        <v>N/A</v>
      </c>
      <c r="CV19" s="320"/>
      <c r="CW19" s="373">
        <v>0</v>
      </c>
      <c r="CX19" s="373">
        <v>0</v>
      </c>
      <c r="CY19" s="373">
        <v>0</v>
      </c>
      <c r="CZ19" s="373">
        <v>0</v>
      </c>
      <c r="DA19" s="373">
        <v>0</v>
      </c>
      <c r="DB19" s="373">
        <v>0</v>
      </c>
      <c r="DC19" s="373">
        <v>0</v>
      </c>
      <c r="DD19" s="373">
        <v>0</v>
      </c>
      <c r="DE19" s="373">
        <v>0</v>
      </c>
      <c r="DF19" s="373">
        <v>0</v>
      </c>
      <c r="DG19" s="373">
        <v>0</v>
      </c>
      <c r="DH19" s="373">
        <v>0</v>
      </c>
      <c r="DI19" s="375">
        <f t="shared" si="63"/>
        <v>0</v>
      </c>
      <c r="DJ19" s="320"/>
      <c r="DK19" s="373">
        <v>0</v>
      </c>
      <c r="DL19" s="373">
        <v>0</v>
      </c>
      <c r="DM19" s="373">
        <v>0</v>
      </c>
      <c r="DN19" s="373">
        <v>0</v>
      </c>
      <c r="DO19" s="373">
        <v>0</v>
      </c>
      <c r="DP19" s="373">
        <v>0</v>
      </c>
      <c r="DQ19" s="373">
        <v>0</v>
      </c>
      <c r="DR19" s="373">
        <v>0</v>
      </c>
      <c r="DS19" s="373">
        <v>0</v>
      </c>
      <c r="DT19" s="373">
        <v>0</v>
      </c>
      <c r="DU19" s="373">
        <v>0</v>
      </c>
      <c r="DV19" s="373">
        <v>0</v>
      </c>
      <c r="DW19" s="375">
        <f t="shared" si="64"/>
        <v>0</v>
      </c>
      <c r="DY19" s="373">
        <v>0</v>
      </c>
      <c r="DZ19" s="373">
        <v>0</v>
      </c>
      <c r="EA19" s="373">
        <v>0</v>
      </c>
      <c r="EB19" s="373">
        <v>0</v>
      </c>
      <c r="EC19" s="373">
        <v>0</v>
      </c>
      <c r="ED19" s="373">
        <v>0</v>
      </c>
      <c r="EE19" s="373">
        <v>0</v>
      </c>
      <c r="EF19" s="373">
        <v>0</v>
      </c>
      <c r="EG19" s="373">
        <v>0</v>
      </c>
      <c r="EH19" s="373">
        <v>0</v>
      </c>
      <c r="EI19" s="373">
        <v>0</v>
      </c>
      <c r="EJ19" s="373">
        <v>0</v>
      </c>
      <c r="EK19" s="375">
        <f t="shared" si="65"/>
        <v>0</v>
      </c>
      <c r="EL19" s="164"/>
      <c r="EM19" s="373">
        <v>0</v>
      </c>
      <c r="EN19" s="373">
        <v>0</v>
      </c>
      <c r="EO19" s="373">
        <v>0</v>
      </c>
      <c r="EP19" s="373">
        <v>0</v>
      </c>
      <c r="EQ19" s="373">
        <v>0</v>
      </c>
      <c r="ER19" s="373">
        <v>0</v>
      </c>
      <c r="ES19" s="373">
        <v>0</v>
      </c>
      <c r="ET19" s="373">
        <v>0</v>
      </c>
      <c r="EU19" s="373">
        <v>0</v>
      </c>
      <c r="EV19" s="373">
        <v>0</v>
      </c>
      <c r="EW19" s="373">
        <v>0</v>
      </c>
      <c r="EX19" s="373">
        <v>0</v>
      </c>
      <c r="EY19" s="375">
        <f t="shared" si="70"/>
        <v>0</v>
      </c>
      <c r="EZ19" s="164"/>
    </row>
    <row r="20" spans="1:162" ht="18.75" customHeight="1">
      <c r="A20" s="185" t="s">
        <v>313</v>
      </c>
      <c r="B20" s="176">
        <v>48105000</v>
      </c>
      <c r="C20" s="176" t="s">
        <v>1108</v>
      </c>
      <c r="D20" s="176"/>
      <c r="E20" s="324"/>
      <c r="F20" s="320" t="s">
        <v>527</v>
      </c>
      <c r="G20" s="320"/>
      <c r="H20" s="373">
        <v>0</v>
      </c>
      <c r="I20" s="373">
        <v>0</v>
      </c>
      <c r="J20" s="373">
        <v>0</v>
      </c>
      <c r="K20" s="373">
        <v>0</v>
      </c>
      <c r="L20" s="373">
        <v>0</v>
      </c>
      <c r="M20" s="373">
        <v>0</v>
      </c>
      <c r="N20" s="373">
        <v>0</v>
      </c>
      <c r="O20" s="373">
        <v>0</v>
      </c>
      <c r="P20" s="373">
        <v>0</v>
      </c>
      <c r="Q20" s="373">
        <v>0</v>
      </c>
      <c r="R20" s="373">
        <v>0</v>
      </c>
      <c r="S20" s="373">
        <v>0</v>
      </c>
      <c r="T20" s="375"/>
      <c r="U20" s="378">
        <f t="shared" si="54"/>
        <v>0</v>
      </c>
      <c r="V20" s="165" t="e">
        <f t="shared" si="55"/>
        <v>#DIV/0!</v>
      </c>
      <c r="W20" s="320"/>
      <c r="X20" s="373">
        <v>0</v>
      </c>
      <c r="Y20" s="373">
        <v>0</v>
      </c>
      <c r="Z20" s="373">
        <v>0</v>
      </c>
      <c r="AA20" s="373">
        <v>0</v>
      </c>
      <c r="AB20" s="373">
        <v>0</v>
      </c>
      <c r="AC20" s="373">
        <v>0</v>
      </c>
      <c r="AD20" s="373">
        <v>0</v>
      </c>
      <c r="AE20" s="373">
        <v>0</v>
      </c>
      <c r="AF20" s="373">
        <v>0</v>
      </c>
      <c r="AG20" s="373">
        <v>0</v>
      </c>
      <c r="AH20" s="373">
        <v>0</v>
      </c>
      <c r="AI20" s="373">
        <v>0</v>
      </c>
      <c r="AJ20" s="375">
        <f t="shared" si="66"/>
        <v>0</v>
      </c>
      <c r="AK20" s="320"/>
      <c r="AL20" s="373">
        <v>0</v>
      </c>
      <c r="AM20" s="373">
        <v>0</v>
      </c>
      <c r="AN20" s="373">
        <v>0</v>
      </c>
      <c r="AO20" s="373">
        <v>0</v>
      </c>
      <c r="AP20" s="373">
        <v>0</v>
      </c>
      <c r="AQ20" s="373">
        <v>0</v>
      </c>
      <c r="AR20" s="373">
        <v>0</v>
      </c>
      <c r="AS20" s="373">
        <v>0</v>
      </c>
      <c r="AT20" s="373">
        <v>0</v>
      </c>
      <c r="AU20" s="373">
        <v>0</v>
      </c>
      <c r="AV20" s="373">
        <v>0</v>
      </c>
      <c r="AW20" s="373">
        <v>0</v>
      </c>
      <c r="AX20" s="375">
        <f t="shared" si="67"/>
        <v>0</v>
      </c>
      <c r="AY20" s="378">
        <f t="shared" si="56"/>
        <v>0</v>
      </c>
      <c r="AZ20" s="165" t="e">
        <f t="shared" si="57"/>
        <v>#DIV/0!</v>
      </c>
      <c r="BA20" s="320"/>
      <c r="BB20" s="373">
        <v>0</v>
      </c>
      <c r="BC20" s="373">
        <v>0</v>
      </c>
      <c r="BD20" s="373">
        <v>0</v>
      </c>
      <c r="BE20" s="373">
        <v>0</v>
      </c>
      <c r="BF20" s="373">
        <v>0</v>
      </c>
      <c r="BG20" s="373">
        <v>0</v>
      </c>
      <c r="BH20" s="373">
        <v>0</v>
      </c>
      <c r="BI20" s="373">
        <v>0</v>
      </c>
      <c r="BJ20" s="373">
        <v>0</v>
      </c>
      <c r="BK20" s="373">
        <v>0</v>
      </c>
      <c r="BL20" s="373">
        <v>0</v>
      </c>
      <c r="BM20" s="373">
        <v>0</v>
      </c>
      <c r="BN20" s="375">
        <f t="shared" si="68"/>
        <v>0</v>
      </c>
      <c r="BO20" s="320"/>
      <c r="BP20" s="413">
        <v>0</v>
      </c>
      <c r="BQ20" s="413">
        <v>0</v>
      </c>
      <c r="BR20" s="413">
        <v>0</v>
      </c>
      <c r="BS20" s="413">
        <v>0</v>
      </c>
      <c r="BT20" s="413">
        <v>0</v>
      </c>
      <c r="BU20" s="413">
        <v>0</v>
      </c>
      <c r="BV20" s="413">
        <v>0</v>
      </c>
      <c r="BW20" s="413">
        <v>0</v>
      </c>
      <c r="BX20" s="413">
        <v>0</v>
      </c>
      <c r="BY20" s="413">
        <v>0</v>
      </c>
      <c r="BZ20" s="413">
        <v>0</v>
      </c>
      <c r="CA20" s="413">
        <v>0</v>
      </c>
      <c r="CB20" s="379">
        <f t="shared" si="69"/>
        <v>0</v>
      </c>
      <c r="CC20" s="378">
        <f t="shared" si="58"/>
        <v>0</v>
      </c>
      <c r="CD20" s="165" t="str">
        <f t="shared" si="59"/>
        <v>N/A</v>
      </c>
      <c r="CE20" s="320"/>
      <c r="CF20" s="373">
        <v>0</v>
      </c>
      <c r="CG20" s="373">
        <v>0</v>
      </c>
      <c r="CH20" s="373">
        <v>0</v>
      </c>
      <c r="CI20" s="373">
        <v>0</v>
      </c>
      <c r="CJ20" s="373">
        <v>0</v>
      </c>
      <c r="CK20" s="373">
        <v>0</v>
      </c>
      <c r="CL20" s="373">
        <v>0</v>
      </c>
      <c r="CM20" s="373">
        <v>0</v>
      </c>
      <c r="CN20" s="373">
        <v>0</v>
      </c>
      <c r="CO20" s="373">
        <v>0</v>
      </c>
      <c r="CP20" s="373">
        <v>0</v>
      </c>
      <c r="CQ20" s="373">
        <v>0</v>
      </c>
      <c r="CR20" s="376"/>
      <c r="CS20" s="375">
        <f t="shared" si="60"/>
        <v>0</v>
      </c>
      <c r="CT20" s="378">
        <f t="shared" si="61"/>
        <v>0</v>
      </c>
      <c r="CU20" s="165" t="str">
        <f t="shared" si="62"/>
        <v>N/A</v>
      </c>
      <c r="CV20" s="320"/>
      <c r="CW20" s="373">
        <v>0</v>
      </c>
      <c r="CX20" s="373">
        <v>0</v>
      </c>
      <c r="CY20" s="373">
        <v>0</v>
      </c>
      <c r="CZ20" s="373">
        <v>0</v>
      </c>
      <c r="DA20" s="373">
        <v>0</v>
      </c>
      <c r="DB20" s="373">
        <v>0</v>
      </c>
      <c r="DC20" s="373">
        <v>0</v>
      </c>
      <c r="DD20" s="373">
        <v>0</v>
      </c>
      <c r="DE20" s="373">
        <v>0</v>
      </c>
      <c r="DF20" s="373">
        <v>0</v>
      </c>
      <c r="DG20" s="373">
        <v>0</v>
      </c>
      <c r="DH20" s="373">
        <v>0</v>
      </c>
      <c r="DI20" s="375">
        <f t="shared" si="63"/>
        <v>0</v>
      </c>
      <c r="DJ20" s="320"/>
      <c r="DK20" s="373">
        <v>0</v>
      </c>
      <c r="DL20" s="373">
        <v>0</v>
      </c>
      <c r="DM20" s="373">
        <v>0</v>
      </c>
      <c r="DN20" s="373">
        <v>0</v>
      </c>
      <c r="DO20" s="373">
        <v>-705.26</v>
      </c>
      <c r="DP20" s="373">
        <v>0</v>
      </c>
      <c r="DQ20" s="373">
        <v>0</v>
      </c>
      <c r="DR20" s="373">
        <v>-120.46</v>
      </c>
      <c r="DS20" s="373">
        <v>0</v>
      </c>
      <c r="DT20" s="373">
        <v>0</v>
      </c>
      <c r="DU20" s="373">
        <v>0</v>
      </c>
      <c r="DV20" s="373">
        <v>0</v>
      </c>
      <c r="DW20" s="375">
        <f t="shared" si="64"/>
        <v>-825.72</v>
      </c>
      <c r="DY20" s="373">
        <v>0</v>
      </c>
      <c r="DZ20" s="373">
        <v>0</v>
      </c>
      <c r="EA20" s="373">
        <v>0</v>
      </c>
      <c r="EB20" s="373">
        <v>0</v>
      </c>
      <c r="EC20" s="373">
        <v>2084774.21</v>
      </c>
      <c r="ED20" s="373">
        <v>0</v>
      </c>
      <c r="EE20" s="373">
        <v>0</v>
      </c>
      <c r="EF20" s="373">
        <v>0</v>
      </c>
      <c r="EG20" s="373">
        <v>0</v>
      </c>
      <c r="EH20" s="373">
        <v>0</v>
      </c>
      <c r="EI20" s="373">
        <v>0</v>
      </c>
      <c r="EJ20" s="373">
        <v>0</v>
      </c>
      <c r="EK20" s="375">
        <f t="shared" si="65"/>
        <v>2084774.21</v>
      </c>
      <c r="EL20" s="164"/>
      <c r="EM20" s="373">
        <v>0</v>
      </c>
      <c r="EN20" s="373">
        <v>0</v>
      </c>
      <c r="EO20" s="373">
        <v>0</v>
      </c>
      <c r="EP20" s="373">
        <v>0</v>
      </c>
      <c r="EQ20" s="373">
        <v>0</v>
      </c>
      <c r="ER20" s="373">
        <v>0</v>
      </c>
      <c r="ES20" s="373">
        <v>0</v>
      </c>
      <c r="ET20" s="373">
        <v>0</v>
      </c>
      <c r="EU20" s="373">
        <v>0</v>
      </c>
      <c r="EV20" s="373">
        <v>0</v>
      </c>
      <c r="EW20" s="373">
        <v>0</v>
      </c>
      <c r="EX20" s="373">
        <v>0</v>
      </c>
      <c r="EY20" s="375">
        <f t="shared" si="70"/>
        <v>0</v>
      </c>
      <c r="EZ20" s="164"/>
    </row>
    <row r="21" spans="1:162" ht="18.75" customHeight="1">
      <c r="A21" s="185" t="s">
        <v>710</v>
      </c>
      <c r="B21" s="176">
        <v>48106000</v>
      </c>
      <c r="C21" s="176" t="s">
        <v>710</v>
      </c>
      <c r="D21" s="176"/>
      <c r="E21" s="324"/>
      <c r="F21" s="320" t="s">
        <v>621</v>
      </c>
      <c r="G21" s="320"/>
      <c r="H21" s="373">
        <v>0</v>
      </c>
      <c r="I21" s="373">
        <v>0</v>
      </c>
      <c r="J21" s="373">
        <v>0</v>
      </c>
      <c r="K21" s="373">
        <v>0</v>
      </c>
      <c r="L21" s="373">
        <v>0</v>
      </c>
      <c r="M21" s="373">
        <v>0</v>
      </c>
      <c r="N21" s="373">
        <v>0</v>
      </c>
      <c r="O21" s="373">
        <v>0</v>
      </c>
      <c r="P21" s="373">
        <v>0</v>
      </c>
      <c r="Q21" s="373">
        <v>0</v>
      </c>
      <c r="R21" s="373">
        <v>0</v>
      </c>
      <c r="S21" s="373">
        <v>0</v>
      </c>
      <c r="T21" s="375"/>
      <c r="U21" s="378">
        <f t="shared" si="54"/>
        <v>-742.06000000000017</v>
      </c>
      <c r="V21" s="165">
        <f t="shared" si="55"/>
        <v>1</v>
      </c>
      <c r="W21" s="320"/>
      <c r="X21" s="373">
        <v>-78.08</v>
      </c>
      <c r="Y21" s="373">
        <v>0.03</v>
      </c>
      <c r="Z21" s="373">
        <v>155.91999999999999</v>
      </c>
      <c r="AA21" s="373">
        <v>59.72</v>
      </c>
      <c r="AB21" s="373">
        <v>0</v>
      </c>
      <c r="AC21" s="373">
        <v>261.22000000000003</v>
      </c>
      <c r="AD21" s="373">
        <v>0.02</v>
      </c>
      <c r="AE21" s="373">
        <v>-1357.88</v>
      </c>
      <c r="AF21" s="373">
        <v>0</v>
      </c>
      <c r="AG21" s="373">
        <v>0</v>
      </c>
      <c r="AH21" s="373">
        <v>-0.09</v>
      </c>
      <c r="AI21" s="373">
        <v>217.08</v>
      </c>
      <c r="AJ21" s="375">
        <f t="shared" si="66"/>
        <v>-742.06000000000017</v>
      </c>
      <c r="AK21" s="320"/>
      <c r="AL21" s="373">
        <v>0</v>
      </c>
      <c r="AM21" s="373">
        <v>0</v>
      </c>
      <c r="AN21" s="373">
        <v>0</v>
      </c>
      <c r="AO21" s="373">
        <v>0</v>
      </c>
      <c r="AP21" s="373">
        <v>0</v>
      </c>
      <c r="AQ21" s="373">
        <v>0</v>
      </c>
      <c r="AR21" s="373">
        <v>0</v>
      </c>
      <c r="AS21" s="373">
        <v>0</v>
      </c>
      <c r="AT21" s="373">
        <v>0</v>
      </c>
      <c r="AU21" s="373">
        <v>0</v>
      </c>
      <c r="AV21" s="373">
        <v>0</v>
      </c>
      <c r="AW21" s="373">
        <v>0</v>
      </c>
      <c r="AX21" s="375">
        <f t="shared" si="67"/>
        <v>0</v>
      </c>
      <c r="AY21" s="378">
        <f t="shared" si="56"/>
        <v>13258.08</v>
      </c>
      <c r="AZ21" s="165">
        <f t="shared" si="57"/>
        <v>1</v>
      </c>
      <c r="BA21" s="320"/>
      <c r="BB21" s="373">
        <v>0</v>
      </c>
      <c r="BC21" s="373">
        <v>0.23</v>
      </c>
      <c r="BD21" s="373">
        <v>0</v>
      </c>
      <c r="BE21" s="373">
        <v>-11.79</v>
      </c>
      <c r="BF21" s="373">
        <v>0.21</v>
      </c>
      <c r="BG21" s="373">
        <v>-11.78</v>
      </c>
      <c r="BH21" s="373">
        <v>627.61</v>
      </c>
      <c r="BI21" s="373">
        <v>-13.73</v>
      </c>
      <c r="BJ21" s="373">
        <v>-55.54</v>
      </c>
      <c r="BK21" s="373">
        <v>-92.12</v>
      </c>
      <c r="BL21" s="373">
        <v>0.01</v>
      </c>
      <c r="BM21" s="373">
        <v>12814.98</v>
      </c>
      <c r="BN21" s="375">
        <f t="shared" si="68"/>
        <v>13258.08</v>
      </c>
      <c r="BO21" s="320"/>
      <c r="BP21" s="413">
        <v>0</v>
      </c>
      <c r="BQ21" s="413">
        <v>0</v>
      </c>
      <c r="BR21" s="413">
        <v>0</v>
      </c>
      <c r="BS21" s="413">
        <v>0</v>
      </c>
      <c r="BT21" s="413">
        <v>0</v>
      </c>
      <c r="BU21" s="413">
        <v>0</v>
      </c>
      <c r="BV21" s="413">
        <v>0</v>
      </c>
      <c r="BW21" s="413">
        <v>0</v>
      </c>
      <c r="BX21" s="413">
        <v>0</v>
      </c>
      <c r="BY21" s="413">
        <v>0</v>
      </c>
      <c r="BZ21" s="413">
        <v>0</v>
      </c>
      <c r="CA21" s="413">
        <v>0</v>
      </c>
      <c r="CB21" s="379">
        <f t="shared" si="69"/>
        <v>0</v>
      </c>
      <c r="CC21" s="378">
        <f t="shared" si="58"/>
        <v>13258.08</v>
      </c>
      <c r="CD21" s="165" t="str">
        <f t="shared" si="59"/>
        <v>N/A</v>
      </c>
      <c r="CE21" s="320"/>
      <c r="CF21" s="373">
        <v>-3.98</v>
      </c>
      <c r="CG21" s="373">
        <v>0</v>
      </c>
      <c r="CH21" s="373">
        <v>0</v>
      </c>
      <c r="CI21" s="373">
        <v>0</v>
      </c>
      <c r="CJ21" s="373">
        <v>0</v>
      </c>
      <c r="CK21" s="373">
        <v>0</v>
      </c>
      <c r="CL21" s="373">
        <v>0</v>
      </c>
      <c r="CM21" s="373">
        <v>0</v>
      </c>
      <c r="CN21" s="373">
        <v>-0.09</v>
      </c>
      <c r="CO21" s="373">
        <v>0.62</v>
      </c>
      <c r="CP21" s="373">
        <v>0.46</v>
      </c>
      <c r="CQ21" s="373">
        <v>0</v>
      </c>
      <c r="CR21" s="376"/>
      <c r="CS21" s="375">
        <f t="shared" si="60"/>
        <v>-2.99</v>
      </c>
      <c r="CT21" s="378">
        <f t="shared" si="61"/>
        <v>13261.07</v>
      </c>
      <c r="CU21" s="165">
        <f t="shared" si="62"/>
        <v>-4435.1404682274242</v>
      </c>
      <c r="CV21" s="320"/>
      <c r="CW21" s="373">
        <v>0</v>
      </c>
      <c r="CX21" s="373">
        <v>0</v>
      </c>
      <c r="CY21" s="373">
        <v>0</v>
      </c>
      <c r="CZ21" s="373">
        <v>0</v>
      </c>
      <c r="DA21" s="373">
        <v>0</v>
      </c>
      <c r="DB21" s="373">
        <v>0</v>
      </c>
      <c r="DC21" s="373">
        <v>0</v>
      </c>
      <c r="DD21" s="373">
        <v>0</v>
      </c>
      <c r="DE21" s="373">
        <v>0</v>
      </c>
      <c r="DF21" s="373">
        <v>0</v>
      </c>
      <c r="DG21" s="373">
        <v>-3.35</v>
      </c>
      <c r="DH21" s="373">
        <v>0</v>
      </c>
      <c r="DI21" s="375">
        <f t="shared" si="63"/>
        <v>-3.35</v>
      </c>
      <c r="DJ21" s="320"/>
      <c r="DK21" s="373">
        <v>0</v>
      </c>
      <c r="DL21" s="373">
        <v>0</v>
      </c>
      <c r="DM21" s="373">
        <v>0</v>
      </c>
      <c r="DN21" s="373">
        <v>0</v>
      </c>
      <c r="DO21" s="373">
        <v>0</v>
      </c>
      <c r="DP21" s="373">
        <v>0</v>
      </c>
      <c r="DQ21" s="373">
        <v>0</v>
      </c>
      <c r="DR21" s="373">
        <v>0</v>
      </c>
      <c r="DS21" s="373">
        <v>0</v>
      </c>
      <c r="DT21" s="373">
        <v>0</v>
      </c>
      <c r="DU21" s="373">
        <v>0</v>
      </c>
      <c r="DV21" s="373">
        <v>0</v>
      </c>
      <c r="DW21" s="375">
        <f t="shared" si="64"/>
        <v>0</v>
      </c>
      <c r="DY21" s="373">
        <v>0</v>
      </c>
      <c r="DZ21" s="373">
        <v>0</v>
      </c>
      <c r="EA21" s="373">
        <v>0</v>
      </c>
      <c r="EB21" s="373">
        <v>0</v>
      </c>
      <c r="EC21" s="373">
        <v>0</v>
      </c>
      <c r="ED21" s="373">
        <v>0</v>
      </c>
      <c r="EE21" s="373">
        <v>0</v>
      </c>
      <c r="EF21" s="373">
        <v>0</v>
      </c>
      <c r="EG21" s="373">
        <v>0</v>
      </c>
      <c r="EH21" s="373">
        <v>0</v>
      </c>
      <c r="EI21" s="373">
        <v>0</v>
      </c>
      <c r="EJ21" s="373">
        <v>0</v>
      </c>
      <c r="EK21" s="375">
        <f t="shared" si="65"/>
        <v>0</v>
      </c>
      <c r="EL21" s="164"/>
      <c r="EM21" s="373">
        <v>132.16999999999999</v>
      </c>
      <c r="EN21" s="373">
        <v>-112.25</v>
      </c>
      <c r="EO21" s="373">
        <v>-20.03</v>
      </c>
      <c r="EP21" s="373">
        <v>-20.02</v>
      </c>
      <c r="EQ21" s="373">
        <v>-661.11</v>
      </c>
      <c r="ER21" s="373">
        <v>60.11</v>
      </c>
      <c r="ES21" s="373">
        <v>160.34</v>
      </c>
      <c r="ET21" s="373">
        <v>-501.15</v>
      </c>
      <c r="EU21" s="373">
        <v>-160.41999999999999</v>
      </c>
      <c r="EV21" s="373">
        <v>-220.65</v>
      </c>
      <c r="EW21" s="373">
        <v>1127.3399999999999</v>
      </c>
      <c r="EX21" s="373">
        <v>0</v>
      </c>
      <c r="EY21" s="375">
        <f t="shared" si="70"/>
        <v>-215.67000000000007</v>
      </c>
      <c r="EZ21" s="164"/>
    </row>
    <row r="22" spans="1:162" ht="18.75" customHeight="1">
      <c r="A22" s="185" t="s">
        <v>710</v>
      </c>
      <c r="B22" s="176">
        <v>48107000</v>
      </c>
      <c r="C22" s="176" t="s">
        <v>710</v>
      </c>
      <c r="D22" s="176"/>
      <c r="E22" s="324"/>
      <c r="F22" s="320" t="s">
        <v>622</v>
      </c>
      <c r="G22" s="320"/>
      <c r="H22" s="373">
        <v>0</v>
      </c>
      <c r="I22" s="373">
        <v>0</v>
      </c>
      <c r="J22" s="373">
        <v>0</v>
      </c>
      <c r="K22" s="373">
        <v>0</v>
      </c>
      <c r="L22" s="373">
        <v>0</v>
      </c>
      <c r="M22" s="373">
        <v>0</v>
      </c>
      <c r="N22" s="373">
        <v>0</v>
      </c>
      <c r="O22" s="373">
        <v>0</v>
      </c>
      <c r="P22" s="373">
        <v>0</v>
      </c>
      <c r="Q22" s="373">
        <v>0</v>
      </c>
      <c r="R22" s="373">
        <v>0</v>
      </c>
      <c r="S22" s="373">
        <v>0</v>
      </c>
      <c r="T22" s="375"/>
      <c r="U22" s="378">
        <f t="shared" si="54"/>
        <v>3784908.959999999</v>
      </c>
      <c r="V22" s="165">
        <f t="shared" si="55"/>
        <v>1</v>
      </c>
      <c r="W22" s="320"/>
      <c r="X22" s="373">
        <v>1272453.7</v>
      </c>
      <c r="Y22" s="373">
        <v>1610205.65</v>
      </c>
      <c r="Z22" s="373">
        <v>-1553038.37</v>
      </c>
      <c r="AA22" s="373">
        <v>154483.12</v>
      </c>
      <c r="AB22" s="373">
        <v>80363.56</v>
      </c>
      <c r="AC22" s="373">
        <v>231639.79</v>
      </c>
      <c r="AD22" s="373">
        <v>439136.44</v>
      </c>
      <c r="AE22" s="373">
        <v>903936.19</v>
      </c>
      <c r="AF22" s="373">
        <v>311513.46000000002</v>
      </c>
      <c r="AG22" s="373">
        <v>-202892.72</v>
      </c>
      <c r="AH22" s="373">
        <v>1094232.97</v>
      </c>
      <c r="AI22" s="373">
        <v>-557124.82999999996</v>
      </c>
      <c r="AJ22" s="375">
        <f t="shared" si="66"/>
        <v>3784908.959999999</v>
      </c>
      <c r="AK22" s="320"/>
      <c r="AL22" s="373">
        <v>0</v>
      </c>
      <c r="AM22" s="373">
        <v>0</v>
      </c>
      <c r="AN22" s="373">
        <v>0</v>
      </c>
      <c r="AO22" s="373">
        <v>0</v>
      </c>
      <c r="AP22" s="373">
        <v>0</v>
      </c>
      <c r="AQ22" s="373">
        <v>0</v>
      </c>
      <c r="AR22" s="373">
        <v>0</v>
      </c>
      <c r="AS22" s="373">
        <v>0</v>
      </c>
      <c r="AT22" s="373">
        <v>0</v>
      </c>
      <c r="AU22" s="373">
        <v>0</v>
      </c>
      <c r="AV22" s="373">
        <v>0</v>
      </c>
      <c r="AW22" s="373">
        <v>0</v>
      </c>
      <c r="AX22" s="375">
        <f t="shared" si="67"/>
        <v>0</v>
      </c>
      <c r="AY22" s="378">
        <f t="shared" si="56"/>
        <v>3360668.1999999993</v>
      </c>
      <c r="AZ22" s="165">
        <f t="shared" si="57"/>
        <v>1</v>
      </c>
      <c r="BA22" s="320"/>
      <c r="BB22" s="373">
        <v>-447078.69</v>
      </c>
      <c r="BC22" s="373">
        <v>117829.73</v>
      </c>
      <c r="BD22" s="373">
        <v>504875.11</v>
      </c>
      <c r="BE22" s="373">
        <v>589451.79</v>
      </c>
      <c r="BF22" s="373">
        <v>1020144.82</v>
      </c>
      <c r="BG22" s="373">
        <v>641324.09</v>
      </c>
      <c r="BH22" s="373">
        <v>203644.73</v>
      </c>
      <c r="BI22" s="373">
        <v>1052496.6499999999</v>
      </c>
      <c r="BJ22" s="373">
        <v>837815.21</v>
      </c>
      <c r="BK22" s="373">
        <v>958926.63</v>
      </c>
      <c r="BL22" s="373">
        <v>-534622.19999999995</v>
      </c>
      <c r="BM22" s="373">
        <v>-1584139.67</v>
      </c>
      <c r="BN22" s="375">
        <f t="shared" si="68"/>
        <v>3360668.1999999993</v>
      </c>
      <c r="BO22" s="320"/>
      <c r="BP22" s="413">
        <v>0</v>
      </c>
      <c r="BQ22" s="413">
        <v>0</v>
      </c>
      <c r="BR22" s="413">
        <v>0</v>
      </c>
      <c r="BS22" s="413">
        <v>0</v>
      </c>
      <c r="BT22" s="413">
        <v>0</v>
      </c>
      <c r="BU22" s="413">
        <v>0</v>
      </c>
      <c r="BV22" s="413">
        <v>0</v>
      </c>
      <c r="BW22" s="413">
        <v>0</v>
      </c>
      <c r="BX22" s="413">
        <v>0</v>
      </c>
      <c r="BY22" s="413">
        <v>0</v>
      </c>
      <c r="BZ22" s="413">
        <v>0</v>
      </c>
      <c r="CA22" s="413">
        <v>0</v>
      </c>
      <c r="CB22" s="379">
        <f t="shared" si="69"/>
        <v>0</v>
      </c>
      <c r="CC22" s="378">
        <f t="shared" si="58"/>
        <v>3360668.1999999993</v>
      </c>
      <c r="CD22" s="165" t="str">
        <f t="shared" si="59"/>
        <v>N/A</v>
      </c>
      <c r="CE22" s="320"/>
      <c r="CF22" s="373">
        <v>-175034.52</v>
      </c>
      <c r="CG22" s="373">
        <v>-754726.7</v>
      </c>
      <c r="CH22" s="373">
        <v>210034.14</v>
      </c>
      <c r="CI22" s="373">
        <v>-496734.6</v>
      </c>
      <c r="CJ22" s="373">
        <v>-967879.82</v>
      </c>
      <c r="CK22" s="373">
        <v>151228.85999999999</v>
      </c>
      <c r="CL22" s="373">
        <v>784505.66</v>
      </c>
      <c r="CM22" s="373">
        <v>51545.52</v>
      </c>
      <c r="CN22" s="373">
        <v>313371.14</v>
      </c>
      <c r="CO22" s="373">
        <v>-241501.1</v>
      </c>
      <c r="CP22" s="373">
        <v>150137.65</v>
      </c>
      <c r="CQ22" s="373">
        <v>-789314.18</v>
      </c>
      <c r="CR22" s="376"/>
      <c r="CS22" s="375">
        <f t="shared" si="60"/>
        <v>-1764367.95</v>
      </c>
      <c r="CT22" s="378">
        <f t="shared" si="61"/>
        <v>5125036.1499999994</v>
      </c>
      <c r="CU22" s="165">
        <f t="shared" si="62"/>
        <v>-2.9047433955031883</v>
      </c>
      <c r="CV22" s="320"/>
      <c r="CW22" s="373">
        <v>36277.360000000015</v>
      </c>
      <c r="CX22" s="373">
        <v>-2215251.6500000004</v>
      </c>
      <c r="CY22" s="373">
        <v>583523.74000000022</v>
      </c>
      <c r="CZ22" s="373">
        <v>-859864.41999999981</v>
      </c>
      <c r="DA22" s="373">
        <v>-261687.29999999996</v>
      </c>
      <c r="DB22" s="373">
        <v>-78432.849999999977</v>
      </c>
      <c r="DC22" s="373">
        <v>-537355.92999999993</v>
      </c>
      <c r="DD22" s="373">
        <v>-489834.91999999958</v>
      </c>
      <c r="DE22" s="373">
        <v>552446.72999999975</v>
      </c>
      <c r="DF22" s="373">
        <v>1168377.0900000003</v>
      </c>
      <c r="DG22" s="373">
        <v>99507.920000000231</v>
      </c>
      <c r="DH22" s="373">
        <v>383404.36000000004</v>
      </c>
      <c r="DI22" s="375">
        <f t="shared" si="63"/>
        <v>-1618889.8699999987</v>
      </c>
      <c r="DJ22" s="320"/>
      <c r="DK22" s="373">
        <v>660466.95999999973</v>
      </c>
      <c r="DL22" s="373">
        <v>1102297.1100000001</v>
      </c>
      <c r="DM22" s="373">
        <v>1021380.1200000001</v>
      </c>
      <c r="DN22" s="373">
        <v>861372.17</v>
      </c>
      <c r="DO22" s="373">
        <v>-962943.52000000014</v>
      </c>
      <c r="DP22" s="373">
        <v>926288.18000000017</v>
      </c>
      <c r="DQ22" s="373">
        <v>-417530.32000000007</v>
      </c>
      <c r="DR22" s="373">
        <v>718926.19000000006</v>
      </c>
      <c r="DS22" s="373">
        <v>-671935.75</v>
      </c>
      <c r="DT22" s="373">
        <v>-531158.50999999954</v>
      </c>
      <c r="DU22" s="373">
        <v>2058063.67</v>
      </c>
      <c r="DV22" s="373">
        <v>209344.72000000067</v>
      </c>
      <c r="DW22" s="375">
        <f t="shared" si="64"/>
        <v>4974571.0200000014</v>
      </c>
      <c r="DY22" s="373">
        <v>437973.68</v>
      </c>
      <c r="DZ22" s="373">
        <v>-1120243.3499999999</v>
      </c>
      <c r="EA22" s="373">
        <v>-789399.34000000032</v>
      </c>
      <c r="EB22" s="373">
        <v>140826.45999999993</v>
      </c>
      <c r="EC22" s="373">
        <v>-686004.95</v>
      </c>
      <c r="ED22" s="373">
        <v>271564.82999999996</v>
      </c>
      <c r="EE22" s="373">
        <v>-1979788.3299999996</v>
      </c>
      <c r="EF22" s="373">
        <v>-1888959.37</v>
      </c>
      <c r="EG22" s="373">
        <v>-1256224.2400000005</v>
      </c>
      <c r="EH22" s="373">
        <v>1840029.7899999998</v>
      </c>
      <c r="EI22" s="373">
        <v>498863.86</v>
      </c>
      <c r="EJ22" s="373">
        <v>393436.89000000013</v>
      </c>
      <c r="EK22" s="375">
        <f t="shared" si="65"/>
        <v>-4137924.07</v>
      </c>
      <c r="EL22" s="164"/>
      <c r="EM22" s="373">
        <v>1819625.12</v>
      </c>
      <c r="EN22" s="373">
        <v>-517990.54000000015</v>
      </c>
      <c r="EO22" s="373">
        <v>140194.24999999994</v>
      </c>
      <c r="EP22" s="373">
        <v>39230.680000000037</v>
      </c>
      <c r="EQ22" s="373">
        <v>-4214307.09</v>
      </c>
      <c r="ER22" s="373">
        <v>-696694.49999999942</v>
      </c>
      <c r="ES22" s="373">
        <v>1193103.2900000005</v>
      </c>
      <c r="ET22" s="373">
        <v>-2587210.5000000005</v>
      </c>
      <c r="EU22" s="373">
        <v>-1073311.29</v>
      </c>
      <c r="EV22" s="373">
        <v>-2286178.8000000003</v>
      </c>
      <c r="EW22" s="373">
        <v>1269540.4200000002</v>
      </c>
      <c r="EX22" s="373">
        <v>1337713.8800000004</v>
      </c>
      <c r="EY22" s="375">
        <f t="shared" si="70"/>
        <v>-5576285.0799999982</v>
      </c>
      <c r="EZ22" s="164"/>
    </row>
    <row r="23" spans="1:162" ht="18.75" customHeight="1">
      <c r="A23" s="185" t="s">
        <v>315</v>
      </c>
      <c r="B23" s="176">
        <v>48111000</v>
      </c>
      <c r="C23" s="176" t="s">
        <v>1108</v>
      </c>
      <c r="D23" s="176"/>
      <c r="E23" s="324"/>
      <c r="F23" s="320" t="s">
        <v>623</v>
      </c>
      <c r="G23" s="320"/>
      <c r="H23" s="373">
        <v>0</v>
      </c>
      <c r="I23" s="373">
        <v>0</v>
      </c>
      <c r="J23" s="373">
        <v>0</v>
      </c>
      <c r="K23" s="373">
        <v>0</v>
      </c>
      <c r="L23" s="373">
        <v>0</v>
      </c>
      <c r="M23" s="373">
        <v>0</v>
      </c>
      <c r="N23" s="373">
        <v>0</v>
      </c>
      <c r="O23" s="373">
        <v>0</v>
      </c>
      <c r="P23" s="373">
        <v>0</v>
      </c>
      <c r="Q23" s="373">
        <v>0</v>
      </c>
      <c r="R23" s="373">
        <v>0</v>
      </c>
      <c r="S23" s="373">
        <v>0</v>
      </c>
      <c r="T23" s="375"/>
      <c r="U23" s="378">
        <f t="shared" si="54"/>
        <v>253554.03999999998</v>
      </c>
      <c r="V23" s="165">
        <f t="shared" si="55"/>
        <v>1</v>
      </c>
      <c r="W23" s="320"/>
      <c r="X23" s="373">
        <v>4344.9799999999996</v>
      </c>
      <c r="Y23" s="373">
        <v>180485.33</v>
      </c>
      <c r="Z23" s="373">
        <v>0</v>
      </c>
      <c r="AA23" s="373">
        <v>1289.78</v>
      </c>
      <c r="AB23" s="373">
        <v>0</v>
      </c>
      <c r="AC23" s="373">
        <v>4247.34</v>
      </c>
      <c r="AD23" s="373">
        <v>63186.61</v>
      </c>
      <c r="AE23" s="373">
        <v>0</v>
      </c>
      <c r="AF23" s="373">
        <v>0</v>
      </c>
      <c r="AG23" s="373">
        <v>0</v>
      </c>
      <c r="AH23" s="373">
        <v>0</v>
      </c>
      <c r="AI23" s="373">
        <v>0</v>
      </c>
      <c r="AJ23" s="375">
        <f t="shared" si="66"/>
        <v>253554.03999999998</v>
      </c>
      <c r="AK23" s="320"/>
      <c r="AL23" s="373">
        <v>0</v>
      </c>
      <c r="AM23" s="373">
        <v>0</v>
      </c>
      <c r="AN23" s="373">
        <v>0</v>
      </c>
      <c r="AO23" s="373">
        <v>0</v>
      </c>
      <c r="AP23" s="373">
        <v>0</v>
      </c>
      <c r="AQ23" s="373">
        <v>0</v>
      </c>
      <c r="AR23" s="373">
        <v>0</v>
      </c>
      <c r="AS23" s="373">
        <v>0</v>
      </c>
      <c r="AT23" s="373">
        <v>0</v>
      </c>
      <c r="AU23" s="373">
        <v>0</v>
      </c>
      <c r="AV23" s="373">
        <v>0</v>
      </c>
      <c r="AW23" s="373">
        <v>0</v>
      </c>
      <c r="AX23" s="375">
        <f t="shared" si="67"/>
        <v>0</v>
      </c>
      <c r="AY23" s="378">
        <f t="shared" si="56"/>
        <v>272246.28000000003</v>
      </c>
      <c r="AZ23" s="165">
        <f t="shared" si="57"/>
        <v>1</v>
      </c>
      <c r="BA23" s="320"/>
      <c r="BB23" s="373">
        <v>4906.41</v>
      </c>
      <c r="BC23" s="373">
        <v>190615.13</v>
      </c>
      <c r="BD23" s="373">
        <v>0</v>
      </c>
      <c r="BE23" s="373">
        <v>1525.72</v>
      </c>
      <c r="BF23" s="373">
        <v>0</v>
      </c>
      <c r="BG23" s="373">
        <v>4784.3599999999997</v>
      </c>
      <c r="BH23" s="373">
        <v>70414.66</v>
      </c>
      <c r="BI23" s="373">
        <v>0</v>
      </c>
      <c r="BJ23" s="373">
        <v>0</v>
      </c>
      <c r="BK23" s="373">
        <v>0</v>
      </c>
      <c r="BL23" s="373">
        <v>0</v>
      </c>
      <c r="BM23" s="373">
        <v>0</v>
      </c>
      <c r="BN23" s="375">
        <f t="shared" si="68"/>
        <v>272246.28000000003</v>
      </c>
      <c r="BO23" s="320"/>
      <c r="BP23" s="413">
        <v>0</v>
      </c>
      <c r="BQ23" s="413">
        <v>0</v>
      </c>
      <c r="BR23" s="413">
        <v>70000</v>
      </c>
      <c r="BS23" s="413">
        <v>0</v>
      </c>
      <c r="BT23" s="413">
        <v>0</v>
      </c>
      <c r="BU23" s="413">
        <v>70000</v>
      </c>
      <c r="BV23" s="413">
        <v>0</v>
      </c>
      <c r="BW23" s="413">
        <v>0</v>
      </c>
      <c r="BX23" s="413">
        <v>70000</v>
      </c>
      <c r="BY23" s="413">
        <v>0</v>
      </c>
      <c r="BZ23" s="413">
        <v>0</v>
      </c>
      <c r="CA23" s="413">
        <v>70000</v>
      </c>
      <c r="CB23" s="379">
        <f t="shared" si="69"/>
        <v>280000</v>
      </c>
      <c r="CC23" s="378">
        <f t="shared" si="58"/>
        <v>-7753.7199999999721</v>
      </c>
      <c r="CD23" s="165">
        <f t="shared" si="59"/>
        <v>-2.7691857142857042E-2</v>
      </c>
      <c r="CE23" s="320"/>
      <c r="CF23" s="373">
        <v>7078.9</v>
      </c>
      <c r="CG23" s="373">
        <v>195174.54</v>
      </c>
      <c r="CH23" s="373">
        <v>0</v>
      </c>
      <c r="CI23" s="373">
        <v>4051.3</v>
      </c>
      <c r="CJ23" s="373">
        <v>0</v>
      </c>
      <c r="CK23" s="373">
        <v>6590.7</v>
      </c>
      <c r="CL23" s="373">
        <v>78204.95</v>
      </c>
      <c r="CM23" s="373">
        <v>0</v>
      </c>
      <c r="CN23" s="373">
        <v>0</v>
      </c>
      <c r="CO23" s="373">
        <v>0</v>
      </c>
      <c r="CP23" s="373">
        <v>0</v>
      </c>
      <c r="CQ23" s="373">
        <v>0</v>
      </c>
      <c r="CR23" s="376"/>
      <c r="CS23" s="375">
        <f t="shared" si="60"/>
        <v>291100.39</v>
      </c>
      <c r="CT23" s="378">
        <f t="shared" si="61"/>
        <v>-18854.109999999986</v>
      </c>
      <c r="CU23" s="165">
        <f t="shared" si="62"/>
        <v>-6.4768412024456531E-2</v>
      </c>
      <c r="CV23" s="320"/>
      <c r="CW23" s="373">
        <v>9275.7999999999993</v>
      </c>
      <c r="CX23" s="373">
        <v>176363.93</v>
      </c>
      <c r="CY23" s="373">
        <v>0</v>
      </c>
      <c r="CZ23" s="373">
        <v>3029.4</v>
      </c>
      <c r="DA23" s="373">
        <v>0</v>
      </c>
      <c r="DB23" s="373">
        <v>6346.6</v>
      </c>
      <c r="DC23" s="373">
        <v>78147.12</v>
      </c>
      <c r="DD23" s="373">
        <v>0</v>
      </c>
      <c r="DE23" s="373">
        <v>0</v>
      </c>
      <c r="DF23" s="373">
        <v>0</v>
      </c>
      <c r="DG23" s="373">
        <v>0</v>
      </c>
      <c r="DH23" s="373">
        <v>0</v>
      </c>
      <c r="DI23" s="375">
        <f t="shared" si="63"/>
        <v>273162.84999999998</v>
      </c>
      <c r="DJ23" s="320"/>
      <c r="DK23" s="373">
        <v>7664.74</v>
      </c>
      <c r="DL23" s="373">
        <v>169983.72</v>
      </c>
      <c r="DM23" s="373">
        <v>0</v>
      </c>
      <c r="DN23" s="373">
        <v>0</v>
      </c>
      <c r="DO23" s="373">
        <v>0</v>
      </c>
      <c r="DP23" s="373">
        <v>3733.42</v>
      </c>
      <c r="DQ23" s="373">
        <v>78116.679999999993</v>
      </c>
      <c r="DR23" s="373">
        <v>0</v>
      </c>
      <c r="DS23" s="373">
        <v>0</v>
      </c>
      <c r="DT23" s="373">
        <v>0</v>
      </c>
      <c r="DU23" s="373">
        <v>0</v>
      </c>
      <c r="DV23" s="373">
        <v>0</v>
      </c>
      <c r="DW23" s="375">
        <f t="shared" si="64"/>
        <v>259498.56</v>
      </c>
      <c r="DY23" s="373">
        <v>6590.7</v>
      </c>
      <c r="DZ23" s="373">
        <v>179857.16999999998</v>
      </c>
      <c r="EA23" s="373">
        <v>0</v>
      </c>
      <c r="EB23" s="373">
        <v>0</v>
      </c>
      <c r="EC23" s="373">
        <v>951.73</v>
      </c>
      <c r="ED23" s="373">
        <v>2831.56</v>
      </c>
      <c r="EE23" s="373">
        <v>83915.15</v>
      </c>
      <c r="EF23" s="373">
        <v>0</v>
      </c>
      <c r="EG23" s="373">
        <v>0</v>
      </c>
      <c r="EH23" s="373">
        <v>0</v>
      </c>
      <c r="EI23" s="373">
        <v>0</v>
      </c>
      <c r="EJ23" s="373">
        <v>0</v>
      </c>
      <c r="EK23" s="375">
        <f t="shared" si="65"/>
        <v>274146.31</v>
      </c>
      <c r="EL23" s="164"/>
      <c r="EM23" s="373">
        <v>0</v>
      </c>
      <c r="EN23" s="373">
        <v>197642.99</v>
      </c>
      <c r="EO23" s="373">
        <v>0</v>
      </c>
      <c r="EP23" s="373">
        <v>2465.15</v>
      </c>
      <c r="EQ23" s="373">
        <v>0</v>
      </c>
      <c r="ER23" s="373">
        <v>2685.1</v>
      </c>
      <c r="ES23" s="373">
        <v>21536.81</v>
      </c>
      <c r="ET23" s="373">
        <v>63033.11</v>
      </c>
      <c r="EU23" s="373">
        <v>0</v>
      </c>
      <c r="EV23" s="373">
        <v>0</v>
      </c>
      <c r="EW23" s="373">
        <v>0</v>
      </c>
      <c r="EX23" s="373">
        <v>0</v>
      </c>
      <c r="EY23" s="375">
        <f t="shared" si="70"/>
        <v>287363.15999999997</v>
      </c>
      <c r="EZ23" s="164"/>
    </row>
    <row r="24" spans="1:162" ht="6.75" customHeight="1">
      <c r="B24" s="176"/>
      <c r="C24" s="176"/>
      <c r="D24" s="176"/>
      <c r="E24" s="324"/>
      <c r="F24" s="325"/>
      <c r="G24" s="325"/>
      <c r="H24" s="373"/>
      <c r="I24" s="373"/>
      <c r="J24" s="373"/>
      <c r="K24" s="373"/>
      <c r="L24" s="373"/>
      <c r="M24" s="373"/>
      <c r="N24" s="374"/>
      <c r="O24" s="373"/>
      <c r="P24" s="373"/>
      <c r="Q24" s="373"/>
      <c r="R24" s="373"/>
      <c r="S24" s="373"/>
      <c r="T24" s="419"/>
      <c r="U24" s="393"/>
      <c r="V24" s="163"/>
      <c r="W24" s="325"/>
      <c r="X24" s="373"/>
      <c r="Y24" s="373"/>
      <c r="Z24" s="373"/>
      <c r="AA24" s="373"/>
      <c r="AB24" s="373"/>
      <c r="AC24" s="373"/>
      <c r="AD24" s="374"/>
      <c r="AE24" s="373"/>
      <c r="AF24" s="373"/>
      <c r="AG24" s="373"/>
      <c r="AH24" s="373"/>
      <c r="AI24" s="373"/>
      <c r="AJ24" s="419"/>
      <c r="AK24" s="325"/>
      <c r="AL24" s="373"/>
      <c r="AM24" s="373"/>
      <c r="AN24" s="373"/>
      <c r="AO24" s="373"/>
      <c r="AP24" s="373"/>
      <c r="AQ24" s="373"/>
      <c r="AR24" s="374"/>
      <c r="AS24" s="373"/>
      <c r="AT24" s="373"/>
      <c r="AU24" s="373"/>
      <c r="AV24" s="373"/>
      <c r="AW24" s="373"/>
      <c r="AX24" s="419"/>
      <c r="AY24" s="393"/>
      <c r="AZ24" s="163"/>
      <c r="BA24" s="325"/>
      <c r="BB24" s="373"/>
      <c r="BC24" s="373"/>
      <c r="BD24" s="373"/>
      <c r="BE24" s="373"/>
      <c r="BF24" s="373"/>
      <c r="BG24" s="373"/>
      <c r="BH24" s="374"/>
      <c r="BI24" s="373"/>
      <c r="BJ24" s="373"/>
      <c r="BK24" s="373"/>
      <c r="BL24" s="373"/>
      <c r="BM24" s="373"/>
      <c r="BN24" s="419"/>
      <c r="BO24" s="325"/>
      <c r="BP24" s="414"/>
      <c r="BQ24" s="414"/>
      <c r="BR24" s="414"/>
      <c r="BS24" s="414"/>
      <c r="BT24" s="414"/>
      <c r="BU24" s="414"/>
      <c r="BV24" s="414"/>
      <c r="BW24" s="414"/>
      <c r="BX24" s="414"/>
      <c r="BY24" s="414"/>
      <c r="BZ24" s="414"/>
      <c r="CA24" s="414"/>
      <c r="CB24" s="415"/>
      <c r="CC24" s="393"/>
      <c r="CD24" s="163"/>
      <c r="CE24" s="325"/>
      <c r="CF24" s="373"/>
      <c r="CG24" s="373"/>
      <c r="CH24" s="373"/>
      <c r="CI24" s="373"/>
      <c r="CJ24" s="373"/>
      <c r="CK24" s="373"/>
      <c r="CL24" s="374"/>
      <c r="CM24" s="373"/>
      <c r="CN24" s="373"/>
      <c r="CO24" s="373"/>
      <c r="CP24" s="373"/>
      <c r="CQ24" s="373"/>
      <c r="CR24" s="376"/>
      <c r="CS24" s="375"/>
      <c r="CT24" s="393"/>
      <c r="CU24" s="163"/>
      <c r="CV24" s="326"/>
      <c r="CW24" s="373"/>
      <c r="CX24" s="373"/>
      <c r="CY24" s="373"/>
      <c r="CZ24" s="373"/>
      <c r="DA24" s="373"/>
      <c r="DB24" s="373"/>
      <c r="DC24" s="374"/>
      <c r="DD24" s="373"/>
      <c r="DE24" s="373"/>
      <c r="DF24" s="373"/>
      <c r="DG24" s="373"/>
      <c r="DH24" s="373"/>
      <c r="DI24" s="375"/>
      <c r="DJ24" s="326"/>
      <c r="DK24" s="373"/>
      <c r="DL24" s="373"/>
      <c r="DM24" s="373"/>
      <c r="DN24" s="373"/>
      <c r="DO24" s="373"/>
      <c r="DP24" s="373"/>
      <c r="DQ24" s="374"/>
      <c r="DR24" s="373"/>
      <c r="DS24" s="373"/>
      <c r="DT24" s="373"/>
      <c r="DU24" s="373"/>
      <c r="DV24" s="373"/>
      <c r="DW24" s="375"/>
      <c r="DY24" s="373"/>
      <c r="DZ24" s="373"/>
      <c r="EA24" s="373"/>
      <c r="EB24" s="373"/>
      <c r="EC24" s="373"/>
      <c r="ED24" s="373"/>
      <c r="EE24" s="374"/>
      <c r="EF24" s="373"/>
      <c r="EG24" s="373"/>
      <c r="EH24" s="373"/>
      <c r="EI24" s="373"/>
      <c r="EJ24" s="373"/>
      <c r="EK24" s="375"/>
      <c r="EL24" s="164"/>
      <c r="EM24" s="373"/>
      <c r="EN24" s="373"/>
      <c r="EO24" s="373"/>
      <c r="EP24" s="373"/>
      <c r="EQ24" s="373"/>
      <c r="ER24" s="373"/>
      <c r="ES24" s="373"/>
      <c r="ET24" s="373"/>
      <c r="EU24" s="373"/>
      <c r="EV24" s="373"/>
      <c r="EW24" s="373"/>
      <c r="EX24" s="377"/>
      <c r="EY24" s="375"/>
      <c r="EZ24" s="164"/>
    </row>
    <row r="25" spans="1:162" s="187" customFormat="1" ht="18.75" customHeight="1">
      <c r="B25" s="199"/>
      <c r="C25" s="199"/>
      <c r="D25" s="199"/>
      <c r="F25" s="199"/>
      <c r="G25" s="199"/>
      <c r="H25" s="338">
        <f t="shared" ref="H25:T25" si="71">SUM(H14:H24)</f>
        <v>0</v>
      </c>
      <c r="I25" s="338">
        <f t="shared" si="71"/>
        <v>0</v>
      </c>
      <c r="J25" s="338">
        <f t="shared" si="71"/>
        <v>0</v>
      </c>
      <c r="K25" s="338">
        <f t="shared" si="71"/>
        <v>0</v>
      </c>
      <c r="L25" s="338">
        <f t="shared" si="71"/>
        <v>0</v>
      </c>
      <c r="M25" s="338">
        <f t="shared" si="71"/>
        <v>0</v>
      </c>
      <c r="N25" s="339">
        <f t="shared" si="71"/>
        <v>0</v>
      </c>
      <c r="O25" s="338">
        <f t="shared" si="71"/>
        <v>0</v>
      </c>
      <c r="P25" s="338">
        <f t="shared" si="71"/>
        <v>0</v>
      </c>
      <c r="Q25" s="338">
        <f t="shared" si="71"/>
        <v>0</v>
      </c>
      <c r="R25" s="338">
        <f t="shared" si="71"/>
        <v>0</v>
      </c>
      <c r="S25" s="338">
        <f t="shared" si="71"/>
        <v>-635000</v>
      </c>
      <c r="T25" s="982">
        <f t="shared" si="71"/>
        <v>0</v>
      </c>
      <c r="U25" s="342">
        <f>AJ25-T25</f>
        <v>4277127.6399999987</v>
      </c>
      <c r="V25" s="343">
        <f>U25/AJ25</f>
        <v>1</v>
      </c>
      <c r="W25" s="199"/>
      <c r="X25" s="338">
        <f t="shared" ref="X25:AJ25" si="72">SUM(X14:X24)</f>
        <v>1290742</v>
      </c>
      <c r="Y25" s="338">
        <f t="shared" si="72"/>
        <v>1805560.17</v>
      </c>
      <c r="Z25" s="338">
        <f t="shared" si="72"/>
        <v>-1530941.9200000002</v>
      </c>
      <c r="AA25" s="338">
        <f t="shared" si="72"/>
        <v>167906.97</v>
      </c>
      <c r="AB25" s="338">
        <f t="shared" si="72"/>
        <v>119622.14</v>
      </c>
      <c r="AC25" s="338">
        <f t="shared" si="72"/>
        <v>247568.65</v>
      </c>
      <c r="AD25" s="339">
        <f t="shared" si="72"/>
        <v>544308.68000000005</v>
      </c>
      <c r="AE25" s="338">
        <f t="shared" si="72"/>
        <v>905957.14999999991</v>
      </c>
      <c r="AF25" s="338">
        <f t="shared" si="72"/>
        <v>350895.78</v>
      </c>
      <c r="AG25" s="338">
        <f t="shared" si="72"/>
        <v>-193133</v>
      </c>
      <c r="AH25" s="338">
        <f t="shared" si="72"/>
        <v>1106524.1299999999</v>
      </c>
      <c r="AI25" s="338">
        <f t="shared" si="72"/>
        <v>-537883.11</v>
      </c>
      <c r="AJ25" s="335">
        <f t="shared" si="72"/>
        <v>4277127.6399999987</v>
      </c>
      <c r="AK25" s="199"/>
      <c r="AL25" s="338">
        <f t="shared" ref="AL25:AX25" si="73">SUM(AL14:AL24)</f>
        <v>0</v>
      </c>
      <c r="AM25" s="338">
        <f t="shared" si="73"/>
        <v>0</v>
      </c>
      <c r="AN25" s="338">
        <f t="shared" si="73"/>
        <v>0</v>
      </c>
      <c r="AO25" s="338">
        <f t="shared" si="73"/>
        <v>0</v>
      </c>
      <c r="AP25" s="338">
        <f t="shared" si="73"/>
        <v>0</v>
      </c>
      <c r="AQ25" s="338">
        <f t="shared" si="73"/>
        <v>0</v>
      </c>
      <c r="AR25" s="339">
        <f t="shared" si="73"/>
        <v>0</v>
      </c>
      <c r="AS25" s="338">
        <f t="shared" si="73"/>
        <v>0</v>
      </c>
      <c r="AT25" s="338">
        <f t="shared" si="73"/>
        <v>0</v>
      </c>
      <c r="AU25" s="338">
        <f t="shared" si="73"/>
        <v>0</v>
      </c>
      <c r="AV25" s="338">
        <f t="shared" si="73"/>
        <v>0</v>
      </c>
      <c r="AW25" s="338">
        <f t="shared" si="73"/>
        <v>-635000</v>
      </c>
      <c r="AX25" s="982">
        <f t="shared" si="73"/>
        <v>-635000</v>
      </c>
      <c r="AY25" s="342">
        <f>BN25-AX25</f>
        <v>18879139.25</v>
      </c>
      <c r="AZ25" s="343">
        <f>AY25/BN25</f>
        <v>1.0348056979448894</v>
      </c>
      <c r="BA25" s="199"/>
      <c r="BB25" s="338">
        <f t="shared" ref="BB25:BN25" si="74">SUM(BB14:BB24)</f>
        <v>-428205.08</v>
      </c>
      <c r="BC25" s="338">
        <f t="shared" si="74"/>
        <v>323682.49</v>
      </c>
      <c r="BD25" s="338">
        <f t="shared" si="74"/>
        <v>8294581.0300000003</v>
      </c>
      <c r="BE25" s="338">
        <f t="shared" si="74"/>
        <v>601906.87</v>
      </c>
      <c r="BF25" s="338">
        <f t="shared" si="74"/>
        <v>1030482.4099999999</v>
      </c>
      <c r="BG25" s="338">
        <f t="shared" si="74"/>
        <v>655751.27999999991</v>
      </c>
      <c r="BH25" s="339">
        <f t="shared" si="74"/>
        <v>7602420.2100000009</v>
      </c>
      <c r="BI25" s="338">
        <f t="shared" si="74"/>
        <v>1223752.25</v>
      </c>
      <c r="BJ25" s="338">
        <f t="shared" si="74"/>
        <v>861487.47</v>
      </c>
      <c r="BK25" s="338">
        <f t="shared" si="74"/>
        <v>967856.16</v>
      </c>
      <c r="BL25" s="338">
        <f t="shared" si="74"/>
        <v>-479064.55999999994</v>
      </c>
      <c r="BM25" s="338">
        <f t="shared" si="74"/>
        <v>-2410511.2799999998</v>
      </c>
      <c r="BN25" s="335">
        <f t="shared" si="74"/>
        <v>18244139.25</v>
      </c>
      <c r="BO25" s="199"/>
      <c r="BP25" s="338">
        <f t="shared" ref="BP25:CB25" si="75">SUM(BP14:BP24)</f>
        <v>6400</v>
      </c>
      <c r="BQ25" s="338">
        <f t="shared" si="75"/>
        <v>6400</v>
      </c>
      <c r="BR25" s="338">
        <f t="shared" si="75"/>
        <v>7701400</v>
      </c>
      <c r="BS25" s="338">
        <f t="shared" si="75"/>
        <v>6400</v>
      </c>
      <c r="BT25" s="338">
        <f t="shared" si="75"/>
        <v>6400</v>
      </c>
      <c r="BU25" s="338">
        <f t="shared" si="75"/>
        <v>101400</v>
      </c>
      <c r="BV25" s="338">
        <f t="shared" si="75"/>
        <v>6400</v>
      </c>
      <c r="BW25" s="338">
        <f t="shared" si="75"/>
        <v>7787234</v>
      </c>
      <c r="BX25" s="338">
        <f t="shared" si="75"/>
        <v>101400</v>
      </c>
      <c r="BY25" s="338">
        <f t="shared" si="75"/>
        <v>6400</v>
      </c>
      <c r="BZ25" s="338">
        <f t="shared" si="75"/>
        <v>6400</v>
      </c>
      <c r="CA25" s="338">
        <f t="shared" si="75"/>
        <v>101600</v>
      </c>
      <c r="CB25" s="338">
        <f t="shared" si="75"/>
        <v>15837834</v>
      </c>
      <c r="CC25" s="342">
        <f>BN25-CB25</f>
        <v>2406305.25</v>
      </c>
      <c r="CD25" s="343">
        <f>IFERROR(CC25/CB25,"N/A")</f>
        <v>0.15193398604884986</v>
      </c>
      <c r="CE25" s="202"/>
      <c r="CF25" s="338">
        <f t="shared" ref="CF25:CQ25" si="76">SUM(CF14:CF24)</f>
        <v>-128271.07</v>
      </c>
      <c r="CG25" s="338">
        <f t="shared" si="76"/>
        <v>-541488.30999999994</v>
      </c>
      <c r="CH25" s="338">
        <f t="shared" si="76"/>
        <v>234890.68000000002</v>
      </c>
      <c r="CI25" s="338">
        <f t="shared" si="76"/>
        <v>-481050.08</v>
      </c>
      <c r="CJ25" s="338">
        <f t="shared" si="76"/>
        <v>-956410.49</v>
      </c>
      <c r="CK25" s="338">
        <f t="shared" si="76"/>
        <v>169874.27</v>
      </c>
      <c r="CL25" s="339">
        <f t="shared" si="76"/>
        <v>874798.42999999993</v>
      </c>
      <c r="CM25" s="338">
        <f t="shared" si="76"/>
        <v>64773.38</v>
      </c>
      <c r="CN25" s="338">
        <f t="shared" si="76"/>
        <v>333267.74</v>
      </c>
      <c r="CO25" s="338">
        <f t="shared" si="76"/>
        <v>-229956.7</v>
      </c>
      <c r="CP25" s="338">
        <f t="shared" si="76"/>
        <v>160196.79999999999</v>
      </c>
      <c r="CQ25" s="338">
        <f t="shared" si="76"/>
        <v>-780511.19000000006</v>
      </c>
      <c r="CR25" s="340"/>
      <c r="CS25" s="335">
        <f>SUM(CS14:CS24)</f>
        <v>-1279886.54</v>
      </c>
      <c r="CT25" s="342">
        <f>BN25-CS25</f>
        <v>19524025.789999999</v>
      </c>
      <c r="CU25" s="343">
        <f>IFERROR(CT25/CS25,"N/A")</f>
        <v>-15.254497316613705</v>
      </c>
      <c r="CV25" s="202"/>
      <c r="CW25" s="338">
        <f t="shared" ref="CW25:DI25" si="77">SUM(CW14:CW24)</f>
        <v>77953.920000000027</v>
      </c>
      <c r="CX25" s="338">
        <f t="shared" si="77"/>
        <v>-2001264.9000000006</v>
      </c>
      <c r="CY25" s="338">
        <f t="shared" si="77"/>
        <v>615254.79000000027</v>
      </c>
      <c r="CZ25" s="338">
        <f t="shared" si="77"/>
        <v>-846481.2799999998</v>
      </c>
      <c r="DA25" s="338">
        <f t="shared" si="77"/>
        <v>-215010.81999999995</v>
      </c>
      <c r="DB25" s="338">
        <f t="shared" si="77"/>
        <v>-39296.749999999978</v>
      </c>
      <c r="DC25" s="339">
        <f t="shared" si="77"/>
        <v>-434369.26999999996</v>
      </c>
      <c r="DD25" s="338">
        <f t="shared" si="77"/>
        <v>-455387.04999999958</v>
      </c>
      <c r="DE25" s="338">
        <f t="shared" si="77"/>
        <v>588773.72999999975</v>
      </c>
      <c r="DF25" s="338">
        <f t="shared" si="77"/>
        <v>1186137.9100000004</v>
      </c>
      <c r="DG25" s="338">
        <f t="shared" si="77"/>
        <v>117682.96000000022</v>
      </c>
      <c r="DH25" s="338">
        <f t="shared" si="77"/>
        <v>340985.80000000005</v>
      </c>
      <c r="DI25" s="335">
        <f t="shared" si="77"/>
        <v>-1065020.9599999986</v>
      </c>
      <c r="DJ25" s="202"/>
      <c r="DK25" s="338">
        <f t="shared" ref="DK25:DW25" si="78">SUM(DK14:DK24)</f>
        <v>684397.77999999968</v>
      </c>
      <c r="DL25" s="338">
        <f t="shared" si="78"/>
        <v>1301189.1800000002</v>
      </c>
      <c r="DM25" s="338">
        <f t="shared" si="78"/>
        <v>1072550.4200000002</v>
      </c>
      <c r="DN25" s="338">
        <f t="shared" si="78"/>
        <v>879347.76</v>
      </c>
      <c r="DO25" s="338">
        <f t="shared" si="78"/>
        <v>-954686.7300000001</v>
      </c>
      <c r="DP25" s="338">
        <f t="shared" si="78"/>
        <v>960569.70000000019</v>
      </c>
      <c r="DQ25" s="339">
        <f t="shared" si="78"/>
        <v>-306562.41000000009</v>
      </c>
      <c r="DR25" s="338">
        <f t="shared" si="78"/>
        <v>754328.17</v>
      </c>
      <c r="DS25" s="338">
        <f t="shared" si="78"/>
        <v>-625563.54</v>
      </c>
      <c r="DT25" s="338">
        <f t="shared" si="78"/>
        <v>-495107.27999999956</v>
      </c>
      <c r="DU25" s="338">
        <f t="shared" si="78"/>
        <v>2101846.64</v>
      </c>
      <c r="DV25" s="338">
        <f t="shared" si="78"/>
        <v>281698.33000000066</v>
      </c>
      <c r="DW25" s="335">
        <f t="shared" si="78"/>
        <v>5654008.0200000014</v>
      </c>
      <c r="DY25" s="338">
        <f t="shared" ref="DY25:EK25" si="79">SUM(DY14:DY24)</f>
        <v>514413.33</v>
      </c>
      <c r="DZ25" s="338">
        <f t="shared" si="79"/>
        <v>-913211.77</v>
      </c>
      <c r="EA25" s="338">
        <f t="shared" si="79"/>
        <v>-765288.62000000034</v>
      </c>
      <c r="EB25" s="338">
        <f t="shared" si="79"/>
        <v>180563.33999999994</v>
      </c>
      <c r="EC25" s="338">
        <f t="shared" si="79"/>
        <v>1448290.5599999998</v>
      </c>
      <c r="ED25" s="338">
        <f t="shared" si="79"/>
        <v>320370.40999999997</v>
      </c>
      <c r="EE25" s="339">
        <f t="shared" si="79"/>
        <v>-1844653.6699999997</v>
      </c>
      <c r="EF25" s="338">
        <f t="shared" si="79"/>
        <v>-1810183.82</v>
      </c>
      <c r="EG25" s="338">
        <f t="shared" si="79"/>
        <v>-1142570.4500000004</v>
      </c>
      <c r="EH25" s="338">
        <f t="shared" si="79"/>
        <v>1958193.1899999997</v>
      </c>
      <c r="EI25" s="338">
        <f t="shared" si="79"/>
        <v>545017.62</v>
      </c>
      <c r="EJ25" s="338">
        <f t="shared" si="79"/>
        <v>492117.42000000016</v>
      </c>
      <c r="EK25" s="335">
        <f t="shared" si="79"/>
        <v>-1016942.46</v>
      </c>
      <c r="EL25" s="168"/>
      <c r="EM25" s="338">
        <f t="shared" ref="EM25:EY25" si="80">SUM(EM14:EM24)</f>
        <v>1910425.29</v>
      </c>
      <c r="EN25" s="338">
        <f t="shared" si="80"/>
        <v>-257544.81000000017</v>
      </c>
      <c r="EO25" s="338">
        <f t="shared" si="80"/>
        <v>210446.44999999995</v>
      </c>
      <c r="EP25" s="338">
        <f t="shared" si="80"/>
        <v>83992.450000000041</v>
      </c>
      <c r="EQ25" s="338">
        <f t="shared" si="80"/>
        <v>-4170012.6999999997</v>
      </c>
      <c r="ER25" s="338">
        <f t="shared" si="80"/>
        <v>-638712.12999999942</v>
      </c>
      <c r="ES25" s="338">
        <f t="shared" si="80"/>
        <v>1252921.1500000006</v>
      </c>
      <c r="ET25" s="338">
        <f t="shared" si="80"/>
        <v>-2496045.7400000007</v>
      </c>
      <c r="EU25" s="338">
        <f t="shared" si="80"/>
        <v>-1026713.68</v>
      </c>
      <c r="EV25" s="338">
        <f t="shared" si="80"/>
        <v>-2252779.2400000002</v>
      </c>
      <c r="EW25" s="338">
        <f t="shared" si="80"/>
        <v>1303452.0200000003</v>
      </c>
      <c r="EX25" s="335">
        <f t="shared" si="80"/>
        <v>1372367.0400000003</v>
      </c>
      <c r="EY25" s="335">
        <f t="shared" si="80"/>
        <v>-4708203.8999999985</v>
      </c>
      <c r="EZ25" s="168"/>
      <c r="FF25" s="155"/>
    </row>
    <row r="26" spans="1:162" ht="18" customHeight="1">
      <c r="H26" s="941"/>
      <c r="I26" s="941"/>
      <c r="J26" s="941"/>
      <c r="K26" s="941"/>
      <c r="L26" s="941"/>
      <c r="M26" s="941"/>
      <c r="N26" s="941"/>
      <c r="O26" s="941"/>
      <c r="P26" s="941"/>
      <c r="Q26" s="941"/>
      <c r="R26" s="941"/>
      <c r="S26" s="941"/>
      <c r="T26" s="958"/>
      <c r="U26" s="416"/>
      <c r="V26" s="364"/>
      <c r="X26" s="941"/>
      <c r="Y26" s="941"/>
      <c r="Z26" s="941"/>
      <c r="AA26" s="941"/>
      <c r="AB26" s="941"/>
      <c r="AC26" s="941"/>
      <c r="AD26" s="941"/>
      <c r="AE26" s="941"/>
      <c r="AF26" s="941"/>
      <c r="AG26" s="941"/>
      <c r="AH26" s="941"/>
      <c r="AI26" s="941"/>
      <c r="AJ26" s="958"/>
      <c r="AL26" s="941"/>
      <c r="AM26" s="941"/>
      <c r="AN26" s="941"/>
      <c r="AO26" s="941"/>
      <c r="AP26" s="941"/>
      <c r="AQ26" s="941"/>
      <c r="AR26" s="941"/>
      <c r="AS26" s="941"/>
      <c r="AT26" s="941"/>
      <c r="AU26" s="941"/>
      <c r="AV26" s="941"/>
      <c r="AW26" s="941"/>
      <c r="AX26" s="958"/>
      <c r="AY26" s="416"/>
      <c r="AZ26" s="364"/>
      <c r="BB26" s="941"/>
      <c r="BC26" s="941"/>
      <c r="BD26" s="941"/>
      <c r="BE26" s="941"/>
      <c r="BF26" s="941"/>
      <c r="BG26" s="941"/>
      <c r="BH26" s="941"/>
      <c r="BI26" s="941"/>
      <c r="BJ26" s="941"/>
      <c r="BK26" s="941"/>
      <c r="BL26" s="941"/>
      <c r="BM26" s="941"/>
      <c r="BN26" s="958"/>
      <c r="BP26" s="941"/>
      <c r="BQ26" s="941"/>
      <c r="BR26" s="941"/>
      <c r="BS26" s="941"/>
      <c r="BT26" s="941"/>
      <c r="BU26" s="941"/>
      <c r="BV26" s="941"/>
      <c r="BW26" s="941"/>
      <c r="BX26" s="941"/>
      <c r="BY26" s="941"/>
      <c r="BZ26" s="941"/>
      <c r="CA26" s="941"/>
      <c r="CB26" s="959"/>
      <c r="CC26" s="416"/>
      <c r="CD26" s="364"/>
      <c r="CE26" s="312"/>
      <c r="CF26" s="373"/>
      <c r="CG26" s="373"/>
      <c r="CH26" s="373"/>
      <c r="CI26" s="373"/>
      <c r="CJ26" s="373"/>
      <c r="CK26" s="373"/>
      <c r="CL26" s="374"/>
      <c r="CM26" s="373"/>
      <c r="CN26" s="373"/>
      <c r="CO26" s="373"/>
      <c r="CP26" s="373"/>
      <c r="CQ26" s="373"/>
      <c r="CR26" s="376"/>
      <c r="CS26" s="375"/>
      <c r="CT26" s="393"/>
      <c r="CU26" s="163"/>
      <c r="CW26" s="373"/>
      <c r="CX26" s="373"/>
      <c r="CY26" s="373"/>
      <c r="CZ26" s="373"/>
      <c r="DA26" s="373"/>
      <c r="DB26" s="373"/>
      <c r="DC26" s="374"/>
      <c r="DD26" s="373"/>
      <c r="DE26" s="373"/>
      <c r="DF26" s="373"/>
      <c r="DG26" s="373"/>
      <c r="DH26" s="373"/>
      <c r="DI26" s="375"/>
      <c r="DK26" s="373"/>
      <c r="DL26" s="373"/>
      <c r="DM26" s="373"/>
      <c r="DN26" s="373"/>
      <c r="DO26" s="373"/>
      <c r="DP26" s="373"/>
      <c r="DQ26" s="374"/>
      <c r="DR26" s="373"/>
      <c r="DS26" s="373"/>
      <c r="DT26" s="373"/>
      <c r="DU26" s="373"/>
      <c r="DV26" s="373"/>
      <c r="DW26" s="375"/>
      <c r="DY26" s="373"/>
      <c r="DZ26" s="373"/>
      <c r="EA26" s="373"/>
      <c r="EB26" s="373"/>
      <c r="EC26" s="373"/>
      <c r="ED26" s="373"/>
      <c r="EE26" s="374"/>
      <c r="EF26" s="373"/>
      <c r="EG26" s="373"/>
      <c r="EH26" s="373"/>
      <c r="EI26" s="373"/>
      <c r="EJ26" s="373"/>
      <c r="EK26" s="375"/>
      <c r="EL26" s="164"/>
      <c r="EM26" s="373"/>
      <c r="EN26" s="373"/>
      <c r="EO26" s="373"/>
      <c r="EP26" s="373"/>
      <c r="EQ26" s="373"/>
      <c r="ER26" s="373"/>
      <c r="ES26" s="373"/>
      <c r="ET26" s="373"/>
      <c r="EU26" s="373"/>
      <c r="EV26" s="373"/>
      <c r="EW26" s="373"/>
      <c r="EX26" s="377"/>
      <c r="EY26" s="375"/>
      <c r="EZ26" s="164"/>
    </row>
    <row r="27" spans="1:162" ht="17.25" customHeight="1">
      <c r="E27" s="199"/>
      <c r="F27" s="185"/>
      <c r="G27" s="185"/>
      <c r="H27" s="960"/>
      <c r="I27" s="960"/>
      <c r="J27" s="960"/>
      <c r="K27" s="960"/>
      <c r="L27" s="960"/>
      <c r="M27" s="960"/>
      <c r="N27" s="960"/>
      <c r="O27" s="960"/>
      <c r="P27" s="960"/>
      <c r="Q27" s="960"/>
      <c r="R27" s="960"/>
      <c r="S27" s="960"/>
      <c r="T27" s="961"/>
      <c r="U27" s="416"/>
      <c r="V27" s="364"/>
      <c r="W27" s="185"/>
      <c r="X27" s="960"/>
      <c r="Y27" s="960"/>
      <c r="Z27" s="960"/>
      <c r="AA27" s="960"/>
      <c r="AB27" s="960"/>
      <c r="AC27" s="960"/>
      <c r="AD27" s="960"/>
      <c r="AE27" s="960"/>
      <c r="AF27" s="960"/>
      <c r="AG27" s="960"/>
      <c r="AH27" s="960"/>
      <c r="AI27" s="960"/>
      <c r="AJ27" s="961"/>
      <c r="AK27" s="185"/>
      <c r="AL27" s="960"/>
      <c r="AM27" s="960"/>
      <c r="AN27" s="960"/>
      <c r="AO27" s="960"/>
      <c r="AP27" s="960"/>
      <c r="AQ27" s="960"/>
      <c r="AR27" s="960"/>
      <c r="AS27" s="960"/>
      <c r="AT27" s="960"/>
      <c r="AU27" s="960"/>
      <c r="AV27" s="960"/>
      <c r="AW27" s="960"/>
      <c r="AX27" s="961"/>
      <c r="AY27" s="416"/>
      <c r="AZ27" s="364"/>
      <c r="BA27" s="185"/>
      <c r="BB27" s="960"/>
      <c r="BC27" s="960"/>
      <c r="BD27" s="960"/>
      <c r="BE27" s="960"/>
      <c r="BF27" s="960"/>
      <c r="BG27" s="960"/>
      <c r="BH27" s="960"/>
      <c r="BI27" s="960"/>
      <c r="BJ27" s="960"/>
      <c r="BK27" s="960"/>
      <c r="BL27" s="960"/>
      <c r="BM27" s="960"/>
      <c r="BN27" s="961"/>
      <c r="BO27" s="185"/>
      <c r="BP27" s="960"/>
      <c r="BQ27" s="960"/>
      <c r="BR27" s="960"/>
      <c r="BS27" s="960"/>
      <c r="BT27" s="960"/>
      <c r="BU27" s="960"/>
      <c r="BV27" s="960"/>
      <c r="BW27" s="960"/>
      <c r="BX27" s="960"/>
      <c r="BY27" s="960"/>
      <c r="BZ27" s="960"/>
      <c r="CA27" s="960"/>
      <c r="CB27" s="962"/>
      <c r="CC27" s="416"/>
      <c r="CD27" s="364"/>
      <c r="CE27" s="188"/>
      <c r="CF27" s="373"/>
      <c r="CG27" s="373"/>
      <c r="CH27" s="373"/>
      <c r="CI27" s="373"/>
      <c r="CJ27" s="373"/>
      <c r="CK27" s="373"/>
      <c r="CL27" s="374"/>
      <c r="CM27" s="373"/>
      <c r="CN27" s="373"/>
      <c r="CO27" s="373"/>
      <c r="CP27" s="373"/>
      <c r="CQ27" s="373"/>
      <c r="CR27" s="376"/>
      <c r="CS27" s="375"/>
      <c r="CT27" s="393"/>
      <c r="CU27" s="163"/>
      <c r="CV27" s="188"/>
      <c r="CW27" s="373"/>
      <c r="CX27" s="373"/>
      <c r="CY27" s="373"/>
      <c r="CZ27" s="373"/>
      <c r="DA27" s="373"/>
      <c r="DB27" s="373"/>
      <c r="DC27" s="374"/>
      <c r="DD27" s="373"/>
      <c r="DE27" s="373"/>
      <c r="DF27" s="373"/>
      <c r="DG27" s="373"/>
      <c r="DH27" s="373"/>
      <c r="DI27" s="375"/>
      <c r="DJ27" s="188"/>
      <c r="DK27" s="373"/>
      <c r="DL27" s="373"/>
      <c r="DM27" s="373"/>
      <c r="DN27" s="373"/>
      <c r="DO27" s="373"/>
      <c r="DP27" s="373"/>
      <c r="DQ27" s="374"/>
      <c r="DR27" s="373"/>
      <c r="DS27" s="373"/>
      <c r="DT27" s="373"/>
      <c r="DU27" s="373"/>
      <c r="DV27" s="373"/>
      <c r="DW27" s="375"/>
      <c r="DY27" s="373"/>
      <c r="DZ27" s="373"/>
      <c r="EA27" s="373"/>
      <c r="EB27" s="373"/>
      <c r="EC27" s="373"/>
      <c r="ED27" s="373"/>
      <c r="EE27" s="374"/>
      <c r="EF27" s="373"/>
      <c r="EG27" s="373"/>
      <c r="EH27" s="373"/>
      <c r="EI27" s="373"/>
      <c r="EJ27" s="373"/>
      <c r="EK27" s="375"/>
      <c r="EL27" s="164"/>
      <c r="EM27" s="373"/>
      <c r="EN27" s="373"/>
      <c r="EO27" s="373"/>
      <c r="EP27" s="373"/>
      <c r="EQ27" s="373"/>
      <c r="ER27" s="373"/>
      <c r="ES27" s="373"/>
      <c r="ET27" s="373"/>
      <c r="EU27" s="373"/>
      <c r="EV27" s="373"/>
      <c r="EW27" s="373"/>
      <c r="EX27" s="377"/>
      <c r="EY27" s="375"/>
      <c r="EZ27" s="164"/>
    </row>
    <row r="28" spans="1:162" ht="18.75" customHeight="1">
      <c r="A28" s="185" t="s">
        <v>595</v>
      </c>
      <c r="B28" s="176">
        <v>60101000</v>
      </c>
      <c r="C28" s="176" t="s">
        <v>1107</v>
      </c>
      <c r="D28" s="176" t="s">
        <v>113</v>
      </c>
      <c r="E28" s="324"/>
      <c r="F28" s="320" t="s">
        <v>624</v>
      </c>
      <c r="G28" s="320"/>
      <c r="H28" s="417">
        <v>0</v>
      </c>
      <c r="I28" s="417">
        <v>0</v>
      </c>
      <c r="J28" s="417">
        <v>0</v>
      </c>
      <c r="K28" s="417">
        <v>0</v>
      </c>
      <c r="L28" s="417">
        <v>0</v>
      </c>
      <c r="M28" s="417">
        <v>0</v>
      </c>
      <c r="N28" s="417">
        <v>0</v>
      </c>
      <c r="O28" s="417">
        <v>0</v>
      </c>
      <c r="P28" s="417">
        <v>0</v>
      </c>
      <c r="Q28" s="819">
        <v>0</v>
      </c>
      <c r="R28" s="417">
        <v>0</v>
      </c>
      <c r="S28" s="417">
        <v>0</v>
      </c>
      <c r="T28" s="402"/>
      <c r="U28" s="378">
        <f t="shared" ref="U28:U92" si="81">AJ28-T28</f>
        <v>0</v>
      </c>
      <c r="V28" s="165" t="e">
        <f t="shared" ref="V28:V92" si="82">U28/AJ28</f>
        <v>#DIV/0!</v>
      </c>
      <c r="W28" s="212"/>
      <c r="X28" s="417">
        <v>0</v>
      </c>
      <c r="Y28" s="417">
        <v>0</v>
      </c>
      <c r="Z28" s="417">
        <v>0</v>
      </c>
      <c r="AA28" s="417">
        <v>0</v>
      </c>
      <c r="AB28" s="417">
        <v>0</v>
      </c>
      <c r="AC28" s="417">
        <v>0</v>
      </c>
      <c r="AD28" s="417">
        <v>0</v>
      </c>
      <c r="AE28" s="417">
        <v>0</v>
      </c>
      <c r="AF28" s="417">
        <v>0</v>
      </c>
      <c r="AG28" s="819"/>
      <c r="AH28" s="417">
        <v>0</v>
      </c>
      <c r="AI28" s="417">
        <v>0</v>
      </c>
      <c r="AJ28" s="375">
        <f t="shared" ref="AJ28:AJ91" si="83">SUM(X28:AI28)</f>
        <v>0</v>
      </c>
      <c r="AK28" s="212"/>
      <c r="AL28" s="417">
        <v>0</v>
      </c>
      <c r="AM28" s="417">
        <v>0</v>
      </c>
      <c r="AN28" s="417">
        <v>0</v>
      </c>
      <c r="AO28" s="417">
        <v>0</v>
      </c>
      <c r="AP28" s="417">
        <v>0</v>
      </c>
      <c r="AQ28" s="417">
        <v>0</v>
      </c>
      <c r="AR28" s="417">
        <v>0</v>
      </c>
      <c r="AS28" s="417">
        <v>0</v>
      </c>
      <c r="AT28" s="417">
        <v>0</v>
      </c>
      <c r="AU28" s="819">
        <v>0</v>
      </c>
      <c r="AV28" s="417">
        <v>0</v>
      </c>
      <c r="AW28" s="417">
        <v>0</v>
      </c>
      <c r="AX28" s="375">
        <f t="shared" ref="AX28:AX40" si="84">SUM(AL28:AW28)</f>
        <v>0</v>
      </c>
      <c r="AY28" s="378">
        <f t="shared" ref="AY28:AY92" si="85">BN28-AX28</f>
        <v>1088634.99</v>
      </c>
      <c r="AZ28" s="165">
        <f t="shared" ref="AZ28:AZ92" si="86">AY28/BN28</f>
        <v>1</v>
      </c>
      <c r="BA28" s="212"/>
      <c r="BB28" s="417">
        <v>98768.25</v>
      </c>
      <c r="BC28" s="417">
        <v>275259.82</v>
      </c>
      <c r="BD28" s="417">
        <v>106329.68</v>
      </c>
      <c r="BE28" s="417">
        <v>91958.65</v>
      </c>
      <c r="BF28" s="417">
        <v>92964.58</v>
      </c>
      <c r="BG28" s="417">
        <v>94892.61</v>
      </c>
      <c r="BH28" s="417">
        <v>96317.67</v>
      </c>
      <c r="BI28" s="417">
        <v>113177.03</v>
      </c>
      <c r="BJ28" s="417">
        <v>118966.7</v>
      </c>
      <c r="BK28" s="819">
        <v>0</v>
      </c>
      <c r="BL28" s="417">
        <v>0</v>
      </c>
      <c r="BM28" s="417">
        <v>0</v>
      </c>
      <c r="BN28" s="375">
        <v>1088634.99</v>
      </c>
      <c r="BO28" s="212"/>
      <c r="BP28" s="413">
        <v>112375.25</v>
      </c>
      <c r="BQ28" s="413">
        <v>112375.25</v>
      </c>
      <c r="BR28" s="413">
        <v>112375.25</v>
      </c>
      <c r="BS28" s="413">
        <v>112375.25</v>
      </c>
      <c r="BT28" s="413">
        <v>112375.25</v>
      </c>
      <c r="BU28" s="413">
        <v>112375.25</v>
      </c>
      <c r="BV28" s="413">
        <v>112375.25</v>
      </c>
      <c r="BW28" s="413">
        <v>112375.25</v>
      </c>
      <c r="BX28" s="413">
        <v>112375.25</v>
      </c>
      <c r="BY28" s="413">
        <v>0</v>
      </c>
      <c r="BZ28" s="413">
        <v>0</v>
      </c>
      <c r="CA28" s="413">
        <v>0</v>
      </c>
      <c r="CB28" s="379">
        <f t="shared" ref="CB28:CB99" si="87">SUM(BP28:CA28)</f>
        <v>1011377.25</v>
      </c>
      <c r="CC28" s="378">
        <f t="shared" ref="CC28:CC98" si="88">CB28-BN28</f>
        <v>-77257.739999999991</v>
      </c>
      <c r="CD28" s="165">
        <f t="shared" ref="CD28:CD98" si="89">IFERROR(CC28/CB28,"N/A")</f>
        <v>-7.638864726292785E-2</v>
      </c>
      <c r="CE28" s="367"/>
      <c r="CF28" s="373">
        <v>395717.27</v>
      </c>
      <c r="CG28" s="373">
        <v>112470.84</v>
      </c>
      <c r="CH28" s="373">
        <v>107552.45</v>
      </c>
      <c r="CI28" s="373">
        <v>108409.06</v>
      </c>
      <c r="CJ28" s="373">
        <v>108028.35</v>
      </c>
      <c r="CK28" s="373">
        <v>103935.64</v>
      </c>
      <c r="CL28" s="373">
        <v>104411.54</v>
      </c>
      <c r="CM28" s="373">
        <v>105744.05</v>
      </c>
      <c r="CN28" s="373">
        <v>106029.58</v>
      </c>
      <c r="CO28" s="373">
        <v>107365.11</v>
      </c>
      <c r="CP28" s="373">
        <v>102324.98</v>
      </c>
      <c r="CQ28" s="373">
        <v>110257.62</v>
      </c>
      <c r="CR28" s="376"/>
      <c r="CS28" s="375">
        <f t="shared" ref="CS28:CS147" si="90">SUM(CF28:CR28)</f>
        <v>1572246.4900000002</v>
      </c>
      <c r="CT28" s="378">
        <f>CS28-BN28</f>
        <v>483611.50000000023</v>
      </c>
      <c r="CU28" s="165">
        <f t="shared" ref="CU28:CU98" si="91">IFERROR(CT28/CS28,"N/A")</f>
        <v>0.30759267269854118</v>
      </c>
      <c r="CV28" s="320"/>
      <c r="CW28" s="373">
        <v>104537.87</v>
      </c>
      <c r="CX28" s="373">
        <v>145213.34</v>
      </c>
      <c r="CY28" s="373">
        <v>102308.66</v>
      </c>
      <c r="CZ28" s="373">
        <v>105418.86</v>
      </c>
      <c r="DA28" s="373">
        <v>95693.37</v>
      </c>
      <c r="DB28" s="373">
        <v>96117.97</v>
      </c>
      <c r="DC28" s="373">
        <v>108932.57</v>
      </c>
      <c r="DD28" s="373">
        <v>95375.45</v>
      </c>
      <c r="DE28" s="373">
        <v>96002.37</v>
      </c>
      <c r="DF28" s="373">
        <v>124806.2</v>
      </c>
      <c r="DG28" s="373">
        <v>203153.94</v>
      </c>
      <c r="DH28" s="373">
        <v>258536.47</v>
      </c>
      <c r="DI28" s="375">
        <f t="shared" ref="DI28:DI52" si="92">SUM(CW28:DH28)</f>
        <v>1536097.0699999998</v>
      </c>
      <c r="DJ28" s="320"/>
      <c r="DK28" s="373">
        <v>0</v>
      </c>
      <c r="DL28" s="373">
        <v>0</v>
      </c>
      <c r="DM28" s="373">
        <v>0</v>
      </c>
      <c r="DN28" s="373">
        <v>0</v>
      </c>
      <c r="DO28" s="373">
        <v>0</v>
      </c>
      <c r="DP28" s="373">
        <v>0</v>
      </c>
      <c r="DQ28" s="373">
        <v>0</v>
      </c>
      <c r="DR28" s="373">
        <v>0</v>
      </c>
      <c r="DS28" s="373">
        <v>0</v>
      </c>
      <c r="DT28" s="373">
        <v>0</v>
      </c>
      <c r="DU28" s="373">
        <v>80599.31</v>
      </c>
      <c r="DV28" s="373">
        <v>93447.03</v>
      </c>
      <c r="DW28" s="375">
        <f t="shared" ref="DW28:DW64" si="93">SUM(DK28:DV28)</f>
        <v>174046.34</v>
      </c>
      <c r="DY28" s="373">
        <v>0</v>
      </c>
      <c r="DZ28" s="373">
        <v>0</v>
      </c>
      <c r="EA28" s="373">
        <v>0</v>
      </c>
      <c r="EB28" s="373">
        <v>0</v>
      </c>
      <c r="EC28" s="373">
        <v>0</v>
      </c>
      <c r="ED28" s="373">
        <v>0</v>
      </c>
      <c r="EE28" s="373">
        <v>0</v>
      </c>
      <c r="EF28" s="373">
        <v>0</v>
      </c>
      <c r="EG28" s="373">
        <v>0</v>
      </c>
      <c r="EH28" s="373">
        <v>0</v>
      </c>
      <c r="EI28" s="373">
        <v>0</v>
      </c>
      <c r="EJ28" s="373">
        <v>0</v>
      </c>
      <c r="EK28" s="375">
        <f t="shared" ref="EK28:EK147" si="94">SUM(DY28:EJ28)</f>
        <v>0</v>
      </c>
      <c r="EL28" s="177"/>
      <c r="EM28" s="373">
        <v>0</v>
      </c>
      <c r="EN28" s="373">
        <v>0</v>
      </c>
      <c r="EO28" s="373">
        <v>0</v>
      </c>
      <c r="EP28" s="373">
        <v>0</v>
      </c>
      <c r="EQ28" s="373">
        <v>0</v>
      </c>
      <c r="ER28" s="373">
        <v>0</v>
      </c>
      <c r="ES28" s="373">
        <v>0</v>
      </c>
      <c r="ET28" s="373">
        <v>0</v>
      </c>
      <c r="EU28" s="373">
        <v>0</v>
      </c>
      <c r="EV28" s="373">
        <v>0</v>
      </c>
      <c r="EW28" s="373">
        <v>0</v>
      </c>
      <c r="EX28" s="373">
        <v>0</v>
      </c>
      <c r="EY28" s="375">
        <f>SUM(EM28:EX28)</f>
        <v>0</v>
      </c>
      <c r="EZ28" s="164"/>
      <c r="FC28" s="185">
        <v>0</v>
      </c>
    </row>
    <row r="29" spans="1:162" ht="18.75" customHeight="1">
      <c r="A29" s="185" t="s">
        <v>595</v>
      </c>
      <c r="B29" s="176">
        <v>60101100</v>
      </c>
      <c r="C29" s="176" t="s">
        <v>1107</v>
      </c>
      <c r="D29" s="176" t="s">
        <v>113</v>
      </c>
      <c r="E29" s="324"/>
      <c r="F29" s="320" t="s">
        <v>336</v>
      </c>
      <c r="G29" s="320"/>
      <c r="H29" s="417">
        <v>0</v>
      </c>
      <c r="I29" s="417">
        <v>0</v>
      </c>
      <c r="J29" s="417">
        <v>0</v>
      </c>
      <c r="K29" s="417">
        <v>0</v>
      </c>
      <c r="L29" s="417">
        <v>0</v>
      </c>
      <c r="M29" s="417">
        <v>0</v>
      </c>
      <c r="N29" s="417">
        <v>0</v>
      </c>
      <c r="O29" s="417">
        <v>0</v>
      </c>
      <c r="P29" s="417">
        <v>0</v>
      </c>
      <c r="Q29" s="819">
        <v>0</v>
      </c>
      <c r="R29" s="417">
        <v>0</v>
      </c>
      <c r="S29" s="417">
        <v>0</v>
      </c>
      <c r="T29" s="402"/>
      <c r="U29" s="378">
        <f t="shared" si="81"/>
        <v>0</v>
      </c>
      <c r="V29" s="165" t="e">
        <f t="shared" si="82"/>
        <v>#DIV/0!</v>
      </c>
      <c r="W29" s="212"/>
      <c r="X29" s="417">
        <v>0</v>
      </c>
      <c r="Y29" s="417">
        <v>0</v>
      </c>
      <c r="Z29" s="417">
        <v>0</v>
      </c>
      <c r="AA29" s="417">
        <v>0</v>
      </c>
      <c r="AB29" s="417">
        <v>0</v>
      </c>
      <c r="AC29" s="417">
        <v>0</v>
      </c>
      <c r="AD29" s="417">
        <v>0</v>
      </c>
      <c r="AE29" s="417">
        <v>0</v>
      </c>
      <c r="AF29" s="417">
        <v>0</v>
      </c>
      <c r="AG29" s="819"/>
      <c r="AH29" s="417">
        <v>0</v>
      </c>
      <c r="AI29" s="417">
        <v>0</v>
      </c>
      <c r="AJ29" s="375">
        <f t="shared" si="83"/>
        <v>0</v>
      </c>
      <c r="AK29" s="212"/>
      <c r="AL29" s="417">
        <v>0</v>
      </c>
      <c r="AM29" s="417">
        <v>0</v>
      </c>
      <c r="AN29" s="417">
        <v>0</v>
      </c>
      <c r="AO29" s="417">
        <v>0</v>
      </c>
      <c r="AP29" s="417">
        <v>0</v>
      </c>
      <c r="AQ29" s="417">
        <v>0</v>
      </c>
      <c r="AR29" s="417">
        <v>0</v>
      </c>
      <c r="AS29" s="417">
        <v>0</v>
      </c>
      <c r="AT29" s="417">
        <v>0</v>
      </c>
      <c r="AU29" s="819">
        <v>0</v>
      </c>
      <c r="AV29" s="417">
        <v>0</v>
      </c>
      <c r="AW29" s="417">
        <v>0</v>
      </c>
      <c r="AX29" s="375">
        <f t="shared" si="84"/>
        <v>0</v>
      </c>
      <c r="AY29" s="378">
        <f t="shared" si="85"/>
        <v>0</v>
      </c>
      <c r="AZ29" s="165" t="e">
        <f t="shared" si="86"/>
        <v>#DIV/0!</v>
      </c>
      <c r="BA29" s="212"/>
      <c r="BB29" s="417">
        <v>0</v>
      </c>
      <c r="BC29" s="417">
        <v>0</v>
      </c>
      <c r="BD29" s="417">
        <v>0</v>
      </c>
      <c r="BE29" s="417">
        <v>0</v>
      </c>
      <c r="BF29" s="417">
        <v>0</v>
      </c>
      <c r="BG29" s="417">
        <v>0</v>
      </c>
      <c r="BH29" s="417">
        <v>0</v>
      </c>
      <c r="BI29" s="417">
        <v>0</v>
      </c>
      <c r="BJ29" s="417">
        <v>0</v>
      </c>
      <c r="BK29" s="819">
        <v>0</v>
      </c>
      <c r="BL29" s="417">
        <v>0</v>
      </c>
      <c r="BM29" s="417">
        <v>0</v>
      </c>
      <c r="BN29" s="375">
        <v>0</v>
      </c>
      <c r="BO29" s="212"/>
      <c r="BP29" s="413">
        <v>81736.166666666672</v>
      </c>
      <c r="BQ29" s="413">
        <v>81736.166666666672</v>
      </c>
      <c r="BR29" s="413">
        <v>81736.166666666672</v>
      </c>
      <c r="BS29" s="413">
        <v>81736.166666666672</v>
      </c>
      <c r="BT29" s="413">
        <v>81736.166666666672</v>
      </c>
      <c r="BU29" s="413">
        <v>81736.166666666672</v>
      </c>
      <c r="BV29" s="413">
        <v>81736.166666666672</v>
      </c>
      <c r="BW29" s="413">
        <v>81736.166666666672</v>
      </c>
      <c r="BX29" s="413">
        <v>81736.166666666672</v>
      </c>
      <c r="BY29" s="413">
        <v>81736.166666666672</v>
      </c>
      <c r="BZ29" s="413">
        <v>81736.166666666672</v>
      </c>
      <c r="CA29" s="413">
        <v>81736.166666666744</v>
      </c>
      <c r="CB29" s="379">
        <f t="shared" si="87"/>
        <v>980834</v>
      </c>
      <c r="CC29" s="378">
        <f t="shared" si="88"/>
        <v>980834</v>
      </c>
      <c r="CD29" s="165">
        <f t="shared" si="89"/>
        <v>1</v>
      </c>
      <c r="CE29" s="367"/>
      <c r="CF29" s="373">
        <v>0</v>
      </c>
      <c r="CG29" s="373">
        <v>0</v>
      </c>
      <c r="CH29" s="373">
        <v>0</v>
      </c>
      <c r="CI29" s="373">
        <v>0</v>
      </c>
      <c r="CJ29" s="373">
        <v>0</v>
      </c>
      <c r="CK29" s="373">
        <v>0</v>
      </c>
      <c r="CL29" s="373">
        <v>0</v>
      </c>
      <c r="CM29" s="373">
        <v>0</v>
      </c>
      <c r="CN29" s="373">
        <v>0</v>
      </c>
      <c r="CO29" s="373">
        <v>0</v>
      </c>
      <c r="CP29" s="373">
        <v>0</v>
      </c>
      <c r="CQ29" s="373">
        <v>0</v>
      </c>
      <c r="CR29" s="376"/>
      <c r="CS29" s="375">
        <f t="shared" si="90"/>
        <v>0</v>
      </c>
      <c r="CT29" s="378">
        <f t="shared" ref="CT29:CT98" si="95">CS29-BN29</f>
        <v>0</v>
      </c>
      <c r="CU29" s="165" t="str">
        <f t="shared" si="91"/>
        <v>N/A</v>
      </c>
      <c r="CV29" s="320"/>
      <c r="CW29" s="373">
        <v>0</v>
      </c>
      <c r="CX29" s="373">
        <v>0</v>
      </c>
      <c r="CY29" s="373">
        <v>0</v>
      </c>
      <c r="CZ29" s="373">
        <v>0</v>
      </c>
      <c r="DA29" s="373">
        <v>0</v>
      </c>
      <c r="DB29" s="373">
        <v>0</v>
      </c>
      <c r="DC29" s="373">
        <v>0</v>
      </c>
      <c r="DD29" s="373">
        <v>0</v>
      </c>
      <c r="DE29" s="373">
        <v>0</v>
      </c>
      <c r="DF29" s="373">
        <v>0</v>
      </c>
      <c r="DG29" s="373">
        <v>0</v>
      </c>
      <c r="DH29" s="373">
        <v>0</v>
      </c>
      <c r="DI29" s="375">
        <f t="shared" si="92"/>
        <v>0</v>
      </c>
      <c r="DJ29" s="320"/>
      <c r="DK29" s="373">
        <v>614009</v>
      </c>
      <c r="DL29" s="373">
        <v>635128.18999999994</v>
      </c>
      <c r="DM29" s="373">
        <v>600953.99</v>
      </c>
      <c r="DN29" s="373">
        <v>623591.24</v>
      </c>
      <c r="DO29" s="373">
        <v>623103.54</v>
      </c>
      <c r="DP29" s="373">
        <v>623813.30000000005</v>
      </c>
      <c r="DQ29" s="373">
        <v>601555.76</v>
      </c>
      <c r="DR29" s="373">
        <v>599923.5</v>
      </c>
      <c r="DS29" s="373">
        <v>599923.5</v>
      </c>
      <c r="DT29" s="373">
        <v>642439.51</v>
      </c>
      <c r="DU29" s="373">
        <v>581036.82999999996</v>
      </c>
      <c r="DV29" s="373">
        <v>590487.44999999995</v>
      </c>
      <c r="DW29" s="375">
        <f t="shared" si="93"/>
        <v>7335965.8099999996</v>
      </c>
      <c r="DY29" s="373">
        <v>0</v>
      </c>
      <c r="DZ29" s="373">
        <v>0</v>
      </c>
      <c r="EA29" s="373">
        <v>0</v>
      </c>
      <c r="EB29" s="373">
        <v>293668</v>
      </c>
      <c r="EC29" s="373">
        <v>283668</v>
      </c>
      <c r="ED29" s="373">
        <v>283668</v>
      </c>
      <c r="EE29" s="373">
        <v>273768</v>
      </c>
      <c r="EF29" s="373">
        <v>283668</v>
      </c>
      <c r="EG29" s="373">
        <v>292804.45</v>
      </c>
      <c r="EH29" s="373">
        <v>1290047</v>
      </c>
      <c r="EI29" s="373">
        <v>432685</v>
      </c>
      <c r="EJ29" s="373">
        <v>468799.86000000004</v>
      </c>
      <c r="EK29" s="375">
        <f t="shared" si="94"/>
        <v>3902776.31</v>
      </c>
      <c r="EL29" s="177"/>
      <c r="EM29" s="373">
        <v>0</v>
      </c>
      <c r="EN29" s="373">
        <v>0</v>
      </c>
      <c r="EO29" s="373">
        <v>0</v>
      </c>
      <c r="EP29" s="373">
        <v>0</v>
      </c>
      <c r="EQ29" s="373">
        <v>0</v>
      </c>
      <c r="ER29" s="373">
        <v>0</v>
      </c>
      <c r="ES29" s="373">
        <v>0</v>
      </c>
      <c r="ET29" s="373">
        <v>0</v>
      </c>
      <c r="EU29" s="373">
        <v>0</v>
      </c>
      <c r="EV29" s="373">
        <v>0</v>
      </c>
      <c r="EW29" s="373">
        <v>0</v>
      </c>
      <c r="EX29" s="373">
        <v>2645008</v>
      </c>
      <c r="EY29" s="375">
        <f t="shared" ref="EY29:EY155" si="96">SUM(EM29:EX29)</f>
        <v>2645008</v>
      </c>
      <c r="EZ29" s="164"/>
      <c r="FC29" s="185">
        <v>0</v>
      </c>
    </row>
    <row r="30" spans="1:162" ht="18.75" customHeight="1">
      <c r="A30" s="185" t="s">
        <v>595</v>
      </c>
      <c r="B30" s="176">
        <v>60101200</v>
      </c>
      <c r="C30" s="176" t="s">
        <v>1107</v>
      </c>
      <c r="D30" s="176" t="s">
        <v>131</v>
      </c>
      <c r="E30" s="324"/>
      <c r="F30" s="320" t="s">
        <v>337</v>
      </c>
      <c r="G30" s="320"/>
      <c r="H30" s="417">
        <v>0</v>
      </c>
      <c r="I30" s="417">
        <v>0</v>
      </c>
      <c r="J30" s="417">
        <v>0</v>
      </c>
      <c r="K30" s="417">
        <v>0</v>
      </c>
      <c r="L30" s="417">
        <v>0</v>
      </c>
      <c r="M30" s="417">
        <v>0</v>
      </c>
      <c r="N30" s="417">
        <v>0</v>
      </c>
      <c r="O30" s="417">
        <v>0</v>
      </c>
      <c r="P30" s="417">
        <v>0</v>
      </c>
      <c r="Q30" s="819">
        <v>0</v>
      </c>
      <c r="R30" s="417">
        <v>0</v>
      </c>
      <c r="S30" s="417">
        <v>31755823.115200005</v>
      </c>
      <c r="T30" s="402"/>
      <c r="U30" s="378">
        <f t="shared" si="81"/>
        <v>26503545.280000001</v>
      </c>
      <c r="V30" s="165">
        <f t="shared" si="82"/>
        <v>1</v>
      </c>
      <c r="W30" s="212"/>
      <c r="X30" s="417">
        <v>2265951.61</v>
      </c>
      <c r="Y30" s="417">
        <v>2356270.91</v>
      </c>
      <c r="Z30" s="417">
        <v>2551662.2799999998</v>
      </c>
      <c r="AA30" s="417">
        <v>2477877.5</v>
      </c>
      <c r="AB30" s="417">
        <v>2550065.33</v>
      </c>
      <c r="AC30" s="417">
        <v>2235978.34</v>
      </c>
      <c r="AD30" s="417">
        <v>2057751.47</v>
      </c>
      <c r="AE30" s="417">
        <v>2116962.16</v>
      </c>
      <c r="AF30" s="417">
        <v>1997212.72</v>
      </c>
      <c r="AG30" s="819">
        <v>1934247.25</v>
      </c>
      <c r="AH30" s="417">
        <v>1969003.07</v>
      </c>
      <c r="AI30" s="417">
        <v>1990562.64</v>
      </c>
      <c r="AJ30" s="375">
        <f t="shared" si="83"/>
        <v>26503545.280000001</v>
      </c>
      <c r="AK30" s="212"/>
      <c r="AL30" s="417">
        <v>0</v>
      </c>
      <c r="AM30" s="417">
        <v>0</v>
      </c>
      <c r="AN30" s="417">
        <v>0</v>
      </c>
      <c r="AO30" s="417">
        <v>0</v>
      </c>
      <c r="AP30" s="417">
        <v>0</v>
      </c>
      <c r="AQ30" s="417">
        <v>0</v>
      </c>
      <c r="AR30" s="417">
        <v>0</v>
      </c>
      <c r="AS30" s="417">
        <v>0</v>
      </c>
      <c r="AT30" s="417">
        <v>0</v>
      </c>
      <c r="AU30" s="819">
        <v>0</v>
      </c>
      <c r="AV30" s="417">
        <v>0</v>
      </c>
      <c r="AW30" s="417">
        <v>31755823.115200005</v>
      </c>
      <c r="AX30" s="981">
        <f t="shared" si="84"/>
        <v>31755823.115200005</v>
      </c>
      <c r="AY30" s="378">
        <f t="shared" si="85"/>
        <v>775276.20479999483</v>
      </c>
      <c r="AZ30" s="165">
        <f t="shared" si="86"/>
        <v>2.3831847708981599E-2</v>
      </c>
      <c r="BA30" s="212"/>
      <c r="BB30" s="417">
        <v>2706982.92</v>
      </c>
      <c r="BC30" s="417">
        <v>2833653.02</v>
      </c>
      <c r="BD30" s="417">
        <v>2867416.17</v>
      </c>
      <c r="BE30" s="417">
        <v>2839940.8</v>
      </c>
      <c r="BF30" s="417">
        <v>2813489.64</v>
      </c>
      <c r="BG30" s="417">
        <v>2596520.4500000002</v>
      </c>
      <c r="BH30" s="417">
        <v>2774397.19</v>
      </c>
      <c r="BI30" s="417">
        <v>2598607.06</v>
      </c>
      <c r="BJ30" s="417">
        <v>3169377.43</v>
      </c>
      <c r="BK30" s="819">
        <v>2657482.23</v>
      </c>
      <c r="BL30" s="417">
        <v>2260107.41</v>
      </c>
      <c r="BM30" s="417">
        <v>2420028.66</v>
      </c>
      <c r="BN30" s="375">
        <v>32531099.32</v>
      </c>
      <c r="BO30" s="212"/>
      <c r="BP30" s="818">
        <v>2915652.25</v>
      </c>
      <c r="BQ30" s="818">
        <v>2915652.25</v>
      </c>
      <c r="BR30" s="818">
        <v>2915652.25</v>
      </c>
      <c r="BS30" s="818">
        <v>2915652.25</v>
      </c>
      <c r="BT30" s="818">
        <v>2915652.25</v>
      </c>
      <c r="BU30" s="818">
        <v>2915652.25</v>
      </c>
      <c r="BV30" s="818">
        <v>2915652.25</v>
      </c>
      <c r="BW30" s="818">
        <v>2915652.25</v>
      </c>
      <c r="BX30" s="818">
        <v>2915652.25</v>
      </c>
      <c r="BY30" s="818">
        <v>2915652.25</v>
      </c>
      <c r="BZ30" s="818">
        <v>2915652.25</v>
      </c>
      <c r="CA30" s="818">
        <v>2915652.25</v>
      </c>
      <c r="CB30" s="379">
        <f t="shared" si="87"/>
        <v>34987827</v>
      </c>
      <c r="CC30" s="378">
        <f t="shared" si="88"/>
        <v>2456727.6799999997</v>
      </c>
      <c r="CD30" s="165">
        <f t="shared" si="89"/>
        <v>7.0216640776233394E-2</v>
      </c>
      <c r="CE30" s="367"/>
      <c r="CF30" s="373">
        <v>2635745.17</v>
      </c>
      <c r="CG30" s="373">
        <v>2739694.81</v>
      </c>
      <c r="CH30" s="373">
        <v>2792474.47</v>
      </c>
      <c r="CI30" s="373">
        <v>2768704.51</v>
      </c>
      <c r="CJ30" s="373">
        <v>3035473.06</v>
      </c>
      <c r="CK30" s="373">
        <v>2971697.89</v>
      </c>
      <c r="CL30" s="373">
        <v>2873573.15</v>
      </c>
      <c r="CM30" s="373">
        <v>2647479.13</v>
      </c>
      <c r="CN30" s="373">
        <v>2730715.9799999995</v>
      </c>
      <c r="CO30" s="373">
        <v>2306884.6900000004</v>
      </c>
      <c r="CP30" s="373">
        <v>2634469.7699999996</v>
      </c>
      <c r="CQ30" s="373">
        <v>2655071.3199999998</v>
      </c>
      <c r="CR30" s="376"/>
      <c r="CS30" s="375">
        <f t="shared" si="90"/>
        <v>32791983.949999999</v>
      </c>
      <c r="CT30" s="378">
        <f t="shared" si="95"/>
        <v>260884.62999999896</v>
      </c>
      <c r="CU30" s="165">
        <f t="shared" si="91"/>
        <v>7.9557440134694554E-3</v>
      </c>
      <c r="CV30" s="320"/>
      <c r="CW30" s="373">
        <v>2517854.73</v>
      </c>
      <c r="CX30" s="373">
        <v>2682921.83</v>
      </c>
      <c r="CY30" s="373">
        <v>2584597.13</v>
      </c>
      <c r="CZ30" s="373">
        <v>2788120.58</v>
      </c>
      <c r="DA30" s="373">
        <v>1550561.12</v>
      </c>
      <c r="DB30" s="373">
        <v>2462909.91</v>
      </c>
      <c r="DC30" s="373">
        <v>2595106.17</v>
      </c>
      <c r="DD30" s="373">
        <v>2573750.11</v>
      </c>
      <c r="DE30" s="373">
        <v>2680722.02</v>
      </c>
      <c r="DF30" s="373">
        <v>3316732.4</v>
      </c>
      <c r="DG30" s="373">
        <v>2797162.33</v>
      </c>
      <c r="DH30" s="373">
        <v>3017541.76</v>
      </c>
      <c r="DI30" s="375">
        <f t="shared" si="92"/>
        <v>31567980.089999996</v>
      </c>
      <c r="DJ30" s="320"/>
      <c r="DK30" s="373">
        <v>1157533.57</v>
      </c>
      <c r="DL30" s="373">
        <v>1606518.79</v>
      </c>
      <c r="DM30" s="373">
        <v>1779819.69</v>
      </c>
      <c r="DN30" s="373">
        <v>1735088.8399999999</v>
      </c>
      <c r="DO30" s="373">
        <v>1824446.1300000001</v>
      </c>
      <c r="DP30" s="373">
        <v>1838134.66</v>
      </c>
      <c r="DQ30" s="373">
        <v>1760734.0499999998</v>
      </c>
      <c r="DR30" s="373">
        <v>1894540.42</v>
      </c>
      <c r="DS30" s="373">
        <v>1808153.0000000002</v>
      </c>
      <c r="DT30" s="373">
        <v>2116337.9</v>
      </c>
      <c r="DU30" s="373">
        <v>1428504.02</v>
      </c>
      <c r="DV30" s="373">
        <v>1898972.76</v>
      </c>
      <c r="DW30" s="375">
        <f t="shared" si="93"/>
        <v>20848783.830000002</v>
      </c>
      <c r="DY30" s="373">
        <v>15720</v>
      </c>
      <c r="DZ30" s="373">
        <v>17720</v>
      </c>
      <c r="EA30" s="373">
        <v>16720</v>
      </c>
      <c r="EB30" s="373">
        <v>176261.72</v>
      </c>
      <c r="EC30" s="373">
        <v>291797.58</v>
      </c>
      <c r="ED30" s="373">
        <v>259369.22999999998</v>
      </c>
      <c r="EE30" s="373">
        <v>234730</v>
      </c>
      <c r="EF30" s="373">
        <v>325062.67</v>
      </c>
      <c r="EG30" s="373">
        <v>362040.06</v>
      </c>
      <c r="EH30" s="373">
        <v>556191.55999999994</v>
      </c>
      <c r="EI30" s="373">
        <v>475893.47000000003</v>
      </c>
      <c r="EJ30" s="373">
        <v>495114.23</v>
      </c>
      <c r="EK30" s="375">
        <f t="shared" si="94"/>
        <v>3226620.52</v>
      </c>
      <c r="EL30" s="177"/>
      <c r="EM30" s="373">
        <v>0</v>
      </c>
      <c r="EN30" s="373">
        <v>0</v>
      </c>
      <c r="EO30" s="373">
        <v>0</v>
      </c>
      <c r="EP30" s="373">
        <v>0</v>
      </c>
      <c r="EQ30" s="373">
        <v>0</v>
      </c>
      <c r="ER30" s="373">
        <v>0</v>
      </c>
      <c r="ES30" s="373">
        <v>0</v>
      </c>
      <c r="ET30" s="373">
        <v>0</v>
      </c>
      <c r="EU30" s="373">
        <v>0</v>
      </c>
      <c r="EV30" s="373">
        <v>0</v>
      </c>
      <c r="EW30" s="373">
        <v>0</v>
      </c>
      <c r="EX30" s="373">
        <v>0</v>
      </c>
      <c r="EY30" s="375">
        <f t="shared" si="96"/>
        <v>0</v>
      </c>
      <c r="EZ30" s="164"/>
      <c r="FC30" s="185">
        <v>0</v>
      </c>
    </row>
    <row r="31" spans="1:162" ht="18.75" customHeight="1">
      <c r="A31" s="185" t="s">
        <v>595</v>
      </c>
      <c r="B31" s="176">
        <v>60101300</v>
      </c>
      <c r="C31" s="176" t="s">
        <v>1107</v>
      </c>
      <c r="D31" s="176" t="s">
        <v>113</v>
      </c>
      <c r="E31" s="324"/>
      <c r="F31" s="320" t="s">
        <v>625</v>
      </c>
      <c r="G31" s="320"/>
      <c r="H31" s="417">
        <v>0</v>
      </c>
      <c r="I31" s="417">
        <v>0</v>
      </c>
      <c r="J31" s="417">
        <v>0</v>
      </c>
      <c r="K31" s="417">
        <v>0</v>
      </c>
      <c r="L31" s="417">
        <v>0</v>
      </c>
      <c r="M31" s="417">
        <v>0</v>
      </c>
      <c r="N31" s="417">
        <v>0</v>
      </c>
      <c r="O31" s="417">
        <v>0</v>
      </c>
      <c r="P31" s="417">
        <v>0</v>
      </c>
      <c r="Q31" s="819">
        <v>0</v>
      </c>
      <c r="R31" s="417">
        <v>0</v>
      </c>
      <c r="S31" s="417">
        <v>0</v>
      </c>
      <c r="T31" s="402"/>
      <c r="U31" s="378">
        <f t="shared" si="81"/>
        <v>0</v>
      </c>
      <c r="V31" s="165" t="e">
        <f t="shared" si="82"/>
        <v>#DIV/0!</v>
      </c>
      <c r="W31" s="212"/>
      <c r="X31" s="417">
        <v>0</v>
      </c>
      <c r="Y31" s="417">
        <v>0</v>
      </c>
      <c r="Z31" s="417">
        <v>0</v>
      </c>
      <c r="AA31" s="417">
        <v>0</v>
      </c>
      <c r="AB31" s="417">
        <v>0</v>
      </c>
      <c r="AC31" s="417">
        <v>0</v>
      </c>
      <c r="AD31" s="417">
        <v>0</v>
      </c>
      <c r="AE31" s="417">
        <v>0</v>
      </c>
      <c r="AF31" s="417">
        <v>0</v>
      </c>
      <c r="AG31" s="819">
        <v>0</v>
      </c>
      <c r="AH31" s="417">
        <v>0</v>
      </c>
      <c r="AI31" s="417">
        <v>0</v>
      </c>
      <c r="AJ31" s="375">
        <f t="shared" si="83"/>
        <v>0</v>
      </c>
      <c r="AK31" s="212"/>
      <c r="AL31" s="417">
        <v>0</v>
      </c>
      <c r="AM31" s="417">
        <v>0</v>
      </c>
      <c r="AN31" s="417">
        <v>0</v>
      </c>
      <c r="AO31" s="417">
        <v>0</v>
      </c>
      <c r="AP31" s="417">
        <v>0</v>
      </c>
      <c r="AQ31" s="417">
        <v>0</v>
      </c>
      <c r="AR31" s="417">
        <v>0</v>
      </c>
      <c r="AS31" s="417">
        <v>0</v>
      </c>
      <c r="AT31" s="417">
        <v>0</v>
      </c>
      <c r="AU31" s="819">
        <v>0</v>
      </c>
      <c r="AV31" s="417">
        <v>0</v>
      </c>
      <c r="AW31" s="417">
        <v>0</v>
      </c>
      <c r="AX31" s="375">
        <f t="shared" si="84"/>
        <v>0</v>
      </c>
      <c r="AY31" s="378">
        <f t="shared" si="85"/>
        <v>3033.7837837837869</v>
      </c>
      <c r="AZ31" s="165">
        <f t="shared" si="86"/>
        <v>1</v>
      </c>
      <c r="BA31" s="212"/>
      <c r="BB31" s="417">
        <v>0</v>
      </c>
      <c r="BC31" s="417">
        <v>0</v>
      </c>
      <c r="BD31" s="417">
        <v>0</v>
      </c>
      <c r="BE31" s="417">
        <v>0</v>
      </c>
      <c r="BF31" s="417">
        <v>0</v>
      </c>
      <c r="BG31" s="417">
        <v>0</v>
      </c>
      <c r="BH31" s="417">
        <v>0</v>
      </c>
      <c r="BI31" s="417">
        <v>0</v>
      </c>
      <c r="BJ31" s="417">
        <v>0</v>
      </c>
      <c r="BK31" s="819">
        <v>0</v>
      </c>
      <c r="BL31" s="417">
        <v>0</v>
      </c>
      <c r="BM31" s="417">
        <v>0</v>
      </c>
      <c r="BN31" s="375">
        <v>3033.7837837837869</v>
      </c>
      <c r="BO31" s="212"/>
      <c r="BP31" s="818">
        <v>3033.7837837837837</v>
      </c>
      <c r="BQ31" s="818">
        <v>3033.7837837837837</v>
      </c>
      <c r="BR31" s="818">
        <v>3033.7837837837837</v>
      </c>
      <c r="BS31" s="818">
        <v>3033.7837837837837</v>
      </c>
      <c r="BT31" s="818">
        <v>3033.7837837837837</v>
      </c>
      <c r="BU31" s="818">
        <v>3033.7837837837837</v>
      </c>
      <c r="BV31" s="818">
        <v>3033.7837837837837</v>
      </c>
      <c r="BW31" s="818">
        <v>3033.7837837837837</v>
      </c>
      <c r="BX31" s="818">
        <v>3033.7837837837837</v>
      </c>
      <c r="BY31" s="818">
        <v>3033.7837837837837</v>
      </c>
      <c r="BZ31" s="818">
        <v>3033.7837837837837</v>
      </c>
      <c r="CA31" s="818">
        <v>3033.7837837837869</v>
      </c>
      <c r="CB31" s="379">
        <f t="shared" si="87"/>
        <v>36405.405405405407</v>
      </c>
      <c r="CC31" s="378">
        <f t="shared" si="88"/>
        <v>33371.62162162162</v>
      </c>
      <c r="CD31" s="165">
        <f t="shared" si="89"/>
        <v>0.91666666666666663</v>
      </c>
      <c r="CE31" s="367"/>
      <c r="CF31" s="373">
        <v>0</v>
      </c>
      <c r="CG31" s="373">
        <v>0</v>
      </c>
      <c r="CH31" s="373">
        <v>0</v>
      </c>
      <c r="CI31" s="373">
        <v>0</v>
      </c>
      <c r="CJ31" s="373">
        <v>0</v>
      </c>
      <c r="CK31" s="373">
        <v>0</v>
      </c>
      <c r="CL31" s="373">
        <v>0</v>
      </c>
      <c r="CM31" s="373">
        <v>0</v>
      </c>
      <c r="CN31" s="373">
        <v>0</v>
      </c>
      <c r="CO31" s="373">
        <v>0</v>
      </c>
      <c r="CP31" s="373">
        <v>0</v>
      </c>
      <c r="CQ31" s="373">
        <v>0</v>
      </c>
      <c r="CR31" s="380"/>
      <c r="CS31" s="375">
        <f t="shared" si="90"/>
        <v>0</v>
      </c>
      <c r="CT31" s="378">
        <f t="shared" si="95"/>
        <v>-3033.7837837837869</v>
      </c>
      <c r="CU31" s="165" t="str">
        <f t="shared" si="91"/>
        <v>N/A</v>
      </c>
      <c r="CV31" s="320"/>
      <c r="CW31" s="373">
        <v>0</v>
      </c>
      <c r="CX31" s="373">
        <v>0</v>
      </c>
      <c r="CY31" s="373">
        <v>0</v>
      </c>
      <c r="CZ31" s="373">
        <v>0</v>
      </c>
      <c r="DA31" s="373">
        <v>0</v>
      </c>
      <c r="DB31" s="373">
        <v>0</v>
      </c>
      <c r="DC31" s="373">
        <v>0</v>
      </c>
      <c r="DD31" s="373">
        <v>0</v>
      </c>
      <c r="DE31" s="373">
        <v>0</v>
      </c>
      <c r="DF31" s="373">
        <v>0</v>
      </c>
      <c r="DG31" s="373">
        <v>0</v>
      </c>
      <c r="DH31" s="373">
        <v>0</v>
      </c>
      <c r="DI31" s="375">
        <f t="shared" si="92"/>
        <v>0</v>
      </c>
      <c r="DJ31" s="320"/>
      <c r="DK31" s="373"/>
      <c r="DL31" s="373"/>
      <c r="DM31" s="373"/>
      <c r="DN31" s="373"/>
      <c r="DO31" s="373"/>
      <c r="DP31" s="373"/>
      <c r="DQ31" s="373"/>
      <c r="DR31" s="373"/>
      <c r="DS31" s="373"/>
      <c r="DT31" s="373"/>
      <c r="DU31" s="373"/>
      <c r="DV31" s="373"/>
      <c r="DW31" s="375">
        <f t="shared" si="93"/>
        <v>0</v>
      </c>
      <c r="DY31" s="373"/>
      <c r="DZ31" s="373"/>
      <c r="EA31" s="373"/>
      <c r="EB31" s="373"/>
      <c r="EC31" s="373"/>
      <c r="ED31" s="373"/>
      <c r="EE31" s="373"/>
      <c r="EF31" s="373"/>
      <c r="EG31" s="373"/>
      <c r="EH31" s="373"/>
      <c r="EI31" s="373"/>
      <c r="EJ31" s="373"/>
      <c r="EK31" s="375">
        <f t="shared" si="94"/>
        <v>0</v>
      </c>
      <c r="EL31" s="177"/>
      <c r="EM31" s="373"/>
      <c r="EN31" s="373"/>
      <c r="EO31" s="373"/>
      <c r="EP31" s="373"/>
      <c r="EQ31" s="373"/>
      <c r="ER31" s="373"/>
      <c r="ES31" s="373"/>
      <c r="ET31" s="373"/>
      <c r="EU31" s="373"/>
      <c r="EV31" s="373"/>
      <c r="EW31" s="373"/>
      <c r="EX31" s="373"/>
      <c r="EY31" s="375">
        <f t="shared" si="96"/>
        <v>0</v>
      </c>
      <c r="EZ31" s="164"/>
      <c r="FC31" s="185">
        <v>0</v>
      </c>
    </row>
    <row r="32" spans="1:162" ht="18.75" customHeight="1">
      <c r="A32" s="185" t="s">
        <v>103</v>
      </c>
      <c r="B32" s="176">
        <v>60102000</v>
      </c>
      <c r="C32" s="176" t="s">
        <v>1107</v>
      </c>
      <c r="D32" s="176" t="s">
        <v>113</v>
      </c>
      <c r="E32" s="324"/>
      <c r="F32" s="320" t="s">
        <v>626</v>
      </c>
      <c r="G32" s="320"/>
      <c r="H32" s="417">
        <v>0</v>
      </c>
      <c r="I32" s="417">
        <v>0</v>
      </c>
      <c r="J32" s="417">
        <v>0</v>
      </c>
      <c r="K32" s="417">
        <v>0</v>
      </c>
      <c r="L32" s="417">
        <v>0</v>
      </c>
      <c r="M32" s="417">
        <v>0</v>
      </c>
      <c r="N32" s="417">
        <v>0</v>
      </c>
      <c r="O32" s="417">
        <v>0</v>
      </c>
      <c r="P32" s="417">
        <v>0</v>
      </c>
      <c r="Q32" s="819">
        <v>0</v>
      </c>
      <c r="R32" s="417">
        <v>0</v>
      </c>
      <c r="S32" s="417">
        <v>1284557.3229</v>
      </c>
      <c r="T32" s="402"/>
      <c r="U32" s="378">
        <f t="shared" si="81"/>
        <v>1108211.6000000001</v>
      </c>
      <c r="V32" s="165">
        <f t="shared" si="82"/>
        <v>1</v>
      </c>
      <c r="W32" s="212"/>
      <c r="X32" s="417">
        <v>94891.96</v>
      </c>
      <c r="Y32" s="417">
        <v>94955.97</v>
      </c>
      <c r="Z32" s="417">
        <v>93045.09</v>
      </c>
      <c r="AA32" s="417">
        <v>98499.55</v>
      </c>
      <c r="AB32" s="417">
        <v>95203.62</v>
      </c>
      <c r="AC32" s="417">
        <v>87806.42</v>
      </c>
      <c r="AD32" s="417">
        <v>91244.41</v>
      </c>
      <c r="AE32" s="417">
        <v>91238.17</v>
      </c>
      <c r="AF32" s="417">
        <v>82989.22</v>
      </c>
      <c r="AG32" s="819">
        <v>105071.67999999999</v>
      </c>
      <c r="AH32" s="417">
        <v>89368.2</v>
      </c>
      <c r="AI32" s="417">
        <v>83897.31</v>
      </c>
      <c r="AJ32" s="375">
        <f t="shared" si="83"/>
        <v>1108211.6000000001</v>
      </c>
      <c r="AK32" s="212"/>
      <c r="AL32" s="417">
        <v>0</v>
      </c>
      <c r="AM32" s="417">
        <v>0</v>
      </c>
      <c r="AN32" s="417">
        <v>0</v>
      </c>
      <c r="AO32" s="417">
        <v>0</v>
      </c>
      <c r="AP32" s="417">
        <v>0</v>
      </c>
      <c r="AQ32" s="417">
        <v>0</v>
      </c>
      <c r="AR32" s="417">
        <v>0</v>
      </c>
      <c r="AS32" s="417">
        <v>0</v>
      </c>
      <c r="AT32" s="417">
        <v>0</v>
      </c>
      <c r="AU32" s="819">
        <v>0</v>
      </c>
      <c r="AV32" s="417">
        <v>0</v>
      </c>
      <c r="AW32" s="417">
        <v>1284557.3229</v>
      </c>
      <c r="AX32" s="981">
        <f t="shared" si="84"/>
        <v>1284557.3229</v>
      </c>
      <c r="AY32" s="378">
        <f t="shared" si="85"/>
        <v>-3131.1564837053884</v>
      </c>
      <c r="AZ32" s="165">
        <f t="shared" si="86"/>
        <v>-2.443493480753674E-3</v>
      </c>
      <c r="BA32" s="212"/>
      <c r="BB32" s="417">
        <v>106334.39999999999</v>
      </c>
      <c r="BC32" s="417">
        <v>109801.37</v>
      </c>
      <c r="BD32" s="417">
        <v>107728.7</v>
      </c>
      <c r="BE32" s="417">
        <v>116275.62</v>
      </c>
      <c r="BF32" s="417">
        <v>111165</v>
      </c>
      <c r="BG32" s="417">
        <v>109526.14</v>
      </c>
      <c r="BH32" s="417">
        <v>105843.69</v>
      </c>
      <c r="BI32" s="417">
        <v>101204.78</v>
      </c>
      <c r="BJ32" s="417">
        <v>105527.07</v>
      </c>
      <c r="BK32" s="819">
        <v>119735.06</v>
      </c>
      <c r="BL32" s="417">
        <v>94303.3</v>
      </c>
      <c r="BM32" s="417">
        <v>96252.87</v>
      </c>
      <c r="BN32" s="375">
        <v>1281426.1664162946</v>
      </c>
      <c r="BO32" s="212"/>
      <c r="BP32" s="818">
        <v>115990.41666666667</v>
      </c>
      <c r="BQ32" s="818">
        <v>115990.41666666667</v>
      </c>
      <c r="BR32" s="818">
        <v>115990.41666666667</v>
      </c>
      <c r="BS32" s="818">
        <v>115990.41666666667</v>
      </c>
      <c r="BT32" s="818">
        <v>115990.41666666667</v>
      </c>
      <c r="BU32" s="818">
        <v>115990.41666666667</v>
      </c>
      <c r="BV32" s="818">
        <v>115990.41666666667</v>
      </c>
      <c r="BW32" s="818">
        <v>115990.41666666667</v>
      </c>
      <c r="BX32" s="818">
        <v>115990.41666666667</v>
      </c>
      <c r="BY32" s="818">
        <v>115990.41666666667</v>
      </c>
      <c r="BZ32" s="818">
        <v>115990.41666666667</v>
      </c>
      <c r="CA32" s="818">
        <v>115990.41666666674</v>
      </c>
      <c r="CB32" s="379">
        <f t="shared" si="87"/>
        <v>1391885</v>
      </c>
      <c r="CC32" s="378">
        <f t="shared" si="88"/>
        <v>110458.83358370536</v>
      </c>
      <c r="CD32" s="165">
        <f t="shared" si="89"/>
        <v>7.935916658610831E-2</v>
      </c>
      <c r="CE32" s="367"/>
      <c r="CF32" s="373">
        <v>94622.73</v>
      </c>
      <c r="CG32" s="373">
        <v>106292.61</v>
      </c>
      <c r="CH32" s="373">
        <v>105856.28</v>
      </c>
      <c r="CI32" s="373">
        <v>102214.54</v>
      </c>
      <c r="CJ32" s="373">
        <v>109603.59</v>
      </c>
      <c r="CK32" s="373">
        <v>108247.61</v>
      </c>
      <c r="CL32" s="373">
        <v>108743.76</v>
      </c>
      <c r="CM32" s="373">
        <v>106792.92000000001</v>
      </c>
      <c r="CN32" s="373">
        <v>108023.84</v>
      </c>
      <c r="CO32" s="373">
        <v>122563.88</v>
      </c>
      <c r="CP32" s="373">
        <v>107408.82</v>
      </c>
      <c r="CQ32" s="373">
        <v>105532.73</v>
      </c>
      <c r="CR32" s="376"/>
      <c r="CS32" s="375">
        <f t="shared" si="90"/>
        <v>1285903.31</v>
      </c>
      <c r="CT32" s="378">
        <f t="shared" si="95"/>
        <v>4477.1435837054159</v>
      </c>
      <c r="CU32" s="165">
        <f t="shared" si="91"/>
        <v>3.4817109100570057E-3</v>
      </c>
      <c r="CV32" s="320"/>
      <c r="CW32" s="373">
        <v>83557.63</v>
      </c>
      <c r="CX32" s="373">
        <v>90019.83</v>
      </c>
      <c r="CY32" s="373">
        <v>87901.97</v>
      </c>
      <c r="CZ32" s="373">
        <v>81895.039999999994</v>
      </c>
      <c r="DA32" s="373">
        <v>93807.360000000001</v>
      </c>
      <c r="DB32" s="373">
        <v>93359.86</v>
      </c>
      <c r="DC32" s="373">
        <v>91396.24</v>
      </c>
      <c r="DD32" s="373">
        <v>103932.23</v>
      </c>
      <c r="DE32" s="373">
        <v>98563.03</v>
      </c>
      <c r="DF32" s="373">
        <v>117403.69</v>
      </c>
      <c r="DG32" s="373">
        <v>97866.41</v>
      </c>
      <c r="DH32" s="373">
        <v>108471.92</v>
      </c>
      <c r="DI32" s="375">
        <f t="shared" si="92"/>
        <v>1148175.2100000002</v>
      </c>
      <c r="DJ32" s="320"/>
      <c r="DK32" s="373">
        <v>58034.819999999992</v>
      </c>
      <c r="DL32" s="373">
        <v>58916.590000000004</v>
      </c>
      <c r="DM32" s="373">
        <v>80780.460000000006</v>
      </c>
      <c r="DN32" s="373">
        <v>95528.24</v>
      </c>
      <c r="DO32" s="373">
        <v>86138.819999999992</v>
      </c>
      <c r="DP32" s="373">
        <v>79936.62</v>
      </c>
      <c r="DQ32" s="373">
        <v>78738.06</v>
      </c>
      <c r="DR32" s="373">
        <v>86305.08</v>
      </c>
      <c r="DS32" s="373">
        <v>82700.399999999994</v>
      </c>
      <c r="DT32" s="373">
        <v>82201.990000000005</v>
      </c>
      <c r="DU32" s="373">
        <v>94356.099999999991</v>
      </c>
      <c r="DV32" s="373">
        <v>84459.61</v>
      </c>
      <c r="DW32" s="375">
        <f t="shared" si="93"/>
        <v>968096.78999999992</v>
      </c>
      <c r="DY32" s="373">
        <v>0</v>
      </c>
      <c r="DZ32" s="373">
        <v>0</v>
      </c>
      <c r="EA32" s="373">
        <v>0</v>
      </c>
      <c r="EB32" s="373">
        <v>0</v>
      </c>
      <c r="EC32" s="373">
        <v>0</v>
      </c>
      <c r="ED32" s="373">
        <v>0</v>
      </c>
      <c r="EE32" s="373">
        <v>0</v>
      </c>
      <c r="EF32" s="373">
        <v>0</v>
      </c>
      <c r="EG32" s="373">
        <v>0</v>
      </c>
      <c r="EH32" s="373">
        <v>0</v>
      </c>
      <c r="EI32" s="373">
        <v>0</v>
      </c>
      <c r="EJ32" s="373">
        <v>0</v>
      </c>
      <c r="EK32" s="375">
        <f t="shared" si="94"/>
        <v>0</v>
      </c>
      <c r="EL32" s="177"/>
      <c r="EM32" s="373">
        <v>0</v>
      </c>
      <c r="EN32" s="373">
        <v>0</v>
      </c>
      <c r="EO32" s="373">
        <v>0</v>
      </c>
      <c r="EP32" s="373">
        <v>0</v>
      </c>
      <c r="EQ32" s="373">
        <v>0</v>
      </c>
      <c r="ER32" s="373">
        <v>0</v>
      </c>
      <c r="ES32" s="373">
        <v>0</v>
      </c>
      <c r="ET32" s="373">
        <v>0</v>
      </c>
      <c r="EU32" s="373">
        <v>0</v>
      </c>
      <c r="EV32" s="373">
        <v>0</v>
      </c>
      <c r="EW32" s="373">
        <v>0</v>
      </c>
      <c r="EX32" s="373">
        <v>0</v>
      </c>
      <c r="EY32" s="375">
        <f t="shared" si="96"/>
        <v>0</v>
      </c>
      <c r="EZ32" s="164"/>
      <c r="FC32" s="185">
        <v>0</v>
      </c>
    </row>
    <row r="33" spans="1:159" ht="18.75" customHeight="1">
      <c r="A33" s="185" t="s">
        <v>329</v>
      </c>
      <c r="B33" s="176">
        <v>60103000</v>
      </c>
      <c r="C33" s="176" t="s">
        <v>109</v>
      </c>
      <c r="D33" s="176" t="s">
        <v>109</v>
      </c>
      <c r="E33" s="324"/>
      <c r="F33" s="320" t="s">
        <v>627</v>
      </c>
      <c r="G33" s="320"/>
      <c r="H33" s="417">
        <v>0</v>
      </c>
      <c r="I33" s="417">
        <v>0</v>
      </c>
      <c r="J33" s="417">
        <v>0</v>
      </c>
      <c r="K33" s="417">
        <v>0</v>
      </c>
      <c r="L33" s="417">
        <v>0</v>
      </c>
      <c r="M33" s="417">
        <v>0</v>
      </c>
      <c r="N33" s="417">
        <v>0</v>
      </c>
      <c r="O33" s="417">
        <v>0</v>
      </c>
      <c r="P33" s="417">
        <v>0</v>
      </c>
      <c r="Q33" s="819">
        <v>0</v>
      </c>
      <c r="R33" s="417">
        <v>0</v>
      </c>
      <c r="S33" s="417">
        <v>0</v>
      </c>
      <c r="T33" s="402"/>
      <c r="U33" s="378">
        <f t="shared" si="81"/>
        <v>0</v>
      </c>
      <c r="V33" s="165" t="e">
        <f t="shared" si="82"/>
        <v>#DIV/0!</v>
      </c>
      <c r="W33" s="212"/>
      <c r="X33" s="417">
        <v>66600</v>
      </c>
      <c r="Y33" s="417">
        <v>0</v>
      </c>
      <c r="Z33" s="417">
        <v>-66600</v>
      </c>
      <c r="AA33" s="417">
        <v>91350</v>
      </c>
      <c r="AB33" s="417">
        <v>0</v>
      </c>
      <c r="AC33" s="417">
        <v>-91350</v>
      </c>
      <c r="AD33" s="417">
        <v>0</v>
      </c>
      <c r="AE33" s="417">
        <v>0</v>
      </c>
      <c r="AF33" s="417">
        <v>0</v>
      </c>
      <c r="AG33" s="819">
        <v>0</v>
      </c>
      <c r="AH33" s="417">
        <v>0</v>
      </c>
      <c r="AI33" s="417">
        <v>0</v>
      </c>
      <c r="AJ33" s="375">
        <f t="shared" si="83"/>
        <v>0</v>
      </c>
      <c r="AK33" s="212"/>
      <c r="AL33" s="417">
        <v>0</v>
      </c>
      <c r="AM33" s="417">
        <v>0</v>
      </c>
      <c r="AN33" s="417">
        <v>0</v>
      </c>
      <c r="AO33" s="417">
        <v>0</v>
      </c>
      <c r="AP33" s="417">
        <v>0</v>
      </c>
      <c r="AQ33" s="417">
        <v>0</v>
      </c>
      <c r="AR33" s="417">
        <v>0</v>
      </c>
      <c r="AS33" s="417">
        <v>0</v>
      </c>
      <c r="AT33" s="417">
        <v>0</v>
      </c>
      <c r="AU33" s="819">
        <v>0</v>
      </c>
      <c r="AV33" s="417">
        <v>0</v>
      </c>
      <c r="AW33" s="417">
        <v>0</v>
      </c>
      <c r="AX33" s="375">
        <f t="shared" si="84"/>
        <v>0</v>
      </c>
      <c r="AY33" s="378">
        <f t="shared" si="85"/>
        <v>225450</v>
      </c>
      <c r="AZ33" s="165">
        <f t="shared" si="86"/>
        <v>1</v>
      </c>
      <c r="BA33" s="212"/>
      <c r="BB33" s="417">
        <v>0</v>
      </c>
      <c r="BC33" s="417">
        <v>-110700</v>
      </c>
      <c r="BD33" s="417">
        <v>0</v>
      </c>
      <c r="BE33" s="417">
        <v>0</v>
      </c>
      <c r="BF33" s="417">
        <v>0</v>
      </c>
      <c r="BG33" s="417">
        <v>0</v>
      </c>
      <c r="BH33" s="417">
        <v>0</v>
      </c>
      <c r="BI33" s="417">
        <v>0</v>
      </c>
      <c r="BJ33" s="417">
        <v>336150</v>
      </c>
      <c r="BK33" s="819">
        <v>0</v>
      </c>
      <c r="BL33" s="417">
        <v>0</v>
      </c>
      <c r="BM33" s="417">
        <v>-280500</v>
      </c>
      <c r="BN33" s="375">
        <v>225450</v>
      </c>
      <c r="BO33" s="212"/>
      <c r="BP33" s="818">
        <v>0</v>
      </c>
      <c r="BQ33" s="818">
        <v>0</v>
      </c>
      <c r="BR33" s="818">
        <v>0</v>
      </c>
      <c r="BS33" s="818">
        <v>0</v>
      </c>
      <c r="BT33" s="818">
        <v>0</v>
      </c>
      <c r="BU33" s="818">
        <v>0</v>
      </c>
      <c r="BV33" s="818">
        <v>0</v>
      </c>
      <c r="BW33" s="818">
        <v>0</v>
      </c>
      <c r="BX33" s="818">
        <v>0</v>
      </c>
      <c r="BY33" s="818">
        <v>0</v>
      </c>
      <c r="BZ33" s="818">
        <v>0</v>
      </c>
      <c r="CA33" s="818">
        <v>0</v>
      </c>
      <c r="CB33" s="379">
        <f t="shared" si="87"/>
        <v>0</v>
      </c>
      <c r="CC33" s="378">
        <f t="shared" si="88"/>
        <v>-225450</v>
      </c>
      <c r="CD33" s="165" t="str">
        <f t="shared" si="89"/>
        <v>N/A</v>
      </c>
      <c r="CE33" s="367"/>
      <c r="CF33" s="373">
        <v>0</v>
      </c>
      <c r="CG33" s="373">
        <v>0</v>
      </c>
      <c r="CH33" s="373">
        <v>0</v>
      </c>
      <c r="CI33" s="373">
        <v>0</v>
      </c>
      <c r="CJ33" s="373">
        <v>0</v>
      </c>
      <c r="CK33" s="373">
        <v>0</v>
      </c>
      <c r="CL33" s="373">
        <v>0</v>
      </c>
      <c r="CM33" s="373">
        <v>0</v>
      </c>
      <c r="CN33" s="373">
        <v>0</v>
      </c>
      <c r="CO33" s="373">
        <v>0</v>
      </c>
      <c r="CP33" s="373">
        <v>0</v>
      </c>
      <c r="CQ33" s="373">
        <v>110700</v>
      </c>
      <c r="CR33" s="376"/>
      <c r="CS33" s="375">
        <f t="shared" si="90"/>
        <v>110700</v>
      </c>
      <c r="CT33" s="378">
        <f t="shared" si="95"/>
        <v>-114750</v>
      </c>
      <c r="CU33" s="165">
        <f t="shared" si="91"/>
        <v>-1.0365853658536586</v>
      </c>
      <c r="CV33" s="320"/>
      <c r="CW33" s="373">
        <v>0</v>
      </c>
      <c r="CX33" s="373">
        <v>0</v>
      </c>
      <c r="CY33" s="373">
        <v>0</v>
      </c>
      <c r="CZ33" s="373">
        <v>0</v>
      </c>
      <c r="DA33" s="373">
        <v>0</v>
      </c>
      <c r="DB33" s="373">
        <v>0</v>
      </c>
      <c r="DC33" s="373">
        <v>0</v>
      </c>
      <c r="DD33" s="373">
        <v>0</v>
      </c>
      <c r="DE33" s="373">
        <v>0</v>
      </c>
      <c r="DF33" s="373">
        <v>0</v>
      </c>
      <c r="DG33" s="373">
        <v>0</v>
      </c>
      <c r="DH33" s="373">
        <v>0</v>
      </c>
      <c r="DI33" s="375">
        <f t="shared" si="92"/>
        <v>0</v>
      </c>
      <c r="DJ33" s="320"/>
      <c r="DK33" s="373">
        <v>0</v>
      </c>
      <c r="DL33" s="373">
        <v>0</v>
      </c>
      <c r="DM33" s="373">
        <v>0</v>
      </c>
      <c r="DN33" s="373">
        <v>0</v>
      </c>
      <c r="DO33" s="373">
        <v>0</v>
      </c>
      <c r="DP33" s="373">
        <v>0</v>
      </c>
      <c r="DQ33" s="373">
        <v>0</v>
      </c>
      <c r="DR33" s="373">
        <v>0</v>
      </c>
      <c r="DS33" s="373">
        <v>0</v>
      </c>
      <c r="DT33" s="373">
        <v>0</v>
      </c>
      <c r="DU33" s="373">
        <v>0</v>
      </c>
      <c r="DV33" s="373">
        <v>0</v>
      </c>
      <c r="DW33" s="375">
        <f t="shared" si="93"/>
        <v>0</v>
      </c>
      <c r="DY33" s="373">
        <v>0</v>
      </c>
      <c r="DZ33" s="373">
        <v>0</v>
      </c>
      <c r="EA33" s="373">
        <v>0</v>
      </c>
      <c r="EB33" s="373">
        <v>0</v>
      </c>
      <c r="EC33" s="373">
        <v>0</v>
      </c>
      <c r="ED33" s="373">
        <v>0</v>
      </c>
      <c r="EE33" s="373">
        <v>0</v>
      </c>
      <c r="EF33" s="373">
        <v>0</v>
      </c>
      <c r="EG33" s="373">
        <v>0</v>
      </c>
      <c r="EH33" s="373">
        <v>0</v>
      </c>
      <c r="EI33" s="373">
        <v>0</v>
      </c>
      <c r="EJ33" s="373">
        <v>0</v>
      </c>
      <c r="EK33" s="375">
        <f t="shared" si="94"/>
        <v>0</v>
      </c>
      <c r="EL33" s="177"/>
      <c r="EM33" s="373">
        <v>0</v>
      </c>
      <c r="EN33" s="373">
        <v>0</v>
      </c>
      <c r="EO33" s="373">
        <v>0</v>
      </c>
      <c r="EP33" s="373">
        <v>0</v>
      </c>
      <c r="EQ33" s="373">
        <v>0</v>
      </c>
      <c r="ER33" s="373">
        <v>0</v>
      </c>
      <c r="ES33" s="373">
        <v>0</v>
      </c>
      <c r="ET33" s="373">
        <v>0</v>
      </c>
      <c r="EU33" s="373">
        <v>0</v>
      </c>
      <c r="EV33" s="373">
        <v>0</v>
      </c>
      <c r="EW33" s="373">
        <v>0</v>
      </c>
      <c r="EX33" s="373">
        <v>0</v>
      </c>
      <c r="EY33" s="375">
        <f t="shared" si="96"/>
        <v>0</v>
      </c>
      <c r="EZ33" s="164"/>
      <c r="FC33" s="185">
        <v>0</v>
      </c>
    </row>
    <row r="34" spans="1:159" ht="18.75" customHeight="1">
      <c r="A34" s="185" t="s">
        <v>598</v>
      </c>
      <c r="B34" s="176">
        <v>60104000</v>
      </c>
      <c r="C34" s="176" t="s">
        <v>1107</v>
      </c>
      <c r="D34" s="176" t="s">
        <v>113</v>
      </c>
      <c r="E34" s="324"/>
      <c r="F34" s="320" t="s">
        <v>628</v>
      </c>
      <c r="G34" s="320"/>
      <c r="H34" s="417">
        <v>0</v>
      </c>
      <c r="I34" s="417">
        <v>0</v>
      </c>
      <c r="J34" s="417">
        <v>0</v>
      </c>
      <c r="K34" s="417">
        <v>0</v>
      </c>
      <c r="L34" s="417">
        <v>0</v>
      </c>
      <c r="M34" s="417">
        <v>0</v>
      </c>
      <c r="N34" s="417">
        <v>0</v>
      </c>
      <c r="O34" s="417">
        <v>0</v>
      </c>
      <c r="P34" s="417">
        <v>0</v>
      </c>
      <c r="Q34" s="819">
        <v>0</v>
      </c>
      <c r="R34" s="417">
        <v>0</v>
      </c>
      <c r="S34" s="417">
        <v>1001518</v>
      </c>
      <c r="T34" s="402"/>
      <c r="U34" s="378">
        <f t="shared" si="81"/>
        <v>1001520</v>
      </c>
      <c r="V34" s="165">
        <f t="shared" si="82"/>
        <v>1</v>
      </c>
      <c r="W34" s="212"/>
      <c r="X34" s="417">
        <v>83460</v>
      </c>
      <c r="Y34" s="417">
        <v>83460</v>
      </c>
      <c r="Z34" s="417">
        <v>83460</v>
      </c>
      <c r="AA34" s="417">
        <v>83460</v>
      </c>
      <c r="AB34" s="417">
        <v>83460</v>
      </c>
      <c r="AC34" s="417">
        <v>83460</v>
      </c>
      <c r="AD34" s="417">
        <v>83460</v>
      </c>
      <c r="AE34" s="417">
        <v>83460</v>
      </c>
      <c r="AF34" s="417">
        <v>83460</v>
      </c>
      <c r="AG34" s="819">
        <v>83460</v>
      </c>
      <c r="AH34" s="417">
        <v>83460</v>
      </c>
      <c r="AI34" s="417">
        <v>83460</v>
      </c>
      <c r="AJ34" s="375">
        <f t="shared" si="83"/>
        <v>1001520</v>
      </c>
      <c r="AK34" s="212"/>
      <c r="AL34" s="417">
        <v>0</v>
      </c>
      <c r="AM34" s="417">
        <v>0</v>
      </c>
      <c r="AN34" s="417">
        <v>0</v>
      </c>
      <c r="AO34" s="417">
        <v>0</v>
      </c>
      <c r="AP34" s="417">
        <v>0</v>
      </c>
      <c r="AQ34" s="417">
        <v>0</v>
      </c>
      <c r="AR34" s="417">
        <v>0</v>
      </c>
      <c r="AS34" s="417">
        <v>0</v>
      </c>
      <c r="AT34" s="417">
        <v>0</v>
      </c>
      <c r="AU34" s="819">
        <v>0</v>
      </c>
      <c r="AV34" s="417">
        <v>0</v>
      </c>
      <c r="AW34" s="417">
        <v>1001518</v>
      </c>
      <c r="AX34" s="981">
        <f t="shared" si="84"/>
        <v>1001518</v>
      </c>
      <c r="AY34" s="378">
        <f t="shared" si="85"/>
        <v>-500759</v>
      </c>
      <c r="AZ34" s="165">
        <f t="shared" si="86"/>
        <v>-1</v>
      </c>
      <c r="BA34" s="212"/>
      <c r="BB34" s="417">
        <v>0</v>
      </c>
      <c r="BC34" s="417">
        <v>0</v>
      </c>
      <c r="BD34" s="417">
        <v>500759</v>
      </c>
      <c r="BE34" s="417">
        <v>0</v>
      </c>
      <c r="BF34" s="417">
        <v>0</v>
      </c>
      <c r="BG34" s="417">
        <v>0</v>
      </c>
      <c r="BH34" s="417">
        <v>0</v>
      </c>
      <c r="BI34" s="417">
        <v>0</v>
      </c>
      <c r="BJ34" s="417">
        <v>0</v>
      </c>
      <c r="BK34" s="819">
        <v>0</v>
      </c>
      <c r="BL34" s="417">
        <v>0</v>
      </c>
      <c r="BM34" s="417">
        <v>0</v>
      </c>
      <c r="BN34" s="375">
        <v>500759</v>
      </c>
      <c r="BO34" s="212"/>
      <c r="BP34" s="818">
        <v>166919.58333333334</v>
      </c>
      <c r="BQ34" s="818">
        <v>166919.58333333334</v>
      </c>
      <c r="BR34" s="818">
        <v>166919.58333333334</v>
      </c>
      <c r="BS34" s="818">
        <v>166919.58333333334</v>
      </c>
      <c r="BT34" s="818">
        <v>166919.58333333334</v>
      </c>
      <c r="BU34" s="818">
        <v>166919.58333333334</v>
      </c>
      <c r="BV34" s="818">
        <v>166919.58333333334</v>
      </c>
      <c r="BW34" s="818">
        <v>166919.58333333334</v>
      </c>
      <c r="BX34" s="818">
        <v>166919.58333333334</v>
      </c>
      <c r="BY34" s="818">
        <v>166919.58333333334</v>
      </c>
      <c r="BZ34" s="818">
        <v>166919.58333333334</v>
      </c>
      <c r="CA34" s="818">
        <v>166919.58333333349</v>
      </c>
      <c r="CB34" s="379">
        <f t="shared" si="87"/>
        <v>2003035</v>
      </c>
      <c r="CC34" s="378">
        <f t="shared" si="88"/>
        <v>1502276</v>
      </c>
      <c r="CD34" s="165">
        <f t="shared" si="89"/>
        <v>0.74999987518940003</v>
      </c>
      <c r="CE34" s="367"/>
      <c r="CF34" s="373">
        <v>221833.41999999998</v>
      </c>
      <c r="CG34" s="373">
        <v>221833.41999999998</v>
      </c>
      <c r="CH34" s="373">
        <v>221833.41999999998</v>
      </c>
      <c r="CI34" s="373">
        <v>221833.41999999998</v>
      </c>
      <c r="CJ34" s="373">
        <v>221833.41999999998</v>
      </c>
      <c r="CK34" s="373">
        <v>221833.41999999998</v>
      </c>
      <c r="CL34" s="373">
        <v>221833.42</v>
      </c>
      <c r="CM34" s="373">
        <v>221833.42</v>
      </c>
      <c r="CN34" s="373">
        <v>221833.42</v>
      </c>
      <c r="CO34" s="373">
        <v>221833.42</v>
      </c>
      <c r="CP34" s="373">
        <v>221833.42</v>
      </c>
      <c r="CQ34" s="373">
        <v>-1246642.5</v>
      </c>
      <c r="CR34" s="376"/>
      <c r="CS34" s="375">
        <f t="shared" si="90"/>
        <v>1193525.1199999996</v>
      </c>
      <c r="CT34" s="378">
        <f t="shared" si="95"/>
        <v>692766.11999999965</v>
      </c>
      <c r="CU34" s="165">
        <f t="shared" si="91"/>
        <v>0.58043698317803305</v>
      </c>
      <c r="CV34" s="320"/>
      <c r="CW34" s="373">
        <v>196784</v>
      </c>
      <c r="CX34" s="373">
        <v>198306</v>
      </c>
      <c r="CY34" s="373">
        <v>197545</v>
      </c>
      <c r="CZ34" s="373">
        <v>197545</v>
      </c>
      <c r="DA34" s="373">
        <v>197545</v>
      </c>
      <c r="DB34" s="373">
        <v>197545</v>
      </c>
      <c r="DC34" s="373">
        <v>197545</v>
      </c>
      <c r="DD34" s="373">
        <v>197545</v>
      </c>
      <c r="DE34" s="373">
        <v>197545</v>
      </c>
      <c r="DF34" s="373">
        <v>197545</v>
      </c>
      <c r="DG34" s="373">
        <v>197545</v>
      </c>
      <c r="DH34" s="373">
        <v>197545</v>
      </c>
      <c r="DI34" s="375">
        <f t="shared" si="92"/>
        <v>2370540</v>
      </c>
      <c r="DJ34" s="320"/>
      <c r="DK34" s="373">
        <v>147273</v>
      </c>
      <c r="DL34" s="373">
        <v>147273</v>
      </c>
      <c r="DM34" s="373">
        <v>147273</v>
      </c>
      <c r="DN34" s="373">
        <v>147273</v>
      </c>
      <c r="DO34" s="373">
        <v>147273</v>
      </c>
      <c r="DP34" s="373">
        <v>147273</v>
      </c>
      <c r="DQ34" s="373">
        <v>147273</v>
      </c>
      <c r="DR34" s="373">
        <v>147273</v>
      </c>
      <c r="DS34" s="373">
        <v>147273</v>
      </c>
      <c r="DT34" s="373">
        <v>147273</v>
      </c>
      <c r="DU34" s="373">
        <v>147273</v>
      </c>
      <c r="DV34" s="373">
        <v>147279</v>
      </c>
      <c r="DW34" s="375">
        <f t="shared" si="93"/>
        <v>1767282</v>
      </c>
      <c r="DY34" s="373">
        <v>0</v>
      </c>
      <c r="DZ34" s="373">
        <v>0</v>
      </c>
      <c r="EA34" s="373">
        <v>0</v>
      </c>
      <c r="EB34" s="373">
        <v>0</v>
      </c>
      <c r="EC34" s="373">
        <v>0</v>
      </c>
      <c r="ED34" s="373">
        <v>0</v>
      </c>
      <c r="EE34" s="373">
        <v>0</v>
      </c>
      <c r="EF34" s="373">
        <v>0</v>
      </c>
      <c r="EG34" s="373">
        <v>0</v>
      </c>
      <c r="EH34" s="373">
        <v>0</v>
      </c>
      <c r="EI34" s="373">
        <v>0</v>
      </c>
      <c r="EJ34" s="373">
        <v>0</v>
      </c>
      <c r="EK34" s="375">
        <f t="shared" si="94"/>
        <v>0</v>
      </c>
      <c r="EL34" s="177"/>
      <c r="EM34" s="373">
        <v>0</v>
      </c>
      <c r="EN34" s="373">
        <v>0</v>
      </c>
      <c r="EO34" s="373">
        <v>0</v>
      </c>
      <c r="EP34" s="373">
        <v>0</v>
      </c>
      <c r="EQ34" s="373">
        <v>0</v>
      </c>
      <c r="ER34" s="373">
        <v>0</v>
      </c>
      <c r="ES34" s="373">
        <v>0</v>
      </c>
      <c r="ET34" s="373">
        <v>0</v>
      </c>
      <c r="EU34" s="373">
        <v>0</v>
      </c>
      <c r="EV34" s="373">
        <v>0</v>
      </c>
      <c r="EW34" s="373">
        <v>0</v>
      </c>
      <c r="EX34" s="373">
        <v>0</v>
      </c>
      <c r="EY34" s="375">
        <f t="shared" si="96"/>
        <v>0</v>
      </c>
      <c r="EZ34" s="164"/>
      <c r="FC34" s="185">
        <v>0</v>
      </c>
    </row>
    <row r="35" spans="1:159" ht="18.75" customHeight="1">
      <c r="A35" s="185" t="s">
        <v>599</v>
      </c>
      <c r="B35" s="176">
        <v>60104100</v>
      </c>
      <c r="C35" s="176" t="s">
        <v>1107</v>
      </c>
      <c r="D35" s="176" t="s">
        <v>132</v>
      </c>
      <c r="E35" s="324"/>
      <c r="F35" s="320" t="s">
        <v>629</v>
      </c>
      <c r="G35" s="320"/>
      <c r="H35" s="417">
        <v>0</v>
      </c>
      <c r="I35" s="417">
        <v>0</v>
      </c>
      <c r="J35" s="417">
        <v>0</v>
      </c>
      <c r="K35" s="417">
        <v>0</v>
      </c>
      <c r="L35" s="417">
        <v>0</v>
      </c>
      <c r="M35" s="417">
        <v>0</v>
      </c>
      <c r="N35" s="417">
        <v>0</v>
      </c>
      <c r="O35" s="417">
        <v>0</v>
      </c>
      <c r="P35" s="417">
        <v>0</v>
      </c>
      <c r="Q35" s="819">
        <v>0</v>
      </c>
      <c r="R35" s="417">
        <v>0</v>
      </c>
      <c r="S35" s="417">
        <v>5700000</v>
      </c>
      <c r="T35" s="402"/>
      <c r="U35" s="378">
        <f t="shared" si="81"/>
        <v>5700000</v>
      </c>
      <c r="V35" s="165">
        <f t="shared" si="82"/>
        <v>1</v>
      </c>
      <c r="W35" s="212"/>
      <c r="X35" s="417">
        <v>475000</v>
      </c>
      <c r="Y35" s="417">
        <v>475000</v>
      </c>
      <c r="Z35" s="417">
        <v>475000</v>
      </c>
      <c r="AA35" s="417">
        <v>475000</v>
      </c>
      <c r="AB35" s="417">
        <v>475000</v>
      </c>
      <c r="AC35" s="417">
        <v>475000</v>
      </c>
      <c r="AD35" s="417">
        <v>475000</v>
      </c>
      <c r="AE35" s="417">
        <v>475000</v>
      </c>
      <c r="AF35" s="417">
        <v>475000</v>
      </c>
      <c r="AG35" s="819">
        <v>475000</v>
      </c>
      <c r="AH35" s="417">
        <v>475000</v>
      </c>
      <c r="AI35" s="417">
        <v>475000</v>
      </c>
      <c r="AJ35" s="375">
        <f t="shared" si="83"/>
        <v>5700000</v>
      </c>
      <c r="AK35" s="212"/>
      <c r="AL35" s="417">
        <v>0</v>
      </c>
      <c r="AM35" s="417">
        <v>0</v>
      </c>
      <c r="AN35" s="417">
        <v>0</v>
      </c>
      <c r="AO35" s="417">
        <v>0</v>
      </c>
      <c r="AP35" s="417">
        <v>0</v>
      </c>
      <c r="AQ35" s="417">
        <v>0</v>
      </c>
      <c r="AR35" s="417">
        <v>0</v>
      </c>
      <c r="AS35" s="417">
        <v>0</v>
      </c>
      <c r="AT35" s="417">
        <v>0</v>
      </c>
      <c r="AU35" s="819">
        <v>0</v>
      </c>
      <c r="AV35" s="417">
        <v>0</v>
      </c>
      <c r="AW35" s="417">
        <v>5700000</v>
      </c>
      <c r="AX35" s="981">
        <f t="shared" si="84"/>
        <v>5700000</v>
      </c>
      <c r="AY35" s="378">
        <f t="shared" si="85"/>
        <v>-5700000</v>
      </c>
      <c r="AZ35" s="165" t="e">
        <f t="shared" si="86"/>
        <v>#DIV/0!</v>
      </c>
      <c r="BA35" s="212"/>
      <c r="BB35" s="417">
        <v>475000</v>
      </c>
      <c r="BC35" s="417">
        <v>475000</v>
      </c>
      <c r="BD35" s="417">
        <v>475000</v>
      </c>
      <c r="BE35" s="417">
        <v>-1425000</v>
      </c>
      <c r="BF35" s="417">
        <v>0</v>
      </c>
      <c r="BG35" s="417">
        <v>0</v>
      </c>
      <c r="BH35" s="417">
        <v>0</v>
      </c>
      <c r="BI35" s="417">
        <v>0</v>
      </c>
      <c r="BJ35" s="417">
        <v>0</v>
      </c>
      <c r="BK35" s="819">
        <v>0</v>
      </c>
      <c r="BL35" s="417">
        <v>0</v>
      </c>
      <c r="BM35" s="417">
        <v>0</v>
      </c>
      <c r="BN35" s="375">
        <v>0</v>
      </c>
      <c r="BO35" s="212"/>
      <c r="BP35" s="818">
        <v>475000</v>
      </c>
      <c r="BQ35" s="818">
        <v>475000</v>
      </c>
      <c r="BR35" s="818">
        <v>475000</v>
      </c>
      <c r="BS35" s="818">
        <v>475000</v>
      </c>
      <c r="BT35" s="818">
        <v>475000</v>
      </c>
      <c r="BU35" s="818">
        <v>475000</v>
      </c>
      <c r="BV35" s="818">
        <v>475000</v>
      </c>
      <c r="BW35" s="818">
        <v>475000</v>
      </c>
      <c r="BX35" s="818">
        <v>475000</v>
      </c>
      <c r="BY35" s="818">
        <v>475000</v>
      </c>
      <c r="BZ35" s="818">
        <v>475000</v>
      </c>
      <c r="CA35" s="818">
        <v>475000</v>
      </c>
      <c r="CB35" s="379">
        <f t="shared" si="87"/>
        <v>5700000</v>
      </c>
      <c r="CC35" s="378">
        <f t="shared" si="88"/>
        <v>5700000</v>
      </c>
      <c r="CD35" s="165">
        <f t="shared" si="89"/>
        <v>1</v>
      </c>
      <c r="CE35" s="367"/>
      <c r="CF35" s="373">
        <v>475000</v>
      </c>
      <c r="CG35" s="373">
        <v>475000</v>
      </c>
      <c r="CH35" s="373">
        <v>475000</v>
      </c>
      <c r="CI35" s="373">
        <v>475000</v>
      </c>
      <c r="CJ35" s="373">
        <v>475000</v>
      </c>
      <c r="CK35" s="373">
        <v>475000</v>
      </c>
      <c r="CL35" s="373">
        <v>475000</v>
      </c>
      <c r="CM35" s="373">
        <v>475000</v>
      </c>
      <c r="CN35" s="373">
        <v>475000</v>
      </c>
      <c r="CO35" s="373">
        <v>475000</v>
      </c>
      <c r="CP35" s="373">
        <v>475000</v>
      </c>
      <c r="CQ35" s="373">
        <v>475000</v>
      </c>
      <c r="CR35" s="376"/>
      <c r="CS35" s="375">
        <f t="shared" si="90"/>
        <v>5700000</v>
      </c>
      <c r="CT35" s="378">
        <f t="shared" si="95"/>
        <v>5700000</v>
      </c>
      <c r="CU35" s="165">
        <f t="shared" si="91"/>
        <v>1</v>
      </c>
      <c r="CV35" s="320"/>
      <c r="CW35" s="373">
        <v>475000</v>
      </c>
      <c r="CX35" s="373">
        <v>475000</v>
      </c>
      <c r="CY35" s="373">
        <v>475000</v>
      </c>
      <c r="CZ35" s="373">
        <v>475000</v>
      </c>
      <c r="DA35" s="373">
        <v>475000</v>
      </c>
      <c r="DB35" s="373">
        <v>475000</v>
      </c>
      <c r="DC35" s="373">
        <v>475000</v>
      </c>
      <c r="DD35" s="373">
        <v>475000</v>
      </c>
      <c r="DE35" s="373">
        <v>475000</v>
      </c>
      <c r="DF35" s="373">
        <v>475000</v>
      </c>
      <c r="DG35" s="373">
        <v>475000</v>
      </c>
      <c r="DH35" s="373">
        <v>475000</v>
      </c>
      <c r="DI35" s="375">
        <f t="shared" si="92"/>
        <v>5700000</v>
      </c>
      <c r="DJ35" s="320"/>
      <c r="DK35" s="373">
        <v>475000</v>
      </c>
      <c r="DL35" s="373">
        <v>475000</v>
      </c>
      <c r="DM35" s="373">
        <v>475000</v>
      </c>
      <c r="DN35" s="373">
        <v>475000</v>
      </c>
      <c r="DO35" s="373">
        <v>475000</v>
      </c>
      <c r="DP35" s="373">
        <v>475000</v>
      </c>
      <c r="DQ35" s="373">
        <v>475000</v>
      </c>
      <c r="DR35" s="373">
        <v>475000</v>
      </c>
      <c r="DS35" s="373">
        <v>475000</v>
      </c>
      <c r="DT35" s="373">
        <v>475000</v>
      </c>
      <c r="DU35" s="373">
        <v>475000</v>
      </c>
      <c r="DV35" s="373">
        <v>475000</v>
      </c>
      <c r="DW35" s="375">
        <f t="shared" si="93"/>
        <v>5700000</v>
      </c>
      <c r="DY35" s="373">
        <v>0</v>
      </c>
      <c r="DZ35" s="373">
        <v>0</v>
      </c>
      <c r="EA35" s="373">
        <v>0</v>
      </c>
      <c r="EB35" s="373">
        <v>0</v>
      </c>
      <c r="EC35" s="373">
        <v>0</v>
      </c>
      <c r="ED35" s="373">
        <v>0</v>
      </c>
      <c r="EE35" s="373">
        <v>0</v>
      </c>
      <c r="EF35" s="373">
        <v>0</v>
      </c>
      <c r="EG35" s="373">
        <v>0</v>
      </c>
      <c r="EH35" s="373">
        <v>0</v>
      </c>
      <c r="EI35" s="373">
        <v>0</v>
      </c>
      <c r="EJ35" s="373">
        <v>0</v>
      </c>
      <c r="EK35" s="375">
        <f t="shared" si="94"/>
        <v>0</v>
      </c>
      <c r="EL35" s="177"/>
      <c r="EM35" s="373">
        <v>0</v>
      </c>
      <c r="EN35" s="373">
        <v>0</v>
      </c>
      <c r="EO35" s="373">
        <v>0</v>
      </c>
      <c r="EP35" s="373">
        <v>0</v>
      </c>
      <c r="EQ35" s="373">
        <v>0</v>
      </c>
      <c r="ER35" s="373">
        <v>0</v>
      </c>
      <c r="ES35" s="373">
        <v>0</v>
      </c>
      <c r="ET35" s="373">
        <v>0</v>
      </c>
      <c r="EU35" s="373">
        <v>0</v>
      </c>
      <c r="EV35" s="373">
        <v>0</v>
      </c>
      <c r="EW35" s="373">
        <v>0</v>
      </c>
      <c r="EX35" s="373">
        <v>0</v>
      </c>
      <c r="EY35" s="375">
        <f t="shared" si="96"/>
        <v>0</v>
      </c>
      <c r="EZ35" s="164"/>
      <c r="FC35" s="185">
        <v>0</v>
      </c>
    </row>
    <row r="36" spans="1:159" ht="18.75" customHeight="1">
      <c r="A36" s="185" t="s">
        <v>596</v>
      </c>
      <c r="B36" s="176">
        <v>60104200</v>
      </c>
      <c r="C36" s="176" t="s">
        <v>1107</v>
      </c>
      <c r="D36" s="176" t="s">
        <v>113</v>
      </c>
      <c r="E36" s="324"/>
      <c r="F36" s="320" t="s">
        <v>597</v>
      </c>
      <c r="G36" s="320"/>
      <c r="H36" s="417">
        <v>0</v>
      </c>
      <c r="I36" s="417">
        <v>0</v>
      </c>
      <c r="J36" s="417">
        <v>0</v>
      </c>
      <c r="K36" s="417">
        <v>0</v>
      </c>
      <c r="L36" s="417">
        <v>0</v>
      </c>
      <c r="M36" s="417">
        <v>0</v>
      </c>
      <c r="N36" s="417">
        <v>0</v>
      </c>
      <c r="O36" s="417">
        <v>0</v>
      </c>
      <c r="P36" s="417">
        <v>0</v>
      </c>
      <c r="Q36" s="819">
        <v>0</v>
      </c>
      <c r="R36" s="417">
        <v>0</v>
      </c>
      <c r="S36" s="417">
        <v>2472153.5146000003</v>
      </c>
      <c r="T36" s="402"/>
      <c r="U36" s="366">
        <f t="shared" si="81"/>
        <v>2208643.6500000004</v>
      </c>
      <c r="V36" s="165">
        <f t="shared" si="82"/>
        <v>1</v>
      </c>
      <c r="W36" s="212"/>
      <c r="X36" s="417">
        <v>188829.3</v>
      </c>
      <c r="Y36" s="417">
        <v>196355.91</v>
      </c>
      <c r="Z36" s="417">
        <v>212638.52</v>
      </c>
      <c r="AA36" s="417">
        <v>206489.79</v>
      </c>
      <c r="AB36" s="417">
        <v>212505.44</v>
      </c>
      <c r="AC36" s="417">
        <v>186331.53</v>
      </c>
      <c r="AD36" s="417">
        <v>171479.29</v>
      </c>
      <c r="AE36" s="417">
        <v>176413.51</v>
      </c>
      <c r="AF36" s="417">
        <v>166434.39000000001</v>
      </c>
      <c r="AG36" s="819">
        <v>161187.26999999999</v>
      </c>
      <c r="AH36" s="417">
        <v>164098.48000000001</v>
      </c>
      <c r="AI36" s="417">
        <v>165880.22</v>
      </c>
      <c r="AJ36" s="375">
        <f t="shared" si="83"/>
        <v>2208643.6500000004</v>
      </c>
      <c r="AK36" s="212"/>
      <c r="AL36" s="417">
        <v>0</v>
      </c>
      <c r="AM36" s="417">
        <v>0</v>
      </c>
      <c r="AN36" s="417">
        <v>0</v>
      </c>
      <c r="AO36" s="417">
        <v>0</v>
      </c>
      <c r="AP36" s="417">
        <v>0</v>
      </c>
      <c r="AQ36" s="417">
        <v>0</v>
      </c>
      <c r="AR36" s="417">
        <v>0</v>
      </c>
      <c r="AS36" s="417">
        <v>0</v>
      </c>
      <c r="AT36" s="417">
        <v>0</v>
      </c>
      <c r="AU36" s="819">
        <v>0</v>
      </c>
      <c r="AV36" s="417">
        <v>0</v>
      </c>
      <c r="AW36" s="417">
        <v>2472153.5146000003</v>
      </c>
      <c r="AX36" s="981">
        <f t="shared" si="84"/>
        <v>2472153.5146000003</v>
      </c>
      <c r="AY36" s="366">
        <f t="shared" si="85"/>
        <v>9989.6395666692406</v>
      </c>
      <c r="AZ36" s="165">
        <f t="shared" si="86"/>
        <v>4.0246025092872065E-3</v>
      </c>
      <c r="BA36" s="212"/>
      <c r="BB36" s="417">
        <v>221255.95</v>
      </c>
      <c r="BC36" s="417">
        <v>221255.95</v>
      </c>
      <c r="BD36" s="417">
        <v>221255.95</v>
      </c>
      <c r="BE36" s="417">
        <v>221255.95</v>
      </c>
      <c r="BF36" s="417">
        <v>225272.56</v>
      </c>
      <c r="BG36" s="417">
        <v>221255.95</v>
      </c>
      <c r="BH36" s="417">
        <v>221255.95</v>
      </c>
      <c r="BI36" s="417">
        <v>283109.01</v>
      </c>
      <c r="BJ36" s="417">
        <v>264114.78999999998</v>
      </c>
      <c r="BK36" s="819">
        <v>221456.85</v>
      </c>
      <c r="BL36" s="417">
        <v>188342.28</v>
      </c>
      <c r="BM36" s="417">
        <v>201669.06</v>
      </c>
      <c r="BN36" s="375">
        <v>2482143.1541666696</v>
      </c>
      <c r="BO36" s="212"/>
      <c r="BP36" s="818">
        <v>228269.08333333334</v>
      </c>
      <c r="BQ36" s="818">
        <v>228269.08333333334</v>
      </c>
      <c r="BR36" s="818">
        <v>228269.08333333334</v>
      </c>
      <c r="BS36" s="818">
        <v>228269.08333333334</v>
      </c>
      <c r="BT36" s="818">
        <v>228269.08333333334</v>
      </c>
      <c r="BU36" s="818">
        <v>228269.08333333334</v>
      </c>
      <c r="BV36" s="818">
        <v>228269.08333333334</v>
      </c>
      <c r="BW36" s="818">
        <v>228269.08333333334</v>
      </c>
      <c r="BX36" s="818">
        <v>228269.08333333334</v>
      </c>
      <c r="BY36" s="818">
        <v>228269.08333333334</v>
      </c>
      <c r="BZ36" s="818">
        <v>228269.08333333334</v>
      </c>
      <c r="CA36" s="818">
        <v>228269.08333333349</v>
      </c>
      <c r="CB36" s="375">
        <f t="shared" si="87"/>
        <v>2739229</v>
      </c>
      <c r="CC36" s="366">
        <f t="shared" si="88"/>
        <v>257085.84583333042</v>
      </c>
      <c r="CD36" s="165">
        <f t="shared" si="89"/>
        <v>9.3853360136494771E-2</v>
      </c>
      <c r="CE36" s="367"/>
      <c r="CF36" s="373">
        <v>219645.43000000002</v>
      </c>
      <c r="CG36" s="373">
        <v>228307.9</v>
      </c>
      <c r="CH36" s="373">
        <v>232706.21</v>
      </c>
      <c r="CI36" s="373">
        <v>230725.38</v>
      </c>
      <c r="CJ36" s="373">
        <v>252956.09</v>
      </c>
      <c r="CK36" s="373">
        <v>247641.49</v>
      </c>
      <c r="CL36" s="373">
        <v>224523.83999999997</v>
      </c>
      <c r="CM36" s="373">
        <v>220623.26</v>
      </c>
      <c r="CN36" s="373">
        <v>216894.57</v>
      </c>
      <c r="CO36" s="373">
        <v>217846.08000000002</v>
      </c>
      <c r="CP36" s="373">
        <v>215229.49000000002</v>
      </c>
      <c r="CQ36" s="373">
        <v>221255.95000000004</v>
      </c>
      <c r="CR36" s="376"/>
      <c r="CS36" s="375">
        <f t="shared" si="90"/>
        <v>2728355.6900000004</v>
      </c>
      <c r="CT36" s="378">
        <f t="shared" si="95"/>
        <v>246212.53583333082</v>
      </c>
      <c r="CU36" s="165">
        <f t="shared" si="91"/>
        <v>9.0242095902580352E-2</v>
      </c>
      <c r="CV36" s="320"/>
      <c r="CW36" s="373">
        <v>0</v>
      </c>
      <c r="CX36" s="373">
        <v>0</v>
      </c>
      <c r="CY36" s="373">
        <v>0</v>
      </c>
      <c r="CZ36" s="373">
        <v>0</v>
      </c>
      <c r="DA36" s="373">
        <v>1014487.94</v>
      </c>
      <c r="DB36" s="373">
        <v>205242.49</v>
      </c>
      <c r="DC36" s="373">
        <v>216258.85</v>
      </c>
      <c r="DD36" s="373">
        <v>214479.18</v>
      </c>
      <c r="DE36" s="373">
        <v>223393.5</v>
      </c>
      <c r="DF36" s="373">
        <v>277496.52</v>
      </c>
      <c r="DG36" s="373">
        <v>223056.53</v>
      </c>
      <c r="DH36" s="373">
        <v>244766.84000000003</v>
      </c>
      <c r="DI36" s="375">
        <f t="shared" si="92"/>
        <v>2619181.8499999996</v>
      </c>
      <c r="DJ36" s="320"/>
      <c r="DK36" s="373">
        <v>0</v>
      </c>
      <c r="DL36" s="373">
        <v>0</v>
      </c>
      <c r="DM36" s="373">
        <v>0</v>
      </c>
      <c r="DN36" s="373">
        <v>0</v>
      </c>
      <c r="DO36" s="373">
        <v>0</v>
      </c>
      <c r="DP36" s="373">
        <v>0</v>
      </c>
      <c r="DQ36" s="373">
        <v>0</v>
      </c>
      <c r="DR36" s="373">
        <v>0</v>
      </c>
      <c r="DS36" s="373">
        <v>0</v>
      </c>
      <c r="DT36" s="373">
        <v>0</v>
      </c>
      <c r="DU36" s="373">
        <v>0</v>
      </c>
      <c r="DV36" s="373">
        <v>0</v>
      </c>
      <c r="DW36" s="375">
        <f t="shared" si="93"/>
        <v>0</v>
      </c>
      <c r="DY36" s="373">
        <v>0</v>
      </c>
      <c r="DZ36" s="373">
        <v>0</v>
      </c>
      <c r="EA36" s="373">
        <v>0</v>
      </c>
      <c r="EB36" s="373">
        <v>0</v>
      </c>
      <c r="EC36" s="373">
        <v>0</v>
      </c>
      <c r="ED36" s="373">
        <v>0</v>
      </c>
      <c r="EE36" s="373">
        <v>0</v>
      </c>
      <c r="EF36" s="373">
        <v>0</v>
      </c>
      <c r="EG36" s="373">
        <v>0</v>
      </c>
      <c r="EH36" s="373">
        <v>0</v>
      </c>
      <c r="EI36" s="373">
        <v>0</v>
      </c>
      <c r="EJ36" s="373">
        <v>0</v>
      </c>
      <c r="EK36" s="375">
        <f t="shared" si="94"/>
        <v>0</v>
      </c>
      <c r="EL36" s="177"/>
      <c r="EM36" s="373">
        <v>0</v>
      </c>
      <c r="EN36" s="373">
        <v>0</v>
      </c>
      <c r="EO36" s="373">
        <v>0</v>
      </c>
      <c r="EP36" s="373">
        <v>0</v>
      </c>
      <c r="EQ36" s="373">
        <v>0</v>
      </c>
      <c r="ER36" s="373">
        <v>0</v>
      </c>
      <c r="ES36" s="373">
        <v>0</v>
      </c>
      <c r="ET36" s="373">
        <v>0</v>
      </c>
      <c r="EU36" s="373">
        <v>0</v>
      </c>
      <c r="EV36" s="373">
        <v>0</v>
      </c>
      <c r="EW36" s="373">
        <v>0</v>
      </c>
      <c r="EX36" s="373">
        <v>0</v>
      </c>
      <c r="EY36" s="375">
        <f t="shared" si="96"/>
        <v>0</v>
      </c>
      <c r="EZ36" s="164"/>
      <c r="FC36" s="185">
        <v>0</v>
      </c>
    </row>
    <row r="37" spans="1:159" ht="18.75" hidden="1" customHeight="1" outlineLevel="1">
      <c r="A37" s="185" t="s">
        <v>329</v>
      </c>
      <c r="B37" s="176">
        <v>60105000</v>
      </c>
      <c r="C37" s="176" t="s">
        <v>109</v>
      </c>
      <c r="D37" s="176" t="s">
        <v>109</v>
      </c>
      <c r="E37" s="324"/>
      <c r="F37" s="320" t="s">
        <v>630</v>
      </c>
      <c r="G37" s="320"/>
      <c r="H37" s="417">
        <v>0</v>
      </c>
      <c r="I37" s="417">
        <v>0</v>
      </c>
      <c r="J37" s="417">
        <v>0</v>
      </c>
      <c r="K37" s="417">
        <v>0</v>
      </c>
      <c r="L37" s="417">
        <v>0</v>
      </c>
      <c r="M37" s="417">
        <v>0</v>
      </c>
      <c r="N37" s="417">
        <v>0</v>
      </c>
      <c r="O37" s="417">
        <v>0</v>
      </c>
      <c r="P37" s="417">
        <v>0</v>
      </c>
      <c r="Q37" s="819">
        <v>0</v>
      </c>
      <c r="R37" s="417">
        <v>0</v>
      </c>
      <c r="S37" s="417">
        <v>0</v>
      </c>
      <c r="T37" s="402"/>
      <c r="U37" s="366">
        <f t="shared" si="81"/>
        <v>0</v>
      </c>
      <c r="V37" s="165" t="e">
        <f t="shared" si="82"/>
        <v>#DIV/0!</v>
      </c>
      <c r="W37" s="212"/>
      <c r="X37" s="417">
        <v>0</v>
      </c>
      <c r="Y37" s="417">
        <v>0</v>
      </c>
      <c r="Z37" s="417">
        <v>0</v>
      </c>
      <c r="AA37" s="417">
        <v>0</v>
      </c>
      <c r="AB37" s="417">
        <v>0</v>
      </c>
      <c r="AC37" s="417">
        <v>0</v>
      </c>
      <c r="AD37" s="417">
        <v>0</v>
      </c>
      <c r="AE37" s="417">
        <v>0</v>
      </c>
      <c r="AF37" s="417">
        <v>0</v>
      </c>
      <c r="AG37" s="819">
        <v>0</v>
      </c>
      <c r="AH37" s="417">
        <v>0</v>
      </c>
      <c r="AI37" s="417">
        <v>0</v>
      </c>
      <c r="AJ37" s="375">
        <f t="shared" si="83"/>
        <v>0</v>
      </c>
      <c r="AK37" s="212"/>
      <c r="AL37" s="417">
        <v>0</v>
      </c>
      <c r="AM37" s="417">
        <v>0</v>
      </c>
      <c r="AN37" s="417">
        <v>0</v>
      </c>
      <c r="AO37" s="417">
        <v>0</v>
      </c>
      <c r="AP37" s="417">
        <v>0</v>
      </c>
      <c r="AQ37" s="417">
        <v>0</v>
      </c>
      <c r="AR37" s="417">
        <v>0</v>
      </c>
      <c r="AS37" s="417">
        <v>0</v>
      </c>
      <c r="AT37" s="417">
        <v>0</v>
      </c>
      <c r="AU37" s="819">
        <v>0</v>
      </c>
      <c r="AV37" s="417">
        <v>0</v>
      </c>
      <c r="AW37" s="417">
        <v>0</v>
      </c>
      <c r="AX37" s="375">
        <f t="shared" si="84"/>
        <v>0</v>
      </c>
      <c r="AY37" s="366">
        <f t="shared" si="85"/>
        <v>0</v>
      </c>
      <c r="AZ37" s="165" t="e">
        <f t="shared" si="86"/>
        <v>#DIV/0!</v>
      </c>
      <c r="BA37" s="212"/>
      <c r="BB37" s="417">
        <v>0</v>
      </c>
      <c r="BC37" s="417">
        <v>0</v>
      </c>
      <c r="BD37" s="417">
        <v>0</v>
      </c>
      <c r="BE37" s="417">
        <v>0</v>
      </c>
      <c r="BF37" s="417">
        <v>0</v>
      </c>
      <c r="BG37" s="417">
        <v>0</v>
      </c>
      <c r="BH37" s="417">
        <v>-27830</v>
      </c>
      <c r="BI37" s="417">
        <v>27830</v>
      </c>
      <c r="BJ37" s="417">
        <v>0</v>
      </c>
      <c r="BK37" s="819">
        <v>0</v>
      </c>
      <c r="BL37" s="417">
        <v>0</v>
      </c>
      <c r="BM37" s="417">
        <v>0</v>
      </c>
      <c r="BN37" s="375">
        <v>0</v>
      </c>
      <c r="BO37" s="212"/>
      <c r="BP37" s="818">
        <v>0</v>
      </c>
      <c r="BQ37" s="818">
        <v>0</v>
      </c>
      <c r="BR37" s="818">
        <v>0</v>
      </c>
      <c r="BS37" s="818">
        <v>0</v>
      </c>
      <c r="BT37" s="818">
        <v>0</v>
      </c>
      <c r="BU37" s="818">
        <v>0</v>
      </c>
      <c r="BV37" s="818">
        <v>0</v>
      </c>
      <c r="BW37" s="818">
        <v>0</v>
      </c>
      <c r="BX37" s="818">
        <v>0</v>
      </c>
      <c r="BY37" s="818">
        <v>0</v>
      </c>
      <c r="BZ37" s="818">
        <v>0</v>
      </c>
      <c r="CA37" s="818">
        <v>0</v>
      </c>
      <c r="CB37" s="375">
        <f t="shared" si="87"/>
        <v>0</v>
      </c>
      <c r="CC37" s="366">
        <f t="shared" si="88"/>
        <v>0</v>
      </c>
      <c r="CD37" s="165" t="str">
        <f t="shared" si="89"/>
        <v>N/A</v>
      </c>
      <c r="CE37" s="367"/>
      <c r="CF37" s="373">
        <v>0</v>
      </c>
      <c r="CG37" s="373">
        <v>0</v>
      </c>
      <c r="CH37" s="373">
        <v>0</v>
      </c>
      <c r="CI37" s="373">
        <v>0</v>
      </c>
      <c r="CJ37" s="373">
        <v>0</v>
      </c>
      <c r="CK37" s="373">
        <v>0</v>
      </c>
      <c r="CL37" s="373">
        <v>0</v>
      </c>
      <c r="CM37" s="373">
        <v>0</v>
      </c>
      <c r="CN37" s="373">
        <v>0</v>
      </c>
      <c r="CO37" s="373">
        <v>0</v>
      </c>
      <c r="CP37" s="373">
        <v>0</v>
      </c>
      <c r="CQ37" s="373">
        <v>0</v>
      </c>
      <c r="CR37" s="376"/>
      <c r="CS37" s="375">
        <f t="shared" si="90"/>
        <v>0</v>
      </c>
      <c r="CT37" s="378">
        <f t="shared" si="95"/>
        <v>0</v>
      </c>
      <c r="CU37" s="165" t="str">
        <f t="shared" si="91"/>
        <v>N/A</v>
      </c>
      <c r="CV37" s="320"/>
      <c r="CW37" s="373">
        <v>0</v>
      </c>
      <c r="CX37" s="373">
        <v>0</v>
      </c>
      <c r="CY37" s="373">
        <v>0</v>
      </c>
      <c r="CZ37" s="373">
        <v>0</v>
      </c>
      <c r="DA37" s="373">
        <v>0</v>
      </c>
      <c r="DB37" s="373">
        <v>0</v>
      </c>
      <c r="DC37" s="373">
        <v>0</v>
      </c>
      <c r="DD37" s="373">
        <v>0</v>
      </c>
      <c r="DE37" s="373">
        <v>0</v>
      </c>
      <c r="DF37" s="373">
        <v>0</v>
      </c>
      <c r="DG37" s="373">
        <v>0</v>
      </c>
      <c r="DH37" s="373">
        <v>0</v>
      </c>
      <c r="DI37" s="375">
        <f t="shared" si="92"/>
        <v>0</v>
      </c>
      <c r="DJ37" s="320"/>
      <c r="DK37" s="373">
        <v>31600</v>
      </c>
      <c r="DL37" s="373">
        <v>31600</v>
      </c>
      <c r="DM37" s="373">
        <v>0</v>
      </c>
      <c r="DN37" s="373">
        <v>0</v>
      </c>
      <c r="DO37" s="373">
        <v>0</v>
      </c>
      <c r="DP37" s="373">
        <v>0</v>
      </c>
      <c r="DQ37" s="373">
        <v>7150</v>
      </c>
      <c r="DR37" s="373">
        <v>0</v>
      </c>
      <c r="DS37" s="373">
        <v>15999.999999999998</v>
      </c>
      <c r="DT37" s="373">
        <v>0</v>
      </c>
      <c r="DU37" s="373">
        <v>0</v>
      </c>
      <c r="DV37" s="373">
        <v>0</v>
      </c>
      <c r="DW37" s="375">
        <f t="shared" si="93"/>
        <v>86350</v>
      </c>
      <c r="DY37" s="373">
        <v>0</v>
      </c>
      <c r="DZ37" s="373">
        <v>0</v>
      </c>
      <c r="EA37" s="373">
        <v>0</v>
      </c>
      <c r="EB37" s="373">
        <v>0</v>
      </c>
      <c r="EC37" s="373">
        <v>0</v>
      </c>
      <c r="ED37" s="373">
        <v>0</v>
      </c>
      <c r="EE37" s="373">
        <v>0</v>
      </c>
      <c r="EF37" s="373">
        <v>0</v>
      </c>
      <c r="EG37" s="373">
        <v>0</v>
      </c>
      <c r="EH37" s="373">
        <v>0</v>
      </c>
      <c r="EI37" s="373">
        <v>0</v>
      </c>
      <c r="EJ37" s="373">
        <v>0</v>
      </c>
      <c r="EK37" s="375">
        <f t="shared" si="94"/>
        <v>0</v>
      </c>
      <c r="EL37" s="177"/>
      <c r="EM37" s="373">
        <v>0</v>
      </c>
      <c r="EN37" s="373">
        <v>0</v>
      </c>
      <c r="EO37" s="373">
        <v>0</v>
      </c>
      <c r="EP37" s="373">
        <v>0</v>
      </c>
      <c r="EQ37" s="373">
        <v>0</v>
      </c>
      <c r="ER37" s="373">
        <v>0</v>
      </c>
      <c r="ES37" s="373">
        <v>0</v>
      </c>
      <c r="ET37" s="373">
        <v>0</v>
      </c>
      <c r="EU37" s="373">
        <v>0</v>
      </c>
      <c r="EV37" s="373">
        <v>0</v>
      </c>
      <c r="EW37" s="373">
        <v>0</v>
      </c>
      <c r="EX37" s="373">
        <v>0</v>
      </c>
      <c r="EY37" s="375">
        <f t="shared" si="96"/>
        <v>0</v>
      </c>
      <c r="EZ37" s="164"/>
      <c r="FC37" s="185">
        <v>0</v>
      </c>
    </row>
    <row r="38" spans="1:159" ht="18.75" customHeight="1" collapsed="1">
      <c r="A38" s="185" t="s">
        <v>600</v>
      </c>
      <c r="B38" s="176">
        <v>60106000</v>
      </c>
      <c r="C38" s="176" t="s">
        <v>109</v>
      </c>
      <c r="D38" s="176" t="s">
        <v>109</v>
      </c>
      <c r="E38" s="324"/>
      <c r="F38" s="320" t="s">
        <v>631</v>
      </c>
      <c r="G38" s="320"/>
      <c r="H38" s="417">
        <v>0</v>
      </c>
      <c r="I38" s="417">
        <v>0</v>
      </c>
      <c r="J38" s="417">
        <v>0</v>
      </c>
      <c r="K38" s="417">
        <v>0</v>
      </c>
      <c r="L38" s="417">
        <v>0</v>
      </c>
      <c r="M38" s="417">
        <v>0</v>
      </c>
      <c r="N38" s="417">
        <v>0</v>
      </c>
      <c r="O38" s="417">
        <v>0</v>
      </c>
      <c r="P38" s="417">
        <v>0</v>
      </c>
      <c r="Q38" s="819">
        <v>0</v>
      </c>
      <c r="R38" s="417">
        <v>0</v>
      </c>
      <c r="S38" s="417">
        <v>716556.7523602033</v>
      </c>
      <c r="T38" s="402"/>
      <c r="U38" s="366">
        <f t="shared" si="81"/>
        <v>498047.46</v>
      </c>
      <c r="V38" s="165">
        <f t="shared" si="82"/>
        <v>1</v>
      </c>
      <c r="W38" s="212"/>
      <c r="X38" s="417">
        <v>0</v>
      </c>
      <c r="Y38" s="417">
        <v>15110.02</v>
      </c>
      <c r="Z38" s="417">
        <v>4691</v>
      </c>
      <c r="AA38" s="417">
        <v>2931</v>
      </c>
      <c r="AB38" s="417">
        <v>5121</v>
      </c>
      <c r="AC38" s="417">
        <v>18163</v>
      </c>
      <c r="AD38" s="417">
        <v>25685.29</v>
      </c>
      <c r="AE38" s="417">
        <v>26975.29</v>
      </c>
      <c r="AF38" s="417">
        <v>25685.29</v>
      </c>
      <c r="AG38" s="819">
        <v>26125.29</v>
      </c>
      <c r="AH38" s="417">
        <v>26125.279999999999</v>
      </c>
      <c r="AI38" s="417">
        <v>321435</v>
      </c>
      <c r="AJ38" s="375">
        <f t="shared" si="83"/>
        <v>498047.46</v>
      </c>
      <c r="AK38" s="212"/>
      <c r="AL38" s="417">
        <v>0</v>
      </c>
      <c r="AM38" s="417">
        <v>0</v>
      </c>
      <c r="AN38" s="417">
        <v>0</v>
      </c>
      <c r="AO38" s="417">
        <v>0</v>
      </c>
      <c r="AP38" s="417">
        <v>0</v>
      </c>
      <c r="AQ38" s="417">
        <v>0</v>
      </c>
      <c r="AR38" s="417">
        <v>0</v>
      </c>
      <c r="AS38" s="417">
        <v>0</v>
      </c>
      <c r="AT38" s="417">
        <v>0</v>
      </c>
      <c r="AU38" s="819">
        <v>0</v>
      </c>
      <c r="AV38" s="417">
        <v>0</v>
      </c>
      <c r="AW38" s="417">
        <v>716556.7523602033</v>
      </c>
      <c r="AX38" s="375">
        <f t="shared" si="84"/>
        <v>716556.7523602033</v>
      </c>
      <c r="AY38" s="366">
        <f t="shared" si="85"/>
        <v>-598961.28912389011</v>
      </c>
      <c r="AZ38" s="165">
        <f t="shared" si="86"/>
        <v>-5.0934047338225215</v>
      </c>
      <c r="BA38" s="212"/>
      <c r="BB38" s="417">
        <v>8098.4</v>
      </c>
      <c r="BC38" s="417">
        <v>7668.4</v>
      </c>
      <c r="BD38" s="417">
        <v>7238.4</v>
      </c>
      <c r="BE38" s="417">
        <v>7238.4</v>
      </c>
      <c r="BF38" s="417">
        <v>7238.4</v>
      </c>
      <c r="BG38" s="417">
        <v>7238.4</v>
      </c>
      <c r="BH38" s="417">
        <v>7238.4</v>
      </c>
      <c r="BI38" s="417">
        <v>9938.4</v>
      </c>
      <c r="BJ38" s="417">
        <v>7238.4</v>
      </c>
      <c r="BK38" s="819">
        <v>7238.4</v>
      </c>
      <c r="BL38" s="417">
        <v>28124.400000000001</v>
      </c>
      <c r="BM38" s="417">
        <v>8998.4</v>
      </c>
      <c r="BN38" s="375">
        <v>117595.46323631323</v>
      </c>
      <c r="BO38" s="212"/>
      <c r="BP38" s="818">
        <v>13097.063236313234</v>
      </c>
      <c r="BQ38" s="818">
        <v>13097.063236313234</v>
      </c>
      <c r="BR38" s="818">
        <v>13097.063236313234</v>
      </c>
      <c r="BS38" s="818">
        <v>13097.063236313234</v>
      </c>
      <c r="BT38" s="818">
        <v>13097.063236313234</v>
      </c>
      <c r="BU38" s="818">
        <v>13097.063236313234</v>
      </c>
      <c r="BV38" s="818">
        <v>13097.063236313234</v>
      </c>
      <c r="BW38" s="818">
        <v>13097.063236313234</v>
      </c>
      <c r="BX38" s="818">
        <v>13097.063236313234</v>
      </c>
      <c r="BY38" s="818">
        <v>13097.063236313234</v>
      </c>
      <c r="BZ38" s="818">
        <v>13097.063236313234</v>
      </c>
      <c r="CA38" s="818">
        <v>13097.063236313232</v>
      </c>
      <c r="CB38" s="375">
        <f t="shared" si="87"/>
        <v>157164.75883575881</v>
      </c>
      <c r="CC38" s="366">
        <f t="shared" si="88"/>
        <v>39569.295599445584</v>
      </c>
      <c r="CD38" s="165">
        <f t="shared" si="89"/>
        <v>0.25176951813222015</v>
      </c>
      <c r="CE38" s="367"/>
      <c r="CF38" s="373">
        <v>1248</v>
      </c>
      <c r="CG38" s="373">
        <v>3089</v>
      </c>
      <c r="CH38" s="373">
        <v>1668</v>
      </c>
      <c r="CI38" s="373">
        <v>15732</v>
      </c>
      <c r="CJ38" s="373">
        <v>2940</v>
      </c>
      <c r="CK38" s="373">
        <v>0</v>
      </c>
      <c r="CL38" s="373">
        <v>0</v>
      </c>
      <c r="CM38" s="373">
        <v>0</v>
      </c>
      <c r="CN38" s="373">
        <v>15340</v>
      </c>
      <c r="CO38" s="373">
        <v>1290</v>
      </c>
      <c r="CP38" s="373">
        <v>0</v>
      </c>
      <c r="CQ38" s="373">
        <v>3520</v>
      </c>
      <c r="CR38" s="376"/>
      <c r="CS38" s="375">
        <f t="shared" si="90"/>
        <v>44827</v>
      </c>
      <c r="CT38" s="378">
        <f t="shared" si="95"/>
        <v>-72768.463236313226</v>
      </c>
      <c r="CU38" s="165">
        <f t="shared" si="91"/>
        <v>-1.623317715580191</v>
      </c>
      <c r="CV38" s="320"/>
      <c r="CW38" s="373">
        <v>5295</v>
      </c>
      <c r="CX38" s="373">
        <v>7125</v>
      </c>
      <c r="CY38" s="373">
        <v>5295</v>
      </c>
      <c r="CZ38" s="373">
        <v>4875</v>
      </c>
      <c r="DA38" s="373">
        <v>4035</v>
      </c>
      <c r="DB38" s="373">
        <v>5625</v>
      </c>
      <c r="DC38" s="373">
        <v>4875</v>
      </c>
      <c r="DD38" s="373">
        <v>4875</v>
      </c>
      <c r="DE38" s="373">
        <v>6575</v>
      </c>
      <c r="DF38" s="373">
        <v>4875</v>
      </c>
      <c r="DG38" s="373">
        <v>4875</v>
      </c>
      <c r="DH38" s="373">
        <v>225185.9</v>
      </c>
      <c r="DI38" s="375">
        <f t="shared" si="92"/>
        <v>283510.90000000002</v>
      </c>
      <c r="DJ38" s="320"/>
      <c r="DK38" s="373">
        <v>513575.99999999994</v>
      </c>
      <c r="DL38" s="373">
        <v>283650</v>
      </c>
      <c r="DM38" s="373">
        <v>0</v>
      </c>
      <c r="DN38" s="373">
        <v>236400</v>
      </c>
      <c r="DO38" s="373">
        <v>233381</v>
      </c>
      <c r="DP38" s="373">
        <v>0</v>
      </c>
      <c r="DQ38" s="373">
        <v>1250</v>
      </c>
      <c r="DR38" s="373">
        <v>0</v>
      </c>
      <c r="DS38" s="373">
        <v>0</v>
      </c>
      <c r="DT38" s="373">
        <v>60000</v>
      </c>
      <c r="DU38" s="373">
        <v>342185.88</v>
      </c>
      <c r="DV38" s="373">
        <v>0</v>
      </c>
      <c r="DW38" s="375">
        <f t="shared" si="93"/>
        <v>1670442.88</v>
      </c>
      <c r="DY38" s="373">
        <v>0</v>
      </c>
      <c r="DZ38" s="373">
        <v>0</v>
      </c>
      <c r="EA38" s="373">
        <v>0</v>
      </c>
      <c r="EB38" s="373">
        <v>0</v>
      </c>
      <c r="EC38" s="373">
        <v>0</v>
      </c>
      <c r="ED38" s="373">
        <v>0</v>
      </c>
      <c r="EE38" s="373">
        <v>0</v>
      </c>
      <c r="EF38" s="373">
        <v>0</v>
      </c>
      <c r="EG38" s="373">
        <v>0</v>
      </c>
      <c r="EH38" s="373">
        <v>0</v>
      </c>
      <c r="EI38" s="373">
        <v>200000.00000000003</v>
      </c>
      <c r="EJ38" s="373">
        <v>200000.00000000003</v>
      </c>
      <c r="EK38" s="375">
        <f t="shared" si="94"/>
        <v>400000.00000000006</v>
      </c>
      <c r="EL38" s="177"/>
      <c r="EM38" s="373">
        <v>0</v>
      </c>
      <c r="EN38" s="373">
        <v>0</v>
      </c>
      <c r="EO38" s="373">
        <v>0</v>
      </c>
      <c r="EP38" s="373">
        <v>0</v>
      </c>
      <c r="EQ38" s="373">
        <v>0</v>
      </c>
      <c r="ER38" s="373">
        <v>0</v>
      </c>
      <c r="ES38" s="373">
        <v>0</v>
      </c>
      <c r="ET38" s="373">
        <v>0</v>
      </c>
      <c r="EU38" s="373">
        <v>0</v>
      </c>
      <c r="EV38" s="373">
        <v>0</v>
      </c>
      <c r="EW38" s="373">
        <v>0</v>
      </c>
      <c r="EX38" s="373">
        <v>0</v>
      </c>
      <c r="EY38" s="375">
        <f t="shared" si="96"/>
        <v>0</v>
      </c>
      <c r="EZ38" s="164"/>
      <c r="FC38" s="185">
        <v>0</v>
      </c>
    </row>
    <row r="39" spans="1:159" ht="18.75" customHeight="1">
      <c r="A39" s="185" t="s">
        <v>329</v>
      </c>
      <c r="B39" s="176">
        <v>60107000</v>
      </c>
      <c r="C39" s="176" t="s">
        <v>109</v>
      </c>
      <c r="D39" s="176" t="s">
        <v>109</v>
      </c>
      <c r="E39" s="324"/>
      <c r="F39" s="320" t="s">
        <v>632</v>
      </c>
      <c r="G39" s="320"/>
      <c r="H39" s="417">
        <v>150</v>
      </c>
      <c r="I39" s="417">
        <v>150</v>
      </c>
      <c r="J39" s="417">
        <v>3000</v>
      </c>
      <c r="K39" s="417">
        <v>150</v>
      </c>
      <c r="L39" s="417">
        <v>150</v>
      </c>
      <c r="M39" s="417">
        <v>3000</v>
      </c>
      <c r="N39" s="417">
        <v>150</v>
      </c>
      <c r="O39" s="417">
        <v>150</v>
      </c>
      <c r="P39" s="417">
        <v>3000</v>
      </c>
      <c r="Q39" s="819">
        <v>150</v>
      </c>
      <c r="R39" s="417">
        <v>150</v>
      </c>
      <c r="S39" s="417">
        <v>7720</v>
      </c>
      <c r="T39" s="402"/>
      <c r="U39" s="366">
        <f t="shared" si="81"/>
        <v>0</v>
      </c>
      <c r="V39" s="165" t="e">
        <f t="shared" si="82"/>
        <v>#DIV/0!</v>
      </c>
      <c r="W39" s="212"/>
      <c r="X39" s="417">
        <v>0</v>
      </c>
      <c r="Y39" s="417">
        <v>0</v>
      </c>
      <c r="Z39" s="417">
        <v>0</v>
      </c>
      <c r="AA39" s="417">
        <v>0</v>
      </c>
      <c r="AB39" s="417">
        <v>0</v>
      </c>
      <c r="AC39" s="417">
        <v>0</v>
      </c>
      <c r="AD39" s="417">
        <v>0</v>
      </c>
      <c r="AE39" s="417">
        <v>0</v>
      </c>
      <c r="AF39" s="417">
        <v>0</v>
      </c>
      <c r="AG39" s="819">
        <v>0</v>
      </c>
      <c r="AH39" s="417">
        <v>0</v>
      </c>
      <c r="AI39" s="417">
        <v>0</v>
      </c>
      <c r="AJ39" s="375">
        <f t="shared" si="83"/>
        <v>0</v>
      </c>
      <c r="AK39" s="212"/>
      <c r="AL39" s="417">
        <v>150</v>
      </c>
      <c r="AM39" s="417">
        <v>150</v>
      </c>
      <c r="AN39" s="417">
        <v>3000</v>
      </c>
      <c r="AO39" s="417">
        <v>150</v>
      </c>
      <c r="AP39" s="417">
        <v>150</v>
      </c>
      <c r="AQ39" s="417">
        <v>3000</v>
      </c>
      <c r="AR39" s="417">
        <v>150</v>
      </c>
      <c r="AS39" s="417">
        <v>150</v>
      </c>
      <c r="AT39" s="417">
        <v>3000</v>
      </c>
      <c r="AU39" s="819">
        <v>150</v>
      </c>
      <c r="AV39" s="417">
        <v>150</v>
      </c>
      <c r="AW39" s="417">
        <v>7720</v>
      </c>
      <c r="AX39" s="375">
        <f t="shared" si="84"/>
        <v>17920</v>
      </c>
      <c r="AY39" s="366">
        <f t="shared" si="85"/>
        <v>585.40000000000146</v>
      </c>
      <c r="AZ39" s="165">
        <f t="shared" si="86"/>
        <v>3.1634009532352791E-2</v>
      </c>
      <c r="BA39" s="212"/>
      <c r="BB39" s="417">
        <v>10255.4</v>
      </c>
      <c r="BC39" s="417">
        <v>-240</v>
      </c>
      <c r="BD39" s="417">
        <v>-260</v>
      </c>
      <c r="BE39" s="417">
        <v>0</v>
      </c>
      <c r="BF39" s="417">
        <v>0</v>
      </c>
      <c r="BG39" s="417">
        <v>0</v>
      </c>
      <c r="BH39" s="417">
        <v>0</v>
      </c>
      <c r="BI39" s="417">
        <v>0</v>
      </c>
      <c r="BJ39" s="417">
        <v>0</v>
      </c>
      <c r="BK39" s="819">
        <v>0</v>
      </c>
      <c r="BL39" s="417">
        <v>0</v>
      </c>
      <c r="BM39" s="417">
        <v>0</v>
      </c>
      <c r="BN39" s="375">
        <v>18505.400000000001</v>
      </c>
      <c r="BO39" s="212"/>
      <c r="BP39" s="818">
        <v>3350</v>
      </c>
      <c r="BQ39" s="818">
        <v>3350</v>
      </c>
      <c r="BR39" s="818">
        <v>8750</v>
      </c>
      <c r="BS39" s="818">
        <v>3350</v>
      </c>
      <c r="BT39" s="818">
        <v>3350</v>
      </c>
      <c r="BU39" s="818">
        <v>8750</v>
      </c>
      <c r="BV39" s="818">
        <v>3350</v>
      </c>
      <c r="BW39" s="818">
        <v>3350</v>
      </c>
      <c r="BX39" s="818">
        <v>8750</v>
      </c>
      <c r="BY39" s="818">
        <v>3350</v>
      </c>
      <c r="BZ39" s="818">
        <v>3350</v>
      </c>
      <c r="CA39" s="818">
        <v>8750</v>
      </c>
      <c r="CB39" s="375">
        <f t="shared" si="87"/>
        <v>61800</v>
      </c>
      <c r="CC39" s="366">
        <f t="shared" si="88"/>
        <v>43294.6</v>
      </c>
      <c r="CD39" s="165">
        <f t="shared" si="89"/>
        <v>0.70055987055016178</v>
      </c>
      <c r="CE39" s="367"/>
      <c r="CF39" s="373">
        <v>6849</v>
      </c>
      <c r="CG39" s="373">
        <v>27273</v>
      </c>
      <c r="CH39" s="373">
        <v>7742.07</v>
      </c>
      <c r="CI39" s="373">
        <v>5428.15</v>
      </c>
      <c r="CJ39" s="373">
        <v>2424</v>
      </c>
      <c r="CK39" s="373">
        <v>4615.26</v>
      </c>
      <c r="CL39" s="373">
        <v>136</v>
      </c>
      <c r="CM39" s="373">
        <v>26</v>
      </c>
      <c r="CN39" s="373">
        <v>73.44</v>
      </c>
      <c r="CO39" s="373">
        <v>8900.7999999999993</v>
      </c>
      <c r="CP39" s="373">
        <v>4600</v>
      </c>
      <c r="CQ39" s="373">
        <v>80</v>
      </c>
      <c r="CR39" s="376"/>
      <c r="CS39" s="375">
        <f t="shared" si="90"/>
        <v>68147.72</v>
      </c>
      <c r="CT39" s="378">
        <f t="shared" si="95"/>
        <v>49642.32</v>
      </c>
      <c r="CU39" s="165">
        <f t="shared" si="91"/>
        <v>0.72845166353327739</v>
      </c>
      <c r="CV39" s="320"/>
      <c r="CW39" s="373">
        <v>0</v>
      </c>
      <c r="CX39" s="373">
        <v>4740</v>
      </c>
      <c r="CY39" s="373">
        <v>1655.6</v>
      </c>
      <c r="CZ39" s="373">
        <v>3956</v>
      </c>
      <c r="DA39" s="373">
        <v>2188.1999999999998</v>
      </c>
      <c r="DB39" s="373">
        <v>7411</v>
      </c>
      <c r="DC39" s="373">
        <v>1991</v>
      </c>
      <c r="DD39" s="373">
        <v>4665</v>
      </c>
      <c r="DE39" s="373">
        <v>18155</v>
      </c>
      <c r="DF39" s="373">
        <v>5245</v>
      </c>
      <c r="DG39" s="373">
        <v>9584</v>
      </c>
      <c r="DH39" s="373">
        <v>2429</v>
      </c>
      <c r="DI39" s="375">
        <f t="shared" si="92"/>
        <v>62019.8</v>
      </c>
      <c r="DJ39" s="320"/>
      <c r="DK39" s="373">
        <v>365</v>
      </c>
      <c r="DL39" s="373">
        <v>9545.7000000000007</v>
      </c>
      <c r="DM39" s="373">
        <v>6908.6100000000006</v>
      </c>
      <c r="DN39" s="373">
        <v>2359.5</v>
      </c>
      <c r="DO39" s="373">
        <v>657.1</v>
      </c>
      <c r="DP39" s="373">
        <v>247.60000000000002</v>
      </c>
      <c r="DQ39" s="373">
        <v>5891.5</v>
      </c>
      <c r="DR39" s="373">
        <v>579.30000000000007</v>
      </c>
      <c r="DS39" s="373">
        <v>20001</v>
      </c>
      <c r="DT39" s="373">
        <v>440.4</v>
      </c>
      <c r="DU39" s="373">
        <v>1071.2</v>
      </c>
      <c r="DV39" s="373">
        <v>11023.1</v>
      </c>
      <c r="DW39" s="375">
        <f t="shared" si="93"/>
        <v>59090.009999999995</v>
      </c>
      <c r="DY39" s="373">
        <v>1163.5</v>
      </c>
      <c r="DZ39" s="373">
        <v>0</v>
      </c>
      <c r="EA39" s="373">
        <v>0</v>
      </c>
      <c r="EB39" s="373">
        <v>1442.4</v>
      </c>
      <c r="EC39" s="373">
        <v>4551.5</v>
      </c>
      <c r="ED39" s="373">
        <v>3132.8999999999996</v>
      </c>
      <c r="EE39" s="373">
        <v>106</v>
      </c>
      <c r="EF39" s="373">
        <v>0</v>
      </c>
      <c r="EG39" s="373">
        <v>5889</v>
      </c>
      <c r="EH39" s="373">
        <v>246.20000000000002</v>
      </c>
      <c r="EI39" s="373">
        <v>3120</v>
      </c>
      <c r="EJ39" s="373">
        <v>973.2</v>
      </c>
      <c r="EK39" s="375">
        <f t="shared" si="94"/>
        <v>20624.7</v>
      </c>
      <c r="EL39" s="177"/>
      <c r="EM39" s="373">
        <v>0</v>
      </c>
      <c r="EN39" s="373">
        <v>0</v>
      </c>
      <c r="EO39" s="373">
        <v>0</v>
      </c>
      <c r="EP39" s="373">
        <v>0</v>
      </c>
      <c r="EQ39" s="373">
        <v>0</v>
      </c>
      <c r="ER39" s="373">
        <v>0</v>
      </c>
      <c r="ES39" s="373">
        <v>1753</v>
      </c>
      <c r="ET39" s="373">
        <v>4697.7</v>
      </c>
      <c r="EU39" s="373">
        <v>1217</v>
      </c>
      <c r="EV39" s="373">
        <v>5099.8</v>
      </c>
      <c r="EW39" s="373">
        <v>2690</v>
      </c>
      <c r="EX39" s="373">
        <v>4036</v>
      </c>
      <c r="EY39" s="375">
        <f t="shared" si="96"/>
        <v>19493.5</v>
      </c>
      <c r="EZ39" s="164"/>
      <c r="FC39" s="185">
        <v>0</v>
      </c>
    </row>
    <row r="40" spans="1:159" ht="18.75" customHeight="1">
      <c r="A40" s="185" t="s">
        <v>338</v>
      </c>
      <c r="B40" s="176">
        <v>60108000</v>
      </c>
      <c r="C40" s="176" t="s">
        <v>1107</v>
      </c>
      <c r="D40" s="176" t="s">
        <v>109</v>
      </c>
      <c r="E40" s="324"/>
      <c r="F40" s="320" t="s">
        <v>603</v>
      </c>
      <c r="G40" s="320"/>
      <c r="H40" s="417">
        <v>0</v>
      </c>
      <c r="I40" s="417">
        <v>0</v>
      </c>
      <c r="J40" s="417">
        <v>1500</v>
      </c>
      <c r="K40" s="417">
        <v>0</v>
      </c>
      <c r="L40" s="417">
        <v>0</v>
      </c>
      <c r="M40" s="417">
        <v>1500</v>
      </c>
      <c r="N40" s="417">
        <v>0</v>
      </c>
      <c r="O40" s="417">
        <v>0</v>
      </c>
      <c r="P40" s="417">
        <v>1500</v>
      </c>
      <c r="Q40" s="819">
        <v>0</v>
      </c>
      <c r="R40" s="417">
        <v>0</v>
      </c>
      <c r="S40" s="417">
        <v>1500</v>
      </c>
      <c r="T40" s="402"/>
      <c r="U40" s="366">
        <f t="shared" si="81"/>
        <v>0</v>
      </c>
      <c r="V40" s="165" t="e">
        <f t="shared" si="82"/>
        <v>#DIV/0!</v>
      </c>
      <c r="W40" s="212"/>
      <c r="X40" s="417">
        <v>0</v>
      </c>
      <c r="Y40" s="417">
        <v>0</v>
      </c>
      <c r="Z40" s="417">
        <v>0</v>
      </c>
      <c r="AA40" s="417">
        <v>0</v>
      </c>
      <c r="AB40" s="417">
        <v>0</v>
      </c>
      <c r="AC40" s="417">
        <v>0</v>
      </c>
      <c r="AD40" s="417">
        <v>0</v>
      </c>
      <c r="AE40" s="417">
        <v>0</v>
      </c>
      <c r="AF40" s="417">
        <v>0</v>
      </c>
      <c r="AG40" s="819">
        <v>0</v>
      </c>
      <c r="AH40" s="417">
        <v>0</v>
      </c>
      <c r="AI40" s="417">
        <v>0</v>
      </c>
      <c r="AJ40" s="375">
        <f t="shared" si="83"/>
        <v>0</v>
      </c>
      <c r="AK40" s="212"/>
      <c r="AL40" s="417">
        <v>0</v>
      </c>
      <c r="AM40" s="417">
        <v>0</v>
      </c>
      <c r="AN40" s="417">
        <v>1500</v>
      </c>
      <c r="AO40" s="417">
        <v>0</v>
      </c>
      <c r="AP40" s="417">
        <v>0</v>
      </c>
      <c r="AQ40" s="417">
        <v>1500</v>
      </c>
      <c r="AR40" s="417">
        <v>0</v>
      </c>
      <c r="AS40" s="417">
        <v>0</v>
      </c>
      <c r="AT40" s="417">
        <v>1500</v>
      </c>
      <c r="AU40" s="819">
        <v>0</v>
      </c>
      <c r="AV40" s="417">
        <v>0</v>
      </c>
      <c r="AW40" s="417">
        <v>1500</v>
      </c>
      <c r="AX40" s="375">
        <f t="shared" si="84"/>
        <v>6000</v>
      </c>
      <c r="AY40" s="366">
        <f t="shared" si="85"/>
        <v>-5500</v>
      </c>
      <c r="AZ40" s="165">
        <f t="shared" si="86"/>
        <v>-11</v>
      </c>
      <c r="BA40" s="212"/>
      <c r="BB40" s="417">
        <v>0</v>
      </c>
      <c r="BC40" s="417">
        <v>0</v>
      </c>
      <c r="BD40" s="417">
        <v>0</v>
      </c>
      <c r="BE40" s="417">
        <v>0</v>
      </c>
      <c r="BF40" s="417">
        <v>0</v>
      </c>
      <c r="BG40" s="417">
        <v>0</v>
      </c>
      <c r="BH40" s="417">
        <v>0</v>
      </c>
      <c r="BI40" s="417">
        <v>0</v>
      </c>
      <c r="BJ40" s="417">
        <v>0</v>
      </c>
      <c r="BK40" s="819">
        <v>0</v>
      </c>
      <c r="BL40" s="417">
        <v>0</v>
      </c>
      <c r="BM40" s="417">
        <v>0</v>
      </c>
      <c r="BN40" s="375">
        <v>500</v>
      </c>
      <c r="BO40" s="212"/>
      <c r="BP40" s="818">
        <v>500</v>
      </c>
      <c r="BQ40" s="818">
        <v>500</v>
      </c>
      <c r="BR40" s="818">
        <v>500</v>
      </c>
      <c r="BS40" s="818">
        <v>500</v>
      </c>
      <c r="BT40" s="818">
        <v>500</v>
      </c>
      <c r="BU40" s="818">
        <v>500</v>
      </c>
      <c r="BV40" s="818">
        <v>500</v>
      </c>
      <c r="BW40" s="818">
        <v>500</v>
      </c>
      <c r="BX40" s="818">
        <v>500</v>
      </c>
      <c r="BY40" s="818">
        <v>500</v>
      </c>
      <c r="BZ40" s="818">
        <v>500</v>
      </c>
      <c r="CA40" s="818">
        <v>500</v>
      </c>
      <c r="CB40" s="375">
        <f t="shared" si="87"/>
        <v>6000</v>
      </c>
      <c r="CC40" s="366">
        <f t="shared" si="88"/>
        <v>5500</v>
      </c>
      <c r="CD40" s="165">
        <f t="shared" si="89"/>
        <v>0.91666666666666663</v>
      </c>
      <c r="CE40" s="367"/>
      <c r="CF40" s="373">
        <v>0</v>
      </c>
      <c r="CG40" s="373">
        <v>0</v>
      </c>
      <c r="CH40" s="373">
        <v>0</v>
      </c>
      <c r="CI40" s="373">
        <v>0</v>
      </c>
      <c r="CJ40" s="373">
        <v>0</v>
      </c>
      <c r="CK40" s="373">
        <v>779</v>
      </c>
      <c r="CL40" s="373">
        <v>0</v>
      </c>
      <c r="CM40" s="373">
        <v>0</v>
      </c>
      <c r="CN40" s="373">
        <v>0</v>
      </c>
      <c r="CO40" s="373">
        <v>-779</v>
      </c>
      <c r="CP40" s="373">
        <v>0</v>
      </c>
      <c r="CQ40" s="373">
        <v>0</v>
      </c>
      <c r="CR40" s="376"/>
      <c r="CS40" s="375">
        <f t="shared" si="90"/>
        <v>0</v>
      </c>
      <c r="CT40" s="378">
        <f t="shared" si="95"/>
        <v>-500</v>
      </c>
      <c r="CU40" s="165" t="str">
        <f t="shared" si="91"/>
        <v>N/A</v>
      </c>
      <c r="CV40" s="320"/>
      <c r="CW40" s="373">
        <v>0</v>
      </c>
      <c r="CX40" s="373">
        <v>0</v>
      </c>
      <c r="CY40" s="373">
        <v>0</v>
      </c>
      <c r="CZ40" s="373">
        <v>0</v>
      </c>
      <c r="DA40" s="373">
        <v>0</v>
      </c>
      <c r="DB40" s="373">
        <v>0</v>
      </c>
      <c r="DC40" s="373">
        <v>0</v>
      </c>
      <c r="DD40" s="373">
        <v>0</v>
      </c>
      <c r="DE40" s="373">
        <v>0</v>
      </c>
      <c r="DF40" s="373">
        <v>233</v>
      </c>
      <c r="DG40" s="373">
        <v>0</v>
      </c>
      <c r="DH40" s="373">
        <v>-233</v>
      </c>
      <c r="DI40" s="375">
        <f t="shared" si="92"/>
        <v>0</v>
      </c>
      <c r="DJ40" s="320"/>
      <c r="DK40" s="373">
        <v>0</v>
      </c>
      <c r="DL40" s="373">
        <v>4188.05</v>
      </c>
      <c r="DM40" s="373">
        <v>0</v>
      </c>
      <c r="DN40" s="373">
        <v>1643</v>
      </c>
      <c r="DO40" s="373">
        <v>0</v>
      </c>
      <c r="DP40" s="373">
        <v>0</v>
      </c>
      <c r="DQ40" s="373">
        <v>1850</v>
      </c>
      <c r="DR40" s="373">
        <v>0</v>
      </c>
      <c r="DS40" s="373">
        <v>2991.03</v>
      </c>
      <c r="DT40" s="373">
        <v>0</v>
      </c>
      <c r="DU40" s="373">
        <v>0</v>
      </c>
      <c r="DV40" s="373">
        <v>0</v>
      </c>
      <c r="DW40" s="375">
        <f t="shared" si="93"/>
        <v>10672.08</v>
      </c>
      <c r="DY40" s="373">
        <v>0</v>
      </c>
      <c r="DZ40" s="373">
        <v>0</v>
      </c>
      <c r="EA40" s="373">
        <v>0</v>
      </c>
      <c r="EB40" s="373">
        <v>0</v>
      </c>
      <c r="EC40" s="373">
        <v>0</v>
      </c>
      <c r="ED40" s="373">
        <v>0</v>
      </c>
      <c r="EE40" s="373">
        <v>0</v>
      </c>
      <c r="EF40" s="373">
        <v>0</v>
      </c>
      <c r="EG40" s="373">
        <v>0</v>
      </c>
      <c r="EH40" s="373">
        <v>0</v>
      </c>
      <c r="EI40" s="373">
        <v>0</v>
      </c>
      <c r="EJ40" s="373">
        <v>0</v>
      </c>
      <c r="EK40" s="375">
        <f t="shared" si="94"/>
        <v>0</v>
      </c>
      <c r="EL40" s="177"/>
      <c r="EM40" s="373">
        <v>0</v>
      </c>
      <c r="EN40" s="373">
        <v>0</v>
      </c>
      <c r="EO40" s="373">
        <v>0</v>
      </c>
      <c r="EP40" s="373">
        <v>0</v>
      </c>
      <c r="EQ40" s="373">
        <v>0</v>
      </c>
      <c r="ER40" s="373">
        <v>0</v>
      </c>
      <c r="ES40" s="373">
        <v>0</v>
      </c>
      <c r="ET40" s="373">
        <v>0</v>
      </c>
      <c r="EU40" s="373">
        <v>0</v>
      </c>
      <c r="EV40" s="373">
        <v>0</v>
      </c>
      <c r="EW40" s="373">
        <v>0</v>
      </c>
      <c r="EX40" s="373">
        <v>0</v>
      </c>
      <c r="EY40" s="375">
        <f t="shared" si="96"/>
        <v>0</v>
      </c>
      <c r="EZ40" s="164"/>
      <c r="FC40" s="185">
        <v>0</v>
      </c>
    </row>
    <row r="41" spans="1:159" ht="18.75" customHeight="1">
      <c r="A41" s="185" t="s">
        <v>604</v>
      </c>
      <c r="B41" s="176">
        <v>60109000</v>
      </c>
      <c r="C41" s="176" t="s">
        <v>109</v>
      </c>
      <c r="D41" s="176" t="s">
        <v>109</v>
      </c>
      <c r="E41" s="324"/>
      <c r="F41" s="320" t="s">
        <v>633</v>
      </c>
      <c r="G41" s="320"/>
      <c r="H41" s="417">
        <v>650</v>
      </c>
      <c r="I41" s="417">
        <v>650</v>
      </c>
      <c r="J41" s="417">
        <v>650</v>
      </c>
      <c r="K41" s="417">
        <v>650</v>
      </c>
      <c r="L41" s="417">
        <v>650</v>
      </c>
      <c r="M41" s="417">
        <v>650</v>
      </c>
      <c r="N41" s="417">
        <v>650</v>
      </c>
      <c r="O41" s="417">
        <v>650</v>
      </c>
      <c r="P41" s="417">
        <v>650</v>
      </c>
      <c r="Q41" s="819">
        <v>650</v>
      </c>
      <c r="R41" s="417">
        <v>650</v>
      </c>
      <c r="S41" s="417">
        <v>2650</v>
      </c>
      <c r="T41" s="402"/>
      <c r="U41" s="366">
        <f t="shared" si="81"/>
        <v>7294</v>
      </c>
      <c r="V41" s="165">
        <f t="shared" si="82"/>
        <v>1</v>
      </c>
      <c r="W41" s="212"/>
      <c r="X41" s="417">
        <v>0</v>
      </c>
      <c r="Y41" s="417">
        <v>0</v>
      </c>
      <c r="Z41" s="417">
        <v>0</v>
      </c>
      <c r="AA41" s="417">
        <v>685.9</v>
      </c>
      <c r="AB41" s="417">
        <v>2484.3999999999996</v>
      </c>
      <c r="AC41" s="417">
        <v>1969.5</v>
      </c>
      <c r="AD41" s="417">
        <v>86.8</v>
      </c>
      <c r="AE41" s="417">
        <v>2067.4</v>
      </c>
      <c r="AF41" s="417">
        <v>0</v>
      </c>
      <c r="AG41" s="819">
        <v>0</v>
      </c>
      <c r="AH41" s="417">
        <v>0</v>
      </c>
      <c r="AI41" s="417">
        <v>0</v>
      </c>
      <c r="AJ41" s="375">
        <f t="shared" si="83"/>
        <v>7294</v>
      </c>
      <c r="AK41" s="212"/>
      <c r="AL41" s="417">
        <v>650</v>
      </c>
      <c r="AM41" s="417">
        <v>650</v>
      </c>
      <c r="AN41" s="417">
        <v>650</v>
      </c>
      <c r="AO41" s="417">
        <v>650</v>
      </c>
      <c r="AP41" s="417">
        <v>650</v>
      </c>
      <c r="AQ41" s="417">
        <v>650</v>
      </c>
      <c r="AR41" s="417">
        <v>650</v>
      </c>
      <c r="AS41" s="417">
        <v>650</v>
      </c>
      <c r="AT41" s="417">
        <v>650</v>
      </c>
      <c r="AU41" s="819">
        <v>650</v>
      </c>
      <c r="AV41" s="417">
        <v>650</v>
      </c>
      <c r="AW41" s="417">
        <v>2650</v>
      </c>
      <c r="AX41" s="375">
        <f>SUM(AL41:AW41)</f>
        <v>9800</v>
      </c>
      <c r="AY41" s="366">
        <f t="shared" si="85"/>
        <v>74065.8</v>
      </c>
      <c r="AZ41" s="165">
        <f t="shared" si="86"/>
        <v>0.88314664618950756</v>
      </c>
      <c r="BA41" s="212"/>
      <c r="BB41" s="417">
        <v>80000</v>
      </c>
      <c r="BC41" s="417">
        <v>0</v>
      </c>
      <c r="BD41" s="417">
        <v>0</v>
      </c>
      <c r="BE41" s="417">
        <v>0</v>
      </c>
      <c r="BF41" s="417">
        <v>0</v>
      </c>
      <c r="BG41" s="417">
        <v>378</v>
      </c>
      <c r="BH41" s="417">
        <v>0</v>
      </c>
      <c r="BI41" s="417">
        <v>0</v>
      </c>
      <c r="BJ41" s="417">
        <v>800</v>
      </c>
      <c r="BK41" s="819">
        <v>0</v>
      </c>
      <c r="BL41" s="417">
        <v>252.8</v>
      </c>
      <c r="BM41" s="417">
        <v>16</v>
      </c>
      <c r="BN41" s="375">
        <v>83865.8</v>
      </c>
      <c r="BO41" s="212"/>
      <c r="BP41" s="818">
        <v>3235</v>
      </c>
      <c r="BQ41" s="818">
        <v>2235</v>
      </c>
      <c r="BR41" s="818">
        <v>2335</v>
      </c>
      <c r="BS41" s="818">
        <v>2235</v>
      </c>
      <c r="BT41" s="818">
        <v>2235</v>
      </c>
      <c r="BU41" s="818">
        <v>2335</v>
      </c>
      <c r="BV41" s="818">
        <v>2235</v>
      </c>
      <c r="BW41" s="818">
        <v>2235</v>
      </c>
      <c r="BX41" s="818">
        <v>2335</v>
      </c>
      <c r="BY41" s="818">
        <v>2235</v>
      </c>
      <c r="BZ41" s="818">
        <v>2235</v>
      </c>
      <c r="CA41" s="818">
        <v>2435</v>
      </c>
      <c r="CB41" s="375">
        <f>SUM(BP41:CA41)</f>
        <v>28320</v>
      </c>
      <c r="CC41" s="366">
        <f t="shared" si="88"/>
        <v>-55545.8</v>
      </c>
      <c r="CD41" s="165">
        <f t="shared" si="89"/>
        <v>-1.9613629943502826</v>
      </c>
      <c r="CE41" s="367"/>
      <c r="CF41" s="373">
        <v>82560</v>
      </c>
      <c r="CG41" s="373">
        <v>84662.41</v>
      </c>
      <c r="CH41" s="373">
        <v>80982</v>
      </c>
      <c r="CI41" s="373">
        <v>82221</v>
      </c>
      <c r="CJ41" s="373">
        <v>81033.100000000006</v>
      </c>
      <c r="CK41" s="373">
        <v>81314.8</v>
      </c>
      <c r="CL41" s="373">
        <v>82927.900000000009</v>
      </c>
      <c r="CM41" s="373">
        <v>882.4</v>
      </c>
      <c r="CN41" s="373">
        <v>162131.1</v>
      </c>
      <c r="CO41" s="373">
        <v>55</v>
      </c>
      <c r="CP41" s="373">
        <v>160000</v>
      </c>
      <c r="CQ41" s="373">
        <v>80066</v>
      </c>
      <c r="CR41" s="376"/>
      <c r="CS41" s="375">
        <f t="shared" si="90"/>
        <v>978835.71</v>
      </c>
      <c r="CT41" s="378">
        <f t="shared" si="95"/>
        <v>894969.90999999992</v>
      </c>
      <c r="CU41" s="165">
        <f t="shared" si="91"/>
        <v>0.91432086187374584</v>
      </c>
      <c r="CV41" s="320"/>
      <c r="CW41" s="373">
        <v>102454</v>
      </c>
      <c r="CX41" s="373">
        <v>317.8</v>
      </c>
      <c r="CY41" s="373">
        <v>51554.3</v>
      </c>
      <c r="CZ41" s="373">
        <v>80066.600000000006</v>
      </c>
      <c r="DA41" s="373">
        <v>160150.79999999999</v>
      </c>
      <c r="DB41" s="373">
        <v>0</v>
      </c>
      <c r="DC41" s="373">
        <v>81389.899999999994</v>
      </c>
      <c r="DD41" s="373">
        <v>80111.399999999994</v>
      </c>
      <c r="DE41" s="373">
        <v>80000</v>
      </c>
      <c r="DF41" s="373">
        <v>80180.899999999994</v>
      </c>
      <c r="DG41" s="373">
        <v>80009.8</v>
      </c>
      <c r="DH41" s="373">
        <v>80178</v>
      </c>
      <c r="DI41" s="375">
        <f t="shared" si="92"/>
        <v>876413.50000000012</v>
      </c>
      <c r="DJ41" s="320"/>
      <c r="DK41" s="373">
        <v>33780</v>
      </c>
      <c r="DL41" s="373">
        <v>38678.800000000003</v>
      </c>
      <c r="DM41" s="373">
        <v>45820</v>
      </c>
      <c r="DN41" s="373">
        <v>51458.9</v>
      </c>
      <c r="DO41" s="373">
        <v>51239.5</v>
      </c>
      <c r="DP41" s="373">
        <v>50999.999999999993</v>
      </c>
      <c r="DQ41" s="373">
        <v>50999.999999999993</v>
      </c>
      <c r="DR41" s="373">
        <v>51607.799999999996</v>
      </c>
      <c r="DS41" s="373">
        <v>51120</v>
      </c>
      <c r="DT41" s="373">
        <v>0</v>
      </c>
      <c r="DU41" s="373">
        <v>102345.20000000001</v>
      </c>
      <c r="DV41" s="373">
        <v>51170.8</v>
      </c>
      <c r="DW41" s="375">
        <f t="shared" si="93"/>
        <v>579221</v>
      </c>
      <c r="DY41" s="373">
        <v>0</v>
      </c>
      <c r="DZ41" s="373">
        <v>736.5</v>
      </c>
      <c r="EA41" s="373">
        <v>0</v>
      </c>
      <c r="EB41" s="373">
        <v>1906.6999999999998</v>
      </c>
      <c r="EC41" s="373">
        <v>36.299999999999997</v>
      </c>
      <c r="ED41" s="373">
        <v>13718</v>
      </c>
      <c r="EE41" s="373">
        <v>18643</v>
      </c>
      <c r="EF41" s="373">
        <v>33500</v>
      </c>
      <c r="EG41" s="373">
        <v>33500</v>
      </c>
      <c r="EH41" s="373">
        <v>34041.799999999996</v>
      </c>
      <c r="EI41" s="373">
        <v>33574</v>
      </c>
      <c r="EJ41" s="373">
        <v>33527.800000000003</v>
      </c>
      <c r="EK41" s="375">
        <f t="shared" si="94"/>
        <v>203184.09999999998</v>
      </c>
      <c r="EL41" s="177"/>
      <c r="EM41" s="373">
        <v>0</v>
      </c>
      <c r="EN41" s="373">
        <v>249.99999999999997</v>
      </c>
      <c r="EO41" s="373">
        <v>0</v>
      </c>
      <c r="EP41" s="373">
        <v>0</v>
      </c>
      <c r="EQ41" s="373">
        <v>75</v>
      </c>
      <c r="ER41" s="373">
        <v>27.8</v>
      </c>
      <c r="ES41" s="373">
        <v>198.00000000000003</v>
      </c>
      <c r="ET41" s="373">
        <v>314</v>
      </c>
      <c r="EU41" s="373">
        <v>1166</v>
      </c>
      <c r="EV41" s="373">
        <v>0</v>
      </c>
      <c r="EW41" s="373">
        <v>0</v>
      </c>
      <c r="EX41" s="373">
        <v>0</v>
      </c>
      <c r="EY41" s="375">
        <f t="shared" si="96"/>
        <v>2030.8000000000002</v>
      </c>
      <c r="EZ41" s="164"/>
      <c r="FC41" s="185">
        <v>0</v>
      </c>
    </row>
    <row r="42" spans="1:159" ht="18.75" customHeight="1">
      <c r="A42" s="185" t="s">
        <v>317</v>
      </c>
      <c r="B42" s="176">
        <v>60110000</v>
      </c>
      <c r="C42" s="176" t="s">
        <v>109</v>
      </c>
      <c r="D42" s="176" t="s">
        <v>109</v>
      </c>
      <c r="E42" s="324"/>
      <c r="F42" s="320" t="s">
        <v>634</v>
      </c>
      <c r="G42" s="320"/>
      <c r="H42" s="417">
        <v>0</v>
      </c>
      <c r="I42" s="417">
        <v>0</v>
      </c>
      <c r="J42" s="417">
        <v>0</v>
      </c>
      <c r="K42" s="417">
        <v>0</v>
      </c>
      <c r="L42" s="417">
        <v>0</v>
      </c>
      <c r="M42" s="417">
        <v>0</v>
      </c>
      <c r="N42" s="417">
        <v>0</v>
      </c>
      <c r="O42" s="417">
        <v>0</v>
      </c>
      <c r="P42" s="417">
        <v>0</v>
      </c>
      <c r="Q42" s="819">
        <v>0</v>
      </c>
      <c r="R42" s="417">
        <v>0</v>
      </c>
      <c r="S42" s="417">
        <v>15000</v>
      </c>
      <c r="T42" s="402"/>
      <c r="U42" s="366">
        <f t="shared" si="81"/>
        <v>0</v>
      </c>
      <c r="V42" s="165" t="e">
        <f t="shared" si="82"/>
        <v>#DIV/0!</v>
      </c>
      <c r="W42" s="212"/>
      <c r="X42" s="417">
        <v>0</v>
      </c>
      <c r="Y42" s="417">
        <v>0</v>
      </c>
      <c r="Z42" s="417">
        <v>0</v>
      </c>
      <c r="AA42" s="417">
        <v>0</v>
      </c>
      <c r="AB42" s="417">
        <v>0</v>
      </c>
      <c r="AC42" s="417">
        <v>0</v>
      </c>
      <c r="AD42" s="417">
        <v>0</v>
      </c>
      <c r="AE42" s="417">
        <v>0</v>
      </c>
      <c r="AF42" s="417">
        <v>0</v>
      </c>
      <c r="AG42" s="819">
        <v>0</v>
      </c>
      <c r="AH42" s="417">
        <v>0</v>
      </c>
      <c r="AI42" s="417">
        <v>0</v>
      </c>
      <c r="AJ42" s="375">
        <f t="shared" si="83"/>
        <v>0</v>
      </c>
      <c r="AK42" s="212"/>
      <c r="AL42" s="417">
        <v>0</v>
      </c>
      <c r="AM42" s="417">
        <v>0</v>
      </c>
      <c r="AN42" s="417">
        <v>0</v>
      </c>
      <c r="AO42" s="417">
        <v>0</v>
      </c>
      <c r="AP42" s="417">
        <v>0</v>
      </c>
      <c r="AQ42" s="417">
        <v>0</v>
      </c>
      <c r="AR42" s="417">
        <v>0</v>
      </c>
      <c r="AS42" s="417">
        <v>0</v>
      </c>
      <c r="AT42" s="417">
        <v>0</v>
      </c>
      <c r="AU42" s="819">
        <v>0</v>
      </c>
      <c r="AV42" s="417">
        <v>0</v>
      </c>
      <c r="AW42" s="417">
        <v>15000</v>
      </c>
      <c r="AX42" s="375">
        <f t="shared" ref="AX42:AX52" si="97">SUM(AL42:AW42)</f>
        <v>15000</v>
      </c>
      <c r="AY42" s="366">
        <f t="shared" si="85"/>
        <v>-11087</v>
      </c>
      <c r="AZ42" s="165">
        <f t="shared" si="86"/>
        <v>-2.833375926399182</v>
      </c>
      <c r="BA42" s="212"/>
      <c r="BB42" s="417">
        <v>0</v>
      </c>
      <c r="BC42" s="417">
        <v>0</v>
      </c>
      <c r="BD42" s="417">
        <v>0</v>
      </c>
      <c r="BE42" s="417">
        <v>0</v>
      </c>
      <c r="BF42" s="417">
        <v>0</v>
      </c>
      <c r="BG42" s="417">
        <v>0</v>
      </c>
      <c r="BH42" s="417">
        <v>0</v>
      </c>
      <c r="BI42" s="417">
        <v>0</v>
      </c>
      <c r="BJ42" s="417">
        <v>0</v>
      </c>
      <c r="BK42" s="819">
        <v>0</v>
      </c>
      <c r="BL42" s="417">
        <v>0</v>
      </c>
      <c r="BM42" s="417">
        <v>0</v>
      </c>
      <c r="BN42" s="375">
        <v>3913</v>
      </c>
      <c r="BO42" s="212"/>
      <c r="BP42" s="818">
        <v>3913</v>
      </c>
      <c r="BQ42" s="818">
        <v>3913</v>
      </c>
      <c r="BR42" s="818">
        <v>3913</v>
      </c>
      <c r="BS42" s="818">
        <v>3913</v>
      </c>
      <c r="BT42" s="818">
        <v>3913</v>
      </c>
      <c r="BU42" s="818">
        <v>3913</v>
      </c>
      <c r="BV42" s="818">
        <v>8913</v>
      </c>
      <c r="BW42" s="818">
        <v>28913</v>
      </c>
      <c r="BX42" s="818">
        <v>28913</v>
      </c>
      <c r="BY42" s="818">
        <v>3913</v>
      </c>
      <c r="BZ42" s="818">
        <v>3913</v>
      </c>
      <c r="CA42" s="818">
        <v>3913</v>
      </c>
      <c r="CB42" s="375">
        <f t="shared" si="87"/>
        <v>101956</v>
      </c>
      <c r="CC42" s="366">
        <f t="shared" si="88"/>
        <v>98043</v>
      </c>
      <c r="CD42" s="165">
        <f t="shared" si="89"/>
        <v>0.96162069912511283</v>
      </c>
      <c r="CE42" s="367"/>
      <c r="CF42" s="373">
        <v>0</v>
      </c>
      <c r="CG42" s="373">
        <v>0</v>
      </c>
      <c r="CH42" s="373">
        <v>458</v>
      </c>
      <c r="CI42" s="373">
        <v>11061</v>
      </c>
      <c r="CJ42" s="373">
        <v>4126</v>
      </c>
      <c r="CK42" s="373">
        <v>36981.47</v>
      </c>
      <c r="CL42" s="373">
        <v>1017.4300000000001</v>
      </c>
      <c r="CM42" s="373">
        <v>21870</v>
      </c>
      <c r="CN42" s="373">
        <v>32153.590000000004</v>
      </c>
      <c r="CO42" s="373">
        <v>35245.83</v>
      </c>
      <c r="CP42" s="373">
        <v>7043.6100000000006</v>
      </c>
      <c r="CQ42" s="373">
        <v>0</v>
      </c>
      <c r="CR42" s="376"/>
      <c r="CS42" s="375">
        <f t="shared" si="90"/>
        <v>149956.93</v>
      </c>
      <c r="CT42" s="378">
        <f t="shared" si="95"/>
        <v>146043.93</v>
      </c>
      <c r="CU42" s="165">
        <f t="shared" si="91"/>
        <v>0.97390584083043041</v>
      </c>
      <c r="CV42" s="320"/>
      <c r="CW42" s="373">
        <v>49617.03</v>
      </c>
      <c r="CX42" s="373">
        <v>38760.089999999997</v>
      </c>
      <c r="CY42" s="373">
        <v>74129.440000000002</v>
      </c>
      <c r="CZ42" s="373">
        <v>18248.66</v>
      </c>
      <c r="DA42" s="373">
        <v>0</v>
      </c>
      <c r="DB42" s="373">
        <v>62619.4</v>
      </c>
      <c r="DC42" s="373">
        <v>14408.92</v>
      </c>
      <c r="DD42" s="373">
        <v>0</v>
      </c>
      <c r="DE42" s="373">
        <v>0</v>
      </c>
      <c r="DF42" s="373">
        <v>1570</v>
      </c>
      <c r="DG42" s="373">
        <v>1080</v>
      </c>
      <c r="DH42" s="373">
        <v>12.87</v>
      </c>
      <c r="DI42" s="375">
        <f t="shared" si="92"/>
        <v>260446.41</v>
      </c>
      <c r="DJ42" s="320"/>
      <c r="DK42" s="373">
        <v>18012.79</v>
      </c>
      <c r="DL42" s="373">
        <v>65200.73</v>
      </c>
      <c r="DM42" s="373">
        <v>7880.1100000000006</v>
      </c>
      <c r="DN42" s="373">
        <v>109112.94000000002</v>
      </c>
      <c r="DO42" s="373">
        <v>0</v>
      </c>
      <c r="DP42" s="373">
        <v>0</v>
      </c>
      <c r="DQ42" s="373">
        <v>11826</v>
      </c>
      <c r="DR42" s="373">
        <v>0</v>
      </c>
      <c r="DS42" s="373">
        <v>0</v>
      </c>
      <c r="DT42" s="373">
        <v>0</v>
      </c>
      <c r="DU42" s="373">
        <v>87110.34</v>
      </c>
      <c r="DV42" s="373">
        <v>45247.590000000004</v>
      </c>
      <c r="DW42" s="375">
        <f t="shared" si="93"/>
        <v>344390.50000000006</v>
      </c>
      <c r="DY42" s="373">
        <v>0</v>
      </c>
      <c r="DZ42" s="373">
        <v>0</v>
      </c>
      <c r="EA42" s="373">
        <v>13622</v>
      </c>
      <c r="EB42" s="373">
        <v>4787.53</v>
      </c>
      <c r="EC42" s="373">
        <v>-6110.81</v>
      </c>
      <c r="ED42" s="373">
        <v>0</v>
      </c>
      <c r="EE42" s="373">
        <v>0</v>
      </c>
      <c r="EF42" s="373">
        <v>0</v>
      </c>
      <c r="EG42" s="373">
        <v>31449</v>
      </c>
      <c r="EH42" s="373">
        <v>6951.62</v>
      </c>
      <c r="EI42" s="373">
        <v>5634</v>
      </c>
      <c r="EJ42" s="373">
        <v>4399.6499999999996</v>
      </c>
      <c r="EK42" s="375">
        <f>SUM(DY42:EJ42)</f>
        <v>60732.990000000005</v>
      </c>
      <c r="EL42" s="177"/>
      <c r="EM42" s="373">
        <v>1536</v>
      </c>
      <c r="EN42" s="373">
        <v>6950.51</v>
      </c>
      <c r="EO42" s="373">
        <v>1284.6500000000001</v>
      </c>
      <c r="EP42" s="373">
        <v>0</v>
      </c>
      <c r="EQ42" s="373">
        <v>49225</v>
      </c>
      <c r="ER42" s="373">
        <v>110623.71</v>
      </c>
      <c r="ES42" s="373">
        <v>21394</v>
      </c>
      <c r="ET42" s="373">
        <v>0</v>
      </c>
      <c r="EU42" s="373">
        <v>63765.02</v>
      </c>
      <c r="EV42" s="373">
        <v>0</v>
      </c>
      <c r="EW42" s="373">
        <v>0</v>
      </c>
      <c r="EX42" s="373">
        <v>0</v>
      </c>
      <c r="EY42" s="375">
        <f t="shared" si="96"/>
        <v>254778.88999999998</v>
      </c>
      <c r="EZ42" s="164"/>
      <c r="FC42" s="185">
        <v>0</v>
      </c>
    </row>
    <row r="43" spans="1:159" ht="18.75" hidden="1" customHeight="1" outlineLevel="1">
      <c r="A43" s="185" t="s">
        <v>329</v>
      </c>
      <c r="B43" s="176">
        <v>60111000</v>
      </c>
      <c r="C43" s="176" t="s">
        <v>109</v>
      </c>
      <c r="D43" s="176" t="s">
        <v>109</v>
      </c>
      <c r="E43" s="324"/>
      <c r="F43" s="320" t="s">
        <v>635</v>
      </c>
      <c r="G43" s="320"/>
      <c r="H43" s="417">
        <v>0</v>
      </c>
      <c r="I43" s="417">
        <v>0</v>
      </c>
      <c r="J43" s="417">
        <v>0</v>
      </c>
      <c r="K43" s="417">
        <v>0</v>
      </c>
      <c r="L43" s="417">
        <v>0</v>
      </c>
      <c r="M43" s="417">
        <v>0</v>
      </c>
      <c r="N43" s="417">
        <v>0</v>
      </c>
      <c r="O43" s="417">
        <v>0</v>
      </c>
      <c r="P43" s="417">
        <v>0</v>
      </c>
      <c r="Q43" s="819">
        <v>0</v>
      </c>
      <c r="R43" s="417">
        <v>0</v>
      </c>
      <c r="S43" s="417">
        <v>0</v>
      </c>
      <c r="T43" s="402"/>
      <c r="U43" s="366">
        <f t="shared" si="81"/>
        <v>0</v>
      </c>
      <c r="V43" s="165" t="e">
        <f t="shared" si="82"/>
        <v>#DIV/0!</v>
      </c>
      <c r="W43" s="212"/>
      <c r="X43" s="417">
        <v>0</v>
      </c>
      <c r="Y43" s="417">
        <v>0</v>
      </c>
      <c r="Z43" s="417">
        <v>0</v>
      </c>
      <c r="AA43" s="417">
        <v>0</v>
      </c>
      <c r="AB43" s="417">
        <v>0</v>
      </c>
      <c r="AC43" s="417">
        <v>0</v>
      </c>
      <c r="AD43" s="417">
        <v>0</v>
      </c>
      <c r="AE43" s="417">
        <v>0</v>
      </c>
      <c r="AF43" s="417">
        <v>0</v>
      </c>
      <c r="AG43" s="819">
        <v>0</v>
      </c>
      <c r="AH43" s="417">
        <v>0</v>
      </c>
      <c r="AI43" s="417">
        <v>0</v>
      </c>
      <c r="AJ43" s="375">
        <f t="shared" si="83"/>
        <v>0</v>
      </c>
      <c r="AK43" s="212"/>
      <c r="AL43" s="417">
        <v>0</v>
      </c>
      <c r="AM43" s="417">
        <v>0</v>
      </c>
      <c r="AN43" s="417">
        <v>0</v>
      </c>
      <c r="AO43" s="417">
        <v>0</v>
      </c>
      <c r="AP43" s="417">
        <v>0</v>
      </c>
      <c r="AQ43" s="417">
        <v>0</v>
      </c>
      <c r="AR43" s="417">
        <v>0</v>
      </c>
      <c r="AS43" s="417">
        <v>0</v>
      </c>
      <c r="AT43" s="417">
        <v>0</v>
      </c>
      <c r="AU43" s="819">
        <v>0</v>
      </c>
      <c r="AV43" s="417">
        <v>0</v>
      </c>
      <c r="AW43" s="417">
        <v>0</v>
      </c>
      <c r="AX43" s="375">
        <f t="shared" si="97"/>
        <v>0</v>
      </c>
      <c r="AY43" s="366">
        <f t="shared" si="85"/>
        <v>0</v>
      </c>
      <c r="AZ43" s="165" t="e">
        <f t="shared" si="86"/>
        <v>#DIV/0!</v>
      </c>
      <c r="BA43" s="212"/>
      <c r="BB43" s="417">
        <v>0</v>
      </c>
      <c r="BC43" s="417">
        <v>0</v>
      </c>
      <c r="BD43" s="417">
        <v>0</v>
      </c>
      <c r="BE43" s="417">
        <v>0</v>
      </c>
      <c r="BF43" s="417">
        <v>0</v>
      </c>
      <c r="BG43" s="417">
        <v>0</v>
      </c>
      <c r="BH43" s="417">
        <v>0</v>
      </c>
      <c r="BI43" s="417">
        <v>0</v>
      </c>
      <c r="BJ43" s="417">
        <v>0</v>
      </c>
      <c r="BK43" s="819">
        <v>0</v>
      </c>
      <c r="BL43" s="417">
        <v>0</v>
      </c>
      <c r="BM43" s="417">
        <v>0</v>
      </c>
      <c r="BN43" s="375">
        <v>0</v>
      </c>
      <c r="BO43" s="212"/>
      <c r="BP43" s="818">
        <v>0</v>
      </c>
      <c r="BQ43" s="818">
        <v>0</v>
      </c>
      <c r="BR43" s="818">
        <v>0</v>
      </c>
      <c r="BS43" s="818">
        <v>0</v>
      </c>
      <c r="BT43" s="818">
        <v>0</v>
      </c>
      <c r="BU43" s="818">
        <v>0</v>
      </c>
      <c r="BV43" s="818">
        <v>0</v>
      </c>
      <c r="BW43" s="818">
        <v>0</v>
      </c>
      <c r="BX43" s="818">
        <v>0</v>
      </c>
      <c r="BY43" s="818">
        <v>0</v>
      </c>
      <c r="BZ43" s="818">
        <v>0</v>
      </c>
      <c r="CA43" s="818">
        <v>0</v>
      </c>
      <c r="CB43" s="375">
        <f t="shared" si="87"/>
        <v>0</v>
      </c>
      <c r="CC43" s="366">
        <f t="shared" si="88"/>
        <v>0</v>
      </c>
      <c r="CD43" s="165" t="str">
        <f t="shared" si="89"/>
        <v>N/A</v>
      </c>
      <c r="CE43" s="367"/>
      <c r="CF43" s="373">
        <v>0</v>
      </c>
      <c r="CG43" s="373">
        <v>0</v>
      </c>
      <c r="CH43" s="373">
        <v>0</v>
      </c>
      <c r="CI43" s="373">
        <v>0</v>
      </c>
      <c r="CJ43" s="373">
        <v>0</v>
      </c>
      <c r="CK43" s="373">
        <v>0</v>
      </c>
      <c r="CL43" s="373">
        <v>0</v>
      </c>
      <c r="CM43" s="373">
        <v>0</v>
      </c>
      <c r="CN43" s="373">
        <v>0</v>
      </c>
      <c r="CO43" s="373">
        <v>0</v>
      </c>
      <c r="CP43" s="373">
        <v>0</v>
      </c>
      <c r="CQ43" s="373">
        <v>0</v>
      </c>
      <c r="CR43" s="376"/>
      <c r="CS43" s="375">
        <f t="shared" si="90"/>
        <v>0</v>
      </c>
      <c r="CT43" s="378">
        <f t="shared" si="95"/>
        <v>0</v>
      </c>
      <c r="CU43" s="165" t="str">
        <f t="shared" si="91"/>
        <v>N/A</v>
      </c>
      <c r="CV43" s="320"/>
      <c r="CW43" s="373">
        <v>0</v>
      </c>
      <c r="CX43" s="373">
        <v>0</v>
      </c>
      <c r="CY43" s="373">
        <v>0</v>
      </c>
      <c r="CZ43" s="373">
        <v>0</v>
      </c>
      <c r="DA43" s="373">
        <v>0</v>
      </c>
      <c r="DB43" s="373">
        <v>0</v>
      </c>
      <c r="DC43" s="373">
        <v>0</v>
      </c>
      <c r="DD43" s="373">
        <v>0</v>
      </c>
      <c r="DE43" s="373">
        <v>0</v>
      </c>
      <c r="DF43" s="373">
        <v>0</v>
      </c>
      <c r="DG43" s="373">
        <v>0</v>
      </c>
      <c r="DH43" s="373">
        <v>0</v>
      </c>
      <c r="DI43" s="375">
        <f t="shared" si="92"/>
        <v>0</v>
      </c>
      <c r="DJ43" s="320"/>
      <c r="DK43" s="373">
        <v>0</v>
      </c>
      <c r="DL43" s="373">
        <v>0</v>
      </c>
      <c r="DM43" s="373">
        <v>0</v>
      </c>
      <c r="DN43" s="373">
        <v>0</v>
      </c>
      <c r="DO43" s="373">
        <v>0</v>
      </c>
      <c r="DP43" s="373">
        <v>0</v>
      </c>
      <c r="DQ43" s="373">
        <v>0</v>
      </c>
      <c r="DR43" s="373">
        <v>0</v>
      </c>
      <c r="DS43" s="373">
        <v>0</v>
      </c>
      <c r="DT43" s="373">
        <v>0</v>
      </c>
      <c r="DU43" s="373">
        <v>0</v>
      </c>
      <c r="DV43" s="373">
        <v>0</v>
      </c>
      <c r="DW43" s="375">
        <f t="shared" si="93"/>
        <v>0</v>
      </c>
      <c r="DY43" s="373">
        <v>0</v>
      </c>
      <c r="DZ43" s="373">
        <v>0</v>
      </c>
      <c r="EA43" s="373">
        <v>0</v>
      </c>
      <c r="EB43" s="373">
        <v>0</v>
      </c>
      <c r="EC43" s="373">
        <v>0</v>
      </c>
      <c r="ED43" s="373">
        <v>0</v>
      </c>
      <c r="EE43" s="373">
        <v>0</v>
      </c>
      <c r="EF43" s="373">
        <v>0</v>
      </c>
      <c r="EG43" s="373">
        <v>0</v>
      </c>
      <c r="EH43" s="373">
        <v>0</v>
      </c>
      <c r="EI43" s="373">
        <v>0</v>
      </c>
      <c r="EJ43" s="373">
        <v>0</v>
      </c>
      <c r="EK43" s="375">
        <f t="shared" si="94"/>
        <v>0</v>
      </c>
      <c r="EL43" s="177"/>
      <c r="EM43" s="373">
        <v>0</v>
      </c>
      <c r="EN43" s="373">
        <v>0</v>
      </c>
      <c r="EO43" s="373">
        <v>0</v>
      </c>
      <c r="EP43" s="373">
        <v>0</v>
      </c>
      <c r="EQ43" s="373">
        <v>0</v>
      </c>
      <c r="ER43" s="373">
        <v>0</v>
      </c>
      <c r="ES43" s="373">
        <v>0</v>
      </c>
      <c r="ET43" s="373">
        <v>0</v>
      </c>
      <c r="EU43" s="373">
        <v>0</v>
      </c>
      <c r="EV43" s="373">
        <v>0</v>
      </c>
      <c r="EW43" s="373">
        <v>0</v>
      </c>
      <c r="EX43" s="373">
        <v>0</v>
      </c>
      <c r="EY43" s="375">
        <f t="shared" si="96"/>
        <v>0</v>
      </c>
      <c r="EZ43" s="164"/>
      <c r="FC43" s="185">
        <v>0</v>
      </c>
    </row>
    <row r="44" spans="1:159" ht="18.75" hidden="1" customHeight="1" outlineLevel="1">
      <c r="A44" s="185" t="s">
        <v>329</v>
      </c>
      <c r="B44" s="176">
        <v>60112000</v>
      </c>
      <c r="C44" s="176" t="s">
        <v>109</v>
      </c>
      <c r="D44" s="176" t="s">
        <v>109</v>
      </c>
      <c r="E44" s="324"/>
      <c r="F44" s="320" t="s">
        <v>636</v>
      </c>
      <c r="G44" s="320"/>
      <c r="H44" s="417">
        <v>0</v>
      </c>
      <c r="I44" s="417">
        <v>0</v>
      </c>
      <c r="J44" s="417">
        <v>0</v>
      </c>
      <c r="K44" s="417">
        <v>0</v>
      </c>
      <c r="L44" s="417">
        <v>0</v>
      </c>
      <c r="M44" s="417">
        <v>0</v>
      </c>
      <c r="N44" s="417">
        <v>0</v>
      </c>
      <c r="O44" s="417">
        <v>0</v>
      </c>
      <c r="P44" s="417">
        <v>0</v>
      </c>
      <c r="Q44" s="819">
        <v>0</v>
      </c>
      <c r="R44" s="417">
        <v>0</v>
      </c>
      <c r="S44" s="417">
        <v>0</v>
      </c>
      <c r="T44" s="402"/>
      <c r="U44" s="366">
        <f t="shared" si="81"/>
        <v>0</v>
      </c>
      <c r="V44" s="165" t="e">
        <f t="shared" si="82"/>
        <v>#DIV/0!</v>
      </c>
      <c r="W44" s="212"/>
      <c r="X44" s="417">
        <v>0</v>
      </c>
      <c r="Y44" s="417">
        <v>0</v>
      </c>
      <c r="Z44" s="417">
        <v>0</v>
      </c>
      <c r="AA44" s="417">
        <v>0</v>
      </c>
      <c r="AB44" s="417">
        <v>0</v>
      </c>
      <c r="AC44" s="417">
        <v>0</v>
      </c>
      <c r="AD44" s="417">
        <v>0</v>
      </c>
      <c r="AE44" s="417">
        <v>0</v>
      </c>
      <c r="AF44" s="417">
        <v>0</v>
      </c>
      <c r="AG44" s="819">
        <v>0</v>
      </c>
      <c r="AH44" s="417">
        <v>0</v>
      </c>
      <c r="AI44" s="417">
        <v>0</v>
      </c>
      <c r="AJ44" s="375">
        <f t="shared" si="83"/>
        <v>0</v>
      </c>
      <c r="AK44" s="212"/>
      <c r="AL44" s="417">
        <v>0</v>
      </c>
      <c r="AM44" s="417">
        <v>0</v>
      </c>
      <c r="AN44" s="417">
        <v>0</v>
      </c>
      <c r="AO44" s="417">
        <v>0</v>
      </c>
      <c r="AP44" s="417">
        <v>0</v>
      </c>
      <c r="AQ44" s="417">
        <v>0</v>
      </c>
      <c r="AR44" s="417">
        <v>0</v>
      </c>
      <c r="AS44" s="417">
        <v>0</v>
      </c>
      <c r="AT44" s="417">
        <v>0</v>
      </c>
      <c r="AU44" s="819">
        <v>0</v>
      </c>
      <c r="AV44" s="417">
        <v>0</v>
      </c>
      <c r="AW44" s="417">
        <v>0</v>
      </c>
      <c r="AX44" s="375">
        <f t="shared" si="97"/>
        <v>0</v>
      </c>
      <c r="AY44" s="366">
        <f t="shared" si="85"/>
        <v>0</v>
      </c>
      <c r="AZ44" s="165" t="e">
        <f t="shared" si="86"/>
        <v>#DIV/0!</v>
      </c>
      <c r="BA44" s="212"/>
      <c r="BB44" s="417">
        <v>0</v>
      </c>
      <c r="BC44" s="417">
        <v>0</v>
      </c>
      <c r="BD44" s="417">
        <v>0</v>
      </c>
      <c r="BE44" s="417">
        <v>0</v>
      </c>
      <c r="BF44" s="417">
        <v>0</v>
      </c>
      <c r="BG44" s="417">
        <v>0</v>
      </c>
      <c r="BH44" s="417">
        <v>0</v>
      </c>
      <c r="BI44" s="417">
        <v>0</v>
      </c>
      <c r="BJ44" s="417">
        <v>0</v>
      </c>
      <c r="BK44" s="819">
        <v>0</v>
      </c>
      <c r="BL44" s="417">
        <v>0</v>
      </c>
      <c r="BM44" s="417">
        <v>0</v>
      </c>
      <c r="BN44" s="375">
        <v>0</v>
      </c>
      <c r="BO44" s="212"/>
      <c r="BP44" s="818">
        <v>0</v>
      </c>
      <c r="BQ44" s="818">
        <v>0</v>
      </c>
      <c r="BR44" s="818">
        <v>0</v>
      </c>
      <c r="BS44" s="818">
        <v>0</v>
      </c>
      <c r="BT44" s="818">
        <v>0</v>
      </c>
      <c r="BU44" s="818">
        <v>0</v>
      </c>
      <c r="BV44" s="818">
        <v>0</v>
      </c>
      <c r="BW44" s="818">
        <v>0</v>
      </c>
      <c r="BX44" s="818">
        <v>0</v>
      </c>
      <c r="BY44" s="818">
        <v>0</v>
      </c>
      <c r="BZ44" s="818">
        <v>0</v>
      </c>
      <c r="CA44" s="818">
        <v>0</v>
      </c>
      <c r="CB44" s="375">
        <f t="shared" si="87"/>
        <v>0</v>
      </c>
      <c r="CC44" s="366">
        <f t="shared" si="88"/>
        <v>0</v>
      </c>
      <c r="CD44" s="165" t="str">
        <f t="shared" si="89"/>
        <v>N/A</v>
      </c>
      <c r="CE44" s="367"/>
      <c r="CF44" s="373">
        <v>0</v>
      </c>
      <c r="CG44" s="373">
        <v>0</v>
      </c>
      <c r="CH44" s="373">
        <v>0</v>
      </c>
      <c r="CI44" s="373">
        <v>0</v>
      </c>
      <c r="CJ44" s="373">
        <v>0</v>
      </c>
      <c r="CK44" s="373">
        <v>0</v>
      </c>
      <c r="CL44" s="373">
        <v>0</v>
      </c>
      <c r="CM44" s="373">
        <v>0</v>
      </c>
      <c r="CN44" s="373">
        <v>0</v>
      </c>
      <c r="CO44" s="373">
        <v>0</v>
      </c>
      <c r="CP44" s="373">
        <v>0</v>
      </c>
      <c r="CQ44" s="373">
        <v>0</v>
      </c>
      <c r="CR44" s="376"/>
      <c r="CS44" s="375">
        <f t="shared" si="90"/>
        <v>0</v>
      </c>
      <c r="CT44" s="378">
        <f t="shared" si="95"/>
        <v>0</v>
      </c>
      <c r="CU44" s="165" t="str">
        <f t="shared" si="91"/>
        <v>N/A</v>
      </c>
      <c r="CV44" s="320"/>
      <c r="CW44" s="373">
        <v>0</v>
      </c>
      <c r="CX44" s="373">
        <v>0</v>
      </c>
      <c r="CY44" s="373">
        <v>0</v>
      </c>
      <c r="CZ44" s="373">
        <v>0</v>
      </c>
      <c r="DA44" s="373">
        <v>0</v>
      </c>
      <c r="DB44" s="373">
        <v>0</v>
      </c>
      <c r="DC44" s="373">
        <v>0</v>
      </c>
      <c r="DD44" s="373">
        <v>0</v>
      </c>
      <c r="DE44" s="373">
        <v>0</v>
      </c>
      <c r="DF44" s="373">
        <v>0</v>
      </c>
      <c r="DG44" s="373">
        <v>0</v>
      </c>
      <c r="DH44" s="373">
        <v>0</v>
      </c>
      <c r="DI44" s="375">
        <f t="shared" si="92"/>
        <v>0</v>
      </c>
      <c r="DJ44" s="320"/>
      <c r="DK44" s="373"/>
      <c r="DL44" s="373"/>
      <c r="DM44" s="373"/>
      <c r="DN44" s="373"/>
      <c r="DO44" s="373"/>
      <c r="DP44" s="373"/>
      <c r="DQ44" s="373"/>
      <c r="DR44" s="373"/>
      <c r="DS44" s="373"/>
      <c r="DT44" s="373"/>
      <c r="DU44" s="373"/>
      <c r="DV44" s="373"/>
      <c r="DW44" s="375">
        <f t="shared" si="93"/>
        <v>0</v>
      </c>
      <c r="DY44" s="373"/>
      <c r="DZ44" s="373"/>
      <c r="EA44" s="373"/>
      <c r="EB44" s="373"/>
      <c r="EC44" s="373"/>
      <c r="ED44" s="373"/>
      <c r="EE44" s="373"/>
      <c r="EF44" s="373"/>
      <c r="EG44" s="373"/>
      <c r="EH44" s="373"/>
      <c r="EI44" s="373"/>
      <c r="EJ44" s="373"/>
      <c r="EK44" s="375">
        <f t="shared" si="94"/>
        <v>0</v>
      </c>
      <c r="EL44" s="177"/>
      <c r="EM44" s="373"/>
      <c r="EN44" s="373"/>
      <c r="EO44" s="373"/>
      <c r="EP44" s="373"/>
      <c r="EQ44" s="373"/>
      <c r="ER44" s="373"/>
      <c r="ES44" s="373"/>
      <c r="ET44" s="373"/>
      <c r="EU44" s="373"/>
      <c r="EV44" s="373"/>
      <c r="EW44" s="373"/>
      <c r="EX44" s="373"/>
      <c r="EY44" s="375">
        <f t="shared" si="96"/>
        <v>0</v>
      </c>
      <c r="EZ44" s="164"/>
      <c r="FC44" s="185">
        <v>0</v>
      </c>
    </row>
    <row r="45" spans="1:159" ht="18.75" customHeight="1" collapsed="1">
      <c r="A45" s="185" t="s">
        <v>601</v>
      </c>
      <c r="B45" s="176">
        <v>60113000</v>
      </c>
      <c r="C45" s="176" t="s">
        <v>1107</v>
      </c>
      <c r="D45" s="176" t="s">
        <v>109</v>
      </c>
      <c r="E45" s="324"/>
      <c r="F45" s="320" t="s">
        <v>602</v>
      </c>
      <c r="G45" s="320"/>
      <c r="H45" s="417">
        <v>0</v>
      </c>
      <c r="I45" s="417">
        <v>0</v>
      </c>
      <c r="J45" s="417">
        <v>0</v>
      </c>
      <c r="K45" s="417">
        <v>0</v>
      </c>
      <c r="L45" s="417">
        <v>0</v>
      </c>
      <c r="M45" s="417">
        <v>0</v>
      </c>
      <c r="N45" s="417">
        <v>0</v>
      </c>
      <c r="O45" s="417">
        <v>0</v>
      </c>
      <c r="P45" s="417">
        <v>0</v>
      </c>
      <c r="Q45" s="819">
        <v>0</v>
      </c>
      <c r="R45" s="417">
        <v>0</v>
      </c>
      <c r="S45" s="417">
        <v>380678.28173299989</v>
      </c>
      <c r="T45" s="402"/>
      <c r="U45" s="366">
        <f t="shared" si="81"/>
        <v>248244.95000000007</v>
      </c>
      <c r="V45" s="165">
        <f t="shared" si="82"/>
        <v>1</v>
      </c>
      <c r="W45" s="212"/>
      <c r="X45" s="417">
        <v>25565.39</v>
      </c>
      <c r="Y45" s="417">
        <v>25565.39</v>
      </c>
      <c r="Z45" s="417">
        <v>24585.260000000002</v>
      </c>
      <c r="AA45" s="417">
        <v>25565.260000000002</v>
      </c>
      <c r="AB45" s="417">
        <v>12169.93</v>
      </c>
      <c r="AC45" s="417">
        <v>-2181.1200000000003</v>
      </c>
      <c r="AD45" s="417">
        <v>23874.14</v>
      </c>
      <c r="AE45" s="417">
        <v>22584.14</v>
      </c>
      <c r="AF45" s="417">
        <v>22584.14</v>
      </c>
      <c r="AG45" s="819">
        <v>22584.14</v>
      </c>
      <c r="AH45" s="417">
        <v>22764.14</v>
      </c>
      <c r="AI45" s="417">
        <v>22584.14</v>
      </c>
      <c r="AJ45" s="375">
        <f t="shared" si="83"/>
        <v>248244.95000000007</v>
      </c>
      <c r="AK45" s="212"/>
      <c r="AL45" s="417">
        <v>0</v>
      </c>
      <c r="AM45" s="417">
        <v>0</v>
      </c>
      <c r="AN45" s="417">
        <v>0</v>
      </c>
      <c r="AO45" s="417">
        <v>0</v>
      </c>
      <c r="AP45" s="417">
        <v>0</v>
      </c>
      <c r="AQ45" s="417">
        <v>0</v>
      </c>
      <c r="AR45" s="417">
        <v>0</v>
      </c>
      <c r="AS45" s="417">
        <v>0</v>
      </c>
      <c r="AT45" s="417">
        <v>0</v>
      </c>
      <c r="AU45" s="819">
        <v>0</v>
      </c>
      <c r="AV45" s="417">
        <v>0</v>
      </c>
      <c r="AW45" s="417">
        <v>380678.28173299989</v>
      </c>
      <c r="AX45" s="375">
        <f t="shared" si="97"/>
        <v>380678.28173299989</v>
      </c>
      <c r="AY45" s="366">
        <f t="shared" si="85"/>
        <v>-86955.551732999855</v>
      </c>
      <c r="AZ45" s="165">
        <f t="shared" si="86"/>
        <v>-0.2960463826990844</v>
      </c>
      <c r="BA45" s="212"/>
      <c r="BB45" s="417">
        <v>19379.039999999997</v>
      </c>
      <c r="BC45" s="417">
        <v>19379.039999999997</v>
      </c>
      <c r="BD45" s="417">
        <v>19378.919999999998</v>
      </c>
      <c r="BE45" s="417">
        <v>31367.14</v>
      </c>
      <c r="BF45" s="417">
        <v>19763.640000000003</v>
      </c>
      <c r="BG45" s="417">
        <v>26342.61</v>
      </c>
      <c r="BH45" s="417">
        <v>25565.39</v>
      </c>
      <c r="BI45" s="417">
        <v>30285.39</v>
      </c>
      <c r="BJ45" s="417">
        <v>25565.39</v>
      </c>
      <c r="BK45" s="819">
        <v>25565.39</v>
      </c>
      <c r="BL45" s="417">
        <v>25565.39</v>
      </c>
      <c r="BM45" s="417">
        <v>25565.39</v>
      </c>
      <c r="BN45" s="375">
        <v>293722.73000000004</v>
      </c>
      <c r="BO45" s="212"/>
      <c r="BP45" s="818">
        <v>19379.039999999997</v>
      </c>
      <c r="BQ45" s="818">
        <v>19379.039999999997</v>
      </c>
      <c r="BR45" s="818">
        <v>19379.039999999997</v>
      </c>
      <c r="BS45" s="818">
        <v>31367.13722222222</v>
      </c>
      <c r="BT45" s="818">
        <v>31367.13722222222</v>
      </c>
      <c r="BU45" s="818">
        <v>31367.13722222222</v>
      </c>
      <c r="BV45" s="818">
        <v>31367.13722222222</v>
      </c>
      <c r="BW45" s="818">
        <v>31367.13722222222</v>
      </c>
      <c r="BX45" s="818">
        <v>31367.13722222222</v>
      </c>
      <c r="BY45" s="818">
        <v>31367.13722222222</v>
      </c>
      <c r="BZ45" s="818">
        <v>31367.13722222222</v>
      </c>
      <c r="CA45" s="818">
        <v>31367.13722222222</v>
      </c>
      <c r="CB45" s="375">
        <f t="shared" si="87"/>
        <v>340441.35500000004</v>
      </c>
      <c r="CC45" s="366">
        <f t="shared" si="88"/>
        <v>46718.625</v>
      </c>
      <c r="CD45" s="165">
        <f t="shared" si="89"/>
        <v>0.13722958246362282</v>
      </c>
      <c r="CE45" s="367"/>
      <c r="CF45" s="373">
        <v>13165</v>
      </c>
      <c r="CG45" s="373">
        <v>13165</v>
      </c>
      <c r="CH45" s="373">
        <v>20397</v>
      </c>
      <c r="CI45" s="373">
        <v>8125</v>
      </c>
      <c r="CJ45" s="373">
        <v>56712.639999999999</v>
      </c>
      <c r="CK45" s="373">
        <v>31907.039999999997</v>
      </c>
      <c r="CL45" s="373">
        <v>28582.039999999997</v>
      </c>
      <c r="CM45" s="373">
        <v>23492.039999999997</v>
      </c>
      <c r="CN45" s="373">
        <v>20771.539999999997</v>
      </c>
      <c r="CO45" s="373">
        <v>19379.039999999997</v>
      </c>
      <c r="CP45" s="373">
        <v>19379.039999999997</v>
      </c>
      <c r="CQ45" s="373">
        <v>19379.039999999997</v>
      </c>
      <c r="CR45" s="376"/>
      <c r="CS45" s="375">
        <f t="shared" si="90"/>
        <v>274454.42000000004</v>
      </c>
      <c r="CT45" s="378">
        <f t="shared" si="95"/>
        <v>-19268.309999999998</v>
      </c>
      <c r="CU45" s="165">
        <f t="shared" si="91"/>
        <v>-7.0205865148755833E-2</v>
      </c>
      <c r="CV45" s="320"/>
      <c r="CW45" s="373">
        <v>14254</v>
      </c>
      <c r="CX45" s="373">
        <v>5944</v>
      </c>
      <c r="CY45" s="373">
        <v>19509</v>
      </c>
      <c r="CZ45" s="373">
        <v>17852.169999999998</v>
      </c>
      <c r="DA45" s="373">
        <v>19390</v>
      </c>
      <c r="DB45" s="373">
        <v>13165</v>
      </c>
      <c r="DC45" s="373">
        <v>20080</v>
      </c>
      <c r="DD45" s="373">
        <v>13165</v>
      </c>
      <c r="DE45" s="373">
        <v>51193.7</v>
      </c>
      <c r="DF45" s="373">
        <v>20658</v>
      </c>
      <c r="DG45" s="373">
        <v>13320</v>
      </c>
      <c r="DH45" s="373">
        <v>19009</v>
      </c>
      <c r="DI45" s="375">
        <f t="shared" si="92"/>
        <v>227539.87</v>
      </c>
      <c r="DJ45" s="320"/>
      <c r="DK45" s="373">
        <v>4192.7700000000004</v>
      </c>
      <c r="DL45" s="373">
        <v>3412.56</v>
      </c>
      <c r="DM45" s="373">
        <v>3464.25</v>
      </c>
      <c r="DN45" s="373">
        <v>7928</v>
      </c>
      <c r="DO45" s="373">
        <v>22946.2</v>
      </c>
      <c r="DP45" s="373">
        <v>13814</v>
      </c>
      <c r="DQ45" s="373">
        <v>7628.9999999999991</v>
      </c>
      <c r="DR45" s="373">
        <v>7957.25</v>
      </c>
      <c r="DS45" s="373">
        <v>10439</v>
      </c>
      <c r="DT45" s="373">
        <v>6594</v>
      </c>
      <c r="DU45" s="373">
        <v>5944</v>
      </c>
      <c r="DV45" s="373">
        <v>7388.01</v>
      </c>
      <c r="DW45" s="375">
        <f t="shared" si="93"/>
        <v>101709.04</v>
      </c>
      <c r="DY45" s="373">
        <v>2145</v>
      </c>
      <c r="DZ45" s="373">
        <v>0</v>
      </c>
      <c r="EA45" s="373">
        <v>-1497.8500000000001</v>
      </c>
      <c r="EB45" s="373">
        <v>409</v>
      </c>
      <c r="EC45" s="373">
        <v>7221.7500000000009</v>
      </c>
      <c r="ED45" s="373">
        <v>0</v>
      </c>
      <c r="EE45" s="373">
        <v>1355</v>
      </c>
      <c r="EF45" s="373">
        <v>794.00000000000011</v>
      </c>
      <c r="EG45" s="373">
        <v>2295</v>
      </c>
      <c r="EH45" s="373">
        <v>100</v>
      </c>
      <c r="EI45" s="373">
        <v>0</v>
      </c>
      <c r="EJ45" s="373">
        <v>2390.25</v>
      </c>
      <c r="EK45" s="375">
        <f t="shared" si="94"/>
        <v>15212.150000000001</v>
      </c>
      <c r="EL45" s="177"/>
      <c r="EM45" s="373">
        <v>215.8</v>
      </c>
      <c r="EN45" s="373">
        <v>0</v>
      </c>
      <c r="EO45" s="373">
        <v>9323.619999999999</v>
      </c>
      <c r="EP45" s="373">
        <v>0</v>
      </c>
      <c r="EQ45" s="373">
        <v>0</v>
      </c>
      <c r="ER45" s="373">
        <v>0</v>
      </c>
      <c r="ES45" s="373">
        <v>2169</v>
      </c>
      <c r="ET45" s="373">
        <v>0</v>
      </c>
      <c r="EU45" s="373">
        <v>0</v>
      </c>
      <c r="EV45" s="373">
        <v>0</v>
      </c>
      <c r="EW45" s="373">
        <v>0</v>
      </c>
      <c r="EX45" s="373">
        <v>0</v>
      </c>
      <c r="EY45" s="375">
        <f>SUM(EM45:EX45)</f>
        <v>11708.419999999998</v>
      </c>
      <c r="EZ45" s="164"/>
      <c r="FC45" s="185">
        <v>0</v>
      </c>
    </row>
    <row r="46" spans="1:159" ht="18.75" customHeight="1">
      <c r="A46" s="185" t="s">
        <v>329</v>
      </c>
      <c r="B46" s="176">
        <v>60113100</v>
      </c>
      <c r="C46" s="176" t="s">
        <v>109</v>
      </c>
      <c r="D46" s="176" t="s">
        <v>109</v>
      </c>
      <c r="E46" s="324"/>
      <c r="F46" s="320" t="s">
        <v>637</v>
      </c>
      <c r="G46" s="320"/>
      <c r="H46" s="417">
        <v>0</v>
      </c>
      <c r="I46" s="417">
        <v>0</v>
      </c>
      <c r="J46" s="417">
        <v>0</v>
      </c>
      <c r="K46" s="417">
        <v>0</v>
      </c>
      <c r="L46" s="417">
        <v>0</v>
      </c>
      <c r="M46" s="417">
        <v>0</v>
      </c>
      <c r="N46" s="417">
        <v>0</v>
      </c>
      <c r="O46" s="417">
        <v>0</v>
      </c>
      <c r="P46" s="417">
        <v>0</v>
      </c>
      <c r="Q46" s="819">
        <v>0</v>
      </c>
      <c r="R46" s="417">
        <v>0</v>
      </c>
      <c r="S46" s="417">
        <v>536565.50377915159</v>
      </c>
      <c r="T46" s="402"/>
      <c r="U46" s="366">
        <f t="shared" si="81"/>
        <v>238180.41000000009</v>
      </c>
      <c r="V46" s="165">
        <f t="shared" si="82"/>
        <v>1</v>
      </c>
      <c r="W46" s="212"/>
      <c r="X46" s="417">
        <v>23874.920000000006</v>
      </c>
      <c r="Y46" s="417">
        <v>23874.920000000006</v>
      </c>
      <c r="Z46" s="417">
        <v>23875.040000000001</v>
      </c>
      <c r="AA46" s="417">
        <v>661.53000000000009</v>
      </c>
      <c r="AB46" s="417">
        <v>20596.22</v>
      </c>
      <c r="AC46" s="417">
        <v>20189.8</v>
      </c>
      <c r="AD46" s="417">
        <v>20851.330000000002</v>
      </c>
      <c r="AE46" s="417">
        <v>20851.330000000002</v>
      </c>
      <c r="AF46" s="417">
        <v>20851.330000000002</v>
      </c>
      <c r="AG46" s="819">
        <v>20851.330000000002</v>
      </c>
      <c r="AH46" s="417">
        <v>20851.330000000002</v>
      </c>
      <c r="AI46" s="417">
        <v>20851.330000000002</v>
      </c>
      <c r="AJ46" s="375">
        <f t="shared" si="83"/>
        <v>238180.41000000009</v>
      </c>
      <c r="AK46" s="212"/>
      <c r="AL46" s="417">
        <v>0</v>
      </c>
      <c r="AM46" s="417">
        <v>0</v>
      </c>
      <c r="AN46" s="417">
        <v>0</v>
      </c>
      <c r="AO46" s="417">
        <v>0</v>
      </c>
      <c r="AP46" s="417">
        <v>0</v>
      </c>
      <c r="AQ46" s="417">
        <v>0</v>
      </c>
      <c r="AR46" s="417">
        <v>0</v>
      </c>
      <c r="AS46" s="417">
        <v>0</v>
      </c>
      <c r="AT46" s="417">
        <v>0</v>
      </c>
      <c r="AU46" s="819">
        <v>0</v>
      </c>
      <c r="AV46" s="417">
        <v>0</v>
      </c>
      <c r="AW46" s="417">
        <v>536565.50377915159</v>
      </c>
      <c r="AX46" s="375">
        <f t="shared" si="97"/>
        <v>536565.50377915159</v>
      </c>
      <c r="AY46" s="366">
        <f t="shared" si="85"/>
        <v>-256975.01377915154</v>
      </c>
      <c r="AZ46" s="165">
        <f t="shared" si="86"/>
        <v>-0.91911214068529834</v>
      </c>
      <c r="BA46" s="212"/>
      <c r="BB46" s="417">
        <v>24465.01</v>
      </c>
      <c r="BC46" s="417">
        <v>24465.01</v>
      </c>
      <c r="BD46" s="417">
        <v>24465.09</v>
      </c>
      <c r="BE46" s="417">
        <v>26217.87</v>
      </c>
      <c r="BF46" s="417">
        <v>21599.010000000002</v>
      </c>
      <c r="BG46" s="417">
        <v>15128.980000000001</v>
      </c>
      <c r="BH46" s="417">
        <v>23874.920000000006</v>
      </c>
      <c r="BI46" s="417">
        <v>23874.920000000006</v>
      </c>
      <c r="BJ46" s="417">
        <v>23874.920000000006</v>
      </c>
      <c r="BK46" s="819">
        <v>23874.920000000006</v>
      </c>
      <c r="BL46" s="417">
        <v>23874.920000000006</v>
      </c>
      <c r="BM46" s="417">
        <v>23874.920000000006</v>
      </c>
      <c r="BN46" s="375">
        <v>279590.49000000005</v>
      </c>
      <c r="BO46" s="212"/>
      <c r="BP46" s="818">
        <v>26217.864489000254</v>
      </c>
      <c r="BQ46" s="818">
        <v>26217.864489000254</v>
      </c>
      <c r="BR46" s="818">
        <v>26217.864489000254</v>
      </c>
      <c r="BS46" s="818">
        <v>26217.864489000254</v>
      </c>
      <c r="BT46" s="818">
        <v>26217.864489000254</v>
      </c>
      <c r="BU46" s="818">
        <v>26217.864489000254</v>
      </c>
      <c r="BV46" s="818">
        <v>26217.864489000254</v>
      </c>
      <c r="BW46" s="818">
        <v>26217.864489000254</v>
      </c>
      <c r="BX46" s="818">
        <v>26217.864489000254</v>
      </c>
      <c r="BY46" s="818">
        <v>26217.864489000254</v>
      </c>
      <c r="BZ46" s="818">
        <v>26217.864489000254</v>
      </c>
      <c r="CA46" s="818">
        <v>26217.864489000254</v>
      </c>
      <c r="CB46" s="375">
        <f t="shared" si="87"/>
        <v>314614.37386800302</v>
      </c>
      <c r="CC46" s="366">
        <f t="shared" si="88"/>
        <v>35023.883868002973</v>
      </c>
      <c r="CD46" s="165">
        <f t="shared" si="89"/>
        <v>0.11132321590207224</v>
      </c>
      <c r="CE46" s="367"/>
      <c r="CF46" s="373">
        <v>18281</v>
      </c>
      <c r="CG46" s="373">
        <v>18281</v>
      </c>
      <c r="CH46" s="373">
        <v>18281</v>
      </c>
      <c r="CI46" s="373">
        <v>0</v>
      </c>
      <c r="CJ46" s="373">
        <v>0</v>
      </c>
      <c r="CK46" s="373">
        <v>0</v>
      </c>
      <c r="CL46" s="373">
        <v>0</v>
      </c>
      <c r="CM46" s="373">
        <v>153232.28</v>
      </c>
      <c r="CN46" s="373">
        <v>40180.909999999996</v>
      </c>
      <c r="CO46" s="373">
        <v>40180.89</v>
      </c>
      <c r="CP46" s="373">
        <v>-6966.7700000000041</v>
      </c>
      <c r="CQ46" s="373">
        <v>24465.01</v>
      </c>
      <c r="CR46" s="376"/>
      <c r="CS46" s="375">
        <f t="shared" si="90"/>
        <v>305935.32</v>
      </c>
      <c r="CT46" s="378">
        <f t="shared" si="95"/>
        <v>26344.829999999958</v>
      </c>
      <c r="CU46" s="165">
        <f t="shared" si="91"/>
        <v>8.6112417487460929E-2</v>
      </c>
      <c r="CV46" s="320"/>
      <c r="CW46" s="373">
        <v>22431.38</v>
      </c>
      <c r="CX46" s="373">
        <v>22373.360000000001</v>
      </c>
      <c r="CY46" s="373">
        <v>25988.76</v>
      </c>
      <c r="CZ46" s="373">
        <v>18954.240000000002</v>
      </c>
      <c r="DA46" s="373">
        <v>18281</v>
      </c>
      <c r="DB46" s="373">
        <v>19207</v>
      </c>
      <c r="DC46" s="373">
        <v>18281</v>
      </c>
      <c r="DD46" s="373">
        <v>18281</v>
      </c>
      <c r="DE46" s="373">
        <v>18281</v>
      </c>
      <c r="DF46" s="373">
        <v>18281</v>
      </c>
      <c r="DG46" s="373">
        <v>18281</v>
      </c>
      <c r="DH46" s="373">
        <v>14412.5</v>
      </c>
      <c r="DI46" s="375">
        <f t="shared" si="92"/>
        <v>233053.24</v>
      </c>
      <c r="DJ46" s="320"/>
      <c r="DK46" s="373">
        <v>208</v>
      </c>
      <c r="DL46" s="373">
        <v>1388.11</v>
      </c>
      <c r="DM46" s="373">
        <v>46628.79</v>
      </c>
      <c r="DN46" s="373">
        <v>21773</v>
      </c>
      <c r="DO46" s="373">
        <v>21773</v>
      </c>
      <c r="DP46" s="373">
        <v>21589</v>
      </c>
      <c r="DQ46" s="373">
        <v>21589</v>
      </c>
      <c r="DR46" s="373">
        <v>21497</v>
      </c>
      <c r="DS46" s="373">
        <v>22514.14</v>
      </c>
      <c r="DT46" s="373">
        <v>21708.010000000002</v>
      </c>
      <c r="DU46" s="373">
        <v>23196.7</v>
      </c>
      <c r="DV46" s="373">
        <v>21724.13</v>
      </c>
      <c r="DW46" s="375">
        <f t="shared" si="93"/>
        <v>245588.88</v>
      </c>
      <c r="DY46" s="373">
        <v>0</v>
      </c>
      <c r="DZ46" s="373">
        <v>0</v>
      </c>
      <c r="EA46" s="373">
        <v>276</v>
      </c>
      <c r="EB46" s="373">
        <v>10821.97</v>
      </c>
      <c r="EC46" s="373">
        <v>368</v>
      </c>
      <c r="ED46" s="373">
        <v>0</v>
      </c>
      <c r="EE46" s="373">
        <v>0</v>
      </c>
      <c r="EF46" s="373">
        <v>0</v>
      </c>
      <c r="EG46" s="373">
        <v>640</v>
      </c>
      <c r="EH46" s="373">
        <v>0</v>
      </c>
      <c r="EI46" s="373">
        <v>0</v>
      </c>
      <c r="EJ46" s="373">
        <v>1225.45</v>
      </c>
      <c r="EK46" s="375">
        <f t="shared" si="94"/>
        <v>13331.42</v>
      </c>
      <c r="EL46" s="177"/>
      <c r="EM46" s="373">
        <v>0</v>
      </c>
      <c r="EN46" s="373">
        <v>276</v>
      </c>
      <c r="EO46" s="373">
        <v>18101.91</v>
      </c>
      <c r="EP46" s="373">
        <v>0</v>
      </c>
      <c r="EQ46" s="373">
        <v>727</v>
      </c>
      <c r="ER46" s="373">
        <v>14364.380000000001</v>
      </c>
      <c r="ES46" s="373">
        <v>646</v>
      </c>
      <c r="ET46" s="373">
        <v>0</v>
      </c>
      <c r="EU46" s="373">
        <v>0</v>
      </c>
      <c r="EV46" s="373">
        <v>264.07</v>
      </c>
      <c r="EW46" s="373">
        <v>938.00000000000011</v>
      </c>
      <c r="EX46" s="373">
        <v>0</v>
      </c>
      <c r="EY46" s="375">
        <f t="shared" si="96"/>
        <v>35317.360000000001</v>
      </c>
      <c r="EZ46" s="164"/>
      <c r="FC46" s="185">
        <v>0</v>
      </c>
    </row>
    <row r="47" spans="1:159" ht="18.75" customHeight="1">
      <c r="A47" s="185" t="s">
        <v>318</v>
      </c>
      <c r="B47" s="176">
        <v>60114000</v>
      </c>
      <c r="C47" s="176" t="s">
        <v>109</v>
      </c>
      <c r="D47" s="176" t="s">
        <v>109</v>
      </c>
      <c r="E47" s="324"/>
      <c r="F47" s="320" t="s">
        <v>638</v>
      </c>
      <c r="G47" s="320"/>
      <c r="H47" s="417">
        <v>11000</v>
      </c>
      <c r="I47" s="417">
        <v>4500</v>
      </c>
      <c r="J47" s="417">
        <v>16500</v>
      </c>
      <c r="K47" s="417">
        <v>7000</v>
      </c>
      <c r="L47" s="417">
        <v>8500</v>
      </c>
      <c r="M47" s="417">
        <v>62500</v>
      </c>
      <c r="N47" s="417">
        <v>11000</v>
      </c>
      <c r="O47" s="417">
        <v>4500</v>
      </c>
      <c r="P47" s="417">
        <v>21500</v>
      </c>
      <c r="Q47" s="819">
        <v>12000</v>
      </c>
      <c r="R47" s="417">
        <v>13500</v>
      </c>
      <c r="S47" s="417">
        <v>72500</v>
      </c>
      <c r="T47" s="402"/>
      <c r="U47" s="366">
        <f t="shared" si="81"/>
        <v>1804</v>
      </c>
      <c r="V47" s="165">
        <f t="shared" si="82"/>
        <v>1</v>
      </c>
      <c r="W47" s="212"/>
      <c r="X47" s="417">
        <v>1668</v>
      </c>
      <c r="Y47" s="417">
        <v>0</v>
      </c>
      <c r="Z47" s="417">
        <v>0</v>
      </c>
      <c r="AA47" s="417">
        <v>5000</v>
      </c>
      <c r="AB47" s="417">
        <v>0</v>
      </c>
      <c r="AC47" s="417">
        <v>0</v>
      </c>
      <c r="AD47" s="417">
        <v>-3332</v>
      </c>
      <c r="AE47" s="417">
        <v>-3332</v>
      </c>
      <c r="AF47" s="417">
        <v>0</v>
      </c>
      <c r="AG47" s="819">
        <v>0</v>
      </c>
      <c r="AH47" s="417">
        <v>0</v>
      </c>
      <c r="AI47" s="417">
        <v>1800</v>
      </c>
      <c r="AJ47" s="375">
        <f t="shared" si="83"/>
        <v>1804</v>
      </c>
      <c r="AK47" s="212"/>
      <c r="AL47" s="417">
        <v>11000</v>
      </c>
      <c r="AM47" s="417">
        <v>4500</v>
      </c>
      <c r="AN47" s="417">
        <v>16500</v>
      </c>
      <c r="AO47" s="417">
        <v>7000</v>
      </c>
      <c r="AP47" s="417">
        <v>8500</v>
      </c>
      <c r="AQ47" s="417">
        <v>62500</v>
      </c>
      <c r="AR47" s="417">
        <v>11000</v>
      </c>
      <c r="AS47" s="417">
        <v>4500</v>
      </c>
      <c r="AT47" s="417">
        <v>21500</v>
      </c>
      <c r="AU47" s="819">
        <v>12000</v>
      </c>
      <c r="AV47" s="417">
        <v>13500</v>
      </c>
      <c r="AW47" s="417">
        <v>72500</v>
      </c>
      <c r="AX47" s="375">
        <f t="shared" si="97"/>
        <v>245000</v>
      </c>
      <c r="AY47" s="366">
        <f t="shared" si="85"/>
        <v>-226462</v>
      </c>
      <c r="AZ47" s="165">
        <f t="shared" si="86"/>
        <v>-12.216096666307045</v>
      </c>
      <c r="BA47" s="212"/>
      <c r="BB47" s="417">
        <v>-3000</v>
      </c>
      <c r="BC47" s="417">
        <v>0</v>
      </c>
      <c r="BD47" s="417">
        <v>-6000</v>
      </c>
      <c r="BE47" s="417">
        <v>0</v>
      </c>
      <c r="BF47" s="417">
        <v>0</v>
      </c>
      <c r="BG47" s="417">
        <v>3038</v>
      </c>
      <c r="BH47" s="417">
        <v>0</v>
      </c>
      <c r="BI47" s="417">
        <v>5000</v>
      </c>
      <c r="BJ47" s="417">
        <v>1500</v>
      </c>
      <c r="BK47" s="819">
        <v>0</v>
      </c>
      <c r="BL47" s="417">
        <v>0</v>
      </c>
      <c r="BM47" s="417">
        <v>0</v>
      </c>
      <c r="BN47" s="375">
        <v>18538</v>
      </c>
      <c r="BO47" s="212"/>
      <c r="BP47" s="818">
        <v>0</v>
      </c>
      <c r="BQ47" s="818">
        <v>0</v>
      </c>
      <c r="BR47" s="818">
        <v>8000</v>
      </c>
      <c r="BS47" s="818">
        <v>0</v>
      </c>
      <c r="BT47" s="818">
        <v>0</v>
      </c>
      <c r="BU47" s="818">
        <v>8000</v>
      </c>
      <c r="BV47" s="818">
        <v>12000</v>
      </c>
      <c r="BW47" s="818">
        <v>0</v>
      </c>
      <c r="BX47" s="818">
        <v>20000</v>
      </c>
      <c r="BY47" s="818">
        <v>4000</v>
      </c>
      <c r="BZ47" s="818">
        <v>3000</v>
      </c>
      <c r="CA47" s="818">
        <v>18000</v>
      </c>
      <c r="CB47" s="375">
        <f t="shared" si="87"/>
        <v>73000</v>
      </c>
      <c r="CC47" s="366">
        <f t="shared" si="88"/>
        <v>54462</v>
      </c>
      <c r="CD47" s="165">
        <f t="shared" si="89"/>
        <v>0.7460547945205479</v>
      </c>
      <c r="CE47" s="367"/>
      <c r="CF47" s="373">
        <v>300</v>
      </c>
      <c r="CG47" s="373">
        <v>13500</v>
      </c>
      <c r="CH47" s="373">
        <v>360</v>
      </c>
      <c r="CI47" s="373">
        <v>0</v>
      </c>
      <c r="CJ47" s="373">
        <v>2620</v>
      </c>
      <c r="CK47" s="373">
        <v>7770</v>
      </c>
      <c r="CL47" s="373">
        <v>0</v>
      </c>
      <c r="CM47" s="373">
        <v>11980</v>
      </c>
      <c r="CN47" s="373">
        <v>-6000</v>
      </c>
      <c r="CO47" s="373">
        <v>1760</v>
      </c>
      <c r="CP47" s="373">
        <v>0</v>
      </c>
      <c r="CQ47" s="373">
        <v>-140</v>
      </c>
      <c r="CR47" s="376"/>
      <c r="CS47" s="375">
        <f t="shared" si="90"/>
        <v>32150</v>
      </c>
      <c r="CT47" s="378">
        <f t="shared" si="95"/>
        <v>13612</v>
      </c>
      <c r="CU47" s="165">
        <f t="shared" si="91"/>
        <v>0.42339035769828925</v>
      </c>
      <c r="CV47" s="320"/>
      <c r="CW47" s="373">
        <v>470</v>
      </c>
      <c r="CX47" s="373">
        <v>0</v>
      </c>
      <c r="CY47" s="373">
        <v>2400</v>
      </c>
      <c r="CZ47" s="373">
        <v>340</v>
      </c>
      <c r="DA47" s="373">
        <v>700</v>
      </c>
      <c r="DB47" s="373">
        <v>2010</v>
      </c>
      <c r="DC47" s="373">
        <v>5863.75</v>
      </c>
      <c r="DD47" s="373">
        <v>6000</v>
      </c>
      <c r="DE47" s="373">
        <v>8510</v>
      </c>
      <c r="DF47" s="373">
        <v>0</v>
      </c>
      <c r="DG47" s="373">
        <v>470</v>
      </c>
      <c r="DH47" s="373">
        <v>5061</v>
      </c>
      <c r="DI47" s="375">
        <f t="shared" si="92"/>
        <v>31824.75</v>
      </c>
      <c r="DJ47" s="320"/>
      <c r="DK47" s="373">
        <v>160</v>
      </c>
      <c r="DL47" s="373">
        <v>1700</v>
      </c>
      <c r="DM47" s="373">
        <v>480</v>
      </c>
      <c r="DN47" s="373">
        <v>460.00000000000006</v>
      </c>
      <c r="DO47" s="373">
        <v>800</v>
      </c>
      <c r="DP47" s="373">
        <v>160</v>
      </c>
      <c r="DQ47" s="373">
        <v>160</v>
      </c>
      <c r="DR47" s="373">
        <v>460.00000000000006</v>
      </c>
      <c r="DS47" s="373">
        <v>160</v>
      </c>
      <c r="DT47" s="373">
        <v>14920</v>
      </c>
      <c r="DU47" s="373">
        <v>1060</v>
      </c>
      <c r="DV47" s="373">
        <v>9860</v>
      </c>
      <c r="DW47" s="375">
        <f t="shared" si="93"/>
        <v>30380</v>
      </c>
      <c r="DY47" s="373">
        <v>0</v>
      </c>
      <c r="DZ47" s="373">
        <v>0</v>
      </c>
      <c r="EA47" s="373">
        <v>0</v>
      </c>
      <c r="EB47" s="373">
        <v>300</v>
      </c>
      <c r="EC47" s="373">
        <v>430</v>
      </c>
      <c r="ED47" s="373">
        <v>0</v>
      </c>
      <c r="EE47" s="373">
        <v>150</v>
      </c>
      <c r="EF47" s="373">
        <v>150</v>
      </c>
      <c r="EG47" s="373">
        <v>0</v>
      </c>
      <c r="EH47" s="373">
        <v>1150</v>
      </c>
      <c r="EI47" s="373">
        <v>480</v>
      </c>
      <c r="EJ47" s="373">
        <v>1440</v>
      </c>
      <c r="EK47" s="375">
        <f t="shared" si="94"/>
        <v>4100</v>
      </c>
      <c r="EL47" s="177"/>
      <c r="EM47" s="373">
        <v>0</v>
      </c>
      <c r="EN47" s="373">
        <v>0</v>
      </c>
      <c r="EO47" s="373">
        <v>4142.67</v>
      </c>
      <c r="EP47" s="373">
        <v>0</v>
      </c>
      <c r="EQ47" s="373">
        <v>4146.26</v>
      </c>
      <c r="ER47" s="373">
        <v>0</v>
      </c>
      <c r="ES47" s="373">
        <v>0</v>
      </c>
      <c r="ET47" s="373">
        <v>450</v>
      </c>
      <c r="EU47" s="373">
        <v>150</v>
      </c>
      <c r="EV47" s="373">
        <v>150</v>
      </c>
      <c r="EW47" s="373">
        <v>0</v>
      </c>
      <c r="EX47" s="373">
        <v>270</v>
      </c>
      <c r="EY47" s="375">
        <f t="shared" si="96"/>
        <v>9308.93</v>
      </c>
      <c r="EZ47" s="164"/>
      <c r="FC47" s="185">
        <v>0</v>
      </c>
    </row>
    <row r="48" spans="1:159" ht="18.75" hidden="1" customHeight="1" outlineLevel="1">
      <c r="A48" s="185" t="s">
        <v>319</v>
      </c>
      <c r="B48" s="176">
        <v>60115000</v>
      </c>
      <c r="C48" s="176" t="s">
        <v>109</v>
      </c>
      <c r="D48" s="176" t="s">
        <v>109</v>
      </c>
      <c r="E48" s="324"/>
      <c r="F48" s="320" t="s">
        <v>639</v>
      </c>
      <c r="G48" s="320"/>
      <c r="H48" s="417">
        <v>0</v>
      </c>
      <c r="I48" s="417">
        <v>0</v>
      </c>
      <c r="J48" s="417">
        <v>0</v>
      </c>
      <c r="K48" s="417">
        <v>0</v>
      </c>
      <c r="L48" s="417">
        <v>0</v>
      </c>
      <c r="M48" s="417">
        <v>0</v>
      </c>
      <c r="N48" s="417">
        <v>0</v>
      </c>
      <c r="O48" s="417">
        <v>0</v>
      </c>
      <c r="P48" s="417">
        <v>0</v>
      </c>
      <c r="Q48" s="819">
        <v>0</v>
      </c>
      <c r="R48" s="417">
        <v>0</v>
      </c>
      <c r="S48" s="417">
        <v>0</v>
      </c>
      <c r="T48" s="402"/>
      <c r="U48" s="366">
        <f t="shared" si="81"/>
        <v>0</v>
      </c>
      <c r="V48" s="165" t="e">
        <f t="shared" si="82"/>
        <v>#DIV/0!</v>
      </c>
      <c r="W48" s="212"/>
      <c r="X48" s="417">
        <v>0</v>
      </c>
      <c r="Y48" s="417">
        <v>0</v>
      </c>
      <c r="Z48" s="417">
        <v>0</v>
      </c>
      <c r="AA48" s="417">
        <v>0</v>
      </c>
      <c r="AB48" s="417">
        <v>0</v>
      </c>
      <c r="AC48" s="417">
        <v>0</v>
      </c>
      <c r="AD48" s="417">
        <v>0</v>
      </c>
      <c r="AE48" s="417">
        <v>0</v>
      </c>
      <c r="AF48" s="417">
        <v>0</v>
      </c>
      <c r="AG48" s="819">
        <v>0</v>
      </c>
      <c r="AH48" s="417">
        <v>0</v>
      </c>
      <c r="AI48" s="417">
        <v>0</v>
      </c>
      <c r="AJ48" s="375">
        <f t="shared" si="83"/>
        <v>0</v>
      </c>
      <c r="AK48" s="212"/>
      <c r="AL48" s="417">
        <v>0</v>
      </c>
      <c r="AM48" s="417">
        <v>0</v>
      </c>
      <c r="AN48" s="417">
        <v>0</v>
      </c>
      <c r="AO48" s="417">
        <v>0</v>
      </c>
      <c r="AP48" s="417">
        <v>0</v>
      </c>
      <c r="AQ48" s="417">
        <v>0</v>
      </c>
      <c r="AR48" s="417">
        <v>0</v>
      </c>
      <c r="AS48" s="417">
        <v>0</v>
      </c>
      <c r="AT48" s="417">
        <v>0</v>
      </c>
      <c r="AU48" s="819">
        <v>0</v>
      </c>
      <c r="AV48" s="417">
        <v>0</v>
      </c>
      <c r="AW48" s="417">
        <v>0</v>
      </c>
      <c r="AX48" s="375">
        <f t="shared" si="97"/>
        <v>0</v>
      </c>
      <c r="AY48" s="366">
        <f t="shared" si="85"/>
        <v>0</v>
      </c>
      <c r="AZ48" s="165" t="e">
        <f t="shared" si="86"/>
        <v>#DIV/0!</v>
      </c>
      <c r="BA48" s="212"/>
      <c r="BB48" s="417">
        <v>0</v>
      </c>
      <c r="BC48" s="417">
        <v>0</v>
      </c>
      <c r="BD48" s="417">
        <v>0</v>
      </c>
      <c r="BE48" s="417">
        <v>0</v>
      </c>
      <c r="BF48" s="417">
        <v>0</v>
      </c>
      <c r="BG48" s="417">
        <v>0</v>
      </c>
      <c r="BH48" s="417">
        <v>0</v>
      </c>
      <c r="BI48" s="417">
        <v>0</v>
      </c>
      <c r="BJ48" s="417">
        <v>0</v>
      </c>
      <c r="BK48" s="819">
        <v>0</v>
      </c>
      <c r="BL48" s="417">
        <v>0</v>
      </c>
      <c r="BM48" s="417">
        <v>0</v>
      </c>
      <c r="BN48" s="375">
        <f t="shared" ref="BN48:BN113" si="98">SUM(BB48:BM48)</f>
        <v>0</v>
      </c>
      <c r="BO48" s="212"/>
      <c r="BP48" s="818">
        <v>0</v>
      </c>
      <c r="BQ48" s="818">
        <v>0</v>
      </c>
      <c r="BR48" s="818">
        <v>0</v>
      </c>
      <c r="BS48" s="818">
        <v>0</v>
      </c>
      <c r="BT48" s="818">
        <v>0</v>
      </c>
      <c r="BU48" s="818">
        <v>0</v>
      </c>
      <c r="BV48" s="818">
        <v>0</v>
      </c>
      <c r="BW48" s="818">
        <v>0</v>
      </c>
      <c r="BX48" s="818">
        <v>0</v>
      </c>
      <c r="BY48" s="818">
        <v>0</v>
      </c>
      <c r="BZ48" s="818">
        <v>0</v>
      </c>
      <c r="CA48" s="818">
        <v>0</v>
      </c>
      <c r="CB48" s="375">
        <f t="shared" si="87"/>
        <v>0</v>
      </c>
      <c r="CC48" s="366">
        <f t="shared" si="88"/>
        <v>0</v>
      </c>
      <c r="CD48" s="165" t="str">
        <f t="shared" si="89"/>
        <v>N/A</v>
      </c>
      <c r="CE48" s="367"/>
      <c r="CF48" s="373">
        <v>0</v>
      </c>
      <c r="CG48" s="373">
        <v>0</v>
      </c>
      <c r="CH48" s="373">
        <v>0</v>
      </c>
      <c r="CI48" s="373">
        <v>0</v>
      </c>
      <c r="CJ48" s="373">
        <v>0</v>
      </c>
      <c r="CK48" s="373">
        <v>0</v>
      </c>
      <c r="CL48" s="373">
        <v>0</v>
      </c>
      <c r="CM48" s="373">
        <v>0</v>
      </c>
      <c r="CN48" s="373">
        <v>0</v>
      </c>
      <c r="CO48" s="373">
        <v>0</v>
      </c>
      <c r="CP48" s="373">
        <v>0</v>
      </c>
      <c r="CQ48" s="373">
        <v>0</v>
      </c>
      <c r="CR48" s="376"/>
      <c r="CS48" s="375">
        <f t="shared" si="90"/>
        <v>0</v>
      </c>
      <c r="CT48" s="378">
        <f t="shared" si="95"/>
        <v>0</v>
      </c>
      <c r="CU48" s="165" t="str">
        <f t="shared" si="91"/>
        <v>N/A</v>
      </c>
      <c r="CV48" s="320"/>
      <c r="CW48" s="373">
        <v>0</v>
      </c>
      <c r="CX48" s="373">
        <v>0</v>
      </c>
      <c r="CY48" s="373">
        <v>0</v>
      </c>
      <c r="CZ48" s="373">
        <v>0</v>
      </c>
      <c r="DA48" s="373">
        <v>0</v>
      </c>
      <c r="DB48" s="373">
        <v>0</v>
      </c>
      <c r="DC48" s="373">
        <v>0</v>
      </c>
      <c r="DD48" s="373">
        <v>0</v>
      </c>
      <c r="DE48" s="373">
        <v>0</v>
      </c>
      <c r="DF48" s="373">
        <v>0</v>
      </c>
      <c r="DG48" s="373">
        <v>0</v>
      </c>
      <c r="DH48" s="373">
        <v>0</v>
      </c>
      <c r="DI48" s="375">
        <f t="shared" si="92"/>
        <v>0</v>
      </c>
      <c r="DJ48" s="320"/>
      <c r="DK48" s="373"/>
      <c r="DL48" s="373"/>
      <c r="DM48" s="373"/>
      <c r="DN48" s="373"/>
      <c r="DO48" s="373"/>
      <c r="DP48" s="373"/>
      <c r="DQ48" s="373"/>
      <c r="DR48" s="373"/>
      <c r="DS48" s="373"/>
      <c r="DT48" s="373"/>
      <c r="DU48" s="373"/>
      <c r="DV48" s="373"/>
      <c r="DW48" s="375">
        <f t="shared" si="93"/>
        <v>0</v>
      </c>
      <c r="DY48" s="373"/>
      <c r="DZ48" s="373"/>
      <c r="EA48" s="373"/>
      <c r="EB48" s="373"/>
      <c r="EC48" s="373"/>
      <c r="ED48" s="373"/>
      <c r="EE48" s="373"/>
      <c r="EF48" s="373"/>
      <c r="EG48" s="373"/>
      <c r="EH48" s="373"/>
      <c r="EI48" s="373"/>
      <c r="EJ48" s="373"/>
      <c r="EK48" s="375">
        <f t="shared" si="94"/>
        <v>0</v>
      </c>
      <c r="EL48" s="177"/>
      <c r="EM48" s="373"/>
      <c r="EN48" s="373"/>
      <c r="EO48" s="373"/>
      <c r="EP48" s="373"/>
      <c r="EQ48" s="373"/>
      <c r="ER48" s="373"/>
      <c r="ES48" s="373"/>
      <c r="ET48" s="373"/>
      <c r="EU48" s="373"/>
      <c r="EV48" s="373"/>
      <c r="EW48" s="373"/>
      <c r="EX48" s="373"/>
      <c r="EY48" s="375">
        <f t="shared" si="96"/>
        <v>0</v>
      </c>
      <c r="EZ48" s="164"/>
      <c r="FC48" s="185">
        <v>0</v>
      </c>
    </row>
    <row r="49" spans="1:159" ht="18.75" hidden="1" customHeight="1" outlineLevel="1">
      <c r="A49" s="185" t="s">
        <v>323</v>
      </c>
      <c r="B49" s="176">
        <v>60116000</v>
      </c>
      <c r="C49" s="176" t="s">
        <v>1107</v>
      </c>
      <c r="D49" s="176" t="s">
        <v>109</v>
      </c>
      <c r="E49" s="324"/>
      <c r="F49" s="320" t="s">
        <v>640</v>
      </c>
      <c r="G49" s="320"/>
      <c r="H49" s="417">
        <v>0</v>
      </c>
      <c r="I49" s="417">
        <v>0</v>
      </c>
      <c r="J49" s="417">
        <v>0</v>
      </c>
      <c r="K49" s="417">
        <v>0</v>
      </c>
      <c r="L49" s="417">
        <v>0</v>
      </c>
      <c r="M49" s="417">
        <v>0</v>
      </c>
      <c r="N49" s="417">
        <v>0</v>
      </c>
      <c r="O49" s="417">
        <v>0</v>
      </c>
      <c r="P49" s="417">
        <v>0</v>
      </c>
      <c r="Q49" s="819">
        <v>0</v>
      </c>
      <c r="R49" s="417">
        <v>0</v>
      </c>
      <c r="S49" s="417">
        <v>0</v>
      </c>
      <c r="T49" s="402"/>
      <c r="U49" s="366">
        <f t="shared" si="81"/>
        <v>0</v>
      </c>
      <c r="V49" s="165" t="e">
        <f t="shared" si="82"/>
        <v>#DIV/0!</v>
      </c>
      <c r="W49" s="212"/>
      <c r="X49" s="417">
        <v>0</v>
      </c>
      <c r="Y49" s="417">
        <v>0</v>
      </c>
      <c r="Z49" s="417">
        <v>0</v>
      </c>
      <c r="AA49" s="417">
        <v>0</v>
      </c>
      <c r="AB49" s="417">
        <v>0</v>
      </c>
      <c r="AC49" s="417">
        <v>0</v>
      </c>
      <c r="AD49" s="417">
        <v>0</v>
      </c>
      <c r="AE49" s="417">
        <v>0</v>
      </c>
      <c r="AF49" s="417">
        <v>0</v>
      </c>
      <c r="AG49" s="819">
        <v>0</v>
      </c>
      <c r="AH49" s="417">
        <v>0</v>
      </c>
      <c r="AI49" s="417">
        <v>0</v>
      </c>
      <c r="AJ49" s="375">
        <f t="shared" si="83"/>
        <v>0</v>
      </c>
      <c r="AK49" s="212"/>
      <c r="AL49" s="417">
        <v>0</v>
      </c>
      <c r="AM49" s="417">
        <v>0</v>
      </c>
      <c r="AN49" s="417">
        <v>0</v>
      </c>
      <c r="AO49" s="417">
        <v>0</v>
      </c>
      <c r="AP49" s="417">
        <v>0</v>
      </c>
      <c r="AQ49" s="417">
        <v>0</v>
      </c>
      <c r="AR49" s="417">
        <v>0</v>
      </c>
      <c r="AS49" s="417">
        <v>0</v>
      </c>
      <c r="AT49" s="417">
        <v>0</v>
      </c>
      <c r="AU49" s="819">
        <v>0</v>
      </c>
      <c r="AV49" s="417">
        <v>0</v>
      </c>
      <c r="AW49" s="417">
        <v>0</v>
      </c>
      <c r="AX49" s="375">
        <f t="shared" si="97"/>
        <v>0</v>
      </c>
      <c r="AY49" s="366">
        <f t="shared" si="85"/>
        <v>0</v>
      </c>
      <c r="AZ49" s="165" t="e">
        <f t="shared" si="86"/>
        <v>#DIV/0!</v>
      </c>
      <c r="BA49" s="212"/>
      <c r="BB49" s="417">
        <v>0</v>
      </c>
      <c r="BC49" s="417">
        <v>0</v>
      </c>
      <c r="BD49" s="417">
        <v>0</v>
      </c>
      <c r="BE49" s="417">
        <v>0</v>
      </c>
      <c r="BF49" s="417">
        <v>0</v>
      </c>
      <c r="BG49" s="417">
        <v>0</v>
      </c>
      <c r="BH49" s="417">
        <v>0</v>
      </c>
      <c r="BI49" s="417">
        <v>0</v>
      </c>
      <c r="BJ49" s="417">
        <v>0</v>
      </c>
      <c r="BK49" s="819">
        <v>0</v>
      </c>
      <c r="BL49" s="417">
        <v>0</v>
      </c>
      <c r="BM49" s="417">
        <v>0</v>
      </c>
      <c r="BN49" s="375">
        <f t="shared" si="98"/>
        <v>0</v>
      </c>
      <c r="BO49" s="212"/>
      <c r="BP49" s="818">
        <v>0</v>
      </c>
      <c r="BQ49" s="818">
        <v>0</v>
      </c>
      <c r="BR49" s="818">
        <v>0</v>
      </c>
      <c r="BS49" s="818">
        <v>0</v>
      </c>
      <c r="BT49" s="818">
        <v>0</v>
      </c>
      <c r="BU49" s="818">
        <v>0</v>
      </c>
      <c r="BV49" s="818">
        <v>0</v>
      </c>
      <c r="BW49" s="818">
        <v>0</v>
      </c>
      <c r="BX49" s="818">
        <v>0</v>
      </c>
      <c r="BY49" s="818">
        <v>0</v>
      </c>
      <c r="BZ49" s="818">
        <v>0</v>
      </c>
      <c r="CA49" s="818">
        <v>0</v>
      </c>
      <c r="CB49" s="375">
        <f t="shared" si="87"/>
        <v>0</v>
      </c>
      <c r="CC49" s="366">
        <f t="shared" si="88"/>
        <v>0</v>
      </c>
      <c r="CD49" s="165" t="str">
        <f t="shared" si="89"/>
        <v>N/A</v>
      </c>
      <c r="CE49" s="367"/>
      <c r="CF49" s="373">
        <v>0</v>
      </c>
      <c r="CG49" s="373">
        <v>0</v>
      </c>
      <c r="CH49" s="373">
        <v>0</v>
      </c>
      <c r="CI49" s="373">
        <v>0</v>
      </c>
      <c r="CJ49" s="373">
        <v>0</v>
      </c>
      <c r="CK49" s="373">
        <v>0</v>
      </c>
      <c r="CL49" s="373">
        <v>0</v>
      </c>
      <c r="CM49" s="373">
        <v>0</v>
      </c>
      <c r="CN49" s="373">
        <v>0</v>
      </c>
      <c r="CO49" s="373">
        <v>0</v>
      </c>
      <c r="CP49" s="373">
        <v>0</v>
      </c>
      <c r="CQ49" s="373">
        <v>0</v>
      </c>
      <c r="CR49" s="376"/>
      <c r="CS49" s="375">
        <f t="shared" si="90"/>
        <v>0</v>
      </c>
      <c r="CT49" s="378">
        <f t="shared" si="95"/>
        <v>0</v>
      </c>
      <c r="CU49" s="165" t="str">
        <f t="shared" si="91"/>
        <v>N/A</v>
      </c>
      <c r="CV49" s="320"/>
      <c r="CW49" s="373">
        <v>0</v>
      </c>
      <c r="CX49" s="373">
        <v>0</v>
      </c>
      <c r="CY49" s="373">
        <v>0</v>
      </c>
      <c r="CZ49" s="373">
        <v>0</v>
      </c>
      <c r="DA49" s="373">
        <v>0</v>
      </c>
      <c r="DB49" s="373">
        <v>0</v>
      </c>
      <c r="DC49" s="373">
        <v>0</v>
      </c>
      <c r="DD49" s="373">
        <v>0</v>
      </c>
      <c r="DE49" s="373">
        <v>0</v>
      </c>
      <c r="DF49" s="373">
        <v>0</v>
      </c>
      <c r="DG49" s="373">
        <v>0</v>
      </c>
      <c r="DH49" s="373">
        <v>0</v>
      </c>
      <c r="DI49" s="375">
        <f t="shared" si="92"/>
        <v>0</v>
      </c>
      <c r="DJ49" s="320"/>
      <c r="DK49" s="373"/>
      <c r="DL49" s="373"/>
      <c r="DM49" s="373"/>
      <c r="DN49" s="373"/>
      <c r="DO49" s="373"/>
      <c r="DP49" s="373"/>
      <c r="DQ49" s="373"/>
      <c r="DR49" s="373"/>
      <c r="DS49" s="373"/>
      <c r="DT49" s="373"/>
      <c r="DU49" s="373"/>
      <c r="DV49" s="373"/>
      <c r="DW49" s="375">
        <f t="shared" si="93"/>
        <v>0</v>
      </c>
      <c r="DY49" s="373"/>
      <c r="DZ49" s="373"/>
      <c r="EA49" s="373"/>
      <c r="EB49" s="373"/>
      <c r="EC49" s="373"/>
      <c r="ED49" s="373"/>
      <c r="EE49" s="373"/>
      <c r="EF49" s="373"/>
      <c r="EG49" s="373"/>
      <c r="EH49" s="373"/>
      <c r="EI49" s="373"/>
      <c r="EJ49" s="373"/>
      <c r="EK49" s="375">
        <f t="shared" si="94"/>
        <v>0</v>
      </c>
      <c r="EL49" s="177"/>
      <c r="EM49" s="373"/>
      <c r="EN49" s="373"/>
      <c r="EO49" s="373"/>
      <c r="EP49" s="373"/>
      <c r="EQ49" s="373"/>
      <c r="ER49" s="373"/>
      <c r="ES49" s="373"/>
      <c r="ET49" s="373"/>
      <c r="EU49" s="373"/>
      <c r="EV49" s="373"/>
      <c r="EW49" s="373"/>
      <c r="EX49" s="373"/>
      <c r="EY49" s="375">
        <f t="shared" si="96"/>
        <v>0</v>
      </c>
      <c r="EZ49" s="164"/>
      <c r="FC49" s="185">
        <v>0</v>
      </c>
    </row>
    <row r="50" spans="1:159" ht="18.75" hidden="1" customHeight="1" outlineLevel="1">
      <c r="A50" s="185" t="s">
        <v>322</v>
      </c>
      <c r="B50" s="176">
        <v>60117000</v>
      </c>
      <c r="C50" s="176" t="s">
        <v>1107</v>
      </c>
      <c r="D50" s="176" t="s">
        <v>109</v>
      </c>
      <c r="E50" s="324"/>
      <c r="F50" s="320" t="s">
        <v>350</v>
      </c>
      <c r="G50" s="320"/>
      <c r="H50" s="417">
        <v>0</v>
      </c>
      <c r="I50" s="417">
        <v>0</v>
      </c>
      <c r="J50" s="417">
        <v>0</v>
      </c>
      <c r="K50" s="417">
        <v>0</v>
      </c>
      <c r="L50" s="417">
        <v>0</v>
      </c>
      <c r="M50" s="417">
        <v>0</v>
      </c>
      <c r="N50" s="417">
        <v>0</v>
      </c>
      <c r="O50" s="417">
        <v>0</v>
      </c>
      <c r="P50" s="417">
        <v>0</v>
      </c>
      <c r="Q50" s="819">
        <v>0</v>
      </c>
      <c r="R50" s="417">
        <v>0</v>
      </c>
      <c r="S50" s="417">
        <v>0</v>
      </c>
      <c r="T50" s="402"/>
      <c r="U50" s="366">
        <f t="shared" si="81"/>
        <v>0</v>
      </c>
      <c r="V50" s="165" t="e">
        <f t="shared" si="82"/>
        <v>#DIV/0!</v>
      </c>
      <c r="W50" s="212"/>
      <c r="X50" s="417">
        <v>0</v>
      </c>
      <c r="Y50" s="417">
        <v>0</v>
      </c>
      <c r="Z50" s="417">
        <v>0</v>
      </c>
      <c r="AA50" s="417">
        <v>0</v>
      </c>
      <c r="AB50" s="417">
        <v>0</v>
      </c>
      <c r="AC50" s="417">
        <v>0</v>
      </c>
      <c r="AD50" s="417">
        <v>0</v>
      </c>
      <c r="AE50" s="417">
        <v>0</v>
      </c>
      <c r="AF50" s="417">
        <v>0</v>
      </c>
      <c r="AG50" s="819">
        <v>0</v>
      </c>
      <c r="AH50" s="417">
        <v>0</v>
      </c>
      <c r="AI50" s="417">
        <v>0</v>
      </c>
      <c r="AJ50" s="375">
        <f t="shared" si="83"/>
        <v>0</v>
      </c>
      <c r="AK50" s="212"/>
      <c r="AL50" s="417">
        <v>0</v>
      </c>
      <c r="AM50" s="417">
        <v>0</v>
      </c>
      <c r="AN50" s="417">
        <v>0</v>
      </c>
      <c r="AO50" s="417">
        <v>0</v>
      </c>
      <c r="AP50" s="417">
        <v>0</v>
      </c>
      <c r="AQ50" s="417">
        <v>0</v>
      </c>
      <c r="AR50" s="417">
        <v>0</v>
      </c>
      <c r="AS50" s="417">
        <v>0</v>
      </c>
      <c r="AT50" s="417">
        <v>0</v>
      </c>
      <c r="AU50" s="819">
        <v>0</v>
      </c>
      <c r="AV50" s="417">
        <v>0</v>
      </c>
      <c r="AW50" s="417">
        <v>0</v>
      </c>
      <c r="AX50" s="375">
        <f t="shared" si="97"/>
        <v>0</v>
      </c>
      <c r="AY50" s="366">
        <f t="shared" si="85"/>
        <v>0</v>
      </c>
      <c r="AZ50" s="165" t="e">
        <f t="shared" si="86"/>
        <v>#DIV/0!</v>
      </c>
      <c r="BA50" s="212"/>
      <c r="BB50" s="417">
        <v>0</v>
      </c>
      <c r="BC50" s="417">
        <v>0</v>
      </c>
      <c r="BD50" s="417">
        <v>0</v>
      </c>
      <c r="BE50" s="417">
        <v>0</v>
      </c>
      <c r="BF50" s="417">
        <v>0</v>
      </c>
      <c r="BG50" s="417">
        <v>0</v>
      </c>
      <c r="BH50" s="417">
        <v>0</v>
      </c>
      <c r="BI50" s="417">
        <v>0</v>
      </c>
      <c r="BJ50" s="417">
        <v>0</v>
      </c>
      <c r="BK50" s="819">
        <v>0</v>
      </c>
      <c r="BL50" s="417">
        <v>0</v>
      </c>
      <c r="BM50" s="417">
        <v>0</v>
      </c>
      <c r="BN50" s="375">
        <f t="shared" si="98"/>
        <v>0</v>
      </c>
      <c r="BO50" s="212"/>
      <c r="BP50" s="818">
        <v>0</v>
      </c>
      <c r="BQ50" s="818">
        <v>0</v>
      </c>
      <c r="BR50" s="818">
        <v>0</v>
      </c>
      <c r="BS50" s="818">
        <v>0</v>
      </c>
      <c r="BT50" s="818">
        <v>0</v>
      </c>
      <c r="BU50" s="818">
        <v>0</v>
      </c>
      <c r="BV50" s="818">
        <v>0</v>
      </c>
      <c r="BW50" s="818">
        <v>0</v>
      </c>
      <c r="BX50" s="818">
        <v>0</v>
      </c>
      <c r="BY50" s="818">
        <v>0</v>
      </c>
      <c r="BZ50" s="818">
        <v>0</v>
      </c>
      <c r="CA50" s="818">
        <v>0</v>
      </c>
      <c r="CB50" s="375">
        <f t="shared" si="87"/>
        <v>0</v>
      </c>
      <c r="CC50" s="366">
        <f t="shared" si="88"/>
        <v>0</v>
      </c>
      <c r="CD50" s="165" t="str">
        <f t="shared" si="89"/>
        <v>N/A</v>
      </c>
      <c r="CE50" s="367"/>
      <c r="CF50" s="373">
        <v>0</v>
      </c>
      <c r="CG50" s="373">
        <v>0</v>
      </c>
      <c r="CH50" s="373">
        <v>0</v>
      </c>
      <c r="CI50" s="373">
        <v>0</v>
      </c>
      <c r="CJ50" s="373">
        <v>0</v>
      </c>
      <c r="CK50" s="373">
        <v>0</v>
      </c>
      <c r="CL50" s="373">
        <v>0</v>
      </c>
      <c r="CM50" s="373">
        <v>0</v>
      </c>
      <c r="CN50" s="373">
        <v>0</v>
      </c>
      <c r="CO50" s="373">
        <v>0</v>
      </c>
      <c r="CP50" s="373">
        <v>0</v>
      </c>
      <c r="CQ50" s="373">
        <v>0</v>
      </c>
      <c r="CR50" s="376"/>
      <c r="CS50" s="375">
        <f t="shared" si="90"/>
        <v>0</v>
      </c>
      <c r="CT50" s="378">
        <f t="shared" si="95"/>
        <v>0</v>
      </c>
      <c r="CU50" s="165" t="str">
        <f t="shared" si="91"/>
        <v>N/A</v>
      </c>
      <c r="CV50" s="320"/>
      <c r="CW50" s="373">
        <v>0</v>
      </c>
      <c r="CX50" s="373">
        <v>0</v>
      </c>
      <c r="CY50" s="373">
        <v>0</v>
      </c>
      <c r="CZ50" s="373">
        <v>0</v>
      </c>
      <c r="DA50" s="373">
        <v>0</v>
      </c>
      <c r="DB50" s="373">
        <v>0</v>
      </c>
      <c r="DC50" s="373">
        <v>0</v>
      </c>
      <c r="DD50" s="373">
        <v>0</v>
      </c>
      <c r="DE50" s="373">
        <v>0</v>
      </c>
      <c r="DF50" s="373">
        <v>0</v>
      </c>
      <c r="DG50" s="373">
        <v>0</v>
      </c>
      <c r="DH50" s="373">
        <v>0</v>
      </c>
      <c r="DI50" s="375">
        <f t="shared" si="92"/>
        <v>0</v>
      </c>
      <c r="DJ50" s="320"/>
      <c r="DK50" s="373"/>
      <c r="DL50" s="373"/>
      <c r="DM50" s="373"/>
      <c r="DN50" s="373"/>
      <c r="DO50" s="373"/>
      <c r="DP50" s="373"/>
      <c r="DQ50" s="373"/>
      <c r="DR50" s="373"/>
      <c r="DS50" s="373"/>
      <c r="DT50" s="373"/>
      <c r="DU50" s="373"/>
      <c r="DV50" s="373"/>
      <c r="DW50" s="375">
        <f t="shared" si="93"/>
        <v>0</v>
      </c>
      <c r="DY50" s="373"/>
      <c r="DZ50" s="373"/>
      <c r="EA50" s="373"/>
      <c r="EB50" s="373"/>
      <c r="EC50" s="373"/>
      <c r="ED50" s="373"/>
      <c r="EE50" s="373"/>
      <c r="EF50" s="373"/>
      <c r="EG50" s="373"/>
      <c r="EH50" s="373"/>
      <c r="EI50" s="373"/>
      <c r="EJ50" s="373"/>
      <c r="EK50" s="375">
        <f t="shared" si="94"/>
        <v>0</v>
      </c>
      <c r="EL50" s="177"/>
      <c r="EM50" s="373"/>
      <c r="EN50" s="373"/>
      <c r="EO50" s="373"/>
      <c r="EP50" s="373"/>
      <c r="EQ50" s="373"/>
      <c r="ER50" s="373"/>
      <c r="ES50" s="373"/>
      <c r="ET50" s="373"/>
      <c r="EU50" s="373"/>
      <c r="EV50" s="373"/>
      <c r="EW50" s="373"/>
      <c r="EX50" s="373"/>
      <c r="EY50" s="375">
        <f t="shared" si="96"/>
        <v>0</v>
      </c>
      <c r="EZ50" s="164"/>
      <c r="FC50" s="185">
        <v>0</v>
      </c>
    </row>
    <row r="51" spans="1:159" ht="18.75" customHeight="1" collapsed="1">
      <c r="A51" s="185" t="s">
        <v>605</v>
      </c>
      <c r="B51" s="176">
        <v>60201000</v>
      </c>
      <c r="C51" s="176" t="s">
        <v>376</v>
      </c>
      <c r="D51" s="176" t="s">
        <v>365</v>
      </c>
      <c r="E51" s="324"/>
      <c r="F51" s="320" t="s">
        <v>641</v>
      </c>
      <c r="G51" s="320"/>
      <c r="H51" s="417">
        <v>0</v>
      </c>
      <c r="I51" s="417">
        <v>0</v>
      </c>
      <c r="J51" s="417">
        <v>0</v>
      </c>
      <c r="K51" s="417">
        <v>0</v>
      </c>
      <c r="L51" s="417">
        <v>0</v>
      </c>
      <c r="M51" s="417">
        <v>0</v>
      </c>
      <c r="N51" s="417">
        <v>0</v>
      </c>
      <c r="O51" s="417">
        <v>0</v>
      </c>
      <c r="P51" s="417">
        <v>0</v>
      </c>
      <c r="Q51" s="819">
        <v>0</v>
      </c>
      <c r="R51" s="417">
        <v>0</v>
      </c>
      <c r="S51" s="417">
        <v>131924</v>
      </c>
      <c r="T51" s="402"/>
      <c r="U51" s="366">
        <f t="shared" si="81"/>
        <v>131924</v>
      </c>
      <c r="V51" s="165">
        <f t="shared" si="82"/>
        <v>1</v>
      </c>
      <c r="W51" s="212"/>
      <c r="X51" s="417">
        <v>10993.67</v>
      </c>
      <c r="Y51" s="417">
        <v>10993.67</v>
      </c>
      <c r="Z51" s="417">
        <v>10993.66</v>
      </c>
      <c r="AA51" s="417">
        <v>10993.66</v>
      </c>
      <c r="AB51" s="417">
        <v>10993.67</v>
      </c>
      <c r="AC51" s="417">
        <v>10993.67</v>
      </c>
      <c r="AD51" s="417">
        <v>10993.67</v>
      </c>
      <c r="AE51" s="417">
        <v>10993.67</v>
      </c>
      <c r="AF51" s="417">
        <v>10993.66</v>
      </c>
      <c r="AG51" s="819">
        <v>10993.66</v>
      </c>
      <c r="AH51" s="417">
        <v>10993.67</v>
      </c>
      <c r="AI51" s="417">
        <v>10993.67</v>
      </c>
      <c r="AJ51" s="375">
        <f t="shared" si="83"/>
        <v>131924</v>
      </c>
      <c r="AK51" s="212"/>
      <c r="AL51" s="417">
        <v>0</v>
      </c>
      <c r="AM51" s="417">
        <v>0</v>
      </c>
      <c r="AN51" s="417">
        <v>0</v>
      </c>
      <c r="AO51" s="417">
        <v>0</v>
      </c>
      <c r="AP51" s="417">
        <v>0</v>
      </c>
      <c r="AQ51" s="417">
        <v>0</v>
      </c>
      <c r="AR51" s="417">
        <v>0</v>
      </c>
      <c r="AS51" s="417">
        <v>0</v>
      </c>
      <c r="AT51" s="417">
        <v>0</v>
      </c>
      <c r="AU51" s="819">
        <v>0</v>
      </c>
      <c r="AV51" s="417">
        <v>0</v>
      </c>
      <c r="AW51" s="417">
        <v>131924</v>
      </c>
      <c r="AX51" s="981">
        <f t="shared" si="97"/>
        <v>131924</v>
      </c>
      <c r="AY51" s="366">
        <f t="shared" si="85"/>
        <v>1319.3399999999965</v>
      </c>
      <c r="AZ51" s="165">
        <f t="shared" si="86"/>
        <v>9.9017331748063094E-3</v>
      </c>
      <c r="BA51" s="212"/>
      <c r="BB51" s="417">
        <v>10993</v>
      </c>
      <c r="BC51" s="417">
        <v>10993.67</v>
      </c>
      <c r="BD51" s="417">
        <v>10994.33</v>
      </c>
      <c r="BE51" s="417">
        <v>10993.66</v>
      </c>
      <c r="BF51" s="417">
        <v>10993.67</v>
      </c>
      <c r="BG51" s="417">
        <v>10993.67</v>
      </c>
      <c r="BH51" s="417">
        <v>10993.67</v>
      </c>
      <c r="BI51" s="417">
        <v>10993.67</v>
      </c>
      <c r="BJ51" s="417">
        <v>10993.66</v>
      </c>
      <c r="BK51" s="819">
        <v>10993.67</v>
      </c>
      <c r="BL51" s="417">
        <v>10993.67</v>
      </c>
      <c r="BM51" s="417">
        <v>10993.66</v>
      </c>
      <c r="BN51" s="375">
        <v>133243.34</v>
      </c>
      <c r="BO51" s="212"/>
      <c r="BP51" s="818">
        <v>10993</v>
      </c>
      <c r="BQ51" s="818">
        <v>10994</v>
      </c>
      <c r="BR51" s="818">
        <v>10994</v>
      </c>
      <c r="BS51" s="818">
        <v>10993</v>
      </c>
      <c r="BT51" s="818">
        <v>10994</v>
      </c>
      <c r="BU51" s="818">
        <v>10994</v>
      </c>
      <c r="BV51" s="818">
        <v>10993</v>
      </c>
      <c r="BW51" s="818">
        <v>10994</v>
      </c>
      <c r="BX51" s="818">
        <v>10994</v>
      </c>
      <c r="BY51" s="818">
        <v>12313</v>
      </c>
      <c r="BZ51" s="818">
        <v>12313</v>
      </c>
      <c r="CA51" s="818">
        <v>12313</v>
      </c>
      <c r="CB51" s="375">
        <f t="shared" si="87"/>
        <v>135882</v>
      </c>
      <c r="CC51" s="366">
        <f t="shared" si="88"/>
        <v>2638.6600000000035</v>
      </c>
      <c r="CD51" s="165">
        <f t="shared" si="89"/>
        <v>1.9418760395048671E-2</v>
      </c>
      <c r="CE51" s="367"/>
      <c r="CF51" s="373">
        <v>10993</v>
      </c>
      <c r="CG51" s="373">
        <v>10993</v>
      </c>
      <c r="CH51" s="373">
        <v>10995</v>
      </c>
      <c r="CI51" s="373">
        <v>10993</v>
      </c>
      <c r="CJ51" s="373">
        <v>10993.67</v>
      </c>
      <c r="CK51" s="373">
        <v>10994.33</v>
      </c>
      <c r="CL51" s="373">
        <v>10993</v>
      </c>
      <c r="CM51" s="373">
        <v>10993.67</v>
      </c>
      <c r="CN51" s="373">
        <v>10994.33</v>
      </c>
      <c r="CO51" s="373">
        <v>10993</v>
      </c>
      <c r="CP51" s="373">
        <v>10993.67</v>
      </c>
      <c r="CQ51" s="373">
        <v>10994.33</v>
      </c>
      <c r="CR51" s="376"/>
      <c r="CS51" s="375">
        <f t="shared" si="90"/>
        <v>131924</v>
      </c>
      <c r="CT51" s="378">
        <f t="shared" si="95"/>
        <v>-1319.3399999999965</v>
      </c>
      <c r="CU51" s="165">
        <f t="shared" si="91"/>
        <v>-1.0000758012188809E-2</v>
      </c>
      <c r="CV51" s="320"/>
      <c r="CW51" s="373">
        <v>10994</v>
      </c>
      <c r="CX51" s="373">
        <v>10994</v>
      </c>
      <c r="CY51" s="373">
        <v>10993</v>
      </c>
      <c r="CZ51" s="373">
        <v>10994</v>
      </c>
      <c r="DA51" s="373">
        <v>10994</v>
      </c>
      <c r="DB51" s="373">
        <v>10994</v>
      </c>
      <c r="DC51" s="373">
        <v>10992</v>
      </c>
      <c r="DD51" s="373">
        <v>10994</v>
      </c>
      <c r="DE51" s="373">
        <v>10994</v>
      </c>
      <c r="DF51" s="373">
        <v>10994</v>
      </c>
      <c r="DG51" s="373">
        <v>10994</v>
      </c>
      <c r="DH51" s="373">
        <v>10993</v>
      </c>
      <c r="DI51" s="375">
        <f t="shared" si="92"/>
        <v>131924</v>
      </c>
      <c r="DJ51" s="320"/>
      <c r="DK51" s="373">
        <v>32981</v>
      </c>
      <c r="DL51" s="373">
        <v>0</v>
      </c>
      <c r="DM51" s="373">
        <v>0</v>
      </c>
      <c r="DN51" s="373">
        <v>10993</v>
      </c>
      <c r="DO51" s="373">
        <v>10994</v>
      </c>
      <c r="DP51" s="373">
        <v>10994</v>
      </c>
      <c r="DQ51" s="373">
        <v>10993</v>
      </c>
      <c r="DR51" s="373">
        <v>10994</v>
      </c>
      <c r="DS51" s="373">
        <v>10994</v>
      </c>
      <c r="DT51" s="373">
        <v>10994</v>
      </c>
      <c r="DU51" s="373">
        <v>10994</v>
      </c>
      <c r="DV51" s="373">
        <v>10993</v>
      </c>
      <c r="DW51" s="375">
        <f t="shared" si="93"/>
        <v>131924</v>
      </c>
      <c r="DY51" s="373">
        <v>29682.000000000004</v>
      </c>
      <c r="DZ51" s="373">
        <v>0</v>
      </c>
      <c r="EA51" s="373">
        <v>0</v>
      </c>
      <c r="EB51" s="373">
        <v>29682.000000000004</v>
      </c>
      <c r="EC51" s="373">
        <v>0</v>
      </c>
      <c r="ED51" s="373">
        <v>0</v>
      </c>
      <c r="EE51" s="373">
        <v>29682.000000000004</v>
      </c>
      <c r="EF51" s="373">
        <v>0</v>
      </c>
      <c r="EG51" s="373">
        <v>0</v>
      </c>
      <c r="EH51" s="373">
        <v>29682.000000000004</v>
      </c>
      <c r="EI51" s="373">
        <v>0</v>
      </c>
      <c r="EJ51" s="373">
        <v>0</v>
      </c>
      <c r="EK51" s="375">
        <f t="shared" si="94"/>
        <v>118728.00000000001</v>
      </c>
      <c r="EL51" s="177"/>
      <c r="EM51" s="373">
        <v>35320.5</v>
      </c>
      <c r="EN51" s="373">
        <v>5638.5</v>
      </c>
      <c r="EO51" s="373">
        <v>5638.5</v>
      </c>
      <c r="EP51" s="373">
        <v>35320.5</v>
      </c>
      <c r="EQ51" s="373">
        <v>5638.5</v>
      </c>
      <c r="ER51" s="373">
        <v>5638.5</v>
      </c>
      <c r="ES51" s="373">
        <v>35320.5</v>
      </c>
      <c r="ET51" s="373">
        <v>5638.5</v>
      </c>
      <c r="EU51" s="373">
        <v>0</v>
      </c>
      <c r="EV51" s="373">
        <v>29682.000000000004</v>
      </c>
      <c r="EW51" s="373">
        <v>0</v>
      </c>
      <c r="EX51" s="373">
        <v>0</v>
      </c>
      <c r="EY51" s="375">
        <f t="shared" si="96"/>
        <v>163836</v>
      </c>
      <c r="EZ51" s="164"/>
      <c r="FC51" s="185">
        <v>0</v>
      </c>
    </row>
    <row r="52" spans="1:159" ht="18.75" customHeight="1">
      <c r="A52" s="185" t="s">
        <v>606</v>
      </c>
      <c r="B52" s="176">
        <v>60205000</v>
      </c>
      <c r="C52" s="176" t="s">
        <v>376</v>
      </c>
      <c r="D52" s="176" t="s">
        <v>364</v>
      </c>
      <c r="E52" s="324"/>
      <c r="F52" s="320" t="s">
        <v>607</v>
      </c>
      <c r="G52" s="320"/>
      <c r="H52" s="417">
        <v>0</v>
      </c>
      <c r="I52" s="417">
        <v>0</v>
      </c>
      <c r="J52" s="417">
        <v>0</v>
      </c>
      <c r="K52" s="417">
        <v>0</v>
      </c>
      <c r="L52" s="417">
        <v>0</v>
      </c>
      <c r="M52" s="417">
        <v>0</v>
      </c>
      <c r="N52" s="417">
        <v>0</v>
      </c>
      <c r="O52" s="417">
        <v>0</v>
      </c>
      <c r="P52" s="417">
        <v>0</v>
      </c>
      <c r="Q52" s="819">
        <v>0</v>
      </c>
      <c r="R52" s="417">
        <v>0</v>
      </c>
      <c r="S52" s="417">
        <v>2223250.0000000005</v>
      </c>
      <c r="T52" s="402"/>
      <c r="U52" s="366">
        <f t="shared" si="81"/>
        <v>-2213327.3099999996</v>
      </c>
      <c r="V52" s="165">
        <f t="shared" si="82"/>
        <v>1</v>
      </c>
      <c r="W52" s="212"/>
      <c r="X52" s="417">
        <v>175133.33</v>
      </c>
      <c r="Y52" s="417">
        <v>175133.33</v>
      </c>
      <c r="Z52" s="417">
        <v>175133.34</v>
      </c>
      <c r="AA52" s="417">
        <v>175133.33</v>
      </c>
      <c r="AB52" s="417">
        <v>175133.33</v>
      </c>
      <c r="AC52" s="417">
        <v>175133.34</v>
      </c>
      <c r="AD52" s="417">
        <v>-4327274.55</v>
      </c>
      <c r="AE52" s="417">
        <v>209773.62</v>
      </c>
      <c r="AF52" s="417">
        <v>209773.62</v>
      </c>
      <c r="AG52" s="819">
        <v>214533.33</v>
      </c>
      <c r="AH52" s="417">
        <v>214533.33</v>
      </c>
      <c r="AI52" s="417">
        <v>214533.34</v>
      </c>
      <c r="AJ52" s="375">
        <f t="shared" si="83"/>
        <v>-2213327.3099999996</v>
      </c>
      <c r="AK52" s="212"/>
      <c r="AL52" s="417">
        <v>0</v>
      </c>
      <c r="AM52" s="417">
        <v>0</v>
      </c>
      <c r="AN52" s="417">
        <v>0</v>
      </c>
      <c r="AO52" s="417">
        <v>0</v>
      </c>
      <c r="AP52" s="417">
        <v>0</v>
      </c>
      <c r="AQ52" s="417">
        <v>0</v>
      </c>
      <c r="AR52" s="417">
        <v>0</v>
      </c>
      <c r="AS52" s="417">
        <v>0</v>
      </c>
      <c r="AT52" s="417">
        <v>0</v>
      </c>
      <c r="AU52" s="819">
        <v>0</v>
      </c>
      <c r="AV52" s="417">
        <v>0</v>
      </c>
      <c r="AW52" s="417">
        <v>2223250.0000000005</v>
      </c>
      <c r="AX52" s="981">
        <f t="shared" si="97"/>
        <v>2223250.0000000005</v>
      </c>
      <c r="AY52" s="366">
        <f t="shared" si="85"/>
        <v>-0.34000000031664968</v>
      </c>
      <c r="AZ52" s="165">
        <f t="shared" si="86"/>
        <v>-1.5292929374231846E-7</v>
      </c>
      <c r="BA52" s="212"/>
      <c r="BB52" s="417">
        <v>186733.33</v>
      </c>
      <c r="BC52" s="417">
        <v>186733.33</v>
      </c>
      <c r="BD52" s="417">
        <v>186733.34</v>
      </c>
      <c r="BE52" s="417">
        <v>186733.34</v>
      </c>
      <c r="BF52" s="417">
        <v>186733.33</v>
      </c>
      <c r="BG52" s="417">
        <v>186733.33</v>
      </c>
      <c r="BH52" s="417">
        <v>183933.33</v>
      </c>
      <c r="BI52" s="417">
        <v>183183.33</v>
      </c>
      <c r="BJ52" s="417">
        <v>183933.34</v>
      </c>
      <c r="BK52" s="819">
        <v>183933.33</v>
      </c>
      <c r="BL52" s="417">
        <v>183933.33</v>
      </c>
      <c r="BM52" s="417">
        <v>183933.34</v>
      </c>
      <c r="BN52" s="375">
        <v>2223249.66</v>
      </c>
      <c r="BO52" s="212"/>
      <c r="BP52" s="818">
        <v>215333</v>
      </c>
      <c r="BQ52" s="818">
        <v>215333</v>
      </c>
      <c r="BR52" s="818">
        <v>215334</v>
      </c>
      <c r="BS52" s="818">
        <v>215333</v>
      </c>
      <c r="BT52" s="818">
        <v>215333</v>
      </c>
      <c r="BU52" s="818">
        <v>215334</v>
      </c>
      <c r="BV52" s="818">
        <v>216500</v>
      </c>
      <c r="BW52" s="818">
        <v>216500</v>
      </c>
      <c r="BX52" s="818">
        <v>216500</v>
      </c>
      <c r="BY52" s="818">
        <v>216500</v>
      </c>
      <c r="BZ52" s="818">
        <v>216500</v>
      </c>
      <c r="CA52" s="818">
        <v>216500</v>
      </c>
      <c r="CB52" s="375">
        <f t="shared" si="87"/>
        <v>2591000</v>
      </c>
      <c r="CC52" s="366">
        <f t="shared" si="88"/>
        <v>367750.33999999985</v>
      </c>
      <c r="CD52" s="165">
        <f t="shared" si="89"/>
        <v>0.14193374758780389</v>
      </c>
      <c r="CE52" s="367"/>
      <c r="CF52" s="373">
        <v>215900</v>
      </c>
      <c r="CG52" s="373">
        <v>215900</v>
      </c>
      <c r="CH52" s="373">
        <v>215900</v>
      </c>
      <c r="CI52" s="373">
        <v>215900</v>
      </c>
      <c r="CJ52" s="373">
        <v>215900</v>
      </c>
      <c r="CK52" s="373">
        <v>215900</v>
      </c>
      <c r="CL52" s="373">
        <v>215900</v>
      </c>
      <c r="CM52" s="373">
        <v>215900</v>
      </c>
      <c r="CN52" s="373">
        <v>215900</v>
      </c>
      <c r="CO52" s="373">
        <v>214733.33</v>
      </c>
      <c r="CP52" s="373">
        <v>214733.33</v>
      </c>
      <c r="CQ52" s="373">
        <v>214733.34</v>
      </c>
      <c r="CR52" s="376"/>
      <c r="CS52" s="375">
        <f t="shared" si="90"/>
        <v>2587300</v>
      </c>
      <c r="CT52" s="378">
        <f t="shared" si="95"/>
        <v>364050.33999999985</v>
      </c>
      <c r="CU52" s="165">
        <f t="shared" si="91"/>
        <v>0.14070665945193825</v>
      </c>
      <c r="CV52" s="320"/>
      <c r="CW52" s="373">
        <v>205966</v>
      </c>
      <c r="CX52" s="373">
        <v>203166</v>
      </c>
      <c r="CY52" s="373">
        <v>208768</v>
      </c>
      <c r="CZ52" s="373">
        <v>205966</v>
      </c>
      <c r="DA52" s="373">
        <v>205967</v>
      </c>
      <c r="DB52" s="373">
        <v>205967</v>
      </c>
      <c r="DC52" s="373">
        <v>203166</v>
      </c>
      <c r="DD52" s="373">
        <v>214506</v>
      </c>
      <c r="DE52" s="373">
        <v>15439</v>
      </c>
      <c r="DF52" s="373">
        <v>410433</v>
      </c>
      <c r="DG52" s="373">
        <v>205966</v>
      </c>
      <c r="DH52" s="373">
        <v>186290</v>
      </c>
      <c r="DI52" s="375">
        <f t="shared" si="92"/>
        <v>2471600</v>
      </c>
      <c r="DJ52" s="320"/>
      <c r="DK52" s="373">
        <v>587000</v>
      </c>
      <c r="DL52" s="373">
        <v>0</v>
      </c>
      <c r="DM52" s="373">
        <v>0</v>
      </c>
      <c r="DN52" s="373">
        <v>195665.99999999997</v>
      </c>
      <c r="DO52" s="373">
        <v>195667</v>
      </c>
      <c r="DP52" s="373">
        <v>195667</v>
      </c>
      <c r="DQ52" s="373">
        <v>198665.99999999997</v>
      </c>
      <c r="DR52" s="373">
        <v>195667</v>
      </c>
      <c r="DS52" s="373">
        <v>197167</v>
      </c>
      <c r="DT52" s="373">
        <v>197167</v>
      </c>
      <c r="DU52" s="373">
        <v>198466.99999999997</v>
      </c>
      <c r="DV52" s="373">
        <v>199965.99999999997</v>
      </c>
      <c r="DW52" s="375">
        <f t="shared" si="93"/>
        <v>2361100</v>
      </c>
      <c r="DY52" s="373">
        <v>0</v>
      </c>
      <c r="DZ52" s="373">
        <v>553400</v>
      </c>
      <c r="EA52" s="373">
        <v>0</v>
      </c>
      <c r="EB52" s="373">
        <v>553400</v>
      </c>
      <c r="EC52" s="373">
        <v>0</v>
      </c>
      <c r="ED52" s="373">
        <v>0</v>
      </c>
      <c r="EE52" s="373">
        <v>0</v>
      </c>
      <c r="EF52" s="373">
        <v>553400</v>
      </c>
      <c r="EG52" s="373">
        <v>0</v>
      </c>
      <c r="EH52" s="373">
        <v>0</v>
      </c>
      <c r="EI52" s="373">
        <v>553400</v>
      </c>
      <c r="EJ52" s="373">
        <v>0</v>
      </c>
      <c r="EK52" s="375">
        <f t="shared" si="94"/>
        <v>2213600</v>
      </c>
      <c r="EL52" s="177"/>
      <c r="EM52" s="373">
        <v>548303</v>
      </c>
      <c r="EN52" s="373">
        <v>32578</v>
      </c>
      <c r="EO52" s="373">
        <v>32578</v>
      </c>
      <c r="EP52" s="373">
        <v>548303</v>
      </c>
      <c r="EQ52" s="373">
        <v>34993</v>
      </c>
      <c r="ER52" s="373">
        <v>32578</v>
      </c>
      <c r="ES52" s="373">
        <v>553303</v>
      </c>
      <c r="ET52" s="373">
        <v>32578</v>
      </c>
      <c r="EU52" s="373">
        <v>-2400.81</v>
      </c>
      <c r="EV52" s="373">
        <v>513600</v>
      </c>
      <c r="EW52" s="373">
        <v>0</v>
      </c>
      <c r="EX52" s="373">
        <v>0</v>
      </c>
      <c r="EY52" s="375">
        <f t="shared" si="96"/>
        <v>2326413.19</v>
      </c>
      <c r="EZ52" s="164"/>
      <c r="FC52" s="185">
        <v>0</v>
      </c>
    </row>
    <row r="53" spans="1:159" ht="18.75" customHeight="1">
      <c r="A53" s="210" t="s">
        <v>619</v>
      </c>
      <c r="B53" s="176">
        <v>60206000</v>
      </c>
      <c r="C53" s="176" t="s">
        <v>1100</v>
      </c>
      <c r="D53" s="176" t="s">
        <v>109</v>
      </c>
      <c r="E53" s="324"/>
      <c r="F53" s="320" t="s">
        <v>709</v>
      </c>
      <c r="G53" s="320"/>
      <c r="H53" s="417">
        <v>0</v>
      </c>
      <c r="I53" s="417">
        <v>0</v>
      </c>
      <c r="J53" s="417">
        <v>0</v>
      </c>
      <c r="K53" s="417">
        <v>300000</v>
      </c>
      <c r="L53" s="417">
        <v>0</v>
      </c>
      <c r="M53" s="417">
        <v>0</v>
      </c>
      <c r="N53" s="417">
        <v>0</v>
      </c>
      <c r="O53" s="417">
        <v>0</v>
      </c>
      <c r="P53" s="417">
        <v>0</v>
      </c>
      <c r="Q53" s="819">
        <v>0</v>
      </c>
      <c r="R53" s="417">
        <v>0</v>
      </c>
      <c r="S53" s="417">
        <v>30000</v>
      </c>
      <c r="T53" s="402"/>
      <c r="U53" s="366">
        <f t="shared" si="81"/>
        <v>260000</v>
      </c>
      <c r="V53" s="165">
        <f t="shared" si="82"/>
        <v>1</v>
      </c>
      <c r="W53" s="212"/>
      <c r="X53" s="417">
        <v>0</v>
      </c>
      <c r="Y53" s="417">
        <v>0</v>
      </c>
      <c r="Z53" s="417">
        <v>0</v>
      </c>
      <c r="AA53" s="417">
        <v>0</v>
      </c>
      <c r="AB53" s="417">
        <v>0</v>
      </c>
      <c r="AC53" s="417">
        <v>0</v>
      </c>
      <c r="AD53" s="417">
        <v>243000</v>
      </c>
      <c r="AE53" s="417">
        <v>0</v>
      </c>
      <c r="AF53" s="417">
        <v>0</v>
      </c>
      <c r="AG53" s="819">
        <v>0</v>
      </c>
      <c r="AH53" s="417">
        <v>17000</v>
      </c>
      <c r="AI53" s="417">
        <v>0</v>
      </c>
      <c r="AJ53" s="375">
        <f t="shared" si="83"/>
        <v>260000</v>
      </c>
      <c r="AK53" s="212"/>
      <c r="AL53" s="417">
        <v>0</v>
      </c>
      <c r="AM53" s="417">
        <v>0</v>
      </c>
      <c r="AN53" s="417">
        <v>0</v>
      </c>
      <c r="AO53" s="417">
        <v>300000</v>
      </c>
      <c r="AP53" s="417">
        <v>0</v>
      </c>
      <c r="AQ53" s="417">
        <v>0</v>
      </c>
      <c r="AR53" s="417">
        <v>0</v>
      </c>
      <c r="AS53" s="417">
        <v>0</v>
      </c>
      <c r="AT53" s="417">
        <v>0</v>
      </c>
      <c r="AU53" s="819">
        <v>0</v>
      </c>
      <c r="AV53" s="417">
        <v>0</v>
      </c>
      <c r="AW53" s="417">
        <v>30000</v>
      </c>
      <c r="AX53" s="375">
        <f>SUM(AL53:AW53)</f>
        <v>330000</v>
      </c>
      <c r="AY53" s="366">
        <f t="shared" si="85"/>
        <v>49533.5</v>
      </c>
      <c r="AZ53" s="165">
        <f t="shared" si="86"/>
        <v>0.13051153587232747</v>
      </c>
      <c r="BA53" s="212"/>
      <c r="BB53" s="417">
        <v>9300</v>
      </c>
      <c r="BC53" s="417">
        <v>271500</v>
      </c>
      <c r="BD53" s="417">
        <v>1330</v>
      </c>
      <c r="BE53" s="417">
        <v>2800</v>
      </c>
      <c r="BF53" s="417">
        <v>0</v>
      </c>
      <c r="BG53" s="417">
        <v>4603.5</v>
      </c>
      <c r="BH53" s="417">
        <v>0</v>
      </c>
      <c r="BI53" s="417">
        <v>87850</v>
      </c>
      <c r="BJ53" s="417">
        <v>0</v>
      </c>
      <c r="BK53" s="819">
        <v>0</v>
      </c>
      <c r="BL53" s="417">
        <v>0</v>
      </c>
      <c r="BM53" s="417">
        <v>33320</v>
      </c>
      <c r="BN53" s="375">
        <v>379533.5</v>
      </c>
      <c r="BO53" s="212"/>
      <c r="BP53" s="818">
        <v>0</v>
      </c>
      <c r="BQ53" s="818">
        <v>300000</v>
      </c>
      <c r="BR53" s="818">
        <v>0</v>
      </c>
      <c r="BS53" s="818">
        <v>35000</v>
      </c>
      <c r="BT53" s="818">
        <v>0</v>
      </c>
      <c r="BU53" s="818">
        <v>0</v>
      </c>
      <c r="BV53" s="818">
        <v>30000</v>
      </c>
      <c r="BW53" s="818">
        <v>595600</v>
      </c>
      <c r="BX53" s="818">
        <v>30000</v>
      </c>
      <c r="BY53" s="818">
        <v>0</v>
      </c>
      <c r="BZ53" s="818">
        <v>0</v>
      </c>
      <c r="CA53" s="818">
        <v>20400</v>
      </c>
      <c r="CB53" s="375">
        <f>SUM(BP53:CA53)</f>
        <v>1011000</v>
      </c>
      <c r="CC53" s="366">
        <f t="shared" si="88"/>
        <v>631466.5</v>
      </c>
      <c r="CD53" s="165">
        <f>IFERROR(CC53/CB53,"N/A")</f>
        <v>0.62459594460929768</v>
      </c>
      <c r="CE53" s="367"/>
      <c r="CF53" s="373">
        <v>86888</v>
      </c>
      <c r="CG53" s="373">
        <v>35000</v>
      </c>
      <c r="CH53" s="373">
        <v>0</v>
      </c>
      <c r="CI53" s="373">
        <v>0</v>
      </c>
      <c r="CJ53" s="373">
        <v>213276</v>
      </c>
      <c r="CK53" s="373">
        <v>0</v>
      </c>
      <c r="CL53" s="373">
        <v>69604.86</v>
      </c>
      <c r="CM53" s="373">
        <v>128224</v>
      </c>
      <c r="CN53" s="373">
        <v>530777</v>
      </c>
      <c r="CO53" s="373">
        <v>0</v>
      </c>
      <c r="CP53" s="373">
        <v>0</v>
      </c>
      <c r="CQ53" s="373">
        <v>18360</v>
      </c>
      <c r="CR53" s="376"/>
      <c r="CS53" s="375">
        <f t="shared" si="90"/>
        <v>1082129.8599999999</v>
      </c>
      <c r="CT53" s="378">
        <f>CS53-BN53</f>
        <v>702596.35999999987</v>
      </c>
      <c r="CU53" s="165">
        <f>IFERROR(CT53/CS53,"N/A")</f>
        <v>0.64927176115443297</v>
      </c>
      <c r="CV53" s="320"/>
      <c r="CW53" s="373"/>
      <c r="CX53" s="373"/>
      <c r="CY53" s="373"/>
      <c r="CZ53" s="373"/>
      <c r="DA53" s="373"/>
      <c r="DB53" s="373"/>
      <c r="DC53" s="373"/>
      <c r="DD53" s="373"/>
      <c r="DE53" s="373"/>
      <c r="DF53" s="373"/>
      <c r="DG53" s="373"/>
      <c r="DH53" s="373"/>
      <c r="DI53" s="375"/>
      <c r="DJ53" s="320"/>
      <c r="DK53" s="373"/>
      <c r="DL53" s="373"/>
      <c r="DM53" s="373"/>
      <c r="DN53" s="373"/>
      <c r="DO53" s="373"/>
      <c r="DP53" s="373"/>
      <c r="DQ53" s="373"/>
      <c r="DR53" s="373"/>
      <c r="DS53" s="373"/>
      <c r="DT53" s="373"/>
      <c r="DU53" s="373"/>
      <c r="DV53" s="373"/>
      <c r="DW53" s="375"/>
      <c r="DY53" s="373"/>
      <c r="DZ53" s="373"/>
      <c r="EA53" s="373"/>
      <c r="EB53" s="373"/>
      <c r="EC53" s="373"/>
      <c r="ED53" s="373"/>
      <c r="EE53" s="373"/>
      <c r="EF53" s="373"/>
      <c r="EG53" s="373"/>
      <c r="EH53" s="373"/>
      <c r="EI53" s="373"/>
      <c r="EJ53" s="373"/>
      <c r="EK53" s="375"/>
      <c r="EL53" s="177"/>
      <c r="EM53" s="373"/>
      <c r="EN53" s="373"/>
      <c r="EO53" s="373"/>
      <c r="EP53" s="373"/>
      <c r="EQ53" s="373"/>
      <c r="ER53" s="373"/>
      <c r="ES53" s="373"/>
      <c r="ET53" s="373"/>
      <c r="EU53" s="373"/>
      <c r="EV53" s="373"/>
      <c r="EW53" s="373"/>
      <c r="EX53" s="373"/>
      <c r="EY53" s="375"/>
      <c r="EZ53" s="164"/>
      <c r="FC53" s="185">
        <v>0</v>
      </c>
    </row>
    <row r="54" spans="1:159" ht="18.75" customHeight="1">
      <c r="A54" s="185" t="s">
        <v>442</v>
      </c>
      <c r="B54" s="176">
        <v>60211000</v>
      </c>
      <c r="C54" s="176" t="s">
        <v>125</v>
      </c>
      <c r="D54" s="176" t="s">
        <v>109</v>
      </c>
      <c r="E54" s="324"/>
      <c r="F54" s="320" t="s">
        <v>642</v>
      </c>
      <c r="G54" s="320"/>
      <c r="H54" s="417">
        <v>0</v>
      </c>
      <c r="I54" s="417">
        <v>0</v>
      </c>
      <c r="J54" s="417">
        <v>0</v>
      </c>
      <c r="K54" s="417">
        <v>0</v>
      </c>
      <c r="L54" s="417">
        <v>0</v>
      </c>
      <c r="M54" s="417">
        <v>0</v>
      </c>
      <c r="N54" s="417">
        <v>0</v>
      </c>
      <c r="O54" s="417">
        <v>0</v>
      </c>
      <c r="P54" s="417">
        <v>0</v>
      </c>
      <c r="Q54" s="819">
        <v>0</v>
      </c>
      <c r="R54" s="417">
        <v>0</v>
      </c>
      <c r="S54" s="417">
        <v>15000000</v>
      </c>
      <c r="T54" s="402"/>
      <c r="U54" s="366">
        <f t="shared" si="81"/>
        <v>16413074</v>
      </c>
      <c r="V54" s="165">
        <f t="shared" si="82"/>
        <v>1</v>
      </c>
      <c r="W54" s="212"/>
      <c r="X54" s="417">
        <v>1388052</v>
      </c>
      <c r="Y54" s="417">
        <v>1269669</v>
      </c>
      <c r="Z54" s="417">
        <v>1455205</v>
      </c>
      <c r="AA54" s="417">
        <v>1565563</v>
      </c>
      <c r="AB54" s="417">
        <v>1521133</v>
      </c>
      <c r="AC54" s="417">
        <v>1558011</v>
      </c>
      <c r="AD54" s="417">
        <v>1706671</v>
      </c>
      <c r="AE54" s="417">
        <v>1587586</v>
      </c>
      <c r="AF54" s="417">
        <v>1525230</v>
      </c>
      <c r="AG54" s="819">
        <v>1025654</v>
      </c>
      <c r="AH54" s="417">
        <v>979896</v>
      </c>
      <c r="AI54" s="417">
        <v>830404</v>
      </c>
      <c r="AJ54" s="375">
        <f t="shared" si="83"/>
        <v>16413074</v>
      </c>
      <c r="AK54" s="212"/>
      <c r="AL54" s="417">
        <v>0</v>
      </c>
      <c r="AM54" s="417">
        <v>0</v>
      </c>
      <c r="AN54" s="417">
        <v>0</v>
      </c>
      <c r="AO54" s="417">
        <v>0</v>
      </c>
      <c r="AP54" s="417">
        <v>0</v>
      </c>
      <c r="AQ54" s="417">
        <v>0</v>
      </c>
      <c r="AR54" s="417">
        <v>0</v>
      </c>
      <c r="AS54" s="417">
        <v>0</v>
      </c>
      <c r="AT54" s="417">
        <v>0</v>
      </c>
      <c r="AU54" s="819">
        <v>0</v>
      </c>
      <c r="AV54" s="417">
        <v>0</v>
      </c>
      <c r="AW54" s="417">
        <v>15000000</v>
      </c>
      <c r="AX54" s="375">
        <f>SUM(AL54:AW54)</f>
        <v>15000000</v>
      </c>
      <c r="AY54" s="366">
        <f t="shared" si="85"/>
        <v>45156</v>
      </c>
      <c r="AZ54" s="165">
        <f t="shared" si="86"/>
        <v>3.0013646917320101E-3</v>
      </c>
      <c r="BA54" s="212"/>
      <c r="BB54" s="417">
        <v>1471758</v>
      </c>
      <c r="BC54" s="417">
        <v>1618308</v>
      </c>
      <c r="BD54" s="417">
        <v>1470243</v>
      </c>
      <c r="BE54" s="417">
        <v>1590844</v>
      </c>
      <c r="BF54" s="417">
        <v>1552837</v>
      </c>
      <c r="BG54" s="417">
        <v>1239328</v>
      </c>
      <c r="BH54" s="417">
        <v>972881</v>
      </c>
      <c r="BI54" s="417">
        <v>913322</v>
      </c>
      <c r="BJ54" s="417">
        <v>906049</v>
      </c>
      <c r="BK54" s="819">
        <v>1207422</v>
      </c>
      <c r="BL54" s="417">
        <v>1202164</v>
      </c>
      <c r="BM54" s="417">
        <v>1095476</v>
      </c>
      <c r="BN54" s="375">
        <v>15045156</v>
      </c>
      <c r="BO54" s="212"/>
      <c r="BP54" s="818">
        <v>1500000</v>
      </c>
      <c r="BQ54" s="818">
        <v>2000000</v>
      </c>
      <c r="BR54" s="818">
        <v>2000000</v>
      </c>
      <c r="BS54" s="818">
        <v>2500000</v>
      </c>
      <c r="BT54" s="818">
        <v>2500000</v>
      </c>
      <c r="BU54" s="818">
        <v>2500000</v>
      </c>
      <c r="BV54" s="818">
        <v>2000000</v>
      </c>
      <c r="BW54" s="818">
        <v>2000000</v>
      </c>
      <c r="BX54" s="818">
        <v>1500000</v>
      </c>
      <c r="BY54" s="818">
        <v>1200000</v>
      </c>
      <c r="BZ54" s="818">
        <v>1200000</v>
      </c>
      <c r="CA54" s="818">
        <v>-2000000</v>
      </c>
      <c r="CB54" s="375">
        <f t="shared" si="87"/>
        <v>18900000</v>
      </c>
      <c r="CC54" s="366">
        <f t="shared" si="88"/>
        <v>3854844</v>
      </c>
      <c r="CD54" s="165">
        <f t="shared" si="89"/>
        <v>0.20396</v>
      </c>
      <c r="CE54" s="367"/>
      <c r="CF54" s="373">
        <v>275647</v>
      </c>
      <c r="CG54" s="373">
        <v>-275647</v>
      </c>
      <c r="CH54" s="373">
        <v>0</v>
      </c>
      <c r="CI54" s="373">
        <v>0</v>
      </c>
      <c r="CJ54" s="373">
        <v>0</v>
      </c>
      <c r="CK54" s="373">
        <v>0</v>
      </c>
      <c r="CL54" s="373">
        <v>4630234</v>
      </c>
      <c r="CM54" s="373">
        <v>967709</v>
      </c>
      <c r="CN54" s="373">
        <v>129655</v>
      </c>
      <c r="CO54" s="373">
        <v>1042325</v>
      </c>
      <c r="CP54" s="373">
        <v>939918</v>
      </c>
      <c r="CQ54" s="373">
        <v>1616141</v>
      </c>
      <c r="CR54" s="376"/>
      <c r="CS54" s="375">
        <f t="shared" si="90"/>
        <v>9325982</v>
      </c>
      <c r="CT54" s="378">
        <f t="shared" si="95"/>
        <v>-5719174</v>
      </c>
      <c r="CU54" s="165">
        <f t="shared" si="91"/>
        <v>-0.61325166615161808</v>
      </c>
      <c r="CV54" s="320"/>
      <c r="CW54" s="373">
        <v>0</v>
      </c>
      <c r="CX54" s="373">
        <v>14887</v>
      </c>
      <c r="CY54" s="373">
        <v>98226.5</v>
      </c>
      <c r="CZ54" s="373">
        <v>78707.5</v>
      </c>
      <c r="DA54" s="373">
        <v>89095.5</v>
      </c>
      <c r="DB54" s="373">
        <v>77780</v>
      </c>
      <c r="DC54" s="373">
        <v>130359</v>
      </c>
      <c r="DD54" s="373">
        <v>113018</v>
      </c>
      <c r="DE54" s="373">
        <v>282932</v>
      </c>
      <c r="DF54" s="373">
        <v>-113118</v>
      </c>
      <c r="DG54" s="373">
        <v>108498</v>
      </c>
      <c r="DH54" s="373">
        <v>-755449</v>
      </c>
      <c r="DI54" s="375">
        <f t="shared" ref="DI54:DI120" si="99">SUM(CW54:DH54)</f>
        <v>124936.5</v>
      </c>
      <c r="DJ54" s="320"/>
      <c r="DK54" s="373">
        <v>0</v>
      </c>
      <c r="DL54" s="373">
        <v>0</v>
      </c>
      <c r="DM54" s="373">
        <v>0</v>
      </c>
      <c r="DN54" s="373">
        <v>0</v>
      </c>
      <c r="DO54" s="373">
        <v>0</v>
      </c>
      <c r="DP54" s="373">
        <v>0</v>
      </c>
      <c r="DQ54" s="373">
        <v>0</v>
      </c>
      <c r="DR54" s="373">
        <v>122172.49999999999</v>
      </c>
      <c r="DS54" s="373">
        <v>27494.999999999996</v>
      </c>
      <c r="DT54" s="373">
        <v>26565.5</v>
      </c>
      <c r="DU54" s="373">
        <v>26565.5</v>
      </c>
      <c r="DV54" s="373">
        <v>57089.5</v>
      </c>
      <c r="DW54" s="375">
        <f t="shared" si="93"/>
        <v>259887.99999999997</v>
      </c>
      <c r="DY54" s="373">
        <v>0</v>
      </c>
      <c r="DZ54" s="373">
        <v>2100</v>
      </c>
      <c r="EA54" s="373">
        <v>0</v>
      </c>
      <c r="EB54" s="373">
        <v>0</v>
      </c>
      <c r="EC54" s="373">
        <v>419.99999999999994</v>
      </c>
      <c r="ED54" s="373">
        <v>0</v>
      </c>
      <c r="EE54" s="373">
        <v>0</v>
      </c>
      <c r="EF54" s="373">
        <v>0</v>
      </c>
      <c r="EG54" s="373">
        <v>0</v>
      </c>
      <c r="EH54" s="373">
        <v>0</v>
      </c>
      <c r="EI54" s="373">
        <v>0</v>
      </c>
      <c r="EJ54" s="373">
        <v>0</v>
      </c>
      <c r="EK54" s="375">
        <f t="shared" si="94"/>
        <v>2520</v>
      </c>
      <c r="EL54" s="177"/>
      <c r="EM54" s="373">
        <v>40</v>
      </c>
      <c r="EN54" s="373">
        <v>1660.8000000000002</v>
      </c>
      <c r="EO54" s="373">
        <v>111.00000000000001</v>
      </c>
      <c r="EP54" s="373">
        <v>83</v>
      </c>
      <c r="EQ54" s="373">
        <v>92</v>
      </c>
      <c r="ER54" s="373">
        <v>2313.3000000000002</v>
      </c>
      <c r="ES54" s="373">
        <v>77090</v>
      </c>
      <c r="ET54" s="373">
        <v>162</v>
      </c>
      <c r="EU54" s="373">
        <v>12451.199999999999</v>
      </c>
      <c r="EV54" s="373">
        <v>0</v>
      </c>
      <c r="EW54" s="373">
        <v>0</v>
      </c>
      <c r="EX54" s="373">
        <v>-65170.8</v>
      </c>
      <c r="EY54" s="375">
        <f t="shared" si="96"/>
        <v>28832.5</v>
      </c>
      <c r="EZ54" s="164"/>
      <c r="FC54" s="185">
        <v>0</v>
      </c>
    </row>
    <row r="55" spans="1:159" ht="18.75" customHeight="1">
      <c r="A55" s="185" t="s">
        <v>442</v>
      </c>
      <c r="B55" s="176">
        <v>60215000</v>
      </c>
      <c r="C55" s="176" t="s">
        <v>125</v>
      </c>
      <c r="D55" s="176" t="s">
        <v>109</v>
      </c>
      <c r="E55" s="324"/>
      <c r="F55" s="320" t="s">
        <v>643</v>
      </c>
      <c r="G55" s="320"/>
      <c r="H55" s="417">
        <v>0</v>
      </c>
      <c r="I55" s="417">
        <v>0</v>
      </c>
      <c r="J55" s="417">
        <v>0</v>
      </c>
      <c r="K55" s="417">
        <v>0</v>
      </c>
      <c r="L55" s="417">
        <v>0</v>
      </c>
      <c r="M55" s="417">
        <v>0</v>
      </c>
      <c r="N55" s="417">
        <v>0</v>
      </c>
      <c r="O55" s="417">
        <v>0</v>
      </c>
      <c r="P55" s="417">
        <v>0</v>
      </c>
      <c r="Q55" s="819">
        <v>0</v>
      </c>
      <c r="R55" s="417">
        <v>0</v>
      </c>
      <c r="S55" s="417">
        <v>145125.60000000003</v>
      </c>
      <c r="T55" s="402"/>
      <c r="U55" s="366">
        <f t="shared" si="81"/>
        <v>116099.45</v>
      </c>
      <c r="V55" s="165">
        <f t="shared" si="82"/>
        <v>1</v>
      </c>
      <c r="W55" s="212"/>
      <c r="X55" s="417">
        <v>7489</v>
      </c>
      <c r="Y55" s="417">
        <v>11555.6</v>
      </c>
      <c r="Z55" s="417">
        <v>12117.55</v>
      </c>
      <c r="AA55" s="417">
        <v>11806.8</v>
      </c>
      <c r="AB55" s="417">
        <v>11962.6</v>
      </c>
      <c r="AC55" s="417">
        <v>11911.9</v>
      </c>
      <c r="AD55" s="417">
        <v>11653.1</v>
      </c>
      <c r="AE55" s="417">
        <v>8471.2000000000007</v>
      </c>
      <c r="AF55" s="417">
        <v>7308.7</v>
      </c>
      <c r="AG55" s="819">
        <v>8006.2</v>
      </c>
      <c r="AH55" s="417">
        <v>6408.8</v>
      </c>
      <c r="AI55" s="417">
        <v>7408</v>
      </c>
      <c r="AJ55" s="375">
        <f t="shared" si="83"/>
        <v>116099.45</v>
      </c>
      <c r="AK55" s="212"/>
      <c r="AL55" s="417">
        <v>0</v>
      </c>
      <c r="AM55" s="417">
        <v>0</v>
      </c>
      <c r="AN55" s="417">
        <v>0</v>
      </c>
      <c r="AO55" s="417">
        <v>0</v>
      </c>
      <c r="AP55" s="417">
        <v>0</v>
      </c>
      <c r="AQ55" s="417">
        <v>0</v>
      </c>
      <c r="AR55" s="417">
        <v>0</v>
      </c>
      <c r="AS55" s="417">
        <v>0</v>
      </c>
      <c r="AT55" s="417">
        <v>0</v>
      </c>
      <c r="AU55" s="819">
        <v>0</v>
      </c>
      <c r="AV55" s="417">
        <v>0</v>
      </c>
      <c r="AW55" s="417">
        <v>145125.60000000003</v>
      </c>
      <c r="AX55" s="375">
        <f>SUM(AL55:AW55)</f>
        <v>145125.60000000003</v>
      </c>
      <c r="AY55" s="366">
        <f t="shared" si="85"/>
        <v>13866.299999999988</v>
      </c>
      <c r="AZ55" s="165">
        <f t="shared" si="86"/>
        <v>8.7213876933353127E-2</v>
      </c>
      <c r="BA55" s="212"/>
      <c r="BB55" s="417">
        <v>0</v>
      </c>
      <c r="BC55" s="417">
        <v>105636.6</v>
      </c>
      <c r="BD55" s="417">
        <v>12838.1</v>
      </c>
      <c r="BE55" s="417">
        <v>7565.7</v>
      </c>
      <c r="BF55" s="417">
        <v>2328.8000000000002</v>
      </c>
      <c r="BG55" s="417">
        <v>25961.1</v>
      </c>
      <c r="BH55" s="417">
        <v>9054.2999999999993</v>
      </c>
      <c r="BI55" s="417">
        <v>9670.2000000000007</v>
      </c>
      <c r="BJ55" s="417">
        <v>7370.6</v>
      </c>
      <c r="BK55" s="819">
        <v>-56944.7</v>
      </c>
      <c r="BL55" s="417">
        <v>10511.2</v>
      </c>
      <c r="BM55" s="417">
        <v>11133.7</v>
      </c>
      <c r="BN55" s="375">
        <v>158991.90000000002</v>
      </c>
      <c r="BO55" s="212"/>
      <c r="BP55" s="818">
        <v>25000</v>
      </c>
      <c r="BQ55" s="818">
        <v>25000</v>
      </c>
      <c r="BR55" s="818">
        <v>25000</v>
      </c>
      <c r="BS55" s="818">
        <v>25000</v>
      </c>
      <c r="BT55" s="818">
        <v>25000</v>
      </c>
      <c r="BU55" s="818">
        <v>25000</v>
      </c>
      <c r="BV55" s="818">
        <v>25000</v>
      </c>
      <c r="BW55" s="818">
        <v>25000</v>
      </c>
      <c r="BX55" s="818">
        <v>25000</v>
      </c>
      <c r="BY55" s="818">
        <v>25000</v>
      </c>
      <c r="BZ55" s="818">
        <v>25000</v>
      </c>
      <c r="CA55" s="818">
        <v>25000</v>
      </c>
      <c r="CB55" s="375">
        <f t="shared" si="87"/>
        <v>300000</v>
      </c>
      <c r="CC55" s="366">
        <f t="shared" si="88"/>
        <v>141008.09999999998</v>
      </c>
      <c r="CD55" s="165">
        <f t="shared" si="89"/>
        <v>0.47002699999999992</v>
      </c>
      <c r="CE55" s="367"/>
      <c r="CF55" s="373">
        <v>11877.9</v>
      </c>
      <c r="CG55" s="373">
        <v>-11877.9</v>
      </c>
      <c r="CH55" s="373">
        <v>0</v>
      </c>
      <c r="CI55" s="373">
        <v>0</v>
      </c>
      <c r="CJ55" s="373">
        <v>0</v>
      </c>
      <c r="CK55" s="373">
        <v>0</v>
      </c>
      <c r="CL55" s="373">
        <v>53162.1</v>
      </c>
      <c r="CM55" s="373">
        <v>21990.1</v>
      </c>
      <c r="CN55" s="373">
        <v>0</v>
      </c>
      <c r="CO55" s="373">
        <v>0</v>
      </c>
      <c r="CP55" s="373">
        <v>0</v>
      </c>
      <c r="CQ55" s="373">
        <v>0</v>
      </c>
      <c r="CR55" s="376"/>
      <c r="CS55" s="375">
        <f t="shared" si="90"/>
        <v>75152.2</v>
      </c>
      <c r="CT55" s="378">
        <f t="shared" si="95"/>
        <v>-83839.700000000026</v>
      </c>
      <c r="CU55" s="165">
        <f t="shared" si="91"/>
        <v>-1.1155987449469214</v>
      </c>
      <c r="CV55" s="320"/>
      <c r="CW55" s="373">
        <v>0</v>
      </c>
      <c r="CX55" s="373">
        <v>0</v>
      </c>
      <c r="CY55" s="373">
        <v>0</v>
      </c>
      <c r="CZ55" s="373">
        <v>0</v>
      </c>
      <c r="DA55" s="373">
        <v>0</v>
      </c>
      <c r="DB55" s="373">
        <v>0</v>
      </c>
      <c r="DC55" s="373">
        <v>0</v>
      </c>
      <c r="DD55" s="373">
        <v>0</v>
      </c>
      <c r="DE55" s="373">
        <v>0</v>
      </c>
      <c r="DF55" s="373">
        <v>0</v>
      </c>
      <c r="DG55" s="373">
        <v>0</v>
      </c>
      <c r="DH55" s="373">
        <v>-819.4</v>
      </c>
      <c r="DI55" s="375">
        <f t="shared" si="99"/>
        <v>-819.4</v>
      </c>
      <c r="DJ55" s="320"/>
      <c r="DK55" s="373"/>
      <c r="DL55" s="373"/>
      <c r="DM55" s="373"/>
      <c r="DN55" s="373"/>
      <c r="DO55" s="373"/>
      <c r="DP55" s="373"/>
      <c r="DQ55" s="373"/>
      <c r="DR55" s="373"/>
      <c r="DS55" s="373"/>
      <c r="DT55" s="373"/>
      <c r="DU55" s="373"/>
      <c r="DV55" s="373"/>
      <c r="DW55" s="375">
        <f t="shared" si="93"/>
        <v>0</v>
      </c>
      <c r="DY55" s="373"/>
      <c r="DZ55" s="373"/>
      <c r="EA55" s="373"/>
      <c r="EB55" s="373"/>
      <c r="EC55" s="373"/>
      <c r="ED55" s="373"/>
      <c r="EE55" s="373"/>
      <c r="EF55" s="373"/>
      <c r="EG55" s="373"/>
      <c r="EH55" s="373"/>
      <c r="EI55" s="373"/>
      <c r="EJ55" s="373"/>
      <c r="EK55" s="375">
        <f t="shared" si="94"/>
        <v>0</v>
      </c>
      <c r="EL55" s="177"/>
      <c r="EM55" s="373"/>
      <c r="EN55" s="373"/>
      <c r="EO55" s="373"/>
      <c r="EP55" s="373"/>
      <c r="EQ55" s="373"/>
      <c r="ER55" s="373"/>
      <c r="ES55" s="373"/>
      <c r="ET55" s="373"/>
      <c r="EU55" s="373"/>
      <c r="EV55" s="373"/>
      <c r="EW55" s="373"/>
      <c r="EX55" s="373"/>
      <c r="EY55" s="375">
        <f t="shared" si="96"/>
        <v>0</v>
      </c>
      <c r="EZ55" s="164"/>
      <c r="FC55" s="185">
        <v>0</v>
      </c>
    </row>
    <row r="56" spans="1:159" ht="18.75" customHeight="1">
      <c r="A56" s="185" t="s">
        <v>1039</v>
      </c>
      <c r="B56" s="176">
        <v>60221000</v>
      </c>
      <c r="C56" s="176" t="s">
        <v>1106</v>
      </c>
      <c r="D56" s="176" t="s">
        <v>1106</v>
      </c>
      <c r="E56" s="324"/>
      <c r="F56" s="320" t="s">
        <v>1037</v>
      </c>
      <c r="G56" s="320"/>
      <c r="H56" s="417">
        <v>0</v>
      </c>
      <c r="I56" s="417">
        <v>0</v>
      </c>
      <c r="J56" s="417">
        <v>0</v>
      </c>
      <c r="K56" s="417">
        <v>0</v>
      </c>
      <c r="L56" s="417">
        <v>0</v>
      </c>
      <c r="M56" s="417">
        <v>0</v>
      </c>
      <c r="N56" s="417">
        <v>0</v>
      </c>
      <c r="O56" s="417">
        <v>0</v>
      </c>
      <c r="P56" s="417">
        <v>0</v>
      </c>
      <c r="Q56" s="819">
        <v>0</v>
      </c>
      <c r="R56" s="417">
        <v>0</v>
      </c>
      <c r="S56" s="417">
        <v>0</v>
      </c>
      <c r="T56" s="402"/>
      <c r="U56" s="366">
        <f t="shared" si="81"/>
        <v>0</v>
      </c>
      <c r="V56" s="165" t="e">
        <f t="shared" si="82"/>
        <v>#DIV/0!</v>
      </c>
      <c r="W56" s="212"/>
      <c r="X56" s="417">
        <v>0</v>
      </c>
      <c r="Y56" s="417">
        <v>0</v>
      </c>
      <c r="Z56" s="417">
        <v>0</v>
      </c>
      <c r="AA56" s="417">
        <v>0</v>
      </c>
      <c r="AB56" s="417">
        <v>0</v>
      </c>
      <c r="AC56" s="417">
        <v>0</v>
      </c>
      <c r="AD56" s="417">
        <v>0</v>
      </c>
      <c r="AE56" s="417">
        <v>0</v>
      </c>
      <c r="AF56" s="417">
        <v>0</v>
      </c>
      <c r="AG56" s="819">
        <v>0</v>
      </c>
      <c r="AH56" s="417">
        <v>0</v>
      </c>
      <c r="AI56" s="417">
        <v>0</v>
      </c>
      <c r="AJ56" s="375">
        <f t="shared" si="83"/>
        <v>0</v>
      </c>
      <c r="AK56" s="212"/>
      <c r="AL56" s="417">
        <v>0</v>
      </c>
      <c r="AM56" s="417">
        <v>0</v>
      </c>
      <c r="AN56" s="417">
        <v>0</v>
      </c>
      <c r="AO56" s="417">
        <v>0</v>
      </c>
      <c r="AP56" s="417">
        <v>0</v>
      </c>
      <c r="AQ56" s="417">
        <v>0</v>
      </c>
      <c r="AR56" s="417">
        <v>0</v>
      </c>
      <c r="AS56" s="417">
        <v>0</v>
      </c>
      <c r="AT56" s="417">
        <v>0</v>
      </c>
      <c r="AU56" s="819">
        <v>0</v>
      </c>
      <c r="AV56" s="417">
        <v>0</v>
      </c>
      <c r="AW56" s="417">
        <v>0</v>
      </c>
      <c r="AX56" s="375">
        <f>SUM(AL56:AW56)</f>
        <v>0</v>
      </c>
      <c r="AY56" s="366">
        <f t="shared" si="85"/>
        <v>0</v>
      </c>
      <c r="AZ56" s="165" t="e">
        <f t="shared" si="86"/>
        <v>#DIV/0!</v>
      </c>
      <c r="BA56" s="212"/>
      <c r="BB56" s="417">
        <v>0</v>
      </c>
      <c r="BC56" s="417">
        <v>0</v>
      </c>
      <c r="BD56" s="417">
        <v>0</v>
      </c>
      <c r="BE56" s="417">
        <v>0</v>
      </c>
      <c r="BF56" s="417">
        <v>0</v>
      </c>
      <c r="BG56" s="417">
        <v>0</v>
      </c>
      <c r="BH56" s="417">
        <v>0</v>
      </c>
      <c r="BI56" s="417">
        <v>0</v>
      </c>
      <c r="BJ56" s="417">
        <v>0</v>
      </c>
      <c r="BK56" s="819">
        <v>0</v>
      </c>
      <c r="BL56" s="417">
        <v>0</v>
      </c>
      <c r="BM56" s="417">
        <v>0</v>
      </c>
      <c r="BN56" s="375">
        <f>SUM(BB56:BM56)</f>
        <v>0</v>
      </c>
      <c r="BO56" s="212"/>
      <c r="BP56" s="818">
        <v>0</v>
      </c>
      <c r="BQ56" s="818">
        <v>0</v>
      </c>
      <c r="BR56" s="818">
        <v>0</v>
      </c>
      <c r="BS56" s="818">
        <v>0</v>
      </c>
      <c r="BT56" s="818">
        <v>0</v>
      </c>
      <c r="BU56" s="818">
        <v>0</v>
      </c>
      <c r="BV56" s="818">
        <v>0</v>
      </c>
      <c r="BW56" s="818">
        <v>0</v>
      </c>
      <c r="BX56" s="818">
        <v>0</v>
      </c>
      <c r="BY56" s="818">
        <v>0</v>
      </c>
      <c r="BZ56" s="818">
        <v>0</v>
      </c>
      <c r="CA56" s="818">
        <v>0</v>
      </c>
      <c r="CB56" s="375">
        <f t="shared" si="87"/>
        <v>0</v>
      </c>
      <c r="CC56" s="366">
        <f t="shared" si="88"/>
        <v>0</v>
      </c>
      <c r="CD56" s="165" t="str">
        <f t="shared" si="89"/>
        <v>N/A</v>
      </c>
      <c r="CE56" s="367"/>
      <c r="CF56" s="373"/>
      <c r="CG56" s="373"/>
      <c r="CH56" s="373"/>
      <c r="CI56" s="373"/>
      <c r="CJ56" s="373"/>
      <c r="CK56" s="373"/>
      <c r="CL56" s="373"/>
      <c r="CM56" s="373"/>
      <c r="CN56" s="373"/>
      <c r="CO56" s="373"/>
      <c r="CP56" s="373"/>
      <c r="CQ56" s="373"/>
      <c r="CR56" s="376"/>
      <c r="CS56" s="375">
        <f t="shared" si="90"/>
        <v>0</v>
      </c>
      <c r="CT56" s="378">
        <f t="shared" si="95"/>
        <v>0</v>
      </c>
      <c r="CU56" s="165" t="str">
        <f t="shared" si="91"/>
        <v>N/A</v>
      </c>
      <c r="CV56" s="320"/>
      <c r="CW56" s="373"/>
      <c r="CX56" s="373"/>
      <c r="CY56" s="373"/>
      <c r="CZ56" s="373"/>
      <c r="DA56" s="373"/>
      <c r="DB56" s="373"/>
      <c r="DC56" s="373"/>
      <c r="DD56" s="373"/>
      <c r="DE56" s="373"/>
      <c r="DF56" s="373"/>
      <c r="DG56" s="373"/>
      <c r="DH56" s="373"/>
      <c r="DI56" s="375">
        <f>SUM(CW56:DH56)</f>
        <v>0</v>
      </c>
      <c r="DJ56" s="320"/>
      <c r="DK56" s="373"/>
      <c r="DL56" s="373"/>
      <c r="DM56" s="373"/>
      <c r="DN56" s="373"/>
      <c r="DO56" s="373"/>
      <c r="DP56" s="373"/>
      <c r="DQ56" s="373"/>
      <c r="DR56" s="373"/>
      <c r="DS56" s="373"/>
      <c r="DT56" s="373"/>
      <c r="DU56" s="373"/>
      <c r="DV56" s="373"/>
      <c r="DW56" s="375">
        <f t="shared" si="93"/>
        <v>0</v>
      </c>
      <c r="DY56" s="373"/>
      <c r="DZ56" s="373"/>
      <c r="EA56" s="373"/>
      <c r="EB56" s="373"/>
      <c r="EC56" s="373"/>
      <c r="ED56" s="373"/>
      <c r="EE56" s="373"/>
      <c r="EF56" s="373"/>
      <c r="EG56" s="373"/>
      <c r="EH56" s="373"/>
      <c r="EI56" s="373"/>
      <c r="EJ56" s="373"/>
      <c r="EK56" s="375">
        <f t="shared" si="94"/>
        <v>0</v>
      </c>
      <c r="EL56" s="177"/>
      <c r="EM56" s="373"/>
      <c r="EN56" s="373"/>
      <c r="EO56" s="373"/>
      <c r="EP56" s="373"/>
      <c r="EQ56" s="373"/>
      <c r="ER56" s="373"/>
      <c r="ES56" s="373"/>
      <c r="ET56" s="373"/>
      <c r="EU56" s="373"/>
      <c r="EV56" s="373"/>
      <c r="EW56" s="373"/>
      <c r="EX56" s="373"/>
      <c r="EY56" s="375">
        <f>SUM(EM56:EX56)</f>
        <v>0</v>
      </c>
      <c r="EZ56" s="164"/>
      <c r="FC56" s="185">
        <v>0</v>
      </c>
    </row>
    <row r="57" spans="1:159" ht="18.75" hidden="1" customHeight="1" outlineLevel="1">
      <c r="A57" s="185" t="s">
        <v>329</v>
      </c>
      <c r="B57" s="176">
        <v>60301000</v>
      </c>
      <c r="C57" s="176" t="s">
        <v>109</v>
      </c>
      <c r="D57" s="176" t="s">
        <v>109</v>
      </c>
      <c r="E57" s="324"/>
      <c r="F57" s="320" t="s">
        <v>333</v>
      </c>
      <c r="G57" s="320"/>
      <c r="H57" s="417">
        <v>0</v>
      </c>
      <c r="I57" s="417">
        <v>0</v>
      </c>
      <c r="J57" s="417">
        <v>0</v>
      </c>
      <c r="K57" s="417">
        <v>0</v>
      </c>
      <c r="L57" s="417">
        <v>0</v>
      </c>
      <c r="M57" s="417">
        <v>0</v>
      </c>
      <c r="N57" s="417">
        <v>0</v>
      </c>
      <c r="O57" s="417">
        <v>0</v>
      </c>
      <c r="P57" s="417">
        <v>0</v>
      </c>
      <c r="Q57" s="819">
        <v>0</v>
      </c>
      <c r="R57" s="417">
        <v>0</v>
      </c>
      <c r="S57" s="417">
        <v>0</v>
      </c>
      <c r="T57" s="402"/>
      <c r="U57" s="366">
        <f t="shared" si="81"/>
        <v>0</v>
      </c>
      <c r="V57" s="165" t="e">
        <f t="shared" si="82"/>
        <v>#DIV/0!</v>
      </c>
      <c r="W57" s="212"/>
      <c r="X57" s="417">
        <v>0</v>
      </c>
      <c r="Y57" s="417">
        <v>0</v>
      </c>
      <c r="Z57" s="417">
        <v>0</v>
      </c>
      <c r="AA57" s="417">
        <v>0</v>
      </c>
      <c r="AB57" s="417">
        <v>0</v>
      </c>
      <c r="AC57" s="417">
        <v>0</v>
      </c>
      <c r="AD57" s="417">
        <v>0</v>
      </c>
      <c r="AE57" s="417">
        <v>0</v>
      </c>
      <c r="AF57" s="417">
        <v>0</v>
      </c>
      <c r="AG57" s="819">
        <v>0</v>
      </c>
      <c r="AH57" s="417">
        <v>0</v>
      </c>
      <c r="AI57" s="417">
        <v>0</v>
      </c>
      <c r="AJ57" s="375">
        <f t="shared" si="83"/>
        <v>0</v>
      </c>
      <c r="AK57" s="212"/>
      <c r="AL57" s="417">
        <v>0</v>
      </c>
      <c r="AM57" s="417">
        <v>0</v>
      </c>
      <c r="AN57" s="417">
        <v>0</v>
      </c>
      <c r="AO57" s="417">
        <v>0</v>
      </c>
      <c r="AP57" s="417">
        <v>0</v>
      </c>
      <c r="AQ57" s="417">
        <v>0</v>
      </c>
      <c r="AR57" s="417">
        <v>0</v>
      </c>
      <c r="AS57" s="417">
        <v>0</v>
      </c>
      <c r="AT57" s="417">
        <v>0</v>
      </c>
      <c r="AU57" s="819">
        <v>0</v>
      </c>
      <c r="AV57" s="417">
        <v>0</v>
      </c>
      <c r="AW57" s="417">
        <v>0</v>
      </c>
      <c r="AX57" s="375">
        <f t="shared" ref="AX57:AX74" si="100">SUM(AL57:AW57)</f>
        <v>0</v>
      </c>
      <c r="AY57" s="366">
        <f t="shared" si="85"/>
        <v>0</v>
      </c>
      <c r="AZ57" s="165" t="e">
        <f t="shared" si="86"/>
        <v>#DIV/0!</v>
      </c>
      <c r="BA57" s="212"/>
      <c r="BB57" s="417">
        <v>0</v>
      </c>
      <c r="BC57" s="417">
        <v>0</v>
      </c>
      <c r="BD57" s="417">
        <v>0</v>
      </c>
      <c r="BE57" s="417">
        <v>0</v>
      </c>
      <c r="BF57" s="417">
        <v>0</v>
      </c>
      <c r="BG57" s="417">
        <v>0</v>
      </c>
      <c r="BH57" s="417">
        <v>0</v>
      </c>
      <c r="BI57" s="417">
        <v>0</v>
      </c>
      <c r="BJ57" s="417">
        <v>0</v>
      </c>
      <c r="BK57" s="819">
        <v>0</v>
      </c>
      <c r="BL57" s="417">
        <v>0</v>
      </c>
      <c r="BM57" s="417">
        <v>0</v>
      </c>
      <c r="BN57" s="375">
        <f t="shared" si="98"/>
        <v>0</v>
      </c>
      <c r="BO57" s="212"/>
      <c r="BP57" s="818">
        <v>0</v>
      </c>
      <c r="BQ57" s="818">
        <v>0</v>
      </c>
      <c r="BR57" s="818">
        <v>0</v>
      </c>
      <c r="BS57" s="818">
        <v>0</v>
      </c>
      <c r="BT57" s="818">
        <v>0</v>
      </c>
      <c r="BU57" s="818">
        <v>0</v>
      </c>
      <c r="BV57" s="818">
        <v>0</v>
      </c>
      <c r="BW57" s="818">
        <v>0</v>
      </c>
      <c r="BX57" s="818">
        <v>0</v>
      </c>
      <c r="BY57" s="818">
        <v>0</v>
      </c>
      <c r="BZ57" s="818">
        <v>0</v>
      </c>
      <c r="CA57" s="818">
        <v>0</v>
      </c>
      <c r="CB57" s="375">
        <f t="shared" si="87"/>
        <v>0</v>
      </c>
      <c r="CC57" s="366">
        <f t="shared" si="88"/>
        <v>0</v>
      </c>
      <c r="CD57" s="165" t="str">
        <f t="shared" si="89"/>
        <v>N/A</v>
      </c>
      <c r="CE57" s="367"/>
      <c r="CF57" s="373">
        <v>0</v>
      </c>
      <c r="CG57" s="373">
        <v>0</v>
      </c>
      <c r="CH57" s="373">
        <v>0</v>
      </c>
      <c r="CI57" s="373">
        <v>0</v>
      </c>
      <c r="CJ57" s="373">
        <v>0</v>
      </c>
      <c r="CK57" s="373">
        <v>0</v>
      </c>
      <c r="CL57" s="373">
        <v>0</v>
      </c>
      <c r="CM57" s="373">
        <v>0</v>
      </c>
      <c r="CN57" s="373">
        <v>0</v>
      </c>
      <c r="CO57" s="373">
        <v>0</v>
      </c>
      <c r="CP57" s="373">
        <v>0</v>
      </c>
      <c r="CQ57" s="373">
        <v>0</v>
      </c>
      <c r="CR57" s="376"/>
      <c r="CS57" s="375">
        <f t="shared" si="90"/>
        <v>0</v>
      </c>
      <c r="CT57" s="378">
        <f t="shared" si="95"/>
        <v>0</v>
      </c>
      <c r="CU57" s="165" t="str">
        <f t="shared" si="91"/>
        <v>N/A</v>
      </c>
      <c r="CV57" s="320"/>
      <c r="CW57" s="373">
        <v>0</v>
      </c>
      <c r="CX57" s="373">
        <v>0</v>
      </c>
      <c r="CY57" s="373">
        <v>0</v>
      </c>
      <c r="CZ57" s="373">
        <v>0</v>
      </c>
      <c r="DA57" s="373">
        <v>0</v>
      </c>
      <c r="DB57" s="373">
        <v>0</v>
      </c>
      <c r="DC57" s="373">
        <v>0</v>
      </c>
      <c r="DD57" s="373">
        <v>0</v>
      </c>
      <c r="DE57" s="373">
        <v>0</v>
      </c>
      <c r="DF57" s="373">
        <v>0</v>
      </c>
      <c r="DG57" s="373">
        <v>0</v>
      </c>
      <c r="DH57" s="373">
        <v>0</v>
      </c>
      <c r="DI57" s="375">
        <f t="shared" si="99"/>
        <v>0</v>
      </c>
      <c r="DJ57" s="320"/>
      <c r="DK57" s="373"/>
      <c r="DL57" s="373"/>
      <c r="DM57" s="373"/>
      <c r="DN57" s="373"/>
      <c r="DO57" s="373"/>
      <c r="DP57" s="373"/>
      <c r="DQ57" s="373"/>
      <c r="DR57" s="373"/>
      <c r="DS57" s="373"/>
      <c r="DT57" s="373"/>
      <c r="DU57" s="373"/>
      <c r="DV57" s="373"/>
      <c r="DW57" s="375">
        <f t="shared" si="93"/>
        <v>0</v>
      </c>
      <c r="DY57" s="373"/>
      <c r="DZ57" s="373"/>
      <c r="EA57" s="373"/>
      <c r="EB57" s="373"/>
      <c r="EC57" s="373"/>
      <c r="ED57" s="373"/>
      <c r="EE57" s="373"/>
      <c r="EF57" s="373"/>
      <c r="EG57" s="373"/>
      <c r="EH57" s="373"/>
      <c r="EI57" s="373"/>
      <c r="EJ57" s="373"/>
      <c r="EK57" s="375">
        <f t="shared" si="94"/>
        <v>0</v>
      </c>
      <c r="EL57" s="177"/>
      <c r="EM57" s="373"/>
      <c r="EN57" s="373"/>
      <c r="EO57" s="373"/>
      <c r="EP57" s="373"/>
      <c r="EQ57" s="373"/>
      <c r="ER57" s="373"/>
      <c r="ES57" s="373"/>
      <c r="ET57" s="373"/>
      <c r="EU57" s="373"/>
      <c r="EV57" s="373"/>
      <c r="EW57" s="373"/>
      <c r="EX57" s="373"/>
      <c r="EY57" s="375">
        <f t="shared" si="96"/>
        <v>0</v>
      </c>
      <c r="EZ57" s="164"/>
      <c r="FC57" s="185">
        <v>0</v>
      </c>
    </row>
    <row r="58" spans="1:159" ht="15" customHeight="1" collapsed="1">
      <c r="A58" s="185" t="s">
        <v>329</v>
      </c>
      <c r="B58" s="176">
        <v>60302000</v>
      </c>
      <c r="C58" s="176" t="s">
        <v>109</v>
      </c>
      <c r="D58" s="176" t="s">
        <v>109</v>
      </c>
      <c r="E58" s="324"/>
      <c r="F58" s="320" t="s">
        <v>644</v>
      </c>
      <c r="G58" s="320"/>
      <c r="H58" s="417">
        <v>1420</v>
      </c>
      <c r="I58" s="417">
        <v>31420</v>
      </c>
      <c r="J58" s="417">
        <v>31420</v>
      </c>
      <c r="K58" s="417">
        <v>1920</v>
      </c>
      <c r="L58" s="417">
        <v>1920</v>
      </c>
      <c r="M58" s="417">
        <v>1920</v>
      </c>
      <c r="N58" s="417">
        <v>1920</v>
      </c>
      <c r="O58" s="417">
        <v>1920</v>
      </c>
      <c r="P58" s="417">
        <v>1920</v>
      </c>
      <c r="Q58" s="819">
        <v>31920</v>
      </c>
      <c r="R58" s="417">
        <v>1420</v>
      </c>
      <c r="S58" s="417">
        <v>7017.5</v>
      </c>
      <c r="T58" s="402"/>
      <c r="U58" s="366">
        <f t="shared" si="81"/>
        <v>43384.030000000006</v>
      </c>
      <c r="V58" s="165">
        <f t="shared" si="82"/>
        <v>1</v>
      </c>
      <c r="W58" s="212"/>
      <c r="X58" s="417">
        <v>11718.400000000001</v>
      </c>
      <c r="Y58" s="417">
        <v>380.5</v>
      </c>
      <c r="Z58" s="417">
        <v>147.32999999999998</v>
      </c>
      <c r="AA58" s="417">
        <v>0.2</v>
      </c>
      <c r="AB58" s="417">
        <v>3251.3999999999996</v>
      </c>
      <c r="AC58" s="417">
        <v>1654.68</v>
      </c>
      <c r="AD58" s="417">
        <v>413.4</v>
      </c>
      <c r="AE58" s="417">
        <v>1593.3</v>
      </c>
      <c r="AF58" s="417">
        <v>3437.22</v>
      </c>
      <c r="AG58" s="819">
        <v>1889.9</v>
      </c>
      <c r="AH58" s="417">
        <v>1541.1000000000001</v>
      </c>
      <c r="AI58" s="417">
        <v>17356.600000000002</v>
      </c>
      <c r="AJ58" s="375">
        <f t="shared" si="83"/>
        <v>43384.030000000006</v>
      </c>
      <c r="AK58" s="212"/>
      <c r="AL58" s="417">
        <v>1420</v>
      </c>
      <c r="AM58" s="417">
        <v>31420</v>
      </c>
      <c r="AN58" s="417">
        <v>31420</v>
      </c>
      <c r="AO58" s="417">
        <v>1920</v>
      </c>
      <c r="AP58" s="417">
        <v>1920</v>
      </c>
      <c r="AQ58" s="417">
        <v>1920</v>
      </c>
      <c r="AR58" s="417">
        <v>1920</v>
      </c>
      <c r="AS58" s="417">
        <v>1920</v>
      </c>
      <c r="AT58" s="417">
        <v>1920</v>
      </c>
      <c r="AU58" s="819">
        <v>31920</v>
      </c>
      <c r="AV58" s="417">
        <v>1420</v>
      </c>
      <c r="AW58" s="417">
        <v>7017.5</v>
      </c>
      <c r="AX58" s="375">
        <f t="shared" si="100"/>
        <v>116137.5</v>
      </c>
      <c r="AY58" s="366">
        <f t="shared" si="85"/>
        <v>34364.139999999985</v>
      </c>
      <c r="AZ58" s="165">
        <f t="shared" si="86"/>
        <v>0.22833066802461413</v>
      </c>
      <c r="BA58" s="212"/>
      <c r="BB58" s="417">
        <v>15.9</v>
      </c>
      <c r="BC58" s="417">
        <v>92296.239999999991</v>
      </c>
      <c r="BD58" s="417">
        <v>26770.9</v>
      </c>
      <c r="BE58" s="417">
        <v>1950</v>
      </c>
      <c r="BF58" s="417">
        <v>1071.6000000000001</v>
      </c>
      <c r="BG58" s="417">
        <v>584.59999999999991</v>
      </c>
      <c r="BH58" s="417">
        <v>3111.8</v>
      </c>
      <c r="BI58" s="417">
        <v>2002.4</v>
      </c>
      <c r="BJ58" s="417">
        <v>1.4</v>
      </c>
      <c r="BK58" s="819">
        <v>3163.7</v>
      </c>
      <c r="BL58" s="417">
        <v>5160.5999999999995</v>
      </c>
      <c r="BM58" s="417">
        <v>8627</v>
      </c>
      <c r="BN58" s="375">
        <v>150501.63999999998</v>
      </c>
      <c r="BO58" s="212"/>
      <c r="BP58" s="818">
        <v>14010</v>
      </c>
      <c r="BQ58" s="818">
        <v>13010</v>
      </c>
      <c r="BR58" s="818">
        <v>15372.5</v>
      </c>
      <c r="BS58" s="818">
        <v>13010</v>
      </c>
      <c r="BT58" s="818">
        <v>13010</v>
      </c>
      <c r="BU58" s="818">
        <v>15372.5</v>
      </c>
      <c r="BV58" s="818">
        <v>13010</v>
      </c>
      <c r="BW58" s="818">
        <v>13010</v>
      </c>
      <c r="BX58" s="818">
        <v>15372.5</v>
      </c>
      <c r="BY58" s="818">
        <v>13010</v>
      </c>
      <c r="BZ58" s="818">
        <v>13010</v>
      </c>
      <c r="CA58" s="818">
        <v>15372.5</v>
      </c>
      <c r="CB58" s="375">
        <f t="shared" si="87"/>
        <v>166570</v>
      </c>
      <c r="CC58" s="366">
        <f t="shared" si="88"/>
        <v>16068.360000000015</v>
      </c>
      <c r="CD58" s="165">
        <f t="shared" si="89"/>
        <v>9.6466110343999614E-2</v>
      </c>
      <c r="CE58" s="367"/>
      <c r="CF58" s="373">
        <v>139.9</v>
      </c>
      <c r="CG58" s="373">
        <v>8521.5</v>
      </c>
      <c r="CH58" s="373">
        <v>34489.049999999996</v>
      </c>
      <c r="CI58" s="373">
        <v>542.79999999999995</v>
      </c>
      <c r="CJ58" s="373">
        <v>5058</v>
      </c>
      <c r="CK58" s="373">
        <v>1975.4</v>
      </c>
      <c r="CL58" s="373">
        <v>14738.64</v>
      </c>
      <c r="CM58" s="373">
        <v>20.399999999999999</v>
      </c>
      <c r="CN58" s="373">
        <v>2415.9999999999995</v>
      </c>
      <c r="CO58" s="373">
        <v>4231.8</v>
      </c>
      <c r="CP58" s="373">
        <v>13161.919999999998</v>
      </c>
      <c r="CQ58" s="373">
        <v>180.8</v>
      </c>
      <c r="CR58" s="376"/>
      <c r="CS58" s="375">
        <f t="shared" si="90"/>
        <v>85476.21</v>
      </c>
      <c r="CT58" s="378">
        <f t="shared" si="95"/>
        <v>-65025.429999999978</v>
      </c>
      <c r="CU58" s="165">
        <f t="shared" si="91"/>
        <v>-0.76074301843752756</v>
      </c>
      <c r="CV58" s="320"/>
      <c r="CW58" s="373">
        <v>0</v>
      </c>
      <c r="CX58" s="373">
        <v>0</v>
      </c>
      <c r="CY58" s="373">
        <v>981.44</v>
      </c>
      <c r="CZ58" s="373">
        <v>0</v>
      </c>
      <c r="DA58" s="373">
        <v>0</v>
      </c>
      <c r="DB58" s="373">
        <v>0</v>
      </c>
      <c r="DC58" s="373">
        <v>365.86</v>
      </c>
      <c r="DD58" s="373">
        <v>0</v>
      </c>
      <c r="DE58" s="373">
        <v>0</v>
      </c>
      <c r="DF58" s="373">
        <v>2062</v>
      </c>
      <c r="DG58" s="373">
        <v>471</v>
      </c>
      <c r="DH58" s="373">
        <v>530.04999999999995</v>
      </c>
      <c r="DI58" s="375">
        <f t="shared" si="99"/>
        <v>4410.3500000000004</v>
      </c>
      <c r="DJ58" s="320"/>
      <c r="DK58" s="373">
        <v>0</v>
      </c>
      <c r="DL58" s="373">
        <v>385</v>
      </c>
      <c r="DM58" s="373">
        <v>300</v>
      </c>
      <c r="DN58" s="373">
        <v>19256.899999999998</v>
      </c>
      <c r="DO58" s="373">
        <v>0</v>
      </c>
      <c r="DP58" s="373">
        <v>2646.69</v>
      </c>
      <c r="DQ58" s="373">
        <v>11300</v>
      </c>
      <c r="DR58" s="373">
        <v>73</v>
      </c>
      <c r="DS58" s="373">
        <v>0</v>
      </c>
      <c r="DT58" s="373">
        <v>12489.58</v>
      </c>
      <c r="DU58" s="373">
        <v>0</v>
      </c>
      <c r="DV58" s="373">
        <v>0</v>
      </c>
      <c r="DW58" s="375">
        <f t="shared" si="93"/>
        <v>46451.17</v>
      </c>
      <c r="DY58" s="373">
        <v>0</v>
      </c>
      <c r="DZ58" s="373">
        <v>75</v>
      </c>
      <c r="EA58" s="373">
        <v>95.000000000000014</v>
      </c>
      <c r="EB58" s="373">
        <v>75</v>
      </c>
      <c r="EC58" s="373">
        <v>170</v>
      </c>
      <c r="ED58" s="373">
        <v>100</v>
      </c>
      <c r="EE58" s="373">
        <v>135</v>
      </c>
      <c r="EF58" s="373">
        <v>80</v>
      </c>
      <c r="EG58" s="373">
        <v>160</v>
      </c>
      <c r="EH58" s="373">
        <v>115.00000000000001</v>
      </c>
      <c r="EI58" s="373">
        <v>145</v>
      </c>
      <c r="EJ58" s="373">
        <v>350</v>
      </c>
      <c r="EK58" s="375">
        <f t="shared" si="94"/>
        <v>1500</v>
      </c>
      <c r="EL58" s="177"/>
      <c r="EM58" s="373">
        <v>0</v>
      </c>
      <c r="EN58" s="373">
        <v>0</v>
      </c>
      <c r="EO58" s="373">
        <v>7599.17</v>
      </c>
      <c r="EP58" s="373">
        <v>2712.74</v>
      </c>
      <c r="EQ58" s="373">
        <v>0</v>
      </c>
      <c r="ER58" s="373">
        <v>1084.3</v>
      </c>
      <c r="ES58" s="373">
        <v>760.00000000000011</v>
      </c>
      <c r="ET58" s="373">
        <v>0</v>
      </c>
      <c r="EU58" s="373">
        <v>16838.490000000002</v>
      </c>
      <c r="EV58" s="373">
        <v>0</v>
      </c>
      <c r="EW58" s="373">
        <v>60</v>
      </c>
      <c r="EX58" s="373">
        <v>100</v>
      </c>
      <c r="EY58" s="375">
        <f t="shared" si="96"/>
        <v>29154.7</v>
      </c>
      <c r="EZ58" s="164"/>
      <c r="FC58" s="185">
        <v>0</v>
      </c>
    </row>
    <row r="59" spans="1:159" ht="18.75" hidden="1" customHeight="1" outlineLevel="1">
      <c r="A59" s="185" t="s">
        <v>608</v>
      </c>
      <c r="B59" s="176">
        <v>60302100</v>
      </c>
      <c r="C59" s="176" t="s">
        <v>109</v>
      </c>
      <c r="D59" s="176" t="s">
        <v>109</v>
      </c>
      <c r="E59" s="324"/>
      <c r="F59" s="320" t="s">
        <v>645</v>
      </c>
      <c r="G59" s="320"/>
      <c r="H59" s="417">
        <v>0</v>
      </c>
      <c r="I59" s="417">
        <v>0</v>
      </c>
      <c r="J59" s="417">
        <v>0</v>
      </c>
      <c r="K59" s="417">
        <v>0</v>
      </c>
      <c r="L59" s="417">
        <v>0</v>
      </c>
      <c r="M59" s="417">
        <v>0</v>
      </c>
      <c r="N59" s="417">
        <v>0</v>
      </c>
      <c r="O59" s="417">
        <v>0</v>
      </c>
      <c r="P59" s="417">
        <v>0</v>
      </c>
      <c r="Q59" s="819">
        <v>0</v>
      </c>
      <c r="R59" s="417">
        <v>0</v>
      </c>
      <c r="S59" s="417">
        <v>0</v>
      </c>
      <c r="T59" s="402"/>
      <c r="U59" s="366">
        <f t="shared" si="81"/>
        <v>0</v>
      </c>
      <c r="V59" s="165" t="e">
        <f t="shared" si="82"/>
        <v>#DIV/0!</v>
      </c>
      <c r="W59" s="212"/>
      <c r="X59" s="417">
        <v>0</v>
      </c>
      <c r="Y59" s="417">
        <v>0</v>
      </c>
      <c r="Z59" s="417">
        <v>0</v>
      </c>
      <c r="AA59" s="417">
        <v>0</v>
      </c>
      <c r="AB59" s="417">
        <v>0</v>
      </c>
      <c r="AC59" s="417">
        <v>0</v>
      </c>
      <c r="AD59" s="417">
        <v>0</v>
      </c>
      <c r="AE59" s="417">
        <v>0</v>
      </c>
      <c r="AF59" s="417">
        <v>0</v>
      </c>
      <c r="AG59" s="819">
        <v>0</v>
      </c>
      <c r="AH59" s="417">
        <v>0</v>
      </c>
      <c r="AI59" s="417">
        <v>0</v>
      </c>
      <c r="AJ59" s="375">
        <f t="shared" si="83"/>
        <v>0</v>
      </c>
      <c r="AK59" s="212"/>
      <c r="AL59" s="417">
        <v>0</v>
      </c>
      <c r="AM59" s="417">
        <v>0</v>
      </c>
      <c r="AN59" s="417">
        <v>0</v>
      </c>
      <c r="AO59" s="417">
        <v>0</v>
      </c>
      <c r="AP59" s="417">
        <v>0</v>
      </c>
      <c r="AQ59" s="417">
        <v>0</v>
      </c>
      <c r="AR59" s="417">
        <v>0</v>
      </c>
      <c r="AS59" s="417">
        <v>0</v>
      </c>
      <c r="AT59" s="417">
        <v>0</v>
      </c>
      <c r="AU59" s="819">
        <v>0</v>
      </c>
      <c r="AV59" s="417">
        <v>0</v>
      </c>
      <c r="AW59" s="417">
        <v>0</v>
      </c>
      <c r="AX59" s="375">
        <f t="shared" si="100"/>
        <v>0</v>
      </c>
      <c r="AY59" s="366">
        <f t="shared" si="85"/>
        <v>0</v>
      </c>
      <c r="AZ59" s="165" t="e">
        <f t="shared" si="86"/>
        <v>#DIV/0!</v>
      </c>
      <c r="BA59" s="212"/>
      <c r="BB59" s="417">
        <v>0</v>
      </c>
      <c r="BC59" s="417">
        <v>0</v>
      </c>
      <c r="BD59" s="417">
        <v>0</v>
      </c>
      <c r="BE59" s="417">
        <v>0</v>
      </c>
      <c r="BF59" s="417">
        <v>0</v>
      </c>
      <c r="BG59" s="417">
        <v>0</v>
      </c>
      <c r="BH59" s="417">
        <v>0</v>
      </c>
      <c r="BI59" s="417">
        <v>0</v>
      </c>
      <c r="BJ59" s="417">
        <v>0</v>
      </c>
      <c r="BK59" s="819">
        <v>0</v>
      </c>
      <c r="BL59" s="417">
        <v>0</v>
      </c>
      <c r="BM59" s="417">
        <v>0</v>
      </c>
      <c r="BN59" s="375">
        <v>0</v>
      </c>
      <c r="BO59" s="212"/>
      <c r="BP59" s="818">
        <v>0</v>
      </c>
      <c r="BQ59" s="818">
        <v>0</v>
      </c>
      <c r="BR59" s="818">
        <v>0</v>
      </c>
      <c r="BS59" s="818">
        <v>0</v>
      </c>
      <c r="BT59" s="818">
        <v>0</v>
      </c>
      <c r="BU59" s="818">
        <v>0</v>
      </c>
      <c r="BV59" s="818">
        <v>0</v>
      </c>
      <c r="BW59" s="818">
        <v>0</v>
      </c>
      <c r="BX59" s="818">
        <v>0</v>
      </c>
      <c r="BY59" s="818">
        <v>0</v>
      </c>
      <c r="BZ59" s="818">
        <v>0</v>
      </c>
      <c r="CA59" s="818">
        <v>0</v>
      </c>
      <c r="CB59" s="375">
        <f t="shared" si="87"/>
        <v>0</v>
      </c>
      <c r="CC59" s="366">
        <f t="shared" si="88"/>
        <v>0</v>
      </c>
      <c r="CD59" s="165" t="str">
        <f t="shared" si="89"/>
        <v>N/A</v>
      </c>
      <c r="CE59" s="367"/>
      <c r="CF59" s="373">
        <v>0</v>
      </c>
      <c r="CG59" s="373">
        <v>0</v>
      </c>
      <c r="CH59" s="373">
        <v>0</v>
      </c>
      <c r="CI59" s="373">
        <v>0</v>
      </c>
      <c r="CJ59" s="373">
        <v>0</v>
      </c>
      <c r="CK59" s="373">
        <v>0</v>
      </c>
      <c r="CL59" s="373">
        <v>0</v>
      </c>
      <c r="CM59" s="373">
        <v>0</v>
      </c>
      <c r="CN59" s="373">
        <v>0</v>
      </c>
      <c r="CO59" s="373">
        <v>0</v>
      </c>
      <c r="CP59" s="373">
        <v>0</v>
      </c>
      <c r="CQ59" s="373">
        <v>0</v>
      </c>
      <c r="CR59" s="376"/>
      <c r="CS59" s="375">
        <f t="shared" si="90"/>
        <v>0</v>
      </c>
      <c r="CT59" s="378">
        <f t="shared" si="95"/>
        <v>0</v>
      </c>
      <c r="CU59" s="165" t="str">
        <f t="shared" si="91"/>
        <v>N/A</v>
      </c>
      <c r="CV59" s="320"/>
      <c r="CW59" s="373">
        <v>0</v>
      </c>
      <c r="CX59" s="373">
        <v>0</v>
      </c>
      <c r="CY59" s="373">
        <v>0</v>
      </c>
      <c r="CZ59" s="373">
        <v>0</v>
      </c>
      <c r="DA59" s="373">
        <v>0</v>
      </c>
      <c r="DB59" s="373">
        <v>0</v>
      </c>
      <c r="DC59" s="373">
        <v>0</v>
      </c>
      <c r="DD59" s="373">
        <v>0</v>
      </c>
      <c r="DE59" s="373">
        <v>0</v>
      </c>
      <c r="DF59" s="373">
        <v>0</v>
      </c>
      <c r="DG59" s="373">
        <v>0</v>
      </c>
      <c r="DH59" s="373">
        <v>0</v>
      </c>
      <c r="DI59" s="375">
        <f t="shared" si="99"/>
        <v>0</v>
      </c>
      <c r="DJ59" s="320"/>
      <c r="DK59" s="373"/>
      <c r="DL59" s="373"/>
      <c r="DM59" s="373"/>
      <c r="DN59" s="373"/>
      <c r="DO59" s="373"/>
      <c r="DP59" s="373"/>
      <c r="DQ59" s="373"/>
      <c r="DR59" s="373"/>
      <c r="DS59" s="373"/>
      <c r="DT59" s="373"/>
      <c r="DU59" s="373"/>
      <c r="DV59" s="373"/>
      <c r="DW59" s="375">
        <f t="shared" si="93"/>
        <v>0</v>
      </c>
      <c r="DY59" s="373"/>
      <c r="DZ59" s="373"/>
      <c r="EA59" s="373"/>
      <c r="EB59" s="373"/>
      <c r="EC59" s="373"/>
      <c r="ED59" s="373"/>
      <c r="EE59" s="373"/>
      <c r="EF59" s="373"/>
      <c r="EG59" s="373"/>
      <c r="EH59" s="373"/>
      <c r="EI59" s="373"/>
      <c r="EJ59" s="373"/>
      <c r="EK59" s="375">
        <f t="shared" si="94"/>
        <v>0</v>
      </c>
      <c r="EL59" s="177"/>
      <c r="EM59" s="373"/>
      <c r="EN59" s="373"/>
      <c r="EO59" s="373"/>
      <c r="EP59" s="373"/>
      <c r="EQ59" s="373"/>
      <c r="ER59" s="373"/>
      <c r="ES59" s="373"/>
      <c r="ET59" s="373"/>
      <c r="EU59" s="373"/>
      <c r="EV59" s="373"/>
      <c r="EW59" s="373"/>
      <c r="EX59" s="373"/>
      <c r="EY59" s="375">
        <f t="shared" si="96"/>
        <v>0</v>
      </c>
      <c r="EZ59" s="164"/>
      <c r="FC59" s="185">
        <v>0</v>
      </c>
    </row>
    <row r="60" spans="1:159" ht="18.75" customHeight="1" collapsed="1">
      <c r="A60" s="185" t="s">
        <v>329</v>
      </c>
      <c r="B60" s="176">
        <v>60303000</v>
      </c>
      <c r="C60" s="176" t="s">
        <v>109</v>
      </c>
      <c r="D60" s="176" t="s">
        <v>109</v>
      </c>
      <c r="E60" s="324"/>
      <c r="F60" s="320" t="s">
        <v>334</v>
      </c>
      <c r="G60" s="320"/>
      <c r="H60" s="417">
        <v>0</v>
      </c>
      <c r="I60" s="417">
        <v>0</v>
      </c>
      <c r="J60" s="417">
        <v>0</v>
      </c>
      <c r="K60" s="417">
        <v>0</v>
      </c>
      <c r="L60" s="417">
        <v>0</v>
      </c>
      <c r="M60" s="417">
        <v>0</v>
      </c>
      <c r="N60" s="417">
        <v>0</v>
      </c>
      <c r="O60" s="417">
        <v>0</v>
      </c>
      <c r="P60" s="417">
        <v>0</v>
      </c>
      <c r="Q60" s="819">
        <v>0</v>
      </c>
      <c r="R60" s="417">
        <v>0</v>
      </c>
      <c r="S60" s="417">
        <v>0</v>
      </c>
      <c r="T60" s="402"/>
      <c r="U60" s="366">
        <f t="shared" si="81"/>
        <v>0</v>
      </c>
      <c r="V60" s="165" t="e">
        <f t="shared" si="82"/>
        <v>#DIV/0!</v>
      </c>
      <c r="W60" s="212"/>
      <c r="X60" s="417">
        <v>0</v>
      </c>
      <c r="Y60" s="417">
        <v>0</v>
      </c>
      <c r="Z60" s="417">
        <v>0</v>
      </c>
      <c r="AA60" s="417">
        <v>0</v>
      </c>
      <c r="AB60" s="417">
        <v>0</v>
      </c>
      <c r="AC60" s="417">
        <v>0</v>
      </c>
      <c r="AD60" s="417">
        <v>0</v>
      </c>
      <c r="AE60" s="417">
        <v>0</v>
      </c>
      <c r="AF60" s="417">
        <v>0</v>
      </c>
      <c r="AG60" s="819">
        <v>0</v>
      </c>
      <c r="AH60" s="417">
        <v>0</v>
      </c>
      <c r="AI60" s="417">
        <v>0</v>
      </c>
      <c r="AJ60" s="375">
        <f t="shared" si="83"/>
        <v>0</v>
      </c>
      <c r="AK60" s="212"/>
      <c r="AL60" s="417">
        <v>0</v>
      </c>
      <c r="AM60" s="417">
        <v>0</v>
      </c>
      <c r="AN60" s="417">
        <v>0</v>
      </c>
      <c r="AO60" s="417">
        <v>0</v>
      </c>
      <c r="AP60" s="417">
        <v>0</v>
      </c>
      <c r="AQ60" s="417">
        <v>0</v>
      </c>
      <c r="AR60" s="417">
        <v>0</v>
      </c>
      <c r="AS60" s="417">
        <v>0</v>
      </c>
      <c r="AT60" s="417">
        <v>0</v>
      </c>
      <c r="AU60" s="819">
        <v>0</v>
      </c>
      <c r="AV60" s="417">
        <v>0</v>
      </c>
      <c r="AW60" s="417">
        <v>0</v>
      </c>
      <c r="AX60" s="375">
        <f t="shared" si="100"/>
        <v>0</v>
      </c>
      <c r="AY60" s="366">
        <f t="shared" si="85"/>
        <v>100</v>
      </c>
      <c r="AZ60" s="165">
        <f t="shared" si="86"/>
        <v>1</v>
      </c>
      <c r="BA60" s="212"/>
      <c r="BB60" s="417">
        <v>0</v>
      </c>
      <c r="BC60" s="417">
        <v>0</v>
      </c>
      <c r="BD60" s="417">
        <v>0</v>
      </c>
      <c r="BE60" s="417">
        <v>0</v>
      </c>
      <c r="BF60" s="417">
        <v>0</v>
      </c>
      <c r="BG60" s="417">
        <v>0</v>
      </c>
      <c r="BH60" s="417">
        <v>0</v>
      </c>
      <c r="BI60" s="417">
        <v>0</v>
      </c>
      <c r="BJ60" s="417">
        <v>0</v>
      </c>
      <c r="BK60" s="819">
        <v>0</v>
      </c>
      <c r="BL60" s="417">
        <v>0</v>
      </c>
      <c r="BM60" s="417">
        <v>0</v>
      </c>
      <c r="BN60" s="375">
        <v>100</v>
      </c>
      <c r="BO60" s="212"/>
      <c r="BP60" s="818">
        <v>100</v>
      </c>
      <c r="BQ60" s="818">
        <v>100</v>
      </c>
      <c r="BR60" s="818">
        <v>100</v>
      </c>
      <c r="BS60" s="818">
        <v>100</v>
      </c>
      <c r="BT60" s="818">
        <v>100</v>
      </c>
      <c r="BU60" s="818">
        <v>100</v>
      </c>
      <c r="BV60" s="818">
        <v>100</v>
      </c>
      <c r="BW60" s="818">
        <v>100</v>
      </c>
      <c r="BX60" s="818">
        <v>100</v>
      </c>
      <c r="BY60" s="818">
        <v>100</v>
      </c>
      <c r="BZ60" s="818">
        <v>100</v>
      </c>
      <c r="CA60" s="818">
        <v>100</v>
      </c>
      <c r="CB60" s="375">
        <f t="shared" si="87"/>
        <v>1200</v>
      </c>
      <c r="CC60" s="366">
        <f t="shared" si="88"/>
        <v>1100</v>
      </c>
      <c r="CD60" s="165">
        <f t="shared" si="89"/>
        <v>0.91666666666666663</v>
      </c>
      <c r="CE60" s="367"/>
      <c r="CF60" s="373">
        <v>0</v>
      </c>
      <c r="CG60" s="373">
        <v>0</v>
      </c>
      <c r="CH60" s="373">
        <v>0</v>
      </c>
      <c r="CI60" s="373">
        <v>250</v>
      </c>
      <c r="CJ60" s="373">
        <v>0</v>
      </c>
      <c r="CK60" s="373">
        <v>0</v>
      </c>
      <c r="CL60" s="373">
        <v>0</v>
      </c>
      <c r="CM60" s="373">
        <v>0</v>
      </c>
      <c r="CN60" s="373">
        <v>0</v>
      </c>
      <c r="CO60" s="373">
        <v>0</v>
      </c>
      <c r="CP60" s="373">
        <v>0</v>
      </c>
      <c r="CQ60" s="373">
        <v>0</v>
      </c>
      <c r="CR60" s="376"/>
      <c r="CS60" s="375">
        <f t="shared" si="90"/>
        <v>250</v>
      </c>
      <c r="CT60" s="378">
        <f t="shared" si="95"/>
        <v>150</v>
      </c>
      <c r="CU60" s="165">
        <f t="shared" si="91"/>
        <v>0.6</v>
      </c>
      <c r="CV60" s="320"/>
      <c r="CW60" s="373">
        <v>0</v>
      </c>
      <c r="CX60" s="373">
        <v>0</v>
      </c>
      <c r="CY60" s="373">
        <v>0</v>
      </c>
      <c r="CZ60" s="373">
        <v>0</v>
      </c>
      <c r="DA60" s="373">
        <v>0</v>
      </c>
      <c r="DB60" s="373">
        <v>0</v>
      </c>
      <c r="DC60" s="373">
        <v>0</v>
      </c>
      <c r="DD60" s="373">
        <v>0</v>
      </c>
      <c r="DE60" s="373">
        <v>0</v>
      </c>
      <c r="DF60" s="373">
        <v>0</v>
      </c>
      <c r="DG60" s="373">
        <v>0</v>
      </c>
      <c r="DH60" s="373">
        <v>0</v>
      </c>
      <c r="DI60" s="375">
        <f t="shared" si="99"/>
        <v>0</v>
      </c>
      <c r="DJ60" s="320"/>
      <c r="DK60" s="373">
        <v>0</v>
      </c>
      <c r="DL60" s="373">
        <v>0</v>
      </c>
      <c r="DM60" s="373">
        <v>0</v>
      </c>
      <c r="DN60" s="373">
        <v>0</v>
      </c>
      <c r="DO60" s="373">
        <v>104</v>
      </c>
      <c r="DP60" s="373">
        <v>0</v>
      </c>
      <c r="DQ60" s="373">
        <v>0</v>
      </c>
      <c r="DR60" s="373">
        <v>0</v>
      </c>
      <c r="DS60" s="373">
        <v>0</v>
      </c>
      <c r="DT60" s="373">
        <v>0</v>
      </c>
      <c r="DU60" s="373">
        <v>40</v>
      </c>
      <c r="DV60" s="373">
        <v>0</v>
      </c>
      <c r="DW60" s="375">
        <f t="shared" si="93"/>
        <v>144</v>
      </c>
      <c r="DY60" s="373">
        <v>0</v>
      </c>
      <c r="DZ60" s="373">
        <v>130</v>
      </c>
      <c r="EA60" s="373">
        <v>0</v>
      </c>
      <c r="EB60" s="373">
        <v>312</v>
      </c>
      <c r="EC60" s="373">
        <v>56</v>
      </c>
      <c r="ED60" s="373">
        <v>150</v>
      </c>
      <c r="EE60" s="373">
        <v>0</v>
      </c>
      <c r="EF60" s="373">
        <v>0</v>
      </c>
      <c r="EG60" s="373">
        <v>0</v>
      </c>
      <c r="EH60" s="373">
        <v>178</v>
      </c>
      <c r="EI60" s="373">
        <v>34</v>
      </c>
      <c r="EJ60" s="373">
        <v>393.8</v>
      </c>
      <c r="EK60" s="375">
        <f t="shared" si="94"/>
        <v>1253.8</v>
      </c>
      <c r="EL60" s="177"/>
      <c r="EM60" s="373">
        <v>0</v>
      </c>
      <c r="EN60" s="373">
        <v>0</v>
      </c>
      <c r="EO60" s="373">
        <v>0</v>
      </c>
      <c r="EP60" s="373">
        <v>0</v>
      </c>
      <c r="EQ60" s="373">
        <v>0</v>
      </c>
      <c r="ER60" s="373">
        <v>0</v>
      </c>
      <c r="ES60" s="373">
        <v>0</v>
      </c>
      <c r="ET60" s="373">
        <v>40</v>
      </c>
      <c r="EU60" s="373">
        <v>1042.8</v>
      </c>
      <c r="EV60" s="373">
        <v>32</v>
      </c>
      <c r="EW60" s="373">
        <v>32</v>
      </c>
      <c r="EX60" s="373">
        <v>132</v>
      </c>
      <c r="EY60" s="375">
        <f t="shared" si="96"/>
        <v>1278.8</v>
      </c>
      <c r="EZ60" s="164"/>
      <c r="FC60" s="185">
        <v>0</v>
      </c>
    </row>
    <row r="61" spans="1:159" ht="18.75" customHeight="1">
      <c r="A61" s="185" t="s">
        <v>609</v>
      </c>
      <c r="B61" s="176">
        <v>60304000</v>
      </c>
      <c r="C61" s="176" t="s">
        <v>109</v>
      </c>
      <c r="D61" s="176" t="s">
        <v>109</v>
      </c>
      <c r="E61" s="324"/>
      <c r="F61" s="320" t="s">
        <v>339</v>
      </c>
      <c r="G61" s="320"/>
      <c r="H61" s="417">
        <v>0</v>
      </c>
      <c r="I61" s="417">
        <v>0</v>
      </c>
      <c r="J61" s="417">
        <v>0</v>
      </c>
      <c r="K61" s="417">
        <v>0</v>
      </c>
      <c r="L61" s="417">
        <v>0</v>
      </c>
      <c r="M61" s="417">
        <v>0</v>
      </c>
      <c r="N61" s="417">
        <v>0</v>
      </c>
      <c r="O61" s="417">
        <v>0</v>
      </c>
      <c r="P61" s="417">
        <v>0</v>
      </c>
      <c r="Q61" s="819">
        <v>0</v>
      </c>
      <c r="R61" s="417">
        <v>0</v>
      </c>
      <c r="S61" s="417">
        <v>1180</v>
      </c>
      <c r="T61" s="402"/>
      <c r="U61" s="366">
        <f t="shared" si="81"/>
        <v>0</v>
      </c>
      <c r="V61" s="165" t="e">
        <f t="shared" si="82"/>
        <v>#DIV/0!</v>
      </c>
      <c r="W61" s="212"/>
      <c r="X61" s="417">
        <v>0</v>
      </c>
      <c r="Y61" s="417">
        <v>0</v>
      </c>
      <c r="Z61" s="417">
        <v>0</v>
      </c>
      <c r="AA61" s="417">
        <v>0</v>
      </c>
      <c r="AB61" s="417">
        <v>0</v>
      </c>
      <c r="AC61" s="417">
        <v>0</v>
      </c>
      <c r="AD61" s="417">
        <v>0</v>
      </c>
      <c r="AE61" s="417">
        <v>0</v>
      </c>
      <c r="AF61" s="417">
        <v>0</v>
      </c>
      <c r="AG61" s="819">
        <v>0</v>
      </c>
      <c r="AH61" s="417">
        <v>0</v>
      </c>
      <c r="AI61" s="417">
        <v>0</v>
      </c>
      <c r="AJ61" s="375">
        <f t="shared" si="83"/>
        <v>0</v>
      </c>
      <c r="AK61" s="212"/>
      <c r="AL61" s="417">
        <v>0</v>
      </c>
      <c r="AM61" s="417">
        <v>0</v>
      </c>
      <c r="AN61" s="417">
        <v>0</v>
      </c>
      <c r="AO61" s="417">
        <v>0</v>
      </c>
      <c r="AP61" s="417">
        <v>0</v>
      </c>
      <c r="AQ61" s="417">
        <v>0</v>
      </c>
      <c r="AR61" s="417">
        <v>0</v>
      </c>
      <c r="AS61" s="417">
        <v>0</v>
      </c>
      <c r="AT61" s="417">
        <v>0</v>
      </c>
      <c r="AU61" s="819">
        <v>0</v>
      </c>
      <c r="AV61" s="417">
        <v>0</v>
      </c>
      <c r="AW61" s="417">
        <v>1180</v>
      </c>
      <c r="AX61" s="375">
        <f t="shared" si="100"/>
        <v>1180</v>
      </c>
      <c r="AY61" s="366">
        <f t="shared" si="85"/>
        <v>2350</v>
      </c>
      <c r="AZ61" s="165">
        <f t="shared" si="86"/>
        <v>0.66572237960339942</v>
      </c>
      <c r="BA61" s="212"/>
      <c r="BB61" s="417">
        <v>0</v>
      </c>
      <c r="BC61" s="417">
        <v>0</v>
      </c>
      <c r="BD61" s="417">
        <v>0</v>
      </c>
      <c r="BE61" s="417">
        <v>1180</v>
      </c>
      <c r="BF61" s="417">
        <v>0</v>
      </c>
      <c r="BG61" s="417">
        <v>0</v>
      </c>
      <c r="BH61" s="417">
        <v>0</v>
      </c>
      <c r="BI61" s="417">
        <v>0</v>
      </c>
      <c r="BJ61" s="417">
        <v>0</v>
      </c>
      <c r="BK61" s="819">
        <v>0</v>
      </c>
      <c r="BL61" s="417">
        <v>0</v>
      </c>
      <c r="BM61" s="417">
        <v>0</v>
      </c>
      <c r="BN61" s="375">
        <v>3530</v>
      </c>
      <c r="BO61" s="212"/>
      <c r="BP61" s="818">
        <v>2350</v>
      </c>
      <c r="BQ61" s="818">
        <v>2350</v>
      </c>
      <c r="BR61" s="818">
        <v>2350</v>
      </c>
      <c r="BS61" s="818">
        <v>2350</v>
      </c>
      <c r="BT61" s="818">
        <v>2350</v>
      </c>
      <c r="BU61" s="818">
        <v>2350</v>
      </c>
      <c r="BV61" s="818">
        <v>2350</v>
      </c>
      <c r="BW61" s="818">
        <v>2350</v>
      </c>
      <c r="BX61" s="818">
        <v>2350</v>
      </c>
      <c r="BY61" s="818">
        <v>2350</v>
      </c>
      <c r="BZ61" s="818">
        <v>2350</v>
      </c>
      <c r="CA61" s="818">
        <v>2350</v>
      </c>
      <c r="CB61" s="375">
        <f t="shared" si="87"/>
        <v>28200</v>
      </c>
      <c r="CC61" s="366">
        <f t="shared" si="88"/>
        <v>24670</v>
      </c>
      <c r="CD61" s="165">
        <f t="shared" si="89"/>
        <v>0.87482269503546095</v>
      </c>
      <c r="CE61" s="367"/>
      <c r="CF61" s="373">
        <v>1778</v>
      </c>
      <c r="CG61" s="373">
        <v>3580</v>
      </c>
      <c r="CH61" s="373">
        <v>4980</v>
      </c>
      <c r="CI61" s="373">
        <v>2100.1999999999998</v>
      </c>
      <c r="CJ61" s="373">
        <v>0</v>
      </c>
      <c r="CK61" s="373">
        <v>1880</v>
      </c>
      <c r="CL61" s="373">
        <v>0</v>
      </c>
      <c r="CM61" s="373">
        <v>186</v>
      </c>
      <c r="CN61" s="373">
        <v>1892</v>
      </c>
      <c r="CO61" s="373">
        <v>4470.8</v>
      </c>
      <c r="CP61" s="373">
        <v>99</v>
      </c>
      <c r="CQ61" s="373">
        <v>0</v>
      </c>
      <c r="CR61" s="376"/>
      <c r="CS61" s="375">
        <f t="shared" si="90"/>
        <v>20966</v>
      </c>
      <c r="CT61" s="378">
        <f t="shared" si="95"/>
        <v>17436</v>
      </c>
      <c r="CU61" s="165">
        <f t="shared" si="91"/>
        <v>0.83163216636459025</v>
      </c>
      <c r="CV61" s="320"/>
      <c r="CW61" s="373">
        <v>4404</v>
      </c>
      <c r="CX61" s="373">
        <v>666</v>
      </c>
      <c r="CY61" s="373">
        <v>1536</v>
      </c>
      <c r="CZ61" s="373">
        <v>1856</v>
      </c>
      <c r="DA61" s="373">
        <v>0</v>
      </c>
      <c r="DB61" s="373">
        <v>0</v>
      </c>
      <c r="DC61" s="373">
        <v>2471</v>
      </c>
      <c r="DD61" s="373">
        <v>22358</v>
      </c>
      <c r="DE61" s="373">
        <v>800</v>
      </c>
      <c r="DF61" s="373">
        <v>3108.6</v>
      </c>
      <c r="DG61" s="373">
        <v>1230</v>
      </c>
      <c r="DH61" s="373">
        <v>7976</v>
      </c>
      <c r="DI61" s="375">
        <f t="shared" si="99"/>
        <v>46405.599999999999</v>
      </c>
      <c r="DJ61" s="320"/>
      <c r="DK61" s="373">
        <v>999.99999999999989</v>
      </c>
      <c r="DL61" s="373">
        <v>2064.0099999999998</v>
      </c>
      <c r="DM61" s="373">
        <v>3503</v>
      </c>
      <c r="DN61" s="373">
        <v>4815.7800000000007</v>
      </c>
      <c r="DO61" s="373">
        <v>3598.9999999999995</v>
      </c>
      <c r="DP61" s="373">
        <v>0</v>
      </c>
      <c r="DQ61" s="373">
        <v>1200</v>
      </c>
      <c r="DR61" s="373">
        <v>3029.4999999999995</v>
      </c>
      <c r="DS61" s="373">
        <v>4662.5</v>
      </c>
      <c r="DT61" s="373">
        <v>0</v>
      </c>
      <c r="DU61" s="373">
        <v>7418</v>
      </c>
      <c r="DV61" s="373">
        <v>5342</v>
      </c>
      <c r="DW61" s="375">
        <f t="shared" si="93"/>
        <v>36633.79</v>
      </c>
      <c r="DY61" s="373">
        <v>3679.2000000000003</v>
      </c>
      <c r="DZ61" s="373">
        <v>6035.2000000000007</v>
      </c>
      <c r="EA61" s="373">
        <v>0</v>
      </c>
      <c r="EB61" s="373">
        <v>4400.5</v>
      </c>
      <c r="EC61" s="373">
        <v>2444</v>
      </c>
      <c r="ED61" s="373">
        <v>4008.0000000000005</v>
      </c>
      <c r="EE61" s="373">
        <v>600</v>
      </c>
      <c r="EF61" s="373">
        <v>0</v>
      </c>
      <c r="EG61" s="373">
        <v>830</v>
      </c>
      <c r="EH61" s="373">
        <v>6027</v>
      </c>
      <c r="EI61" s="373">
        <v>-1980</v>
      </c>
      <c r="EJ61" s="373">
        <v>9291</v>
      </c>
      <c r="EK61" s="375">
        <f t="shared" si="94"/>
        <v>35334.9</v>
      </c>
      <c r="EL61" s="177"/>
      <c r="EM61" s="373">
        <v>0</v>
      </c>
      <c r="EN61" s="373">
        <v>0</v>
      </c>
      <c r="EO61" s="373">
        <v>0</v>
      </c>
      <c r="EP61" s="373">
        <v>285</v>
      </c>
      <c r="EQ61" s="373">
        <v>419.99999999999994</v>
      </c>
      <c r="ER61" s="373">
        <v>0</v>
      </c>
      <c r="ES61" s="373">
        <v>86</v>
      </c>
      <c r="ET61" s="373">
        <v>2133.6</v>
      </c>
      <c r="EU61" s="373">
        <v>0</v>
      </c>
      <c r="EV61" s="373">
        <v>6481</v>
      </c>
      <c r="EW61" s="373">
        <v>72</v>
      </c>
      <c r="EX61" s="373">
        <v>11594</v>
      </c>
      <c r="EY61" s="375">
        <f t="shared" si="96"/>
        <v>21071.599999999999</v>
      </c>
      <c r="EZ61" s="164"/>
      <c r="FC61" s="185">
        <v>0</v>
      </c>
    </row>
    <row r="62" spans="1:159" ht="18.75" customHeight="1">
      <c r="A62" s="185" t="s">
        <v>329</v>
      </c>
      <c r="B62" s="176">
        <v>60305000</v>
      </c>
      <c r="C62" s="176" t="s">
        <v>109</v>
      </c>
      <c r="D62" s="176" t="s">
        <v>109</v>
      </c>
      <c r="E62" s="324"/>
      <c r="F62" s="320" t="s">
        <v>340</v>
      </c>
      <c r="G62" s="320"/>
      <c r="H62" s="417">
        <v>3850</v>
      </c>
      <c r="I62" s="417">
        <v>3850</v>
      </c>
      <c r="J62" s="417">
        <v>3850</v>
      </c>
      <c r="K62" s="417">
        <v>5850</v>
      </c>
      <c r="L62" s="417">
        <v>5850</v>
      </c>
      <c r="M62" s="417">
        <v>3850</v>
      </c>
      <c r="N62" s="417">
        <v>3850</v>
      </c>
      <c r="O62" s="417">
        <v>3850</v>
      </c>
      <c r="P62" s="417">
        <v>3850</v>
      </c>
      <c r="Q62" s="819">
        <v>3850</v>
      </c>
      <c r="R62" s="417">
        <v>3850</v>
      </c>
      <c r="S62" s="417">
        <v>14060</v>
      </c>
      <c r="T62" s="402"/>
      <c r="U62" s="366">
        <f t="shared" si="81"/>
        <v>38357.629999999997</v>
      </c>
      <c r="V62" s="165">
        <f t="shared" si="82"/>
        <v>1</v>
      </c>
      <c r="W62" s="212"/>
      <c r="X62" s="417">
        <v>3956.7</v>
      </c>
      <c r="Y62" s="417">
        <v>1339.03</v>
      </c>
      <c r="Z62" s="417">
        <v>1269.0999999999999</v>
      </c>
      <c r="AA62" s="417">
        <v>2144.8999999999996</v>
      </c>
      <c r="AB62" s="417">
        <v>1168.8</v>
      </c>
      <c r="AC62" s="417">
        <v>4468.6499999999996</v>
      </c>
      <c r="AD62" s="417">
        <v>5100.1000000000004</v>
      </c>
      <c r="AE62" s="417">
        <v>10766.25</v>
      </c>
      <c r="AF62" s="417">
        <v>5330.4000000000005</v>
      </c>
      <c r="AG62" s="819">
        <v>2378.7000000000003</v>
      </c>
      <c r="AH62" s="417">
        <v>300</v>
      </c>
      <c r="AI62" s="417">
        <v>135</v>
      </c>
      <c r="AJ62" s="375">
        <f t="shared" si="83"/>
        <v>38357.629999999997</v>
      </c>
      <c r="AK62" s="212"/>
      <c r="AL62" s="417">
        <v>3850</v>
      </c>
      <c r="AM62" s="417">
        <v>3850</v>
      </c>
      <c r="AN62" s="417">
        <v>3850</v>
      </c>
      <c r="AO62" s="417">
        <v>5850</v>
      </c>
      <c r="AP62" s="417">
        <v>5850</v>
      </c>
      <c r="AQ62" s="417">
        <v>3850</v>
      </c>
      <c r="AR62" s="417">
        <v>3850</v>
      </c>
      <c r="AS62" s="417">
        <v>3850</v>
      </c>
      <c r="AT62" s="417">
        <v>3850</v>
      </c>
      <c r="AU62" s="819">
        <v>3850</v>
      </c>
      <c r="AV62" s="417">
        <v>3850</v>
      </c>
      <c r="AW62" s="417">
        <v>14060</v>
      </c>
      <c r="AX62" s="375">
        <f t="shared" si="100"/>
        <v>60410</v>
      </c>
      <c r="AY62" s="366">
        <f t="shared" si="85"/>
        <v>19531.419999999998</v>
      </c>
      <c r="AZ62" s="165">
        <f t="shared" si="86"/>
        <v>0.24432165453153071</v>
      </c>
      <c r="BA62" s="212"/>
      <c r="BB62" s="417">
        <v>19417.8</v>
      </c>
      <c r="BC62" s="417">
        <v>10478</v>
      </c>
      <c r="BD62" s="417">
        <v>11674.8</v>
      </c>
      <c r="BE62" s="417">
        <v>15058.099999999999</v>
      </c>
      <c r="BF62" s="417">
        <v>12335.1</v>
      </c>
      <c r="BG62" s="417">
        <v>12235.4</v>
      </c>
      <c r="BH62" s="417">
        <v>50142.8</v>
      </c>
      <c r="BI62" s="417">
        <v>10765.32</v>
      </c>
      <c r="BJ62" s="417">
        <v>11199.3</v>
      </c>
      <c r="BK62" s="819">
        <v>-85622.5</v>
      </c>
      <c r="BL62" s="417">
        <v>1202.3</v>
      </c>
      <c r="BM62" s="417">
        <v>1173.9000000000001</v>
      </c>
      <c r="BN62" s="375">
        <v>79941.42</v>
      </c>
      <c r="BO62" s="212"/>
      <c r="BP62" s="818">
        <v>17953.333333333332</v>
      </c>
      <c r="BQ62" s="818">
        <v>21503.333333333332</v>
      </c>
      <c r="BR62" s="818">
        <v>21503.333333333332</v>
      </c>
      <c r="BS62" s="818">
        <v>21503.333333333332</v>
      </c>
      <c r="BT62" s="818">
        <v>21503.333333333332</v>
      </c>
      <c r="BU62" s="818">
        <v>21503.333333333332</v>
      </c>
      <c r="BV62" s="818">
        <v>21503.333333333332</v>
      </c>
      <c r="BW62" s="818">
        <v>21503.333333333332</v>
      </c>
      <c r="BX62" s="818">
        <v>21503.333333333332</v>
      </c>
      <c r="BY62" s="818">
        <v>21503.333333333332</v>
      </c>
      <c r="BZ62" s="818">
        <v>21503.333333333332</v>
      </c>
      <c r="CA62" s="818">
        <v>21503.333333333328</v>
      </c>
      <c r="CB62" s="375">
        <f t="shared" si="87"/>
        <v>254490</v>
      </c>
      <c r="CC62" s="366">
        <f t="shared" si="88"/>
        <v>174548.58000000002</v>
      </c>
      <c r="CD62" s="165">
        <f t="shared" si="89"/>
        <v>0.68587598726865506</v>
      </c>
      <c r="CE62" s="367"/>
      <c r="CF62" s="373">
        <v>9584.23</v>
      </c>
      <c r="CG62" s="373">
        <v>18495.099999999999</v>
      </c>
      <c r="CH62" s="373">
        <v>22655.52</v>
      </c>
      <c r="CI62" s="373">
        <v>11272.54</v>
      </c>
      <c r="CJ62" s="373">
        <v>20646.919999999998</v>
      </c>
      <c r="CK62" s="373">
        <v>12080.02</v>
      </c>
      <c r="CL62" s="373">
        <v>7692.6399999999994</v>
      </c>
      <c r="CM62" s="373">
        <v>84847.6</v>
      </c>
      <c r="CN62" s="373">
        <v>5163.9000000000005</v>
      </c>
      <c r="CO62" s="373">
        <v>-65365.299999999996</v>
      </c>
      <c r="CP62" s="373">
        <v>24347.5</v>
      </c>
      <c r="CQ62" s="373">
        <v>13351.4</v>
      </c>
      <c r="CR62" s="376"/>
      <c r="CS62" s="375">
        <f t="shared" si="90"/>
        <v>164772.07</v>
      </c>
      <c r="CT62" s="378">
        <f t="shared" si="95"/>
        <v>84830.650000000009</v>
      </c>
      <c r="CU62" s="165">
        <f t="shared" si="91"/>
        <v>0.51483634331959294</v>
      </c>
      <c r="CV62" s="320"/>
      <c r="CW62" s="373">
        <v>4920</v>
      </c>
      <c r="CX62" s="373">
        <v>0</v>
      </c>
      <c r="CY62" s="373">
        <v>1419.9</v>
      </c>
      <c r="CZ62" s="373">
        <v>890</v>
      </c>
      <c r="DA62" s="373">
        <v>4848.3999999999996</v>
      </c>
      <c r="DB62" s="373">
        <v>0</v>
      </c>
      <c r="DC62" s="373">
        <v>2594.15</v>
      </c>
      <c r="DD62" s="373">
        <v>20</v>
      </c>
      <c r="DE62" s="373">
        <v>2470.6</v>
      </c>
      <c r="DF62" s="373">
        <v>10848.4</v>
      </c>
      <c r="DG62" s="373">
        <v>250</v>
      </c>
      <c r="DH62" s="373">
        <v>2107.8000000000002</v>
      </c>
      <c r="DI62" s="375">
        <f t="shared" si="99"/>
        <v>30369.249999999996</v>
      </c>
      <c r="DJ62" s="320"/>
      <c r="DK62" s="373">
        <v>780</v>
      </c>
      <c r="DL62" s="373">
        <v>7667.7000000000007</v>
      </c>
      <c r="DM62" s="373">
        <v>2033.3</v>
      </c>
      <c r="DN62" s="373">
        <v>3725.4</v>
      </c>
      <c r="DO62" s="373">
        <v>1062.9000000000001</v>
      </c>
      <c r="DP62" s="373">
        <v>225.79999999999998</v>
      </c>
      <c r="DQ62" s="373">
        <v>2535</v>
      </c>
      <c r="DR62" s="373">
        <v>4345.8999999999996</v>
      </c>
      <c r="DS62" s="373">
        <v>0</v>
      </c>
      <c r="DT62" s="373">
        <v>364</v>
      </c>
      <c r="DU62" s="373">
        <v>3597.7</v>
      </c>
      <c r="DV62" s="373">
        <v>2942.9</v>
      </c>
      <c r="DW62" s="375">
        <f t="shared" si="93"/>
        <v>29280.600000000002</v>
      </c>
      <c r="DY62" s="373">
        <v>0</v>
      </c>
      <c r="DZ62" s="373">
        <v>41</v>
      </c>
      <c r="EA62" s="373">
        <v>653.5</v>
      </c>
      <c r="EB62" s="373">
        <v>2383.6</v>
      </c>
      <c r="EC62" s="373">
        <v>2861.5</v>
      </c>
      <c r="ED62" s="373">
        <v>4400</v>
      </c>
      <c r="EE62" s="373">
        <v>0</v>
      </c>
      <c r="EF62" s="373">
        <v>0</v>
      </c>
      <c r="EG62" s="373">
        <v>1885.8</v>
      </c>
      <c r="EH62" s="373">
        <v>3995</v>
      </c>
      <c r="EI62" s="373">
        <v>728.80000000000007</v>
      </c>
      <c r="EJ62" s="373">
        <v>1415.9</v>
      </c>
      <c r="EK62" s="375">
        <f t="shared" si="94"/>
        <v>18365.100000000002</v>
      </c>
      <c r="EL62" s="177"/>
      <c r="EM62" s="373">
        <v>157.69999999999999</v>
      </c>
      <c r="EN62" s="373">
        <v>0</v>
      </c>
      <c r="EO62" s="373">
        <v>0</v>
      </c>
      <c r="EP62" s="373">
        <v>87.9</v>
      </c>
      <c r="EQ62" s="373">
        <v>6264</v>
      </c>
      <c r="ER62" s="373">
        <v>813.49999999999989</v>
      </c>
      <c r="ES62" s="373">
        <v>138</v>
      </c>
      <c r="ET62" s="373">
        <v>3475.6</v>
      </c>
      <c r="EU62" s="373">
        <v>3713.5</v>
      </c>
      <c r="EV62" s="373">
        <v>688.4</v>
      </c>
      <c r="EW62" s="373">
        <v>0</v>
      </c>
      <c r="EX62" s="373">
        <v>1140</v>
      </c>
      <c r="EY62" s="375">
        <f t="shared" si="96"/>
        <v>16478.599999999999</v>
      </c>
      <c r="EZ62" s="164"/>
      <c r="FC62" s="185">
        <v>0</v>
      </c>
    </row>
    <row r="63" spans="1:159" ht="18.75" customHeight="1">
      <c r="A63" s="185" t="s">
        <v>610</v>
      </c>
      <c r="B63" s="176">
        <v>60306000</v>
      </c>
      <c r="C63" s="176" t="s">
        <v>109</v>
      </c>
      <c r="D63" s="176" t="s">
        <v>109</v>
      </c>
      <c r="E63" s="324"/>
      <c r="F63" s="320" t="s">
        <v>579</v>
      </c>
      <c r="G63" s="320"/>
      <c r="H63" s="417">
        <v>0</v>
      </c>
      <c r="I63" s="417">
        <v>5000</v>
      </c>
      <c r="J63" s="417">
        <v>8000</v>
      </c>
      <c r="K63" s="417">
        <v>5000</v>
      </c>
      <c r="L63" s="417">
        <v>0</v>
      </c>
      <c r="M63" s="417">
        <v>3000</v>
      </c>
      <c r="N63" s="417">
        <v>0</v>
      </c>
      <c r="O63" s="417">
        <v>0</v>
      </c>
      <c r="P63" s="417">
        <v>3000</v>
      </c>
      <c r="Q63" s="819">
        <v>0</v>
      </c>
      <c r="R63" s="417">
        <v>0</v>
      </c>
      <c r="S63" s="417">
        <v>1000</v>
      </c>
      <c r="T63" s="402"/>
      <c r="U63" s="366">
        <f t="shared" si="81"/>
        <v>900</v>
      </c>
      <c r="V63" s="165">
        <f t="shared" si="82"/>
        <v>1</v>
      </c>
      <c r="W63" s="212"/>
      <c r="X63" s="417">
        <v>0</v>
      </c>
      <c r="Y63" s="417">
        <v>0</v>
      </c>
      <c r="Z63" s="417">
        <v>0</v>
      </c>
      <c r="AA63" s="417">
        <v>0</v>
      </c>
      <c r="AB63" s="417">
        <v>0</v>
      </c>
      <c r="AC63" s="417">
        <v>0</v>
      </c>
      <c r="AD63" s="417">
        <v>0</v>
      </c>
      <c r="AE63" s="417">
        <v>0</v>
      </c>
      <c r="AF63" s="417">
        <v>510</v>
      </c>
      <c r="AG63" s="819">
        <v>390</v>
      </c>
      <c r="AH63" s="417">
        <v>0</v>
      </c>
      <c r="AI63" s="417">
        <v>0</v>
      </c>
      <c r="AJ63" s="375">
        <f t="shared" si="83"/>
        <v>900</v>
      </c>
      <c r="AK63" s="212"/>
      <c r="AL63" s="417">
        <v>0</v>
      </c>
      <c r="AM63" s="417">
        <v>5000</v>
      </c>
      <c r="AN63" s="417">
        <v>8000</v>
      </c>
      <c r="AO63" s="417">
        <v>5000</v>
      </c>
      <c r="AP63" s="417">
        <v>0</v>
      </c>
      <c r="AQ63" s="417">
        <v>3000</v>
      </c>
      <c r="AR63" s="417">
        <v>0</v>
      </c>
      <c r="AS63" s="417">
        <v>0</v>
      </c>
      <c r="AT63" s="417">
        <v>3000</v>
      </c>
      <c r="AU63" s="819">
        <v>0</v>
      </c>
      <c r="AV63" s="417">
        <v>0</v>
      </c>
      <c r="AW63" s="417">
        <v>1000</v>
      </c>
      <c r="AX63" s="375">
        <f t="shared" si="100"/>
        <v>25000</v>
      </c>
      <c r="AY63" s="366">
        <f t="shared" si="85"/>
        <v>-19000</v>
      </c>
      <c r="AZ63" s="165">
        <f t="shared" si="86"/>
        <v>-3.1666666666666665</v>
      </c>
      <c r="BA63" s="212"/>
      <c r="BB63" s="417">
        <v>0</v>
      </c>
      <c r="BC63" s="417">
        <v>0</v>
      </c>
      <c r="BD63" s="417">
        <v>0</v>
      </c>
      <c r="BE63" s="417">
        <v>0</v>
      </c>
      <c r="BF63" s="417">
        <v>0</v>
      </c>
      <c r="BG63" s="417">
        <v>0</v>
      </c>
      <c r="BH63" s="417">
        <v>0</v>
      </c>
      <c r="BI63" s="417">
        <v>0</v>
      </c>
      <c r="BJ63" s="417">
        <v>0</v>
      </c>
      <c r="BK63" s="819">
        <v>0</v>
      </c>
      <c r="BL63" s="417">
        <v>0</v>
      </c>
      <c r="BM63" s="417">
        <v>0</v>
      </c>
      <c r="BN63" s="375">
        <v>6000</v>
      </c>
      <c r="BO63" s="212"/>
      <c r="BP63" s="818">
        <v>0</v>
      </c>
      <c r="BQ63" s="818">
        <v>0</v>
      </c>
      <c r="BR63" s="818">
        <v>5000</v>
      </c>
      <c r="BS63" s="818">
        <v>500</v>
      </c>
      <c r="BT63" s="818">
        <v>0</v>
      </c>
      <c r="BU63" s="818">
        <v>5000</v>
      </c>
      <c r="BV63" s="818">
        <v>500</v>
      </c>
      <c r="BW63" s="818">
        <v>0</v>
      </c>
      <c r="BX63" s="818">
        <v>5000</v>
      </c>
      <c r="BY63" s="818">
        <v>3000</v>
      </c>
      <c r="BZ63" s="818">
        <v>0</v>
      </c>
      <c r="CA63" s="818">
        <v>6000</v>
      </c>
      <c r="CB63" s="375">
        <f t="shared" si="87"/>
        <v>25000</v>
      </c>
      <c r="CC63" s="366">
        <f t="shared" si="88"/>
        <v>19000</v>
      </c>
      <c r="CD63" s="165">
        <f t="shared" si="89"/>
        <v>0.76</v>
      </c>
      <c r="CE63" s="367"/>
      <c r="CF63" s="373">
        <v>0</v>
      </c>
      <c r="CG63" s="373">
        <v>0</v>
      </c>
      <c r="CH63" s="373">
        <v>831.94</v>
      </c>
      <c r="CI63" s="373">
        <v>0</v>
      </c>
      <c r="CJ63" s="373">
        <v>0</v>
      </c>
      <c r="CK63" s="373">
        <v>0</v>
      </c>
      <c r="CL63" s="373">
        <v>0</v>
      </c>
      <c r="CM63" s="373">
        <v>0</v>
      </c>
      <c r="CN63" s="373">
        <v>0</v>
      </c>
      <c r="CO63" s="373">
        <v>0</v>
      </c>
      <c r="CP63" s="373">
        <v>0</v>
      </c>
      <c r="CQ63" s="373">
        <v>0</v>
      </c>
      <c r="CR63" s="376"/>
      <c r="CS63" s="375">
        <f t="shared" si="90"/>
        <v>831.94</v>
      </c>
      <c r="CT63" s="378">
        <f t="shared" si="95"/>
        <v>-5168.0599999999995</v>
      </c>
      <c r="CU63" s="165">
        <f t="shared" si="91"/>
        <v>-6.212058561915522</v>
      </c>
      <c r="CV63" s="320"/>
      <c r="CW63" s="373">
        <v>0</v>
      </c>
      <c r="CX63" s="373">
        <v>0</v>
      </c>
      <c r="CY63" s="373">
        <v>0</v>
      </c>
      <c r="CZ63" s="373">
        <v>0</v>
      </c>
      <c r="DA63" s="373">
        <v>0</v>
      </c>
      <c r="DB63" s="373">
        <v>0</v>
      </c>
      <c r="DC63" s="373">
        <v>0</v>
      </c>
      <c r="DD63" s="373">
        <v>11050</v>
      </c>
      <c r="DE63" s="373">
        <v>10520</v>
      </c>
      <c r="DF63" s="373">
        <v>0</v>
      </c>
      <c r="DG63" s="373">
        <v>9040</v>
      </c>
      <c r="DH63" s="373">
        <v>2321.29</v>
      </c>
      <c r="DI63" s="375">
        <f t="shared" si="99"/>
        <v>32931.29</v>
      </c>
      <c r="DJ63" s="320"/>
      <c r="DK63" s="373">
        <v>0</v>
      </c>
      <c r="DL63" s="373">
        <v>0</v>
      </c>
      <c r="DM63" s="373">
        <v>0</v>
      </c>
      <c r="DN63" s="373">
        <v>0</v>
      </c>
      <c r="DO63" s="373">
        <v>0</v>
      </c>
      <c r="DP63" s="373">
        <v>0</v>
      </c>
      <c r="DQ63" s="373">
        <v>0</v>
      </c>
      <c r="DR63" s="373">
        <v>0</v>
      </c>
      <c r="DS63" s="373">
        <v>0</v>
      </c>
      <c r="DT63" s="373">
        <v>0</v>
      </c>
      <c r="DU63" s="373">
        <v>0</v>
      </c>
      <c r="DV63" s="373">
        <v>0</v>
      </c>
      <c r="DW63" s="375">
        <f t="shared" si="93"/>
        <v>0</v>
      </c>
      <c r="DY63" s="373">
        <v>0</v>
      </c>
      <c r="DZ63" s="373">
        <v>0</v>
      </c>
      <c r="EA63" s="373">
        <v>0</v>
      </c>
      <c r="EB63" s="373">
        <v>0</v>
      </c>
      <c r="EC63" s="373">
        <v>0</v>
      </c>
      <c r="ED63" s="373">
        <v>0</v>
      </c>
      <c r="EE63" s="373">
        <v>0</v>
      </c>
      <c r="EF63" s="373">
        <v>0</v>
      </c>
      <c r="EG63" s="373">
        <v>0</v>
      </c>
      <c r="EH63" s="373">
        <v>0</v>
      </c>
      <c r="EI63" s="373">
        <v>0</v>
      </c>
      <c r="EJ63" s="373">
        <v>0</v>
      </c>
      <c r="EK63" s="375">
        <f t="shared" si="94"/>
        <v>0</v>
      </c>
      <c r="EL63" s="177"/>
      <c r="EM63" s="373">
        <v>0</v>
      </c>
      <c r="EN63" s="373">
        <v>0</v>
      </c>
      <c r="EO63" s="373">
        <v>0</v>
      </c>
      <c r="EP63" s="373">
        <v>0</v>
      </c>
      <c r="EQ63" s="373">
        <v>0</v>
      </c>
      <c r="ER63" s="373">
        <v>0</v>
      </c>
      <c r="ES63" s="373">
        <v>0</v>
      </c>
      <c r="ET63" s="373">
        <v>0</v>
      </c>
      <c r="EU63" s="373">
        <v>0</v>
      </c>
      <c r="EV63" s="373">
        <v>0</v>
      </c>
      <c r="EW63" s="373">
        <v>0</v>
      </c>
      <c r="EX63" s="373">
        <v>0</v>
      </c>
      <c r="EY63" s="375">
        <f t="shared" si="96"/>
        <v>0</v>
      </c>
      <c r="EZ63" s="164"/>
      <c r="FC63" s="185">
        <v>0</v>
      </c>
    </row>
    <row r="64" spans="1:159" ht="18.75" customHeight="1">
      <c r="A64" s="185" t="s">
        <v>329</v>
      </c>
      <c r="B64" s="176">
        <v>60307000</v>
      </c>
      <c r="C64" s="176" t="s">
        <v>109</v>
      </c>
      <c r="D64" s="176" t="s">
        <v>109</v>
      </c>
      <c r="E64" s="324"/>
      <c r="F64" s="320" t="s">
        <v>646</v>
      </c>
      <c r="G64" s="320"/>
      <c r="H64" s="417">
        <v>24600</v>
      </c>
      <c r="I64" s="417">
        <v>24600</v>
      </c>
      <c r="J64" s="417">
        <v>24600</v>
      </c>
      <c r="K64" s="417">
        <v>24600</v>
      </c>
      <c r="L64" s="417">
        <v>24600</v>
      </c>
      <c r="M64" s="417">
        <v>24600</v>
      </c>
      <c r="N64" s="417">
        <v>24600</v>
      </c>
      <c r="O64" s="417">
        <v>24600</v>
      </c>
      <c r="P64" s="417">
        <v>24600</v>
      </c>
      <c r="Q64" s="819">
        <v>24600</v>
      </c>
      <c r="R64" s="417">
        <v>24600</v>
      </c>
      <c r="S64" s="417">
        <v>463737.48</v>
      </c>
      <c r="T64" s="402"/>
      <c r="U64" s="366">
        <f t="shared" si="81"/>
        <v>128825.66</v>
      </c>
      <c r="V64" s="165">
        <f t="shared" si="82"/>
        <v>1</v>
      </c>
      <c r="W64" s="212"/>
      <c r="X64" s="417">
        <v>28955.5</v>
      </c>
      <c r="Y64" s="417">
        <v>3872.4</v>
      </c>
      <c r="Z64" s="417">
        <v>2005</v>
      </c>
      <c r="AA64" s="417">
        <v>485</v>
      </c>
      <c r="AB64" s="417">
        <v>17456.98</v>
      </c>
      <c r="AC64" s="417">
        <v>14960</v>
      </c>
      <c r="AD64" s="417">
        <v>14359.5</v>
      </c>
      <c r="AE64" s="417">
        <v>17078.3</v>
      </c>
      <c r="AF64" s="417">
        <v>720</v>
      </c>
      <c r="AG64" s="819">
        <v>12260.66</v>
      </c>
      <c r="AH64" s="417">
        <v>75</v>
      </c>
      <c r="AI64" s="417">
        <v>16597.32</v>
      </c>
      <c r="AJ64" s="375">
        <f t="shared" si="83"/>
        <v>128825.66</v>
      </c>
      <c r="AK64" s="212"/>
      <c r="AL64" s="417">
        <v>24600</v>
      </c>
      <c r="AM64" s="417">
        <v>24600</v>
      </c>
      <c r="AN64" s="417">
        <v>24600</v>
      </c>
      <c r="AO64" s="417">
        <v>24600</v>
      </c>
      <c r="AP64" s="417">
        <v>24600</v>
      </c>
      <c r="AQ64" s="417">
        <v>24600</v>
      </c>
      <c r="AR64" s="417">
        <v>24600</v>
      </c>
      <c r="AS64" s="417">
        <v>24600</v>
      </c>
      <c r="AT64" s="417">
        <v>24600</v>
      </c>
      <c r="AU64" s="819">
        <v>24600</v>
      </c>
      <c r="AV64" s="417">
        <v>24600</v>
      </c>
      <c r="AW64" s="417">
        <v>463737.48</v>
      </c>
      <c r="AX64" s="375">
        <f t="shared" si="100"/>
        <v>734337.48</v>
      </c>
      <c r="AY64" s="366">
        <f t="shared" si="85"/>
        <v>-106448.08999999997</v>
      </c>
      <c r="AZ64" s="165">
        <f t="shared" si="86"/>
        <v>-0.16953318800306527</v>
      </c>
      <c r="BA64" s="212"/>
      <c r="BB64" s="417">
        <v>28851.37</v>
      </c>
      <c r="BC64" s="417">
        <v>61771.75</v>
      </c>
      <c r="BD64" s="417">
        <v>82069.76999999999</v>
      </c>
      <c r="BE64" s="417">
        <v>14861.849999999999</v>
      </c>
      <c r="BF64" s="417">
        <v>80690.3</v>
      </c>
      <c r="BG64" s="417">
        <v>42061</v>
      </c>
      <c r="BH64" s="417">
        <v>139035.79999999999</v>
      </c>
      <c r="BI64" s="417">
        <v>68872.86</v>
      </c>
      <c r="BJ64" s="417">
        <v>40527.67</v>
      </c>
      <c r="BK64" s="819">
        <v>51293.520000000004</v>
      </c>
      <c r="BL64" s="417">
        <v>6253.5</v>
      </c>
      <c r="BM64" s="417">
        <v>23451.599999999999</v>
      </c>
      <c r="BN64" s="375">
        <v>627889.39</v>
      </c>
      <c r="BO64" s="212"/>
      <c r="BP64" s="818">
        <v>10475</v>
      </c>
      <c r="BQ64" s="818">
        <v>10475</v>
      </c>
      <c r="BR64" s="818">
        <v>10475</v>
      </c>
      <c r="BS64" s="818">
        <v>10475</v>
      </c>
      <c r="BT64" s="818">
        <v>10475</v>
      </c>
      <c r="BU64" s="818">
        <v>10475</v>
      </c>
      <c r="BV64" s="818">
        <v>10475</v>
      </c>
      <c r="BW64" s="818">
        <v>10475</v>
      </c>
      <c r="BX64" s="818">
        <v>10475</v>
      </c>
      <c r="BY64" s="818">
        <v>10475</v>
      </c>
      <c r="BZ64" s="818">
        <v>10475</v>
      </c>
      <c r="CA64" s="818">
        <v>10475</v>
      </c>
      <c r="CB64" s="375">
        <f t="shared" si="87"/>
        <v>125700</v>
      </c>
      <c r="CC64" s="366">
        <f t="shared" si="88"/>
        <v>-502189.39</v>
      </c>
      <c r="CD64" s="165">
        <f t="shared" si="89"/>
        <v>-3.9951423229912493</v>
      </c>
      <c r="CE64" s="367"/>
      <c r="CF64" s="373">
        <v>41185.9</v>
      </c>
      <c r="CG64" s="373">
        <v>930.27</v>
      </c>
      <c r="CH64" s="373">
        <v>-19192.87</v>
      </c>
      <c r="CI64" s="373">
        <v>27306.870000000003</v>
      </c>
      <c r="CJ64" s="373">
        <v>-17348</v>
      </c>
      <c r="CK64" s="373">
        <v>-705.74</v>
      </c>
      <c r="CL64" s="373">
        <v>80</v>
      </c>
      <c r="CM64" s="373">
        <v>12872.72</v>
      </c>
      <c r="CN64" s="373">
        <v>11007</v>
      </c>
      <c r="CO64" s="373">
        <v>4183.22</v>
      </c>
      <c r="CP64" s="373">
        <v>6074.67</v>
      </c>
      <c r="CQ64" s="373">
        <v>6306.74</v>
      </c>
      <c r="CR64" s="376"/>
      <c r="CS64" s="375">
        <f t="shared" si="90"/>
        <v>72700.78</v>
      </c>
      <c r="CT64" s="378">
        <f t="shared" si="95"/>
        <v>-555188.61</v>
      </c>
      <c r="CU64" s="165">
        <f t="shared" si="91"/>
        <v>-7.6366252191517061</v>
      </c>
      <c r="CV64" s="320"/>
      <c r="CW64" s="373">
        <v>12562.4</v>
      </c>
      <c r="CX64" s="373">
        <v>4248.25</v>
      </c>
      <c r="CY64" s="373">
        <v>29518.05</v>
      </c>
      <c r="CZ64" s="373">
        <v>7449.05</v>
      </c>
      <c r="DA64" s="373">
        <v>20496.53</v>
      </c>
      <c r="DB64" s="373">
        <v>30105.7</v>
      </c>
      <c r="DC64" s="373">
        <v>16026.27</v>
      </c>
      <c r="DD64" s="373">
        <v>31670.84</v>
      </c>
      <c r="DE64" s="373">
        <v>105697.45</v>
      </c>
      <c r="DF64" s="373">
        <v>1778</v>
      </c>
      <c r="DG64" s="373">
        <v>77946.89</v>
      </c>
      <c r="DH64" s="373">
        <v>163024.71000000002</v>
      </c>
      <c r="DI64" s="375">
        <f t="shared" si="99"/>
        <v>500524.14</v>
      </c>
      <c r="DJ64" s="320"/>
      <c r="DK64" s="373">
        <v>2896.2</v>
      </c>
      <c r="DL64" s="373">
        <v>3636</v>
      </c>
      <c r="DM64" s="373">
        <v>2381.79</v>
      </c>
      <c r="DN64" s="373">
        <v>2029</v>
      </c>
      <c r="DO64" s="373">
        <v>9958.4</v>
      </c>
      <c r="DP64" s="373">
        <v>1404.8</v>
      </c>
      <c r="DQ64" s="373">
        <v>7850.7000000000007</v>
      </c>
      <c r="DR64" s="373">
        <v>5207.8500000000004</v>
      </c>
      <c r="DS64" s="373">
        <v>11125.4</v>
      </c>
      <c r="DT64" s="373">
        <v>84474.099999999991</v>
      </c>
      <c r="DU64" s="373">
        <v>8548.2000000000007</v>
      </c>
      <c r="DV64" s="373">
        <v>10276.4</v>
      </c>
      <c r="DW64" s="375">
        <f t="shared" si="93"/>
        <v>149788.84</v>
      </c>
      <c r="DY64" s="373">
        <v>3549.4</v>
      </c>
      <c r="DZ64" s="373">
        <v>1004.9</v>
      </c>
      <c r="EA64" s="373">
        <v>1460.3</v>
      </c>
      <c r="EB64" s="373">
        <v>2177.6</v>
      </c>
      <c r="EC64" s="373">
        <v>516.29999999999995</v>
      </c>
      <c r="ED64" s="373">
        <v>87104</v>
      </c>
      <c r="EE64" s="373">
        <v>1994</v>
      </c>
      <c r="EF64" s="373">
        <v>2268.8999999999996</v>
      </c>
      <c r="EG64" s="373">
        <v>1060</v>
      </c>
      <c r="EH64" s="373">
        <v>3297.5000000000005</v>
      </c>
      <c r="EI64" s="373">
        <v>576</v>
      </c>
      <c r="EJ64" s="373">
        <v>7133.76</v>
      </c>
      <c r="EK64" s="375">
        <f t="shared" si="94"/>
        <v>112142.65999999999</v>
      </c>
      <c r="EL64" s="177"/>
      <c r="EM64" s="373">
        <v>108.5</v>
      </c>
      <c r="EN64" s="373">
        <v>0</v>
      </c>
      <c r="EO64" s="373">
        <v>2300</v>
      </c>
      <c r="EP64" s="373">
        <v>18028</v>
      </c>
      <c r="EQ64" s="373">
        <v>71231</v>
      </c>
      <c r="ER64" s="373">
        <v>63205</v>
      </c>
      <c r="ES64" s="373">
        <v>66900.200000000012</v>
      </c>
      <c r="ET64" s="373">
        <v>78765.5</v>
      </c>
      <c r="EU64" s="373">
        <v>65661.599999999991</v>
      </c>
      <c r="EV64" s="373">
        <v>44930.200000000004</v>
      </c>
      <c r="EW64" s="373">
        <v>18789.310000000001</v>
      </c>
      <c r="EX64" s="373">
        <v>2605.1</v>
      </c>
      <c r="EY64" s="375">
        <f t="shared" si="96"/>
        <v>432524.41</v>
      </c>
      <c r="EZ64" s="164"/>
      <c r="FC64" s="185">
        <v>0</v>
      </c>
    </row>
    <row r="65" spans="1:161" ht="18.75" customHeight="1">
      <c r="A65" s="185" t="s">
        <v>325</v>
      </c>
      <c r="B65" s="176">
        <v>60308000</v>
      </c>
      <c r="C65" s="176" t="s">
        <v>720</v>
      </c>
      <c r="D65" s="176" t="s">
        <v>109</v>
      </c>
      <c r="E65" s="324"/>
      <c r="F65" s="320" t="s">
        <v>647</v>
      </c>
      <c r="G65" s="320"/>
      <c r="H65" s="417">
        <v>614000</v>
      </c>
      <c r="I65" s="417">
        <v>614000</v>
      </c>
      <c r="J65" s="417">
        <v>614000</v>
      </c>
      <c r="K65" s="417">
        <v>614000</v>
      </c>
      <c r="L65" s="417">
        <v>623000</v>
      </c>
      <c r="M65" s="417">
        <v>633000</v>
      </c>
      <c r="N65" s="417">
        <v>623000</v>
      </c>
      <c r="O65" s="417">
        <v>623000</v>
      </c>
      <c r="P65" s="417">
        <v>623000</v>
      </c>
      <c r="Q65" s="819">
        <v>623000</v>
      </c>
      <c r="R65" s="417">
        <v>623000</v>
      </c>
      <c r="S65" s="417">
        <v>1642591.3333333335</v>
      </c>
      <c r="T65" s="402"/>
      <c r="U65" s="366">
        <f t="shared" si="81"/>
        <v>4815530.8899999997</v>
      </c>
      <c r="V65" s="165">
        <f t="shared" si="82"/>
        <v>1</v>
      </c>
      <c r="W65" s="212"/>
      <c r="X65" s="417">
        <v>180365</v>
      </c>
      <c r="Y65" s="417">
        <v>92097.45</v>
      </c>
      <c r="Z65" s="417">
        <v>277184.65000000002</v>
      </c>
      <c r="AA65" s="417">
        <v>762906.42</v>
      </c>
      <c r="AB65" s="417">
        <v>208829.66</v>
      </c>
      <c r="AC65" s="417">
        <v>370976.08999999997</v>
      </c>
      <c r="AD65" s="417">
        <v>275483.36</v>
      </c>
      <c r="AE65" s="417">
        <v>641445.51</v>
      </c>
      <c r="AF65" s="417">
        <v>331536.07999999996</v>
      </c>
      <c r="AG65" s="819">
        <v>503704.19</v>
      </c>
      <c r="AH65" s="417">
        <v>332839.28000000003</v>
      </c>
      <c r="AI65" s="417">
        <v>838163.2</v>
      </c>
      <c r="AJ65" s="375">
        <f t="shared" si="83"/>
        <v>4815530.8899999997</v>
      </c>
      <c r="AK65" s="212"/>
      <c r="AL65" s="417">
        <v>614000</v>
      </c>
      <c r="AM65" s="417">
        <v>614000</v>
      </c>
      <c r="AN65" s="417">
        <v>614000</v>
      </c>
      <c r="AO65" s="417">
        <v>614000</v>
      </c>
      <c r="AP65" s="417">
        <v>623000</v>
      </c>
      <c r="AQ65" s="417">
        <v>633000</v>
      </c>
      <c r="AR65" s="417">
        <v>623000</v>
      </c>
      <c r="AS65" s="417">
        <v>623000</v>
      </c>
      <c r="AT65" s="417">
        <v>623000</v>
      </c>
      <c r="AU65" s="819">
        <v>623000</v>
      </c>
      <c r="AV65" s="417">
        <v>623000</v>
      </c>
      <c r="AW65" s="417">
        <v>1642591.3333333335</v>
      </c>
      <c r="AX65" s="375">
        <f t="shared" si="100"/>
        <v>8469591.333333334</v>
      </c>
      <c r="AY65" s="366">
        <f t="shared" si="85"/>
        <v>-6690395.8933333345</v>
      </c>
      <c r="AZ65" s="165">
        <f t="shared" si="86"/>
        <v>-3.7603490560504893</v>
      </c>
      <c r="BA65" s="212"/>
      <c r="BB65" s="417">
        <v>49229.869999999995</v>
      </c>
      <c r="BC65" s="417">
        <v>164093.94</v>
      </c>
      <c r="BD65" s="417">
        <v>168574.61</v>
      </c>
      <c r="BE65" s="417">
        <v>150174.26</v>
      </c>
      <c r="BF65" s="417">
        <v>175691.63</v>
      </c>
      <c r="BG65" s="417">
        <v>88547.209999999992</v>
      </c>
      <c r="BH65" s="417">
        <v>127432.12</v>
      </c>
      <c r="BI65" s="417">
        <v>118870.94</v>
      </c>
      <c r="BJ65" s="417">
        <v>281082.23999999999</v>
      </c>
      <c r="BK65" s="819">
        <v>133811.78</v>
      </c>
      <c r="BL65" s="417">
        <v>136516.84</v>
      </c>
      <c r="BM65" s="417">
        <v>244987.62</v>
      </c>
      <c r="BN65" s="375">
        <v>1779195.44</v>
      </c>
      <c r="BO65" s="212"/>
      <c r="BP65" s="818">
        <v>324900</v>
      </c>
      <c r="BQ65" s="818">
        <v>326200</v>
      </c>
      <c r="BR65" s="818">
        <v>347450</v>
      </c>
      <c r="BS65" s="818">
        <v>439200</v>
      </c>
      <c r="BT65" s="818">
        <v>345200</v>
      </c>
      <c r="BU65" s="818">
        <v>366450</v>
      </c>
      <c r="BV65" s="818">
        <v>345200</v>
      </c>
      <c r="BW65" s="818">
        <v>336200</v>
      </c>
      <c r="BX65" s="818">
        <v>322450</v>
      </c>
      <c r="BY65" s="818">
        <v>413200</v>
      </c>
      <c r="BZ65" s="818">
        <v>411200</v>
      </c>
      <c r="CA65" s="818">
        <v>604450</v>
      </c>
      <c r="CB65" s="375">
        <f t="shared" si="87"/>
        <v>4582100</v>
      </c>
      <c r="CC65" s="366">
        <f t="shared" si="88"/>
        <v>2802904.56</v>
      </c>
      <c r="CD65" s="165">
        <f t="shared" si="89"/>
        <v>0.61170741799611528</v>
      </c>
      <c r="CE65" s="367"/>
      <c r="CF65" s="373">
        <v>6154.54</v>
      </c>
      <c r="CG65" s="373">
        <v>6800</v>
      </c>
      <c r="CH65" s="373">
        <v>40804.530000000006</v>
      </c>
      <c r="CI65" s="373">
        <v>18152.09</v>
      </c>
      <c r="CJ65" s="373">
        <v>54237.87</v>
      </c>
      <c r="CK65" s="373">
        <v>110929.87</v>
      </c>
      <c r="CL65" s="373">
        <v>7599.87</v>
      </c>
      <c r="CM65" s="373">
        <v>40518.86</v>
      </c>
      <c r="CN65" s="373">
        <v>78639.92</v>
      </c>
      <c r="CO65" s="373">
        <v>93457</v>
      </c>
      <c r="CP65" s="373">
        <v>358949.78</v>
      </c>
      <c r="CQ65" s="373">
        <v>283703.58</v>
      </c>
      <c r="CR65" s="376"/>
      <c r="CS65" s="375">
        <f t="shared" si="90"/>
        <v>1099947.9100000001</v>
      </c>
      <c r="CT65" s="378">
        <f t="shared" si="95"/>
        <v>-679247.5299999998</v>
      </c>
      <c r="CU65" s="165">
        <f t="shared" si="91"/>
        <v>-0.61752699725571525</v>
      </c>
      <c r="CV65" s="320"/>
      <c r="CW65" s="373">
        <v>318</v>
      </c>
      <c r="CX65" s="373">
        <v>0</v>
      </c>
      <c r="CY65" s="373">
        <v>0</v>
      </c>
      <c r="CZ65" s="373">
        <v>0</v>
      </c>
      <c r="DA65" s="373">
        <v>0</v>
      </c>
      <c r="DB65" s="373">
        <v>0</v>
      </c>
      <c r="DC65" s="373">
        <v>0</v>
      </c>
      <c r="DD65" s="373">
        <v>471</v>
      </c>
      <c r="DE65" s="373">
        <v>5519.87</v>
      </c>
      <c r="DF65" s="373">
        <v>80766.38</v>
      </c>
      <c r="DG65" s="373">
        <v>16559.62</v>
      </c>
      <c r="DH65" s="373">
        <v>5519.87</v>
      </c>
      <c r="DI65" s="375">
        <f t="shared" si="99"/>
        <v>109154.73999999999</v>
      </c>
      <c r="DJ65" s="320"/>
      <c r="DK65" s="373">
        <v>0</v>
      </c>
      <c r="DL65" s="373">
        <v>0</v>
      </c>
      <c r="DM65" s="373">
        <v>0</v>
      </c>
      <c r="DN65" s="373">
        <v>5960</v>
      </c>
      <c r="DO65" s="373">
        <v>200</v>
      </c>
      <c r="DP65" s="373">
        <v>0</v>
      </c>
      <c r="DQ65" s="373">
        <v>0</v>
      </c>
      <c r="DR65" s="373">
        <v>0</v>
      </c>
      <c r="DS65" s="373">
        <v>0</v>
      </c>
      <c r="DT65" s="373">
        <v>0</v>
      </c>
      <c r="DU65" s="373">
        <v>0</v>
      </c>
      <c r="DV65" s="373">
        <v>1206</v>
      </c>
      <c r="DW65" s="375">
        <f t="shared" ref="DW65:DW78" si="101">SUM(DK65:DV65)</f>
        <v>7366</v>
      </c>
      <c r="DY65" s="373">
        <v>0</v>
      </c>
      <c r="DZ65" s="373">
        <v>0</v>
      </c>
      <c r="EA65" s="373">
        <v>0</v>
      </c>
      <c r="EB65" s="373">
        <v>7210</v>
      </c>
      <c r="EC65" s="373">
        <v>0</v>
      </c>
      <c r="ED65" s="373">
        <v>473</v>
      </c>
      <c r="EE65" s="373">
        <v>999.99999999999989</v>
      </c>
      <c r="EF65" s="373">
        <v>0</v>
      </c>
      <c r="EG65" s="373">
        <v>0</v>
      </c>
      <c r="EH65" s="373">
        <v>366.83</v>
      </c>
      <c r="EI65" s="373">
        <v>0</v>
      </c>
      <c r="EJ65" s="373">
        <v>0</v>
      </c>
      <c r="EK65" s="375">
        <f t="shared" si="94"/>
        <v>9049.83</v>
      </c>
      <c r="EL65" s="177"/>
      <c r="EM65" s="373">
        <v>0</v>
      </c>
      <c r="EN65" s="373">
        <v>499.99999999999994</v>
      </c>
      <c r="EO65" s="373">
        <v>0</v>
      </c>
      <c r="EP65" s="373">
        <v>0</v>
      </c>
      <c r="EQ65" s="373">
        <v>0</v>
      </c>
      <c r="ER65" s="373">
        <v>111.78</v>
      </c>
      <c r="ES65" s="373">
        <v>0</v>
      </c>
      <c r="ET65" s="373">
        <v>0</v>
      </c>
      <c r="EU65" s="373">
        <v>0</v>
      </c>
      <c r="EV65" s="373">
        <v>0</v>
      </c>
      <c r="EW65" s="373">
        <v>780</v>
      </c>
      <c r="EX65" s="373">
        <v>1100</v>
      </c>
      <c r="EY65" s="375">
        <f t="shared" si="96"/>
        <v>2491.7799999999997</v>
      </c>
      <c r="EZ65" s="164"/>
      <c r="FC65" s="185">
        <v>0</v>
      </c>
    </row>
    <row r="66" spans="1:161" ht="18.75" customHeight="1">
      <c r="A66" s="185" t="s">
        <v>329</v>
      </c>
      <c r="B66" s="176">
        <v>60309000</v>
      </c>
      <c r="C66" s="176" t="s">
        <v>109</v>
      </c>
      <c r="D66" s="176" t="s">
        <v>109</v>
      </c>
      <c r="E66" s="324"/>
      <c r="F66" s="320" t="s">
        <v>344</v>
      </c>
      <c r="G66" s="320"/>
      <c r="H66" s="417">
        <v>100</v>
      </c>
      <c r="I66" s="417">
        <v>100</v>
      </c>
      <c r="J66" s="417">
        <v>100</v>
      </c>
      <c r="K66" s="417">
        <v>100</v>
      </c>
      <c r="L66" s="417">
        <v>100</v>
      </c>
      <c r="M66" s="417">
        <v>100</v>
      </c>
      <c r="N66" s="417">
        <v>100</v>
      </c>
      <c r="O66" s="417">
        <v>100</v>
      </c>
      <c r="P66" s="417">
        <v>100</v>
      </c>
      <c r="Q66" s="819">
        <v>100</v>
      </c>
      <c r="R66" s="417">
        <v>100</v>
      </c>
      <c r="S66" s="417">
        <v>160.9</v>
      </c>
      <c r="T66" s="402"/>
      <c r="U66" s="366">
        <f t="shared" si="81"/>
        <v>1066.5999999999999</v>
      </c>
      <c r="V66" s="165">
        <f t="shared" si="82"/>
        <v>1</v>
      </c>
      <c r="W66" s="212"/>
      <c r="X66" s="417">
        <v>6.3</v>
      </c>
      <c r="Y66" s="417">
        <v>48</v>
      </c>
      <c r="Z66" s="417">
        <v>206</v>
      </c>
      <c r="AA66" s="417">
        <v>120.2</v>
      </c>
      <c r="AB66" s="417">
        <v>168.79999999999998</v>
      </c>
      <c r="AC66" s="417">
        <v>4.8</v>
      </c>
      <c r="AD66" s="417">
        <v>107.7</v>
      </c>
      <c r="AE66" s="417">
        <v>52.4</v>
      </c>
      <c r="AF66" s="417">
        <v>102.4</v>
      </c>
      <c r="AG66" s="819">
        <v>50</v>
      </c>
      <c r="AH66" s="417">
        <v>0</v>
      </c>
      <c r="AI66" s="417">
        <v>200</v>
      </c>
      <c r="AJ66" s="375">
        <f t="shared" si="83"/>
        <v>1066.5999999999999</v>
      </c>
      <c r="AK66" s="212"/>
      <c r="AL66" s="417">
        <v>100</v>
      </c>
      <c r="AM66" s="417">
        <v>100</v>
      </c>
      <c r="AN66" s="417">
        <v>100</v>
      </c>
      <c r="AO66" s="417">
        <v>100</v>
      </c>
      <c r="AP66" s="417">
        <v>100</v>
      </c>
      <c r="AQ66" s="417">
        <v>100</v>
      </c>
      <c r="AR66" s="417">
        <v>100</v>
      </c>
      <c r="AS66" s="417">
        <v>100</v>
      </c>
      <c r="AT66" s="417">
        <v>100</v>
      </c>
      <c r="AU66" s="819">
        <v>100</v>
      </c>
      <c r="AV66" s="417">
        <v>100</v>
      </c>
      <c r="AW66" s="417">
        <v>160.9</v>
      </c>
      <c r="AX66" s="375">
        <f t="shared" si="100"/>
        <v>1260.9000000000001</v>
      </c>
      <c r="AY66" s="366">
        <f t="shared" si="85"/>
        <v>1993</v>
      </c>
      <c r="AZ66" s="165">
        <f t="shared" si="86"/>
        <v>0.61249577430160729</v>
      </c>
      <c r="BA66" s="212"/>
      <c r="BB66" s="417">
        <v>24.6</v>
      </c>
      <c r="BC66" s="417">
        <v>0</v>
      </c>
      <c r="BD66" s="417">
        <v>134.30000000000001</v>
      </c>
      <c r="BE66" s="417">
        <v>7.7</v>
      </c>
      <c r="BF66" s="417">
        <v>10.199999999999999</v>
      </c>
      <c r="BG66" s="417">
        <v>0</v>
      </c>
      <c r="BH66" s="417">
        <v>0</v>
      </c>
      <c r="BI66" s="417">
        <v>0</v>
      </c>
      <c r="BJ66" s="417">
        <v>102.1</v>
      </c>
      <c r="BK66" s="819">
        <v>0</v>
      </c>
      <c r="BL66" s="417">
        <v>0</v>
      </c>
      <c r="BM66" s="417">
        <v>100</v>
      </c>
      <c r="BN66" s="375">
        <v>3253.9</v>
      </c>
      <c r="BO66" s="212"/>
      <c r="BP66" s="818">
        <v>2875</v>
      </c>
      <c r="BQ66" s="818">
        <v>2875</v>
      </c>
      <c r="BR66" s="818">
        <v>2975</v>
      </c>
      <c r="BS66" s="818">
        <v>2875</v>
      </c>
      <c r="BT66" s="818">
        <v>2875</v>
      </c>
      <c r="BU66" s="818">
        <v>2975</v>
      </c>
      <c r="BV66" s="818">
        <v>2875</v>
      </c>
      <c r="BW66" s="818">
        <v>2875</v>
      </c>
      <c r="BX66" s="818">
        <v>2975</v>
      </c>
      <c r="BY66" s="818">
        <v>2875</v>
      </c>
      <c r="BZ66" s="818">
        <v>2875</v>
      </c>
      <c r="CA66" s="818">
        <v>2975</v>
      </c>
      <c r="CB66" s="375">
        <f t="shared" si="87"/>
        <v>34900</v>
      </c>
      <c r="CC66" s="366">
        <f t="shared" si="88"/>
        <v>31646.1</v>
      </c>
      <c r="CD66" s="165">
        <f t="shared" si="89"/>
        <v>0.90676504297994265</v>
      </c>
      <c r="CE66" s="367"/>
      <c r="CF66" s="373">
        <v>22.2</v>
      </c>
      <c r="CG66" s="373">
        <v>6.5</v>
      </c>
      <c r="CH66" s="373">
        <v>2503.9</v>
      </c>
      <c r="CI66" s="373">
        <v>5000</v>
      </c>
      <c r="CJ66" s="373">
        <v>56.3</v>
      </c>
      <c r="CK66" s="373">
        <v>314.60000000000002</v>
      </c>
      <c r="CL66" s="373">
        <v>4754</v>
      </c>
      <c r="CM66" s="373">
        <v>2538.6999999999998</v>
      </c>
      <c r="CN66" s="373">
        <v>12.4</v>
      </c>
      <c r="CO66" s="373">
        <v>2647.1</v>
      </c>
      <c r="CP66" s="373">
        <v>72.900000000000006</v>
      </c>
      <c r="CQ66" s="373">
        <v>48</v>
      </c>
      <c r="CR66" s="376"/>
      <c r="CS66" s="375">
        <f t="shared" si="90"/>
        <v>17976.600000000002</v>
      </c>
      <c r="CT66" s="378">
        <f t="shared" si="95"/>
        <v>14722.700000000003</v>
      </c>
      <c r="CU66" s="165">
        <f t="shared" si="91"/>
        <v>0.81899246798615988</v>
      </c>
      <c r="CV66" s="320"/>
      <c r="CW66" s="373">
        <v>5000</v>
      </c>
      <c r="CX66" s="373">
        <v>0</v>
      </c>
      <c r="CY66" s="373">
        <v>2531.9</v>
      </c>
      <c r="CZ66" s="373">
        <v>5011.2</v>
      </c>
      <c r="DA66" s="373">
        <v>0</v>
      </c>
      <c r="DB66" s="373">
        <v>5009.8999999999996</v>
      </c>
      <c r="DC66" s="373">
        <v>2500</v>
      </c>
      <c r="DD66" s="373">
        <v>3.1</v>
      </c>
      <c r="DE66" s="373">
        <v>5143.6000000000004</v>
      </c>
      <c r="DF66" s="373">
        <v>2928</v>
      </c>
      <c r="DG66" s="373">
        <v>2500</v>
      </c>
      <c r="DH66" s="373">
        <v>5290.5</v>
      </c>
      <c r="DI66" s="375">
        <f t="shared" si="99"/>
        <v>35918.199999999997</v>
      </c>
      <c r="DJ66" s="320"/>
      <c r="DK66" s="373">
        <v>88.6</v>
      </c>
      <c r="DL66" s="373">
        <v>16.399999999999999</v>
      </c>
      <c r="DM66" s="373">
        <v>73.400000000000006</v>
      </c>
      <c r="DN66" s="373">
        <v>0</v>
      </c>
      <c r="DO66" s="373">
        <v>581.29999999999995</v>
      </c>
      <c r="DP66" s="373">
        <v>0</v>
      </c>
      <c r="DQ66" s="373">
        <v>0</v>
      </c>
      <c r="DR66" s="373">
        <v>0</v>
      </c>
      <c r="DS66" s="373">
        <v>12788</v>
      </c>
      <c r="DT66" s="373">
        <v>0</v>
      </c>
      <c r="DU66" s="373">
        <v>0</v>
      </c>
      <c r="DV66" s="373">
        <v>2500</v>
      </c>
      <c r="DW66" s="375">
        <f t="shared" si="101"/>
        <v>16047.7</v>
      </c>
      <c r="DY66" s="373">
        <v>0</v>
      </c>
      <c r="DZ66" s="373">
        <v>0</v>
      </c>
      <c r="EA66" s="373">
        <v>0</v>
      </c>
      <c r="EB66" s="373">
        <v>26.14</v>
      </c>
      <c r="EC66" s="373">
        <v>17.2</v>
      </c>
      <c r="ED66" s="373">
        <v>14.4</v>
      </c>
      <c r="EE66" s="373">
        <v>2</v>
      </c>
      <c r="EF66" s="373">
        <v>49.8</v>
      </c>
      <c r="EG66" s="373">
        <v>5.2</v>
      </c>
      <c r="EH66" s="373">
        <v>0</v>
      </c>
      <c r="EI66" s="373">
        <v>7.6</v>
      </c>
      <c r="EJ66" s="373">
        <v>0</v>
      </c>
      <c r="EK66" s="375">
        <f t="shared" si="94"/>
        <v>122.33999999999999</v>
      </c>
      <c r="EL66" s="177"/>
      <c r="EM66" s="373">
        <v>0</v>
      </c>
      <c r="EN66" s="373">
        <v>0</v>
      </c>
      <c r="EO66" s="373">
        <v>56.6</v>
      </c>
      <c r="EP66" s="373">
        <v>0</v>
      </c>
      <c r="EQ66" s="373">
        <v>44.5</v>
      </c>
      <c r="ER66" s="373">
        <v>0</v>
      </c>
      <c r="ES66" s="373">
        <v>0</v>
      </c>
      <c r="ET66" s="373">
        <v>0</v>
      </c>
      <c r="EU66" s="373">
        <v>2.6</v>
      </c>
      <c r="EV66" s="373">
        <v>0</v>
      </c>
      <c r="EW66" s="373">
        <v>0</v>
      </c>
      <c r="EX66" s="373">
        <v>0</v>
      </c>
      <c r="EY66" s="375">
        <f t="shared" si="96"/>
        <v>103.69999999999999</v>
      </c>
      <c r="EZ66" s="164"/>
      <c r="FC66" s="185">
        <v>0</v>
      </c>
    </row>
    <row r="67" spans="1:161" ht="21.75" customHeight="1">
      <c r="A67" s="185" t="s">
        <v>329</v>
      </c>
      <c r="B67" s="176">
        <v>60310000</v>
      </c>
      <c r="C67" s="176" t="s">
        <v>109</v>
      </c>
      <c r="D67" s="176" t="s">
        <v>109</v>
      </c>
      <c r="E67" s="324"/>
      <c r="F67" s="320" t="s">
        <v>341</v>
      </c>
      <c r="G67" s="320"/>
      <c r="H67" s="417">
        <v>5700</v>
      </c>
      <c r="I67" s="417">
        <v>4700</v>
      </c>
      <c r="J67" s="417">
        <v>4700</v>
      </c>
      <c r="K67" s="417">
        <v>5700</v>
      </c>
      <c r="L67" s="417">
        <v>4700</v>
      </c>
      <c r="M67" s="417">
        <v>4700</v>
      </c>
      <c r="N67" s="417">
        <v>5700</v>
      </c>
      <c r="O67" s="417">
        <v>4700</v>
      </c>
      <c r="P67" s="417">
        <v>4700</v>
      </c>
      <c r="Q67" s="819">
        <v>5700</v>
      </c>
      <c r="R67" s="417">
        <v>4700</v>
      </c>
      <c r="S67" s="417">
        <v>125655.77</v>
      </c>
      <c r="T67" s="402"/>
      <c r="U67" s="366">
        <f t="shared" si="81"/>
        <v>90009.319999999992</v>
      </c>
      <c r="V67" s="165">
        <f t="shared" si="82"/>
        <v>1</v>
      </c>
      <c r="W67" s="212"/>
      <c r="X67" s="417">
        <v>10167</v>
      </c>
      <c r="Y67" s="417">
        <v>9027.4699999999993</v>
      </c>
      <c r="Z67" s="417">
        <v>11906.16</v>
      </c>
      <c r="AA67" s="417">
        <v>10021.69</v>
      </c>
      <c r="AB67" s="417">
        <v>11311.43</v>
      </c>
      <c r="AC67" s="417">
        <v>10458.790000000001</v>
      </c>
      <c r="AD67" s="417">
        <v>15488.93</v>
      </c>
      <c r="AE67" s="417">
        <v>11717.98</v>
      </c>
      <c r="AF67" s="417">
        <v>-5410.079999999999</v>
      </c>
      <c r="AG67" s="819">
        <v>1777.56</v>
      </c>
      <c r="AH67" s="417">
        <v>2152.39</v>
      </c>
      <c r="AI67" s="417">
        <v>1390</v>
      </c>
      <c r="AJ67" s="375">
        <f t="shared" si="83"/>
        <v>90009.319999999992</v>
      </c>
      <c r="AK67" s="212"/>
      <c r="AL67" s="417">
        <v>5700</v>
      </c>
      <c r="AM67" s="417">
        <v>4700</v>
      </c>
      <c r="AN67" s="417">
        <v>4700</v>
      </c>
      <c r="AO67" s="417">
        <v>5700</v>
      </c>
      <c r="AP67" s="417">
        <v>4700</v>
      </c>
      <c r="AQ67" s="417">
        <v>4700</v>
      </c>
      <c r="AR67" s="417">
        <v>5700</v>
      </c>
      <c r="AS67" s="417">
        <v>4700</v>
      </c>
      <c r="AT67" s="417">
        <v>4700</v>
      </c>
      <c r="AU67" s="819">
        <v>5700</v>
      </c>
      <c r="AV67" s="417">
        <v>4700</v>
      </c>
      <c r="AW67" s="417">
        <v>125655.77</v>
      </c>
      <c r="AX67" s="375">
        <f t="shared" si="100"/>
        <v>181355.77000000002</v>
      </c>
      <c r="AY67" s="366">
        <f t="shared" si="85"/>
        <v>-52107.050000000017</v>
      </c>
      <c r="AZ67" s="165">
        <f t="shared" si="86"/>
        <v>-0.40315331556088152</v>
      </c>
      <c r="BA67" s="212"/>
      <c r="BB67" s="417">
        <v>10017.4</v>
      </c>
      <c r="BC67" s="417">
        <v>10960.58</v>
      </c>
      <c r="BD67" s="417">
        <v>8996.02</v>
      </c>
      <c r="BE67" s="417">
        <v>8687.51</v>
      </c>
      <c r="BF67" s="417">
        <v>9272.77</v>
      </c>
      <c r="BG67" s="417">
        <v>9858</v>
      </c>
      <c r="BH67" s="417">
        <v>9642.89</v>
      </c>
      <c r="BI67" s="417">
        <v>11905.060000000001</v>
      </c>
      <c r="BJ67" s="417">
        <v>11349.69</v>
      </c>
      <c r="BK67" s="819">
        <v>10915.3</v>
      </c>
      <c r="BL67" s="417">
        <v>10501</v>
      </c>
      <c r="BM67" s="417">
        <v>15612.67</v>
      </c>
      <c r="BN67" s="375">
        <v>129248.72</v>
      </c>
      <c r="BO67" s="212"/>
      <c r="BP67" s="818">
        <v>13480</v>
      </c>
      <c r="BQ67" s="818">
        <v>13480</v>
      </c>
      <c r="BR67" s="818">
        <v>17072.5</v>
      </c>
      <c r="BS67" s="818">
        <v>13480</v>
      </c>
      <c r="BT67" s="818">
        <v>13480</v>
      </c>
      <c r="BU67" s="818">
        <v>17042.5</v>
      </c>
      <c r="BV67" s="818">
        <v>13480</v>
      </c>
      <c r="BW67" s="818">
        <v>13480</v>
      </c>
      <c r="BX67" s="818">
        <v>17072.5</v>
      </c>
      <c r="BY67" s="818">
        <v>13480</v>
      </c>
      <c r="BZ67" s="818">
        <v>13480</v>
      </c>
      <c r="CA67" s="818">
        <v>17142.5</v>
      </c>
      <c r="CB67" s="375">
        <f t="shared" si="87"/>
        <v>176170</v>
      </c>
      <c r="CC67" s="366">
        <f t="shared" si="88"/>
        <v>46921.279999999999</v>
      </c>
      <c r="CD67" s="165">
        <f t="shared" si="89"/>
        <v>0.26634092070159504</v>
      </c>
      <c r="CE67" s="367"/>
      <c r="CF67" s="373">
        <v>11147</v>
      </c>
      <c r="CG67" s="373">
        <v>12492.16</v>
      </c>
      <c r="CH67" s="373">
        <v>11475.26</v>
      </c>
      <c r="CI67" s="373">
        <v>11329.2</v>
      </c>
      <c r="CJ67" s="373">
        <v>19402.580000000002</v>
      </c>
      <c r="CK67" s="373">
        <v>11639</v>
      </c>
      <c r="CL67" s="373">
        <v>12138.25</v>
      </c>
      <c r="CM67" s="373">
        <v>13220.14</v>
      </c>
      <c r="CN67" s="373">
        <v>12360.1</v>
      </c>
      <c r="CO67" s="373">
        <v>11744.060000000001</v>
      </c>
      <c r="CP67" s="373">
        <v>11969</v>
      </c>
      <c r="CQ67" s="373">
        <v>8206.75</v>
      </c>
      <c r="CR67" s="376"/>
      <c r="CS67" s="375">
        <f t="shared" si="90"/>
        <v>147123.5</v>
      </c>
      <c r="CT67" s="378">
        <f t="shared" si="95"/>
        <v>17874.78</v>
      </c>
      <c r="CU67" s="165">
        <f t="shared" si="91"/>
        <v>0.12149507046800816</v>
      </c>
      <c r="CV67" s="320"/>
      <c r="CW67" s="373">
        <v>10640</v>
      </c>
      <c r="CX67" s="373">
        <v>10666</v>
      </c>
      <c r="CY67" s="373">
        <v>10653</v>
      </c>
      <c r="CZ67" s="373">
        <v>14168.14</v>
      </c>
      <c r="DA67" s="373">
        <v>12007.08</v>
      </c>
      <c r="DB67" s="373">
        <v>10563.23</v>
      </c>
      <c r="DC67" s="373">
        <v>11117</v>
      </c>
      <c r="DD67" s="373">
        <v>11151</v>
      </c>
      <c r="DE67" s="373">
        <v>11178.56</v>
      </c>
      <c r="DF67" s="373">
        <v>10645</v>
      </c>
      <c r="DG67" s="373">
        <v>11073</v>
      </c>
      <c r="DH67" s="373">
        <v>11073</v>
      </c>
      <c r="DI67" s="375">
        <f t="shared" si="99"/>
        <v>134935.01</v>
      </c>
      <c r="DJ67" s="320"/>
      <c r="DK67" s="373">
        <v>9517.56</v>
      </c>
      <c r="DL67" s="373">
        <v>9414.66</v>
      </c>
      <c r="DM67" s="373">
        <v>8940</v>
      </c>
      <c r="DN67" s="373">
        <v>9045</v>
      </c>
      <c r="DO67" s="373">
        <v>8957</v>
      </c>
      <c r="DP67" s="373">
        <v>8940</v>
      </c>
      <c r="DQ67" s="373">
        <v>8940</v>
      </c>
      <c r="DR67" s="373">
        <v>10356.66</v>
      </c>
      <c r="DS67" s="373">
        <v>10738</v>
      </c>
      <c r="DT67" s="373">
        <v>12038.45</v>
      </c>
      <c r="DU67" s="373">
        <v>11387.16</v>
      </c>
      <c r="DV67" s="373">
        <v>11284.91</v>
      </c>
      <c r="DW67" s="375">
        <f t="shared" si="101"/>
        <v>119559.40000000001</v>
      </c>
      <c r="DY67" s="373">
        <v>0</v>
      </c>
      <c r="DZ67" s="373">
        <v>17000</v>
      </c>
      <c r="EA67" s="373">
        <v>8500</v>
      </c>
      <c r="EB67" s="373">
        <v>8513</v>
      </c>
      <c r="EC67" s="373">
        <v>8500</v>
      </c>
      <c r="ED67" s="373">
        <v>9151.7100000000009</v>
      </c>
      <c r="EE67" s="373">
        <v>8940</v>
      </c>
      <c r="EF67" s="373">
        <v>8992</v>
      </c>
      <c r="EG67" s="373">
        <v>9044</v>
      </c>
      <c r="EH67" s="373">
        <v>9268.2900000000009</v>
      </c>
      <c r="EI67" s="373">
        <v>9309.81</v>
      </c>
      <c r="EJ67" s="373">
        <v>8940</v>
      </c>
      <c r="EK67" s="375">
        <f t="shared" si="94"/>
        <v>106158.81</v>
      </c>
      <c r="EL67" s="177"/>
      <c r="EM67" s="373">
        <v>0</v>
      </c>
      <c r="EN67" s="373">
        <v>0</v>
      </c>
      <c r="EO67" s="373">
        <v>0</v>
      </c>
      <c r="EP67" s="373">
        <v>0</v>
      </c>
      <c r="EQ67" s="373">
        <v>52</v>
      </c>
      <c r="ER67" s="373">
        <v>288.78999999999996</v>
      </c>
      <c r="ES67" s="373">
        <v>0</v>
      </c>
      <c r="ET67" s="373">
        <v>0</v>
      </c>
      <c r="EU67" s="373">
        <v>15623.34</v>
      </c>
      <c r="EV67" s="373">
        <v>0</v>
      </c>
      <c r="EW67" s="373">
        <v>17000</v>
      </c>
      <c r="EX67" s="373">
        <v>8895.17</v>
      </c>
      <c r="EY67" s="375">
        <f t="shared" si="96"/>
        <v>41859.300000000003</v>
      </c>
      <c r="EZ67" s="164"/>
      <c r="FC67" s="185">
        <v>0</v>
      </c>
    </row>
    <row r="68" spans="1:161" ht="19.5" customHeight="1">
      <c r="A68" s="185" t="s">
        <v>329</v>
      </c>
      <c r="B68" s="176">
        <v>60311000</v>
      </c>
      <c r="C68" s="176" t="s">
        <v>109</v>
      </c>
      <c r="D68" s="176" t="s">
        <v>109</v>
      </c>
      <c r="E68" s="324"/>
      <c r="F68" s="320" t="s">
        <v>342</v>
      </c>
      <c r="G68" s="320"/>
      <c r="H68" s="417">
        <v>0</v>
      </c>
      <c r="I68" s="417">
        <v>0</v>
      </c>
      <c r="J68" s="417">
        <v>0</v>
      </c>
      <c r="K68" s="417">
        <v>0</v>
      </c>
      <c r="L68" s="417">
        <v>0</v>
      </c>
      <c r="M68" s="417">
        <v>0</v>
      </c>
      <c r="N68" s="417">
        <v>0</v>
      </c>
      <c r="O68" s="417">
        <v>0</v>
      </c>
      <c r="P68" s="417">
        <v>0</v>
      </c>
      <c r="Q68" s="819">
        <v>0</v>
      </c>
      <c r="R68" s="417">
        <v>0</v>
      </c>
      <c r="S68" s="417">
        <v>0</v>
      </c>
      <c r="T68" s="402"/>
      <c r="U68" s="366">
        <f t="shared" si="81"/>
        <v>0</v>
      </c>
      <c r="V68" s="165" t="e">
        <f t="shared" si="82"/>
        <v>#DIV/0!</v>
      </c>
      <c r="W68" s="212"/>
      <c r="X68" s="417">
        <v>0</v>
      </c>
      <c r="Y68" s="417">
        <v>0</v>
      </c>
      <c r="Z68" s="417">
        <v>0</v>
      </c>
      <c r="AA68" s="417">
        <v>0</v>
      </c>
      <c r="AB68" s="417">
        <v>0</v>
      </c>
      <c r="AC68" s="417">
        <v>0</v>
      </c>
      <c r="AD68" s="417">
        <v>0</v>
      </c>
      <c r="AE68" s="417">
        <v>0</v>
      </c>
      <c r="AF68" s="417">
        <v>0</v>
      </c>
      <c r="AG68" s="819">
        <v>0</v>
      </c>
      <c r="AH68" s="417">
        <v>0</v>
      </c>
      <c r="AI68" s="417">
        <v>0</v>
      </c>
      <c r="AJ68" s="375">
        <f t="shared" si="83"/>
        <v>0</v>
      </c>
      <c r="AK68" s="212"/>
      <c r="AL68" s="417">
        <v>0</v>
      </c>
      <c r="AM68" s="417">
        <v>0</v>
      </c>
      <c r="AN68" s="417">
        <v>0</v>
      </c>
      <c r="AO68" s="417">
        <v>0</v>
      </c>
      <c r="AP68" s="417">
        <v>0</v>
      </c>
      <c r="AQ68" s="417">
        <v>0</v>
      </c>
      <c r="AR68" s="417">
        <v>0</v>
      </c>
      <c r="AS68" s="417">
        <v>0</v>
      </c>
      <c r="AT68" s="417">
        <v>0</v>
      </c>
      <c r="AU68" s="819">
        <v>0</v>
      </c>
      <c r="AV68" s="417">
        <v>0</v>
      </c>
      <c r="AW68" s="417">
        <v>0</v>
      </c>
      <c r="AX68" s="375">
        <f t="shared" si="100"/>
        <v>0</v>
      </c>
      <c r="AY68" s="366">
        <f t="shared" si="85"/>
        <v>0</v>
      </c>
      <c r="AZ68" s="165" t="e">
        <f t="shared" si="86"/>
        <v>#DIV/0!</v>
      </c>
      <c r="BA68" s="212"/>
      <c r="BB68" s="417">
        <v>0</v>
      </c>
      <c r="BC68" s="417">
        <v>0</v>
      </c>
      <c r="BD68" s="417">
        <v>0</v>
      </c>
      <c r="BE68" s="417">
        <v>0</v>
      </c>
      <c r="BF68" s="417">
        <v>0</v>
      </c>
      <c r="BG68" s="417">
        <v>0</v>
      </c>
      <c r="BH68" s="417">
        <v>0</v>
      </c>
      <c r="BI68" s="417">
        <v>0</v>
      </c>
      <c r="BJ68" s="417">
        <v>0</v>
      </c>
      <c r="BK68" s="819">
        <v>0</v>
      </c>
      <c r="BL68" s="417">
        <v>0</v>
      </c>
      <c r="BM68" s="417">
        <v>0</v>
      </c>
      <c r="BN68" s="375">
        <v>0</v>
      </c>
      <c r="BO68" s="212"/>
      <c r="BP68" s="818">
        <v>2098</v>
      </c>
      <c r="BQ68" s="818">
        <v>0</v>
      </c>
      <c r="BR68" s="818">
        <v>0</v>
      </c>
      <c r="BS68" s="818">
        <v>0</v>
      </c>
      <c r="BT68" s="818">
        <v>0</v>
      </c>
      <c r="BU68" s="818">
        <v>0</v>
      </c>
      <c r="BV68" s="818">
        <v>0</v>
      </c>
      <c r="BW68" s="818">
        <v>0</v>
      </c>
      <c r="BX68" s="818">
        <v>0</v>
      </c>
      <c r="BY68" s="818">
        <v>0</v>
      </c>
      <c r="BZ68" s="818">
        <v>0</v>
      </c>
      <c r="CA68" s="818">
        <v>0</v>
      </c>
      <c r="CB68" s="375">
        <f t="shared" si="87"/>
        <v>2098</v>
      </c>
      <c r="CC68" s="366">
        <f t="shared" si="88"/>
        <v>2098</v>
      </c>
      <c r="CD68" s="165">
        <f t="shared" si="89"/>
        <v>1</v>
      </c>
      <c r="CE68" s="367"/>
      <c r="CF68" s="373">
        <v>0</v>
      </c>
      <c r="CG68" s="373">
        <v>0</v>
      </c>
      <c r="CH68" s="373">
        <v>0</v>
      </c>
      <c r="CI68" s="373">
        <v>0</v>
      </c>
      <c r="CJ68" s="373">
        <v>0</v>
      </c>
      <c r="CK68" s="373">
        <v>0</v>
      </c>
      <c r="CL68" s="373">
        <v>0</v>
      </c>
      <c r="CM68" s="373">
        <v>0</v>
      </c>
      <c r="CN68" s="373">
        <v>0</v>
      </c>
      <c r="CO68" s="373">
        <v>0</v>
      </c>
      <c r="CP68" s="373">
        <v>0</v>
      </c>
      <c r="CQ68" s="373">
        <v>0</v>
      </c>
      <c r="CR68" s="376"/>
      <c r="CS68" s="375">
        <f t="shared" si="90"/>
        <v>0</v>
      </c>
      <c r="CT68" s="378">
        <f t="shared" si="95"/>
        <v>0</v>
      </c>
      <c r="CU68" s="165" t="str">
        <f t="shared" si="91"/>
        <v>N/A</v>
      </c>
      <c r="CV68" s="320"/>
      <c r="CW68" s="373">
        <v>1433.21</v>
      </c>
      <c r="CX68" s="373">
        <v>0</v>
      </c>
      <c r="CY68" s="373">
        <v>0</v>
      </c>
      <c r="CZ68" s="373">
        <v>0</v>
      </c>
      <c r="DA68" s="373">
        <v>0</v>
      </c>
      <c r="DB68" s="373">
        <v>0</v>
      </c>
      <c r="DC68" s="373">
        <v>0</v>
      </c>
      <c r="DD68" s="373">
        <v>0</v>
      </c>
      <c r="DE68" s="373">
        <v>0</v>
      </c>
      <c r="DF68" s="373">
        <v>0</v>
      </c>
      <c r="DG68" s="373">
        <v>0</v>
      </c>
      <c r="DH68" s="373">
        <v>0</v>
      </c>
      <c r="DI68" s="375">
        <f t="shared" si="99"/>
        <v>1433.21</v>
      </c>
      <c r="DJ68" s="320"/>
      <c r="DK68" s="373">
        <v>0</v>
      </c>
      <c r="DL68" s="373">
        <v>0</v>
      </c>
      <c r="DM68" s="373">
        <v>0</v>
      </c>
      <c r="DN68" s="373">
        <v>0</v>
      </c>
      <c r="DO68" s="373">
        <v>0</v>
      </c>
      <c r="DP68" s="373">
        <v>0</v>
      </c>
      <c r="DQ68" s="373">
        <v>0</v>
      </c>
      <c r="DR68" s="373">
        <v>0</v>
      </c>
      <c r="DS68" s="373">
        <v>0</v>
      </c>
      <c r="DT68" s="373">
        <v>0</v>
      </c>
      <c r="DU68" s="373">
        <v>0</v>
      </c>
      <c r="DV68" s="373">
        <v>0</v>
      </c>
      <c r="DW68" s="375">
        <f t="shared" si="101"/>
        <v>0</v>
      </c>
      <c r="DY68" s="373">
        <v>0</v>
      </c>
      <c r="DZ68" s="373">
        <v>0</v>
      </c>
      <c r="EA68" s="373">
        <v>0</v>
      </c>
      <c r="EB68" s="373">
        <v>0</v>
      </c>
      <c r="EC68" s="373">
        <v>0</v>
      </c>
      <c r="ED68" s="373">
        <v>0</v>
      </c>
      <c r="EE68" s="373">
        <v>0</v>
      </c>
      <c r="EF68" s="373">
        <v>0</v>
      </c>
      <c r="EG68" s="373">
        <v>0</v>
      </c>
      <c r="EH68" s="373">
        <v>0</v>
      </c>
      <c r="EI68" s="373">
        <v>1415</v>
      </c>
      <c r="EJ68" s="373">
        <v>0</v>
      </c>
      <c r="EK68" s="375">
        <f t="shared" si="94"/>
        <v>1415</v>
      </c>
      <c r="EL68" s="177"/>
      <c r="EM68" s="373">
        <v>0</v>
      </c>
      <c r="EN68" s="373">
        <v>0</v>
      </c>
      <c r="EO68" s="373">
        <v>0</v>
      </c>
      <c r="EP68" s="373">
        <v>0</v>
      </c>
      <c r="EQ68" s="373">
        <v>0</v>
      </c>
      <c r="ER68" s="373">
        <v>1447.04</v>
      </c>
      <c r="ES68" s="373">
        <v>0</v>
      </c>
      <c r="ET68" s="373">
        <v>0</v>
      </c>
      <c r="EU68" s="373">
        <v>0</v>
      </c>
      <c r="EV68" s="373">
        <v>0</v>
      </c>
      <c r="EW68" s="373">
        <v>0</v>
      </c>
      <c r="EX68" s="373">
        <v>0</v>
      </c>
      <c r="EY68" s="375">
        <f t="shared" si="96"/>
        <v>1447.04</v>
      </c>
      <c r="EZ68" s="164"/>
      <c r="FC68" s="185">
        <v>0</v>
      </c>
    </row>
    <row r="69" spans="1:161" ht="18.75" customHeight="1">
      <c r="A69" s="185" t="s">
        <v>329</v>
      </c>
      <c r="B69" s="176">
        <v>60312000</v>
      </c>
      <c r="C69" s="176" t="s">
        <v>109</v>
      </c>
      <c r="D69" s="176" t="s">
        <v>109</v>
      </c>
      <c r="E69" s="324"/>
      <c r="F69" s="320" t="s">
        <v>343</v>
      </c>
      <c r="G69" s="320"/>
      <c r="H69" s="417">
        <v>0</v>
      </c>
      <c r="I69" s="417">
        <v>0</v>
      </c>
      <c r="J69" s="417">
        <v>0</v>
      </c>
      <c r="K69" s="417">
        <v>0</v>
      </c>
      <c r="L69" s="417">
        <v>0</v>
      </c>
      <c r="M69" s="417">
        <v>0</v>
      </c>
      <c r="N69" s="417">
        <v>0</v>
      </c>
      <c r="O69" s="417">
        <v>0</v>
      </c>
      <c r="P69" s="417">
        <v>0</v>
      </c>
      <c r="Q69" s="819">
        <v>0</v>
      </c>
      <c r="R69" s="417">
        <v>0</v>
      </c>
      <c r="S69" s="417">
        <v>0</v>
      </c>
      <c r="T69" s="402"/>
      <c r="U69" s="366">
        <f t="shared" si="81"/>
        <v>0</v>
      </c>
      <c r="V69" s="165" t="e">
        <f t="shared" si="82"/>
        <v>#DIV/0!</v>
      </c>
      <c r="W69" s="212"/>
      <c r="X69" s="417">
        <v>0</v>
      </c>
      <c r="Y69" s="417">
        <v>0</v>
      </c>
      <c r="Z69" s="417">
        <v>0</v>
      </c>
      <c r="AA69" s="417">
        <v>0</v>
      </c>
      <c r="AB69" s="417">
        <v>0</v>
      </c>
      <c r="AC69" s="417">
        <v>0</v>
      </c>
      <c r="AD69" s="417">
        <v>0</v>
      </c>
      <c r="AE69" s="417">
        <v>0</v>
      </c>
      <c r="AF69" s="417">
        <v>0</v>
      </c>
      <c r="AG69" s="819">
        <v>0</v>
      </c>
      <c r="AH69" s="417">
        <v>0</v>
      </c>
      <c r="AI69" s="417">
        <v>0</v>
      </c>
      <c r="AJ69" s="375">
        <f t="shared" si="83"/>
        <v>0</v>
      </c>
      <c r="AK69" s="212"/>
      <c r="AL69" s="417">
        <v>0</v>
      </c>
      <c r="AM69" s="417">
        <v>0</v>
      </c>
      <c r="AN69" s="417">
        <v>0</v>
      </c>
      <c r="AO69" s="417">
        <v>0</v>
      </c>
      <c r="AP69" s="417">
        <v>0</v>
      </c>
      <c r="AQ69" s="417">
        <v>0</v>
      </c>
      <c r="AR69" s="417">
        <v>0</v>
      </c>
      <c r="AS69" s="417">
        <v>0</v>
      </c>
      <c r="AT69" s="417">
        <v>0</v>
      </c>
      <c r="AU69" s="819">
        <v>0</v>
      </c>
      <c r="AV69" s="417">
        <v>0</v>
      </c>
      <c r="AW69" s="417">
        <v>0</v>
      </c>
      <c r="AX69" s="375">
        <f t="shared" si="100"/>
        <v>0</v>
      </c>
      <c r="AY69" s="366">
        <f t="shared" si="85"/>
        <v>0</v>
      </c>
      <c r="AZ69" s="165" t="e">
        <f t="shared" si="86"/>
        <v>#DIV/0!</v>
      </c>
      <c r="BA69" s="212"/>
      <c r="BB69" s="417">
        <v>0</v>
      </c>
      <c r="BC69" s="417">
        <v>0</v>
      </c>
      <c r="BD69" s="417">
        <v>0</v>
      </c>
      <c r="BE69" s="417">
        <v>0</v>
      </c>
      <c r="BF69" s="417">
        <v>0</v>
      </c>
      <c r="BG69" s="417">
        <v>0</v>
      </c>
      <c r="BH69" s="417">
        <v>0</v>
      </c>
      <c r="BI69" s="417">
        <v>0</v>
      </c>
      <c r="BJ69" s="417">
        <v>0</v>
      </c>
      <c r="BK69" s="819">
        <v>0</v>
      </c>
      <c r="BL69" s="417">
        <v>0</v>
      </c>
      <c r="BM69" s="417">
        <v>0</v>
      </c>
      <c r="BN69" s="375">
        <v>0</v>
      </c>
      <c r="BO69" s="212"/>
      <c r="BP69" s="818">
        <v>0</v>
      </c>
      <c r="BQ69" s="818">
        <v>0</v>
      </c>
      <c r="BR69" s="818">
        <v>0</v>
      </c>
      <c r="BS69" s="818">
        <v>0</v>
      </c>
      <c r="BT69" s="818">
        <v>0</v>
      </c>
      <c r="BU69" s="818">
        <v>0</v>
      </c>
      <c r="BV69" s="818">
        <v>0</v>
      </c>
      <c r="BW69" s="818">
        <v>0</v>
      </c>
      <c r="BX69" s="818">
        <v>0</v>
      </c>
      <c r="BY69" s="818">
        <v>0</v>
      </c>
      <c r="BZ69" s="818">
        <v>0</v>
      </c>
      <c r="CA69" s="818">
        <v>0</v>
      </c>
      <c r="CB69" s="375">
        <f t="shared" si="87"/>
        <v>0</v>
      </c>
      <c r="CC69" s="366">
        <f t="shared" si="88"/>
        <v>0</v>
      </c>
      <c r="CD69" s="165" t="str">
        <f t="shared" si="89"/>
        <v>N/A</v>
      </c>
      <c r="CE69" s="367"/>
      <c r="CF69" s="373">
        <v>0</v>
      </c>
      <c r="CG69" s="373">
        <v>4834.63</v>
      </c>
      <c r="CH69" s="373">
        <v>0</v>
      </c>
      <c r="CI69" s="373">
        <v>0</v>
      </c>
      <c r="CJ69" s="373">
        <v>0</v>
      </c>
      <c r="CK69" s="373">
        <v>0</v>
      </c>
      <c r="CL69" s="373">
        <v>0</v>
      </c>
      <c r="CM69" s="373">
        <v>0</v>
      </c>
      <c r="CN69" s="373">
        <v>0</v>
      </c>
      <c r="CO69" s="373">
        <v>0</v>
      </c>
      <c r="CP69" s="373">
        <v>0</v>
      </c>
      <c r="CQ69" s="373">
        <v>0</v>
      </c>
      <c r="CR69" s="376"/>
      <c r="CS69" s="375">
        <f t="shared" si="90"/>
        <v>4834.63</v>
      </c>
      <c r="CT69" s="378">
        <f t="shared" si="95"/>
        <v>4834.63</v>
      </c>
      <c r="CU69" s="165">
        <f t="shared" si="91"/>
        <v>1</v>
      </c>
      <c r="CV69" s="320"/>
      <c r="CW69" s="373">
        <v>408.36</v>
      </c>
      <c r="CX69" s="373">
        <v>0</v>
      </c>
      <c r="CY69" s="373">
        <v>7566.29</v>
      </c>
      <c r="CZ69" s="373">
        <v>560</v>
      </c>
      <c r="DA69" s="373">
        <v>0</v>
      </c>
      <c r="DB69" s="373">
        <v>0</v>
      </c>
      <c r="DC69" s="373">
        <v>0</v>
      </c>
      <c r="DD69" s="373">
        <v>990.73</v>
      </c>
      <c r="DE69" s="373">
        <v>0</v>
      </c>
      <c r="DF69" s="373">
        <v>0</v>
      </c>
      <c r="DG69" s="373">
        <v>0</v>
      </c>
      <c r="DH69" s="373">
        <v>0</v>
      </c>
      <c r="DI69" s="375">
        <f t="shared" si="99"/>
        <v>9525.3799999999992</v>
      </c>
      <c r="DJ69" s="320"/>
      <c r="DK69" s="373">
        <v>540</v>
      </c>
      <c r="DL69" s="373">
        <v>880</v>
      </c>
      <c r="DM69" s="373">
        <v>680</v>
      </c>
      <c r="DN69" s="373">
        <v>0</v>
      </c>
      <c r="DO69" s="373">
        <v>360</v>
      </c>
      <c r="DP69" s="373">
        <v>360</v>
      </c>
      <c r="DQ69" s="373">
        <v>22836.68</v>
      </c>
      <c r="DR69" s="373">
        <v>310</v>
      </c>
      <c r="DS69" s="373">
        <v>720</v>
      </c>
      <c r="DT69" s="373">
        <v>0</v>
      </c>
      <c r="DU69" s="373">
        <v>36792.75</v>
      </c>
      <c r="DV69" s="373">
        <v>0</v>
      </c>
      <c r="DW69" s="375">
        <f t="shared" si="101"/>
        <v>63479.43</v>
      </c>
      <c r="DY69" s="373">
        <v>380.00000000000006</v>
      </c>
      <c r="DZ69" s="373">
        <v>0</v>
      </c>
      <c r="EA69" s="373">
        <v>0</v>
      </c>
      <c r="EB69" s="373">
        <v>360</v>
      </c>
      <c r="EC69" s="373">
        <v>540</v>
      </c>
      <c r="ED69" s="373">
        <v>180</v>
      </c>
      <c r="EE69" s="373">
        <v>180</v>
      </c>
      <c r="EF69" s="373">
        <v>180</v>
      </c>
      <c r="EG69" s="373">
        <v>0</v>
      </c>
      <c r="EH69" s="373">
        <v>680</v>
      </c>
      <c r="EI69" s="373">
        <v>540</v>
      </c>
      <c r="EJ69" s="373">
        <v>0</v>
      </c>
      <c r="EK69" s="375">
        <f t="shared" si="94"/>
        <v>3040</v>
      </c>
      <c r="EL69" s="177"/>
      <c r="EM69" s="373">
        <v>0</v>
      </c>
      <c r="EN69" s="373">
        <v>0</v>
      </c>
      <c r="EO69" s="373">
        <v>0</v>
      </c>
      <c r="EP69" s="373">
        <v>300</v>
      </c>
      <c r="EQ69" s="373">
        <v>0</v>
      </c>
      <c r="ER69" s="373">
        <v>0</v>
      </c>
      <c r="ES69" s="373">
        <v>0</v>
      </c>
      <c r="ET69" s="373">
        <v>0</v>
      </c>
      <c r="EU69" s="373">
        <v>0</v>
      </c>
      <c r="EV69" s="373">
        <v>0</v>
      </c>
      <c r="EW69" s="373">
        <v>180</v>
      </c>
      <c r="EX69" s="373">
        <v>0</v>
      </c>
      <c r="EY69" s="375">
        <f t="shared" si="96"/>
        <v>480</v>
      </c>
      <c r="EZ69" s="164"/>
      <c r="FC69" s="185">
        <v>0</v>
      </c>
    </row>
    <row r="70" spans="1:161" ht="18.75" hidden="1" customHeight="1" outlineLevel="1">
      <c r="A70" s="185" t="s">
        <v>329</v>
      </c>
      <c r="B70" s="176">
        <v>60313000</v>
      </c>
      <c r="C70" s="176" t="s">
        <v>109</v>
      </c>
      <c r="D70" s="176" t="s">
        <v>109</v>
      </c>
      <c r="E70" s="324"/>
      <c r="F70" s="320" t="s">
        <v>348</v>
      </c>
      <c r="G70" s="320"/>
      <c r="H70" s="417">
        <v>0</v>
      </c>
      <c r="I70" s="417">
        <v>0</v>
      </c>
      <c r="J70" s="417">
        <v>0</v>
      </c>
      <c r="K70" s="417">
        <v>0</v>
      </c>
      <c r="L70" s="417">
        <v>0</v>
      </c>
      <c r="M70" s="417">
        <v>0</v>
      </c>
      <c r="N70" s="417">
        <v>0</v>
      </c>
      <c r="O70" s="417">
        <v>0</v>
      </c>
      <c r="P70" s="417">
        <v>0</v>
      </c>
      <c r="Q70" s="819">
        <v>0</v>
      </c>
      <c r="R70" s="417">
        <v>0</v>
      </c>
      <c r="S70" s="417">
        <v>0</v>
      </c>
      <c r="T70" s="402"/>
      <c r="U70" s="366">
        <f t="shared" si="81"/>
        <v>0</v>
      </c>
      <c r="V70" s="165" t="e">
        <f t="shared" si="82"/>
        <v>#DIV/0!</v>
      </c>
      <c r="W70" s="212"/>
      <c r="X70" s="417">
        <v>0</v>
      </c>
      <c r="Y70" s="417">
        <v>0</v>
      </c>
      <c r="Z70" s="417">
        <v>0</v>
      </c>
      <c r="AA70" s="417">
        <v>0</v>
      </c>
      <c r="AB70" s="417">
        <v>0</v>
      </c>
      <c r="AC70" s="417">
        <v>0</v>
      </c>
      <c r="AD70" s="417">
        <v>0</v>
      </c>
      <c r="AE70" s="417">
        <v>0</v>
      </c>
      <c r="AF70" s="417">
        <v>0</v>
      </c>
      <c r="AG70" s="819">
        <v>0</v>
      </c>
      <c r="AH70" s="417">
        <v>0</v>
      </c>
      <c r="AI70" s="417">
        <v>0</v>
      </c>
      <c r="AJ70" s="375">
        <f t="shared" si="83"/>
        <v>0</v>
      </c>
      <c r="AK70" s="212"/>
      <c r="AL70" s="417">
        <v>0</v>
      </c>
      <c r="AM70" s="417">
        <v>0</v>
      </c>
      <c r="AN70" s="417">
        <v>0</v>
      </c>
      <c r="AO70" s="417">
        <v>0</v>
      </c>
      <c r="AP70" s="417">
        <v>0</v>
      </c>
      <c r="AQ70" s="417">
        <v>0</v>
      </c>
      <c r="AR70" s="417">
        <v>0</v>
      </c>
      <c r="AS70" s="417">
        <v>0</v>
      </c>
      <c r="AT70" s="417">
        <v>0</v>
      </c>
      <c r="AU70" s="819">
        <v>0</v>
      </c>
      <c r="AV70" s="417">
        <v>0</v>
      </c>
      <c r="AW70" s="417">
        <v>0</v>
      </c>
      <c r="AX70" s="375">
        <f t="shared" si="100"/>
        <v>0</v>
      </c>
      <c r="AY70" s="366">
        <f t="shared" si="85"/>
        <v>0</v>
      </c>
      <c r="AZ70" s="165" t="e">
        <f t="shared" si="86"/>
        <v>#DIV/0!</v>
      </c>
      <c r="BA70" s="212"/>
      <c r="BB70" s="417">
        <v>0</v>
      </c>
      <c r="BC70" s="417">
        <v>0</v>
      </c>
      <c r="BD70" s="417">
        <v>0</v>
      </c>
      <c r="BE70" s="417">
        <v>0</v>
      </c>
      <c r="BF70" s="417">
        <v>0</v>
      </c>
      <c r="BG70" s="417">
        <v>0</v>
      </c>
      <c r="BH70" s="417">
        <v>0</v>
      </c>
      <c r="BI70" s="417">
        <v>0</v>
      </c>
      <c r="BJ70" s="417">
        <v>0</v>
      </c>
      <c r="BK70" s="819">
        <v>0</v>
      </c>
      <c r="BL70" s="417">
        <v>0</v>
      </c>
      <c r="BM70" s="417">
        <v>0</v>
      </c>
      <c r="BN70" s="375">
        <v>0</v>
      </c>
      <c r="BO70" s="212"/>
      <c r="BP70" s="818">
        <v>0</v>
      </c>
      <c r="BQ70" s="818">
        <v>0</v>
      </c>
      <c r="BR70" s="818">
        <v>0</v>
      </c>
      <c r="BS70" s="818">
        <v>0</v>
      </c>
      <c r="BT70" s="818">
        <v>0</v>
      </c>
      <c r="BU70" s="818">
        <v>0</v>
      </c>
      <c r="BV70" s="818">
        <v>0</v>
      </c>
      <c r="BW70" s="818">
        <v>0</v>
      </c>
      <c r="BX70" s="818">
        <v>0</v>
      </c>
      <c r="BY70" s="818">
        <v>0</v>
      </c>
      <c r="BZ70" s="818">
        <v>0</v>
      </c>
      <c r="CA70" s="818">
        <v>0</v>
      </c>
      <c r="CB70" s="375">
        <f t="shared" si="87"/>
        <v>0</v>
      </c>
      <c r="CC70" s="366">
        <f t="shared" si="88"/>
        <v>0</v>
      </c>
      <c r="CD70" s="165" t="str">
        <f t="shared" si="89"/>
        <v>N/A</v>
      </c>
      <c r="CE70" s="367"/>
      <c r="CF70" s="373">
        <v>0</v>
      </c>
      <c r="CG70" s="373">
        <v>0</v>
      </c>
      <c r="CH70" s="373">
        <v>0</v>
      </c>
      <c r="CI70" s="373">
        <v>0</v>
      </c>
      <c r="CJ70" s="373">
        <v>0</v>
      </c>
      <c r="CK70" s="373">
        <v>0</v>
      </c>
      <c r="CL70" s="373">
        <v>0</v>
      </c>
      <c r="CM70" s="373">
        <v>0</v>
      </c>
      <c r="CN70" s="373">
        <v>0</v>
      </c>
      <c r="CO70" s="373">
        <v>0</v>
      </c>
      <c r="CP70" s="373">
        <v>0</v>
      </c>
      <c r="CQ70" s="373">
        <v>0</v>
      </c>
      <c r="CR70" s="376"/>
      <c r="CS70" s="375">
        <f t="shared" si="90"/>
        <v>0</v>
      </c>
      <c r="CT70" s="378">
        <f t="shared" si="95"/>
        <v>0</v>
      </c>
      <c r="CU70" s="165" t="str">
        <f t="shared" si="91"/>
        <v>N/A</v>
      </c>
      <c r="CV70" s="320"/>
      <c r="CW70" s="373">
        <v>0</v>
      </c>
      <c r="CX70" s="373">
        <v>0</v>
      </c>
      <c r="CY70" s="373">
        <v>0</v>
      </c>
      <c r="CZ70" s="373">
        <v>0</v>
      </c>
      <c r="DA70" s="373">
        <v>0</v>
      </c>
      <c r="DB70" s="373">
        <v>0</v>
      </c>
      <c r="DC70" s="373">
        <v>0</v>
      </c>
      <c r="DD70" s="373">
        <v>0</v>
      </c>
      <c r="DE70" s="373">
        <v>0</v>
      </c>
      <c r="DF70" s="373">
        <v>0</v>
      </c>
      <c r="DG70" s="373">
        <v>0</v>
      </c>
      <c r="DH70" s="373">
        <v>0</v>
      </c>
      <c r="DI70" s="375">
        <f t="shared" si="99"/>
        <v>0</v>
      </c>
      <c r="DJ70" s="320"/>
      <c r="DK70" s="373"/>
      <c r="DL70" s="373"/>
      <c r="DM70" s="373"/>
      <c r="DN70" s="373"/>
      <c r="DO70" s="373"/>
      <c r="DP70" s="373"/>
      <c r="DQ70" s="373"/>
      <c r="DR70" s="373"/>
      <c r="DS70" s="373"/>
      <c r="DT70" s="373"/>
      <c r="DU70" s="373"/>
      <c r="DV70" s="373"/>
      <c r="DW70" s="375">
        <f t="shared" si="101"/>
        <v>0</v>
      </c>
      <c r="DY70" s="373"/>
      <c r="DZ70" s="373"/>
      <c r="EA70" s="373"/>
      <c r="EB70" s="373"/>
      <c r="EC70" s="373"/>
      <c r="ED70" s="373"/>
      <c r="EE70" s="373"/>
      <c r="EF70" s="373"/>
      <c r="EG70" s="373"/>
      <c r="EH70" s="373"/>
      <c r="EI70" s="373"/>
      <c r="EJ70" s="373"/>
      <c r="EK70" s="375">
        <f t="shared" si="94"/>
        <v>0</v>
      </c>
      <c r="EL70" s="177"/>
      <c r="EM70" s="373"/>
      <c r="EN70" s="373"/>
      <c r="EO70" s="373"/>
      <c r="EP70" s="373"/>
      <c r="EQ70" s="373"/>
      <c r="ER70" s="373"/>
      <c r="ES70" s="373"/>
      <c r="ET70" s="373"/>
      <c r="EU70" s="373"/>
      <c r="EV70" s="373"/>
      <c r="EW70" s="373"/>
      <c r="EX70" s="373"/>
      <c r="EY70" s="375">
        <f t="shared" si="96"/>
        <v>0</v>
      </c>
      <c r="EZ70" s="164"/>
      <c r="FC70" s="185">
        <v>0</v>
      </c>
    </row>
    <row r="71" spans="1:161" ht="18.75" customHeight="1" collapsed="1">
      <c r="A71" s="185" t="s">
        <v>349</v>
      </c>
      <c r="B71" s="176">
        <v>60314000</v>
      </c>
      <c r="C71" s="176" t="s">
        <v>109</v>
      </c>
      <c r="D71" s="176" t="s">
        <v>324</v>
      </c>
      <c r="E71" s="324"/>
      <c r="F71" s="320" t="s">
        <v>349</v>
      </c>
      <c r="G71" s="320"/>
      <c r="H71" s="417">
        <v>0</v>
      </c>
      <c r="I71" s="417">
        <v>0</v>
      </c>
      <c r="J71" s="417">
        <v>0</v>
      </c>
      <c r="K71" s="417">
        <v>0</v>
      </c>
      <c r="L71" s="417">
        <v>0</v>
      </c>
      <c r="M71" s="417">
        <v>0</v>
      </c>
      <c r="N71" s="417">
        <v>0</v>
      </c>
      <c r="O71" s="417">
        <v>0</v>
      </c>
      <c r="P71" s="417">
        <v>0</v>
      </c>
      <c r="Q71" s="819">
        <v>0</v>
      </c>
      <c r="R71" s="417">
        <v>0</v>
      </c>
      <c r="S71" s="417">
        <v>200000</v>
      </c>
      <c r="T71" s="402"/>
      <c r="U71" s="366">
        <f t="shared" si="81"/>
        <v>0</v>
      </c>
      <c r="V71" s="165" t="e">
        <f t="shared" si="82"/>
        <v>#DIV/0!</v>
      </c>
      <c r="W71" s="212"/>
      <c r="X71" s="417">
        <v>0</v>
      </c>
      <c r="Y71" s="417">
        <v>0</v>
      </c>
      <c r="Z71" s="417">
        <v>0</v>
      </c>
      <c r="AA71" s="417">
        <v>0</v>
      </c>
      <c r="AB71" s="417">
        <v>0</v>
      </c>
      <c r="AC71" s="417">
        <v>0</v>
      </c>
      <c r="AD71" s="417">
        <v>0</v>
      </c>
      <c r="AE71" s="417">
        <v>0</v>
      </c>
      <c r="AF71" s="417">
        <v>0</v>
      </c>
      <c r="AG71" s="819">
        <v>0</v>
      </c>
      <c r="AH71" s="417">
        <v>0</v>
      </c>
      <c r="AI71" s="417">
        <v>0</v>
      </c>
      <c r="AJ71" s="375">
        <f t="shared" si="83"/>
        <v>0</v>
      </c>
      <c r="AK71" s="212"/>
      <c r="AL71" s="417">
        <v>0</v>
      </c>
      <c r="AM71" s="417">
        <v>0</v>
      </c>
      <c r="AN71" s="417">
        <v>0</v>
      </c>
      <c r="AO71" s="417">
        <v>0</v>
      </c>
      <c r="AP71" s="417">
        <v>0</v>
      </c>
      <c r="AQ71" s="417">
        <v>0</v>
      </c>
      <c r="AR71" s="417">
        <v>0</v>
      </c>
      <c r="AS71" s="417">
        <v>0</v>
      </c>
      <c r="AT71" s="417">
        <v>0</v>
      </c>
      <c r="AU71" s="819">
        <v>0</v>
      </c>
      <c r="AV71" s="417">
        <v>0</v>
      </c>
      <c r="AW71" s="417">
        <v>200000</v>
      </c>
      <c r="AX71" s="981">
        <f t="shared" si="100"/>
        <v>200000</v>
      </c>
      <c r="AY71" s="366">
        <f t="shared" si="85"/>
        <v>0</v>
      </c>
      <c r="AZ71" s="165">
        <f t="shared" si="86"/>
        <v>0</v>
      </c>
      <c r="BA71" s="212"/>
      <c r="BB71" s="417">
        <v>0</v>
      </c>
      <c r="BC71" s="417">
        <v>0</v>
      </c>
      <c r="BD71" s="417">
        <v>0</v>
      </c>
      <c r="BE71" s="417">
        <v>0</v>
      </c>
      <c r="BF71" s="417">
        <v>0</v>
      </c>
      <c r="BG71" s="417">
        <v>0</v>
      </c>
      <c r="BH71" s="417">
        <v>0</v>
      </c>
      <c r="BI71" s="417">
        <v>0</v>
      </c>
      <c r="BJ71" s="417">
        <v>0</v>
      </c>
      <c r="BK71" s="819">
        <v>0</v>
      </c>
      <c r="BL71" s="417">
        <v>0</v>
      </c>
      <c r="BM71" s="417">
        <v>20000</v>
      </c>
      <c r="BN71" s="375">
        <v>200000</v>
      </c>
      <c r="BO71" s="212"/>
      <c r="BP71" s="818">
        <v>0</v>
      </c>
      <c r="BQ71" s="818">
        <v>0</v>
      </c>
      <c r="BR71" s="818">
        <v>0</v>
      </c>
      <c r="BS71" s="818">
        <v>0</v>
      </c>
      <c r="BT71" s="818">
        <v>0</v>
      </c>
      <c r="BU71" s="818">
        <v>0</v>
      </c>
      <c r="BV71" s="818">
        <v>0</v>
      </c>
      <c r="BW71" s="818">
        <v>0</v>
      </c>
      <c r="BX71" s="818">
        <v>0</v>
      </c>
      <c r="BY71" s="818">
        <v>0</v>
      </c>
      <c r="BZ71" s="818">
        <v>0</v>
      </c>
      <c r="CA71" s="818">
        <v>0</v>
      </c>
      <c r="CB71" s="375">
        <f t="shared" si="87"/>
        <v>0</v>
      </c>
      <c r="CC71" s="366">
        <f t="shared" si="88"/>
        <v>-200000</v>
      </c>
      <c r="CD71" s="165" t="str">
        <f t="shared" si="89"/>
        <v>N/A</v>
      </c>
      <c r="CE71" s="367"/>
      <c r="CF71" s="373">
        <v>0</v>
      </c>
      <c r="CG71" s="373">
        <v>0</v>
      </c>
      <c r="CH71" s="373">
        <v>0</v>
      </c>
      <c r="CI71" s="373">
        <v>0</v>
      </c>
      <c r="CJ71" s="373">
        <v>0</v>
      </c>
      <c r="CK71" s="373">
        <v>0</v>
      </c>
      <c r="CL71" s="373">
        <v>0</v>
      </c>
      <c r="CM71" s="373">
        <v>0</v>
      </c>
      <c r="CN71" s="373">
        <v>0</v>
      </c>
      <c r="CO71" s="373">
        <v>0</v>
      </c>
      <c r="CP71" s="373">
        <v>0</v>
      </c>
      <c r="CQ71" s="373">
        <v>1778369.09</v>
      </c>
      <c r="CR71" s="376"/>
      <c r="CS71" s="375">
        <f t="shared" si="90"/>
        <v>1778369.09</v>
      </c>
      <c r="CT71" s="378">
        <f t="shared" si="95"/>
        <v>1578369.09</v>
      </c>
      <c r="CU71" s="165">
        <f t="shared" si="91"/>
        <v>0.88753740653465807</v>
      </c>
      <c r="CV71" s="320"/>
      <c r="CW71" s="373">
        <v>0</v>
      </c>
      <c r="CX71" s="373">
        <v>0</v>
      </c>
      <c r="CY71" s="373">
        <v>0</v>
      </c>
      <c r="CZ71" s="373">
        <v>0</v>
      </c>
      <c r="DA71" s="373">
        <v>0</v>
      </c>
      <c r="DB71" s="373">
        <v>0</v>
      </c>
      <c r="DC71" s="373">
        <v>107755.4</v>
      </c>
      <c r="DD71" s="373">
        <v>100000</v>
      </c>
      <c r="DE71" s="373">
        <v>52500</v>
      </c>
      <c r="DF71" s="373">
        <v>1015075.62</v>
      </c>
      <c r="DG71" s="373">
        <v>753</v>
      </c>
      <c r="DH71" s="373">
        <v>120000</v>
      </c>
      <c r="DI71" s="375">
        <f t="shared" si="99"/>
        <v>1396084.02</v>
      </c>
      <c r="DJ71" s="320"/>
      <c r="DK71" s="373">
        <v>0</v>
      </c>
      <c r="DL71" s="373">
        <v>0</v>
      </c>
      <c r="DM71" s="373">
        <v>0</v>
      </c>
      <c r="DN71" s="373">
        <v>0</v>
      </c>
      <c r="DO71" s="373">
        <v>0</v>
      </c>
      <c r="DP71" s="373">
        <v>0</v>
      </c>
      <c r="DQ71" s="373">
        <v>0</v>
      </c>
      <c r="DR71" s="373">
        <v>1752319</v>
      </c>
      <c r="DS71" s="373">
        <v>0</v>
      </c>
      <c r="DT71" s="373">
        <v>0</v>
      </c>
      <c r="DU71" s="373">
        <v>0</v>
      </c>
      <c r="DV71" s="373">
        <v>0</v>
      </c>
      <c r="DW71" s="375">
        <f t="shared" si="101"/>
        <v>1752319</v>
      </c>
      <c r="DY71" s="373">
        <v>0</v>
      </c>
      <c r="DZ71" s="373">
        <v>0</v>
      </c>
      <c r="EA71" s="373">
        <v>0</v>
      </c>
      <c r="EB71" s="373">
        <v>0</v>
      </c>
      <c r="EC71" s="373">
        <v>0</v>
      </c>
      <c r="ED71" s="373">
        <v>0</v>
      </c>
      <c r="EE71" s="373">
        <v>0</v>
      </c>
      <c r="EF71" s="373">
        <v>0</v>
      </c>
      <c r="EG71" s="373">
        <v>1475400</v>
      </c>
      <c r="EH71" s="373">
        <v>0</v>
      </c>
      <c r="EI71" s="373">
        <v>0</v>
      </c>
      <c r="EJ71" s="373">
        <v>0</v>
      </c>
      <c r="EK71" s="375">
        <f t="shared" si="94"/>
        <v>1475400</v>
      </c>
      <c r="EL71" s="177"/>
      <c r="EM71" s="373">
        <v>0</v>
      </c>
      <c r="EN71" s="373">
        <v>0</v>
      </c>
      <c r="EO71" s="373">
        <v>0</v>
      </c>
      <c r="EP71" s="373">
        <v>90000</v>
      </c>
      <c r="EQ71" s="373">
        <v>0</v>
      </c>
      <c r="ER71" s="373">
        <v>0</v>
      </c>
      <c r="ES71" s="373">
        <v>999.99999999999989</v>
      </c>
      <c r="ET71" s="373">
        <v>0</v>
      </c>
      <c r="EU71" s="373">
        <v>2967950</v>
      </c>
      <c r="EV71" s="373">
        <v>0</v>
      </c>
      <c r="EW71" s="373">
        <v>0</v>
      </c>
      <c r="EX71" s="373">
        <v>0</v>
      </c>
      <c r="EY71" s="375">
        <f t="shared" si="96"/>
        <v>3058950</v>
      </c>
      <c r="EZ71" s="164"/>
      <c r="FC71" s="185">
        <v>0</v>
      </c>
    </row>
    <row r="72" spans="1:161" ht="18.75" customHeight="1">
      <c r="A72" s="185" t="s">
        <v>329</v>
      </c>
      <c r="B72" s="176">
        <v>60315000</v>
      </c>
      <c r="C72" s="176" t="s">
        <v>109</v>
      </c>
      <c r="D72" s="176" t="s">
        <v>109</v>
      </c>
      <c r="E72" s="324"/>
      <c r="F72" s="320" t="s">
        <v>648</v>
      </c>
      <c r="G72" s="320"/>
      <c r="H72" s="417">
        <v>0</v>
      </c>
      <c r="I72" s="417">
        <v>0</v>
      </c>
      <c r="J72" s="417">
        <v>0</v>
      </c>
      <c r="K72" s="417">
        <v>0</v>
      </c>
      <c r="L72" s="417">
        <v>0</v>
      </c>
      <c r="M72" s="417">
        <v>0</v>
      </c>
      <c r="N72" s="417">
        <v>0</v>
      </c>
      <c r="O72" s="417">
        <v>0</v>
      </c>
      <c r="P72" s="417">
        <v>0</v>
      </c>
      <c r="Q72" s="819">
        <v>0</v>
      </c>
      <c r="R72" s="417">
        <v>0</v>
      </c>
      <c r="S72" s="417">
        <v>1100</v>
      </c>
      <c r="T72" s="402"/>
      <c r="U72" s="366">
        <f t="shared" si="81"/>
        <v>2935</v>
      </c>
      <c r="V72" s="165">
        <f t="shared" si="82"/>
        <v>1</v>
      </c>
      <c r="W72" s="212"/>
      <c r="X72" s="417">
        <v>0</v>
      </c>
      <c r="Y72" s="417">
        <v>1280</v>
      </c>
      <c r="Z72" s="417">
        <v>1280</v>
      </c>
      <c r="AA72" s="417">
        <v>375</v>
      </c>
      <c r="AB72" s="417">
        <v>0</v>
      </c>
      <c r="AC72" s="417">
        <v>0</v>
      </c>
      <c r="AD72" s="417">
        <v>0</v>
      </c>
      <c r="AE72" s="417">
        <v>0</v>
      </c>
      <c r="AF72" s="417">
        <v>0</v>
      </c>
      <c r="AG72" s="819">
        <v>0</v>
      </c>
      <c r="AH72" s="417">
        <v>0</v>
      </c>
      <c r="AI72" s="417">
        <v>0</v>
      </c>
      <c r="AJ72" s="375">
        <f t="shared" si="83"/>
        <v>2935</v>
      </c>
      <c r="AK72" s="212"/>
      <c r="AL72" s="417">
        <v>0</v>
      </c>
      <c r="AM72" s="417">
        <v>0</v>
      </c>
      <c r="AN72" s="417">
        <v>0</v>
      </c>
      <c r="AO72" s="417">
        <v>0</v>
      </c>
      <c r="AP72" s="417">
        <v>0</v>
      </c>
      <c r="AQ72" s="417">
        <v>0</v>
      </c>
      <c r="AR72" s="417">
        <v>0</v>
      </c>
      <c r="AS72" s="417">
        <v>0</v>
      </c>
      <c r="AT72" s="417">
        <v>0</v>
      </c>
      <c r="AU72" s="819">
        <v>0</v>
      </c>
      <c r="AV72" s="417">
        <v>0</v>
      </c>
      <c r="AW72" s="417">
        <v>1100</v>
      </c>
      <c r="AX72" s="375">
        <f t="shared" si="100"/>
        <v>1100</v>
      </c>
      <c r="AY72" s="366">
        <f t="shared" si="85"/>
        <v>14165</v>
      </c>
      <c r="AZ72" s="165">
        <f t="shared" si="86"/>
        <v>0.92793973141172614</v>
      </c>
      <c r="BA72" s="212"/>
      <c r="BB72" s="417">
        <v>0</v>
      </c>
      <c r="BC72" s="417">
        <v>0</v>
      </c>
      <c r="BD72" s="417">
        <v>0</v>
      </c>
      <c r="BE72" s="417">
        <v>0</v>
      </c>
      <c r="BF72" s="417">
        <v>0</v>
      </c>
      <c r="BG72" s="417">
        <v>0</v>
      </c>
      <c r="BH72" s="417">
        <v>0</v>
      </c>
      <c r="BI72" s="417">
        <v>0</v>
      </c>
      <c r="BJ72" s="417">
        <v>0</v>
      </c>
      <c r="BK72" s="819">
        <v>100</v>
      </c>
      <c r="BL72" s="417">
        <v>0</v>
      </c>
      <c r="BM72" s="417">
        <v>0</v>
      </c>
      <c r="BN72" s="375">
        <v>15265</v>
      </c>
      <c r="BO72" s="212"/>
      <c r="BP72" s="818">
        <v>165</v>
      </c>
      <c r="BQ72" s="818">
        <v>165</v>
      </c>
      <c r="BR72" s="818">
        <v>165</v>
      </c>
      <c r="BS72" s="818">
        <v>165</v>
      </c>
      <c r="BT72" s="818">
        <v>165</v>
      </c>
      <c r="BU72" s="818">
        <v>15165</v>
      </c>
      <c r="BV72" s="818">
        <v>165</v>
      </c>
      <c r="BW72" s="818">
        <v>165</v>
      </c>
      <c r="BX72" s="818">
        <v>165</v>
      </c>
      <c r="BY72" s="818">
        <v>165</v>
      </c>
      <c r="BZ72" s="818">
        <v>165</v>
      </c>
      <c r="CA72" s="818">
        <v>15165</v>
      </c>
      <c r="CB72" s="375">
        <f t="shared" si="87"/>
        <v>31980</v>
      </c>
      <c r="CC72" s="366">
        <f t="shared" si="88"/>
        <v>16715</v>
      </c>
      <c r="CD72" s="165">
        <f t="shared" si="89"/>
        <v>0.52267041901188238</v>
      </c>
      <c r="CE72" s="367"/>
      <c r="CF72" s="373">
        <v>0</v>
      </c>
      <c r="CG72" s="373">
        <v>0</v>
      </c>
      <c r="CH72" s="373">
        <v>0</v>
      </c>
      <c r="CI72" s="373">
        <v>220</v>
      </c>
      <c r="CJ72" s="373">
        <v>0</v>
      </c>
      <c r="CK72" s="373">
        <v>0</v>
      </c>
      <c r="CL72" s="373">
        <v>0</v>
      </c>
      <c r="CM72" s="373">
        <v>400.17</v>
      </c>
      <c r="CN72" s="373">
        <v>363</v>
      </c>
      <c r="CO72" s="373">
        <v>0</v>
      </c>
      <c r="CP72" s="373">
        <v>0</v>
      </c>
      <c r="CQ72" s="373">
        <v>783</v>
      </c>
      <c r="CR72" s="376"/>
      <c r="CS72" s="375">
        <f t="shared" si="90"/>
        <v>1766.17</v>
      </c>
      <c r="CT72" s="378">
        <f t="shared" si="95"/>
        <v>-13498.83</v>
      </c>
      <c r="CU72" s="165">
        <f t="shared" si="91"/>
        <v>-7.6429958611005731</v>
      </c>
      <c r="CV72" s="320"/>
      <c r="CW72" s="373">
        <v>0</v>
      </c>
      <c r="CX72" s="373">
        <v>0</v>
      </c>
      <c r="CY72" s="373">
        <v>0</v>
      </c>
      <c r="CZ72" s="373">
        <v>0</v>
      </c>
      <c r="DA72" s="373">
        <v>0</v>
      </c>
      <c r="DB72" s="373">
        <v>0</v>
      </c>
      <c r="DC72" s="373">
        <v>0</v>
      </c>
      <c r="DD72" s="373">
        <v>0</v>
      </c>
      <c r="DE72" s="373">
        <v>0</v>
      </c>
      <c r="DF72" s="373">
        <v>0</v>
      </c>
      <c r="DG72" s="373">
        <v>0</v>
      </c>
      <c r="DH72" s="373">
        <v>0</v>
      </c>
      <c r="DI72" s="375">
        <f t="shared" si="99"/>
        <v>0</v>
      </c>
      <c r="DJ72" s="320"/>
      <c r="DK72" s="373"/>
      <c r="DL72" s="373"/>
      <c r="DM72" s="373"/>
      <c r="DN72" s="373"/>
      <c r="DO72" s="373"/>
      <c r="DP72" s="373"/>
      <c r="DQ72" s="373"/>
      <c r="DR72" s="373"/>
      <c r="DS72" s="373"/>
      <c r="DT72" s="373"/>
      <c r="DU72" s="373"/>
      <c r="DV72" s="373"/>
      <c r="DW72" s="375">
        <f t="shared" si="101"/>
        <v>0</v>
      </c>
      <c r="DY72" s="373"/>
      <c r="DZ72" s="373"/>
      <c r="EA72" s="373"/>
      <c r="EB72" s="373"/>
      <c r="EC72" s="373"/>
      <c r="ED72" s="373"/>
      <c r="EE72" s="373"/>
      <c r="EF72" s="373"/>
      <c r="EG72" s="373"/>
      <c r="EH72" s="373"/>
      <c r="EI72" s="373"/>
      <c r="EJ72" s="373"/>
      <c r="EK72" s="375">
        <f t="shared" si="94"/>
        <v>0</v>
      </c>
      <c r="EL72" s="177"/>
      <c r="EM72" s="373"/>
      <c r="EN72" s="373"/>
      <c r="EO72" s="373"/>
      <c r="EP72" s="373"/>
      <c r="EQ72" s="373"/>
      <c r="ER72" s="373"/>
      <c r="ES72" s="373"/>
      <c r="ET72" s="373"/>
      <c r="EU72" s="373"/>
      <c r="EV72" s="373"/>
      <c r="EW72" s="373"/>
      <c r="EX72" s="373"/>
      <c r="EY72" s="375">
        <f t="shared" si="96"/>
        <v>0</v>
      </c>
      <c r="EZ72" s="164"/>
      <c r="FC72" s="185">
        <v>0</v>
      </c>
    </row>
    <row r="73" spans="1:161" ht="18.75" hidden="1" customHeight="1" outlineLevel="1">
      <c r="A73" s="185" t="s">
        <v>329</v>
      </c>
      <c r="B73" s="176">
        <v>60316000</v>
      </c>
      <c r="C73" s="176" t="s">
        <v>109</v>
      </c>
      <c r="D73" s="176" t="s">
        <v>109</v>
      </c>
      <c r="E73" s="324"/>
      <c r="F73" s="320" t="s">
        <v>649</v>
      </c>
      <c r="G73" s="320"/>
      <c r="H73" s="417">
        <v>0</v>
      </c>
      <c r="I73" s="417">
        <v>0</v>
      </c>
      <c r="J73" s="417">
        <v>0</v>
      </c>
      <c r="K73" s="417">
        <v>0</v>
      </c>
      <c r="L73" s="417">
        <v>0</v>
      </c>
      <c r="M73" s="417">
        <v>0</v>
      </c>
      <c r="N73" s="417">
        <v>0</v>
      </c>
      <c r="O73" s="417">
        <v>0</v>
      </c>
      <c r="P73" s="417">
        <v>0</v>
      </c>
      <c r="Q73" s="819">
        <v>0</v>
      </c>
      <c r="R73" s="417">
        <v>0</v>
      </c>
      <c r="S73" s="417">
        <v>0</v>
      </c>
      <c r="T73" s="402"/>
      <c r="U73" s="366">
        <f t="shared" si="81"/>
        <v>0</v>
      </c>
      <c r="V73" s="165" t="e">
        <f t="shared" si="82"/>
        <v>#DIV/0!</v>
      </c>
      <c r="W73" s="212"/>
      <c r="X73" s="417">
        <v>0</v>
      </c>
      <c r="Y73" s="417">
        <v>0</v>
      </c>
      <c r="Z73" s="417">
        <v>0</v>
      </c>
      <c r="AA73" s="417">
        <v>0</v>
      </c>
      <c r="AB73" s="417">
        <v>0</v>
      </c>
      <c r="AC73" s="417">
        <v>0</v>
      </c>
      <c r="AD73" s="417">
        <v>0</v>
      </c>
      <c r="AE73" s="417">
        <v>0</v>
      </c>
      <c r="AF73" s="417">
        <v>0</v>
      </c>
      <c r="AG73" s="819">
        <v>0</v>
      </c>
      <c r="AH73" s="417">
        <v>0</v>
      </c>
      <c r="AI73" s="417">
        <v>0</v>
      </c>
      <c r="AJ73" s="375">
        <f t="shared" si="83"/>
        <v>0</v>
      </c>
      <c r="AK73" s="212"/>
      <c r="AL73" s="417">
        <v>0</v>
      </c>
      <c r="AM73" s="417">
        <v>0</v>
      </c>
      <c r="AN73" s="417">
        <v>0</v>
      </c>
      <c r="AO73" s="417">
        <v>0</v>
      </c>
      <c r="AP73" s="417">
        <v>0</v>
      </c>
      <c r="AQ73" s="417">
        <v>0</v>
      </c>
      <c r="AR73" s="417">
        <v>0</v>
      </c>
      <c r="AS73" s="417">
        <v>0</v>
      </c>
      <c r="AT73" s="417">
        <v>0</v>
      </c>
      <c r="AU73" s="819">
        <v>0</v>
      </c>
      <c r="AV73" s="417">
        <v>0</v>
      </c>
      <c r="AW73" s="417">
        <v>0</v>
      </c>
      <c r="AX73" s="375">
        <f t="shared" si="100"/>
        <v>0</v>
      </c>
      <c r="AY73" s="366">
        <f t="shared" si="85"/>
        <v>0</v>
      </c>
      <c r="AZ73" s="165" t="e">
        <f t="shared" si="86"/>
        <v>#DIV/0!</v>
      </c>
      <c r="BA73" s="212"/>
      <c r="BB73" s="417">
        <v>0</v>
      </c>
      <c r="BC73" s="417">
        <v>0</v>
      </c>
      <c r="BD73" s="417">
        <v>0</v>
      </c>
      <c r="BE73" s="417">
        <v>0</v>
      </c>
      <c r="BF73" s="417">
        <v>0</v>
      </c>
      <c r="BG73" s="417">
        <v>0</v>
      </c>
      <c r="BH73" s="417">
        <v>0</v>
      </c>
      <c r="BI73" s="417">
        <v>0</v>
      </c>
      <c r="BJ73" s="417">
        <v>0</v>
      </c>
      <c r="BK73" s="819">
        <v>0</v>
      </c>
      <c r="BL73" s="417">
        <v>0</v>
      </c>
      <c r="BM73" s="417">
        <v>0</v>
      </c>
      <c r="BN73" s="375">
        <v>0</v>
      </c>
      <c r="BO73" s="212"/>
      <c r="BP73" s="818">
        <v>0</v>
      </c>
      <c r="BQ73" s="818">
        <v>0</v>
      </c>
      <c r="BR73" s="818">
        <v>0</v>
      </c>
      <c r="BS73" s="818">
        <v>0</v>
      </c>
      <c r="BT73" s="818">
        <v>0</v>
      </c>
      <c r="BU73" s="818">
        <v>0</v>
      </c>
      <c r="BV73" s="818">
        <v>0</v>
      </c>
      <c r="BW73" s="818">
        <v>0</v>
      </c>
      <c r="BX73" s="818">
        <v>0</v>
      </c>
      <c r="BY73" s="818">
        <v>0</v>
      </c>
      <c r="BZ73" s="818">
        <v>0</v>
      </c>
      <c r="CA73" s="818">
        <v>0</v>
      </c>
      <c r="CB73" s="375">
        <f t="shared" si="87"/>
        <v>0</v>
      </c>
      <c r="CC73" s="366">
        <f t="shared" si="88"/>
        <v>0</v>
      </c>
      <c r="CD73" s="165" t="str">
        <f t="shared" si="89"/>
        <v>N/A</v>
      </c>
      <c r="CE73" s="367"/>
      <c r="CF73" s="373">
        <v>0</v>
      </c>
      <c r="CG73" s="373">
        <v>0</v>
      </c>
      <c r="CH73" s="373">
        <v>0</v>
      </c>
      <c r="CI73" s="373">
        <v>0</v>
      </c>
      <c r="CJ73" s="373">
        <v>0</v>
      </c>
      <c r="CK73" s="373">
        <v>0</v>
      </c>
      <c r="CL73" s="373">
        <v>0</v>
      </c>
      <c r="CM73" s="373">
        <v>0</v>
      </c>
      <c r="CN73" s="373">
        <v>0</v>
      </c>
      <c r="CO73" s="373">
        <v>0</v>
      </c>
      <c r="CP73" s="373">
        <v>0</v>
      </c>
      <c r="CQ73" s="373">
        <v>0</v>
      </c>
      <c r="CR73" s="376"/>
      <c r="CS73" s="375">
        <f t="shared" si="90"/>
        <v>0</v>
      </c>
      <c r="CT73" s="378">
        <f t="shared" si="95"/>
        <v>0</v>
      </c>
      <c r="CU73" s="165" t="str">
        <f t="shared" si="91"/>
        <v>N/A</v>
      </c>
      <c r="CV73" s="320"/>
      <c r="CW73" s="373">
        <v>0</v>
      </c>
      <c r="CX73" s="373">
        <v>0</v>
      </c>
      <c r="CY73" s="373">
        <v>0</v>
      </c>
      <c r="CZ73" s="373">
        <v>0</v>
      </c>
      <c r="DA73" s="373">
        <v>0</v>
      </c>
      <c r="DB73" s="373">
        <v>0</v>
      </c>
      <c r="DC73" s="373">
        <v>0</v>
      </c>
      <c r="DD73" s="373">
        <v>0</v>
      </c>
      <c r="DE73" s="373">
        <v>0</v>
      </c>
      <c r="DF73" s="373">
        <v>0</v>
      </c>
      <c r="DG73" s="373">
        <v>0</v>
      </c>
      <c r="DH73" s="373">
        <v>0</v>
      </c>
      <c r="DI73" s="375">
        <f t="shared" si="99"/>
        <v>0</v>
      </c>
      <c r="DJ73" s="320"/>
      <c r="DK73" s="373"/>
      <c r="DL73" s="373"/>
      <c r="DM73" s="373"/>
      <c r="DN73" s="373"/>
      <c r="DO73" s="373"/>
      <c r="DP73" s="373"/>
      <c r="DQ73" s="373"/>
      <c r="DR73" s="373"/>
      <c r="DS73" s="373"/>
      <c r="DT73" s="373"/>
      <c r="DU73" s="373"/>
      <c r="DV73" s="373"/>
      <c r="DW73" s="375">
        <f t="shared" si="101"/>
        <v>0</v>
      </c>
      <c r="DY73" s="373"/>
      <c r="DZ73" s="373"/>
      <c r="EA73" s="373"/>
      <c r="EB73" s="373"/>
      <c r="EC73" s="373"/>
      <c r="ED73" s="373"/>
      <c r="EE73" s="373"/>
      <c r="EF73" s="373"/>
      <c r="EG73" s="373"/>
      <c r="EH73" s="373"/>
      <c r="EI73" s="373"/>
      <c r="EJ73" s="373"/>
      <c r="EK73" s="375">
        <f t="shared" si="94"/>
        <v>0</v>
      </c>
      <c r="EL73" s="177"/>
      <c r="EM73" s="373"/>
      <c r="EN73" s="373"/>
      <c r="EO73" s="373"/>
      <c r="EP73" s="373"/>
      <c r="EQ73" s="373"/>
      <c r="ER73" s="373"/>
      <c r="ES73" s="373"/>
      <c r="ET73" s="373"/>
      <c r="EU73" s="373"/>
      <c r="EV73" s="373"/>
      <c r="EW73" s="373"/>
      <c r="EX73" s="373"/>
      <c r="EY73" s="375">
        <f t="shared" si="96"/>
        <v>0</v>
      </c>
      <c r="EZ73" s="164"/>
      <c r="FB73" s="185">
        <v>60403000</v>
      </c>
      <c r="FC73" s="185">
        <v>0</v>
      </c>
    </row>
    <row r="74" spans="1:161" ht="18.75" customHeight="1" collapsed="1">
      <c r="A74" s="185" t="s">
        <v>329</v>
      </c>
      <c r="B74" s="176">
        <v>60317000</v>
      </c>
      <c r="C74" s="176" t="s">
        <v>109</v>
      </c>
      <c r="D74" s="176" t="s">
        <v>109</v>
      </c>
      <c r="E74" s="324"/>
      <c r="F74" s="320" t="s">
        <v>650</v>
      </c>
      <c r="G74" s="320"/>
      <c r="H74" s="417">
        <v>0</v>
      </c>
      <c r="I74" s="417">
        <v>0</v>
      </c>
      <c r="J74" s="417">
        <v>0</v>
      </c>
      <c r="K74" s="417">
        <v>0</v>
      </c>
      <c r="L74" s="417">
        <v>0</v>
      </c>
      <c r="M74" s="417">
        <v>0</v>
      </c>
      <c r="N74" s="417">
        <v>0</v>
      </c>
      <c r="O74" s="417">
        <v>0</v>
      </c>
      <c r="P74" s="417">
        <v>0</v>
      </c>
      <c r="Q74" s="819">
        <v>0</v>
      </c>
      <c r="R74" s="417">
        <v>0</v>
      </c>
      <c r="S74" s="417">
        <v>1192956</v>
      </c>
      <c r="T74" s="402"/>
      <c r="U74" s="366">
        <f t="shared" si="81"/>
        <v>247273.55000000002</v>
      </c>
      <c r="V74" s="165">
        <f t="shared" si="82"/>
        <v>1</v>
      </c>
      <c r="W74" s="212"/>
      <c r="X74" s="417">
        <v>18825.8</v>
      </c>
      <c r="Y74" s="417">
        <v>18825.8</v>
      </c>
      <c r="Z74" s="417">
        <v>18825.8</v>
      </c>
      <c r="AA74" s="417">
        <v>18825.8</v>
      </c>
      <c r="AB74" s="417">
        <v>18825.82</v>
      </c>
      <c r="AC74" s="417">
        <v>21877.73</v>
      </c>
      <c r="AD74" s="417">
        <v>21877.73</v>
      </c>
      <c r="AE74" s="417">
        <v>21877.75</v>
      </c>
      <c r="AF74" s="417">
        <v>21252.2</v>
      </c>
      <c r="AG74" s="819">
        <v>21252.2</v>
      </c>
      <c r="AH74" s="417">
        <v>21252.2</v>
      </c>
      <c r="AI74" s="417">
        <v>23754.720000000001</v>
      </c>
      <c r="AJ74" s="375">
        <f t="shared" si="83"/>
        <v>247273.55000000002</v>
      </c>
      <c r="AK74" s="212"/>
      <c r="AL74" s="417">
        <v>0</v>
      </c>
      <c r="AM74" s="417">
        <v>0</v>
      </c>
      <c r="AN74" s="417">
        <v>0</v>
      </c>
      <c r="AO74" s="417">
        <v>0</v>
      </c>
      <c r="AP74" s="417">
        <v>0</v>
      </c>
      <c r="AQ74" s="417">
        <v>0</v>
      </c>
      <c r="AR74" s="417">
        <v>0</v>
      </c>
      <c r="AS74" s="417">
        <v>0</v>
      </c>
      <c r="AT74" s="417">
        <v>0</v>
      </c>
      <c r="AU74" s="819">
        <v>0</v>
      </c>
      <c r="AV74" s="417">
        <v>0</v>
      </c>
      <c r="AW74" s="417">
        <v>1192956</v>
      </c>
      <c r="AX74" s="375">
        <f t="shared" si="100"/>
        <v>1192956</v>
      </c>
      <c r="AY74" s="366">
        <f t="shared" si="85"/>
        <v>-975896.47</v>
      </c>
      <c r="AZ74" s="165">
        <f t="shared" si="86"/>
        <v>-4.4959853640151168</v>
      </c>
      <c r="BA74" s="212"/>
      <c r="BB74" s="417">
        <v>16341.26</v>
      </c>
      <c r="BC74" s="417">
        <v>16341.26</v>
      </c>
      <c r="BD74" s="417">
        <v>27367.57</v>
      </c>
      <c r="BE74" s="417">
        <v>16341.26</v>
      </c>
      <c r="BF74" s="417">
        <v>16341.26</v>
      </c>
      <c r="BG74" s="417">
        <v>16341.26</v>
      </c>
      <c r="BH74" s="417">
        <v>16341.26</v>
      </c>
      <c r="BI74" s="417">
        <v>16341.2</v>
      </c>
      <c r="BJ74" s="417">
        <v>18825.59</v>
      </c>
      <c r="BK74" s="819">
        <v>18826.009999999998</v>
      </c>
      <c r="BL74" s="417">
        <v>18825.8</v>
      </c>
      <c r="BM74" s="417">
        <v>18825.8</v>
      </c>
      <c r="BN74" s="375">
        <v>217059.52999999997</v>
      </c>
      <c r="BO74" s="212"/>
      <c r="BP74" s="818">
        <v>20500</v>
      </c>
      <c r="BQ74" s="818">
        <v>20500</v>
      </c>
      <c r="BR74" s="818">
        <v>20500</v>
      </c>
      <c r="BS74" s="818">
        <v>20500</v>
      </c>
      <c r="BT74" s="818">
        <v>20500</v>
      </c>
      <c r="BU74" s="818">
        <v>20500</v>
      </c>
      <c r="BV74" s="818">
        <v>20500</v>
      </c>
      <c r="BW74" s="818">
        <v>20500</v>
      </c>
      <c r="BX74" s="818">
        <v>-332500</v>
      </c>
      <c r="BY74" s="818">
        <v>167500</v>
      </c>
      <c r="BZ74" s="818">
        <v>167500</v>
      </c>
      <c r="CA74" s="818">
        <v>167500</v>
      </c>
      <c r="CB74" s="375">
        <f>SUM(BP74:CA74)</f>
        <v>334000</v>
      </c>
      <c r="CC74" s="366">
        <f t="shared" si="88"/>
        <v>116940.47000000003</v>
      </c>
      <c r="CD74" s="165">
        <f t="shared" si="89"/>
        <v>0.35012116766467077</v>
      </c>
      <c r="CE74" s="367"/>
      <c r="CF74" s="373">
        <v>0</v>
      </c>
      <c r="CG74" s="373">
        <v>0</v>
      </c>
      <c r="CH74" s="373">
        <v>4261.03</v>
      </c>
      <c r="CI74" s="373">
        <v>0</v>
      </c>
      <c r="CJ74" s="373">
        <v>0</v>
      </c>
      <c r="CK74" s="373">
        <v>0</v>
      </c>
      <c r="CL74" s="373">
        <v>0</v>
      </c>
      <c r="CM74" s="373">
        <v>0</v>
      </c>
      <c r="CN74" s="373">
        <v>625.38</v>
      </c>
      <c r="CO74" s="373">
        <v>625.38</v>
      </c>
      <c r="CP74" s="373">
        <v>47773.04</v>
      </c>
      <c r="CQ74" s="373">
        <v>16341.26</v>
      </c>
      <c r="CR74" s="376"/>
      <c r="CS74" s="375">
        <f t="shared" si="90"/>
        <v>69626.09</v>
      </c>
      <c r="CT74" s="378">
        <f t="shared" si="95"/>
        <v>-147433.43999999997</v>
      </c>
      <c r="CU74" s="165">
        <f t="shared" si="91"/>
        <v>-2.1175027924158885</v>
      </c>
      <c r="CV74" s="320"/>
      <c r="CW74" s="373"/>
      <c r="CX74" s="373"/>
      <c r="CY74" s="373"/>
      <c r="CZ74" s="373"/>
      <c r="DA74" s="373"/>
      <c r="DB74" s="373"/>
      <c r="DC74" s="373"/>
      <c r="DD74" s="373"/>
      <c r="DE74" s="373"/>
      <c r="DF74" s="373"/>
      <c r="DG74" s="373"/>
      <c r="DH74" s="373"/>
      <c r="DI74" s="375">
        <f t="shared" si="99"/>
        <v>0</v>
      </c>
      <c r="DJ74" s="320"/>
      <c r="DK74" s="373"/>
      <c r="DL74" s="373"/>
      <c r="DM74" s="373"/>
      <c r="DN74" s="373"/>
      <c r="DO74" s="373"/>
      <c r="DP74" s="373"/>
      <c r="DQ74" s="373"/>
      <c r="DR74" s="373"/>
      <c r="DS74" s="373"/>
      <c r="DT74" s="373"/>
      <c r="DU74" s="373"/>
      <c r="DV74" s="373"/>
      <c r="DW74" s="375">
        <f t="shared" si="101"/>
        <v>0</v>
      </c>
      <c r="DY74" s="373"/>
      <c r="DZ74" s="373"/>
      <c r="EA74" s="373"/>
      <c r="EB74" s="373"/>
      <c r="EC74" s="373"/>
      <c r="ED74" s="373"/>
      <c r="EE74" s="373"/>
      <c r="EF74" s="373"/>
      <c r="EG74" s="373"/>
      <c r="EH74" s="373"/>
      <c r="EI74" s="373"/>
      <c r="EJ74" s="373"/>
      <c r="EK74" s="375">
        <f t="shared" si="94"/>
        <v>0</v>
      </c>
      <c r="EL74" s="177"/>
      <c r="EM74" s="373"/>
      <c r="EN74" s="373"/>
      <c r="EO74" s="373"/>
      <c r="EP74" s="373"/>
      <c r="EQ74" s="373"/>
      <c r="ER74" s="373"/>
      <c r="ES74" s="373"/>
      <c r="ET74" s="373"/>
      <c r="EU74" s="373"/>
      <c r="EV74" s="373"/>
      <c r="EW74" s="373"/>
      <c r="EX74" s="373"/>
      <c r="EY74" s="375">
        <f t="shared" si="96"/>
        <v>0</v>
      </c>
      <c r="EZ74" s="164"/>
      <c r="FC74" s="185">
        <v>0</v>
      </c>
    </row>
    <row r="75" spans="1:161" ht="18.75" customHeight="1">
      <c r="A75" s="185" t="s">
        <v>329</v>
      </c>
      <c r="B75" s="176">
        <v>60318000</v>
      </c>
      <c r="C75" s="176" t="s">
        <v>109</v>
      </c>
      <c r="D75" s="176" t="s">
        <v>109</v>
      </c>
      <c r="E75" s="324"/>
      <c r="F75" s="320" t="s">
        <v>771</v>
      </c>
      <c r="G75" s="320"/>
      <c r="H75" s="417">
        <v>5000</v>
      </c>
      <c r="I75" s="417">
        <v>5000</v>
      </c>
      <c r="J75" s="417">
        <v>5000</v>
      </c>
      <c r="K75" s="417">
        <v>5000</v>
      </c>
      <c r="L75" s="417">
        <v>5000</v>
      </c>
      <c r="M75" s="417">
        <v>5000</v>
      </c>
      <c r="N75" s="417">
        <v>5000</v>
      </c>
      <c r="O75" s="417">
        <v>5000</v>
      </c>
      <c r="P75" s="417">
        <v>5000</v>
      </c>
      <c r="Q75" s="819">
        <v>5000</v>
      </c>
      <c r="R75" s="417">
        <v>5000</v>
      </c>
      <c r="S75" s="417">
        <v>115000</v>
      </c>
      <c r="T75" s="402"/>
      <c r="U75" s="366">
        <f t="shared" si="81"/>
        <v>1560</v>
      </c>
      <c r="V75" s="165">
        <f t="shared" si="82"/>
        <v>1</v>
      </c>
      <c r="W75" s="212"/>
      <c r="X75" s="417">
        <v>0</v>
      </c>
      <c r="Y75" s="417">
        <v>0</v>
      </c>
      <c r="Z75" s="417">
        <v>0</v>
      </c>
      <c r="AA75" s="417">
        <v>0</v>
      </c>
      <c r="AB75" s="417">
        <v>0</v>
      </c>
      <c r="AC75" s="417">
        <v>0</v>
      </c>
      <c r="AD75" s="417">
        <v>1560</v>
      </c>
      <c r="AE75" s="417">
        <v>0</v>
      </c>
      <c r="AF75" s="417">
        <v>0</v>
      </c>
      <c r="AG75" s="819">
        <v>0</v>
      </c>
      <c r="AH75" s="417">
        <v>0</v>
      </c>
      <c r="AI75" s="417">
        <v>0</v>
      </c>
      <c r="AJ75" s="375">
        <f t="shared" si="83"/>
        <v>1560</v>
      </c>
      <c r="AK75" s="212"/>
      <c r="AL75" s="417">
        <v>5000</v>
      </c>
      <c r="AM75" s="417">
        <v>5000</v>
      </c>
      <c r="AN75" s="417">
        <v>5000</v>
      </c>
      <c r="AO75" s="417">
        <v>5000</v>
      </c>
      <c r="AP75" s="417">
        <v>5000</v>
      </c>
      <c r="AQ75" s="417">
        <v>5000</v>
      </c>
      <c r="AR75" s="417">
        <v>5000</v>
      </c>
      <c r="AS75" s="417">
        <v>5000</v>
      </c>
      <c r="AT75" s="417">
        <v>5000</v>
      </c>
      <c r="AU75" s="819">
        <v>5000</v>
      </c>
      <c r="AV75" s="417">
        <v>5000</v>
      </c>
      <c r="AW75" s="417">
        <v>115000</v>
      </c>
      <c r="AX75" s="375">
        <f t="shared" ref="AX75:AX83" si="102">SUM(AL75:AW75)</f>
        <v>170000</v>
      </c>
      <c r="AY75" s="366">
        <f t="shared" si="85"/>
        <v>-88170.36</v>
      </c>
      <c r="AZ75" s="165">
        <f t="shared" si="86"/>
        <v>-1.0774868372878093</v>
      </c>
      <c r="BA75" s="212"/>
      <c r="BB75" s="417">
        <v>0</v>
      </c>
      <c r="BC75" s="417">
        <v>0</v>
      </c>
      <c r="BD75" s="417">
        <v>20000</v>
      </c>
      <c r="BE75" s="417">
        <v>0</v>
      </c>
      <c r="BF75" s="417">
        <v>0</v>
      </c>
      <c r="BG75" s="417">
        <v>15000</v>
      </c>
      <c r="BH75" s="417">
        <v>17804.64</v>
      </c>
      <c r="BI75" s="417">
        <v>0</v>
      </c>
      <c r="BJ75" s="417">
        <v>0</v>
      </c>
      <c r="BK75" s="819">
        <v>8400</v>
      </c>
      <c r="BL75" s="417">
        <v>0</v>
      </c>
      <c r="BM75" s="417">
        <v>0</v>
      </c>
      <c r="BN75" s="375">
        <v>81829.64</v>
      </c>
      <c r="BO75" s="212"/>
      <c r="BP75" s="818">
        <v>0</v>
      </c>
      <c r="BQ75" s="818">
        <v>0</v>
      </c>
      <c r="BR75" s="818">
        <v>20625</v>
      </c>
      <c r="BS75" s="818">
        <v>0</v>
      </c>
      <c r="BT75" s="818">
        <v>0</v>
      </c>
      <c r="BU75" s="818">
        <v>20625</v>
      </c>
      <c r="BV75" s="818">
        <v>0</v>
      </c>
      <c r="BW75" s="818">
        <v>0</v>
      </c>
      <c r="BX75" s="818">
        <v>20625</v>
      </c>
      <c r="BY75" s="818">
        <v>0</v>
      </c>
      <c r="BZ75" s="818">
        <v>0</v>
      </c>
      <c r="CA75" s="818">
        <v>20625</v>
      </c>
      <c r="CB75" s="375">
        <f>SUM(BP75:CA75)</f>
        <v>82500</v>
      </c>
      <c r="CC75" s="366">
        <f t="shared" si="88"/>
        <v>670.36000000000058</v>
      </c>
      <c r="CD75" s="165">
        <f t="shared" si="89"/>
        <v>8.1255757575757655E-3</v>
      </c>
      <c r="CE75" s="367"/>
      <c r="CF75" s="373">
        <v>0</v>
      </c>
      <c r="CG75" s="373">
        <v>0</v>
      </c>
      <c r="CH75" s="373">
        <v>0</v>
      </c>
      <c r="CI75" s="373">
        <v>0</v>
      </c>
      <c r="CJ75" s="373">
        <v>0</v>
      </c>
      <c r="CK75" s="373">
        <v>0</v>
      </c>
      <c r="CL75" s="373">
        <v>0</v>
      </c>
      <c r="CM75" s="373">
        <v>0</v>
      </c>
      <c r="CN75" s="373">
        <v>11392</v>
      </c>
      <c r="CO75" s="373">
        <v>0</v>
      </c>
      <c r="CP75" s="373">
        <v>0</v>
      </c>
      <c r="CQ75" s="373">
        <v>0</v>
      </c>
      <c r="CR75" s="376"/>
      <c r="CS75" s="375">
        <f t="shared" si="90"/>
        <v>11392</v>
      </c>
      <c r="CT75" s="378">
        <f t="shared" si="95"/>
        <v>-70437.64</v>
      </c>
      <c r="CU75" s="165">
        <f t="shared" si="91"/>
        <v>-6.1830793539325839</v>
      </c>
      <c r="CV75" s="320"/>
      <c r="CW75" s="373"/>
      <c r="CX75" s="373"/>
      <c r="CY75" s="373"/>
      <c r="CZ75" s="373"/>
      <c r="DA75" s="373"/>
      <c r="DB75" s="373"/>
      <c r="DC75" s="373"/>
      <c r="DD75" s="373"/>
      <c r="DE75" s="373"/>
      <c r="DF75" s="373"/>
      <c r="DG75" s="373"/>
      <c r="DH75" s="373"/>
      <c r="DI75" s="375">
        <f t="shared" si="99"/>
        <v>0</v>
      </c>
      <c r="DJ75" s="320"/>
      <c r="DK75" s="373"/>
      <c r="DL75" s="373"/>
      <c r="DM75" s="373"/>
      <c r="DN75" s="373"/>
      <c r="DO75" s="373"/>
      <c r="DP75" s="373"/>
      <c r="DQ75" s="373"/>
      <c r="DR75" s="373"/>
      <c r="DS75" s="373"/>
      <c r="DT75" s="373"/>
      <c r="DU75" s="373"/>
      <c r="DV75" s="373"/>
      <c r="DW75" s="375">
        <f t="shared" si="101"/>
        <v>0</v>
      </c>
      <c r="DY75" s="373"/>
      <c r="DZ75" s="373"/>
      <c r="EA75" s="373"/>
      <c r="EB75" s="373"/>
      <c r="EC75" s="373"/>
      <c r="ED75" s="373"/>
      <c r="EE75" s="373"/>
      <c r="EF75" s="373"/>
      <c r="EG75" s="373"/>
      <c r="EH75" s="373"/>
      <c r="EI75" s="373"/>
      <c r="EJ75" s="373"/>
      <c r="EK75" s="375">
        <f t="shared" si="94"/>
        <v>0</v>
      </c>
      <c r="EL75" s="177"/>
      <c r="EM75" s="373"/>
      <c r="EN75" s="373"/>
      <c r="EO75" s="373"/>
      <c r="EP75" s="373"/>
      <c r="EQ75" s="373"/>
      <c r="ER75" s="373"/>
      <c r="ES75" s="373"/>
      <c r="ET75" s="373"/>
      <c r="EU75" s="373"/>
      <c r="EV75" s="373"/>
      <c r="EW75" s="373"/>
      <c r="EX75" s="373"/>
      <c r="EY75" s="375">
        <f t="shared" si="96"/>
        <v>0</v>
      </c>
      <c r="EZ75" s="164"/>
      <c r="FC75" s="185">
        <v>0</v>
      </c>
    </row>
    <row r="76" spans="1:161" ht="18.75" customHeight="1">
      <c r="A76" s="185" t="s">
        <v>329</v>
      </c>
      <c r="B76" s="176">
        <v>60319000</v>
      </c>
      <c r="C76" s="176" t="s">
        <v>109</v>
      </c>
      <c r="D76" s="176" t="s">
        <v>109</v>
      </c>
      <c r="E76" s="324"/>
      <c r="F76" s="320" t="s">
        <v>772</v>
      </c>
      <c r="G76" s="320"/>
      <c r="H76" s="417">
        <v>156700</v>
      </c>
      <c r="I76" s="417">
        <v>156700</v>
      </c>
      <c r="J76" s="417">
        <v>156700</v>
      </c>
      <c r="K76" s="417">
        <v>156700</v>
      </c>
      <c r="L76" s="417">
        <v>174200</v>
      </c>
      <c r="M76" s="417">
        <v>174200</v>
      </c>
      <c r="N76" s="417">
        <v>174200</v>
      </c>
      <c r="O76" s="417">
        <v>174200</v>
      </c>
      <c r="P76" s="417">
        <v>174200</v>
      </c>
      <c r="Q76" s="819">
        <v>174200</v>
      </c>
      <c r="R76" s="417">
        <v>174200</v>
      </c>
      <c r="S76" s="417">
        <v>175800.05</v>
      </c>
      <c r="T76" s="402"/>
      <c r="U76" s="366">
        <f t="shared" si="81"/>
        <v>350425.87</v>
      </c>
      <c r="V76" s="165">
        <f t="shared" si="82"/>
        <v>1</v>
      </c>
      <c r="W76" s="212"/>
      <c r="X76" s="417">
        <v>882.9</v>
      </c>
      <c r="Y76" s="417">
        <v>12668.54</v>
      </c>
      <c r="Z76" s="417">
        <v>7302.7900000000009</v>
      </c>
      <c r="AA76" s="417">
        <v>42801</v>
      </c>
      <c r="AB76" s="417">
        <v>49598.979999999996</v>
      </c>
      <c r="AC76" s="417">
        <v>67587.5</v>
      </c>
      <c r="AD76" s="417">
        <v>58454.98</v>
      </c>
      <c r="AE76" s="417">
        <v>27733.34</v>
      </c>
      <c r="AF76" s="417">
        <v>24248.68</v>
      </c>
      <c r="AG76" s="819">
        <v>8451.91</v>
      </c>
      <c r="AH76" s="417">
        <v>26050</v>
      </c>
      <c r="AI76" s="417">
        <v>24645.25</v>
      </c>
      <c r="AJ76" s="375">
        <f t="shared" si="83"/>
        <v>350425.87</v>
      </c>
      <c r="AK76" s="212"/>
      <c r="AL76" s="417">
        <v>156700</v>
      </c>
      <c r="AM76" s="417">
        <v>156700</v>
      </c>
      <c r="AN76" s="417">
        <v>156700</v>
      </c>
      <c r="AO76" s="417">
        <v>156700</v>
      </c>
      <c r="AP76" s="417">
        <v>174200</v>
      </c>
      <c r="AQ76" s="417">
        <v>174200</v>
      </c>
      <c r="AR76" s="417">
        <v>174200</v>
      </c>
      <c r="AS76" s="417">
        <v>174200</v>
      </c>
      <c r="AT76" s="417">
        <v>174200</v>
      </c>
      <c r="AU76" s="819">
        <v>174200</v>
      </c>
      <c r="AV76" s="417">
        <v>174200</v>
      </c>
      <c r="AW76" s="417">
        <v>175800.05</v>
      </c>
      <c r="AX76" s="375">
        <f t="shared" si="102"/>
        <v>2022000.05</v>
      </c>
      <c r="AY76" s="366">
        <f t="shared" si="85"/>
        <v>-1757709.23</v>
      </c>
      <c r="AZ76" s="165">
        <f t="shared" si="86"/>
        <v>-6.6506631974580133</v>
      </c>
      <c r="BA76" s="212"/>
      <c r="BB76" s="417">
        <v>19880</v>
      </c>
      <c r="BC76" s="417">
        <v>6316.2</v>
      </c>
      <c r="BD76" s="417">
        <v>22685.7</v>
      </c>
      <c r="BE76" s="417">
        <v>3620</v>
      </c>
      <c r="BF76" s="417">
        <v>31836.35</v>
      </c>
      <c r="BG76" s="417">
        <v>20035.5</v>
      </c>
      <c r="BH76" s="417">
        <v>31762.09</v>
      </c>
      <c r="BI76" s="417">
        <v>28398.39</v>
      </c>
      <c r="BJ76" s="417">
        <v>22239.89</v>
      </c>
      <c r="BK76" s="819">
        <v>18753.900000000001</v>
      </c>
      <c r="BL76" s="417">
        <v>8937.7999999999993</v>
      </c>
      <c r="BM76" s="417">
        <v>82527.37</v>
      </c>
      <c r="BN76" s="375">
        <v>264290.81999999995</v>
      </c>
      <c r="BO76" s="212"/>
      <c r="BP76" s="818">
        <v>37825</v>
      </c>
      <c r="BQ76" s="818">
        <v>37825</v>
      </c>
      <c r="BR76" s="818">
        <v>37825</v>
      </c>
      <c r="BS76" s="818">
        <v>37825</v>
      </c>
      <c r="BT76" s="818">
        <v>37825</v>
      </c>
      <c r="BU76" s="818">
        <v>37825</v>
      </c>
      <c r="BV76" s="818">
        <v>62825</v>
      </c>
      <c r="BW76" s="818">
        <v>62825</v>
      </c>
      <c r="BX76" s="818">
        <v>62825</v>
      </c>
      <c r="BY76" s="818">
        <v>62825</v>
      </c>
      <c r="BZ76" s="818">
        <v>62825</v>
      </c>
      <c r="CA76" s="818">
        <v>62825</v>
      </c>
      <c r="CB76" s="375">
        <f>SUM(BP76:CA76)</f>
        <v>603900</v>
      </c>
      <c r="CC76" s="366">
        <f t="shared" si="88"/>
        <v>339609.18000000005</v>
      </c>
      <c r="CD76" s="165">
        <f t="shared" si="89"/>
        <v>0.56235996025832102</v>
      </c>
      <c r="CE76" s="367"/>
      <c r="CF76" s="373">
        <v>0</v>
      </c>
      <c r="CG76" s="373">
        <v>280</v>
      </c>
      <c r="CH76" s="373">
        <v>20360</v>
      </c>
      <c r="CI76" s="373">
        <v>73667.83</v>
      </c>
      <c r="CJ76" s="373">
        <v>31109.13</v>
      </c>
      <c r="CK76" s="373">
        <v>10902.880000000001</v>
      </c>
      <c r="CL76" s="373">
        <v>8487.7000000000007</v>
      </c>
      <c r="CM76" s="373">
        <v>14320</v>
      </c>
      <c r="CN76" s="373">
        <v>5239.8100000000004</v>
      </c>
      <c r="CO76" s="373">
        <v>18304.7</v>
      </c>
      <c r="CP76" s="373">
        <v>138240.95000000001</v>
      </c>
      <c r="CQ76" s="373">
        <v>15646.09</v>
      </c>
      <c r="CR76" s="376"/>
      <c r="CS76" s="375">
        <f t="shared" si="90"/>
        <v>336559.09</v>
      </c>
      <c r="CT76" s="378">
        <f t="shared" si="95"/>
        <v>72268.270000000077</v>
      </c>
      <c r="CU76" s="165">
        <f t="shared" si="91"/>
        <v>0.21472684038930601</v>
      </c>
      <c r="CV76" s="320"/>
      <c r="CW76" s="373"/>
      <c r="CX76" s="373"/>
      <c r="CY76" s="373"/>
      <c r="CZ76" s="373"/>
      <c r="DA76" s="373"/>
      <c r="DB76" s="373"/>
      <c r="DC76" s="373"/>
      <c r="DD76" s="373"/>
      <c r="DE76" s="373"/>
      <c r="DF76" s="373"/>
      <c r="DG76" s="373"/>
      <c r="DH76" s="373"/>
      <c r="DI76" s="375">
        <f t="shared" si="99"/>
        <v>0</v>
      </c>
      <c r="DJ76" s="320"/>
      <c r="DK76" s="373"/>
      <c r="DL76" s="373"/>
      <c r="DM76" s="373"/>
      <c r="DN76" s="373"/>
      <c r="DO76" s="373"/>
      <c r="DP76" s="373"/>
      <c r="DQ76" s="373"/>
      <c r="DR76" s="373"/>
      <c r="DS76" s="373"/>
      <c r="DT76" s="373"/>
      <c r="DU76" s="373"/>
      <c r="DV76" s="373"/>
      <c r="DW76" s="375">
        <f t="shared" si="101"/>
        <v>0</v>
      </c>
      <c r="DY76" s="373"/>
      <c r="DZ76" s="373"/>
      <c r="EA76" s="373"/>
      <c r="EB76" s="373"/>
      <c r="EC76" s="373"/>
      <c r="ED76" s="373"/>
      <c r="EE76" s="373"/>
      <c r="EF76" s="373"/>
      <c r="EG76" s="373"/>
      <c r="EH76" s="373"/>
      <c r="EI76" s="373"/>
      <c r="EJ76" s="373"/>
      <c r="EK76" s="375">
        <f t="shared" si="94"/>
        <v>0</v>
      </c>
      <c r="EL76" s="177"/>
      <c r="EM76" s="373"/>
      <c r="EN76" s="373"/>
      <c r="EO76" s="373"/>
      <c r="EP76" s="373"/>
      <c r="EQ76" s="373"/>
      <c r="ER76" s="373"/>
      <c r="ES76" s="373"/>
      <c r="ET76" s="373"/>
      <c r="EU76" s="373"/>
      <c r="EV76" s="373"/>
      <c r="EW76" s="373"/>
      <c r="EX76" s="373"/>
      <c r="EY76" s="375">
        <f t="shared" si="96"/>
        <v>0</v>
      </c>
      <c r="EZ76" s="164"/>
      <c r="FC76" s="185">
        <v>0</v>
      </c>
    </row>
    <row r="77" spans="1:161" ht="18.75" customHeight="1">
      <c r="A77" s="185" t="s">
        <v>329</v>
      </c>
      <c r="B77" s="176">
        <v>60320000</v>
      </c>
      <c r="C77" s="176" t="s">
        <v>109</v>
      </c>
      <c r="D77" s="176" t="s">
        <v>109</v>
      </c>
      <c r="E77" s="324"/>
      <c r="F77" s="320" t="s">
        <v>773</v>
      </c>
      <c r="G77" s="320"/>
      <c r="H77" s="417">
        <v>0</v>
      </c>
      <c r="I77" s="417">
        <v>0</v>
      </c>
      <c r="J77" s="417">
        <v>0</v>
      </c>
      <c r="K77" s="417">
        <v>200000</v>
      </c>
      <c r="L77" s="417">
        <v>400000</v>
      </c>
      <c r="M77" s="417">
        <v>0</v>
      </c>
      <c r="N77" s="417">
        <v>0</v>
      </c>
      <c r="O77" s="417">
        <v>0</v>
      </c>
      <c r="P77" s="417">
        <v>0</v>
      </c>
      <c r="Q77" s="819">
        <v>0</v>
      </c>
      <c r="R77" s="417">
        <v>0</v>
      </c>
      <c r="S77" s="417">
        <v>0</v>
      </c>
      <c r="T77" s="402"/>
      <c r="U77" s="366">
        <f t="shared" si="81"/>
        <v>547492.64</v>
      </c>
      <c r="V77" s="165">
        <f t="shared" si="82"/>
        <v>1</v>
      </c>
      <c r="W77" s="212"/>
      <c r="X77" s="417">
        <v>16773.25</v>
      </c>
      <c r="Y77" s="417">
        <v>2448.8000000000002</v>
      </c>
      <c r="Z77" s="417">
        <v>383044.07</v>
      </c>
      <c r="AA77" s="417">
        <v>0</v>
      </c>
      <c r="AB77" s="417">
        <v>1262.1400000000001</v>
      </c>
      <c r="AC77" s="417">
        <v>4298.3999999999996</v>
      </c>
      <c r="AD77" s="417">
        <v>118456</v>
      </c>
      <c r="AE77" s="417">
        <v>11268.189999999999</v>
      </c>
      <c r="AF77" s="417">
        <v>2553.54</v>
      </c>
      <c r="AG77" s="819">
        <v>4605.5</v>
      </c>
      <c r="AH77" s="417">
        <v>330</v>
      </c>
      <c r="AI77" s="417">
        <v>2452.75</v>
      </c>
      <c r="AJ77" s="375">
        <f t="shared" si="83"/>
        <v>547492.64</v>
      </c>
      <c r="AK77" s="212"/>
      <c r="AL77" s="417">
        <v>0</v>
      </c>
      <c r="AM77" s="417">
        <v>0</v>
      </c>
      <c r="AN77" s="417">
        <v>0</v>
      </c>
      <c r="AO77" s="417">
        <v>200000</v>
      </c>
      <c r="AP77" s="417">
        <v>400000</v>
      </c>
      <c r="AQ77" s="417">
        <v>0</v>
      </c>
      <c r="AR77" s="417">
        <v>0</v>
      </c>
      <c r="AS77" s="417">
        <v>0</v>
      </c>
      <c r="AT77" s="417">
        <v>0</v>
      </c>
      <c r="AU77" s="819">
        <v>0</v>
      </c>
      <c r="AV77" s="417">
        <v>0</v>
      </c>
      <c r="AW77" s="417">
        <v>0</v>
      </c>
      <c r="AX77" s="375">
        <f t="shared" si="102"/>
        <v>600000</v>
      </c>
      <c r="AY77" s="366">
        <f t="shared" si="85"/>
        <v>-527691.15</v>
      </c>
      <c r="AZ77" s="165">
        <f t="shared" si="86"/>
        <v>-7.2977394883198938</v>
      </c>
      <c r="BA77" s="212"/>
      <c r="BB77" s="417">
        <v>12431.59</v>
      </c>
      <c r="BC77" s="417">
        <v>71724</v>
      </c>
      <c r="BD77" s="417">
        <v>716.6</v>
      </c>
      <c r="BE77" s="417">
        <v>0</v>
      </c>
      <c r="BF77" s="417">
        <v>0</v>
      </c>
      <c r="BG77" s="417">
        <v>0</v>
      </c>
      <c r="BH77" s="417">
        <v>-20531.72</v>
      </c>
      <c r="BI77" s="417">
        <v>0</v>
      </c>
      <c r="BJ77" s="417">
        <v>730</v>
      </c>
      <c r="BK77" s="819">
        <v>3471.5</v>
      </c>
      <c r="BL77" s="417">
        <v>1166.8800000000001</v>
      </c>
      <c r="BM77" s="417">
        <v>1756.9</v>
      </c>
      <c r="BN77" s="375">
        <v>72308.850000000006</v>
      </c>
      <c r="BO77" s="212"/>
      <c r="BP77" s="818">
        <v>2600</v>
      </c>
      <c r="BQ77" s="818">
        <v>61100</v>
      </c>
      <c r="BR77" s="818">
        <v>12600</v>
      </c>
      <c r="BS77" s="818">
        <v>2600</v>
      </c>
      <c r="BT77" s="818">
        <v>2600</v>
      </c>
      <c r="BU77" s="818">
        <v>2600</v>
      </c>
      <c r="BV77" s="818">
        <v>12600</v>
      </c>
      <c r="BW77" s="818">
        <v>2600</v>
      </c>
      <c r="BX77" s="818">
        <v>2600</v>
      </c>
      <c r="BY77" s="818">
        <v>2600</v>
      </c>
      <c r="BZ77" s="818">
        <v>12600</v>
      </c>
      <c r="CA77" s="818">
        <v>2600</v>
      </c>
      <c r="CB77" s="375">
        <f>SUM(BP77:CA77)</f>
        <v>119700</v>
      </c>
      <c r="CC77" s="366">
        <f t="shared" si="88"/>
        <v>47391.149999999994</v>
      </c>
      <c r="CD77" s="165">
        <f t="shared" si="89"/>
        <v>0.39591604010025055</v>
      </c>
      <c r="CE77" s="367"/>
      <c r="CF77" s="373">
        <v>4200</v>
      </c>
      <c r="CG77" s="373">
        <v>47258</v>
      </c>
      <c r="CH77" s="373">
        <v>15487.7</v>
      </c>
      <c r="CI77" s="373">
        <v>2263.6999999999998</v>
      </c>
      <c r="CJ77" s="373">
        <v>13089</v>
      </c>
      <c r="CK77" s="373">
        <v>35792.770000000004</v>
      </c>
      <c r="CL77" s="373">
        <v>45830.8</v>
      </c>
      <c r="CM77" s="373">
        <v>6928.01</v>
      </c>
      <c r="CN77" s="373">
        <v>20908.66</v>
      </c>
      <c r="CO77" s="373">
        <v>8301</v>
      </c>
      <c r="CP77" s="373">
        <v>55803.9</v>
      </c>
      <c r="CQ77" s="373">
        <v>42677.94</v>
      </c>
      <c r="CR77" s="376"/>
      <c r="CS77" s="375">
        <f t="shared" si="90"/>
        <v>298541.48</v>
      </c>
      <c r="CT77" s="378">
        <f t="shared" si="95"/>
        <v>226232.62999999998</v>
      </c>
      <c r="CU77" s="165">
        <f t="shared" si="91"/>
        <v>0.7577929539305559</v>
      </c>
      <c r="CV77" s="320"/>
      <c r="CW77" s="373"/>
      <c r="CX77" s="373"/>
      <c r="CY77" s="373"/>
      <c r="CZ77" s="373"/>
      <c r="DA77" s="373"/>
      <c r="DB77" s="373"/>
      <c r="DC77" s="373"/>
      <c r="DD77" s="373"/>
      <c r="DE77" s="373"/>
      <c r="DF77" s="373"/>
      <c r="DG77" s="373"/>
      <c r="DH77" s="373"/>
      <c r="DI77" s="375">
        <f t="shared" si="99"/>
        <v>0</v>
      </c>
      <c r="DJ77" s="320"/>
      <c r="DK77" s="373"/>
      <c r="DL77" s="373"/>
      <c r="DM77" s="373"/>
      <c r="DN77" s="373"/>
      <c r="DO77" s="373"/>
      <c r="DP77" s="373"/>
      <c r="DQ77" s="373"/>
      <c r="DR77" s="373"/>
      <c r="DS77" s="373"/>
      <c r="DT77" s="373"/>
      <c r="DU77" s="373"/>
      <c r="DV77" s="373"/>
      <c r="DW77" s="375">
        <f t="shared" si="101"/>
        <v>0</v>
      </c>
      <c r="DY77" s="373"/>
      <c r="DZ77" s="373"/>
      <c r="EA77" s="373"/>
      <c r="EB77" s="373"/>
      <c r="EC77" s="373"/>
      <c r="ED77" s="373"/>
      <c r="EE77" s="373"/>
      <c r="EF77" s="373"/>
      <c r="EG77" s="373"/>
      <c r="EH77" s="373"/>
      <c r="EI77" s="373"/>
      <c r="EJ77" s="373"/>
      <c r="EK77" s="375">
        <f t="shared" si="94"/>
        <v>0</v>
      </c>
      <c r="EL77" s="177"/>
      <c r="EM77" s="373"/>
      <c r="EN77" s="373"/>
      <c r="EO77" s="373"/>
      <c r="EP77" s="373"/>
      <c r="EQ77" s="373"/>
      <c r="ER77" s="373"/>
      <c r="ES77" s="373"/>
      <c r="ET77" s="373"/>
      <c r="EU77" s="373"/>
      <c r="EV77" s="373"/>
      <c r="EW77" s="373"/>
      <c r="EX77" s="373"/>
      <c r="EY77" s="375">
        <f t="shared" si="96"/>
        <v>0</v>
      </c>
      <c r="EZ77" s="164"/>
      <c r="FC77" s="185">
        <v>0</v>
      </c>
    </row>
    <row r="78" spans="1:161" ht="18.75" hidden="1" customHeight="1" outlineLevel="1">
      <c r="A78" s="185" t="s">
        <v>329</v>
      </c>
      <c r="B78" s="176">
        <v>60399999</v>
      </c>
      <c r="C78" s="176" t="s">
        <v>109</v>
      </c>
      <c r="D78" s="176" t="s">
        <v>109</v>
      </c>
      <c r="E78" s="324"/>
      <c r="F78" s="320" t="s">
        <v>651</v>
      </c>
      <c r="G78" s="320"/>
      <c r="H78" s="417">
        <v>0</v>
      </c>
      <c r="I78" s="417">
        <v>0</v>
      </c>
      <c r="J78" s="417">
        <v>0</v>
      </c>
      <c r="K78" s="417">
        <v>0</v>
      </c>
      <c r="L78" s="417">
        <v>0</v>
      </c>
      <c r="M78" s="417">
        <v>0</v>
      </c>
      <c r="N78" s="417">
        <v>0</v>
      </c>
      <c r="O78" s="417">
        <v>0</v>
      </c>
      <c r="P78" s="417">
        <v>0</v>
      </c>
      <c r="Q78" s="819">
        <v>0</v>
      </c>
      <c r="R78" s="417">
        <v>0</v>
      </c>
      <c r="S78" s="417">
        <v>0</v>
      </c>
      <c r="T78" s="402"/>
      <c r="U78" s="366">
        <f t="shared" si="81"/>
        <v>0</v>
      </c>
      <c r="V78" s="165" t="e">
        <f t="shared" si="82"/>
        <v>#DIV/0!</v>
      </c>
      <c r="W78" s="212"/>
      <c r="X78" s="417">
        <v>0</v>
      </c>
      <c r="Y78" s="417">
        <v>0</v>
      </c>
      <c r="Z78" s="417">
        <v>0</v>
      </c>
      <c r="AA78" s="417">
        <v>0</v>
      </c>
      <c r="AB78" s="417">
        <v>0</v>
      </c>
      <c r="AC78" s="417">
        <v>0</v>
      </c>
      <c r="AD78" s="417">
        <v>0</v>
      </c>
      <c r="AE78" s="417">
        <v>0</v>
      </c>
      <c r="AF78" s="417">
        <v>0</v>
      </c>
      <c r="AG78" s="819">
        <v>0</v>
      </c>
      <c r="AH78" s="417">
        <v>0</v>
      </c>
      <c r="AI78" s="417">
        <v>0</v>
      </c>
      <c r="AJ78" s="375">
        <f t="shared" si="83"/>
        <v>0</v>
      </c>
      <c r="AK78" s="212"/>
      <c r="AL78" s="417">
        <v>0</v>
      </c>
      <c r="AM78" s="417">
        <v>0</v>
      </c>
      <c r="AN78" s="417">
        <v>0</v>
      </c>
      <c r="AO78" s="417">
        <v>0</v>
      </c>
      <c r="AP78" s="417">
        <v>0</v>
      </c>
      <c r="AQ78" s="417">
        <v>0</v>
      </c>
      <c r="AR78" s="417">
        <v>0</v>
      </c>
      <c r="AS78" s="417">
        <v>0</v>
      </c>
      <c r="AT78" s="417">
        <v>0</v>
      </c>
      <c r="AU78" s="819">
        <v>0</v>
      </c>
      <c r="AV78" s="417">
        <v>0</v>
      </c>
      <c r="AW78" s="417">
        <v>0</v>
      </c>
      <c r="AX78" s="375">
        <f t="shared" si="102"/>
        <v>0</v>
      </c>
      <c r="AY78" s="366">
        <f t="shared" si="85"/>
        <v>0</v>
      </c>
      <c r="AZ78" s="165" t="e">
        <f t="shared" si="86"/>
        <v>#DIV/0!</v>
      </c>
      <c r="BA78" s="212"/>
      <c r="BB78" s="417">
        <v>0</v>
      </c>
      <c r="BC78" s="417">
        <v>0</v>
      </c>
      <c r="BD78" s="417">
        <v>0</v>
      </c>
      <c r="BE78" s="417">
        <v>0</v>
      </c>
      <c r="BF78" s="417">
        <v>0</v>
      </c>
      <c r="BG78" s="417">
        <v>0</v>
      </c>
      <c r="BH78" s="417">
        <v>0</v>
      </c>
      <c r="BI78" s="417">
        <v>0</v>
      </c>
      <c r="BJ78" s="417">
        <v>0</v>
      </c>
      <c r="BK78" s="819">
        <v>0</v>
      </c>
      <c r="BL78" s="417">
        <v>0</v>
      </c>
      <c r="BM78" s="417">
        <v>0</v>
      </c>
      <c r="BN78" s="375">
        <v>0</v>
      </c>
      <c r="BO78" s="212"/>
      <c r="BP78" s="818">
        <v>0</v>
      </c>
      <c r="BQ78" s="818">
        <v>0</v>
      </c>
      <c r="BR78" s="818">
        <v>0</v>
      </c>
      <c r="BS78" s="818">
        <v>0</v>
      </c>
      <c r="BT78" s="818">
        <v>0</v>
      </c>
      <c r="BU78" s="818">
        <v>0</v>
      </c>
      <c r="BV78" s="818">
        <v>0</v>
      </c>
      <c r="BW78" s="818">
        <v>0</v>
      </c>
      <c r="BX78" s="818">
        <v>0</v>
      </c>
      <c r="BY78" s="818">
        <v>0</v>
      </c>
      <c r="BZ78" s="818">
        <v>0</v>
      </c>
      <c r="CA78" s="818">
        <v>0</v>
      </c>
      <c r="CB78" s="375">
        <f t="shared" si="87"/>
        <v>0</v>
      </c>
      <c r="CC78" s="366">
        <f t="shared" si="88"/>
        <v>0</v>
      </c>
      <c r="CD78" s="165" t="str">
        <f t="shared" si="89"/>
        <v>N/A</v>
      </c>
      <c r="CE78" s="367"/>
      <c r="CF78" s="373">
        <v>0</v>
      </c>
      <c r="CG78" s="373">
        <v>0</v>
      </c>
      <c r="CH78" s="373">
        <v>0</v>
      </c>
      <c r="CI78" s="373">
        <v>0</v>
      </c>
      <c r="CJ78" s="373">
        <v>0</v>
      </c>
      <c r="CK78" s="373">
        <v>0</v>
      </c>
      <c r="CL78" s="373">
        <v>0</v>
      </c>
      <c r="CM78" s="373">
        <v>0</v>
      </c>
      <c r="CN78" s="373">
        <v>0</v>
      </c>
      <c r="CO78" s="373">
        <v>0</v>
      </c>
      <c r="CP78" s="373">
        <v>0</v>
      </c>
      <c r="CQ78" s="373">
        <v>0</v>
      </c>
      <c r="CR78" s="376"/>
      <c r="CS78" s="375">
        <f t="shared" si="90"/>
        <v>0</v>
      </c>
      <c r="CT78" s="378">
        <f t="shared" si="95"/>
        <v>0</v>
      </c>
      <c r="CU78" s="165" t="str">
        <f t="shared" si="91"/>
        <v>N/A</v>
      </c>
      <c r="CV78" s="320"/>
      <c r="CW78" s="373">
        <v>0</v>
      </c>
      <c r="CX78" s="373">
        <v>0</v>
      </c>
      <c r="CY78" s="373">
        <v>0</v>
      </c>
      <c r="CZ78" s="373">
        <v>0</v>
      </c>
      <c r="DA78" s="373">
        <v>0</v>
      </c>
      <c r="DB78" s="373">
        <v>0</v>
      </c>
      <c r="DC78" s="373">
        <v>0</v>
      </c>
      <c r="DD78" s="373">
        <v>0</v>
      </c>
      <c r="DE78" s="373">
        <v>0</v>
      </c>
      <c r="DF78" s="373">
        <v>0</v>
      </c>
      <c r="DG78" s="373">
        <v>0</v>
      </c>
      <c r="DH78" s="373">
        <v>0</v>
      </c>
      <c r="DI78" s="375">
        <f t="shared" si="99"/>
        <v>0</v>
      </c>
      <c r="DJ78" s="320"/>
      <c r="DK78" s="373"/>
      <c r="DL78" s="373"/>
      <c r="DM78" s="373"/>
      <c r="DN78" s="373"/>
      <c r="DO78" s="373"/>
      <c r="DP78" s="373"/>
      <c r="DQ78" s="373"/>
      <c r="DR78" s="373"/>
      <c r="DS78" s="373"/>
      <c r="DT78" s="373"/>
      <c r="DU78" s="373"/>
      <c r="DV78" s="373"/>
      <c r="DW78" s="375">
        <f t="shared" si="101"/>
        <v>0</v>
      </c>
      <c r="DY78" s="373"/>
      <c r="DZ78" s="373"/>
      <c r="EA78" s="373"/>
      <c r="EB78" s="373"/>
      <c r="EC78" s="373"/>
      <c r="ED78" s="373"/>
      <c r="EE78" s="373"/>
      <c r="EF78" s="373"/>
      <c r="EG78" s="373"/>
      <c r="EH78" s="373"/>
      <c r="EI78" s="373"/>
      <c r="EJ78" s="373"/>
      <c r="EK78" s="375">
        <f t="shared" si="94"/>
        <v>0</v>
      </c>
      <c r="EL78" s="177"/>
      <c r="EM78" s="373"/>
      <c r="EN78" s="373"/>
      <c r="EO78" s="373"/>
      <c r="EP78" s="373"/>
      <c r="EQ78" s="373"/>
      <c r="ER78" s="373"/>
      <c r="ES78" s="373"/>
      <c r="ET78" s="373"/>
      <c r="EU78" s="373"/>
      <c r="EV78" s="373"/>
      <c r="EW78" s="373"/>
      <c r="EX78" s="373"/>
      <c r="EY78" s="375">
        <f t="shared" si="96"/>
        <v>0</v>
      </c>
      <c r="EZ78" s="164"/>
      <c r="FB78" s="185">
        <v>60406000</v>
      </c>
      <c r="FC78" s="185">
        <v>0</v>
      </c>
      <c r="FE78" s="185">
        <v>0</v>
      </c>
    </row>
    <row r="79" spans="1:161" ht="18.75" hidden="1" customHeight="1" outlineLevel="1">
      <c r="A79" s="185" t="s">
        <v>329</v>
      </c>
      <c r="B79" s="176">
        <v>60401000</v>
      </c>
      <c r="C79" s="176" t="s">
        <v>109</v>
      </c>
      <c r="D79" s="176" t="s">
        <v>109</v>
      </c>
      <c r="E79" s="324"/>
      <c r="F79" s="320" t="s">
        <v>352</v>
      </c>
      <c r="G79" s="320"/>
      <c r="H79" s="417">
        <v>0</v>
      </c>
      <c r="I79" s="417">
        <v>0</v>
      </c>
      <c r="J79" s="417">
        <v>0</v>
      </c>
      <c r="K79" s="417">
        <v>0</v>
      </c>
      <c r="L79" s="417">
        <v>0</v>
      </c>
      <c r="M79" s="417">
        <v>0</v>
      </c>
      <c r="N79" s="417">
        <v>0</v>
      </c>
      <c r="O79" s="417">
        <v>0</v>
      </c>
      <c r="P79" s="417">
        <v>0</v>
      </c>
      <c r="Q79" s="819">
        <v>0</v>
      </c>
      <c r="R79" s="417">
        <v>0</v>
      </c>
      <c r="S79" s="417">
        <v>0</v>
      </c>
      <c r="T79" s="402"/>
      <c r="U79" s="366">
        <f t="shared" si="81"/>
        <v>0</v>
      </c>
      <c r="V79" s="165" t="e">
        <f t="shared" si="82"/>
        <v>#DIV/0!</v>
      </c>
      <c r="W79" s="212"/>
      <c r="X79" s="417">
        <v>0</v>
      </c>
      <c r="Y79" s="417">
        <v>0</v>
      </c>
      <c r="Z79" s="417">
        <v>0</v>
      </c>
      <c r="AA79" s="417">
        <v>0</v>
      </c>
      <c r="AB79" s="417">
        <v>0</v>
      </c>
      <c r="AC79" s="417">
        <v>0</v>
      </c>
      <c r="AD79" s="417">
        <v>0</v>
      </c>
      <c r="AE79" s="417">
        <v>0</v>
      </c>
      <c r="AF79" s="417">
        <v>0</v>
      </c>
      <c r="AG79" s="819">
        <v>0</v>
      </c>
      <c r="AH79" s="417">
        <v>0</v>
      </c>
      <c r="AI79" s="417">
        <v>0</v>
      </c>
      <c r="AJ79" s="375">
        <f t="shared" si="83"/>
        <v>0</v>
      </c>
      <c r="AK79" s="212"/>
      <c r="AL79" s="417">
        <v>0</v>
      </c>
      <c r="AM79" s="417">
        <v>0</v>
      </c>
      <c r="AN79" s="417">
        <v>0</v>
      </c>
      <c r="AO79" s="417">
        <v>0</v>
      </c>
      <c r="AP79" s="417">
        <v>0</v>
      </c>
      <c r="AQ79" s="417">
        <v>0</v>
      </c>
      <c r="AR79" s="417">
        <v>0</v>
      </c>
      <c r="AS79" s="417">
        <v>0</v>
      </c>
      <c r="AT79" s="417">
        <v>0</v>
      </c>
      <c r="AU79" s="819">
        <v>0</v>
      </c>
      <c r="AV79" s="417">
        <v>0</v>
      </c>
      <c r="AW79" s="417">
        <v>0</v>
      </c>
      <c r="AX79" s="375">
        <f t="shared" si="102"/>
        <v>0</v>
      </c>
      <c r="AY79" s="366">
        <f t="shared" si="85"/>
        <v>0</v>
      </c>
      <c r="AZ79" s="165" t="e">
        <f t="shared" si="86"/>
        <v>#DIV/0!</v>
      </c>
      <c r="BA79" s="212"/>
      <c r="BB79" s="417">
        <v>0</v>
      </c>
      <c r="BC79" s="417">
        <v>0</v>
      </c>
      <c r="BD79" s="417">
        <v>0</v>
      </c>
      <c r="BE79" s="417">
        <v>0</v>
      </c>
      <c r="BF79" s="417">
        <v>0</v>
      </c>
      <c r="BG79" s="417">
        <v>0</v>
      </c>
      <c r="BH79" s="417">
        <v>0</v>
      </c>
      <c r="BI79" s="417">
        <v>0</v>
      </c>
      <c r="BJ79" s="417">
        <v>0</v>
      </c>
      <c r="BK79" s="819">
        <v>0</v>
      </c>
      <c r="BL79" s="417">
        <v>0</v>
      </c>
      <c r="BM79" s="417">
        <v>0</v>
      </c>
      <c r="BN79" s="375">
        <v>0</v>
      </c>
      <c r="BO79" s="212"/>
      <c r="BP79" s="818">
        <v>0</v>
      </c>
      <c r="BQ79" s="818">
        <v>0</v>
      </c>
      <c r="BR79" s="818">
        <v>0</v>
      </c>
      <c r="BS79" s="818">
        <v>0</v>
      </c>
      <c r="BT79" s="818">
        <v>0</v>
      </c>
      <c r="BU79" s="818">
        <v>0</v>
      </c>
      <c r="BV79" s="818">
        <v>0</v>
      </c>
      <c r="BW79" s="818">
        <v>0</v>
      </c>
      <c r="BX79" s="818">
        <v>0</v>
      </c>
      <c r="BY79" s="818">
        <v>0</v>
      </c>
      <c r="BZ79" s="818">
        <v>0</v>
      </c>
      <c r="CA79" s="818">
        <v>0</v>
      </c>
      <c r="CB79" s="375">
        <f t="shared" si="87"/>
        <v>0</v>
      </c>
      <c r="CC79" s="366">
        <f t="shared" si="88"/>
        <v>0</v>
      </c>
      <c r="CD79" s="165" t="str">
        <f t="shared" si="89"/>
        <v>N/A</v>
      </c>
      <c r="CE79" s="367"/>
      <c r="CF79" s="373">
        <v>0</v>
      </c>
      <c r="CG79" s="373">
        <v>0</v>
      </c>
      <c r="CH79" s="373">
        <v>0</v>
      </c>
      <c r="CI79" s="373">
        <v>0</v>
      </c>
      <c r="CJ79" s="373">
        <v>0</v>
      </c>
      <c r="CK79" s="373">
        <v>0</v>
      </c>
      <c r="CL79" s="373">
        <v>0</v>
      </c>
      <c r="CM79" s="373">
        <v>0</v>
      </c>
      <c r="CN79" s="373">
        <v>0</v>
      </c>
      <c r="CO79" s="373">
        <v>0</v>
      </c>
      <c r="CP79" s="373">
        <v>0</v>
      </c>
      <c r="CQ79" s="373">
        <v>0</v>
      </c>
      <c r="CR79" s="376"/>
      <c r="CS79" s="375">
        <f t="shared" si="90"/>
        <v>0</v>
      </c>
      <c r="CT79" s="378">
        <f t="shared" si="95"/>
        <v>0</v>
      </c>
      <c r="CU79" s="165" t="str">
        <f t="shared" si="91"/>
        <v>N/A</v>
      </c>
      <c r="CV79" s="320"/>
      <c r="CW79" s="373">
        <v>0</v>
      </c>
      <c r="CX79" s="373">
        <v>0</v>
      </c>
      <c r="CY79" s="373">
        <v>0</v>
      </c>
      <c r="CZ79" s="373">
        <v>0</v>
      </c>
      <c r="DA79" s="373">
        <v>0</v>
      </c>
      <c r="DB79" s="373">
        <v>0</v>
      </c>
      <c r="DC79" s="373">
        <v>0</v>
      </c>
      <c r="DD79" s="373">
        <v>0</v>
      </c>
      <c r="DE79" s="373">
        <v>0</v>
      </c>
      <c r="DF79" s="373">
        <v>0</v>
      </c>
      <c r="DG79" s="373">
        <v>0</v>
      </c>
      <c r="DH79" s="373">
        <v>0</v>
      </c>
      <c r="DI79" s="375">
        <f t="shared" si="99"/>
        <v>0</v>
      </c>
      <c r="DJ79" s="320"/>
      <c r="DK79" s="373"/>
      <c r="DL79" s="373"/>
      <c r="DM79" s="373"/>
      <c r="DN79" s="373"/>
      <c r="DO79" s="373"/>
      <c r="DP79" s="373"/>
      <c r="DQ79" s="373"/>
      <c r="DR79" s="373"/>
      <c r="DS79" s="373"/>
      <c r="DT79" s="373"/>
      <c r="DU79" s="373"/>
      <c r="DV79" s="373"/>
      <c r="DW79" s="375">
        <f t="shared" ref="DW79:DW116" si="103">SUM(DK79:DV79)</f>
        <v>0</v>
      </c>
      <c r="DY79" s="373"/>
      <c r="DZ79" s="373"/>
      <c r="EA79" s="373"/>
      <c r="EB79" s="373"/>
      <c r="EC79" s="373"/>
      <c r="ED79" s="373"/>
      <c r="EE79" s="373"/>
      <c r="EF79" s="373"/>
      <c r="EG79" s="373"/>
      <c r="EH79" s="373"/>
      <c r="EI79" s="373"/>
      <c r="EJ79" s="373"/>
      <c r="EK79" s="375">
        <f t="shared" si="94"/>
        <v>0</v>
      </c>
      <c r="EL79" s="177"/>
      <c r="EM79" s="373"/>
      <c r="EN79" s="373"/>
      <c r="EO79" s="373"/>
      <c r="EP79" s="373"/>
      <c r="EQ79" s="373"/>
      <c r="ER79" s="373"/>
      <c r="ES79" s="373"/>
      <c r="ET79" s="373"/>
      <c r="EU79" s="373"/>
      <c r="EV79" s="373"/>
      <c r="EW79" s="373"/>
      <c r="EX79" s="373"/>
      <c r="EY79" s="375">
        <f t="shared" si="96"/>
        <v>0</v>
      </c>
      <c r="EZ79" s="164"/>
      <c r="FC79" s="185">
        <v>0</v>
      </c>
      <c r="FE79" s="185">
        <v>0</v>
      </c>
    </row>
    <row r="80" spans="1:161" ht="18.75" customHeight="1" collapsed="1">
      <c r="A80" s="185" t="s">
        <v>329</v>
      </c>
      <c r="B80" s="176">
        <v>60402000</v>
      </c>
      <c r="C80" s="176" t="s">
        <v>109</v>
      </c>
      <c r="D80" s="176" t="s">
        <v>109</v>
      </c>
      <c r="E80" s="324"/>
      <c r="F80" s="320" t="s">
        <v>351</v>
      </c>
      <c r="G80" s="320"/>
      <c r="H80" s="417">
        <v>0</v>
      </c>
      <c r="I80" s="417">
        <v>0</v>
      </c>
      <c r="J80" s="417">
        <v>0</v>
      </c>
      <c r="K80" s="417">
        <v>0</v>
      </c>
      <c r="L80" s="417">
        <v>0</v>
      </c>
      <c r="M80" s="417">
        <v>0</v>
      </c>
      <c r="N80" s="417">
        <v>0</v>
      </c>
      <c r="O80" s="417">
        <v>0</v>
      </c>
      <c r="P80" s="417">
        <v>0</v>
      </c>
      <c r="Q80" s="819">
        <v>0</v>
      </c>
      <c r="R80" s="417">
        <v>0</v>
      </c>
      <c r="S80" s="417">
        <v>0</v>
      </c>
      <c r="T80" s="402"/>
      <c r="U80" s="366">
        <f t="shared" si="81"/>
        <v>0</v>
      </c>
      <c r="V80" s="165" t="e">
        <f t="shared" si="82"/>
        <v>#DIV/0!</v>
      </c>
      <c r="W80" s="212"/>
      <c r="X80" s="417">
        <v>0</v>
      </c>
      <c r="Y80" s="417">
        <v>0</v>
      </c>
      <c r="Z80" s="417">
        <v>0</v>
      </c>
      <c r="AA80" s="417">
        <v>0</v>
      </c>
      <c r="AB80" s="417">
        <v>0</v>
      </c>
      <c r="AC80" s="417">
        <v>0</v>
      </c>
      <c r="AD80" s="417">
        <v>0</v>
      </c>
      <c r="AE80" s="417">
        <v>0</v>
      </c>
      <c r="AF80" s="417">
        <v>0</v>
      </c>
      <c r="AG80" s="819">
        <v>0</v>
      </c>
      <c r="AH80" s="417">
        <v>0</v>
      </c>
      <c r="AI80" s="417">
        <v>0</v>
      </c>
      <c r="AJ80" s="375">
        <f t="shared" si="83"/>
        <v>0</v>
      </c>
      <c r="AK80" s="212"/>
      <c r="AL80" s="417">
        <v>0</v>
      </c>
      <c r="AM80" s="417">
        <v>0</v>
      </c>
      <c r="AN80" s="417">
        <v>0</v>
      </c>
      <c r="AO80" s="417">
        <v>0</v>
      </c>
      <c r="AP80" s="417">
        <v>0</v>
      </c>
      <c r="AQ80" s="417">
        <v>0</v>
      </c>
      <c r="AR80" s="417">
        <v>0</v>
      </c>
      <c r="AS80" s="417">
        <v>0</v>
      </c>
      <c r="AT80" s="417">
        <v>0</v>
      </c>
      <c r="AU80" s="819">
        <v>0</v>
      </c>
      <c r="AV80" s="417">
        <v>0</v>
      </c>
      <c r="AW80" s="417">
        <v>0</v>
      </c>
      <c r="AX80" s="375">
        <f t="shared" si="102"/>
        <v>0</v>
      </c>
      <c r="AY80" s="366">
        <f t="shared" si="85"/>
        <v>0</v>
      </c>
      <c r="AZ80" s="165" t="e">
        <f t="shared" si="86"/>
        <v>#DIV/0!</v>
      </c>
      <c r="BA80" s="212"/>
      <c r="BB80" s="417">
        <v>0</v>
      </c>
      <c r="BC80" s="417">
        <v>0</v>
      </c>
      <c r="BD80" s="417">
        <v>0</v>
      </c>
      <c r="BE80" s="417">
        <v>0</v>
      </c>
      <c r="BF80" s="417">
        <v>0</v>
      </c>
      <c r="BG80" s="417">
        <v>0</v>
      </c>
      <c r="BH80" s="417">
        <v>0</v>
      </c>
      <c r="BI80" s="417">
        <v>0</v>
      </c>
      <c r="BJ80" s="417">
        <v>0</v>
      </c>
      <c r="BK80" s="819">
        <v>0</v>
      </c>
      <c r="BL80" s="417">
        <v>0</v>
      </c>
      <c r="BM80" s="417">
        <v>0</v>
      </c>
      <c r="BN80" s="375">
        <v>0</v>
      </c>
      <c r="BO80" s="212"/>
      <c r="BP80" s="818">
        <v>0</v>
      </c>
      <c r="BQ80" s="818">
        <v>0</v>
      </c>
      <c r="BR80" s="818">
        <v>0</v>
      </c>
      <c r="BS80" s="818">
        <v>0</v>
      </c>
      <c r="BT80" s="818">
        <v>0</v>
      </c>
      <c r="BU80" s="818">
        <v>200000</v>
      </c>
      <c r="BV80" s="818">
        <v>0</v>
      </c>
      <c r="BW80" s="818">
        <v>0</v>
      </c>
      <c r="BX80" s="818">
        <v>0</v>
      </c>
      <c r="BY80" s="818">
        <v>0</v>
      </c>
      <c r="BZ80" s="818">
        <v>0</v>
      </c>
      <c r="CA80" s="818">
        <v>0</v>
      </c>
      <c r="CB80" s="375">
        <f t="shared" si="87"/>
        <v>200000</v>
      </c>
      <c r="CC80" s="366">
        <f t="shared" si="88"/>
        <v>200000</v>
      </c>
      <c r="CD80" s="165">
        <f t="shared" si="89"/>
        <v>1</v>
      </c>
      <c r="CE80" s="367"/>
      <c r="CF80" s="373">
        <v>0</v>
      </c>
      <c r="CG80" s="373">
        <v>0</v>
      </c>
      <c r="CH80" s="373">
        <v>0</v>
      </c>
      <c r="CI80" s="373">
        <v>0</v>
      </c>
      <c r="CJ80" s="373">
        <v>0</v>
      </c>
      <c r="CK80" s="373">
        <v>0</v>
      </c>
      <c r="CL80" s="373">
        <v>0</v>
      </c>
      <c r="CM80" s="373">
        <v>0</v>
      </c>
      <c r="CN80" s="373">
        <v>0</v>
      </c>
      <c r="CO80" s="373">
        <v>0</v>
      </c>
      <c r="CP80" s="373">
        <v>0</v>
      </c>
      <c r="CQ80" s="373">
        <v>0</v>
      </c>
      <c r="CR80" s="376"/>
      <c r="CS80" s="375">
        <f t="shared" si="90"/>
        <v>0</v>
      </c>
      <c r="CT80" s="378">
        <f t="shared" si="95"/>
        <v>0</v>
      </c>
      <c r="CU80" s="165" t="str">
        <f t="shared" si="91"/>
        <v>N/A</v>
      </c>
      <c r="CV80" s="320"/>
      <c r="CW80" s="373">
        <v>0</v>
      </c>
      <c r="CX80" s="373">
        <v>0</v>
      </c>
      <c r="CY80" s="373">
        <v>0</v>
      </c>
      <c r="CZ80" s="373">
        <v>0</v>
      </c>
      <c r="DA80" s="373">
        <v>0</v>
      </c>
      <c r="DB80" s="373">
        <v>0</v>
      </c>
      <c r="DC80" s="373">
        <v>0</v>
      </c>
      <c r="DD80" s="373">
        <v>0</v>
      </c>
      <c r="DE80" s="373">
        <v>0</v>
      </c>
      <c r="DF80" s="373">
        <v>0</v>
      </c>
      <c r="DG80" s="373">
        <v>0</v>
      </c>
      <c r="DH80" s="373">
        <v>0</v>
      </c>
      <c r="DI80" s="375">
        <f t="shared" si="99"/>
        <v>0</v>
      </c>
      <c r="DJ80" s="320"/>
      <c r="DK80" s="373"/>
      <c r="DL80" s="373"/>
      <c r="DM80" s="373"/>
      <c r="DN80" s="373"/>
      <c r="DO80" s="373"/>
      <c r="DP80" s="373"/>
      <c r="DQ80" s="373"/>
      <c r="DR80" s="373"/>
      <c r="DS80" s="373"/>
      <c r="DT80" s="373"/>
      <c r="DU80" s="373"/>
      <c r="DV80" s="373"/>
      <c r="DW80" s="375">
        <f t="shared" si="103"/>
        <v>0</v>
      </c>
      <c r="DY80" s="373"/>
      <c r="DZ80" s="373"/>
      <c r="EA80" s="373"/>
      <c r="EB80" s="373"/>
      <c r="EC80" s="373"/>
      <c r="ED80" s="373"/>
      <c r="EE80" s="373"/>
      <c r="EF80" s="373"/>
      <c r="EG80" s="373"/>
      <c r="EH80" s="373"/>
      <c r="EI80" s="373"/>
      <c r="EJ80" s="373"/>
      <c r="EK80" s="375">
        <f t="shared" si="94"/>
        <v>0</v>
      </c>
      <c r="EL80" s="177"/>
      <c r="EM80" s="373"/>
      <c r="EN80" s="373"/>
      <c r="EO80" s="373"/>
      <c r="EP80" s="373"/>
      <c r="EQ80" s="373"/>
      <c r="ER80" s="373"/>
      <c r="ES80" s="373"/>
      <c r="ET80" s="373"/>
      <c r="EU80" s="373"/>
      <c r="EV80" s="373"/>
      <c r="EW80" s="373"/>
      <c r="EX80" s="373"/>
      <c r="EY80" s="375">
        <f t="shared" si="96"/>
        <v>0</v>
      </c>
      <c r="EZ80" s="164"/>
      <c r="FC80" s="185">
        <v>0</v>
      </c>
      <c r="FE80" s="185">
        <v>0</v>
      </c>
    </row>
    <row r="81" spans="1:161" ht="18.75" customHeight="1">
      <c r="A81" s="185" t="s">
        <v>329</v>
      </c>
      <c r="B81" s="176">
        <v>60403000</v>
      </c>
      <c r="C81" s="176" t="s">
        <v>109</v>
      </c>
      <c r="D81" s="176" t="s">
        <v>109</v>
      </c>
      <c r="E81" s="324"/>
      <c r="F81" s="320" t="s">
        <v>353</v>
      </c>
      <c r="G81" s="320"/>
      <c r="H81" s="417">
        <v>0</v>
      </c>
      <c r="I81" s="417">
        <v>0</v>
      </c>
      <c r="J81" s="417">
        <v>0</v>
      </c>
      <c r="K81" s="417">
        <v>0</v>
      </c>
      <c r="L81" s="417">
        <v>0</v>
      </c>
      <c r="M81" s="417">
        <v>0</v>
      </c>
      <c r="N81" s="417">
        <v>93000</v>
      </c>
      <c r="O81" s="417">
        <v>0</v>
      </c>
      <c r="P81" s="417">
        <v>0</v>
      </c>
      <c r="Q81" s="819">
        <v>0</v>
      </c>
      <c r="R81" s="417">
        <v>0</v>
      </c>
      <c r="S81" s="417">
        <v>0</v>
      </c>
      <c r="T81" s="402"/>
      <c r="U81" s="366">
        <f t="shared" si="81"/>
        <v>132500</v>
      </c>
      <c r="V81" s="165">
        <f t="shared" si="82"/>
        <v>1</v>
      </c>
      <c r="W81" s="212"/>
      <c r="X81" s="417">
        <v>0</v>
      </c>
      <c r="Y81" s="417">
        <v>2500</v>
      </c>
      <c r="Z81" s="417">
        <v>0</v>
      </c>
      <c r="AA81" s="417">
        <v>0</v>
      </c>
      <c r="AB81" s="417">
        <v>0</v>
      </c>
      <c r="AC81" s="417">
        <v>-40000</v>
      </c>
      <c r="AD81" s="417">
        <v>0</v>
      </c>
      <c r="AE81" s="417">
        <v>0</v>
      </c>
      <c r="AF81" s="417">
        <v>-21000</v>
      </c>
      <c r="AG81" s="819">
        <v>44000</v>
      </c>
      <c r="AH81" s="417">
        <v>23000</v>
      </c>
      <c r="AI81" s="417">
        <v>124000</v>
      </c>
      <c r="AJ81" s="375">
        <f t="shared" si="83"/>
        <v>132500</v>
      </c>
      <c r="AK81" s="212"/>
      <c r="AL81" s="417">
        <v>0</v>
      </c>
      <c r="AM81" s="417">
        <v>0</v>
      </c>
      <c r="AN81" s="417">
        <v>0</v>
      </c>
      <c r="AO81" s="417">
        <v>0</v>
      </c>
      <c r="AP81" s="417">
        <v>0</v>
      </c>
      <c r="AQ81" s="417">
        <v>0</v>
      </c>
      <c r="AR81" s="417">
        <v>93000</v>
      </c>
      <c r="AS81" s="417">
        <v>0</v>
      </c>
      <c r="AT81" s="417">
        <v>0</v>
      </c>
      <c r="AU81" s="819">
        <v>0</v>
      </c>
      <c r="AV81" s="417">
        <v>0</v>
      </c>
      <c r="AW81" s="417">
        <v>0</v>
      </c>
      <c r="AX81" s="375">
        <f t="shared" si="102"/>
        <v>93000</v>
      </c>
      <c r="AY81" s="366">
        <f t="shared" si="85"/>
        <v>-9474.3999999999942</v>
      </c>
      <c r="AZ81" s="165">
        <f t="shared" si="86"/>
        <v>-0.11343109178503349</v>
      </c>
      <c r="BA81" s="212"/>
      <c r="BB81" s="417">
        <v>0</v>
      </c>
      <c r="BC81" s="417">
        <v>22200</v>
      </c>
      <c r="BD81" s="417">
        <v>55400</v>
      </c>
      <c r="BE81" s="417">
        <v>181800</v>
      </c>
      <c r="BF81" s="417">
        <v>-213200</v>
      </c>
      <c r="BG81" s="417">
        <v>18200</v>
      </c>
      <c r="BH81" s="417">
        <v>0</v>
      </c>
      <c r="BI81" s="417">
        <v>0</v>
      </c>
      <c r="BJ81" s="417">
        <v>0</v>
      </c>
      <c r="BK81" s="819">
        <v>19125.599999999999</v>
      </c>
      <c r="BL81" s="417">
        <v>0</v>
      </c>
      <c r="BM81" s="417">
        <v>0</v>
      </c>
      <c r="BN81" s="375">
        <v>83525.600000000006</v>
      </c>
      <c r="BO81" s="212"/>
      <c r="BP81" s="818">
        <v>0</v>
      </c>
      <c r="BQ81" s="818">
        <v>0</v>
      </c>
      <c r="BR81" s="818">
        <v>50000</v>
      </c>
      <c r="BS81" s="818">
        <v>0</v>
      </c>
      <c r="BT81" s="818">
        <v>0</v>
      </c>
      <c r="BU81" s="818">
        <v>0</v>
      </c>
      <c r="BV81" s="818">
        <v>0</v>
      </c>
      <c r="BW81" s="818">
        <v>0</v>
      </c>
      <c r="BX81" s="818">
        <v>0</v>
      </c>
      <c r="BY81" s="818">
        <v>0</v>
      </c>
      <c r="BZ81" s="818">
        <v>0</v>
      </c>
      <c r="CA81" s="818">
        <v>0</v>
      </c>
      <c r="CB81" s="375">
        <f t="shared" si="87"/>
        <v>50000</v>
      </c>
      <c r="CC81" s="366">
        <f t="shared" si="88"/>
        <v>-33525.600000000006</v>
      </c>
      <c r="CD81" s="165">
        <f t="shared" si="89"/>
        <v>-0.67051200000000011</v>
      </c>
      <c r="CE81" s="367"/>
      <c r="CF81" s="373">
        <v>0</v>
      </c>
      <c r="CG81" s="373">
        <v>0</v>
      </c>
      <c r="CH81" s="373">
        <v>0</v>
      </c>
      <c r="CI81" s="373">
        <v>0</v>
      </c>
      <c r="CJ81" s="373">
        <v>0</v>
      </c>
      <c r="CK81" s="373">
        <v>0</v>
      </c>
      <c r="CL81" s="373">
        <v>0</v>
      </c>
      <c r="CM81" s="373">
        <v>0</v>
      </c>
      <c r="CN81" s="373">
        <v>0</v>
      </c>
      <c r="CO81" s="373">
        <v>0</v>
      </c>
      <c r="CP81" s="373">
        <v>0</v>
      </c>
      <c r="CQ81" s="373">
        <v>0</v>
      </c>
      <c r="CR81" s="376"/>
      <c r="CS81" s="375">
        <f t="shared" si="90"/>
        <v>0</v>
      </c>
      <c r="CT81" s="378">
        <f t="shared" si="95"/>
        <v>-83525.600000000006</v>
      </c>
      <c r="CU81" s="165" t="str">
        <f t="shared" si="91"/>
        <v>N/A</v>
      </c>
      <c r="CV81" s="320"/>
      <c r="CW81" s="373">
        <v>0</v>
      </c>
      <c r="CX81" s="373">
        <v>0</v>
      </c>
      <c r="CY81" s="373">
        <v>0</v>
      </c>
      <c r="CZ81" s="373">
        <v>0</v>
      </c>
      <c r="DA81" s="373">
        <v>0</v>
      </c>
      <c r="DB81" s="373">
        <v>0</v>
      </c>
      <c r="DC81" s="373">
        <v>0</v>
      </c>
      <c r="DD81" s="373">
        <v>0</v>
      </c>
      <c r="DE81" s="373">
        <v>0</v>
      </c>
      <c r="DF81" s="373">
        <v>0</v>
      </c>
      <c r="DG81" s="373">
        <v>0</v>
      </c>
      <c r="DH81" s="373">
        <v>0</v>
      </c>
      <c r="DI81" s="375">
        <f t="shared" si="99"/>
        <v>0</v>
      </c>
      <c r="DJ81" s="320"/>
      <c r="DK81" s="373"/>
      <c r="DL81" s="373"/>
      <c r="DM81" s="373"/>
      <c r="DN81" s="373"/>
      <c r="DO81" s="373"/>
      <c r="DP81" s="373"/>
      <c r="DQ81" s="373"/>
      <c r="DR81" s="373"/>
      <c r="DS81" s="373"/>
      <c r="DT81" s="373"/>
      <c r="DU81" s="373"/>
      <c r="DV81" s="373"/>
      <c r="DW81" s="375">
        <f t="shared" si="103"/>
        <v>0</v>
      </c>
      <c r="DY81" s="373"/>
      <c r="DZ81" s="373"/>
      <c r="EA81" s="373"/>
      <c r="EB81" s="373"/>
      <c r="EC81" s="373"/>
      <c r="ED81" s="373"/>
      <c r="EE81" s="373"/>
      <c r="EF81" s="373"/>
      <c r="EG81" s="373"/>
      <c r="EH81" s="373"/>
      <c r="EI81" s="373"/>
      <c r="EJ81" s="373"/>
      <c r="EK81" s="375">
        <f t="shared" si="94"/>
        <v>0</v>
      </c>
      <c r="EL81" s="177"/>
      <c r="EM81" s="373"/>
      <c r="EN81" s="373"/>
      <c r="EO81" s="373"/>
      <c r="EP81" s="373"/>
      <c r="EQ81" s="373"/>
      <c r="ER81" s="373"/>
      <c r="ES81" s="373"/>
      <c r="ET81" s="373"/>
      <c r="EU81" s="373"/>
      <c r="EV81" s="373"/>
      <c r="EW81" s="373"/>
      <c r="EX81" s="373"/>
      <c r="EY81" s="375">
        <f t="shared" si="96"/>
        <v>0</v>
      </c>
      <c r="EZ81" s="164"/>
      <c r="FC81" s="185">
        <v>0</v>
      </c>
      <c r="FE81" s="185">
        <v>0</v>
      </c>
    </row>
    <row r="82" spans="1:161" ht="18.75" customHeight="1">
      <c r="A82" s="185" t="s">
        <v>611</v>
      </c>
      <c r="B82" s="176">
        <v>60404000</v>
      </c>
      <c r="C82" s="176" t="s">
        <v>1105</v>
      </c>
      <c r="D82" s="176" t="s">
        <v>109</v>
      </c>
      <c r="E82" s="324"/>
      <c r="F82" s="320" t="s">
        <v>357</v>
      </c>
      <c r="G82" s="320"/>
      <c r="H82" s="417">
        <v>0</v>
      </c>
      <c r="I82" s="417">
        <v>0</v>
      </c>
      <c r="J82" s="417">
        <v>0</v>
      </c>
      <c r="K82" s="417">
        <v>0</v>
      </c>
      <c r="L82" s="417">
        <v>0</v>
      </c>
      <c r="M82" s="417">
        <v>0</v>
      </c>
      <c r="N82" s="417">
        <v>0</v>
      </c>
      <c r="O82" s="417">
        <v>0</v>
      </c>
      <c r="P82" s="417">
        <v>0</v>
      </c>
      <c r="Q82" s="819">
        <v>0</v>
      </c>
      <c r="R82" s="417">
        <v>0</v>
      </c>
      <c r="S82" s="417">
        <v>220000</v>
      </c>
      <c r="T82" s="402"/>
      <c r="U82" s="366">
        <f t="shared" si="81"/>
        <v>178197.9</v>
      </c>
      <c r="V82" s="165">
        <f t="shared" si="82"/>
        <v>1</v>
      </c>
      <c r="W82" s="212"/>
      <c r="X82" s="417">
        <v>13537.5</v>
      </c>
      <c r="Y82" s="417">
        <v>11363</v>
      </c>
      <c r="Z82" s="417">
        <v>31117</v>
      </c>
      <c r="AA82" s="417">
        <v>600</v>
      </c>
      <c r="AB82" s="417">
        <v>702</v>
      </c>
      <c r="AC82" s="417">
        <v>41866.9</v>
      </c>
      <c r="AD82" s="417">
        <v>9839.5</v>
      </c>
      <c r="AE82" s="417">
        <v>21368.5</v>
      </c>
      <c r="AF82" s="417">
        <v>27058.1</v>
      </c>
      <c r="AG82" s="819">
        <v>8397.4</v>
      </c>
      <c r="AH82" s="417">
        <v>7708</v>
      </c>
      <c r="AI82" s="417">
        <v>4640</v>
      </c>
      <c r="AJ82" s="375">
        <f t="shared" si="83"/>
        <v>178197.9</v>
      </c>
      <c r="AK82" s="212"/>
      <c r="AL82" s="417">
        <v>0</v>
      </c>
      <c r="AM82" s="417">
        <v>0</v>
      </c>
      <c r="AN82" s="417">
        <v>0</v>
      </c>
      <c r="AO82" s="417">
        <v>0</v>
      </c>
      <c r="AP82" s="417">
        <v>0</v>
      </c>
      <c r="AQ82" s="417">
        <v>0</v>
      </c>
      <c r="AR82" s="417">
        <v>0</v>
      </c>
      <c r="AS82" s="417">
        <v>0</v>
      </c>
      <c r="AT82" s="417">
        <v>0</v>
      </c>
      <c r="AU82" s="819">
        <v>0</v>
      </c>
      <c r="AV82" s="417">
        <v>0</v>
      </c>
      <c r="AW82" s="417">
        <v>220000</v>
      </c>
      <c r="AX82" s="375">
        <f t="shared" si="102"/>
        <v>220000</v>
      </c>
      <c r="AY82" s="366">
        <f t="shared" si="85"/>
        <v>142618.78999999998</v>
      </c>
      <c r="AZ82" s="165">
        <f t="shared" si="86"/>
        <v>0.39330226103286042</v>
      </c>
      <c r="BA82" s="212"/>
      <c r="BB82" s="417">
        <v>6011</v>
      </c>
      <c r="BC82" s="417">
        <v>360</v>
      </c>
      <c r="BD82" s="417">
        <v>12873</v>
      </c>
      <c r="BE82" s="417">
        <v>13220</v>
      </c>
      <c r="BF82" s="417">
        <v>9859.2000000000007</v>
      </c>
      <c r="BG82" s="417">
        <v>386.1</v>
      </c>
      <c r="BH82" s="417">
        <v>0</v>
      </c>
      <c r="BI82" s="417">
        <v>21529.479999999996</v>
      </c>
      <c r="BJ82" s="417">
        <v>62352.709999999992</v>
      </c>
      <c r="BK82" s="819">
        <v>38990.300000000003</v>
      </c>
      <c r="BL82" s="417">
        <v>100062</v>
      </c>
      <c r="BM82" s="417">
        <v>55364.58</v>
      </c>
      <c r="BN82" s="375">
        <v>362618.79</v>
      </c>
      <c r="BO82" s="212"/>
      <c r="BP82" s="818">
        <v>1500</v>
      </c>
      <c r="BQ82" s="818">
        <v>1500</v>
      </c>
      <c r="BR82" s="818">
        <v>96975</v>
      </c>
      <c r="BS82" s="818">
        <v>1500</v>
      </c>
      <c r="BT82" s="818">
        <v>1500</v>
      </c>
      <c r="BU82" s="818">
        <v>96975</v>
      </c>
      <c r="BV82" s="818">
        <v>1500</v>
      </c>
      <c r="BW82" s="818">
        <v>1500</v>
      </c>
      <c r="BX82" s="818">
        <v>96975</v>
      </c>
      <c r="BY82" s="818">
        <v>1500</v>
      </c>
      <c r="BZ82" s="818">
        <v>1500</v>
      </c>
      <c r="CA82" s="818">
        <v>96975</v>
      </c>
      <c r="CB82" s="375">
        <f t="shared" si="87"/>
        <v>399900</v>
      </c>
      <c r="CC82" s="366">
        <f t="shared" si="88"/>
        <v>37281.210000000021</v>
      </c>
      <c r="CD82" s="165">
        <f t="shared" si="89"/>
        <v>9.3226331582895783E-2</v>
      </c>
      <c r="CE82" s="367"/>
      <c r="CF82" s="373">
        <v>4750</v>
      </c>
      <c r="CG82" s="373">
        <v>960</v>
      </c>
      <c r="CH82" s="373">
        <v>32687.8</v>
      </c>
      <c r="CI82" s="373">
        <v>105894.2</v>
      </c>
      <c r="CJ82" s="373">
        <v>235919</v>
      </c>
      <c r="CK82" s="373">
        <v>57175</v>
      </c>
      <c r="CL82" s="373">
        <v>224894.2</v>
      </c>
      <c r="CM82" s="373">
        <v>0</v>
      </c>
      <c r="CN82" s="373">
        <v>0</v>
      </c>
      <c r="CO82" s="373">
        <v>0</v>
      </c>
      <c r="CP82" s="373">
        <v>0</v>
      </c>
      <c r="CQ82" s="373">
        <v>34247</v>
      </c>
      <c r="CR82" s="376"/>
      <c r="CS82" s="375">
        <f t="shared" si="90"/>
        <v>696527.2</v>
      </c>
      <c r="CT82" s="378">
        <f t="shared" si="95"/>
        <v>333908.40999999997</v>
      </c>
      <c r="CU82" s="165">
        <f t="shared" si="91"/>
        <v>0.47939033823804728</v>
      </c>
      <c r="CV82" s="320"/>
      <c r="CW82" s="373">
        <v>262960.86</v>
      </c>
      <c r="CX82" s="373">
        <v>0</v>
      </c>
      <c r="CY82" s="373">
        <v>0</v>
      </c>
      <c r="CZ82" s="373">
        <v>0</v>
      </c>
      <c r="DA82" s="373">
        <v>0</v>
      </c>
      <c r="DB82" s="373">
        <v>0</v>
      </c>
      <c r="DC82" s="373">
        <v>0</v>
      </c>
      <c r="DD82" s="373">
        <v>0</v>
      </c>
      <c r="DE82" s="373">
        <v>15505.6</v>
      </c>
      <c r="DF82" s="373">
        <v>-278466.46000000002</v>
      </c>
      <c r="DG82" s="373">
        <v>10436.6</v>
      </c>
      <c r="DH82" s="373">
        <v>-10436.6</v>
      </c>
      <c r="DI82" s="375">
        <f t="shared" si="99"/>
        <v>-5.8207660913467407E-11</v>
      </c>
      <c r="DJ82" s="320"/>
      <c r="DK82" s="373">
        <v>73234.049999999988</v>
      </c>
      <c r="DL82" s="373">
        <v>33723.199999999997</v>
      </c>
      <c r="DM82" s="373">
        <v>4455</v>
      </c>
      <c r="DN82" s="373">
        <v>15572.000000000002</v>
      </c>
      <c r="DO82" s="373">
        <v>16988.400000000001</v>
      </c>
      <c r="DP82" s="373">
        <v>0</v>
      </c>
      <c r="DQ82" s="373">
        <v>33485.4</v>
      </c>
      <c r="DR82" s="373">
        <v>0</v>
      </c>
      <c r="DS82" s="373">
        <v>1546.1999999999998</v>
      </c>
      <c r="DT82" s="373">
        <v>30223.599999999999</v>
      </c>
      <c r="DU82" s="373">
        <v>0</v>
      </c>
      <c r="DV82" s="373">
        <v>0</v>
      </c>
      <c r="DW82" s="375">
        <f t="shared" si="103"/>
        <v>209227.85</v>
      </c>
      <c r="DY82" s="373">
        <v>0</v>
      </c>
      <c r="DZ82" s="373">
        <v>0</v>
      </c>
      <c r="EA82" s="373">
        <v>0</v>
      </c>
      <c r="EB82" s="373">
        <v>0</v>
      </c>
      <c r="EC82" s="373">
        <v>0</v>
      </c>
      <c r="ED82" s="373">
        <v>0</v>
      </c>
      <c r="EE82" s="373">
        <v>0</v>
      </c>
      <c r="EF82" s="373">
        <v>0</v>
      </c>
      <c r="EG82" s="373">
        <v>0</v>
      </c>
      <c r="EH82" s="373">
        <v>0</v>
      </c>
      <c r="EI82" s="373">
        <v>2862</v>
      </c>
      <c r="EJ82" s="373">
        <v>53759.999999999993</v>
      </c>
      <c r="EK82" s="375">
        <f t="shared" si="94"/>
        <v>56621.999999999993</v>
      </c>
      <c r="EL82" s="177"/>
      <c r="EM82" s="373">
        <v>0</v>
      </c>
      <c r="EN82" s="373">
        <v>0</v>
      </c>
      <c r="EO82" s="373">
        <v>0</v>
      </c>
      <c r="EP82" s="373">
        <v>0</v>
      </c>
      <c r="EQ82" s="373">
        <v>0</v>
      </c>
      <c r="ER82" s="373">
        <v>0</v>
      </c>
      <c r="ES82" s="373">
        <v>0</v>
      </c>
      <c r="ET82" s="373">
        <v>0</v>
      </c>
      <c r="EU82" s="373">
        <v>0</v>
      </c>
      <c r="EV82" s="373">
        <v>0</v>
      </c>
      <c r="EW82" s="373">
        <v>0</v>
      </c>
      <c r="EX82" s="373">
        <v>0</v>
      </c>
      <c r="EY82" s="375">
        <f t="shared" si="96"/>
        <v>0</v>
      </c>
      <c r="EZ82" s="164"/>
      <c r="FC82" s="185">
        <v>0</v>
      </c>
    </row>
    <row r="83" spans="1:161" ht="18.75" customHeight="1">
      <c r="A83" s="185" t="s">
        <v>612</v>
      </c>
      <c r="B83" s="176">
        <v>60404200</v>
      </c>
      <c r="C83" s="176" t="s">
        <v>1105</v>
      </c>
      <c r="D83" s="176" t="s">
        <v>109</v>
      </c>
      <c r="E83" s="324"/>
      <c r="F83" s="320" t="s">
        <v>1009</v>
      </c>
      <c r="G83" s="320"/>
      <c r="H83" s="417">
        <v>0</v>
      </c>
      <c r="I83" s="417">
        <v>0</v>
      </c>
      <c r="J83" s="417">
        <v>0</v>
      </c>
      <c r="K83" s="417">
        <v>0</v>
      </c>
      <c r="L83" s="417">
        <v>0</v>
      </c>
      <c r="M83" s="417">
        <v>0</v>
      </c>
      <c r="N83" s="417">
        <v>0</v>
      </c>
      <c r="O83" s="417">
        <v>0</v>
      </c>
      <c r="P83" s="417">
        <v>0</v>
      </c>
      <c r="Q83" s="819">
        <v>0</v>
      </c>
      <c r="R83" s="417">
        <v>0</v>
      </c>
      <c r="S83" s="417">
        <v>790491.24373016646</v>
      </c>
      <c r="T83" s="402"/>
      <c r="U83" s="366">
        <f t="shared" si="81"/>
        <v>1201393.69</v>
      </c>
      <c r="V83" s="165">
        <f t="shared" si="82"/>
        <v>1</v>
      </c>
      <c r="W83" s="212"/>
      <c r="X83" s="417">
        <v>0</v>
      </c>
      <c r="Y83" s="417">
        <v>0</v>
      </c>
      <c r="Z83" s="417">
        <v>240451.64</v>
      </c>
      <c r="AA83" s="417">
        <v>228473.61</v>
      </c>
      <c r="AB83" s="417">
        <v>0</v>
      </c>
      <c r="AC83" s="417">
        <v>0</v>
      </c>
      <c r="AD83" s="417">
        <v>0</v>
      </c>
      <c r="AE83" s="417">
        <v>0</v>
      </c>
      <c r="AF83" s="417">
        <v>381718.69</v>
      </c>
      <c r="AG83" s="819">
        <v>350749.75</v>
      </c>
      <c r="AH83" s="417">
        <v>0</v>
      </c>
      <c r="AI83" s="417">
        <v>0</v>
      </c>
      <c r="AJ83" s="375">
        <f t="shared" si="83"/>
        <v>1201393.69</v>
      </c>
      <c r="AK83" s="212"/>
      <c r="AL83" s="417">
        <v>0</v>
      </c>
      <c r="AM83" s="417">
        <v>0</v>
      </c>
      <c r="AN83" s="417">
        <v>0</v>
      </c>
      <c r="AO83" s="417">
        <v>0</v>
      </c>
      <c r="AP83" s="417">
        <v>0</v>
      </c>
      <c r="AQ83" s="417">
        <v>0</v>
      </c>
      <c r="AR83" s="417">
        <v>0</v>
      </c>
      <c r="AS83" s="417">
        <v>0</v>
      </c>
      <c r="AT83" s="417">
        <v>0</v>
      </c>
      <c r="AU83" s="819">
        <v>0</v>
      </c>
      <c r="AV83" s="417">
        <v>0</v>
      </c>
      <c r="AW83" s="417">
        <v>790491.24373016646</v>
      </c>
      <c r="AX83" s="375">
        <f t="shared" si="102"/>
        <v>790491.24373016646</v>
      </c>
      <c r="AY83" s="366">
        <f t="shared" si="85"/>
        <v>5309771.0662698336</v>
      </c>
      <c r="AZ83" s="165">
        <f t="shared" si="86"/>
        <v>0.8704168438077925</v>
      </c>
      <c r="BA83" s="212"/>
      <c r="BB83" s="417">
        <v>319417.73</v>
      </c>
      <c r="BC83" s="417">
        <v>678459.68</v>
      </c>
      <c r="BD83" s="417">
        <v>478467.67</v>
      </c>
      <c r="BE83" s="417">
        <v>746746.22</v>
      </c>
      <c r="BF83" s="417">
        <v>969314.18</v>
      </c>
      <c r="BG83" s="417">
        <v>571080.97</v>
      </c>
      <c r="BH83" s="417">
        <v>326824.18</v>
      </c>
      <c r="BI83" s="417">
        <v>0</v>
      </c>
      <c r="BJ83" s="417">
        <v>0</v>
      </c>
      <c r="BK83" s="819">
        <v>771008.09</v>
      </c>
      <c r="BL83" s="417">
        <v>143400.79</v>
      </c>
      <c r="BM83" s="417">
        <v>1109858.22</v>
      </c>
      <c r="BN83" s="375">
        <v>6100262.3100000005</v>
      </c>
      <c r="BO83" s="212"/>
      <c r="BP83" s="818">
        <v>316666.66666666669</v>
      </c>
      <c r="BQ83" s="818">
        <v>316666.66666666669</v>
      </c>
      <c r="BR83" s="818">
        <v>316666.66666666669</v>
      </c>
      <c r="BS83" s="818">
        <v>316666.66666666669</v>
      </c>
      <c r="BT83" s="818">
        <v>316666.66666666669</v>
      </c>
      <c r="BU83" s="818">
        <v>316666.66666666669</v>
      </c>
      <c r="BV83" s="818">
        <v>316666.66666666669</v>
      </c>
      <c r="BW83" s="818">
        <v>316666.66666666669</v>
      </c>
      <c r="BX83" s="818">
        <v>316666.66666666669</v>
      </c>
      <c r="BY83" s="818">
        <v>316666.66666666669</v>
      </c>
      <c r="BZ83" s="818">
        <v>316666.66666666669</v>
      </c>
      <c r="CA83" s="818">
        <v>316666.66666666698</v>
      </c>
      <c r="CB83" s="375">
        <f t="shared" si="87"/>
        <v>3800000</v>
      </c>
      <c r="CC83" s="366">
        <f t="shared" si="88"/>
        <v>-2300262.3100000005</v>
      </c>
      <c r="CD83" s="165">
        <f t="shared" si="89"/>
        <v>-0.60533218684210544</v>
      </c>
      <c r="CE83" s="367"/>
      <c r="CF83" s="373"/>
      <c r="CG83" s="373"/>
      <c r="CH83" s="373"/>
      <c r="CI83" s="373"/>
      <c r="CJ83" s="373"/>
      <c r="CK83" s="373"/>
      <c r="CL83" s="373"/>
      <c r="CM83" s="373"/>
      <c r="CN83" s="373"/>
      <c r="CO83" s="373"/>
      <c r="CP83" s="373"/>
      <c r="CQ83" s="373"/>
      <c r="CR83" s="376"/>
      <c r="CS83" s="375">
        <f t="shared" si="90"/>
        <v>0</v>
      </c>
      <c r="CT83" s="378">
        <f>CS83-BN83</f>
        <v>-6100262.3100000005</v>
      </c>
      <c r="CU83" s="165" t="str">
        <f t="shared" si="91"/>
        <v>N/A</v>
      </c>
      <c r="CV83" s="320"/>
      <c r="CW83" s="373"/>
      <c r="CX83" s="373"/>
      <c r="CY83" s="373"/>
      <c r="CZ83" s="373"/>
      <c r="DA83" s="373"/>
      <c r="DB83" s="373"/>
      <c r="DC83" s="373"/>
      <c r="DD83" s="373"/>
      <c r="DE83" s="373"/>
      <c r="DF83" s="373"/>
      <c r="DG83" s="373"/>
      <c r="DH83" s="373"/>
      <c r="DI83" s="375"/>
      <c r="DJ83" s="320"/>
      <c r="DK83" s="373"/>
      <c r="DL83" s="373"/>
      <c r="DM83" s="373"/>
      <c r="DN83" s="373"/>
      <c r="DO83" s="373"/>
      <c r="DP83" s="373"/>
      <c r="DQ83" s="373"/>
      <c r="DR83" s="373"/>
      <c r="DS83" s="373"/>
      <c r="DT83" s="373"/>
      <c r="DU83" s="373"/>
      <c r="DV83" s="373"/>
      <c r="DW83" s="375"/>
      <c r="DY83" s="373"/>
      <c r="DZ83" s="373"/>
      <c r="EA83" s="373"/>
      <c r="EB83" s="373"/>
      <c r="EC83" s="373"/>
      <c r="ED83" s="373"/>
      <c r="EE83" s="373"/>
      <c r="EF83" s="373"/>
      <c r="EG83" s="373"/>
      <c r="EH83" s="373"/>
      <c r="EI83" s="373"/>
      <c r="EJ83" s="373"/>
      <c r="EK83" s="375"/>
      <c r="EL83" s="177"/>
      <c r="EM83" s="373"/>
      <c r="EN83" s="373"/>
      <c r="EO83" s="373"/>
      <c r="EP83" s="373"/>
      <c r="EQ83" s="373"/>
      <c r="ER83" s="373"/>
      <c r="ES83" s="373"/>
      <c r="ET83" s="373"/>
      <c r="EU83" s="373"/>
      <c r="EV83" s="373"/>
      <c r="EW83" s="373"/>
      <c r="EX83" s="373"/>
      <c r="EY83" s="375"/>
      <c r="EZ83" s="164"/>
      <c r="FC83" s="185">
        <v>0</v>
      </c>
    </row>
    <row r="84" spans="1:161" ht="18.75" customHeight="1">
      <c r="A84" s="185" t="s">
        <v>329</v>
      </c>
      <c r="B84" s="176">
        <v>60404500</v>
      </c>
      <c r="C84" s="176" t="s">
        <v>109</v>
      </c>
      <c r="D84" s="176" t="s">
        <v>109</v>
      </c>
      <c r="E84" s="324"/>
      <c r="F84" s="320" t="s">
        <v>652</v>
      </c>
      <c r="G84" s="320"/>
      <c r="H84" s="417">
        <v>227047</v>
      </c>
      <c r="I84" s="417">
        <v>227047</v>
      </c>
      <c r="J84" s="417">
        <v>227047</v>
      </c>
      <c r="K84" s="417">
        <v>227047</v>
      </c>
      <c r="L84" s="417">
        <v>227047</v>
      </c>
      <c r="M84" s="417">
        <v>227047</v>
      </c>
      <c r="N84" s="417">
        <v>227047</v>
      </c>
      <c r="O84" s="417">
        <v>227047</v>
      </c>
      <c r="P84" s="417">
        <v>227047</v>
      </c>
      <c r="Q84" s="819">
        <v>227047</v>
      </c>
      <c r="R84" s="417">
        <v>227047</v>
      </c>
      <c r="S84" s="417">
        <v>227047</v>
      </c>
      <c r="T84" s="402"/>
      <c r="U84" s="366">
        <f t="shared" si="81"/>
        <v>1033305.0900000001</v>
      </c>
      <c r="V84" s="165">
        <f t="shared" si="82"/>
        <v>1</v>
      </c>
      <c r="W84" s="212"/>
      <c r="X84" s="1518">
        <v>112843</v>
      </c>
      <c r="Y84" s="1518">
        <v>14624</v>
      </c>
      <c r="Z84" s="1518">
        <v>132850.82</v>
      </c>
      <c r="AA84" s="1518">
        <v>104414.85</v>
      </c>
      <c r="AB84" s="1518">
        <v>66935.45</v>
      </c>
      <c r="AC84" s="1518">
        <v>69337.75</v>
      </c>
      <c r="AD84" s="1518">
        <v>77517.600000000006</v>
      </c>
      <c r="AE84" s="1518">
        <v>42907.66</v>
      </c>
      <c r="AF84" s="1518">
        <v>156772.70000000001</v>
      </c>
      <c r="AG84" s="1519">
        <v>30300.52</v>
      </c>
      <c r="AH84" s="1518">
        <v>33743.32</v>
      </c>
      <c r="AI84" s="1518">
        <v>191057.41999999998</v>
      </c>
      <c r="AJ84" s="375">
        <f t="shared" si="83"/>
        <v>1033305.0900000001</v>
      </c>
      <c r="AK84" s="212"/>
      <c r="AL84" s="417">
        <v>227047</v>
      </c>
      <c r="AM84" s="417">
        <v>227047</v>
      </c>
      <c r="AN84" s="417">
        <v>227047</v>
      </c>
      <c r="AO84" s="417">
        <v>227047</v>
      </c>
      <c r="AP84" s="417">
        <v>227047</v>
      </c>
      <c r="AQ84" s="417">
        <v>227047</v>
      </c>
      <c r="AR84" s="417">
        <v>227047</v>
      </c>
      <c r="AS84" s="417">
        <v>227047</v>
      </c>
      <c r="AT84" s="417">
        <v>227047</v>
      </c>
      <c r="AU84" s="819">
        <v>227047</v>
      </c>
      <c r="AV84" s="417">
        <v>227047</v>
      </c>
      <c r="AW84" s="417">
        <v>227047</v>
      </c>
      <c r="AX84" s="375">
        <f t="shared" ref="AX84:AX113" si="104">SUM(AL84:AW84)</f>
        <v>2724564</v>
      </c>
      <c r="AY84" s="366">
        <f t="shared" si="85"/>
        <v>-1119419.2700000003</v>
      </c>
      <c r="AZ84" s="165">
        <f t="shared" si="86"/>
        <v>-0.69739460191854497</v>
      </c>
      <c r="BA84" s="212"/>
      <c r="BB84" s="417">
        <v>51367.58</v>
      </c>
      <c r="BC84" s="417">
        <v>277473.09999999998</v>
      </c>
      <c r="BD84" s="417">
        <v>197104.25</v>
      </c>
      <c r="BE84" s="417">
        <v>91426.7</v>
      </c>
      <c r="BF84" s="417">
        <v>65853.600000000006</v>
      </c>
      <c r="BG84" s="417">
        <v>35202.300000000003</v>
      </c>
      <c r="BH84" s="417">
        <v>259972.24000000002</v>
      </c>
      <c r="BI84" s="417">
        <v>106310.05</v>
      </c>
      <c r="BJ84" s="417">
        <v>99765.92</v>
      </c>
      <c r="BK84" s="819">
        <v>109997.46</v>
      </c>
      <c r="BL84" s="417">
        <v>130171.53</v>
      </c>
      <c r="BM84" s="417">
        <v>67348.97</v>
      </c>
      <c r="BN84" s="375">
        <v>1605144.7299999997</v>
      </c>
      <c r="BO84" s="212"/>
      <c r="BP84" s="818">
        <v>180500</v>
      </c>
      <c r="BQ84" s="818">
        <v>180500</v>
      </c>
      <c r="BR84" s="818">
        <v>180500</v>
      </c>
      <c r="BS84" s="818">
        <v>180500</v>
      </c>
      <c r="BT84" s="818">
        <v>180500</v>
      </c>
      <c r="BU84" s="818">
        <v>180500</v>
      </c>
      <c r="BV84" s="818">
        <v>180500</v>
      </c>
      <c r="BW84" s="818">
        <v>180500</v>
      </c>
      <c r="BX84" s="818">
        <v>180500</v>
      </c>
      <c r="BY84" s="818">
        <v>180500</v>
      </c>
      <c r="BZ84" s="818">
        <v>180500</v>
      </c>
      <c r="CA84" s="818">
        <v>180500</v>
      </c>
      <c r="CB84" s="375">
        <f t="shared" si="87"/>
        <v>2166000</v>
      </c>
      <c r="CC84" s="366">
        <f t="shared" si="88"/>
        <v>560855.27000000025</v>
      </c>
      <c r="CD84" s="165">
        <f t="shared" si="89"/>
        <v>0.25893595106186529</v>
      </c>
      <c r="CE84" s="367"/>
      <c r="CF84" s="373">
        <v>57854.42</v>
      </c>
      <c r="CG84" s="373">
        <v>149920.4</v>
      </c>
      <c r="CH84" s="373">
        <v>72600.399999999994</v>
      </c>
      <c r="CI84" s="373">
        <v>198822.1</v>
      </c>
      <c r="CJ84" s="373">
        <v>82852.899999999994</v>
      </c>
      <c r="CK84" s="373">
        <v>96502</v>
      </c>
      <c r="CL84" s="373">
        <v>200823.06</v>
      </c>
      <c r="CM84" s="373">
        <v>153395.09</v>
      </c>
      <c r="CN84" s="373">
        <v>245461.5</v>
      </c>
      <c r="CO84" s="373">
        <v>26523.1</v>
      </c>
      <c r="CP84" s="373">
        <v>421280.05</v>
      </c>
      <c r="CQ84" s="373">
        <v>245260.72999999986</v>
      </c>
      <c r="CR84" s="376"/>
      <c r="CS84" s="375">
        <f t="shared" si="90"/>
        <v>1951295.75</v>
      </c>
      <c r="CT84" s="378">
        <f t="shared" si="95"/>
        <v>346151.02000000025</v>
      </c>
      <c r="CU84" s="165">
        <f t="shared" si="91"/>
        <v>0.17739546657650448</v>
      </c>
      <c r="CV84" s="320"/>
      <c r="CW84" s="373">
        <v>0</v>
      </c>
      <c r="CX84" s="373">
        <v>0</v>
      </c>
      <c r="CY84" s="373">
        <v>0</v>
      </c>
      <c r="CZ84" s="373">
        <v>0</v>
      </c>
      <c r="DA84" s="373">
        <v>0</v>
      </c>
      <c r="DB84" s="373">
        <v>0</v>
      </c>
      <c r="DC84" s="373">
        <v>0</v>
      </c>
      <c r="DD84" s="373">
        <v>0</v>
      </c>
      <c r="DE84" s="373">
        <v>0</v>
      </c>
      <c r="DF84" s="373">
        <v>31859.7</v>
      </c>
      <c r="DG84" s="373">
        <v>17198.650000000001</v>
      </c>
      <c r="DH84" s="373">
        <v>34366.85</v>
      </c>
      <c r="DI84" s="375">
        <f t="shared" si="99"/>
        <v>83425.200000000012</v>
      </c>
      <c r="DJ84" s="320"/>
      <c r="DK84" s="373">
        <v>0</v>
      </c>
      <c r="DL84" s="373">
        <v>0</v>
      </c>
      <c r="DM84" s="373">
        <v>0</v>
      </c>
      <c r="DN84" s="373">
        <v>0</v>
      </c>
      <c r="DO84" s="373">
        <v>0</v>
      </c>
      <c r="DP84" s="373">
        <v>0</v>
      </c>
      <c r="DQ84" s="373">
        <v>0</v>
      </c>
      <c r="DR84" s="373">
        <v>0</v>
      </c>
      <c r="DS84" s="373">
        <v>0</v>
      </c>
      <c r="DT84" s="373">
        <v>0</v>
      </c>
      <c r="DU84" s="373">
        <v>0</v>
      </c>
      <c r="DV84" s="373">
        <v>0</v>
      </c>
      <c r="DW84" s="375">
        <f t="shared" si="103"/>
        <v>0</v>
      </c>
      <c r="DY84" s="373">
        <v>0</v>
      </c>
      <c r="DZ84" s="373">
        <v>0</v>
      </c>
      <c r="EA84" s="373">
        <v>0</v>
      </c>
      <c r="EB84" s="373">
        <v>0</v>
      </c>
      <c r="EC84" s="373">
        <v>0</v>
      </c>
      <c r="ED84" s="373">
        <v>0</v>
      </c>
      <c r="EE84" s="373">
        <v>0</v>
      </c>
      <c r="EF84" s="373">
        <v>0</v>
      </c>
      <c r="EG84" s="373">
        <v>0</v>
      </c>
      <c r="EH84" s="373">
        <v>0</v>
      </c>
      <c r="EI84" s="373">
        <v>0</v>
      </c>
      <c r="EJ84" s="373">
        <v>0</v>
      </c>
      <c r="EK84" s="375">
        <f t="shared" si="94"/>
        <v>0</v>
      </c>
      <c r="EL84" s="177"/>
      <c r="EM84" s="373">
        <v>0</v>
      </c>
      <c r="EN84" s="373">
        <v>0</v>
      </c>
      <c r="EO84" s="373">
        <v>0</v>
      </c>
      <c r="EP84" s="373">
        <v>0</v>
      </c>
      <c r="EQ84" s="373">
        <v>0</v>
      </c>
      <c r="ER84" s="373">
        <v>0</v>
      </c>
      <c r="ES84" s="373">
        <v>0</v>
      </c>
      <c r="ET84" s="373">
        <v>0</v>
      </c>
      <c r="EU84" s="373">
        <v>0</v>
      </c>
      <c r="EV84" s="373">
        <v>0</v>
      </c>
      <c r="EW84" s="373">
        <v>0</v>
      </c>
      <c r="EX84" s="373">
        <v>0</v>
      </c>
      <c r="EY84" s="375">
        <f t="shared" si="96"/>
        <v>0</v>
      </c>
      <c r="EZ84" s="164"/>
      <c r="FC84" s="185">
        <v>0</v>
      </c>
    </row>
    <row r="85" spans="1:161" ht="18.75" customHeight="1">
      <c r="A85" s="185" t="s">
        <v>611</v>
      </c>
      <c r="B85" s="176">
        <v>60405000</v>
      </c>
      <c r="C85" s="176" t="s">
        <v>1105</v>
      </c>
      <c r="D85" s="176" t="s">
        <v>109</v>
      </c>
      <c r="E85" s="324"/>
      <c r="F85" s="320" t="s">
        <v>653</v>
      </c>
      <c r="G85" s="320"/>
      <c r="H85" s="417">
        <v>261946</v>
      </c>
      <c r="I85" s="417">
        <v>11946</v>
      </c>
      <c r="J85" s="417">
        <v>11946</v>
      </c>
      <c r="K85" s="417">
        <v>11946</v>
      </c>
      <c r="L85" s="417">
        <v>11946</v>
      </c>
      <c r="M85" s="417">
        <v>11946</v>
      </c>
      <c r="N85" s="417">
        <v>11946</v>
      </c>
      <c r="O85" s="417">
        <v>11946</v>
      </c>
      <c r="P85" s="417">
        <v>11946</v>
      </c>
      <c r="Q85" s="819">
        <v>11946</v>
      </c>
      <c r="R85" s="417">
        <v>11946</v>
      </c>
      <c r="S85" s="417">
        <v>557946</v>
      </c>
      <c r="T85" s="402"/>
      <c r="U85" s="366">
        <f t="shared" si="81"/>
        <v>513996.9200000001</v>
      </c>
      <c r="V85" s="165">
        <f t="shared" si="82"/>
        <v>1</v>
      </c>
      <c r="W85" s="212"/>
      <c r="X85" s="1518">
        <v>4851.6000000000004</v>
      </c>
      <c r="Y85" s="1518">
        <v>33051.78</v>
      </c>
      <c r="Z85" s="1518">
        <v>146734.65000000002</v>
      </c>
      <c r="AA85" s="1518">
        <v>36901.339999999997</v>
      </c>
      <c r="AB85" s="1518">
        <v>33748.92</v>
      </c>
      <c r="AC85" s="1518">
        <v>61912.46</v>
      </c>
      <c r="AD85" s="1518">
        <v>62732.1</v>
      </c>
      <c r="AE85" s="1518">
        <v>20165.14</v>
      </c>
      <c r="AF85" s="1518">
        <v>17165.510000000002</v>
      </c>
      <c r="AG85" s="1519">
        <v>75112.600000000006</v>
      </c>
      <c r="AH85" s="1518">
        <v>558</v>
      </c>
      <c r="AI85" s="1518">
        <v>21062.82</v>
      </c>
      <c r="AJ85" s="375">
        <f t="shared" si="83"/>
        <v>513996.9200000001</v>
      </c>
      <c r="AK85" s="212"/>
      <c r="AL85" s="417">
        <v>261946</v>
      </c>
      <c r="AM85" s="417">
        <v>11946</v>
      </c>
      <c r="AN85" s="417">
        <v>11946</v>
      </c>
      <c r="AO85" s="417">
        <v>11946</v>
      </c>
      <c r="AP85" s="417">
        <v>11946</v>
      </c>
      <c r="AQ85" s="417">
        <v>11946</v>
      </c>
      <c r="AR85" s="417">
        <v>11946</v>
      </c>
      <c r="AS85" s="417">
        <v>11946</v>
      </c>
      <c r="AT85" s="417">
        <v>11946</v>
      </c>
      <c r="AU85" s="819">
        <v>11946</v>
      </c>
      <c r="AV85" s="417">
        <v>11946</v>
      </c>
      <c r="AW85" s="417">
        <v>557946</v>
      </c>
      <c r="AX85" s="375">
        <f t="shared" si="104"/>
        <v>939352</v>
      </c>
      <c r="AY85" s="366">
        <f t="shared" si="85"/>
        <v>119713.17000000016</v>
      </c>
      <c r="AZ85" s="165">
        <f t="shared" si="86"/>
        <v>0.11303664155058574</v>
      </c>
      <c r="BA85" s="212"/>
      <c r="BB85" s="417">
        <v>70762.199999999983</v>
      </c>
      <c r="BC85" s="417">
        <v>98204.26</v>
      </c>
      <c r="BD85" s="417">
        <v>6932.2</v>
      </c>
      <c r="BE85" s="417">
        <v>13421.87</v>
      </c>
      <c r="BF85" s="417">
        <v>136777.72</v>
      </c>
      <c r="BG85" s="417">
        <v>40370.239999999998</v>
      </c>
      <c r="BH85" s="417">
        <v>64283.410000000011</v>
      </c>
      <c r="BI85" s="417">
        <v>19140.72</v>
      </c>
      <c r="BJ85" s="417">
        <v>101349.8</v>
      </c>
      <c r="BK85" s="819">
        <v>247609.78</v>
      </c>
      <c r="BL85" s="417">
        <v>141744.47</v>
      </c>
      <c r="BM85" s="417">
        <v>204121.49</v>
      </c>
      <c r="BN85" s="375">
        <v>1059065.1700000002</v>
      </c>
      <c r="BO85" s="212"/>
      <c r="BP85" s="818">
        <v>151800.5</v>
      </c>
      <c r="BQ85" s="818">
        <v>151800.5</v>
      </c>
      <c r="BR85" s="818">
        <v>151800.5</v>
      </c>
      <c r="BS85" s="818">
        <v>151800.5</v>
      </c>
      <c r="BT85" s="818">
        <v>151800.5</v>
      </c>
      <c r="BU85" s="818">
        <v>151800.5</v>
      </c>
      <c r="BV85" s="818">
        <v>151800.5</v>
      </c>
      <c r="BW85" s="818">
        <v>151800.5</v>
      </c>
      <c r="BX85" s="818">
        <v>151800.5</v>
      </c>
      <c r="BY85" s="818">
        <v>188466.5</v>
      </c>
      <c r="BZ85" s="818">
        <v>118466.5</v>
      </c>
      <c r="CA85" s="818">
        <v>118468.50000000006</v>
      </c>
      <c r="CB85" s="375">
        <f t="shared" si="87"/>
        <v>1791606</v>
      </c>
      <c r="CC85" s="366">
        <f t="shared" si="88"/>
        <v>732540.82999999984</v>
      </c>
      <c r="CD85" s="165">
        <f t="shared" si="89"/>
        <v>0.4088738427980258</v>
      </c>
      <c r="CE85" s="367"/>
      <c r="CF85" s="373">
        <v>145295.57</v>
      </c>
      <c r="CG85" s="373">
        <v>11754.130000000001</v>
      </c>
      <c r="CH85" s="373">
        <v>194034.91</v>
      </c>
      <c r="CI85" s="373">
        <v>10404.42</v>
      </c>
      <c r="CJ85" s="373">
        <v>5257.36</v>
      </c>
      <c r="CK85" s="373">
        <v>326816.36000000004</v>
      </c>
      <c r="CL85" s="373">
        <v>105731.83</v>
      </c>
      <c r="CM85" s="373">
        <v>81253.05</v>
      </c>
      <c r="CN85" s="373">
        <v>78423.259999999995</v>
      </c>
      <c r="CO85" s="373">
        <v>42359.74</v>
      </c>
      <c r="CP85" s="373">
        <v>7220.09</v>
      </c>
      <c r="CQ85" s="373">
        <v>88554.62</v>
      </c>
      <c r="CR85" s="376"/>
      <c r="CS85" s="375">
        <f t="shared" si="90"/>
        <v>1097105.3399999999</v>
      </c>
      <c r="CT85" s="378">
        <f t="shared" si="95"/>
        <v>38040.169999999693</v>
      </c>
      <c r="CU85" s="165">
        <f t="shared" si="91"/>
        <v>3.4673215609359535E-2</v>
      </c>
      <c r="CV85" s="320"/>
      <c r="CW85" s="373">
        <v>0</v>
      </c>
      <c r="CX85" s="373">
        <v>0</v>
      </c>
      <c r="CY85" s="373">
        <v>0</v>
      </c>
      <c r="CZ85" s="373">
        <v>0</v>
      </c>
      <c r="DA85" s="373">
        <v>0</v>
      </c>
      <c r="DB85" s="373">
        <v>0</v>
      </c>
      <c r="DC85" s="373">
        <v>0</v>
      </c>
      <c r="DD85" s="373">
        <v>0</v>
      </c>
      <c r="DE85" s="373">
        <v>92559.039999999994</v>
      </c>
      <c r="DF85" s="373">
        <v>27680.5</v>
      </c>
      <c r="DG85" s="373">
        <v>2440.5100000000002</v>
      </c>
      <c r="DH85" s="373">
        <v>46257.32</v>
      </c>
      <c r="DI85" s="375">
        <f t="shared" si="99"/>
        <v>168937.37</v>
      </c>
      <c r="DJ85" s="320"/>
      <c r="DK85" s="373">
        <v>0</v>
      </c>
      <c r="DL85" s="373">
        <v>0</v>
      </c>
      <c r="DM85" s="373">
        <v>0</v>
      </c>
      <c r="DN85" s="373">
        <v>0</v>
      </c>
      <c r="DO85" s="373">
        <v>0</v>
      </c>
      <c r="DP85" s="373">
        <v>0</v>
      </c>
      <c r="DQ85" s="373">
        <v>0</v>
      </c>
      <c r="DR85" s="373">
        <v>0</v>
      </c>
      <c r="DS85" s="373">
        <v>0</v>
      </c>
      <c r="DT85" s="373">
        <v>0</v>
      </c>
      <c r="DU85" s="373">
        <v>0</v>
      </c>
      <c r="DV85" s="373">
        <v>0</v>
      </c>
      <c r="DW85" s="375">
        <f t="shared" si="103"/>
        <v>0</v>
      </c>
      <c r="DY85" s="373">
        <v>0</v>
      </c>
      <c r="DZ85" s="373">
        <v>0</v>
      </c>
      <c r="EA85" s="373">
        <v>0</v>
      </c>
      <c r="EB85" s="373">
        <v>0</v>
      </c>
      <c r="EC85" s="373">
        <v>0</v>
      </c>
      <c r="ED85" s="373">
        <v>0</v>
      </c>
      <c r="EE85" s="373">
        <v>0</v>
      </c>
      <c r="EF85" s="373">
        <v>0</v>
      </c>
      <c r="EG85" s="373">
        <v>0</v>
      </c>
      <c r="EH85" s="373">
        <v>0</v>
      </c>
      <c r="EI85" s="373">
        <v>0</v>
      </c>
      <c r="EJ85" s="373">
        <v>0</v>
      </c>
      <c r="EK85" s="375">
        <f t="shared" si="94"/>
        <v>0</v>
      </c>
      <c r="EL85" s="177"/>
      <c r="EM85" s="373">
        <v>0</v>
      </c>
      <c r="EN85" s="373">
        <v>0</v>
      </c>
      <c r="EO85" s="373">
        <v>0</v>
      </c>
      <c r="EP85" s="373">
        <v>0</v>
      </c>
      <c r="EQ85" s="373">
        <v>0</v>
      </c>
      <c r="ER85" s="373">
        <v>0</v>
      </c>
      <c r="ES85" s="373">
        <v>0</v>
      </c>
      <c r="ET85" s="373">
        <v>0</v>
      </c>
      <c r="EU85" s="373">
        <v>0</v>
      </c>
      <c r="EV85" s="373">
        <v>0</v>
      </c>
      <c r="EW85" s="373">
        <v>0</v>
      </c>
      <c r="EX85" s="373">
        <v>0</v>
      </c>
      <c r="EY85" s="375">
        <f t="shared" si="96"/>
        <v>0</v>
      </c>
      <c r="EZ85" s="164"/>
      <c r="FC85" s="185">
        <v>0</v>
      </c>
    </row>
    <row r="86" spans="1:161" ht="18.75" customHeight="1">
      <c r="A86" s="185" t="s">
        <v>329</v>
      </c>
      <c r="B86" s="176">
        <v>60406000</v>
      </c>
      <c r="C86" s="176" t="s">
        <v>109</v>
      </c>
      <c r="D86" s="176" t="s">
        <v>109</v>
      </c>
      <c r="E86" s="324"/>
      <c r="F86" s="320" t="s">
        <v>654</v>
      </c>
      <c r="G86" s="320"/>
      <c r="H86" s="417">
        <v>61917</v>
      </c>
      <c r="I86" s="417">
        <v>61917</v>
      </c>
      <c r="J86" s="417">
        <v>61917</v>
      </c>
      <c r="K86" s="417">
        <v>61917</v>
      </c>
      <c r="L86" s="417">
        <v>61917</v>
      </c>
      <c r="M86" s="417">
        <v>61917</v>
      </c>
      <c r="N86" s="417">
        <v>210917</v>
      </c>
      <c r="O86" s="417">
        <v>61917</v>
      </c>
      <c r="P86" s="417">
        <v>61917</v>
      </c>
      <c r="Q86" s="819">
        <v>61917</v>
      </c>
      <c r="R86" s="417">
        <v>61917</v>
      </c>
      <c r="S86" s="417">
        <v>66031</v>
      </c>
      <c r="T86" s="402"/>
      <c r="U86" s="366">
        <f t="shared" si="81"/>
        <v>30705.22</v>
      </c>
      <c r="V86" s="165">
        <f t="shared" si="82"/>
        <v>1</v>
      </c>
      <c r="W86" s="212"/>
      <c r="X86" s="1518">
        <v>400</v>
      </c>
      <c r="Y86" s="1518">
        <v>0</v>
      </c>
      <c r="Z86" s="1518">
        <v>0</v>
      </c>
      <c r="AA86" s="1518">
        <v>0</v>
      </c>
      <c r="AB86" s="1518">
        <v>0</v>
      </c>
      <c r="AC86" s="1518">
        <v>3006</v>
      </c>
      <c r="AD86" s="1518">
        <v>0</v>
      </c>
      <c r="AE86" s="1518">
        <v>0</v>
      </c>
      <c r="AF86" s="1518">
        <v>2100</v>
      </c>
      <c r="AG86" s="1519">
        <v>15379.22</v>
      </c>
      <c r="AH86" s="1518">
        <v>0</v>
      </c>
      <c r="AI86" s="1518">
        <v>9820</v>
      </c>
      <c r="AJ86" s="375">
        <f t="shared" si="83"/>
        <v>30705.22</v>
      </c>
      <c r="AK86" s="212"/>
      <c r="AL86" s="417">
        <v>61917</v>
      </c>
      <c r="AM86" s="417">
        <v>61917</v>
      </c>
      <c r="AN86" s="417">
        <v>61917</v>
      </c>
      <c r="AO86" s="417">
        <v>61917</v>
      </c>
      <c r="AP86" s="417">
        <v>61917</v>
      </c>
      <c r="AQ86" s="417">
        <v>61917</v>
      </c>
      <c r="AR86" s="417">
        <v>210917</v>
      </c>
      <c r="AS86" s="417">
        <v>61917</v>
      </c>
      <c r="AT86" s="417">
        <v>61917</v>
      </c>
      <c r="AU86" s="819">
        <v>61917</v>
      </c>
      <c r="AV86" s="417">
        <v>61917</v>
      </c>
      <c r="AW86" s="417">
        <v>66031</v>
      </c>
      <c r="AX86" s="375">
        <f t="shared" si="104"/>
        <v>896118</v>
      </c>
      <c r="AY86" s="366">
        <f t="shared" si="85"/>
        <v>-828074.38</v>
      </c>
      <c r="AZ86" s="165">
        <f t="shared" si="86"/>
        <v>-12.169757870025141</v>
      </c>
      <c r="BA86" s="212"/>
      <c r="BB86" s="417">
        <v>2614</v>
      </c>
      <c r="BC86" s="417">
        <v>11584.41</v>
      </c>
      <c r="BD86" s="417">
        <v>0</v>
      </c>
      <c r="BE86" s="417">
        <v>8801.2099999999991</v>
      </c>
      <c r="BF86" s="417">
        <v>800</v>
      </c>
      <c r="BG86" s="417">
        <v>0</v>
      </c>
      <c r="BH86" s="417">
        <v>29960</v>
      </c>
      <c r="BI86" s="417">
        <v>1600</v>
      </c>
      <c r="BJ86" s="417">
        <v>-5400</v>
      </c>
      <c r="BK86" s="819">
        <v>0</v>
      </c>
      <c r="BL86" s="417">
        <v>1200</v>
      </c>
      <c r="BM86" s="417">
        <v>0</v>
      </c>
      <c r="BN86" s="375">
        <v>68043.62</v>
      </c>
      <c r="BO86" s="212"/>
      <c r="BP86" s="818">
        <v>16500</v>
      </c>
      <c r="BQ86" s="818">
        <v>16500</v>
      </c>
      <c r="BR86" s="818">
        <v>99484</v>
      </c>
      <c r="BS86" s="818">
        <v>16500</v>
      </c>
      <c r="BT86" s="818">
        <v>16500</v>
      </c>
      <c r="BU86" s="818">
        <v>16884</v>
      </c>
      <c r="BV86" s="818">
        <v>16500</v>
      </c>
      <c r="BW86" s="818">
        <v>16500</v>
      </c>
      <c r="BX86" s="818">
        <v>16884</v>
      </c>
      <c r="BY86" s="818">
        <v>16500</v>
      </c>
      <c r="BZ86" s="818">
        <v>16500</v>
      </c>
      <c r="CA86" s="818">
        <v>16884</v>
      </c>
      <c r="CB86" s="375">
        <f t="shared" si="87"/>
        <v>282136</v>
      </c>
      <c r="CC86" s="366">
        <f t="shared" si="88"/>
        <v>214092.38</v>
      </c>
      <c r="CD86" s="165">
        <f t="shared" si="89"/>
        <v>0.75882687781779001</v>
      </c>
      <c r="CE86" s="367"/>
      <c r="CF86" s="373">
        <v>53694</v>
      </c>
      <c r="CG86" s="373">
        <v>0</v>
      </c>
      <c r="CH86" s="373">
        <v>17265</v>
      </c>
      <c r="CI86" s="373">
        <v>9960</v>
      </c>
      <c r="CJ86" s="373">
        <v>23723.119999999999</v>
      </c>
      <c r="CK86" s="373">
        <v>0</v>
      </c>
      <c r="CL86" s="373">
        <v>35395</v>
      </c>
      <c r="CM86" s="373">
        <v>0</v>
      </c>
      <c r="CN86" s="373">
        <v>862.42</v>
      </c>
      <c r="CO86" s="373">
        <v>7842</v>
      </c>
      <c r="CP86" s="373">
        <v>27583</v>
      </c>
      <c r="CQ86" s="373">
        <v>2614</v>
      </c>
      <c r="CR86" s="376"/>
      <c r="CS86" s="375">
        <f t="shared" si="90"/>
        <v>178938.54</v>
      </c>
      <c r="CT86" s="378">
        <f t="shared" si="95"/>
        <v>110894.92000000001</v>
      </c>
      <c r="CU86" s="165">
        <f t="shared" si="91"/>
        <v>0.61973748081324465</v>
      </c>
      <c r="CV86" s="320"/>
      <c r="CW86" s="373">
        <v>0</v>
      </c>
      <c r="CX86" s="373">
        <v>0</v>
      </c>
      <c r="CY86" s="373">
        <v>0</v>
      </c>
      <c r="CZ86" s="373">
        <v>0</v>
      </c>
      <c r="DA86" s="373">
        <v>0</v>
      </c>
      <c r="DB86" s="373">
        <v>0</v>
      </c>
      <c r="DC86" s="373">
        <v>0</v>
      </c>
      <c r="DD86" s="373">
        <v>0</v>
      </c>
      <c r="DE86" s="373">
        <v>0</v>
      </c>
      <c r="DF86" s="373">
        <v>0</v>
      </c>
      <c r="DG86" s="373">
        <v>0</v>
      </c>
      <c r="DH86" s="373">
        <v>7500.8</v>
      </c>
      <c r="DI86" s="375">
        <f t="shared" si="99"/>
        <v>7500.8</v>
      </c>
      <c r="DJ86" s="320"/>
      <c r="DK86" s="373">
        <v>0</v>
      </c>
      <c r="DL86" s="373">
        <v>0</v>
      </c>
      <c r="DM86" s="373">
        <v>0</v>
      </c>
      <c r="DN86" s="373">
        <v>0</v>
      </c>
      <c r="DO86" s="373">
        <v>0</v>
      </c>
      <c r="DP86" s="373">
        <v>0</v>
      </c>
      <c r="DQ86" s="373">
        <v>0</v>
      </c>
      <c r="DR86" s="373">
        <v>0</v>
      </c>
      <c r="DS86" s="373">
        <v>0</v>
      </c>
      <c r="DT86" s="373">
        <v>0</v>
      </c>
      <c r="DU86" s="373">
        <v>0</v>
      </c>
      <c r="DV86" s="373">
        <v>0</v>
      </c>
      <c r="DW86" s="375">
        <f t="shared" si="103"/>
        <v>0</v>
      </c>
      <c r="DY86" s="373">
        <v>0</v>
      </c>
      <c r="DZ86" s="373">
        <v>0</v>
      </c>
      <c r="EA86" s="373">
        <v>0</v>
      </c>
      <c r="EB86" s="373">
        <v>0</v>
      </c>
      <c r="EC86" s="373">
        <v>0</v>
      </c>
      <c r="ED86" s="373">
        <v>0</v>
      </c>
      <c r="EE86" s="373">
        <v>0</v>
      </c>
      <c r="EF86" s="373">
        <v>0</v>
      </c>
      <c r="EG86" s="373">
        <v>0</v>
      </c>
      <c r="EH86" s="373">
        <v>0</v>
      </c>
      <c r="EI86" s="373">
        <v>0</v>
      </c>
      <c r="EJ86" s="373">
        <v>0</v>
      </c>
      <c r="EK86" s="375">
        <f t="shared" si="94"/>
        <v>0</v>
      </c>
      <c r="EL86" s="177"/>
      <c r="EM86" s="373">
        <v>0</v>
      </c>
      <c r="EN86" s="373">
        <v>0</v>
      </c>
      <c r="EO86" s="373">
        <v>0</v>
      </c>
      <c r="EP86" s="373">
        <v>0</v>
      </c>
      <c r="EQ86" s="373">
        <v>0</v>
      </c>
      <c r="ER86" s="373">
        <v>0</v>
      </c>
      <c r="ES86" s="373">
        <v>0</v>
      </c>
      <c r="ET86" s="373">
        <v>0</v>
      </c>
      <c r="EU86" s="373">
        <v>0</v>
      </c>
      <c r="EV86" s="373">
        <v>0</v>
      </c>
      <c r="EW86" s="373">
        <v>0</v>
      </c>
      <c r="EX86" s="373">
        <v>0</v>
      </c>
      <c r="EY86" s="375">
        <f t="shared" si="96"/>
        <v>0</v>
      </c>
      <c r="EZ86" s="164"/>
      <c r="FC86" s="185">
        <v>0</v>
      </c>
    </row>
    <row r="87" spans="1:161" ht="18.75" customHeight="1">
      <c r="A87" s="185" t="s">
        <v>329</v>
      </c>
      <c r="B87" s="176">
        <v>60407000</v>
      </c>
      <c r="C87" s="176" t="s">
        <v>109</v>
      </c>
      <c r="D87" s="176" t="s">
        <v>109</v>
      </c>
      <c r="E87" s="324"/>
      <c r="F87" s="320" t="s">
        <v>356</v>
      </c>
      <c r="G87" s="320"/>
      <c r="H87" s="417">
        <v>0</v>
      </c>
      <c r="I87" s="417">
        <v>0</v>
      </c>
      <c r="J87" s="417">
        <v>0</v>
      </c>
      <c r="K87" s="417">
        <v>0</v>
      </c>
      <c r="L87" s="417">
        <v>0</v>
      </c>
      <c r="M87" s="417">
        <v>0</v>
      </c>
      <c r="N87" s="417">
        <v>0</v>
      </c>
      <c r="O87" s="417">
        <v>0</v>
      </c>
      <c r="P87" s="417">
        <v>0</v>
      </c>
      <c r="Q87" s="819">
        <v>0</v>
      </c>
      <c r="R87" s="417">
        <v>0</v>
      </c>
      <c r="S87" s="417">
        <v>40000</v>
      </c>
      <c r="T87" s="402"/>
      <c r="U87" s="366">
        <f t="shared" si="81"/>
        <v>0</v>
      </c>
      <c r="V87" s="165" t="e">
        <f t="shared" si="82"/>
        <v>#DIV/0!</v>
      </c>
      <c r="W87" s="212"/>
      <c r="X87" s="1518">
        <v>0</v>
      </c>
      <c r="Y87" s="1518">
        <v>0</v>
      </c>
      <c r="Z87" s="1518">
        <v>0</v>
      </c>
      <c r="AA87" s="1518">
        <v>0</v>
      </c>
      <c r="AB87" s="1518">
        <v>0</v>
      </c>
      <c r="AC87" s="1518">
        <v>0</v>
      </c>
      <c r="AD87" s="1518">
        <v>0</v>
      </c>
      <c r="AE87" s="1518">
        <v>0</v>
      </c>
      <c r="AF87" s="1518">
        <v>0</v>
      </c>
      <c r="AG87" s="1519">
        <v>0</v>
      </c>
      <c r="AH87" s="1518">
        <v>0</v>
      </c>
      <c r="AI87" s="1518">
        <v>0</v>
      </c>
      <c r="AJ87" s="375">
        <f t="shared" si="83"/>
        <v>0</v>
      </c>
      <c r="AK87" s="212"/>
      <c r="AL87" s="417">
        <v>0</v>
      </c>
      <c r="AM87" s="417">
        <v>0</v>
      </c>
      <c r="AN87" s="417">
        <v>0</v>
      </c>
      <c r="AO87" s="417">
        <v>0</v>
      </c>
      <c r="AP87" s="417">
        <v>0</v>
      </c>
      <c r="AQ87" s="417">
        <v>0</v>
      </c>
      <c r="AR87" s="417">
        <v>0</v>
      </c>
      <c r="AS87" s="417">
        <v>0</v>
      </c>
      <c r="AT87" s="417">
        <v>0</v>
      </c>
      <c r="AU87" s="819">
        <v>0</v>
      </c>
      <c r="AV87" s="417">
        <v>0</v>
      </c>
      <c r="AW87" s="417">
        <v>40000</v>
      </c>
      <c r="AX87" s="375">
        <f t="shared" si="104"/>
        <v>40000</v>
      </c>
      <c r="AY87" s="366">
        <f t="shared" si="85"/>
        <v>-6111.3899999999994</v>
      </c>
      <c r="AZ87" s="165">
        <f t="shared" si="86"/>
        <v>-0.18033758245026868</v>
      </c>
      <c r="BA87" s="212"/>
      <c r="BB87" s="417">
        <v>12262.61</v>
      </c>
      <c r="BC87" s="417">
        <v>38493</v>
      </c>
      <c r="BD87" s="417">
        <v>0</v>
      </c>
      <c r="BE87" s="417">
        <v>0</v>
      </c>
      <c r="BF87" s="417">
        <v>0</v>
      </c>
      <c r="BG87" s="417">
        <v>9600</v>
      </c>
      <c r="BH87" s="417">
        <v>0</v>
      </c>
      <c r="BI87" s="417">
        <v>0</v>
      </c>
      <c r="BJ87" s="417">
        <v>-38493</v>
      </c>
      <c r="BK87" s="819">
        <v>0</v>
      </c>
      <c r="BL87" s="417">
        <v>0</v>
      </c>
      <c r="BM87" s="417">
        <v>1360</v>
      </c>
      <c r="BN87" s="375">
        <v>33888.61</v>
      </c>
      <c r="BO87" s="212"/>
      <c r="BP87" s="818">
        <v>451</v>
      </c>
      <c r="BQ87" s="818">
        <v>451</v>
      </c>
      <c r="BR87" s="818">
        <v>24126</v>
      </c>
      <c r="BS87" s="818">
        <v>451</v>
      </c>
      <c r="BT87" s="818">
        <v>451</v>
      </c>
      <c r="BU87" s="818">
        <v>12126</v>
      </c>
      <c r="BV87" s="818">
        <v>451</v>
      </c>
      <c r="BW87" s="818">
        <v>451</v>
      </c>
      <c r="BX87" s="818">
        <v>12126</v>
      </c>
      <c r="BY87" s="818">
        <v>451</v>
      </c>
      <c r="BZ87" s="818">
        <v>451</v>
      </c>
      <c r="CA87" s="818">
        <v>12026</v>
      </c>
      <c r="CB87" s="375">
        <f t="shared" si="87"/>
        <v>64012</v>
      </c>
      <c r="CC87" s="366">
        <f t="shared" si="88"/>
        <v>30123.39</v>
      </c>
      <c r="CD87" s="165">
        <f t="shared" si="89"/>
        <v>0.47058973317502967</v>
      </c>
      <c r="CE87" s="367"/>
      <c r="CF87" s="373">
        <v>0</v>
      </c>
      <c r="CG87" s="373">
        <v>0</v>
      </c>
      <c r="CH87" s="373">
        <v>4100</v>
      </c>
      <c r="CI87" s="373">
        <v>0</v>
      </c>
      <c r="CJ87" s="373">
        <v>0</v>
      </c>
      <c r="CK87" s="373">
        <v>0</v>
      </c>
      <c r="CL87" s="373">
        <v>94996</v>
      </c>
      <c r="CM87" s="373">
        <v>0</v>
      </c>
      <c r="CN87" s="373">
        <v>0</v>
      </c>
      <c r="CO87" s="373">
        <v>1840</v>
      </c>
      <c r="CP87" s="373">
        <v>0</v>
      </c>
      <c r="CQ87" s="373">
        <v>73.900000000000006</v>
      </c>
      <c r="CR87" s="376"/>
      <c r="CS87" s="375">
        <f t="shared" si="90"/>
        <v>101009.9</v>
      </c>
      <c r="CT87" s="378">
        <f t="shared" si="95"/>
        <v>67121.289999999994</v>
      </c>
      <c r="CU87" s="165">
        <f t="shared" si="91"/>
        <v>0.66450209335916577</v>
      </c>
      <c r="CV87" s="320"/>
      <c r="CW87" s="373">
        <v>0</v>
      </c>
      <c r="CX87" s="373">
        <v>0</v>
      </c>
      <c r="CY87" s="373">
        <v>0</v>
      </c>
      <c r="CZ87" s="373">
        <v>0</v>
      </c>
      <c r="DA87" s="373">
        <v>0</v>
      </c>
      <c r="DB87" s="373">
        <v>0</v>
      </c>
      <c r="DC87" s="373">
        <v>0</v>
      </c>
      <c r="DD87" s="373">
        <v>0</v>
      </c>
      <c r="DE87" s="373">
        <v>0</v>
      </c>
      <c r="DF87" s="373">
        <v>0</v>
      </c>
      <c r="DG87" s="373">
        <v>0</v>
      </c>
      <c r="DH87" s="373">
        <v>0</v>
      </c>
      <c r="DI87" s="375">
        <f t="shared" si="99"/>
        <v>0</v>
      </c>
      <c r="DJ87" s="320"/>
      <c r="DK87" s="373">
        <v>0</v>
      </c>
      <c r="DL87" s="373">
        <v>0</v>
      </c>
      <c r="DM87" s="373">
        <v>0</v>
      </c>
      <c r="DN87" s="373">
        <v>0</v>
      </c>
      <c r="DO87" s="373">
        <v>0</v>
      </c>
      <c r="DP87" s="373">
        <v>0</v>
      </c>
      <c r="DQ87" s="373">
        <v>0</v>
      </c>
      <c r="DR87" s="373">
        <v>0</v>
      </c>
      <c r="DS87" s="373">
        <v>0</v>
      </c>
      <c r="DT87" s="373">
        <v>0</v>
      </c>
      <c r="DU87" s="373">
        <v>0</v>
      </c>
      <c r="DV87" s="373">
        <v>0</v>
      </c>
      <c r="DW87" s="375">
        <f t="shared" si="103"/>
        <v>0</v>
      </c>
      <c r="DY87" s="373">
        <v>0</v>
      </c>
      <c r="DZ87" s="373">
        <v>0</v>
      </c>
      <c r="EA87" s="373">
        <v>0</v>
      </c>
      <c r="EB87" s="373">
        <v>0</v>
      </c>
      <c r="EC87" s="373">
        <v>0</v>
      </c>
      <c r="ED87" s="373">
        <v>0</v>
      </c>
      <c r="EE87" s="373">
        <v>0</v>
      </c>
      <c r="EF87" s="373">
        <v>0</v>
      </c>
      <c r="EG87" s="373">
        <v>0</v>
      </c>
      <c r="EH87" s="373">
        <v>0</v>
      </c>
      <c r="EI87" s="373">
        <v>0</v>
      </c>
      <c r="EJ87" s="373">
        <v>0</v>
      </c>
      <c r="EK87" s="375">
        <f t="shared" si="94"/>
        <v>0</v>
      </c>
      <c r="EL87" s="177"/>
      <c r="EM87" s="373">
        <v>0</v>
      </c>
      <c r="EN87" s="373">
        <v>0</v>
      </c>
      <c r="EO87" s="373">
        <v>0</v>
      </c>
      <c r="EP87" s="373">
        <v>0</v>
      </c>
      <c r="EQ87" s="373">
        <v>0</v>
      </c>
      <c r="ER87" s="373">
        <v>0</v>
      </c>
      <c r="ES87" s="373">
        <v>0</v>
      </c>
      <c r="ET87" s="373">
        <v>0</v>
      </c>
      <c r="EU87" s="373">
        <v>0</v>
      </c>
      <c r="EV87" s="373">
        <v>0</v>
      </c>
      <c r="EW87" s="373">
        <v>0</v>
      </c>
      <c r="EX87" s="373">
        <v>0</v>
      </c>
      <c r="EY87" s="375">
        <f t="shared" si="96"/>
        <v>0</v>
      </c>
      <c r="EZ87" s="164"/>
      <c r="FC87" s="185">
        <v>0</v>
      </c>
    </row>
    <row r="88" spans="1:161" ht="18.75" customHeight="1">
      <c r="A88" s="185" t="s">
        <v>329</v>
      </c>
      <c r="B88" s="176">
        <v>60408000</v>
      </c>
      <c r="C88" s="176" t="s">
        <v>109</v>
      </c>
      <c r="D88" s="176" t="s">
        <v>109</v>
      </c>
      <c r="E88" s="324"/>
      <c r="F88" s="320" t="s">
        <v>359</v>
      </c>
      <c r="G88" s="320"/>
      <c r="H88" s="417">
        <v>0</v>
      </c>
      <c r="I88" s="417">
        <v>0</v>
      </c>
      <c r="J88" s="417">
        <v>0</v>
      </c>
      <c r="K88" s="417">
        <v>0</v>
      </c>
      <c r="L88" s="417">
        <v>0</v>
      </c>
      <c r="M88" s="417">
        <v>0</v>
      </c>
      <c r="N88" s="417">
        <v>0</v>
      </c>
      <c r="O88" s="417">
        <v>0</v>
      </c>
      <c r="P88" s="417">
        <v>0</v>
      </c>
      <c r="Q88" s="819">
        <v>0</v>
      </c>
      <c r="R88" s="417">
        <v>0</v>
      </c>
      <c r="S88" s="417">
        <v>0</v>
      </c>
      <c r="T88" s="402"/>
      <c r="U88" s="366">
        <f t="shared" si="81"/>
        <v>0</v>
      </c>
      <c r="V88" s="165" t="e">
        <f t="shared" si="82"/>
        <v>#DIV/0!</v>
      </c>
      <c r="W88" s="212"/>
      <c r="X88" s="1518">
        <v>0</v>
      </c>
      <c r="Y88" s="1518">
        <v>0</v>
      </c>
      <c r="Z88" s="1518">
        <v>0</v>
      </c>
      <c r="AA88" s="1518">
        <v>0</v>
      </c>
      <c r="AB88" s="1518">
        <v>0</v>
      </c>
      <c r="AC88" s="1518">
        <v>0</v>
      </c>
      <c r="AD88" s="1518">
        <v>0</v>
      </c>
      <c r="AE88" s="1518">
        <v>0</v>
      </c>
      <c r="AF88" s="1518">
        <v>0</v>
      </c>
      <c r="AG88" s="1519">
        <v>0</v>
      </c>
      <c r="AH88" s="1518">
        <v>0</v>
      </c>
      <c r="AI88" s="1518">
        <v>0</v>
      </c>
      <c r="AJ88" s="375">
        <f t="shared" si="83"/>
        <v>0</v>
      </c>
      <c r="AK88" s="212"/>
      <c r="AL88" s="417">
        <v>0</v>
      </c>
      <c r="AM88" s="417">
        <v>0</v>
      </c>
      <c r="AN88" s="417">
        <v>0</v>
      </c>
      <c r="AO88" s="417">
        <v>0</v>
      </c>
      <c r="AP88" s="417">
        <v>0</v>
      </c>
      <c r="AQ88" s="417">
        <v>0</v>
      </c>
      <c r="AR88" s="417">
        <v>0</v>
      </c>
      <c r="AS88" s="417">
        <v>0</v>
      </c>
      <c r="AT88" s="417">
        <v>0</v>
      </c>
      <c r="AU88" s="819">
        <v>0</v>
      </c>
      <c r="AV88" s="417">
        <v>0</v>
      </c>
      <c r="AW88" s="417">
        <v>0</v>
      </c>
      <c r="AX88" s="375">
        <f t="shared" si="104"/>
        <v>0</v>
      </c>
      <c r="AY88" s="366">
        <f t="shared" si="85"/>
        <v>0</v>
      </c>
      <c r="AZ88" s="165" t="e">
        <f t="shared" si="86"/>
        <v>#DIV/0!</v>
      </c>
      <c r="BA88" s="212"/>
      <c r="BB88" s="417">
        <v>0</v>
      </c>
      <c r="BC88" s="417">
        <v>0</v>
      </c>
      <c r="BD88" s="417">
        <v>0</v>
      </c>
      <c r="BE88" s="417">
        <v>0</v>
      </c>
      <c r="BF88" s="417">
        <v>0</v>
      </c>
      <c r="BG88" s="417">
        <v>0</v>
      </c>
      <c r="BH88" s="417">
        <v>0</v>
      </c>
      <c r="BI88" s="417">
        <v>0</v>
      </c>
      <c r="BJ88" s="417">
        <v>0</v>
      </c>
      <c r="BK88" s="819">
        <v>0</v>
      </c>
      <c r="BL88" s="417">
        <v>0</v>
      </c>
      <c r="BM88" s="417">
        <v>0</v>
      </c>
      <c r="BN88" s="375">
        <f t="shared" si="98"/>
        <v>0</v>
      </c>
      <c r="BO88" s="212"/>
      <c r="BP88" s="818">
        <v>0</v>
      </c>
      <c r="BQ88" s="818">
        <v>0</v>
      </c>
      <c r="BR88" s="818">
        <v>0</v>
      </c>
      <c r="BS88" s="818">
        <v>0</v>
      </c>
      <c r="BT88" s="818">
        <v>0</v>
      </c>
      <c r="BU88" s="818">
        <v>0</v>
      </c>
      <c r="BV88" s="818">
        <v>0</v>
      </c>
      <c r="BW88" s="818">
        <v>0</v>
      </c>
      <c r="BX88" s="818">
        <v>0</v>
      </c>
      <c r="BY88" s="818">
        <v>0</v>
      </c>
      <c r="BZ88" s="818">
        <v>0</v>
      </c>
      <c r="CA88" s="818">
        <v>0</v>
      </c>
      <c r="CB88" s="375">
        <f t="shared" si="87"/>
        <v>0</v>
      </c>
      <c r="CC88" s="366">
        <f t="shared" si="88"/>
        <v>0</v>
      </c>
      <c r="CD88" s="165" t="str">
        <f t="shared" si="89"/>
        <v>N/A</v>
      </c>
      <c r="CE88" s="367"/>
      <c r="CF88" s="373">
        <v>0</v>
      </c>
      <c r="CG88" s="373">
        <v>0</v>
      </c>
      <c r="CH88" s="373">
        <v>0</v>
      </c>
      <c r="CI88" s="373">
        <v>0</v>
      </c>
      <c r="CJ88" s="373">
        <v>0</v>
      </c>
      <c r="CK88" s="373">
        <v>0</v>
      </c>
      <c r="CL88" s="373">
        <v>0</v>
      </c>
      <c r="CM88" s="373">
        <v>0</v>
      </c>
      <c r="CN88" s="373">
        <v>0</v>
      </c>
      <c r="CO88" s="373">
        <v>0</v>
      </c>
      <c r="CP88" s="373">
        <v>0</v>
      </c>
      <c r="CQ88" s="373">
        <v>0</v>
      </c>
      <c r="CR88" s="376"/>
      <c r="CS88" s="375">
        <f t="shared" si="90"/>
        <v>0</v>
      </c>
      <c r="CT88" s="378">
        <f t="shared" si="95"/>
        <v>0</v>
      </c>
      <c r="CU88" s="165" t="str">
        <f t="shared" si="91"/>
        <v>N/A</v>
      </c>
      <c r="CV88" s="320"/>
      <c r="CW88" s="373">
        <v>0</v>
      </c>
      <c r="CX88" s="373">
        <v>0</v>
      </c>
      <c r="CY88" s="373">
        <v>0</v>
      </c>
      <c r="CZ88" s="373">
        <v>0</v>
      </c>
      <c r="DA88" s="373">
        <v>0</v>
      </c>
      <c r="DB88" s="373">
        <v>0</v>
      </c>
      <c r="DC88" s="373">
        <v>0</v>
      </c>
      <c r="DD88" s="373">
        <v>0</v>
      </c>
      <c r="DE88" s="373">
        <v>0</v>
      </c>
      <c r="DF88" s="373">
        <v>0</v>
      </c>
      <c r="DG88" s="373">
        <v>0</v>
      </c>
      <c r="DH88" s="373">
        <v>0</v>
      </c>
      <c r="DI88" s="375">
        <f t="shared" si="99"/>
        <v>0</v>
      </c>
      <c r="DJ88" s="320"/>
      <c r="DK88" s="373"/>
      <c r="DL88" s="373"/>
      <c r="DM88" s="373"/>
      <c r="DN88" s="373"/>
      <c r="DO88" s="373"/>
      <c r="DP88" s="373"/>
      <c r="DQ88" s="373"/>
      <c r="DR88" s="373"/>
      <c r="DS88" s="373"/>
      <c r="DT88" s="373"/>
      <c r="DU88" s="373"/>
      <c r="DV88" s="373"/>
      <c r="DW88" s="375">
        <f t="shared" si="103"/>
        <v>0</v>
      </c>
      <c r="DY88" s="373"/>
      <c r="DZ88" s="373"/>
      <c r="EA88" s="373"/>
      <c r="EB88" s="373"/>
      <c r="EC88" s="373"/>
      <c r="ED88" s="373"/>
      <c r="EE88" s="373"/>
      <c r="EF88" s="373"/>
      <c r="EG88" s="373"/>
      <c r="EH88" s="373"/>
      <c r="EI88" s="373"/>
      <c r="EJ88" s="373"/>
      <c r="EK88" s="375">
        <f t="shared" si="94"/>
        <v>0</v>
      </c>
      <c r="EL88" s="177"/>
      <c r="EM88" s="373"/>
      <c r="EN88" s="373"/>
      <c r="EO88" s="373"/>
      <c r="EP88" s="373"/>
      <c r="EQ88" s="373"/>
      <c r="ER88" s="373"/>
      <c r="ES88" s="373"/>
      <c r="ET88" s="373"/>
      <c r="EU88" s="373"/>
      <c r="EV88" s="373"/>
      <c r="EW88" s="373"/>
      <c r="EX88" s="373"/>
      <c r="EY88" s="375">
        <f t="shared" si="96"/>
        <v>0</v>
      </c>
      <c r="EZ88" s="164"/>
      <c r="FC88" s="185">
        <v>0</v>
      </c>
    </row>
    <row r="89" spans="1:161" ht="18.75" customHeight="1">
      <c r="A89" s="185" t="s">
        <v>329</v>
      </c>
      <c r="B89" s="176">
        <v>60409000</v>
      </c>
      <c r="C89" s="176" t="s">
        <v>109</v>
      </c>
      <c r="D89" s="176" t="s">
        <v>109</v>
      </c>
      <c r="E89" s="324"/>
      <c r="F89" s="320" t="s">
        <v>358</v>
      </c>
      <c r="G89" s="320"/>
      <c r="H89" s="417">
        <v>0</v>
      </c>
      <c r="I89" s="417">
        <v>0</v>
      </c>
      <c r="J89" s="417">
        <v>0</v>
      </c>
      <c r="K89" s="417">
        <v>0</v>
      </c>
      <c r="L89" s="417">
        <v>0</v>
      </c>
      <c r="M89" s="417">
        <v>0</v>
      </c>
      <c r="N89" s="417">
        <v>80000</v>
      </c>
      <c r="O89" s="417">
        <v>0</v>
      </c>
      <c r="P89" s="417">
        <v>0</v>
      </c>
      <c r="Q89" s="819">
        <v>0</v>
      </c>
      <c r="R89" s="417">
        <v>0</v>
      </c>
      <c r="S89" s="417">
        <v>10000</v>
      </c>
      <c r="T89" s="402"/>
      <c r="U89" s="366">
        <f t="shared" si="81"/>
        <v>0</v>
      </c>
      <c r="V89" s="165" t="e">
        <f t="shared" si="82"/>
        <v>#DIV/0!</v>
      </c>
      <c r="W89" s="212"/>
      <c r="X89" s="1518">
        <v>0</v>
      </c>
      <c r="Y89" s="1518">
        <v>0</v>
      </c>
      <c r="Z89" s="1518">
        <v>0</v>
      </c>
      <c r="AA89" s="1518">
        <v>0</v>
      </c>
      <c r="AB89" s="1518">
        <v>0</v>
      </c>
      <c r="AC89" s="1518">
        <v>0</v>
      </c>
      <c r="AD89" s="1518">
        <v>0</v>
      </c>
      <c r="AE89" s="1518">
        <v>0</v>
      </c>
      <c r="AF89" s="1518">
        <v>0</v>
      </c>
      <c r="AG89" s="1519">
        <v>0</v>
      </c>
      <c r="AH89" s="1518">
        <v>0</v>
      </c>
      <c r="AI89" s="1518">
        <v>0</v>
      </c>
      <c r="AJ89" s="375">
        <f t="shared" si="83"/>
        <v>0</v>
      </c>
      <c r="AK89" s="212"/>
      <c r="AL89" s="417">
        <v>0</v>
      </c>
      <c r="AM89" s="417">
        <v>0</v>
      </c>
      <c r="AN89" s="417">
        <v>0</v>
      </c>
      <c r="AO89" s="417">
        <v>0</v>
      </c>
      <c r="AP89" s="417">
        <v>0</v>
      </c>
      <c r="AQ89" s="417">
        <v>0</v>
      </c>
      <c r="AR89" s="417">
        <v>80000</v>
      </c>
      <c r="AS89" s="417">
        <v>0</v>
      </c>
      <c r="AT89" s="417">
        <v>0</v>
      </c>
      <c r="AU89" s="819">
        <v>0</v>
      </c>
      <c r="AV89" s="417">
        <v>0</v>
      </c>
      <c r="AW89" s="417">
        <v>10000</v>
      </c>
      <c r="AX89" s="978">
        <v>370000</v>
      </c>
      <c r="AY89" s="366">
        <f t="shared" si="85"/>
        <v>-370000</v>
      </c>
      <c r="AZ89" s="165" t="e">
        <f t="shared" si="86"/>
        <v>#DIV/0!</v>
      </c>
      <c r="BA89" s="212"/>
      <c r="BB89" s="417">
        <v>0</v>
      </c>
      <c r="BC89" s="417">
        <v>0</v>
      </c>
      <c r="BD89" s="417">
        <v>0</v>
      </c>
      <c r="BE89" s="417">
        <v>0</v>
      </c>
      <c r="BF89" s="417">
        <v>0</v>
      </c>
      <c r="BG89" s="417">
        <v>0</v>
      </c>
      <c r="BH89" s="417">
        <v>0</v>
      </c>
      <c r="BI89" s="417">
        <v>0</v>
      </c>
      <c r="BJ89" s="417">
        <v>0</v>
      </c>
      <c r="BK89" s="819">
        <v>0</v>
      </c>
      <c r="BL89" s="417">
        <v>0</v>
      </c>
      <c r="BM89" s="417">
        <v>0</v>
      </c>
      <c r="BN89" s="375">
        <f t="shared" si="98"/>
        <v>0</v>
      </c>
      <c r="BO89" s="212"/>
      <c r="BP89" s="818">
        <v>0</v>
      </c>
      <c r="BQ89" s="818">
        <v>0</v>
      </c>
      <c r="BR89" s="818">
        <v>0</v>
      </c>
      <c r="BS89" s="818">
        <v>0</v>
      </c>
      <c r="BT89" s="818">
        <v>0</v>
      </c>
      <c r="BU89" s="818">
        <v>0</v>
      </c>
      <c r="BV89" s="818">
        <v>0</v>
      </c>
      <c r="BW89" s="818">
        <v>0</v>
      </c>
      <c r="BX89" s="818">
        <v>0</v>
      </c>
      <c r="BY89" s="818">
        <v>0</v>
      </c>
      <c r="BZ89" s="818">
        <v>0</v>
      </c>
      <c r="CA89" s="818">
        <v>0</v>
      </c>
      <c r="CB89" s="375">
        <f t="shared" si="87"/>
        <v>0</v>
      </c>
      <c r="CC89" s="366">
        <f t="shared" si="88"/>
        <v>0</v>
      </c>
      <c r="CD89" s="165" t="str">
        <f t="shared" si="89"/>
        <v>N/A</v>
      </c>
      <c r="CE89" s="367"/>
      <c r="CF89" s="373">
        <v>0</v>
      </c>
      <c r="CG89" s="373">
        <v>0</v>
      </c>
      <c r="CH89" s="373">
        <v>0</v>
      </c>
      <c r="CI89" s="373">
        <v>0</v>
      </c>
      <c r="CJ89" s="373">
        <v>0</v>
      </c>
      <c r="CK89" s="373">
        <v>0</v>
      </c>
      <c r="CL89" s="373">
        <v>0</v>
      </c>
      <c r="CM89" s="373">
        <v>0</v>
      </c>
      <c r="CN89" s="373">
        <v>0</v>
      </c>
      <c r="CO89" s="373">
        <v>0</v>
      </c>
      <c r="CP89" s="373">
        <v>0</v>
      </c>
      <c r="CQ89" s="373">
        <v>0</v>
      </c>
      <c r="CR89" s="376"/>
      <c r="CS89" s="375">
        <f t="shared" si="90"/>
        <v>0</v>
      </c>
      <c r="CT89" s="378">
        <f t="shared" si="95"/>
        <v>0</v>
      </c>
      <c r="CU89" s="165" t="str">
        <f t="shared" si="91"/>
        <v>N/A</v>
      </c>
      <c r="CV89" s="320"/>
      <c r="CW89" s="373">
        <v>0</v>
      </c>
      <c r="CX89" s="373">
        <v>0</v>
      </c>
      <c r="CY89" s="373">
        <v>0</v>
      </c>
      <c r="CZ89" s="373">
        <v>0</v>
      </c>
      <c r="DA89" s="373">
        <v>0</v>
      </c>
      <c r="DB89" s="373">
        <v>0</v>
      </c>
      <c r="DC89" s="373">
        <v>0</v>
      </c>
      <c r="DD89" s="373">
        <v>0</v>
      </c>
      <c r="DE89" s="373">
        <v>0</v>
      </c>
      <c r="DF89" s="373">
        <v>0</v>
      </c>
      <c r="DG89" s="373">
        <v>0</v>
      </c>
      <c r="DH89" s="373">
        <v>0</v>
      </c>
      <c r="DI89" s="375">
        <f t="shared" si="99"/>
        <v>0</v>
      </c>
      <c r="DJ89" s="320"/>
      <c r="DK89" s="373"/>
      <c r="DL89" s="373"/>
      <c r="DM89" s="373"/>
      <c r="DN89" s="373"/>
      <c r="DO89" s="373"/>
      <c r="DP89" s="373"/>
      <c r="DQ89" s="373"/>
      <c r="DR89" s="373"/>
      <c r="DS89" s="373"/>
      <c r="DT89" s="373"/>
      <c r="DU89" s="373"/>
      <c r="DV89" s="373"/>
      <c r="DW89" s="375">
        <f t="shared" si="103"/>
        <v>0</v>
      </c>
      <c r="DY89" s="373"/>
      <c r="DZ89" s="373"/>
      <c r="EA89" s="373"/>
      <c r="EB89" s="373"/>
      <c r="EC89" s="373"/>
      <c r="ED89" s="373"/>
      <c r="EE89" s="373"/>
      <c r="EF89" s="373"/>
      <c r="EG89" s="373"/>
      <c r="EH89" s="373"/>
      <c r="EI89" s="373"/>
      <c r="EJ89" s="373"/>
      <c r="EK89" s="375">
        <f t="shared" si="94"/>
        <v>0</v>
      </c>
      <c r="EL89" s="177"/>
      <c r="EM89" s="373"/>
      <c r="EN89" s="373"/>
      <c r="EO89" s="373"/>
      <c r="EP89" s="373"/>
      <c r="EQ89" s="373"/>
      <c r="ER89" s="373"/>
      <c r="ES89" s="373"/>
      <c r="ET89" s="373"/>
      <c r="EU89" s="373"/>
      <c r="EV89" s="373"/>
      <c r="EW89" s="373"/>
      <c r="EX89" s="373"/>
      <c r="EY89" s="375">
        <f t="shared" si="96"/>
        <v>0</v>
      </c>
      <c r="EZ89" s="164"/>
      <c r="FC89" s="185">
        <v>0</v>
      </c>
    </row>
    <row r="90" spans="1:161" ht="18.75" customHeight="1">
      <c r="A90" s="185" t="s">
        <v>329</v>
      </c>
      <c r="B90" s="176">
        <v>60410000</v>
      </c>
      <c r="C90" s="176" t="s">
        <v>109</v>
      </c>
      <c r="D90" s="176" t="s">
        <v>109</v>
      </c>
      <c r="E90" s="773"/>
      <c r="F90" s="320" t="s">
        <v>1173</v>
      </c>
      <c r="G90" s="320"/>
      <c r="H90" s="417">
        <v>0</v>
      </c>
      <c r="I90" s="417">
        <v>0</v>
      </c>
      <c r="J90" s="417">
        <v>0</v>
      </c>
      <c r="K90" s="417">
        <v>0</v>
      </c>
      <c r="L90" s="417">
        <v>0</v>
      </c>
      <c r="M90" s="417">
        <v>0</v>
      </c>
      <c r="N90" s="417">
        <v>0</v>
      </c>
      <c r="O90" s="417">
        <v>0</v>
      </c>
      <c r="P90" s="417">
        <v>0</v>
      </c>
      <c r="Q90" s="819">
        <v>0</v>
      </c>
      <c r="R90" s="417">
        <v>0</v>
      </c>
      <c r="S90" s="417">
        <v>0</v>
      </c>
      <c r="T90" s="402"/>
      <c r="U90" s="366">
        <f t="shared" si="81"/>
        <v>0</v>
      </c>
      <c r="V90" s="165" t="e">
        <f t="shared" si="82"/>
        <v>#DIV/0!</v>
      </c>
      <c r="W90" s="212"/>
      <c r="X90" s="1518">
        <v>0</v>
      </c>
      <c r="Y90" s="1518">
        <v>0</v>
      </c>
      <c r="Z90" s="1518">
        <v>0</v>
      </c>
      <c r="AA90" s="1518">
        <v>0</v>
      </c>
      <c r="AB90" s="1518">
        <v>0</v>
      </c>
      <c r="AC90" s="1518">
        <v>0</v>
      </c>
      <c r="AD90" s="1518">
        <v>0</v>
      </c>
      <c r="AE90" s="1518">
        <v>0</v>
      </c>
      <c r="AF90" s="1518">
        <v>0</v>
      </c>
      <c r="AG90" s="1519">
        <v>0</v>
      </c>
      <c r="AH90" s="1518">
        <v>0</v>
      </c>
      <c r="AI90" s="1518">
        <v>0</v>
      </c>
      <c r="AJ90" s="375">
        <f t="shared" si="83"/>
        <v>0</v>
      </c>
      <c r="AK90" s="212"/>
      <c r="AL90" s="417">
        <v>0</v>
      </c>
      <c r="AM90" s="417">
        <v>0</v>
      </c>
      <c r="AN90" s="417">
        <v>0</v>
      </c>
      <c r="AO90" s="417">
        <v>0</v>
      </c>
      <c r="AP90" s="417">
        <v>0</v>
      </c>
      <c r="AQ90" s="417">
        <v>0</v>
      </c>
      <c r="AR90" s="417">
        <v>0</v>
      </c>
      <c r="AS90" s="417">
        <v>0</v>
      </c>
      <c r="AT90" s="417">
        <v>0</v>
      </c>
      <c r="AU90" s="819">
        <v>0</v>
      </c>
      <c r="AV90" s="417">
        <v>0</v>
      </c>
      <c r="AW90" s="417">
        <v>0</v>
      </c>
      <c r="AX90" s="978">
        <v>90000</v>
      </c>
      <c r="AY90" s="366">
        <f t="shared" si="85"/>
        <v>-90000</v>
      </c>
      <c r="AZ90" s="165" t="e">
        <f t="shared" si="86"/>
        <v>#DIV/0!</v>
      </c>
      <c r="BA90" s="212"/>
      <c r="BB90" s="417">
        <v>0</v>
      </c>
      <c r="BC90" s="417">
        <v>0</v>
      </c>
      <c r="BD90" s="417">
        <v>0</v>
      </c>
      <c r="BE90" s="417">
        <v>0</v>
      </c>
      <c r="BF90" s="417">
        <v>0</v>
      </c>
      <c r="BG90" s="417">
        <v>0</v>
      </c>
      <c r="BH90" s="417">
        <v>0</v>
      </c>
      <c r="BI90" s="417">
        <v>0</v>
      </c>
      <c r="BJ90" s="417">
        <v>0</v>
      </c>
      <c r="BK90" s="819">
        <v>0</v>
      </c>
      <c r="BL90" s="417">
        <v>0</v>
      </c>
      <c r="BM90" s="417">
        <v>0</v>
      </c>
      <c r="BN90" s="375">
        <f>SUM(BB90:BM90)</f>
        <v>0</v>
      </c>
      <c r="BO90" s="212"/>
      <c r="BP90" s="818"/>
      <c r="BQ90" s="818"/>
      <c r="BR90" s="818"/>
      <c r="BS90" s="818"/>
      <c r="BT90" s="818"/>
      <c r="BU90" s="818"/>
      <c r="BV90" s="818"/>
      <c r="BW90" s="818"/>
      <c r="BX90" s="818"/>
      <c r="BY90" s="818"/>
      <c r="BZ90" s="818"/>
      <c r="CA90" s="818"/>
      <c r="CB90" s="375"/>
      <c r="CC90" s="366"/>
      <c r="CD90" s="165"/>
      <c r="CE90" s="367"/>
      <c r="CF90" s="373"/>
      <c r="CG90" s="373"/>
      <c r="CH90" s="373"/>
      <c r="CI90" s="373"/>
      <c r="CJ90" s="373"/>
      <c r="CK90" s="373"/>
      <c r="CL90" s="373"/>
      <c r="CM90" s="373"/>
      <c r="CN90" s="373"/>
      <c r="CO90" s="373"/>
      <c r="CP90" s="373"/>
      <c r="CQ90" s="373"/>
      <c r="CR90" s="376"/>
      <c r="CS90" s="375"/>
      <c r="CT90" s="378"/>
      <c r="CU90" s="165"/>
      <c r="CV90" s="320"/>
      <c r="CW90" s="373"/>
      <c r="CX90" s="373"/>
      <c r="CY90" s="373"/>
      <c r="CZ90" s="373"/>
      <c r="DA90" s="373"/>
      <c r="DB90" s="373"/>
      <c r="DC90" s="373"/>
      <c r="DD90" s="373"/>
      <c r="DE90" s="373"/>
      <c r="DF90" s="373"/>
      <c r="DG90" s="373"/>
      <c r="DH90" s="373"/>
      <c r="DI90" s="375"/>
      <c r="DJ90" s="320"/>
      <c r="DK90" s="373"/>
      <c r="DL90" s="373"/>
      <c r="DM90" s="373"/>
      <c r="DN90" s="373"/>
      <c r="DO90" s="373"/>
      <c r="DP90" s="373"/>
      <c r="DQ90" s="373"/>
      <c r="DR90" s="373"/>
      <c r="DS90" s="373"/>
      <c r="DT90" s="373"/>
      <c r="DU90" s="373"/>
      <c r="DV90" s="373"/>
      <c r="DW90" s="375"/>
      <c r="DY90" s="373"/>
      <c r="DZ90" s="373"/>
      <c r="EA90" s="373"/>
      <c r="EB90" s="373"/>
      <c r="EC90" s="373"/>
      <c r="ED90" s="373"/>
      <c r="EE90" s="373"/>
      <c r="EF90" s="373"/>
      <c r="EG90" s="373"/>
      <c r="EH90" s="373"/>
      <c r="EI90" s="373"/>
      <c r="EJ90" s="373"/>
      <c r="EK90" s="375"/>
      <c r="EL90" s="177"/>
      <c r="EM90" s="373"/>
      <c r="EN90" s="373"/>
      <c r="EO90" s="373"/>
      <c r="EP90" s="373"/>
      <c r="EQ90" s="373"/>
      <c r="ER90" s="373"/>
      <c r="ES90" s="373"/>
      <c r="ET90" s="373"/>
      <c r="EU90" s="373"/>
      <c r="EV90" s="373"/>
      <c r="EW90" s="373"/>
      <c r="EX90" s="373"/>
      <c r="EY90" s="375"/>
      <c r="EZ90" s="164"/>
    </row>
    <row r="91" spans="1:161" ht="18.75" customHeight="1">
      <c r="A91" s="185" t="s">
        <v>320</v>
      </c>
      <c r="B91" s="176">
        <v>60501000</v>
      </c>
      <c r="C91" s="176" t="s">
        <v>109</v>
      </c>
      <c r="D91" s="176" t="s">
        <v>109</v>
      </c>
      <c r="E91" s="324"/>
      <c r="F91" s="320" t="s">
        <v>321</v>
      </c>
      <c r="G91" s="320"/>
      <c r="H91" s="417">
        <v>20995</v>
      </c>
      <c r="I91" s="417">
        <v>21200</v>
      </c>
      <c r="J91" s="417">
        <v>19000</v>
      </c>
      <c r="K91" s="417">
        <v>19000</v>
      </c>
      <c r="L91" s="417">
        <v>22300</v>
      </c>
      <c r="M91" s="417">
        <v>19000</v>
      </c>
      <c r="N91" s="417">
        <v>19000</v>
      </c>
      <c r="O91" s="417">
        <v>19000</v>
      </c>
      <c r="P91" s="417">
        <v>20530</v>
      </c>
      <c r="Q91" s="819">
        <v>20100</v>
      </c>
      <c r="R91" s="417">
        <v>23400</v>
      </c>
      <c r="S91" s="417">
        <v>90780</v>
      </c>
      <c r="T91" s="402"/>
      <c r="U91" s="366">
        <f t="shared" si="81"/>
        <v>15225</v>
      </c>
      <c r="V91" s="165">
        <f t="shared" si="82"/>
        <v>1</v>
      </c>
      <c r="W91" s="212"/>
      <c r="X91" s="1518">
        <v>1995</v>
      </c>
      <c r="Y91" s="1518">
        <v>870</v>
      </c>
      <c r="Z91" s="1518">
        <v>0</v>
      </c>
      <c r="AA91" s="1518">
        <v>0</v>
      </c>
      <c r="AB91" s="1518">
        <v>0</v>
      </c>
      <c r="AC91" s="1518">
        <v>0</v>
      </c>
      <c r="AD91" s="1518">
        <v>0</v>
      </c>
      <c r="AE91" s="1518">
        <v>0</v>
      </c>
      <c r="AF91" s="1518">
        <v>4595</v>
      </c>
      <c r="AG91" s="1519">
        <v>0</v>
      </c>
      <c r="AH91" s="1518">
        <v>6395</v>
      </c>
      <c r="AI91" s="1518">
        <v>1370</v>
      </c>
      <c r="AJ91" s="375">
        <f t="shared" si="83"/>
        <v>15225</v>
      </c>
      <c r="AK91" s="212"/>
      <c r="AL91" s="417">
        <v>20995</v>
      </c>
      <c r="AM91" s="417">
        <v>21200</v>
      </c>
      <c r="AN91" s="417">
        <v>19000</v>
      </c>
      <c r="AO91" s="417">
        <v>19000</v>
      </c>
      <c r="AP91" s="417">
        <v>22300</v>
      </c>
      <c r="AQ91" s="417">
        <v>19000</v>
      </c>
      <c r="AR91" s="417">
        <v>19000</v>
      </c>
      <c r="AS91" s="417">
        <v>19000</v>
      </c>
      <c r="AT91" s="417">
        <v>20530</v>
      </c>
      <c r="AU91" s="819">
        <v>20100</v>
      </c>
      <c r="AV91" s="417">
        <v>23400</v>
      </c>
      <c r="AW91" s="417">
        <v>90780</v>
      </c>
      <c r="AX91" s="375">
        <f t="shared" si="104"/>
        <v>314305</v>
      </c>
      <c r="AY91" s="366">
        <f t="shared" si="85"/>
        <v>-177935</v>
      </c>
      <c r="AZ91" s="165">
        <f t="shared" si="86"/>
        <v>-1.3047957761971107</v>
      </c>
      <c r="BA91" s="212"/>
      <c r="BB91" s="417">
        <v>625</v>
      </c>
      <c r="BC91" s="417">
        <v>3340</v>
      </c>
      <c r="BD91" s="417">
        <v>155</v>
      </c>
      <c r="BE91" s="417">
        <v>12865</v>
      </c>
      <c r="BF91" s="417">
        <v>1100</v>
      </c>
      <c r="BG91" s="417">
        <v>2250</v>
      </c>
      <c r="BH91" s="417">
        <v>39000</v>
      </c>
      <c r="BI91" s="417">
        <v>3015</v>
      </c>
      <c r="BJ91" s="417">
        <v>-4680</v>
      </c>
      <c r="BK91" s="819">
        <v>3065</v>
      </c>
      <c r="BL91" s="417">
        <v>2200</v>
      </c>
      <c r="BM91" s="417">
        <v>196150</v>
      </c>
      <c r="BN91" s="375">
        <v>136370</v>
      </c>
      <c r="BO91" s="212"/>
      <c r="BP91" s="818">
        <v>1800</v>
      </c>
      <c r="BQ91" s="818">
        <v>1800</v>
      </c>
      <c r="BR91" s="818">
        <v>70192.5</v>
      </c>
      <c r="BS91" s="818">
        <v>1800</v>
      </c>
      <c r="BT91" s="818">
        <v>1800</v>
      </c>
      <c r="BU91" s="818">
        <v>70192.5</v>
      </c>
      <c r="BV91" s="818">
        <v>1800</v>
      </c>
      <c r="BW91" s="818">
        <v>1800</v>
      </c>
      <c r="BX91" s="818">
        <v>70192.5</v>
      </c>
      <c r="BY91" s="818">
        <v>1800</v>
      </c>
      <c r="BZ91" s="818">
        <v>1800</v>
      </c>
      <c r="CA91" s="818">
        <v>70757.5</v>
      </c>
      <c r="CB91" s="375">
        <f t="shared" si="87"/>
        <v>295735</v>
      </c>
      <c r="CC91" s="366">
        <f t="shared" si="88"/>
        <v>159365</v>
      </c>
      <c r="CD91" s="165">
        <f t="shared" si="89"/>
        <v>0.53887771146465591</v>
      </c>
      <c r="CE91" s="367"/>
      <c r="CF91" s="373">
        <v>180</v>
      </c>
      <c r="CG91" s="373">
        <v>870</v>
      </c>
      <c r="CH91" s="373">
        <v>0</v>
      </c>
      <c r="CI91" s="373">
        <v>0</v>
      </c>
      <c r="CJ91" s="373">
        <v>0</v>
      </c>
      <c r="CK91" s="373">
        <v>248242.4</v>
      </c>
      <c r="CL91" s="373">
        <v>1625</v>
      </c>
      <c r="CM91" s="373">
        <v>0</v>
      </c>
      <c r="CN91" s="373">
        <v>-232532.40000000002</v>
      </c>
      <c r="CO91" s="373">
        <v>0</v>
      </c>
      <c r="CP91" s="373">
        <v>330</v>
      </c>
      <c r="CQ91" s="373">
        <v>0</v>
      </c>
      <c r="CR91" s="376"/>
      <c r="CS91" s="375">
        <f t="shared" si="90"/>
        <v>18714.999999999971</v>
      </c>
      <c r="CT91" s="378">
        <f t="shared" si="95"/>
        <v>-117655.00000000003</v>
      </c>
      <c r="CU91" s="165">
        <f t="shared" si="91"/>
        <v>-6.2866684477691805</v>
      </c>
      <c r="CV91" s="320"/>
      <c r="CW91" s="373">
        <v>0</v>
      </c>
      <c r="CX91" s="373">
        <v>0</v>
      </c>
      <c r="CY91" s="373">
        <v>870</v>
      </c>
      <c r="CZ91" s="373">
        <v>0</v>
      </c>
      <c r="DA91" s="373">
        <v>0</v>
      </c>
      <c r="DB91" s="373">
        <v>0</v>
      </c>
      <c r="DC91" s="373">
        <v>0</v>
      </c>
      <c r="DD91" s="373">
        <v>0</v>
      </c>
      <c r="DE91" s="373">
        <v>0</v>
      </c>
      <c r="DF91" s="373">
        <v>0</v>
      </c>
      <c r="DG91" s="373">
        <v>0</v>
      </c>
      <c r="DH91" s="373">
        <v>265</v>
      </c>
      <c r="DI91" s="375">
        <f t="shared" si="99"/>
        <v>1135</v>
      </c>
      <c r="DJ91" s="320"/>
      <c r="DK91" s="373">
        <v>0</v>
      </c>
      <c r="DL91" s="373">
        <v>0</v>
      </c>
      <c r="DM91" s="373">
        <v>0</v>
      </c>
      <c r="DN91" s="373">
        <v>0</v>
      </c>
      <c r="DO91" s="373">
        <v>0</v>
      </c>
      <c r="DP91" s="373">
        <v>0</v>
      </c>
      <c r="DQ91" s="373">
        <v>0</v>
      </c>
      <c r="DR91" s="373">
        <v>0</v>
      </c>
      <c r="DS91" s="373">
        <v>0</v>
      </c>
      <c r="DT91" s="373">
        <v>0</v>
      </c>
      <c r="DU91" s="373">
        <v>0</v>
      </c>
      <c r="DV91" s="373">
        <v>0</v>
      </c>
      <c r="DW91" s="375">
        <f t="shared" si="103"/>
        <v>0</v>
      </c>
      <c r="DY91" s="373">
        <v>0</v>
      </c>
      <c r="DZ91" s="373">
        <v>0</v>
      </c>
      <c r="EA91" s="373">
        <v>0</v>
      </c>
      <c r="EB91" s="373">
        <v>0</v>
      </c>
      <c r="EC91" s="373">
        <v>0</v>
      </c>
      <c r="ED91" s="373">
        <v>0</v>
      </c>
      <c r="EE91" s="373">
        <v>0</v>
      </c>
      <c r="EF91" s="373">
        <v>0</v>
      </c>
      <c r="EG91" s="373">
        <v>0</v>
      </c>
      <c r="EH91" s="373">
        <v>0</v>
      </c>
      <c r="EI91" s="373">
        <v>0</v>
      </c>
      <c r="EJ91" s="373">
        <v>0</v>
      </c>
      <c r="EK91" s="375">
        <f t="shared" si="94"/>
        <v>0</v>
      </c>
      <c r="EL91" s="177"/>
      <c r="EM91" s="373">
        <v>0</v>
      </c>
      <c r="EN91" s="373">
        <v>0</v>
      </c>
      <c r="EO91" s="373">
        <v>0</v>
      </c>
      <c r="EP91" s="373">
        <v>0</v>
      </c>
      <c r="EQ91" s="373">
        <v>150</v>
      </c>
      <c r="ER91" s="373">
        <v>0</v>
      </c>
      <c r="ES91" s="373">
        <v>0</v>
      </c>
      <c r="ET91" s="373">
        <v>0</v>
      </c>
      <c r="EU91" s="373">
        <v>0</v>
      </c>
      <c r="EV91" s="373">
        <v>0</v>
      </c>
      <c r="EW91" s="373">
        <v>0</v>
      </c>
      <c r="EX91" s="373">
        <v>0</v>
      </c>
      <c r="EY91" s="375">
        <f t="shared" si="96"/>
        <v>150</v>
      </c>
      <c r="EZ91" s="164"/>
      <c r="FC91" s="185">
        <v>0</v>
      </c>
    </row>
    <row r="92" spans="1:161" ht="18.75" customHeight="1" outlineLevel="1">
      <c r="A92" s="185" t="s">
        <v>329</v>
      </c>
      <c r="B92" s="176">
        <v>60502000</v>
      </c>
      <c r="C92" s="176" t="s">
        <v>109</v>
      </c>
      <c r="D92" s="176" t="s">
        <v>109</v>
      </c>
      <c r="E92" s="324"/>
      <c r="F92" s="320" t="s">
        <v>345</v>
      </c>
      <c r="G92" s="320"/>
      <c r="H92" s="417">
        <v>0</v>
      </c>
      <c r="I92" s="417">
        <v>0</v>
      </c>
      <c r="J92" s="417">
        <v>0</v>
      </c>
      <c r="K92" s="417">
        <v>0</v>
      </c>
      <c r="L92" s="417">
        <v>0</v>
      </c>
      <c r="M92" s="417">
        <v>0</v>
      </c>
      <c r="N92" s="417">
        <v>0</v>
      </c>
      <c r="O92" s="417">
        <v>0</v>
      </c>
      <c r="P92" s="417">
        <v>0</v>
      </c>
      <c r="Q92" s="819">
        <v>0</v>
      </c>
      <c r="R92" s="417">
        <v>0</v>
      </c>
      <c r="S92" s="417">
        <v>0</v>
      </c>
      <c r="T92" s="402"/>
      <c r="U92" s="366">
        <f t="shared" si="81"/>
        <v>0</v>
      </c>
      <c r="V92" s="165" t="e">
        <f t="shared" si="82"/>
        <v>#DIV/0!</v>
      </c>
      <c r="W92" s="212"/>
      <c r="X92" s="1518">
        <v>0</v>
      </c>
      <c r="Y92" s="1518">
        <v>0</v>
      </c>
      <c r="Z92" s="1518">
        <v>0</v>
      </c>
      <c r="AA92" s="1518">
        <v>0</v>
      </c>
      <c r="AB92" s="1518">
        <v>0</v>
      </c>
      <c r="AC92" s="1518">
        <v>0</v>
      </c>
      <c r="AD92" s="1518">
        <v>0</v>
      </c>
      <c r="AE92" s="1518">
        <v>0</v>
      </c>
      <c r="AF92" s="1518">
        <v>0</v>
      </c>
      <c r="AG92" s="1519">
        <v>0</v>
      </c>
      <c r="AH92" s="1518">
        <v>0</v>
      </c>
      <c r="AI92" s="1518">
        <v>0</v>
      </c>
      <c r="AJ92" s="375">
        <f t="shared" ref="AJ92:AJ114" si="105">SUM(X92:AI92)</f>
        <v>0</v>
      </c>
      <c r="AK92" s="212"/>
      <c r="AL92" s="417">
        <v>0</v>
      </c>
      <c r="AM92" s="417">
        <v>0</v>
      </c>
      <c r="AN92" s="417">
        <v>0</v>
      </c>
      <c r="AO92" s="417">
        <v>0</v>
      </c>
      <c r="AP92" s="417">
        <v>0</v>
      </c>
      <c r="AQ92" s="417">
        <v>0</v>
      </c>
      <c r="AR92" s="417">
        <v>0</v>
      </c>
      <c r="AS92" s="417">
        <v>0</v>
      </c>
      <c r="AT92" s="417">
        <v>0</v>
      </c>
      <c r="AU92" s="819">
        <v>0</v>
      </c>
      <c r="AV92" s="417">
        <v>0</v>
      </c>
      <c r="AW92" s="417">
        <v>0</v>
      </c>
      <c r="AX92" s="375">
        <f t="shared" si="104"/>
        <v>0</v>
      </c>
      <c r="AY92" s="366">
        <f t="shared" si="85"/>
        <v>0</v>
      </c>
      <c r="AZ92" s="165" t="e">
        <f t="shared" si="86"/>
        <v>#DIV/0!</v>
      </c>
      <c r="BA92" s="212"/>
      <c r="BB92" s="417">
        <v>0</v>
      </c>
      <c r="BC92" s="417">
        <v>0</v>
      </c>
      <c r="BD92" s="417">
        <v>0</v>
      </c>
      <c r="BE92" s="417">
        <v>0</v>
      </c>
      <c r="BF92" s="417">
        <v>0</v>
      </c>
      <c r="BG92" s="417">
        <v>0</v>
      </c>
      <c r="BH92" s="417">
        <v>0</v>
      </c>
      <c r="BI92" s="417">
        <v>0</v>
      </c>
      <c r="BJ92" s="417">
        <v>0</v>
      </c>
      <c r="BK92" s="819">
        <v>0</v>
      </c>
      <c r="BL92" s="417">
        <v>0</v>
      </c>
      <c r="BM92" s="417">
        <v>0</v>
      </c>
      <c r="BN92" s="375">
        <v>0</v>
      </c>
      <c r="BO92" s="212"/>
      <c r="BP92" s="818">
        <v>0</v>
      </c>
      <c r="BQ92" s="818">
        <v>0</v>
      </c>
      <c r="BR92" s="818">
        <v>0</v>
      </c>
      <c r="BS92" s="818">
        <v>0</v>
      </c>
      <c r="BT92" s="818">
        <v>0</v>
      </c>
      <c r="BU92" s="818">
        <v>0</v>
      </c>
      <c r="BV92" s="818">
        <v>0</v>
      </c>
      <c r="BW92" s="818">
        <v>0</v>
      </c>
      <c r="BX92" s="818">
        <v>0</v>
      </c>
      <c r="BY92" s="818">
        <v>0</v>
      </c>
      <c r="BZ92" s="818">
        <v>0</v>
      </c>
      <c r="CA92" s="818">
        <v>0</v>
      </c>
      <c r="CB92" s="375">
        <f t="shared" si="87"/>
        <v>0</v>
      </c>
      <c r="CC92" s="366">
        <f t="shared" si="88"/>
        <v>0</v>
      </c>
      <c r="CD92" s="165" t="str">
        <f t="shared" si="89"/>
        <v>N/A</v>
      </c>
      <c r="CE92" s="367"/>
      <c r="CF92" s="373">
        <v>0</v>
      </c>
      <c r="CG92" s="373">
        <v>0</v>
      </c>
      <c r="CH92" s="373">
        <v>0</v>
      </c>
      <c r="CI92" s="373">
        <v>0</v>
      </c>
      <c r="CJ92" s="373">
        <v>0</v>
      </c>
      <c r="CK92" s="373">
        <v>0</v>
      </c>
      <c r="CL92" s="373">
        <v>0</v>
      </c>
      <c r="CM92" s="373">
        <v>0</v>
      </c>
      <c r="CN92" s="373">
        <v>0</v>
      </c>
      <c r="CO92" s="373">
        <v>0</v>
      </c>
      <c r="CP92" s="373">
        <v>0</v>
      </c>
      <c r="CQ92" s="373">
        <v>0</v>
      </c>
      <c r="CR92" s="376"/>
      <c r="CS92" s="375">
        <f t="shared" si="90"/>
        <v>0</v>
      </c>
      <c r="CT92" s="378">
        <f t="shared" si="95"/>
        <v>0</v>
      </c>
      <c r="CU92" s="165" t="str">
        <f t="shared" si="91"/>
        <v>N/A</v>
      </c>
      <c r="CV92" s="320"/>
      <c r="CW92" s="373">
        <v>0</v>
      </c>
      <c r="CX92" s="373">
        <v>0</v>
      </c>
      <c r="CY92" s="373">
        <v>0</v>
      </c>
      <c r="CZ92" s="373">
        <v>0</v>
      </c>
      <c r="DA92" s="373">
        <v>0</v>
      </c>
      <c r="DB92" s="373">
        <v>0</v>
      </c>
      <c r="DC92" s="373">
        <v>0</v>
      </c>
      <c r="DD92" s="373">
        <v>0</v>
      </c>
      <c r="DE92" s="373">
        <v>0</v>
      </c>
      <c r="DF92" s="373">
        <v>0</v>
      </c>
      <c r="DG92" s="373">
        <v>0</v>
      </c>
      <c r="DH92" s="373">
        <v>0</v>
      </c>
      <c r="DI92" s="375">
        <f t="shared" si="99"/>
        <v>0</v>
      </c>
      <c r="DJ92" s="320"/>
      <c r="DK92" s="373"/>
      <c r="DL92" s="373"/>
      <c r="DM92" s="373"/>
      <c r="DN92" s="373"/>
      <c r="DO92" s="373"/>
      <c r="DP92" s="373"/>
      <c r="DQ92" s="373"/>
      <c r="DR92" s="373"/>
      <c r="DS92" s="373"/>
      <c r="DT92" s="373"/>
      <c r="DU92" s="373"/>
      <c r="DV92" s="373"/>
      <c r="DW92" s="375">
        <f t="shared" si="103"/>
        <v>0</v>
      </c>
      <c r="DY92" s="373"/>
      <c r="DZ92" s="373"/>
      <c r="EA92" s="373"/>
      <c r="EB92" s="373"/>
      <c r="EC92" s="373"/>
      <c r="ED92" s="373"/>
      <c r="EE92" s="373"/>
      <c r="EF92" s="373"/>
      <c r="EG92" s="373"/>
      <c r="EH92" s="373"/>
      <c r="EI92" s="373"/>
      <c r="EJ92" s="373"/>
      <c r="EK92" s="375">
        <f t="shared" si="94"/>
        <v>0</v>
      </c>
      <c r="EL92" s="177"/>
      <c r="EM92" s="373"/>
      <c r="EN92" s="373"/>
      <c r="EO92" s="373"/>
      <c r="EP92" s="373"/>
      <c r="EQ92" s="373"/>
      <c r="ER92" s="373"/>
      <c r="ES92" s="373"/>
      <c r="ET92" s="373"/>
      <c r="EU92" s="373"/>
      <c r="EV92" s="373"/>
      <c r="EW92" s="373"/>
      <c r="EX92" s="373"/>
      <c r="EY92" s="375">
        <f t="shared" si="96"/>
        <v>0</v>
      </c>
      <c r="EZ92" s="164"/>
      <c r="FC92" s="185">
        <v>0</v>
      </c>
    </row>
    <row r="93" spans="1:161" ht="18.75" customHeight="1">
      <c r="A93" s="185" t="s">
        <v>614</v>
      </c>
      <c r="B93" s="176">
        <v>60503000</v>
      </c>
      <c r="C93" s="176" t="s">
        <v>370</v>
      </c>
      <c r="D93" s="176" t="s">
        <v>109</v>
      </c>
      <c r="E93" s="324"/>
      <c r="F93" s="320" t="s">
        <v>346</v>
      </c>
      <c r="G93" s="320"/>
      <c r="H93" s="417">
        <v>0</v>
      </c>
      <c r="I93" s="417">
        <v>4262.5</v>
      </c>
      <c r="J93" s="417">
        <v>0</v>
      </c>
      <c r="K93" s="417">
        <v>4262.5</v>
      </c>
      <c r="L93" s="417">
        <v>0</v>
      </c>
      <c r="M93" s="417">
        <v>4262.5</v>
      </c>
      <c r="N93" s="417">
        <v>0</v>
      </c>
      <c r="O93" s="417">
        <v>4262.5</v>
      </c>
      <c r="P93" s="417">
        <v>0</v>
      </c>
      <c r="Q93" s="819">
        <v>4262.5</v>
      </c>
      <c r="R93" s="417">
        <v>0</v>
      </c>
      <c r="S93" s="417">
        <v>235412.5</v>
      </c>
      <c r="T93" s="402"/>
      <c r="U93" s="366">
        <f t="shared" ref="U93:U100" si="106">AJ93-T93</f>
        <v>253192</v>
      </c>
      <c r="V93" s="165">
        <f t="shared" ref="V93:V114" si="107">U93/AJ93</f>
        <v>1</v>
      </c>
      <c r="W93" s="212"/>
      <c r="X93" s="1518">
        <v>12870</v>
      </c>
      <c r="Y93" s="1518">
        <v>12500</v>
      </c>
      <c r="Z93" s="1518">
        <v>0</v>
      </c>
      <c r="AA93" s="1518">
        <v>0</v>
      </c>
      <c r="AB93" s="1518">
        <v>0</v>
      </c>
      <c r="AC93" s="1518">
        <v>190952</v>
      </c>
      <c r="AD93" s="1518">
        <v>0</v>
      </c>
      <c r="AE93" s="1518">
        <v>0</v>
      </c>
      <c r="AF93" s="1518">
        <v>12000</v>
      </c>
      <c r="AG93" s="1519">
        <v>0</v>
      </c>
      <c r="AH93" s="1518">
        <v>0</v>
      </c>
      <c r="AI93" s="1518">
        <v>24870</v>
      </c>
      <c r="AJ93" s="375">
        <f t="shared" si="105"/>
        <v>253192</v>
      </c>
      <c r="AK93" s="212"/>
      <c r="AL93" s="417">
        <v>0</v>
      </c>
      <c r="AM93" s="417">
        <v>4262.5</v>
      </c>
      <c r="AN93" s="417">
        <v>0</v>
      </c>
      <c r="AO93" s="417">
        <v>4262.5</v>
      </c>
      <c r="AP93" s="417">
        <v>0</v>
      </c>
      <c r="AQ93" s="417">
        <v>4262.5</v>
      </c>
      <c r="AR93" s="417">
        <v>0</v>
      </c>
      <c r="AS93" s="417">
        <v>4262.5</v>
      </c>
      <c r="AT93" s="417">
        <v>0</v>
      </c>
      <c r="AU93" s="819">
        <v>4262.5</v>
      </c>
      <c r="AV93" s="417">
        <v>0</v>
      </c>
      <c r="AW93" s="417">
        <v>235412.5</v>
      </c>
      <c r="AX93" s="375">
        <f t="shared" si="104"/>
        <v>256725</v>
      </c>
      <c r="AY93" s="366">
        <f t="shared" ref="AY93:AY114" si="108">BN93-AX93</f>
        <v>-17475</v>
      </c>
      <c r="AZ93" s="165">
        <f t="shared" ref="AZ93:AZ114" si="109">AY93/BN93</f>
        <v>-7.304075235109718E-2</v>
      </c>
      <c r="BA93" s="212"/>
      <c r="BB93" s="417">
        <v>0</v>
      </c>
      <c r="BC93" s="417">
        <v>7000</v>
      </c>
      <c r="BD93" s="417">
        <v>0</v>
      </c>
      <c r="BE93" s="417">
        <v>0</v>
      </c>
      <c r="BF93" s="417">
        <v>0</v>
      </c>
      <c r="BG93" s="417">
        <v>0</v>
      </c>
      <c r="BH93" s="417">
        <v>0</v>
      </c>
      <c r="BI93" s="417">
        <v>179290</v>
      </c>
      <c r="BJ93" s="417">
        <v>26000</v>
      </c>
      <c r="BK93" s="819">
        <v>0</v>
      </c>
      <c r="BL93" s="417">
        <v>23150</v>
      </c>
      <c r="BM93" s="417">
        <v>0</v>
      </c>
      <c r="BN93" s="375">
        <v>239250</v>
      </c>
      <c r="BO93" s="212"/>
      <c r="BP93" s="818">
        <v>3810</v>
      </c>
      <c r="BQ93" s="818">
        <v>3810</v>
      </c>
      <c r="BR93" s="818">
        <v>3810</v>
      </c>
      <c r="BS93" s="818">
        <v>3810</v>
      </c>
      <c r="BT93" s="818">
        <v>3810</v>
      </c>
      <c r="BU93" s="818">
        <v>3810</v>
      </c>
      <c r="BV93" s="818">
        <v>3810</v>
      </c>
      <c r="BW93" s="818">
        <v>3810</v>
      </c>
      <c r="BX93" s="818">
        <v>3810</v>
      </c>
      <c r="BY93" s="818">
        <v>3810</v>
      </c>
      <c r="BZ93" s="818">
        <v>3810</v>
      </c>
      <c r="CA93" s="818">
        <v>3810</v>
      </c>
      <c r="CB93" s="375">
        <f t="shared" si="87"/>
        <v>45720</v>
      </c>
      <c r="CC93" s="366">
        <f t="shared" si="88"/>
        <v>-193530</v>
      </c>
      <c r="CD93" s="165">
        <f t="shared" si="89"/>
        <v>-4.2329396325459321</v>
      </c>
      <c r="CE93" s="367"/>
      <c r="CF93" s="373">
        <v>0</v>
      </c>
      <c r="CG93" s="373">
        <v>0</v>
      </c>
      <c r="CH93" s="373">
        <v>0</v>
      </c>
      <c r="CI93" s="373">
        <v>12500</v>
      </c>
      <c r="CJ93" s="373">
        <v>0</v>
      </c>
      <c r="CK93" s="373">
        <v>0</v>
      </c>
      <c r="CL93" s="373">
        <v>22111</v>
      </c>
      <c r="CM93" s="373">
        <v>0</v>
      </c>
      <c r="CN93" s="373">
        <v>0</v>
      </c>
      <c r="CO93" s="373">
        <v>0</v>
      </c>
      <c r="CP93" s="373">
        <v>0</v>
      </c>
      <c r="CQ93" s="373">
        <v>0</v>
      </c>
      <c r="CR93" s="376"/>
      <c r="CS93" s="375">
        <f t="shared" si="90"/>
        <v>34611</v>
      </c>
      <c r="CT93" s="378">
        <f t="shared" si="95"/>
        <v>-204639</v>
      </c>
      <c r="CU93" s="165">
        <f t="shared" si="91"/>
        <v>-5.9125422553523448</v>
      </c>
      <c r="CV93" s="320"/>
      <c r="CW93" s="373">
        <v>12500</v>
      </c>
      <c r="CX93" s="373">
        <v>0</v>
      </c>
      <c r="CY93" s="373">
        <v>0</v>
      </c>
      <c r="CZ93" s="373">
        <v>0</v>
      </c>
      <c r="DA93" s="373">
        <v>0</v>
      </c>
      <c r="DB93" s="373">
        <v>0</v>
      </c>
      <c r="DC93" s="373">
        <v>0</v>
      </c>
      <c r="DD93" s="373">
        <v>40600</v>
      </c>
      <c r="DE93" s="373">
        <v>0</v>
      </c>
      <c r="DF93" s="373">
        <v>0</v>
      </c>
      <c r="DG93" s="373">
        <v>0</v>
      </c>
      <c r="DH93" s="373">
        <v>0</v>
      </c>
      <c r="DI93" s="375">
        <f t="shared" si="99"/>
        <v>53100</v>
      </c>
      <c r="DJ93" s="320"/>
      <c r="DK93" s="373">
        <v>0</v>
      </c>
      <c r="DL93" s="373">
        <v>0</v>
      </c>
      <c r="DM93" s="373">
        <v>12500.000000000002</v>
      </c>
      <c r="DN93" s="373">
        <v>0</v>
      </c>
      <c r="DO93" s="373">
        <v>0</v>
      </c>
      <c r="DP93" s="373">
        <v>0</v>
      </c>
      <c r="DQ93" s="373">
        <v>90600</v>
      </c>
      <c r="DR93" s="373">
        <v>0</v>
      </c>
      <c r="DS93" s="373">
        <v>0</v>
      </c>
      <c r="DT93" s="373">
        <v>293369</v>
      </c>
      <c r="DU93" s="373">
        <v>0</v>
      </c>
      <c r="DV93" s="373">
        <v>0</v>
      </c>
      <c r="DW93" s="375">
        <f t="shared" si="103"/>
        <v>396469</v>
      </c>
      <c r="DY93" s="373">
        <v>381600.05</v>
      </c>
      <c r="DZ93" s="373">
        <v>308000</v>
      </c>
      <c r="EA93" s="373">
        <v>300000</v>
      </c>
      <c r="EB93" s="373">
        <v>300000</v>
      </c>
      <c r="EC93" s="373">
        <v>329032.26</v>
      </c>
      <c r="ED93" s="373">
        <v>375000</v>
      </c>
      <c r="EE93" s="373">
        <v>420000</v>
      </c>
      <c r="EF93" s="373">
        <v>406044</v>
      </c>
      <c r="EG93" s="373">
        <v>375000</v>
      </c>
      <c r="EH93" s="373">
        <v>0</v>
      </c>
      <c r="EI93" s="373">
        <v>1300</v>
      </c>
      <c r="EJ93" s="373">
        <v>0</v>
      </c>
      <c r="EK93" s="375">
        <f t="shared" si="94"/>
        <v>3195976.31</v>
      </c>
      <c r="EL93" s="177"/>
      <c r="EM93" s="373">
        <v>300000</v>
      </c>
      <c r="EN93" s="373">
        <v>300000</v>
      </c>
      <c r="EO93" s="373">
        <v>310800</v>
      </c>
      <c r="EP93" s="373">
        <v>478975</v>
      </c>
      <c r="EQ93" s="373">
        <v>300000</v>
      </c>
      <c r="ER93" s="373">
        <v>300000</v>
      </c>
      <c r="ES93" s="373">
        <v>300000</v>
      </c>
      <c r="ET93" s="373">
        <v>300000</v>
      </c>
      <c r="EU93" s="373">
        <v>300000</v>
      </c>
      <c r="EV93" s="373">
        <v>540294</v>
      </c>
      <c r="EW93" s="373">
        <v>300000</v>
      </c>
      <c r="EX93" s="373">
        <v>315100</v>
      </c>
      <c r="EY93" s="375">
        <f t="shared" si="96"/>
        <v>4045169</v>
      </c>
      <c r="EZ93" s="164"/>
      <c r="FC93" s="185">
        <v>0</v>
      </c>
    </row>
    <row r="94" spans="1:161" ht="18.75" customHeight="1">
      <c r="A94" s="185" t="s">
        <v>615</v>
      </c>
      <c r="B94" s="176">
        <v>60504000</v>
      </c>
      <c r="C94" s="176" t="s">
        <v>370</v>
      </c>
      <c r="D94" s="176" t="s">
        <v>109</v>
      </c>
      <c r="E94" s="324"/>
      <c r="F94" s="320" t="s">
        <v>347</v>
      </c>
      <c r="G94" s="320"/>
      <c r="H94" s="417">
        <v>0</v>
      </c>
      <c r="I94" s="417">
        <v>0</v>
      </c>
      <c r="J94" s="417">
        <v>0</v>
      </c>
      <c r="K94" s="417">
        <v>0</v>
      </c>
      <c r="L94" s="417">
        <v>0</v>
      </c>
      <c r="M94" s="417">
        <v>0</v>
      </c>
      <c r="N94" s="417">
        <v>0</v>
      </c>
      <c r="O94" s="417">
        <v>0</v>
      </c>
      <c r="P94" s="417">
        <v>0</v>
      </c>
      <c r="Q94" s="819">
        <v>0</v>
      </c>
      <c r="R94" s="417">
        <v>0</v>
      </c>
      <c r="S94" s="417">
        <v>2000000</v>
      </c>
      <c r="T94" s="402"/>
      <c r="U94" s="366">
        <f t="shared" si="106"/>
        <v>2020404</v>
      </c>
      <c r="V94" s="165">
        <f t="shared" si="107"/>
        <v>1</v>
      </c>
      <c r="W94" s="212"/>
      <c r="X94" s="1518">
        <v>0</v>
      </c>
      <c r="Y94" s="1518"/>
      <c r="Z94" s="1518">
        <v>20400</v>
      </c>
      <c r="AA94" s="1518">
        <v>0</v>
      </c>
      <c r="AB94" s="1518">
        <v>833335</v>
      </c>
      <c r="AC94" s="1518">
        <v>166667</v>
      </c>
      <c r="AD94" s="1518">
        <v>166667</v>
      </c>
      <c r="AE94" s="1518">
        <v>166667</v>
      </c>
      <c r="AF94" s="1518">
        <v>166667</v>
      </c>
      <c r="AG94" s="1519">
        <v>166667</v>
      </c>
      <c r="AH94" s="1518">
        <v>166667</v>
      </c>
      <c r="AI94" s="1518">
        <v>166667</v>
      </c>
      <c r="AJ94" s="375">
        <f t="shared" si="105"/>
        <v>2020404</v>
      </c>
      <c r="AK94" s="212"/>
      <c r="AL94" s="417">
        <v>0</v>
      </c>
      <c r="AM94" s="417">
        <v>0</v>
      </c>
      <c r="AN94" s="417">
        <v>0</v>
      </c>
      <c r="AO94" s="417">
        <v>0</v>
      </c>
      <c r="AP94" s="417">
        <v>0</v>
      </c>
      <c r="AQ94" s="417">
        <v>0</v>
      </c>
      <c r="AR94" s="417">
        <v>0</v>
      </c>
      <c r="AS94" s="417">
        <v>0</v>
      </c>
      <c r="AT94" s="417">
        <v>0</v>
      </c>
      <c r="AU94" s="819">
        <v>0</v>
      </c>
      <c r="AV94" s="417">
        <v>0</v>
      </c>
      <c r="AW94" s="417">
        <v>2000000</v>
      </c>
      <c r="AX94" s="375">
        <f t="shared" si="104"/>
        <v>2000000</v>
      </c>
      <c r="AY94" s="366">
        <f t="shared" si="108"/>
        <v>588401.79999999981</v>
      </c>
      <c r="AZ94" s="165">
        <f t="shared" si="109"/>
        <v>0.22732243502535035</v>
      </c>
      <c r="BA94" s="212"/>
      <c r="BB94" s="417">
        <v>0</v>
      </c>
      <c r="BC94" s="417">
        <v>0</v>
      </c>
      <c r="BD94" s="417">
        <v>80000</v>
      </c>
      <c r="BE94" s="417">
        <v>167028.29999999999</v>
      </c>
      <c r="BF94" s="417">
        <v>60000</v>
      </c>
      <c r="BG94" s="417">
        <v>266744</v>
      </c>
      <c r="BH94" s="417">
        <v>134515</v>
      </c>
      <c r="BI94" s="417">
        <v>0</v>
      </c>
      <c r="BJ94" s="417">
        <v>697737.5</v>
      </c>
      <c r="BK94" s="819">
        <v>268773</v>
      </c>
      <c r="BL94" s="417">
        <v>113604</v>
      </c>
      <c r="BM94" s="417">
        <v>30488</v>
      </c>
      <c r="BN94" s="375">
        <v>2588401.7999999998</v>
      </c>
      <c r="BO94" s="212"/>
      <c r="BP94" s="818">
        <v>803500</v>
      </c>
      <c r="BQ94" s="818">
        <v>3500</v>
      </c>
      <c r="BR94" s="818">
        <v>3500</v>
      </c>
      <c r="BS94" s="818">
        <v>3500</v>
      </c>
      <c r="BT94" s="818">
        <v>3500</v>
      </c>
      <c r="BU94" s="818">
        <v>3500</v>
      </c>
      <c r="BV94" s="818">
        <v>3500</v>
      </c>
      <c r="BW94" s="818">
        <v>3500</v>
      </c>
      <c r="BX94" s="818">
        <v>3500</v>
      </c>
      <c r="BY94" s="818">
        <v>3500</v>
      </c>
      <c r="BZ94" s="818">
        <v>3500</v>
      </c>
      <c r="CA94" s="818">
        <v>3500</v>
      </c>
      <c r="CB94" s="375">
        <f t="shared" si="87"/>
        <v>842000</v>
      </c>
      <c r="CC94" s="366">
        <f t="shared" si="88"/>
        <v>-1746401.7999999998</v>
      </c>
      <c r="CD94" s="165">
        <f t="shared" si="89"/>
        <v>-2.0741114014251778</v>
      </c>
      <c r="CE94" s="367"/>
      <c r="CF94" s="373">
        <v>0</v>
      </c>
      <c r="CG94" s="373">
        <v>0</v>
      </c>
      <c r="CH94" s="373">
        <v>0</v>
      </c>
      <c r="CI94" s="373">
        <v>0</v>
      </c>
      <c r="CJ94" s="373">
        <v>0</v>
      </c>
      <c r="CK94" s="373">
        <v>0</v>
      </c>
      <c r="CL94" s="373">
        <v>0</v>
      </c>
      <c r="CM94" s="373">
        <v>0</v>
      </c>
      <c r="CN94" s="373">
        <v>0</v>
      </c>
      <c r="CO94" s="373">
        <v>0</v>
      </c>
      <c r="CP94" s="373">
        <v>0</v>
      </c>
      <c r="CQ94" s="373">
        <v>0</v>
      </c>
      <c r="CR94" s="376"/>
      <c r="CS94" s="375">
        <f t="shared" si="90"/>
        <v>0</v>
      </c>
      <c r="CT94" s="378">
        <f t="shared" si="95"/>
        <v>-2588401.7999999998</v>
      </c>
      <c r="CU94" s="165" t="str">
        <f t="shared" si="91"/>
        <v>N/A</v>
      </c>
      <c r="CV94" s="320"/>
      <c r="CW94" s="373">
        <v>0</v>
      </c>
      <c r="CX94" s="373">
        <v>20052</v>
      </c>
      <c r="CY94" s="373">
        <v>0</v>
      </c>
      <c r="CZ94" s="373">
        <v>0</v>
      </c>
      <c r="DA94" s="373">
        <v>0</v>
      </c>
      <c r="DB94" s="373">
        <v>0</v>
      </c>
      <c r="DC94" s="373">
        <v>0</v>
      </c>
      <c r="DD94" s="373">
        <v>0</v>
      </c>
      <c r="DE94" s="373">
        <v>0</v>
      </c>
      <c r="DF94" s="373">
        <v>0</v>
      </c>
      <c r="DG94" s="373">
        <v>0</v>
      </c>
      <c r="DH94" s="373">
        <v>0</v>
      </c>
      <c r="DI94" s="375">
        <f t="shared" si="99"/>
        <v>20052</v>
      </c>
      <c r="DJ94" s="320"/>
      <c r="DK94" s="373">
        <v>0</v>
      </c>
      <c r="DL94" s="373">
        <v>121360.99999999999</v>
      </c>
      <c r="DM94" s="373">
        <v>0</v>
      </c>
      <c r="DN94" s="373">
        <v>14889</v>
      </c>
      <c r="DO94" s="373">
        <v>0</v>
      </c>
      <c r="DP94" s="373">
        <v>0</v>
      </c>
      <c r="DQ94" s="373">
        <v>43917</v>
      </c>
      <c r="DR94" s="373">
        <v>0</v>
      </c>
      <c r="DS94" s="373">
        <v>0</v>
      </c>
      <c r="DT94" s="373">
        <v>42822</v>
      </c>
      <c r="DU94" s="373">
        <v>0</v>
      </c>
      <c r="DV94" s="373">
        <v>0</v>
      </c>
      <c r="DW94" s="375">
        <f t="shared" si="103"/>
        <v>222989</v>
      </c>
      <c r="DY94" s="373">
        <v>0</v>
      </c>
      <c r="DZ94" s="373">
        <v>0</v>
      </c>
      <c r="EA94" s="373">
        <v>0</v>
      </c>
      <c r="EB94" s="373">
        <v>0</v>
      </c>
      <c r="EC94" s="373">
        <v>0</v>
      </c>
      <c r="ED94" s="373">
        <v>0</v>
      </c>
      <c r="EE94" s="373">
        <v>0</v>
      </c>
      <c r="EF94" s="373">
        <v>0</v>
      </c>
      <c r="EG94" s="373">
        <v>0</v>
      </c>
      <c r="EH94" s="373">
        <v>0</v>
      </c>
      <c r="EI94" s="373">
        <v>0</v>
      </c>
      <c r="EJ94" s="373">
        <v>0</v>
      </c>
      <c r="EK94" s="375">
        <f t="shared" si="94"/>
        <v>0</v>
      </c>
      <c r="EL94" s="177"/>
      <c r="EM94" s="373">
        <v>0</v>
      </c>
      <c r="EN94" s="373">
        <v>0</v>
      </c>
      <c r="EO94" s="373">
        <v>0</v>
      </c>
      <c r="EP94" s="373">
        <v>0</v>
      </c>
      <c r="EQ94" s="373">
        <v>0</v>
      </c>
      <c r="ER94" s="373">
        <v>0</v>
      </c>
      <c r="ES94" s="373">
        <v>0</v>
      </c>
      <c r="ET94" s="373">
        <v>0</v>
      </c>
      <c r="EU94" s="373">
        <v>0</v>
      </c>
      <c r="EV94" s="373">
        <v>0</v>
      </c>
      <c r="EW94" s="373">
        <v>0</v>
      </c>
      <c r="EX94" s="373">
        <v>560860</v>
      </c>
      <c r="EY94" s="375">
        <f t="shared" si="96"/>
        <v>560860</v>
      </c>
      <c r="EZ94" s="164"/>
      <c r="FC94" s="185">
        <v>0</v>
      </c>
    </row>
    <row r="95" spans="1:161" ht="18.75" customHeight="1">
      <c r="A95" s="185" t="s">
        <v>616</v>
      </c>
      <c r="B95" s="176">
        <v>60505000</v>
      </c>
      <c r="C95" s="176" t="s">
        <v>370</v>
      </c>
      <c r="D95" s="176" t="s">
        <v>369</v>
      </c>
      <c r="E95" s="324"/>
      <c r="F95" s="320" t="s">
        <v>354</v>
      </c>
      <c r="G95" s="320"/>
      <c r="H95" s="417">
        <v>0</v>
      </c>
      <c r="I95" s="417">
        <v>0</v>
      </c>
      <c r="J95" s="417">
        <v>30000</v>
      </c>
      <c r="K95" s="417">
        <v>0</v>
      </c>
      <c r="L95" s="417">
        <v>0</v>
      </c>
      <c r="M95" s="417">
        <v>30000</v>
      </c>
      <c r="N95" s="417">
        <v>0</v>
      </c>
      <c r="O95" s="417">
        <v>0</v>
      </c>
      <c r="P95" s="417">
        <v>111375</v>
      </c>
      <c r="Q95" s="819">
        <v>0</v>
      </c>
      <c r="R95" s="417">
        <v>0</v>
      </c>
      <c r="S95" s="417">
        <v>1380000</v>
      </c>
      <c r="T95" s="402"/>
      <c r="U95" s="366">
        <f t="shared" si="106"/>
        <v>660528.69000000006</v>
      </c>
      <c r="V95" s="165">
        <f t="shared" si="107"/>
        <v>1</v>
      </c>
      <c r="W95" s="212"/>
      <c r="X95" s="1518">
        <v>0</v>
      </c>
      <c r="Y95" s="1518">
        <v>0</v>
      </c>
      <c r="Z95" s="1518"/>
      <c r="AA95" s="1518">
        <v>0</v>
      </c>
      <c r="AB95" s="1518">
        <v>0</v>
      </c>
      <c r="AC95" s="1518">
        <v>10584.24</v>
      </c>
      <c r="AD95" s="1518">
        <v>40862</v>
      </c>
      <c r="AE95" s="1518">
        <v>21129.040000000001</v>
      </c>
      <c r="AF95" s="1518">
        <v>11435.04</v>
      </c>
      <c r="AG95" s="1519">
        <v>571753.77</v>
      </c>
      <c r="AH95" s="1518">
        <v>1905.84</v>
      </c>
      <c r="AI95" s="1518">
        <v>2858.76</v>
      </c>
      <c r="AJ95" s="375">
        <f t="shared" si="105"/>
        <v>660528.69000000006</v>
      </c>
      <c r="AK95" s="212"/>
      <c r="AL95" s="417">
        <v>0</v>
      </c>
      <c r="AM95" s="417">
        <v>0</v>
      </c>
      <c r="AN95" s="417">
        <v>30000</v>
      </c>
      <c r="AO95" s="417">
        <v>0</v>
      </c>
      <c r="AP95" s="417">
        <v>0</v>
      </c>
      <c r="AQ95" s="417">
        <v>30000</v>
      </c>
      <c r="AR95" s="417">
        <v>0</v>
      </c>
      <c r="AS95" s="417">
        <v>0</v>
      </c>
      <c r="AT95" s="417">
        <v>111375</v>
      </c>
      <c r="AU95" s="819">
        <v>0</v>
      </c>
      <c r="AV95" s="417">
        <v>0</v>
      </c>
      <c r="AW95" s="417">
        <v>1380000</v>
      </c>
      <c r="AX95" s="981">
        <f t="shared" si="104"/>
        <v>1551375</v>
      </c>
      <c r="AY95" s="366">
        <f t="shared" si="108"/>
        <v>-1432042</v>
      </c>
      <c r="AZ95" s="165">
        <f t="shared" si="109"/>
        <v>-12.000385475937083</v>
      </c>
      <c r="BA95" s="212"/>
      <c r="BB95" s="417">
        <v>0</v>
      </c>
      <c r="BC95" s="417">
        <v>28000</v>
      </c>
      <c r="BD95" s="417">
        <v>0</v>
      </c>
      <c r="BE95" s="417">
        <v>0</v>
      </c>
      <c r="BF95" s="417">
        <v>0</v>
      </c>
      <c r="BG95" s="417">
        <v>0</v>
      </c>
      <c r="BH95" s="417">
        <v>0</v>
      </c>
      <c r="BI95" s="417">
        <v>27768</v>
      </c>
      <c r="BJ95" s="417">
        <v>63565</v>
      </c>
      <c r="BK95" s="819">
        <v>0</v>
      </c>
      <c r="BL95" s="417">
        <v>0</v>
      </c>
      <c r="BM95" s="417">
        <v>9000</v>
      </c>
      <c r="BN95" s="375">
        <v>119333</v>
      </c>
      <c r="BO95" s="212"/>
      <c r="BP95" s="818">
        <v>0</v>
      </c>
      <c r="BQ95" s="818">
        <v>57500</v>
      </c>
      <c r="BR95" s="818">
        <v>0</v>
      </c>
      <c r="BS95" s="818">
        <v>0</v>
      </c>
      <c r="BT95" s="818">
        <v>107500</v>
      </c>
      <c r="BU95" s="818">
        <v>0</v>
      </c>
      <c r="BV95" s="818">
        <v>0</v>
      </c>
      <c r="BW95" s="818">
        <v>107500</v>
      </c>
      <c r="BX95" s="818">
        <v>0</v>
      </c>
      <c r="BY95" s="818">
        <v>0</v>
      </c>
      <c r="BZ95" s="818">
        <v>107500</v>
      </c>
      <c r="CA95" s="818">
        <v>0</v>
      </c>
      <c r="CB95" s="375">
        <f t="shared" si="87"/>
        <v>380000</v>
      </c>
      <c r="CC95" s="366">
        <f t="shared" si="88"/>
        <v>260667</v>
      </c>
      <c r="CD95" s="165">
        <f t="shared" si="89"/>
        <v>0.68596578947368425</v>
      </c>
      <c r="CE95" s="367"/>
      <c r="CF95" s="373">
        <v>163020</v>
      </c>
      <c r="CG95" s="373">
        <v>446505.1</v>
      </c>
      <c r="CH95" s="373">
        <v>81360</v>
      </c>
      <c r="CI95" s="373">
        <v>0</v>
      </c>
      <c r="CJ95" s="373">
        <v>140351.82999999999</v>
      </c>
      <c r="CK95" s="373">
        <v>188457.36</v>
      </c>
      <c r="CL95" s="373">
        <v>333739.90000000002</v>
      </c>
      <c r="CM95" s="373">
        <v>-9653.36</v>
      </c>
      <c r="CN95" s="373">
        <v>377805.18</v>
      </c>
      <c r="CO95" s="373">
        <v>0</v>
      </c>
      <c r="CP95" s="373">
        <v>10895</v>
      </c>
      <c r="CQ95" s="373">
        <v>509850</v>
      </c>
      <c r="CR95" s="376"/>
      <c r="CS95" s="375">
        <f t="shared" si="90"/>
        <v>2242331.0099999998</v>
      </c>
      <c r="CT95" s="378">
        <f t="shared" si="95"/>
        <v>2122998.0099999998</v>
      </c>
      <c r="CU95" s="165">
        <f t="shared" si="91"/>
        <v>0.94678171979613301</v>
      </c>
      <c r="CV95" s="320"/>
      <c r="CW95" s="373">
        <v>0</v>
      </c>
      <c r="CX95" s="373">
        <v>0</v>
      </c>
      <c r="CY95" s="373">
        <v>66000</v>
      </c>
      <c r="CZ95" s="373">
        <v>163020</v>
      </c>
      <c r="DA95" s="373">
        <v>0</v>
      </c>
      <c r="DB95" s="373">
        <v>66000</v>
      </c>
      <c r="DC95" s="373">
        <v>189990</v>
      </c>
      <c r="DD95" s="373">
        <v>0</v>
      </c>
      <c r="DE95" s="373">
        <v>66000</v>
      </c>
      <c r="DF95" s="373">
        <v>2100</v>
      </c>
      <c r="DG95" s="373">
        <v>3173135.79</v>
      </c>
      <c r="DH95" s="373">
        <v>758609.15</v>
      </c>
      <c r="DI95" s="375">
        <f t="shared" si="99"/>
        <v>4484854.9400000004</v>
      </c>
      <c r="DJ95" s="320"/>
      <c r="DK95" s="373">
        <v>0</v>
      </c>
      <c r="DL95" s="373">
        <v>31200</v>
      </c>
      <c r="DM95" s="373">
        <v>0</v>
      </c>
      <c r="DN95" s="373">
        <v>7503.6</v>
      </c>
      <c r="DO95" s="373">
        <v>5428.8</v>
      </c>
      <c r="DP95" s="373">
        <v>0</v>
      </c>
      <c r="DQ95" s="373">
        <v>0</v>
      </c>
      <c r="DR95" s="373">
        <v>1581732.6</v>
      </c>
      <c r="DS95" s="373">
        <v>63000.000000000007</v>
      </c>
      <c r="DT95" s="373">
        <v>622440</v>
      </c>
      <c r="DU95" s="373">
        <v>105531</v>
      </c>
      <c r="DV95" s="373">
        <v>1248195</v>
      </c>
      <c r="DW95" s="375">
        <f t="shared" si="103"/>
        <v>3665031</v>
      </c>
      <c r="DY95" s="373">
        <v>0</v>
      </c>
      <c r="DZ95" s="373">
        <v>0</v>
      </c>
      <c r="EA95" s="373">
        <v>0</v>
      </c>
      <c r="EB95" s="373">
        <v>0</v>
      </c>
      <c r="EC95" s="373">
        <v>0</v>
      </c>
      <c r="ED95" s="373">
        <v>0</v>
      </c>
      <c r="EE95" s="373">
        <v>771660.3</v>
      </c>
      <c r="EF95" s="373">
        <v>0</v>
      </c>
      <c r="EG95" s="373">
        <v>0</v>
      </c>
      <c r="EH95" s="373">
        <v>0</v>
      </c>
      <c r="EI95" s="373">
        <v>1509516.5999999999</v>
      </c>
      <c r="EJ95" s="373">
        <v>0</v>
      </c>
      <c r="EK95" s="375">
        <f t="shared" si="94"/>
        <v>2281176.9</v>
      </c>
      <c r="EL95" s="177"/>
      <c r="EM95" s="373">
        <v>0</v>
      </c>
      <c r="EN95" s="373">
        <v>137378.99</v>
      </c>
      <c r="EO95" s="373">
        <v>17623</v>
      </c>
      <c r="EP95" s="373">
        <v>27581.98</v>
      </c>
      <c r="EQ95" s="373">
        <v>0</v>
      </c>
      <c r="ER95" s="373">
        <v>0</v>
      </c>
      <c r="ES95" s="373">
        <v>0</v>
      </c>
      <c r="ET95" s="373">
        <v>32997</v>
      </c>
      <c r="EU95" s="373">
        <v>6596.85</v>
      </c>
      <c r="EV95" s="373">
        <v>0</v>
      </c>
      <c r="EW95" s="373">
        <v>0</v>
      </c>
      <c r="EX95" s="373">
        <v>1937486</v>
      </c>
      <c r="EY95" s="375">
        <f t="shared" si="96"/>
        <v>2159663.8199999998</v>
      </c>
      <c r="EZ95" s="164"/>
      <c r="FC95" s="185">
        <v>0</v>
      </c>
    </row>
    <row r="96" spans="1:161" ht="18.75" customHeight="1" outlineLevel="1">
      <c r="A96" s="185" t="s">
        <v>329</v>
      </c>
      <c r="B96" s="176">
        <v>60506000</v>
      </c>
      <c r="C96" s="176" t="s">
        <v>109</v>
      </c>
      <c r="D96" s="176" t="s">
        <v>109</v>
      </c>
      <c r="E96" s="324"/>
      <c r="F96" s="320" t="s">
        <v>355</v>
      </c>
      <c r="G96" s="320"/>
      <c r="H96" s="417">
        <v>0</v>
      </c>
      <c r="I96" s="417">
        <v>0</v>
      </c>
      <c r="J96" s="417">
        <v>0</v>
      </c>
      <c r="K96" s="417">
        <v>0</v>
      </c>
      <c r="L96" s="417">
        <v>0</v>
      </c>
      <c r="M96" s="417">
        <v>0</v>
      </c>
      <c r="N96" s="417">
        <v>0</v>
      </c>
      <c r="O96" s="417">
        <v>0</v>
      </c>
      <c r="P96" s="417">
        <v>0</v>
      </c>
      <c r="Q96" s="819">
        <v>0</v>
      </c>
      <c r="R96" s="417">
        <v>0</v>
      </c>
      <c r="S96" s="417">
        <v>0</v>
      </c>
      <c r="T96" s="402"/>
      <c r="U96" s="366">
        <f t="shared" si="106"/>
        <v>0</v>
      </c>
      <c r="V96" s="165" t="e">
        <f t="shared" si="107"/>
        <v>#DIV/0!</v>
      </c>
      <c r="W96" s="212"/>
      <c r="X96" s="1518"/>
      <c r="Y96" s="1518">
        <v>0</v>
      </c>
      <c r="Z96" s="1518">
        <v>0</v>
      </c>
      <c r="AA96" s="1518">
        <v>0</v>
      </c>
      <c r="AB96" s="1518">
        <v>0</v>
      </c>
      <c r="AC96" s="1518">
        <v>0</v>
      </c>
      <c r="AD96" s="1518">
        <v>0</v>
      </c>
      <c r="AE96" s="1518">
        <v>0</v>
      </c>
      <c r="AF96" s="1518">
        <v>0</v>
      </c>
      <c r="AG96" s="1519">
        <v>0</v>
      </c>
      <c r="AH96" s="1518">
        <v>0</v>
      </c>
      <c r="AI96" s="1518">
        <v>0</v>
      </c>
      <c r="AJ96" s="375">
        <f t="shared" si="105"/>
        <v>0</v>
      </c>
      <c r="AK96" s="212"/>
      <c r="AL96" s="417">
        <v>0</v>
      </c>
      <c r="AM96" s="417">
        <v>0</v>
      </c>
      <c r="AN96" s="417">
        <v>0</v>
      </c>
      <c r="AO96" s="417">
        <v>0</v>
      </c>
      <c r="AP96" s="417">
        <v>0</v>
      </c>
      <c r="AQ96" s="417">
        <v>0</v>
      </c>
      <c r="AR96" s="417">
        <v>0</v>
      </c>
      <c r="AS96" s="417">
        <v>0</v>
      </c>
      <c r="AT96" s="417">
        <v>0</v>
      </c>
      <c r="AU96" s="819">
        <v>0</v>
      </c>
      <c r="AV96" s="417">
        <v>0</v>
      </c>
      <c r="AW96" s="417">
        <v>0</v>
      </c>
      <c r="AX96" s="375">
        <f t="shared" si="104"/>
        <v>0</v>
      </c>
      <c r="AY96" s="366">
        <f t="shared" si="108"/>
        <v>0</v>
      </c>
      <c r="AZ96" s="165" t="e">
        <f t="shared" si="109"/>
        <v>#DIV/0!</v>
      </c>
      <c r="BA96" s="212"/>
      <c r="BB96" s="417">
        <v>0</v>
      </c>
      <c r="BC96" s="417">
        <v>0</v>
      </c>
      <c r="BD96" s="417">
        <v>0</v>
      </c>
      <c r="BE96" s="417">
        <v>0</v>
      </c>
      <c r="BF96" s="417">
        <v>0</v>
      </c>
      <c r="BG96" s="417">
        <v>0</v>
      </c>
      <c r="BH96" s="417">
        <v>0</v>
      </c>
      <c r="BI96" s="417">
        <v>0</v>
      </c>
      <c r="BJ96" s="417">
        <v>0</v>
      </c>
      <c r="BK96" s="819">
        <v>0</v>
      </c>
      <c r="BL96" s="417">
        <v>0</v>
      </c>
      <c r="BM96" s="417">
        <v>0</v>
      </c>
      <c r="BN96" s="375">
        <f t="shared" si="98"/>
        <v>0</v>
      </c>
      <c r="BO96" s="212"/>
      <c r="BP96" s="818">
        <v>0</v>
      </c>
      <c r="BQ96" s="818">
        <v>0</v>
      </c>
      <c r="BR96" s="818">
        <v>0</v>
      </c>
      <c r="BS96" s="818">
        <v>0</v>
      </c>
      <c r="BT96" s="818">
        <v>0</v>
      </c>
      <c r="BU96" s="818">
        <v>0</v>
      </c>
      <c r="BV96" s="818">
        <v>0</v>
      </c>
      <c r="BW96" s="818">
        <v>0</v>
      </c>
      <c r="BX96" s="818">
        <v>0</v>
      </c>
      <c r="BY96" s="818">
        <v>0</v>
      </c>
      <c r="BZ96" s="818">
        <v>0</v>
      </c>
      <c r="CA96" s="818">
        <v>0</v>
      </c>
      <c r="CB96" s="375">
        <f t="shared" si="87"/>
        <v>0</v>
      </c>
      <c r="CC96" s="366">
        <f t="shared" si="88"/>
        <v>0</v>
      </c>
      <c r="CD96" s="165" t="str">
        <f t="shared" si="89"/>
        <v>N/A</v>
      </c>
      <c r="CE96" s="367"/>
      <c r="CF96" s="373">
        <v>0</v>
      </c>
      <c r="CG96" s="373">
        <v>0</v>
      </c>
      <c r="CH96" s="373">
        <v>0</v>
      </c>
      <c r="CI96" s="373">
        <v>0</v>
      </c>
      <c r="CJ96" s="373">
        <v>0</v>
      </c>
      <c r="CK96" s="373">
        <v>0</v>
      </c>
      <c r="CL96" s="373">
        <v>0</v>
      </c>
      <c r="CM96" s="373">
        <v>0</v>
      </c>
      <c r="CN96" s="373">
        <v>0</v>
      </c>
      <c r="CO96" s="373">
        <v>0</v>
      </c>
      <c r="CP96" s="373">
        <v>0</v>
      </c>
      <c r="CQ96" s="373">
        <v>0</v>
      </c>
      <c r="CR96" s="376"/>
      <c r="CS96" s="375">
        <f t="shared" si="90"/>
        <v>0</v>
      </c>
      <c r="CT96" s="378">
        <f t="shared" si="95"/>
        <v>0</v>
      </c>
      <c r="CU96" s="165" t="str">
        <f t="shared" si="91"/>
        <v>N/A</v>
      </c>
      <c r="CV96" s="320"/>
      <c r="CW96" s="373">
        <v>0</v>
      </c>
      <c r="CX96" s="373">
        <v>0</v>
      </c>
      <c r="CY96" s="373">
        <v>0</v>
      </c>
      <c r="CZ96" s="373">
        <v>0</v>
      </c>
      <c r="DA96" s="373">
        <v>0</v>
      </c>
      <c r="DB96" s="373">
        <v>0</v>
      </c>
      <c r="DC96" s="373">
        <v>0</v>
      </c>
      <c r="DD96" s="373">
        <v>0</v>
      </c>
      <c r="DE96" s="373">
        <v>0</v>
      </c>
      <c r="DF96" s="373">
        <v>0</v>
      </c>
      <c r="DG96" s="373">
        <v>0</v>
      </c>
      <c r="DH96" s="373">
        <v>0</v>
      </c>
      <c r="DI96" s="375">
        <f t="shared" si="99"/>
        <v>0</v>
      </c>
      <c r="DJ96" s="320"/>
      <c r="DK96" s="373"/>
      <c r="DL96" s="373"/>
      <c r="DM96" s="373"/>
      <c r="DN96" s="373"/>
      <c r="DO96" s="373"/>
      <c r="DP96" s="373"/>
      <c r="DQ96" s="373"/>
      <c r="DR96" s="373"/>
      <c r="DS96" s="373"/>
      <c r="DT96" s="373"/>
      <c r="DU96" s="373"/>
      <c r="DV96" s="373"/>
      <c r="DW96" s="375">
        <f t="shared" si="103"/>
        <v>0</v>
      </c>
      <c r="DY96" s="373"/>
      <c r="DZ96" s="373"/>
      <c r="EA96" s="373"/>
      <c r="EB96" s="373"/>
      <c r="EC96" s="373"/>
      <c r="ED96" s="373"/>
      <c r="EE96" s="373"/>
      <c r="EF96" s="373"/>
      <c r="EG96" s="373"/>
      <c r="EH96" s="373"/>
      <c r="EI96" s="373"/>
      <c r="EJ96" s="373"/>
      <c r="EK96" s="375">
        <f t="shared" si="94"/>
        <v>0</v>
      </c>
      <c r="EL96" s="177"/>
      <c r="EM96" s="373"/>
      <c r="EN96" s="373"/>
      <c r="EO96" s="373"/>
      <c r="EP96" s="373"/>
      <c r="EQ96" s="373"/>
      <c r="ER96" s="373"/>
      <c r="ES96" s="373"/>
      <c r="ET96" s="373"/>
      <c r="EU96" s="373"/>
      <c r="EV96" s="373"/>
      <c r="EW96" s="373"/>
      <c r="EX96" s="373"/>
      <c r="EY96" s="375">
        <f t="shared" si="96"/>
        <v>0</v>
      </c>
      <c r="EZ96" s="164"/>
      <c r="FC96" s="185">
        <v>0</v>
      </c>
    </row>
    <row r="97" spans="1:159" ht="18.75" customHeight="1">
      <c r="A97" s="185" t="s">
        <v>1199</v>
      </c>
      <c r="B97" s="176">
        <v>60601000</v>
      </c>
      <c r="C97" s="176" t="s">
        <v>1199</v>
      </c>
      <c r="D97" s="176" t="s">
        <v>1199</v>
      </c>
      <c r="E97" s="324"/>
      <c r="F97" s="320" t="s">
        <v>655</v>
      </c>
      <c r="G97" s="320"/>
      <c r="H97" s="417">
        <v>0</v>
      </c>
      <c r="I97" s="417">
        <v>0</v>
      </c>
      <c r="J97" s="417">
        <v>0</v>
      </c>
      <c r="K97" s="417">
        <v>0</v>
      </c>
      <c r="L97" s="417">
        <v>0</v>
      </c>
      <c r="M97" s="417">
        <v>0</v>
      </c>
      <c r="N97" s="417">
        <v>0</v>
      </c>
      <c r="O97" s="417">
        <v>0</v>
      </c>
      <c r="P97" s="417">
        <v>0</v>
      </c>
      <c r="Q97" s="819">
        <v>0</v>
      </c>
      <c r="R97" s="417">
        <v>0</v>
      </c>
      <c r="S97" s="417">
        <v>4650000</v>
      </c>
      <c r="T97" s="402"/>
      <c r="U97" s="366">
        <f t="shared" si="106"/>
        <v>1948970.54</v>
      </c>
      <c r="V97" s="165">
        <f t="shared" si="107"/>
        <v>1</v>
      </c>
      <c r="W97" s="212"/>
      <c r="X97" s="1518">
        <v>0</v>
      </c>
      <c r="Y97" s="1518">
        <v>0</v>
      </c>
      <c r="Z97" s="1518">
        <v>0</v>
      </c>
      <c r="AA97" s="1518">
        <v>0</v>
      </c>
      <c r="AB97" s="1518">
        <v>0</v>
      </c>
      <c r="AC97" s="1518">
        <v>0</v>
      </c>
      <c r="AD97" s="1518">
        <v>0</v>
      </c>
      <c r="AE97" s="1518">
        <v>0</v>
      </c>
      <c r="AF97" s="1518">
        <v>0</v>
      </c>
      <c r="AG97" s="1519">
        <v>0</v>
      </c>
      <c r="AH97" s="1518">
        <v>920058.73</v>
      </c>
      <c r="AI97" s="1518">
        <v>1028911.81</v>
      </c>
      <c r="AJ97" s="375">
        <f t="shared" si="105"/>
        <v>1948970.54</v>
      </c>
      <c r="AK97" s="212"/>
      <c r="AL97" s="417">
        <v>0</v>
      </c>
      <c r="AM97" s="417">
        <v>0</v>
      </c>
      <c r="AN97" s="417">
        <v>0</v>
      </c>
      <c r="AO97" s="417">
        <v>0</v>
      </c>
      <c r="AP97" s="417">
        <v>0</v>
      </c>
      <c r="AQ97" s="417">
        <v>0</v>
      </c>
      <c r="AR97" s="417">
        <v>0</v>
      </c>
      <c r="AS97" s="417">
        <v>0</v>
      </c>
      <c r="AT97" s="417">
        <v>0</v>
      </c>
      <c r="AU97" s="819">
        <v>0</v>
      </c>
      <c r="AV97" s="417">
        <v>0</v>
      </c>
      <c r="AW97" s="417">
        <v>4650000</v>
      </c>
      <c r="AX97" s="981">
        <f t="shared" si="104"/>
        <v>4650000</v>
      </c>
      <c r="AY97" s="366">
        <f t="shared" si="108"/>
        <v>-4650000</v>
      </c>
      <c r="AZ97" s="165" t="e">
        <f t="shared" si="109"/>
        <v>#DIV/0!</v>
      </c>
      <c r="BA97" s="212"/>
      <c r="BB97" s="417">
        <v>0</v>
      </c>
      <c r="BC97" s="417">
        <v>0</v>
      </c>
      <c r="BD97" s="417">
        <v>0</v>
      </c>
      <c r="BE97" s="417">
        <v>0</v>
      </c>
      <c r="BF97" s="417">
        <v>0</v>
      </c>
      <c r="BG97" s="417">
        <v>0</v>
      </c>
      <c r="BH97" s="417">
        <v>0</v>
      </c>
      <c r="BI97" s="417">
        <v>0</v>
      </c>
      <c r="BJ97" s="417">
        <v>0</v>
      </c>
      <c r="BK97" s="819">
        <v>0</v>
      </c>
      <c r="BL97" s="417">
        <v>0</v>
      </c>
      <c r="BM97" s="417">
        <v>0</v>
      </c>
      <c r="BN97" s="375">
        <f t="shared" si="98"/>
        <v>0</v>
      </c>
      <c r="BO97" s="212"/>
      <c r="BP97" s="818">
        <v>0</v>
      </c>
      <c r="BQ97" s="818">
        <v>0</v>
      </c>
      <c r="BR97" s="818">
        <v>0</v>
      </c>
      <c r="BS97" s="818">
        <v>0</v>
      </c>
      <c r="BT97" s="818">
        <v>0</v>
      </c>
      <c r="BU97" s="818">
        <v>0</v>
      </c>
      <c r="BV97" s="818">
        <v>0</v>
      </c>
      <c r="BW97" s="818">
        <v>0</v>
      </c>
      <c r="BX97" s="818">
        <v>0</v>
      </c>
      <c r="BY97" s="818">
        <v>0</v>
      </c>
      <c r="BZ97" s="818">
        <v>0</v>
      </c>
      <c r="CA97" s="818">
        <v>0</v>
      </c>
      <c r="CB97" s="375">
        <f t="shared" si="87"/>
        <v>0</v>
      </c>
      <c r="CC97" s="366">
        <f t="shared" si="88"/>
        <v>0</v>
      </c>
      <c r="CD97" s="165" t="str">
        <f t="shared" si="89"/>
        <v>N/A</v>
      </c>
      <c r="CE97" s="367"/>
      <c r="CF97" s="373">
        <v>0</v>
      </c>
      <c r="CG97" s="373">
        <v>0</v>
      </c>
      <c r="CH97" s="373">
        <v>0</v>
      </c>
      <c r="CI97" s="373">
        <v>0</v>
      </c>
      <c r="CJ97" s="373">
        <v>0</v>
      </c>
      <c r="CK97" s="373">
        <v>0</v>
      </c>
      <c r="CL97" s="373">
        <v>0</v>
      </c>
      <c r="CM97" s="373">
        <v>0</v>
      </c>
      <c r="CN97" s="373">
        <v>0</v>
      </c>
      <c r="CO97" s="373">
        <v>0</v>
      </c>
      <c r="CP97" s="373">
        <v>0</v>
      </c>
      <c r="CQ97" s="373">
        <v>0</v>
      </c>
      <c r="CR97" s="376"/>
      <c r="CS97" s="375">
        <f t="shared" si="90"/>
        <v>0</v>
      </c>
      <c r="CT97" s="378">
        <f t="shared" si="95"/>
        <v>0</v>
      </c>
      <c r="CU97" s="165" t="str">
        <f t="shared" si="91"/>
        <v>N/A</v>
      </c>
      <c r="CV97" s="320"/>
      <c r="CW97" s="373">
        <v>0</v>
      </c>
      <c r="CX97" s="373">
        <v>0</v>
      </c>
      <c r="CY97" s="373">
        <v>0</v>
      </c>
      <c r="CZ97" s="373">
        <v>0</v>
      </c>
      <c r="DA97" s="373">
        <v>0</v>
      </c>
      <c r="DB97" s="373">
        <v>0</v>
      </c>
      <c r="DC97" s="373">
        <v>0</v>
      </c>
      <c r="DD97" s="373">
        <v>0</v>
      </c>
      <c r="DE97" s="373">
        <v>0</v>
      </c>
      <c r="DF97" s="373">
        <v>0</v>
      </c>
      <c r="DG97" s="373">
        <v>0</v>
      </c>
      <c r="DH97" s="373">
        <v>0</v>
      </c>
      <c r="DI97" s="375">
        <f t="shared" si="99"/>
        <v>0</v>
      </c>
      <c r="DJ97" s="320"/>
      <c r="DK97" s="373"/>
      <c r="DL97" s="373"/>
      <c r="DM97" s="373"/>
      <c r="DN97" s="373"/>
      <c r="DO97" s="373"/>
      <c r="DP97" s="373"/>
      <c r="DQ97" s="373"/>
      <c r="DR97" s="373"/>
      <c r="DS97" s="373"/>
      <c r="DT97" s="373"/>
      <c r="DU97" s="373"/>
      <c r="DV97" s="373"/>
      <c r="DW97" s="375">
        <f t="shared" si="103"/>
        <v>0</v>
      </c>
      <c r="DY97" s="373"/>
      <c r="DZ97" s="373"/>
      <c r="EA97" s="373"/>
      <c r="EB97" s="373"/>
      <c r="EC97" s="373"/>
      <c r="ED97" s="373"/>
      <c r="EE97" s="373"/>
      <c r="EF97" s="373"/>
      <c r="EG97" s="373"/>
      <c r="EH97" s="373"/>
      <c r="EI97" s="373"/>
      <c r="EJ97" s="373"/>
      <c r="EK97" s="375">
        <f t="shared" si="94"/>
        <v>0</v>
      </c>
      <c r="EL97" s="177"/>
      <c r="EM97" s="373"/>
      <c r="EN97" s="373"/>
      <c r="EO97" s="373"/>
      <c r="EP97" s="373"/>
      <c r="EQ97" s="373"/>
      <c r="ER97" s="373"/>
      <c r="ES97" s="373"/>
      <c r="ET97" s="373"/>
      <c r="EU97" s="373"/>
      <c r="EV97" s="373"/>
      <c r="EW97" s="373"/>
      <c r="EX97" s="373"/>
      <c r="EY97" s="375">
        <f t="shared" si="96"/>
        <v>0</v>
      </c>
      <c r="EZ97" s="164"/>
      <c r="FC97" s="185">
        <v>0</v>
      </c>
    </row>
    <row r="98" spans="1:159" ht="18.75" customHeight="1" outlineLevel="1">
      <c r="A98" s="185" t="s">
        <v>617</v>
      </c>
      <c r="B98" s="176">
        <v>61012000</v>
      </c>
      <c r="C98" s="176" t="s">
        <v>326</v>
      </c>
      <c r="D98" s="176" t="s">
        <v>109</v>
      </c>
      <c r="E98" s="324"/>
      <c r="F98" s="320" t="s">
        <v>656</v>
      </c>
      <c r="G98" s="320"/>
      <c r="H98" s="417">
        <v>0</v>
      </c>
      <c r="I98" s="417">
        <v>0</v>
      </c>
      <c r="J98" s="417">
        <v>0</v>
      </c>
      <c r="K98" s="417">
        <v>0</v>
      </c>
      <c r="L98" s="417">
        <v>0</v>
      </c>
      <c r="M98" s="417">
        <v>0</v>
      </c>
      <c r="N98" s="417">
        <v>0</v>
      </c>
      <c r="O98" s="417">
        <v>0</v>
      </c>
      <c r="P98" s="417">
        <v>0</v>
      </c>
      <c r="Q98" s="819">
        <v>0</v>
      </c>
      <c r="R98" s="417">
        <v>0</v>
      </c>
      <c r="S98" s="417">
        <v>0</v>
      </c>
      <c r="T98" s="402"/>
      <c r="U98" s="366">
        <f t="shared" si="106"/>
        <v>14455206</v>
      </c>
      <c r="V98" s="165">
        <f t="shared" si="107"/>
        <v>1</v>
      </c>
      <c r="W98" s="212"/>
      <c r="X98" s="1518">
        <v>0</v>
      </c>
      <c r="Y98" s="1518">
        <v>0</v>
      </c>
      <c r="Z98" s="1518">
        <v>0</v>
      </c>
      <c r="AA98" s="1518">
        <v>0</v>
      </c>
      <c r="AB98" s="1518">
        <v>0</v>
      </c>
      <c r="AC98" s="1518">
        <v>0</v>
      </c>
      <c r="AD98" s="1518">
        <v>0</v>
      </c>
      <c r="AE98" s="1518">
        <v>0</v>
      </c>
      <c r="AF98" s="1518">
        <v>0</v>
      </c>
      <c r="AG98" s="1519">
        <v>0</v>
      </c>
      <c r="AH98" s="1518">
        <v>0</v>
      </c>
      <c r="AI98" s="1518">
        <v>14455206</v>
      </c>
      <c r="AJ98" s="375">
        <f t="shared" si="105"/>
        <v>14455206</v>
      </c>
      <c r="AK98" s="212"/>
      <c r="AL98" s="417">
        <v>0</v>
      </c>
      <c r="AM98" s="417">
        <v>0</v>
      </c>
      <c r="AN98" s="417">
        <v>0</v>
      </c>
      <c r="AO98" s="417">
        <v>0</v>
      </c>
      <c r="AP98" s="417">
        <v>0</v>
      </c>
      <c r="AQ98" s="417">
        <v>0</v>
      </c>
      <c r="AR98" s="417">
        <v>0</v>
      </c>
      <c r="AS98" s="417">
        <v>0</v>
      </c>
      <c r="AT98" s="417">
        <v>0</v>
      </c>
      <c r="AU98" s="819">
        <v>0</v>
      </c>
      <c r="AV98" s="417">
        <v>0</v>
      </c>
      <c r="AW98" s="417">
        <v>0</v>
      </c>
      <c r="AX98" s="375">
        <f t="shared" si="104"/>
        <v>0</v>
      </c>
      <c r="AY98" s="366">
        <f t="shared" si="108"/>
        <v>0</v>
      </c>
      <c r="AZ98" s="165" t="e">
        <f t="shared" si="109"/>
        <v>#DIV/0!</v>
      </c>
      <c r="BA98" s="212"/>
      <c r="BB98" s="417">
        <v>0</v>
      </c>
      <c r="BC98" s="417">
        <v>0</v>
      </c>
      <c r="BD98" s="417">
        <v>0</v>
      </c>
      <c r="BE98" s="417">
        <v>0</v>
      </c>
      <c r="BF98" s="417">
        <v>0</v>
      </c>
      <c r="BG98" s="417">
        <v>0</v>
      </c>
      <c r="BH98" s="417">
        <v>0</v>
      </c>
      <c r="BI98" s="417">
        <v>0</v>
      </c>
      <c r="BJ98" s="417">
        <v>0</v>
      </c>
      <c r="BK98" s="819">
        <v>0</v>
      </c>
      <c r="BL98" s="417">
        <v>0</v>
      </c>
      <c r="BM98" s="417">
        <v>0</v>
      </c>
      <c r="BN98" s="375">
        <f t="shared" si="98"/>
        <v>0</v>
      </c>
      <c r="BO98" s="212"/>
      <c r="BP98" s="818">
        <v>0</v>
      </c>
      <c r="BQ98" s="818">
        <v>0</v>
      </c>
      <c r="BR98" s="818">
        <v>0</v>
      </c>
      <c r="BS98" s="818">
        <v>0</v>
      </c>
      <c r="BT98" s="818">
        <v>0</v>
      </c>
      <c r="BU98" s="818">
        <v>0</v>
      </c>
      <c r="BV98" s="818">
        <v>0</v>
      </c>
      <c r="BW98" s="818">
        <v>0</v>
      </c>
      <c r="BX98" s="818">
        <v>0</v>
      </c>
      <c r="BY98" s="818">
        <v>0</v>
      </c>
      <c r="BZ98" s="818">
        <v>0</v>
      </c>
      <c r="CA98" s="818">
        <v>0</v>
      </c>
      <c r="CB98" s="375">
        <f t="shared" si="87"/>
        <v>0</v>
      </c>
      <c r="CC98" s="366">
        <f t="shared" si="88"/>
        <v>0</v>
      </c>
      <c r="CD98" s="165" t="str">
        <f t="shared" si="89"/>
        <v>N/A</v>
      </c>
      <c r="CE98" s="367"/>
      <c r="CF98" s="373">
        <v>0</v>
      </c>
      <c r="CG98" s="373">
        <v>0</v>
      </c>
      <c r="CH98" s="373">
        <v>0</v>
      </c>
      <c r="CI98" s="373">
        <v>0</v>
      </c>
      <c r="CJ98" s="373">
        <v>0</v>
      </c>
      <c r="CK98" s="373">
        <v>0</v>
      </c>
      <c r="CL98" s="373">
        <v>0</v>
      </c>
      <c r="CM98" s="373">
        <v>0</v>
      </c>
      <c r="CN98" s="373">
        <v>0</v>
      </c>
      <c r="CO98" s="373">
        <v>0</v>
      </c>
      <c r="CP98" s="373">
        <v>0</v>
      </c>
      <c r="CQ98" s="373">
        <v>0</v>
      </c>
      <c r="CR98" s="376"/>
      <c r="CS98" s="375">
        <f t="shared" si="90"/>
        <v>0</v>
      </c>
      <c r="CT98" s="378">
        <f t="shared" si="95"/>
        <v>0</v>
      </c>
      <c r="CU98" s="165" t="str">
        <f t="shared" si="91"/>
        <v>N/A</v>
      </c>
      <c r="CV98" s="320"/>
      <c r="CW98" s="373">
        <v>0</v>
      </c>
      <c r="CX98" s="373">
        <v>0</v>
      </c>
      <c r="CY98" s="373">
        <v>0</v>
      </c>
      <c r="CZ98" s="373">
        <v>0</v>
      </c>
      <c r="DA98" s="373">
        <v>0</v>
      </c>
      <c r="DB98" s="373">
        <v>0</v>
      </c>
      <c r="DC98" s="373">
        <v>0</v>
      </c>
      <c r="DD98" s="373">
        <v>0</v>
      </c>
      <c r="DE98" s="373">
        <v>0</v>
      </c>
      <c r="DF98" s="373">
        <v>0</v>
      </c>
      <c r="DG98" s="373">
        <v>0</v>
      </c>
      <c r="DH98" s="373">
        <v>0</v>
      </c>
      <c r="DI98" s="375">
        <f t="shared" si="99"/>
        <v>0</v>
      </c>
      <c r="DJ98" s="320"/>
      <c r="DK98" s="373">
        <v>0</v>
      </c>
      <c r="DL98" s="373">
        <v>0</v>
      </c>
      <c r="DM98" s="373">
        <v>0</v>
      </c>
      <c r="DN98" s="373">
        <v>0</v>
      </c>
      <c r="DO98" s="373">
        <v>0</v>
      </c>
      <c r="DP98" s="373">
        <v>0</v>
      </c>
      <c r="DQ98" s="373">
        <v>0</v>
      </c>
      <c r="DR98" s="373">
        <v>0</v>
      </c>
      <c r="DS98" s="373">
        <v>0</v>
      </c>
      <c r="DT98" s="373">
        <v>0</v>
      </c>
      <c r="DU98" s="373">
        <v>0</v>
      </c>
      <c r="DV98" s="373">
        <v>0</v>
      </c>
      <c r="DW98" s="375">
        <f t="shared" si="103"/>
        <v>0</v>
      </c>
      <c r="DY98" s="373">
        <v>0</v>
      </c>
      <c r="DZ98" s="373">
        <v>0</v>
      </c>
      <c r="EA98" s="373">
        <v>0</v>
      </c>
      <c r="EB98" s="373">
        <v>0</v>
      </c>
      <c r="EC98" s="373">
        <v>0</v>
      </c>
      <c r="ED98" s="373">
        <v>0</v>
      </c>
      <c r="EE98" s="373">
        <v>0</v>
      </c>
      <c r="EF98" s="373">
        <v>0</v>
      </c>
      <c r="EG98" s="373">
        <v>0</v>
      </c>
      <c r="EH98" s="373">
        <v>0</v>
      </c>
      <c r="EI98" s="373">
        <v>0</v>
      </c>
      <c r="EJ98" s="373">
        <v>0</v>
      </c>
      <c r="EK98" s="375">
        <f t="shared" si="94"/>
        <v>0</v>
      </c>
      <c r="EL98" s="177"/>
      <c r="EM98" s="373">
        <v>0</v>
      </c>
      <c r="EN98" s="373">
        <v>0</v>
      </c>
      <c r="EO98" s="373">
        <v>0</v>
      </c>
      <c r="EP98" s="373">
        <v>0</v>
      </c>
      <c r="EQ98" s="373">
        <v>0</v>
      </c>
      <c r="ER98" s="373">
        <v>0</v>
      </c>
      <c r="ES98" s="373">
        <v>0</v>
      </c>
      <c r="ET98" s="373">
        <v>0</v>
      </c>
      <c r="EU98" s="373">
        <v>0</v>
      </c>
      <c r="EV98" s="373">
        <v>0</v>
      </c>
      <c r="EW98" s="373">
        <v>0</v>
      </c>
      <c r="EX98" s="373">
        <v>0</v>
      </c>
      <c r="EY98" s="375">
        <f t="shared" si="96"/>
        <v>0</v>
      </c>
      <c r="EZ98" s="164"/>
      <c r="FC98" s="185">
        <v>0</v>
      </c>
    </row>
    <row r="99" spans="1:159" ht="18.75" customHeight="1" outlineLevel="1">
      <c r="A99" s="185" t="s">
        <v>617</v>
      </c>
      <c r="B99" s="176">
        <v>61013100</v>
      </c>
      <c r="C99" s="176" t="s">
        <v>326</v>
      </c>
      <c r="D99" s="176" t="s">
        <v>109</v>
      </c>
      <c r="E99" s="324"/>
      <c r="F99" s="320" t="s">
        <v>657</v>
      </c>
      <c r="G99" s="320"/>
      <c r="H99" s="417">
        <v>0</v>
      </c>
      <c r="I99" s="417">
        <v>0</v>
      </c>
      <c r="J99" s="417">
        <v>0</v>
      </c>
      <c r="K99" s="417">
        <v>0</v>
      </c>
      <c r="L99" s="417">
        <v>0</v>
      </c>
      <c r="M99" s="417">
        <v>0</v>
      </c>
      <c r="N99" s="417">
        <v>0</v>
      </c>
      <c r="O99" s="417">
        <v>0</v>
      </c>
      <c r="P99" s="417">
        <v>0</v>
      </c>
      <c r="Q99" s="819">
        <v>0</v>
      </c>
      <c r="R99" s="417">
        <v>0</v>
      </c>
      <c r="S99" s="417">
        <v>0</v>
      </c>
      <c r="T99" s="402"/>
      <c r="U99" s="366">
        <f t="shared" si="106"/>
        <v>2550872</v>
      </c>
      <c r="V99" s="165">
        <f t="shared" si="107"/>
        <v>1</v>
      </c>
      <c r="W99" s="212"/>
      <c r="X99" s="1518">
        <v>0</v>
      </c>
      <c r="Y99" s="1518"/>
      <c r="Z99" s="1518">
        <v>0</v>
      </c>
      <c r="AA99" s="1518">
        <v>0</v>
      </c>
      <c r="AB99" s="1518">
        <v>0</v>
      </c>
      <c r="AC99" s="1518">
        <v>0</v>
      </c>
      <c r="AD99" s="1518">
        <v>0</v>
      </c>
      <c r="AE99" s="1518">
        <v>0</v>
      </c>
      <c r="AF99" s="1518">
        <v>0</v>
      </c>
      <c r="AG99" s="1519">
        <v>0</v>
      </c>
      <c r="AH99" s="1518">
        <v>0</v>
      </c>
      <c r="AI99" s="1518">
        <v>2550872</v>
      </c>
      <c r="AJ99" s="375">
        <f t="shared" si="105"/>
        <v>2550872</v>
      </c>
      <c r="AK99" s="212"/>
      <c r="AL99" s="417">
        <v>0</v>
      </c>
      <c r="AM99" s="417">
        <v>0</v>
      </c>
      <c r="AN99" s="417">
        <v>0</v>
      </c>
      <c r="AO99" s="417">
        <v>0</v>
      </c>
      <c r="AP99" s="417">
        <v>0</v>
      </c>
      <c r="AQ99" s="417">
        <v>0</v>
      </c>
      <c r="AR99" s="417">
        <v>0</v>
      </c>
      <c r="AS99" s="417">
        <v>0</v>
      </c>
      <c r="AT99" s="417">
        <v>0</v>
      </c>
      <c r="AU99" s="819">
        <v>0</v>
      </c>
      <c r="AV99" s="417">
        <v>0</v>
      </c>
      <c r="AW99" s="417">
        <v>0</v>
      </c>
      <c r="AX99" s="375">
        <f t="shared" si="104"/>
        <v>0</v>
      </c>
      <c r="AY99" s="366">
        <f t="shared" si="108"/>
        <v>0</v>
      </c>
      <c r="AZ99" s="165" t="e">
        <f t="shared" si="109"/>
        <v>#DIV/0!</v>
      </c>
      <c r="BA99" s="212"/>
      <c r="BB99" s="417">
        <v>0</v>
      </c>
      <c r="BC99" s="417">
        <v>0</v>
      </c>
      <c r="BD99" s="417">
        <v>0</v>
      </c>
      <c r="BE99" s="417">
        <v>0</v>
      </c>
      <c r="BF99" s="417">
        <v>0</v>
      </c>
      <c r="BG99" s="417">
        <v>0</v>
      </c>
      <c r="BH99" s="417">
        <v>0</v>
      </c>
      <c r="BI99" s="417">
        <v>0</v>
      </c>
      <c r="BJ99" s="417">
        <v>0</v>
      </c>
      <c r="BK99" s="819">
        <v>0</v>
      </c>
      <c r="BL99" s="417">
        <v>0</v>
      </c>
      <c r="BM99" s="417">
        <v>0</v>
      </c>
      <c r="BN99" s="375">
        <f t="shared" si="98"/>
        <v>0</v>
      </c>
      <c r="BO99" s="212"/>
      <c r="BP99" s="818">
        <v>0</v>
      </c>
      <c r="BQ99" s="818">
        <v>0</v>
      </c>
      <c r="BR99" s="818">
        <v>0</v>
      </c>
      <c r="BS99" s="818">
        <v>0</v>
      </c>
      <c r="BT99" s="818">
        <v>0</v>
      </c>
      <c r="BU99" s="818">
        <v>0</v>
      </c>
      <c r="BV99" s="818">
        <v>0</v>
      </c>
      <c r="BW99" s="818">
        <v>0</v>
      </c>
      <c r="BX99" s="818">
        <v>0</v>
      </c>
      <c r="BY99" s="818">
        <v>0</v>
      </c>
      <c r="BZ99" s="818">
        <v>0</v>
      </c>
      <c r="CA99" s="818">
        <v>0</v>
      </c>
      <c r="CB99" s="375">
        <f t="shared" si="87"/>
        <v>0</v>
      </c>
      <c r="CC99" s="366">
        <f t="shared" ref="CC99:CC157" si="110">CB99-BN99</f>
        <v>0</v>
      </c>
      <c r="CD99" s="165" t="str">
        <f t="shared" ref="CD99:CD157" si="111">IFERROR(CC99/CB99,"N/A")</f>
        <v>N/A</v>
      </c>
      <c r="CE99" s="367"/>
      <c r="CF99" s="373">
        <v>0</v>
      </c>
      <c r="CG99" s="373">
        <v>0</v>
      </c>
      <c r="CH99" s="373">
        <v>0</v>
      </c>
      <c r="CI99" s="373">
        <v>0</v>
      </c>
      <c r="CJ99" s="373">
        <v>0</v>
      </c>
      <c r="CK99" s="373">
        <v>0</v>
      </c>
      <c r="CL99" s="373">
        <v>0</v>
      </c>
      <c r="CM99" s="373">
        <v>0</v>
      </c>
      <c r="CN99" s="373">
        <v>0</v>
      </c>
      <c r="CO99" s="373">
        <v>0</v>
      </c>
      <c r="CP99" s="373">
        <v>0</v>
      </c>
      <c r="CQ99" s="373">
        <v>0</v>
      </c>
      <c r="CR99" s="376"/>
      <c r="CS99" s="375">
        <f t="shared" si="90"/>
        <v>0</v>
      </c>
      <c r="CT99" s="378">
        <f t="shared" ref="CT99:CT157" si="112">CS99-BN99</f>
        <v>0</v>
      </c>
      <c r="CU99" s="165" t="str">
        <f t="shared" ref="CU99:CU157" si="113">IFERROR(CT99/CS99,"N/A")</f>
        <v>N/A</v>
      </c>
      <c r="CV99" s="320"/>
      <c r="CW99" s="373">
        <v>0</v>
      </c>
      <c r="CX99" s="373">
        <v>0</v>
      </c>
      <c r="CY99" s="373">
        <v>0</v>
      </c>
      <c r="CZ99" s="373">
        <v>0</v>
      </c>
      <c r="DA99" s="373">
        <v>0</v>
      </c>
      <c r="DB99" s="373">
        <v>0</v>
      </c>
      <c r="DC99" s="373">
        <v>0</v>
      </c>
      <c r="DD99" s="373">
        <v>0</v>
      </c>
      <c r="DE99" s="373">
        <v>0</v>
      </c>
      <c r="DF99" s="373">
        <v>0</v>
      </c>
      <c r="DG99" s="373">
        <v>0</v>
      </c>
      <c r="DH99" s="373">
        <v>0</v>
      </c>
      <c r="DI99" s="375">
        <f t="shared" si="99"/>
        <v>0</v>
      </c>
      <c r="DJ99" s="320"/>
      <c r="DK99" s="373"/>
      <c r="DL99" s="373"/>
      <c r="DM99" s="373"/>
      <c r="DN99" s="373"/>
      <c r="DO99" s="373"/>
      <c r="DP99" s="373"/>
      <c r="DQ99" s="373"/>
      <c r="DR99" s="373"/>
      <c r="DS99" s="373"/>
      <c r="DT99" s="373"/>
      <c r="DU99" s="373"/>
      <c r="DV99" s="373"/>
      <c r="DW99" s="375">
        <f t="shared" si="103"/>
        <v>0</v>
      </c>
      <c r="DY99" s="373"/>
      <c r="DZ99" s="373"/>
      <c r="EA99" s="373"/>
      <c r="EB99" s="373"/>
      <c r="EC99" s="373"/>
      <c r="ED99" s="373"/>
      <c r="EE99" s="373"/>
      <c r="EF99" s="373"/>
      <c r="EG99" s="373"/>
      <c r="EH99" s="373"/>
      <c r="EI99" s="373"/>
      <c r="EJ99" s="373"/>
      <c r="EK99" s="375">
        <f t="shared" si="94"/>
        <v>0</v>
      </c>
      <c r="EL99" s="177"/>
      <c r="EM99" s="373"/>
      <c r="EN99" s="373"/>
      <c r="EO99" s="373"/>
      <c r="EP99" s="373"/>
      <c r="EQ99" s="373"/>
      <c r="ER99" s="373"/>
      <c r="ES99" s="373"/>
      <c r="ET99" s="373"/>
      <c r="EU99" s="373"/>
      <c r="EV99" s="373"/>
      <c r="EW99" s="373"/>
      <c r="EX99" s="373"/>
      <c r="EY99" s="375">
        <f t="shared" si="96"/>
        <v>0</v>
      </c>
      <c r="EZ99" s="164"/>
      <c r="FC99" s="185">
        <v>0</v>
      </c>
    </row>
    <row r="100" spans="1:159" ht="18.75" customHeight="1" outlineLevel="1">
      <c r="A100" s="185" t="s">
        <v>617</v>
      </c>
      <c r="B100" s="176">
        <v>61013200</v>
      </c>
      <c r="C100" s="176" t="s">
        <v>326</v>
      </c>
      <c r="D100" s="176" t="s">
        <v>109</v>
      </c>
      <c r="E100" s="324"/>
      <c r="F100" s="320" t="s">
        <v>658</v>
      </c>
      <c r="G100" s="320"/>
      <c r="H100" s="417">
        <v>0</v>
      </c>
      <c r="I100" s="417">
        <v>0</v>
      </c>
      <c r="J100" s="417">
        <v>0</v>
      </c>
      <c r="K100" s="417">
        <v>0</v>
      </c>
      <c r="L100" s="417">
        <v>0</v>
      </c>
      <c r="M100" s="417">
        <v>0</v>
      </c>
      <c r="N100" s="417">
        <v>0</v>
      </c>
      <c r="O100" s="417">
        <v>0</v>
      </c>
      <c r="P100" s="417">
        <v>0</v>
      </c>
      <c r="Q100" s="819">
        <v>0</v>
      </c>
      <c r="R100" s="417">
        <v>0</v>
      </c>
      <c r="S100" s="417">
        <v>0</v>
      </c>
      <c r="T100" s="402"/>
      <c r="U100" s="366">
        <f t="shared" si="106"/>
        <v>0</v>
      </c>
      <c r="V100" s="165" t="e">
        <f t="shared" si="107"/>
        <v>#DIV/0!</v>
      </c>
      <c r="W100" s="212"/>
      <c r="X100" s="1518">
        <v>0</v>
      </c>
      <c r="Y100" s="1518"/>
      <c r="Z100" s="1518">
        <v>0</v>
      </c>
      <c r="AA100" s="1518">
        <v>0</v>
      </c>
      <c r="AB100" s="1518"/>
      <c r="AC100" s="1518"/>
      <c r="AD100" s="1518"/>
      <c r="AE100" s="1518"/>
      <c r="AF100" s="1518">
        <v>0</v>
      </c>
      <c r="AG100" s="1519">
        <v>0</v>
      </c>
      <c r="AH100" s="1518">
        <v>0</v>
      </c>
      <c r="AI100" s="1518">
        <v>0</v>
      </c>
      <c r="AJ100" s="375">
        <f t="shared" si="105"/>
        <v>0</v>
      </c>
      <c r="AK100" s="212"/>
      <c r="AL100" s="417">
        <v>0</v>
      </c>
      <c r="AM100" s="417">
        <v>0</v>
      </c>
      <c r="AN100" s="417">
        <v>0</v>
      </c>
      <c r="AO100" s="417">
        <v>0</v>
      </c>
      <c r="AP100" s="417">
        <v>0</v>
      </c>
      <c r="AQ100" s="417">
        <v>0</v>
      </c>
      <c r="AR100" s="417">
        <v>0</v>
      </c>
      <c r="AS100" s="417">
        <v>0</v>
      </c>
      <c r="AT100" s="417">
        <v>0</v>
      </c>
      <c r="AU100" s="819">
        <v>0</v>
      </c>
      <c r="AV100" s="417">
        <v>0</v>
      </c>
      <c r="AW100" s="417">
        <v>0</v>
      </c>
      <c r="AX100" s="375">
        <f t="shared" si="104"/>
        <v>0</v>
      </c>
      <c r="AY100" s="366">
        <f t="shared" si="108"/>
        <v>0</v>
      </c>
      <c r="AZ100" s="165" t="e">
        <f t="shared" si="109"/>
        <v>#DIV/0!</v>
      </c>
      <c r="BA100" s="212"/>
      <c r="BB100" s="417">
        <v>0</v>
      </c>
      <c r="BC100" s="417">
        <v>0</v>
      </c>
      <c r="BD100" s="417">
        <v>0</v>
      </c>
      <c r="BE100" s="417">
        <v>0</v>
      </c>
      <c r="BF100" s="417">
        <v>0</v>
      </c>
      <c r="BG100" s="417">
        <v>0</v>
      </c>
      <c r="BH100" s="417">
        <v>0</v>
      </c>
      <c r="BI100" s="417">
        <v>0</v>
      </c>
      <c r="BJ100" s="417">
        <v>0</v>
      </c>
      <c r="BK100" s="819">
        <v>0</v>
      </c>
      <c r="BL100" s="417">
        <v>0</v>
      </c>
      <c r="BM100" s="417">
        <v>0</v>
      </c>
      <c r="BN100" s="375">
        <f t="shared" si="98"/>
        <v>0</v>
      </c>
      <c r="BO100" s="212"/>
      <c r="BP100" s="818">
        <v>0</v>
      </c>
      <c r="BQ100" s="818">
        <v>0</v>
      </c>
      <c r="BR100" s="818">
        <v>0</v>
      </c>
      <c r="BS100" s="818">
        <v>0</v>
      </c>
      <c r="BT100" s="818">
        <v>0</v>
      </c>
      <c r="BU100" s="818">
        <v>0</v>
      </c>
      <c r="BV100" s="818">
        <v>0</v>
      </c>
      <c r="BW100" s="818">
        <v>0</v>
      </c>
      <c r="BX100" s="818">
        <v>0</v>
      </c>
      <c r="BY100" s="818">
        <v>0</v>
      </c>
      <c r="BZ100" s="818">
        <v>0</v>
      </c>
      <c r="CA100" s="818">
        <v>0</v>
      </c>
      <c r="CB100" s="375">
        <f t="shared" ref="CB100:CB156" si="114">SUM(BP100:CA100)</f>
        <v>0</v>
      </c>
      <c r="CC100" s="366">
        <f t="shared" si="110"/>
        <v>0</v>
      </c>
      <c r="CD100" s="165" t="str">
        <f t="shared" si="111"/>
        <v>N/A</v>
      </c>
      <c r="CE100" s="367"/>
      <c r="CF100" s="373">
        <v>0</v>
      </c>
      <c r="CG100" s="373">
        <v>0</v>
      </c>
      <c r="CH100" s="373">
        <v>0</v>
      </c>
      <c r="CI100" s="373">
        <v>0</v>
      </c>
      <c r="CJ100" s="373">
        <v>0</v>
      </c>
      <c r="CK100" s="373">
        <v>0</v>
      </c>
      <c r="CL100" s="373">
        <v>0</v>
      </c>
      <c r="CM100" s="373">
        <v>0</v>
      </c>
      <c r="CN100" s="373">
        <v>0</v>
      </c>
      <c r="CO100" s="373">
        <v>0</v>
      </c>
      <c r="CP100" s="373">
        <v>0</v>
      </c>
      <c r="CQ100" s="373">
        <v>0</v>
      </c>
      <c r="CR100" s="376"/>
      <c r="CS100" s="375">
        <f t="shared" si="90"/>
        <v>0</v>
      </c>
      <c r="CT100" s="378">
        <f t="shared" si="112"/>
        <v>0</v>
      </c>
      <c r="CU100" s="165" t="str">
        <f t="shared" si="113"/>
        <v>N/A</v>
      </c>
      <c r="CV100" s="320"/>
      <c r="CW100" s="373">
        <v>0</v>
      </c>
      <c r="CX100" s="373">
        <v>0</v>
      </c>
      <c r="CY100" s="373">
        <v>0</v>
      </c>
      <c r="CZ100" s="373">
        <v>0</v>
      </c>
      <c r="DA100" s="373">
        <v>0</v>
      </c>
      <c r="DB100" s="373">
        <v>0</v>
      </c>
      <c r="DC100" s="373">
        <v>0</v>
      </c>
      <c r="DD100" s="373">
        <v>0</v>
      </c>
      <c r="DE100" s="373">
        <v>0</v>
      </c>
      <c r="DF100" s="373">
        <v>0</v>
      </c>
      <c r="DG100" s="373">
        <v>0</v>
      </c>
      <c r="DH100" s="373">
        <v>0</v>
      </c>
      <c r="DI100" s="375">
        <f t="shared" si="99"/>
        <v>0</v>
      </c>
      <c r="DJ100" s="320"/>
      <c r="DK100" s="373"/>
      <c r="DL100" s="373"/>
      <c r="DM100" s="373"/>
      <c r="DN100" s="373"/>
      <c r="DO100" s="373"/>
      <c r="DP100" s="373"/>
      <c r="DQ100" s="373"/>
      <c r="DR100" s="373"/>
      <c r="DS100" s="373"/>
      <c r="DT100" s="373"/>
      <c r="DU100" s="373"/>
      <c r="DV100" s="373"/>
      <c r="DW100" s="375">
        <f t="shared" si="103"/>
        <v>0</v>
      </c>
      <c r="DY100" s="373"/>
      <c r="DZ100" s="373"/>
      <c r="EA100" s="373"/>
      <c r="EB100" s="373"/>
      <c r="EC100" s="373"/>
      <c r="ED100" s="373"/>
      <c r="EE100" s="373"/>
      <c r="EF100" s="373"/>
      <c r="EG100" s="373"/>
      <c r="EH100" s="373"/>
      <c r="EI100" s="373"/>
      <c r="EJ100" s="373"/>
      <c r="EK100" s="375">
        <f t="shared" si="94"/>
        <v>0</v>
      </c>
      <c r="EL100" s="177"/>
      <c r="EM100" s="373"/>
      <c r="EN100" s="373"/>
      <c r="EO100" s="373"/>
      <c r="EP100" s="373"/>
      <c r="EQ100" s="373"/>
      <c r="ER100" s="373"/>
      <c r="ES100" s="373"/>
      <c r="ET100" s="373"/>
      <c r="EU100" s="373"/>
      <c r="EV100" s="373"/>
      <c r="EW100" s="373"/>
      <c r="EX100" s="373"/>
      <c r="EY100" s="375">
        <f t="shared" si="96"/>
        <v>0</v>
      </c>
      <c r="EZ100" s="164"/>
      <c r="FC100" s="185">
        <v>0</v>
      </c>
    </row>
    <row r="101" spans="1:159" ht="18.75" customHeight="1">
      <c r="A101" s="185" t="s">
        <v>617</v>
      </c>
      <c r="B101" s="176">
        <v>61013300</v>
      </c>
      <c r="C101" s="176" t="s">
        <v>326</v>
      </c>
      <c r="D101" s="176" t="s">
        <v>109</v>
      </c>
      <c r="E101" s="324"/>
      <c r="F101" s="320" t="s">
        <v>659</v>
      </c>
      <c r="G101" s="320"/>
      <c r="H101" s="417">
        <v>344.27</v>
      </c>
      <c r="I101" s="417">
        <v>344.27</v>
      </c>
      <c r="J101" s="417">
        <v>344.27</v>
      </c>
      <c r="K101" s="417">
        <v>344.27</v>
      </c>
      <c r="L101" s="417">
        <v>344.27</v>
      </c>
      <c r="M101" s="417">
        <v>344.27</v>
      </c>
      <c r="N101" s="417">
        <v>344.27</v>
      </c>
      <c r="O101" s="417">
        <v>344.27</v>
      </c>
      <c r="P101" s="417">
        <v>344.27</v>
      </c>
      <c r="Q101" s="819">
        <v>344.27</v>
      </c>
      <c r="R101" s="417">
        <v>344.27</v>
      </c>
      <c r="S101" s="417">
        <v>344.27</v>
      </c>
      <c r="T101" s="402"/>
      <c r="U101" s="366">
        <f>AJ101-T101</f>
        <v>9910</v>
      </c>
      <c r="V101" s="165">
        <f t="shared" si="107"/>
        <v>1</v>
      </c>
      <c r="W101" s="212"/>
      <c r="X101" s="1518">
        <v>0</v>
      </c>
      <c r="Y101" s="1518"/>
      <c r="Z101" s="1518">
        <v>0</v>
      </c>
      <c r="AA101" s="1518">
        <v>0</v>
      </c>
      <c r="AB101" s="1518">
        <v>0</v>
      </c>
      <c r="AC101" s="1518">
        <v>0</v>
      </c>
      <c r="AD101" s="1518">
        <v>175</v>
      </c>
      <c r="AE101" s="1518">
        <v>175</v>
      </c>
      <c r="AF101" s="1518">
        <v>175</v>
      </c>
      <c r="AG101" s="1519">
        <v>175</v>
      </c>
      <c r="AH101" s="1518">
        <v>175</v>
      </c>
      <c r="AI101" s="1518">
        <v>9035</v>
      </c>
      <c r="AJ101" s="375">
        <f t="shared" si="105"/>
        <v>9910</v>
      </c>
      <c r="AK101" s="212"/>
      <c r="AL101" s="417">
        <v>344.27</v>
      </c>
      <c r="AM101" s="417">
        <v>344.27</v>
      </c>
      <c r="AN101" s="417">
        <v>344.27</v>
      </c>
      <c r="AO101" s="417">
        <v>344.27</v>
      </c>
      <c r="AP101" s="417">
        <v>344.27</v>
      </c>
      <c r="AQ101" s="417">
        <v>344.27</v>
      </c>
      <c r="AR101" s="417">
        <v>344.27</v>
      </c>
      <c r="AS101" s="417">
        <v>344.27</v>
      </c>
      <c r="AT101" s="417">
        <v>344.27</v>
      </c>
      <c r="AU101" s="819">
        <v>344.27</v>
      </c>
      <c r="AV101" s="417">
        <v>344.27</v>
      </c>
      <c r="AW101" s="417">
        <v>344.27</v>
      </c>
      <c r="AX101" s="375">
        <f t="shared" si="104"/>
        <v>4131.24</v>
      </c>
      <c r="AY101" s="366">
        <f>BN101-AX101</f>
        <v>1657.4366666666674</v>
      </c>
      <c r="AZ101" s="165">
        <f t="shared" si="109"/>
        <v>0.2863239324128774</v>
      </c>
      <c r="BA101" s="212"/>
      <c r="BB101" s="417">
        <v>493.43</v>
      </c>
      <c r="BC101" s="417">
        <v>493.43</v>
      </c>
      <c r="BD101" s="417">
        <v>493.43</v>
      </c>
      <c r="BE101" s="417">
        <v>493.43</v>
      </c>
      <c r="BF101" s="417">
        <v>493.43</v>
      </c>
      <c r="BG101" s="417">
        <v>493.43</v>
      </c>
      <c r="BH101" s="417">
        <v>493.43</v>
      </c>
      <c r="BI101" s="417">
        <v>493.43</v>
      </c>
      <c r="BJ101" s="417">
        <v>493.43</v>
      </c>
      <c r="BK101" s="819">
        <v>493.43</v>
      </c>
      <c r="BL101" s="417">
        <v>-1156.57</v>
      </c>
      <c r="BM101" s="417">
        <v>344.27</v>
      </c>
      <c r="BN101" s="375">
        <v>5788.6766666666672</v>
      </c>
      <c r="BO101" s="212"/>
      <c r="BP101" s="820">
        <v>494.28000000000003</v>
      </c>
      <c r="BQ101" s="820">
        <v>494.28000000000003</v>
      </c>
      <c r="BR101" s="820">
        <v>2160.9466666666667</v>
      </c>
      <c r="BS101" s="820">
        <v>2160.9466666666667</v>
      </c>
      <c r="BT101" s="820">
        <v>2160.9466666666667</v>
      </c>
      <c r="BU101" s="820">
        <v>2160.9466666666667</v>
      </c>
      <c r="BV101" s="820">
        <v>2160.9466666666667</v>
      </c>
      <c r="BW101" s="820">
        <v>2160.9466666666667</v>
      </c>
      <c r="BX101" s="820">
        <v>2160.9466666666667</v>
      </c>
      <c r="BY101" s="820">
        <v>2160.9466666666667</v>
      </c>
      <c r="BZ101" s="820">
        <v>2160.9466666666667</v>
      </c>
      <c r="CA101" s="820">
        <v>2160.9466666666667</v>
      </c>
      <c r="CB101" s="375">
        <f t="shared" si="114"/>
        <v>22598.026666666665</v>
      </c>
      <c r="CC101" s="366">
        <f t="shared" si="110"/>
        <v>16809.349999999999</v>
      </c>
      <c r="CD101" s="165">
        <f t="shared" si="111"/>
        <v>0.74384149766469287</v>
      </c>
      <c r="CE101" s="367"/>
      <c r="CF101" s="373">
        <v>172.26</v>
      </c>
      <c r="CG101" s="373">
        <v>235.26</v>
      </c>
      <c r="CH101" s="373">
        <v>235.26</v>
      </c>
      <c r="CI101" s="373">
        <v>235.26</v>
      </c>
      <c r="CJ101" s="373">
        <v>493.43</v>
      </c>
      <c r="CK101" s="373">
        <v>493.43</v>
      </c>
      <c r="CL101" s="373">
        <v>493.43</v>
      </c>
      <c r="CM101" s="373">
        <v>493.43</v>
      </c>
      <c r="CN101" s="373">
        <v>493.43</v>
      </c>
      <c r="CO101" s="373">
        <v>493.43</v>
      </c>
      <c r="CP101" s="373">
        <v>493.43</v>
      </c>
      <c r="CQ101" s="373">
        <v>494.28</v>
      </c>
      <c r="CR101" s="376"/>
      <c r="CS101" s="375">
        <f t="shared" si="90"/>
        <v>4826.329999999999</v>
      </c>
      <c r="CT101" s="378">
        <f t="shared" si="112"/>
        <v>-962.34666666666817</v>
      </c>
      <c r="CU101" s="165">
        <f t="shared" si="113"/>
        <v>-0.1993951235548892</v>
      </c>
      <c r="CV101" s="320"/>
      <c r="CW101" s="373">
        <v>0</v>
      </c>
      <c r="CX101" s="373">
        <v>0</v>
      </c>
      <c r="CY101" s="373">
        <v>0</v>
      </c>
      <c r="CZ101" s="373">
        <v>0</v>
      </c>
      <c r="DA101" s="373">
        <v>0</v>
      </c>
      <c r="DB101" s="373">
        <v>0</v>
      </c>
      <c r="DC101" s="373">
        <v>0</v>
      </c>
      <c r="DD101" s="373">
        <v>0</v>
      </c>
      <c r="DE101" s="373">
        <v>0</v>
      </c>
      <c r="DF101" s="373">
        <v>0</v>
      </c>
      <c r="DG101" s="373">
        <v>86.13</v>
      </c>
      <c r="DH101" s="373">
        <v>86.13</v>
      </c>
      <c r="DI101" s="375">
        <f t="shared" si="99"/>
        <v>172.26</v>
      </c>
      <c r="DJ101" s="320"/>
      <c r="DK101" s="373"/>
      <c r="DL101" s="373"/>
      <c r="DM101" s="373"/>
      <c r="DN101" s="373"/>
      <c r="DO101" s="373"/>
      <c r="DP101" s="373"/>
      <c r="DQ101" s="373"/>
      <c r="DR101" s="373"/>
      <c r="DS101" s="373"/>
      <c r="DT101" s="373"/>
      <c r="DU101" s="373"/>
      <c r="DV101" s="373"/>
      <c r="DW101" s="375">
        <f t="shared" si="103"/>
        <v>0</v>
      </c>
      <c r="DY101" s="373"/>
      <c r="DZ101" s="373"/>
      <c r="EA101" s="373"/>
      <c r="EB101" s="373"/>
      <c r="EC101" s="373"/>
      <c r="ED101" s="373"/>
      <c r="EE101" s="373"/>
      <c r="EF101" s="373"/>
      <c r="EG101" s="373"/>
      <c r="EH101" s="373"/>
      <c r="EI101" s="373"/>
      <c r="EJ101" s="373"/>
      <c r="EK101" s="375">
        <f t="shared" si="94"/>
        <v>0</v>
      </c>
      <c r="EL101" s="177"/>
      <c r="EM101" s="373"/>
      <c r="EN101" s="373"/>
      <c r="EO101" s="373"/>
      <c r="EP101" s="373"/>
      <c r="EQ101" s="373"/>
      <c r="ER101" s="373"/>
      <c r="ES101" s="373"/>
      <c r="ET101" s="373"/>
      <c r="EU101" s="373"/>
      <c r="EV101" s="373"/>
      <c r="EW101" s="373"/>
      <c r="EX101" s="373"/>
      <c r="EY101" s="375">
        <f t="shared" si="96"/>
        <v>0</v>
      </c>
      <c r="EZ101" s="164"/>
      <c r="FC101" s="185">
        <v>0</v>
      </c>
    </row>
    <row r="102" spans="1:159" ht="18.75" customHeight="1">
      <c r="A102" s="185" t="s">
        <v>617</v>
      </c>
      <c r="B102" s="176">
        <v>61013400</v>
      </c>
      <c r="C102" s="176" t="s">
        <v>326</v>
      </c>
      <c r="D102" s="176" t="s">
        <v>109</v>
      </c>
      <c r="E102" s="324"/>
      <c r="F102" s="320" t="s">
        <v>660</v>
      </c>
      <c r="G102" s="320"/>
      <c r="H102" s="417">
        <v>0</v>
      </c>
      <c r="I102" s="417">
        <v>0</v>
      </c>
      <c r="J102" s="417">
        <v>0</v>
      </c>
      <c r="K102" s="417">
        <v>0</v>
      </c>
      <c r="L102" s="417">
        <v>0</v>
      </c>
      <c r="M102" s="417">
        <v>0</v>
      </c>
      <c r="N102" s="417">
        <v>0</v>
      </c>
      <c r="O102" s="417">
        <v>0</v>
      </c>
      <c r="P102" s="417">
        <v>0</v>
      </c>
      <c r="Q102" s="819">
        <v>0</v>
      </c>
      <c r="R102" s="417">
        <v>0</v>
      </c>
      <c r="S102" s="417">
        <v>0</v>
      </c>
      <c r="T102" s="402"/>
      <c r="U102" s="366">
        <f t="shared" ref="U102:U114" si="115">AJ102-T102</f>
        <v>4199.4500000000007</v>
      </c>
      <c r="V102" s="165">
        <f t="shared" si="107"/>
        <v>1</v>
      </c>
      <c r="W102" s="212"/>
      <c r="X102" s="1518">
        <v>343.43</v>
      </c>
      <c r="Y102" s="1518">
        <v>343.43</v>
      </c>
      <c r="Z102" s="1518">
        <v>343.43</v>
      </c>
      <c r="AA102" s="1518">
        <v>343.43</v>
      </c>
      <c r="AB102" s="1518">
        <v>343.43</v>
      </c>
      <c r="AC102" s="1518">
        <v>343.43</v>
      </c>
      <c r="AD102" s="1518">
        <v>356.34000000000003</v>
      </c>
      <c r="AE102" s="1518">
        <v>356.34000000000003</v>
      </c>
      <c r="AF102" s="1518">
        <v>356.34000000000003</v>
      </c>
      <c r="AG102" s="1519">
        <v>356.34000000000003</v>
      </c>
      <c r="AH102" s="1518">
        <v>356.34000000000003</v>
      </c>
      <c r="AI102" s="1518">
        <v>357.16999999999996</v>
      </c>
      <c r="AJ102" s="375">
        <f t="shared" si="105"/>
        <v>4199.4500000000007</v>
      </c>
      <c r="AK102" s="212"/>
      <c r="AL102" s="417">
        <v>0</v>
      </c>
      <c r="AM102" s="417">
        <v>0</v>
      </c>
      <c r="AN102" s="417">
        <v>0</v>
      </c>
      <c r="AO102" s="417">
        <v>0</v>
      </c>
      <c r="AP102" s="417">
        <v>0</v>
      </c>
      <c r="AQ102" s="417">
        <v>0</v>
      </c>
      <c r="AR102" s="417">
        <v>0</v>
      </c>
      <c r="AS102" s="417">
        <v>0</v>
      </c>
      <c r="AT102" s="417">
        <v>0</v>
      </c>
      <c r="AU102" s="819">
        <v>0</v>
      </c>
      <c r="AV102" s="417">
        <v>0</v>
      </c>
      <c r="AW102" s="417">
        <v>0</v>
      </c>
      <c r="AX102" s="375">
        <f t="shared" si="104"/>
        <v>0</v>
      </c>
      <c r="AY102" s="366">
        <f t="shared" si="108"/>
        <v>0</v>
      </c>
      <c r="AZ102" s="165" t="e">
        <f t="shared" si="109"/>
        <v>#DIV/0!</v>
      </c>
      <c r="BA102" s="212"/>
      <c r="BB102" s="417">
        <v>0</v>
      </c>
      <c r="BC102" s="417">
        <v>0</v>
      </c>
      <c r="BD102" s="417">
        <v>0</v>
      </c>
      <c r="BE102" s="417">
        <v>0</v>
      </c>
      <c r="BF102" s="417">
        <v>0</v>
      </c>
      <c r="BG102" s="417">
        <v>0</v>
      </c>
      <c r="BH102" s="417">
        <v>0</v>
      </c>
      <c r="BI102" s="417">
        <v>0</v>
      </c>
      <c r="BJ102" s="417">
        <v>0</v>
      </c>
      <c r="BK102" s="819">
        <v>0</v>
      </c>
      <c r="BL102" s="417">
        <v>0</v>
      </c>
      <c r="BM102" s="417">
        <v>0</v>
      </c>
      <c r="BN102" s="375">
        <f t="shared" si="98"/>
        <v>0</v>
      </c>
      <c r="BO102" s="212"/>
      <c r="BP102" s="818">
        <v>0</v>
      </c>
      <c r="BQ102" s="818">
        <v>0</v>
      </c>
      <c r="BR102" s="818">
        <v>0</v>
      </c>
      <c r="BS102" s="818">
        <v>0</v>
      </c>
      <c r="BT102" s="818">
        <v>0</v>
      </c>
      <c r="BU102" s="818">
        <v>0</v>
      </c>
      <c r="BV102" s="818">
        <v>0</v>
      </c>
      <c r="BW102" s="818">
        <v>0</v>
      </c>
      <c r="BX102" s="818">
        <v>0</v>
      </c>
      <c r="BY102" s="818">
        <v>0</v>
      </c>
      <c r="BZ102" s="818">
        <v>0</v>
      </c>
      <c r="CA102" s="818">
        <v>2500</v>
      </c>
      <c r="CB102" s="375">
        <f t="shared" si="114"/>
        <v>2500</v>
      </c>
      <c r="CC102" s="366">
        <f t="shared" si="110"/>
        <v>2500</v>
      </c>
      <c r="CD102" s="165">
        <f t="shared" si="111"/>
        <v>1</v>
      </c>
      <c r="CE102" s="367"/>
      <c r="CF102" s="373">
        <v>0</v>
      </c>
      <c r="CG102" s="373">
        <v>0</v>
      </c>
      <c r="CH102" s="373">
        <v>0</v>
      </c>
      <c r="CI102" s="373">
        <v>0</v>
      </c>
      <c r="CJ102" s="373">
        <v>0</v>
      </c>
      <c r="CK102" s="373">
        <v>0</v>
      </c>
      <c r="CL102" s="373">
        <v>0</v>
      </c>
      <c r="CM102" s="373">
        <v>0</v>
      </c>
      <c r="CN102" s="373">
        <v>0</v>
      </c>
      <c r="CO102" s="373">
        <v>0</v>
      </c>
      <c r="CP102" s="373">
        <v>0</v>
      </c>
      <c r="CQ102" s="373">
        <v>0</v>
      </c>
      <c r="CR102" s="376"/>
      <c r="CS102" s="375">
        <f t="shared" si="90"/>
        <v>0</v>
      </c>
      <c r="CT102" s="378">
        <f t="shared" si="112"/>
        <v>0</v>
      </c>
      <c r="CU102" s="165" t="str">
        <f t="shared" si="113"/>
        <v>N/A</v>
      </c>
      <c r="CV102" s="320"/>
      <c r="CW102" s="373">
        <v>0</v>
      </c>
      <c r="CX102" s="373">
        <v>0</v>
      </c>
      <c r="CY102" s="373">
        <v>0</v>
      </c>
      <c r="CZ102" s="373">
        <v>0</v>
      </c>
      <c r="DA102" s="373">
        <v>0</v>
      </c>
      <c r="DB102" s="373">
        <v>0</v>
      </c>
      <c r="DC102" s="373">
        <v>0</v>
      </c>
      <c r="DD102" s="373">
        <v>0</v>
      </c>
      <c r="DE102" s="373">
        <v>0</v>
      </c>
      <c r="DF102" s="373">
        <v>0</v>
      </c>
      <c r="DG102" s="373">
        <v>0</v>
      </c>
      <c r="DH102" s="373">
        <v>0</v>
      </c>
      <c r="DI102" s="375">
        <f t="shared" si="99"/>
        <v>0</v>
      </c>
      <c r="DJ102" s="320"/>
      <c r="DK102" s="373"/>
      <c r="DL102" s="373"/>
      <c r="DM102" s="373"/>
      <c r="DN102" s="373"/>
      <c r="DO102" s="373"/>
      <c r="DP102" s="373"/>
      <c r="DQ102" s="373"/>
      <c r="DR102" s="373"/>
      <c r="DS102" s="373"/>
      <c r="DT102" s="373"/>
      <c r="DU102" s="373"/>
      <c r="DV102" s="373"/>
      <c r="DW102" s="375">
        <f t="shared" si="103"/>
        <v>0</v>
      </c>
      <c r="DY102" s="373"/>
      <c r="DZ102" s="373"/>
      <c r="EA102" s="373"/>
      <c r="EB102" s="373"/>
      <c r="EC102" s="373"/>
      <c r="ED102" s="373"/>
      <c r="EE102" s="373"/>
      <c r="EF102" s="373"/>
      <c r="EG102" s="373"/>
      <c r="EH102" s="373"/>
      <c r="EI102" s="373"/>
      <c r="EJ102" s="373"/>
      <c r="EK102" s="375">
        <f t="shared" si="94"/>
        <v>0</v>
      </c>
      <c r="EL102" s="177"/>
      <c r="EM102" s="373"/>
      <c r="EN102" s="373"/>
      <c r="EO102" s="373"/>
      <c r="EP102" s="373"/>
      <c r="EQ102" s="373"/>
      <c r="ER102" s="373"/>
      <c r="ES102" s="373"/>
      <c r="ET102" s="373"/>
      <c r="EU102" s="373"/>
      <c r="EV102" s="373"/>
      <c r="EW102" s="373"/>
      <c r="EX102" s="373"/>
      <c r="EY102" s="375">
        <f t="shared" si="96"/>
        <v>0</v>
      </c>
      <c r="EZ102" s="164"/>
      <c r="FC102" s="185">
        <v>0</v>
      </c>
    </row>
    <row r="103" spans="1:159" ht="18.75" customHeight="1" outlineLevel="1">
      <c r="A103" s="185" t="s">
        <v>617</v>
      </c>
      <c r="B103" s="176">
        <v>61013500</v>
      </c>
      <c r="C103" s="176" t="s">
        <v>326</v>
      </c>
      <c r="D103" s="176" t="s">
        <v>109</v>
      </c>
      <c r="E103" s="324"/>
      <c r="F103" s="320" t="s">
        <v>661</v>
      </c>
      <c r="G103" s="320"/>
      <c r="H103" s="417">
        <v>0</v>
      </c>
      <c r="I103" s="417">
        <v>0</v>
      </c>
      <c r="J103" s="417">
        <v>0</v>
      </c>
      <c r="K103" s="417">
        <v>0</v>
      </c>
      <c r="L103" s="417">
        <v>0</v>
      </c>
      <c r="M103" s="417">
        <v>0</v>
      </c>
      <c r="N103" s="417">
        <v>0</v>
      </c>
      <c r="O103" s="417">
        <v>0</v>
      </c>
      <c r="P103" s="417">
        <v>0</v>
      </c>
      <c r="Q103" s="819">
        <v>0</v>
      </c>
      <c r="R103" s="417">
        <v>0</v>
      </c>
      <c r="S103" s="417">
        <v>0</v>
      </c>
      <c r="T103" s="402"/>
      <c r="U103" s="366">
        <f t="shared" si="115"/>
        <v>0</v>
      </c>
      <c r="V103" s="165" t="e">
        <f t="shared" si="107"/>
        <v>#DIV/0!</v>
      </c>
      <c r="W103" s="212"/>
      <c r="X103" s="1518">
        <v>0</v>
      </c>
      <c r="Y103" s="1518">
        <v>0</v>
      </c>
      <c r="Z103" s="1518">
        <v>0</v>
      </c>
      <c r="AA103" s="1518">
        <v>0</v>
      </c>
      <c r="AB103" s="1518">
        <v>0</v>
      </c>
      <c r="AC103" s="1518">
        <v>0</v>
      </c>
      <c r="AD103" s="1518">
        <v>0</v>
      </c>
      <c r="AE103" s="1518">
        <v>0</v>
      </c>
      <c r="AF103" s="1518">
        <v>0</v>
      </c>
      <c r="AG103" s="1519">
        <v>0</v>
      </c>
      <c r="AH103" s="1518">
        <v>0</v>
      </c>
      <c r="AI103" s="1518">
        <v>0</v>
      </c>
      <c r="AJ103" s="375">
        <f t="shared" si="105"/>
        <v>0</v>
      </c>
      <c r="AK103" s="212"/>
      <c r="AL103" s="417">
        <v>0</v>
      </c>
      <c r="AM103" s="417">
        <v>0</v>
      </c>
      <c r="AN103" s="417">
        <v>0</v>
      </c>
      <c r="AO103" s="417">
        <v>0</v>
      </c>
      <c r="AP103" s="417">
        <v>0</v>
      </c>
      <c r="AQ103" s="417">
        <v>0</v>
      </c>
      <c r="AR103" s="417">
        <v>0</v>
      </c>
      <c r="AS103" s="417">
        <v>0</v>
      </c>
      <c r="AT103" s="417">
        <v>0</v>
      </c>
      <c r="AU103" s="819">
        <v>0</v>
      </c>
      <c r="AV103" s="417">
        <v>0</v>
      </c>
      <c r="AW103" s="417">
        <v>0</v>
      </c>
      <c r="AX103" s="375">
        <f t="shared" si="104"/>
        <v>0</v>
      </c>
      <c r="AY103" s="366">
        <f t="shared" si="108"/>
        <v>0</v>
      </c>
      <c r="AZ103" s="165" t="e">
        <f t="shared" si="109"/>
        <v>#DIV/0!</v>
      </c>
      <c r="BA103" s="212"/>
      <c r="BB103" s="417">
        <v>0</v>
      </c>
      <c r="BC103" s="417">
        <v>0</v>
      </c>
      <c r="BD103" s="417">
        <v>0</v>
      </c>
      <c r="BE103" s="417">
        <v>0</v>
      </c>
      <c r="BF103" s="417">
        <v>0</v>
      </c>
      <c r="BG103" s="417">
        <v>0</v>
      </c>
      <c r="BH103" s="417">
        <v>0</v>
      </c>
      <c r="BI103" s="417">
        <v>0</v>
      </c>
      <c r="BJ103" s="417">
        <v>0</v>
      </c>
      <c r="BK103" s="819">
        <v>0</v>
      </c>
      <c r="BL103" s="417">
        <v>0</v>
      </c>
      <c r="BM103" s="417">
        <v>0</v>
      </c>
      <c r="BN103" s="375">
        <f t="shared" si="98"/>
        <v>0</v>
      </c>
      <c r="BO103" s="212"/>
      <c r="BP103" s="818">
        <v>0</v>
      </c>
      <c r="BQ103" s="818">
        <v>0</v>
      </c>
      <c r="BR103" s="818">
        <v>0</v>
      </c>
      <c r="BS103" s="818">
        <v>0</v>
      </c>
      <c r="BT103" s="818">
        <v>0</v>
      </c>
      <c r="BU103" s="818">
        <v>0</v>
      </c>
      <c r="BV103" s="818">
        <v>0</v>
      </c>
      <c r="BW103" s="818">
        <v>0</v>
      </c>
      <c r="BX103" s="818">
        <v>0</v>
      </c>
      <c r="BY103" s="818">
        <v>0</v>
      </c>
      <c r="BZ103" s="818">
        <v>0</v>
      </c>
      <c r="CA103" s="818">
        <v>0</v>
      </c>
      <c r="CB103" s="375">
        <f t="shared" si="114"/>
        <v>0</v>
      </c>
      <c r="CC103" s="366">
        <f t="shared" si="110"/>
        <v>0</v>
      </c>
      <c r="CD103" s="165" t="str">
        <f t="shared" si="111"/>
        <v>N/A</v>
      </c>
      <c r="CE103" s="367"/>
      <c r="CF103" s="373">
        <v>0</v>
      </c>
      <c r="CG103" s="373">
        <v>0</v>
      </c>
      <c r="CH103" s="373">
        <v>0</v>
      </c>
      <c r="CI103" s="373">
        <v>0</v>
      </c>
      <c r="CJ103" s="373">
        <v>0</v>
      </c>
      <c r="CK103" s="373">
        <v>0</v>
      </c>
      <c r="CL103" s="373">
        <v>0</v>
      </c>
      <c r="CM103" s="373">
        <v>0</v>
      </c>
      <c r="CN103" s="373">
        <v>0</v>
      </c>
      <c r="CO103" s="373">
        <v>0</v>
      </c>
      <c r="CP103" s="373">
        <v>0</v>
      </c>
      <c r="CQ103" s="373">
        <v>0</v>
      </c>
      <c r="CR103" s="376"/>
      <c r="CS103" s="375">
        <f t="shared" si="90"/>
        <v>0</v>
      </c>
      <c r="CT103" s="378">
        <f t="shared" si="112"/>
        <v>0</v>
      </c>
      <c r="CU103" s="165" t="str">
        <f t="shared" si="113"/>
        <v>N/A</v>
      </c>
      <c r="CV103" s="320"/>
      <c r="CW103" s="373">
        <v>0</v>
      </c>
      <c r="CX103" s="373">
        <v>0</v>
      </c>
      <c r="CY103" s="373">
        <v>0</v>
      </c>
      <c r="CZ103" s="373">
        <v>0</v>
      </c>
      <c r="DA103" s="373">
        <v>0</v>
      </c>
      <c r="DB103" s="373">
        <v>0</v>
      </c>
      <c r="DC103" s="373">
        <v>0</v>
      </c>
      <c r="DD103" s="373">
        <v>0</v>
      </c>
      <c r="DE103" s="373">
        <v>0</v>
      </c>
      <c r="DF103" s="373">
        <v>0</v>
      </c>
      <c r="DG103" s="373">
        <v>0</v>
      </c>
      <c r="DH103" s="373">
        <v>0</v>
      </c>
      <c r="DI103" s="375">
        <f t="shared" si="99"/>
        <v>0</v>
      </c>
      <c r="DJ103" s="320"/>
      <c r="DK103" s="373"/>
      <c r="DL103" s="373"/>
      <c r="DM103" s="373"/>
      <c r="DN103" s="373"/>
      <c r="DO103" s="373"/>
      <c r="DP103" s="373"/>
      <c r="DQ103" s="373"/>
      <c r="DR103" s="373"/>
      <c r="DS103" s="373"/>
      <c r="DT103" s="373"/>
      <c r="DU103" s="373"/>
      <c r="DV103" s="373"/>
      <c r="DW103" s="375">
        <f t="shared" si="103"/>
        <v>0</v>
      </c>
      <c r="DY103" s="373"/>
      <c r="DZ103" s="373"/>
      <c r="EA103" s="373"/>
      <c r="EB103" s="373"/>
      <c r="EC103" s="373"/>
      <c r="ED103" s="373"/>
      <c r="EE103" s="373"/>
      <c r="EF103" s="373"/>
      <c r="EG103" s="373"/>
      <c r="EH103" s="373"/>
      <c r="EI103" s="373"/>
      <c r="EJ103" s="373"/>
      <c r="EK103" s="375">
        <f t="shared" si="94"/>
        <v>0</v>
      </c>
      <c r="EL103" s="177"/>
      <c r="EM103" s="373"/>
      <c r="EN103" s="373"/>
      <c r="EO103" s="373"/>
      <c r="EP103" s="373"/>
      <c r="EQ103" s="373"/>
      <c r="ER103" s="373"/>
      <c r="ES103" s="373"/>
      <c r="ET103" s="373"/>
      <c r="EU103" s="373"/>
      <c r="EV103" s="373"/>
      <c r="EW103" s="373"/>
      <c r="EX103" s="373"/>
      <c r="EY103" s="375">
        <f t="shared" si="96"/>
        <v>0</v>
      </c>
      <c r="EZ103" s="164"/>
      <c r="FC103" s="185">
        <v>0</v>
      </c>
    </row>
    <row r="104" spans="1:159" ht="18.75" customHeight="1" outlineLevel="1">
      <c r="A104" s="185" t="s">
        <v>617</v>
      </c>
      <c r="B104" s="176">
        <v>61024000</v>
      </c>
      <c r="C104" s="176" t="s">
        <v>326</v>
      </c>
      <c r="D104" s="176" t="s">
        <v>109</v>
      </c>
      <c r="E104" s="324"/>
      <c r="F104" s="320" t="s">
        <v>662</v>
      </c>
      <c r="G104" s="320"/>
      <c r="H104" s="417">
        <v>0</v>
      </c>
      <c r="I104" s="417">
        <v>0</v>
      </c>
      <c r="J104" s="417">
        <v>0</v>
      </c>
      <c r="K104" s="417">
        <v>0</v>
      </c>
      <c r="L104" s="417">
        <v>0</v>
      </c>
      <c r="M104" s="417">
        <v>0</v>
      </c>
      <c r="N104" s="417">
        <v>0</v>
      </c>
      <c r="O104" s="417">
        <v>0</v>
      </c>
      <c r="P104" s="417">
        <v>0</v>
      </c>
      <c r="Q104" s="819">
        <v>0</v>
      </c>
      <c r="R104" s="417">
        <v>0</v>
      </c>
      <c r="S104" s="417">
        <v>0</v>
      </c>
      <c r="T104" s="402"/>
      <c r="U104" s="366">
        <f t="shared" si="115"/>
        <v>0</v>
      </c>
      <c r="V104" s="165" t="e">
        <f t="shared" si="107"/>
        <v>#DIV/0!</v>
      </c>
      <c r="W104" s="212"/>
      <c r="X104" s="1518">
        <v>0</v>
      </c>
      <c r="Y104" s="1518">
        <v>0</v>
      </c>
      <c r="Z104" s="1518">
        <v>0</v>
      </c>
      <c r="AA104" s="1518">
        <v>0</v>
      </c>
      <c r="AB104" s="1518">
        <v>0</v>
      </c>
      <c r="AC104" s="1518">
        <v>0</v>
      </c>
      <c r="AD104" s="1518">
        <v>0</v>
      </c>
      <c r="AE104" s="1518">
        <v>0</v>
      </c>
      <c r="AF104" s="1518">
        <v>0</v>
      </c>
      <c r="AG104" s="1519">
        <v>0</v>
      </c>
      <c r="AH104" s="1518">
        <v>0</v>
      </c>
      <c r="AI104" s="1518">
        <v>0</v>
      </c>
      <c r="AJ104" s="375">
        <f t="shared" si="105"/>
        <v>0</v>
      </c>
      <c r="AK104" s="212"/>
      <c r="AL104" s="417">
        <v>0</v>
      </c>
      <c r="AM104" s="417">
        <v>0</v>
      </c>
      <c r="AN104" s="417">
        <v>0</v>
      </c>
      <c r="AO104" s="417">
        <v>0</v>
      </c>
      <c r="AP104" s="417">
        <v>0</v>
      </c>
      <c r="AQ104" s="417">
        <v>0</v>
      </c>
      <c r="AR104" s="417">
        <v>0</v>
      </c>
      <c r="AS104" s="417">
        <v>0</v>
      </c>
      <c r="AT104" s="417">
        <v>0</v>
      </c>
      <c r="AU104" s="819">
        <v>0</v>
      </c>
      <c r="AV104" s="417">
        <v>0</v>
      </c>
      <c r="AW104" s="417">
        <v>0</v>
      </c>
      <c r="AX104" s="375">
        <f t="shared" si="104"/>
        <v>0</v>
      </c>
      <c r="AY104" s="366">
        <f t="shared" si="108"/>
        <v>0</v>
      </c>
      <c r="AZ104" s="165" t="e">
        <f t="shared" si="109"/>
        <v>#DIV/0!</v>
      </c>
      <c r="BA104" s="212"/>
      <c r="BB104" s="417">
        <v>0</v>
      </c>
      <c r="BC104" s="417">
        <v>0</v>
      </c>
      <c r="BD104" s="417">
        <v>0</v>
      </c>
      <c r="BE104" s="417">
        <v>0</v>
      </c>
      <c r="BF104" s="417">
        <v>0</v>
      </c>
      <c r="BG104" s="417">
        <v>0</v>
      </c>
      <c r="BH104" s="417">
        <v>0</v>
      </c>
      <c r="BI104" s="417">
        <v>0</v>
      </c>
      <c r="BJ104" s="417">
        <v>0</v>
      </c>
      <c r="BK104" s="819">
        <v>0</v>
      </c>
      <c r="BL104" s="417">
        <v>0</v>
      </c>
      <c r="BM104" s="417">
        <v>0</v>
      </c>
      <c r="BN104" s="375">
        <f t="shared" si="98"/>
        <v>0</v>
      </c>
      <c r="BO104" s="212"/>
      <c r="BP104" s="818">
        <v>0</v>
      </c>
      <c r="BQ104" s="818">
        <v>0</v>
      </c>
      <c r="BR104" s="818">
        <v>0</v>
      </c>
      <c r="BS104" s="818">
        <v>0</v>
      </c>
      <c r="BT104" s="818">
        <v>0</v>
      </c>
      <c r="BU104" s="818">
        <v>0</v>
      </c>
      <c r="BV104" s="818">
        <v>0</v>
      </c>
      <c r="BW104" s="818">
        <v>0</v>
      </c>
      <c r="BX104" s="818">
        <v>0</v>
      </c>
      <c r="BY104" s="818">
        <v>0</v>
      </c>
      <c r="BZ104" s="818">
        <v>0</v>
      </c>
      <c r="CA104" s="818">
        <v>0</v>
      </c>
      <c r="CB104" s="375">
        <f t="shared" si="114"/>
        <v>0</v>
      </c>
      <c r="CC104" s="366">
        <f t="shared" si="110"/>
        <v>0</v>
      </c>
      <c r="CD104" s="165" t="str">
        <f t="shared" si="111"/>
        <v>N/A</v>
      </c>
      <c r="CE104" s="367"/>
      <c r="CF104" s="373">
        <v>0</v>
      </c>
      <c r="CG104" s="373">
        <v>0</v>
      </c>
      <c r="CH104" s="373">
        <v>0</v>
      </c>
      <c r="CI104" s="373">
        <v>0</v>
      </c>
      <c r="CJ104" s="373">
        <v>0</v>
      </c>
      <c r="CK104" s="373">
        <v>0</v>
      </c>
      <c r="CL104" s="373">
        <v>0</v>
      </c>
      <c r="CM104" s="373">
        <v>0</v>
      </c>
      <c r="CN104" s="373">
        <v>0</v>
      </c>
      <c r="CO104" s="373">
        <v>0</v>
      </c>
      <c r="CP104" s="373">
        <v>0</v>
      </c>
      <c r="CQ104" s="373">
        <v>0</v>
      </c>
      <c r="CR104" s="376"/>
      <c r="CS104" s="375">
        <f t="shared" si="90"/>
        <v>0</v>
      </c>
      <c r="CT104" s="378">
        <f t="shared" si="112"/>
        <v>0</v>
      </c>
      <c r="CU104" s="165" t="str">
        <f t="shared" si="113"/>
        <v>N/A</v>
      </c>
      <c r="CV104" s="320"/>
      <c r="CW104" s="373">
        <v>0</v>
      </c>
      <c r="CX104" s="373">
        <v>0</v>
      </c>
      <c r="CY104" s="373">
        <v>0</v>
      </c>
      <c r="CZ104" s="373">
        <v>0</v>
      </c>
      <c r="DA104" s="373">
        <v>0</v>
      </c>
      <c r="DB104" s="373">
        <v>0</v>
      </c>
      <c r="DC104" s="373">
        <v>0</v>
      </c>
      <c r="DD104" s="373">
        <v>0</v>
      </c>
      <c r="DE104" s="373">
        <v>0</v>
      </c>
      <c r="DF104" s="373">
        <v>0</v>
      </c>
      <c r="DG104" s="373">
        <v>0</v>
      </c>
      <c r="DH104" s="373">
        <v>0</v>
      </c>
      <c r="DI104" s="375">
        <f t="shared" si="99"/>
        <v>0</v>
      </c>
      <c r="DJ104" s="320"/>
      <c r="DK104" s="373"/>
      <c r="DL104" s="373"/>
      <c r="DM104" s="373"/>
      <c r="DN104" s="373"/>
      <c r="DO104" s="373"/>
      <c r="DP104" s="373"/>
      <c r="DQ104" s="373"/>
      <c r="DR104" s="373"/>
      <c r="DS104" s="373"/>
      <c r="DT104" s="373"/>
      <c r="DU104" s="373"/>
      <c r="DV104" s="373"/>
      <c r="DW104" s="375">
        <f t="shared" si="103"/>
        <v>0</v>
      </c>
      <c r="DY104" s="373"/>
      <c r="DZ104" s="373"/>
      <c r="EA104" s="373"/>
      <c r="EB104" s="373"/>
      <c r="EC104" s="373"/>
      <c r="ED104" s="373"/>
      <c r="EE104" s="373"/>
      <c r="EF104" s="373"/>
      <c r="EG104" s="373"/>
      <c r="EH104" s="373"/>
      <c r="EI104" s="373"/>
      <c r="EJ104" s="373"/>
      <c r="EK104" s="375">
        <f t="shared" si="94"/>
        <v>0</v>
      </c>
      <c r="EL104" s="177"/>
      <c r="EM104" s="373"/>
      <c r="EN104" s="373"/>
      <c r="EO104" s="373"/>
      <c r="EP104" s="373"/>
      <c r="EQ104" s="373"/>
      <c r="ER104" s="373"/>
      <c r="ES104" s="373"/>
      <c r="ET104" s="373"/>
      <c r="EU104" s="373"/>
      <c r="EV104" s="373"/>
      <c r="EW104" s="373"/>
      <c r="EX104" s="373"/>
      <c r="EY104" s="375">
        <f t="shared" si="96"/>
        <v>0</v>
      </c>
      <c r="EZ104" s="164"/>
      <c r="FC104" s="185">
        <v>0</v>
      </c>
    </row>
    <row r="105" spans="1:159" ht="18.75" customHeight="1" outlineLevel="1">
      <c r="A105" s="185" t="s">
        <v>617</v>
      </c>
      <c r="B105" s="176">
        <v>61032000</v>
      </c>
      <c r="C105" s="176" t="s">
        <v>326</v>
      </c>
      <c r="D105" s="176" t="s">
        <v>109</v>
      </c>
      <c r="E105" s="324"/>
      <c r="F105" s="320" t="s">
        <v>663</v>
      </c>
      <c r="G105" s="320"/>
      <c r="H105" s="417">
        <v>0</v>
      </c>
      <c r="I105" s="417">
        <v>0</v>
      </c>
      <c r="J105" s="417">
        <v>0</v>
      </c>
      <c r="K105" s="417">
        <v>0</v>
      </c>
      <c r="L105" s="417">
        <v>0</v>
      </c>
      <c r="M105" s="417">
        <v>0</v>
      </c>
      <c r="N105" s="417">
        <v>0</v>
      </c>
      <c r="O105" s="417">
        <v>0</v>
      </c>
      <c r="P105" s="417">
        <v>0</v>
      </c>
      <c r="Q105" s="819">
        <v>0</v>
      </c>
      <c r="R105" s="417">
        <v>0</v>
      </c>
      <c r="S105" s="417">
        <v>0</v>
      </c>
      <c r="T105" s="402"/>
      <c r="U105" s="366">
        <f t="shared" si="115"/>
        <v>0</v>
      </c>
      <c r="V105" s="165" t="e">
        <f t="shared" si="107"/>
        <v>#DIV/0!</v>
      </c>
      <c r="W105" s="212"/>
      <c r="X105" s="1518">
        <v>0</v>
      </c>
      <c r="Y105" s="1518">
        <v>0</v>
      </c>
      <c r="Z105" s="1518">
        <v>0</v>
      </c>
      <c r="AA105" s="1518">
        <v>0</v>
      </c>
      <c r="AB105" s="1518">
        <v>0</v>
      </c>
      <c r="AC105" s="1518">
        <v>0</v>
      </c>
      <c r="AD105" s="1518">
        <v>0</v>
      </c>
      <c r="AE105" s="1518">
        <v>0</v>
      </c>
      <c r="AF105" s="1518">
        <v>0</v>
      </c>
      <c r="AG105" s="1519">
        <v>0</v>
      </c>
      <c r="AH105" s="1518">
        <v>0</v>
      </c>
      <c r="AI105" s="1518">
        <v>0</v>
      </c>
      <c r="AJ105" s="375">
        <f t="shared" si="105"/>
        <v>0</v>
      </c>
      <c r="AK105" s="212"/>
      <c r="AL105" s="417">
        <v>0</v>
      </c>
      <c r="AM105" s="417">
        <v>0</v>
      </c>
      <c r="AN105" s="417">
        <v>0</v>
      </c>
      <c r="AO105" s="417">
        <v>0</v>
      </c>
      <c r="AP105" s="417">
        <v>0</v>
      </c>
      <c r="AQ105" s="417">
        <v>0</v>
      </c>
      <c r="AR105" s="417">
        <v>0</v>
      </c>
      <c r="AS105" s="417">
        <v>0</v>
      </c>
      <c r="AT105" s="417">
        <v>0</v>
      </c>
      <c r="AU105" s="819">
        <v>0</v>
      </c>
      <c r="AV105" s="417">
        <v>0</v>
      </c>
      <c r="AW105" s="417">
        <v>0</v>
      </c>
      <c r="AX105" s="375">
        <f t="shared" si="104"/>
        <v>0</v>
      </c>
      <c r="AY105" s="366">
        <f t="shared" si="108"/>
        <v>0</v>
      </c>
      <c r="AZ105" s="165" t="e">
        <f t="shared" si="109"/>
        <v>#DIV/0!</v>
      </c>
      <c r="BA105" s="212"/>
      <c r="BB105" s="417">
        <v>0</v>
      </c>
      <c r="BC105" s="417">
        <v>0</v>
      </c>
      <c r="BD105" s="417">
        <v>0</v>
      </c>
      <c r="BE105" s="417">
        <v>0</v>
      </c>
      <c r="BF105" s="417">
        <v>0</v>
      </c>
      <c r="BG105" s="417">
        <v>0</v>
      </c>
      <c r="BH105" s="417">
        <v>0</v>
      </c>
      <c r="BI105" s="417">
        <v>0</v>
      </c>
      <c r="BJ105" s="417">
        <v>0</v>
      </c>
      <c r="BK105" s="819">
        <v>0</v>
      </c>
      <c r="BL105" s="417">
        <v>0</v>
      </c>
      <c r="BM105" s="417">
        <v>0</v>
      </c>
      <c r="BN105" s="375">
        <f t="shared" si="98"/>
        <v>0</v>
      </c>
      <c r="BO105" s="212"/>
      <c r="BP105" s="818">
        <v>0</v>
      </c>
      <c r="BQ105" s="818">
        <v>0</v>
      </c>
      <c r="BR105" s="818">
        <v>0</v>
      </c>
      <c r="BS105" s="818">
        <v>0</v>
      </c>
      <c r="BT105" s="818">
        <v>0</v>
      </c>
      <c r="BU105" s="818">
        <v>0</v>
      </c>
      <c r="BV105" s="818">
        <v>0</v>
      </c>
      <c r="BW105" s="818">
        <v>0</v>
      </c>
      <c r="BX105" s="818">
        <v>0</v>
      </c>
      <c r="BY105" s="818">
        <v>0</v>
      </c>
      <c r="BZ105" s="818">
        <v>0</v>
      </c>
      <c r="CA105" s="818">
        <v>0</v>
      </c>
      <c r="CB105" s="375">
        <f t="shared" si="114"/>
        <v>0</v>
      </c>
      <c r="CC105" s="366">
        <f t="shared" si="110"/>
        <v>0</v>
      </c>
      <c r="CD105" s="165" t="str">
        <f t="shared" si="111"/>
        <v>N/A</v>
      </c>
      <c r="CE105" s="367"/>
      <c r="CF105" s="373">
        <v>0</v>
      </c>
      <c r="CG105" s="373">
        <v>0</v>
      </c>
      <c r="CH105" s="373">
        <v>0</v>
      </c>
      <c r="CI105" s="373">
        <v>0</v>
      </c>
      <c r="CJ105" s="373">
        <v>0</v>
      </c>
      <c r="CK105" s="373">
        <v>0</v>
      </c>
      <c r="CL105" s="373">
        <v>0</v>
      </c>
      <c r="CM105" s="373">
        <v>0</v>
      </c>
      <c r="CN105" s="373">
        <v>0</v>
      </c>
      <c r="CO105" s="373">
        <v>0</v>
      </c>
      <c r="CP105" s="373">
        <v>0</v>
      </c>
      <c r="CQ105" s="373">
        <v>0</v>
      </c>
      <c r="CR105" s="376"/>
      <c r="CS105" s="375">
        <f t="shared" si="90"/>
        <v>0</v>
      </c>
      <c r="CT105" s="378">
        <f t="shared" si="112"/>
        <v>0</v>
      </c>
      <c r="CU105" s="165" t="str">
        <f t="shared" si="113"/>
        <v>N/A</v>
      </c>
      <c r="CV105" s="320"/>
      <c r="CW105" s="373">
        <v>0</v>
      </c>
      <c r="CX105" s="373">
        <v>0</v>
      </c>
      <c r="CY105" s="373">
        <v>0</v>
      </c>
      <c r="CZ105" s="373">
        <v>0</v>
      </c>
      <c r="DA105" s="373">
        <v>0</v>
      </c>
      <c r="DB105" s="373">
        <v>0</v>
      </c>
      <c r="DC105" s="373">
        <v>0</v>
      </c>
      <c r="DD105" s="373">
        <v>0</v>
      </c>
      <c r="DE105" s="373">
        <v>0</v>
      </c>
      <c r="DF105" s="373">
        <v>0</v>
      </c>
      <c r="DG105" s="373">
        <v>0</v>
      </c>
      <c r="DH105" s="373">
        <v>0</v>
      </c>
      <c r="DI105" s="375">
        <f t="shared" si="99"/>
        <v>0</v>
      </c>
      <c r="DJ105" s="320"/>
      <c r="DK105" s="373"/>
      <c r="DL105" s="373"/>
      <c r="DM105" s="373"/>
      <c r="DN105" s="373"/>
      <c r="DO105" s="373"/>
      <c r="DP105" s="373"/>
      <c r="DQ105" s="373"/>
      <c r="DR105" s="373"/>
      <c r="DS105" s="373"/>
      <c r="DT105" s="373"/>
      <c r="DU105" s="373"/>
      <c r="DV105" s="373"/>
      <c r="DW105" s="375">
        <f t="shared" si="103"/>
        <v>0</v>
      </c>
      <c r="DY105" s="373"/>
      <c r="DZ105" s="373"/>
      <c r="EA105" s="373"/>
      <c r="EB105" s="373"/>
      <c r="EC105" s="373"/>
      <c r="ED105" s="373"/>
      <c r="EE105" s="373"/>
      <c r="EF105" s="373"/>
      <c r="EG105" s="373"/>
      <c r="EH105" s="373"/>
      <c r="EI105" s="373"/>
      <c r="EJ105" s="373"/>
      <c r="EK105" s="375">
        <f t="shared" si="94"/>
        <v>0</v>
      </c>
      <c r="EL105" s="177"/>
      <c r="EM105" s="373"/>
      <c r="EN105" s="373"/>
      <c r="EO105" s="373"/>
      <c r="EP105" s="373"/>
      <c r="EQ105" s="373"/>
      <c r="ER105" s="373"/>
      <c r="ES105" s="373"/>
      <c r="ET105" s="373"/>
      <c r="EU105" s="373"/>
      <c r="EV105" s="373"/>
      <c r="EW105" s="373"/>
      <c r="EX105" s="373"/>
      <c r="EY105" s="375">
        <f t="shared" si="96"/>
        <v>0</v>
      </c>
      <c r="EZ105" s="164"/>
      <c r="FC105" s="185">
        <v>0</v>
      </c>
    </row>
    <row r="106" spans="1:159" ht="18.75" customHeight="1" outlineLevel="1">
      <c r="A106" s="185" t="s">
        <v>617</v>
      </c>
      <c r="B106" s="176">
        <v>61033100</v>
      </c>
      <c r="C106" s="176" t="s">
        <v>326</v>
      </c>
      <c r="D106" s="176" t="s">
        <v>109</v>
      </c>
      <c r="E106" s="324"/>
      <c r="F106" s="320" t="s">
        <v>664</v>
      </c>
      <c r="G106" s="320"/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0</v>
      </c>
      <c r="O106" s="417">
        <v>0</v>
      </c>
      <c r="P106" s="417">
        <v>0</v>
      </c>
      <c r="Q106" s="819">
        <v>0</v>
      </c>
      <c r="R106" s="417">
        <v>0</v>
      </c>
      <c r="S106" s="417">
        <v>0</v>
      </c>
      <c r="T106" s="402"/>
      <c r="U106" s="366">
        <f t="shared" si="115"/>
        <v>0</v>
      </c>
      <c r="V106" s="165" t="e">
        <f t="shared" si="107"/>
        <v>#DIV/0!</v>
      </c>
      <c r="W106" s="212"/>
      <c r="X106" s="1518">
        <v>0</v>
      </c>
      <c r="Y106" s="1518">
        <v>0</v>
      </c>
      <c r="Z106" s="1518">
        <v>0</v>
      </c>
      <c r="AA106" s="1518">
        <v>0</v>
      </c>
      <c r="AB106" s="1518">
        <v>0</v>
      </c>
      <c r="AC106" s="1518">
        <v>0</v>
      </c>
      <c r="AD106" s="1518">
        <v>0</v>
      </c>
      <c r="AE106" s="1518">
        <v>0</v>
      </c>
      <c r="AF106" s="1518">
        <v>0</v>
      </c>
      <c r="AG106" s="1519">
        <v>0</v>
      </c>
      <c r="AH106" s="1518">
        <v>0</v>
      </c>
      <c r="AI106" s="1518">
        <v>0</v>
      </c>
      <c r="AJ106" s="375">
        <f t="shared" si="105"/>
        <v>0</v>
      </c>
      <c r="AK106" s="212"/>
      <c r="AL106" s="417">
        <v>0</v>
      </c>
      <c r="AM106" s="417">
        <v>0</v>
      </c>
      <c r="AN106" s="417">
        <v>0</v>
      </c>
      <c r="AO106" s="417">
        <v>0</v>
      </c>
      <c r="AP106" s="417">
        <v>0</v>
      </c>
      <c r="AQ106" s="417">
        <v>0</v>
      </c>
      <c r="AR106" s="417">
        <v>0</v>
      </c>
      <c r="AS106" s="417">
        <v>0</v>
      </c>
      <c r="AT106" s="417">
        <v>0</v>
      </c>
      <c r="AU106" s="819">
        <v>0</v>
      </c>
      <c r="AV106" s="417">
        <v>0</v>
      </c>
      <c r="AW106" s="417">
        <v>0</v>
      </c>
      <c r="AX106" s="375">
        <f t="shared" si="104"/>
        <v>0</v>
      </c>
      <c r="AY106" s="366">
        <f t="shared" si="108"/>
        <v>0</v>
      </c>
      <c r="AZ106" s="165" t="e">
        <f t="shared" si="109"/>
        <v>#DIV/0!</v>
      </c>
      <c r="BA106" s="212"/>
      <c r="BB106" s="417">
        <v>0</v>
      </c>
      <c r="BC106" s="417">
        <v>0</v>
      </c>
      <c r="BD106" s="417">
        <v>0</v>
      </c>
      <c r="BE106" s="417">
        <v>0</v>
      </c>
      <c r="BF106" s="417">
        <v>0</v>
      </c>
      <c r="BG106" s="417">
        <v>0</v>
      </c>
      <c r="BH106" s="417">
        <v>0</v>
      </c>
      <c r="BI106" s="417">
        <v>0</v>
      </c>
      <c r="BJ106" s="417">
        <v>0</v>
      </c>
      <c r="BK106" s="819">
        <v>0</v>
      </c>
      <c r="BL106" s="417">
        <v>0</v>
      </c>
      <c r="BM106" s="417">
        <v>0</v>
      </c>
      <c r="BN106" s="375">
        <f t="shared" si="98"/>
        <v>0</v>
      </c>
      <c r="BO106" s="212"/>
      <c r="BP106" s="818">
        <v>0</v>
      </c>
      <c r="BQ106" s="818">
        <v>0</v>
      </c>
      <c r="BR106" s="818">
        <v>0</v>
      </c>
      <c r="BS106" s="818">
        <v>0</v>
      </c>
      <c r="BT106" s="818">
        <v>0</v>
      </c>
      <c r="BU106" s="818">
        <v>0</v>
      </c>
      <c r="BV106" s="818">
        <v>0</v>
      </c>
      <c r="BW106" s="818">
        <v>0</v>
      </c>
      <c r="BX106" s="818">
        <v>0</v>
      </c>
      <c r="BY106" s="818">
        <v>0</v>
      </c>
      <c r="BZ106" s="818">
        <v>0</v>
      </c>
      <c r="CA106" s="818">
        <v>0</v>
      </c>
      <c r="CB106" s="375">
        <f t="shared" si="114"/>
        <v>0</v>
      </c>
      <c r="CC106" s="366">
        <f t="shared" si="110"/>
        <v>0</v>
      </c>
      <c r="CD106" s="165" t="str">
        <f t="shared" si="111"/>
        <v>N/A</v>
      </c>
      <c r="CE106" s="367"/>
      <c r="CF106" s="373">
        <v>0</v>
      </c>
      <c r="CG106" s="373">
        <v>0</v>
      </c>
      <c r="CH106" s="373">
        <v>0</v>
      </c>
      <c r="CI106" s="373">
        <v>0</v>
      </c>
      <c r="CJ106" s="373">
        <v>0</v>
      </c>
      <c r="CK106" s="373">
        <v>0</v>
      </c>
      <c r="CL106" s="373">
        <v>0</v>
      </c>
      <c r="CM106" s="373">
        <v>0</v>
      </c>
      <c r="CN106" s="373">
        <v>0</v>
      </c>
      <c r="CO106" s="373">
        <v>0</v>
      </c>
      <c r="CP106" s="373">
        <v>0</v>
      </c>
      <c r="CQ106" s="373">
        <v>0</v>
      </c>
      <c r="CR106" s="376"/>
      <c r="CS106" s="375">
        <f t="shared" si="90"/>
        <v>0</v>
      </c>
      <c r="CT106" s="378">
        <f t="shared" si="112"/>
        <v>0</v>
      </c>
      <c r="CU106" s="165" t="str">
        <f t="shared" si="113"/>
        <v>N/A</v>
      </c>
      <c r="CV106" s="320"/>
      <c r="CW106" s="418">
        <v>0</v>
      </c>
      <c r="CX106" s="418">
        <v>0</v>
      </c>
      <c r="CY106" s="418">
        <v>0</v>
      </c>
      <c r="CZ106" s="418">
        <v>0</v>
      </c>
      <c r="DA106" s="418">
        <v>0</v>
      </c>
      <c r="DB106" s="418">
        <v>0</v>
      </c>
      <c r="DC106" s="418">
        <v>0</v>
      </c>
      <c r="DD106" s="418">
        <v>0</v>
      </c>
      <c r="DE106" s="418">
        <v>0</v>
      </c>
      <c r="DF106" s="418">
        <v>0</v>
      </c>
      <c r="DG106" s="418">
        <v>0</v>
      </c>
      <c r="DH106" s="418">
        <v>0</v>
      </c>
      <c r="DI106" s="375">
        <f t="shared" si="99"/>
        <v>0</v>
      </c>
      <c r="DJ106" s="320"/>
      <c r="DK106" s="418"/>
      <c r="DL106" s="418"/>
      <c r="DM106" s="418"/>
      <c r="DN106" s="418"/>
      <c r="DO106" s="418"/>
      <c r="DP106" s="418"/>
      <c r="DQ106" s="418"/>
      <c r="DR106" s="418"/>
      <c r="DS106" s="418"/>
      <c r="DT106" s="418"/>
      <c r="DU106" s="418"/>
      <c r="DV106" s="418"/>
      <c r="DW106" s="375">
        <f t="shared" si="103"/>
        <v>0</v>
      </c>
      <c r="DY106" s="418"/>
      <c r="DZ106" s="418"/>
      <c r="EA106" s="418"/>
      <c r="EB106" s="418"/>
      <c r="EC106" s="418"/>
      <c r="ED106" s="418"/>
      <c r="EE106" s="418"/>
      <c r="EF106" s="418"/>
      <c r="EG106" s="418"/>
      <c r="EH106" s="418"/>
      <c r="EI106" s="418"/>
      <c r="EJ106" s="418"/>
      <c r="EK106" s="375">
        <f t="shared" si="94"/>
        <v>0</v>
      </c>
      <c r="EL106" s="177"/>
      <c r="EM106" s="418"/>
      <c r="EN106" s="418"/>
      <c r="EO106" s="418"/>
      <c r="EP106" s="418"/>
      <c r="EQ106" s="418"/>
      <c r="ER106" s="418"/>
      <c r="ES106" s="418"/>
      <c r="ET106" s="418"/>
      <c r="EU106" s="418"/>
      <c r="EV106" s="418"/>
      <c r="EW106" s="418"/>
      <c r="EX106" s="418"/>
      <c r="EY106" s="375">
        <f t="shared" si="96"/>
        <v>0</v>
      </c>
      <c r="EZ106" s="164"/>
      <c r="FB106" s="185">
        <v>60505000</v>
      </c>
      <c r="FC106" s="185">
        <v>0</v>
      </c>
    </row>
    <row r="107" spans="1:159" ht="18.75" customHeight="1" outlineLevel="1">
      <c r="A107" s="185" t="s">
        <v>617</v>
      </c>
      <c r="B107" s="176">
        <v>61033200</v>
      </c>
      <c r="C107" s="176" t="s">
        <v>326</v>
      </c>
      <c r="D107" s="176" t="s">
        <v>109</v>
      </c>
      <c r="E107" s="324"/>
      <c r="F107" s="320" t="s">
        <v>665</v>
      </c>
      <c r="G107" s="320"/>
      <c r="H107" s="417">
        <v>0</v>
      </c>
      <c r="I107" s="417">
        <v>0</v>
      </c>
      <c r="J107" s="417">
        <v>0</v>
      </c>
      <c r="K107" s="417">
        <v>0</v>
      </c>
      <c r="L107" s="417">
        <v>0</v>
      </c>
      <c r="M107" s="417">
        <v>0</v>
      </c>
      <c r="N107" s="417">
        <v>0</v>
      </c>
      <c r="O107" s="417">
        <v>0</v>
      </c>
      <c r="P107" s="417">
        <v>0</v>
      </c>
      <c r="Q107" s="819">
        <v>0</v>
      </c>
      <c r="R107" s="417">
        <v>0</v>
      </c>
      <c r="S107" s="417">
        <v>0</v>
      </c>
      <c r="T107" s="402"/>
      <c r="U107" s="366">
        <f t="shared" si="115"/>
        <v>0</v>
      </c>
      <c r="V107" s="165" t="e">
        <f t="shared" si="107"/>
        <v>#DIV/0!</v>
      </c>
      <c r="W107" s="212"/>
      <c r="X107" s="1518">
        <v>0</v>
      </c>
      <c r="Y107" s="1518">
        <v>0</v>
      </c>
      <c r="Z107" s="1518">
        <v>0</v>
      </c>
      <c r="AA107" s="1518">
        <v>0</v>
      </c>
      <c r="AB107" s="1518">
        <v>0</v>
      </c>
      <c r="AC107" s="1518">
        <v>0</v>
      </c>
      <c r="AD107" s="1518">
        <v>0</v>
      </c>
      <c r="AE107" s="1518">
        <v>0</v>
      </c>
      <c r="AF107" s="1518">
        <v>0</v>
      </c>
      <c r="AG107" s="1519">
        <v>0</v>
      </c>
      <c r="AH107" s="1518">
        <v>0</v>
      </c>
      <c r="AI107" s="1518">
        <v>0</v>
      </c>
      <c r="AJ107" s="375">
        <f t="shared" si="105"/>
        <v>0</v>
      </c>
      <c r="AK107" s="212"/>
      <c r="AL107" s="417">
        <v>0</v>
      </c>
      <c r="AM107" s="417">
        <v>0</v>
      </c>
      <c r="AN107" s="417">
        <v>0</v>
      </c>
      <c r="AO107" s="417">
        <v>0</v>
      </c>
      <c r="AP107" s="417">
        <v>0</v>
      </c>
      <c r="AQ107" s="417">
        <v>0</v>
      </c>
      <c r="AR107" s="417">
        <v>0</v>
      </c>
      <c r="AS107" s="417">
        <v>0</v>
      </c>
      <c r="AT107" s="417">
        <v>0</v>
      </c>
      <c r="AU107" s="819">
        <v>0</v>
      </c>
      <c r="AV107" s="417">
        <v>0</v>
      </c>
      <c r="AW107" s="417">
        <v>0</v>
      </c>
      <c r="AX107" s="375">
        <f t="shared" si="104"/>
        <v>0</v>
      </c>
      <c r="AY107" s="366">
        <f t="shared" si="108"/>
        <v>0</v>
      </c>
      <c r="AZ107" s="165" t="e">
        <f t="shared" si="109"/>
        <v>#DIV/0!</v>
      </c>
      <c r="BA107" s="212"/>
      <c r="BB107" s="417">
        <v>0</v>
      </c>
      <c r="BC107" s="417">
        <v>0</v>
      </c>
      <c r="BD107" s="417">
        <v>0</v>
      </c>
      <c r="BE107" s="417">
        <v>0</v>
      </c>
      <c r="BF107" s="417">
        <v>0</v>
      </c>
      <c r="BG107" s="417">
        <v>0</v>
      </c>
      <c r="BH107" s="417">
        <v>0</v>
      </c>
      <c r="BI107" s="417">
        <v>0</v>
      </c>
      <c r="BJ107" s="417">
        <v>0</v>
      </c>
      <c r="BK107" s="819">
        <v>0</v>
      </c>
      <c r="BL107" s="417">
        <v>0</v>
      </c>
      <c r="BM107" s="417">
        <v>0</v>
      </c>
      <c r="BN107" s="375">
        <f t="shared" si="98"/>
        <v>0</v>
      </c>
      <c r="BO107" s="212"/>
      <c r="BP107" s="818">
        <v>0</v>
      </c>
      <c r="BQ107" s="818">
        <v>0</v>
      </c>
      <c r="BR107" s="818">
        <v>0</v>
      </c>
      <c r="BS107" s="818">
        <v>0</v>
      </c>
      <c r="BT107" s="818">
        <v>0</v>
      </c>
      <c r="BU107" s="818">
        <v>0</v>
      </c>
      <c r="BV107" s="818">
        <v>0</v>
      </c>
      <c r="BW107" s="818">
        <v>0</v>
      </c>
      <c r="BX107" s="818">
        <v>0</v>
      </c>
      <c r="BY107" s="818">
        <v>0</v>
      </c>
      <c r="BZ107" s="818">
        <v>0</v>
      </c>
      <c r="CA107" s="818">
        <v>0</v>
      </c>
      <c r="CB107" s="375">
        <f t="shared" si="114"/>
        <v>0</v>
      </c>
      <c r="CC107" s="366">
        <f t="shared" si="110"/>
        <v>0</v>
      </c>
      <c r="CD107" s="165" t="str">
        <f t="shared" si="111"/>
        <v>N/A</v>
      </c>
      <c r="CE107" s="367"/>
      <c r="CF107" s="373">
        <v>0</v>
      </c>
      <c r="CG107" s="373">
        <v>0</v>
      </c>
      <c r="CH107" s="373">
        <v>0</v>
      </c>
      <c r="CI107" s="373">
        <v>0</v>
      </c>
      <c r="CJ107" s="373">
        <v>0</v>
      </c>
      <c r="CK107" s="373">
        <v>0</v>
      </c>
      <c r="CL107" s="373">
        <v>0</v>
      </c>
      <c r="CM107" s="373">
        <v>0</v>
      </c>
      <c r="CN107" s="373">
        <v>0</v>
      </c>
      <c r="CO107" s="373">
        <v>0</v>
      </c>
      <c r="CP107" s="373">
        <v>0</v>
      </c>
      <c r="CQ107" s="373">
        <v>0</v>
      </c>
      <c r="CR107" s="376"/>
      <c r="CS107" s="375">
        <f t="shared" si="90"/>
        <v>0</v>
      </c>
      <c r="CT107" s="378">
        <f t="shared" si="112"/>
        <v>0</v>
      </c>
      <c r="CU107" s="165" t="str">
        <f t="shared" si="113"/>
        <v>N/A</v>
      </c>
      <c r="CV107" s="320"/>
      <c r="CW107" s="373">
        <v>0</v>
      </c>
      <c r="CX107" s="373">
        <v>0</v>
      </c>
      <c r="CY107" s="373">
        <v>0</v>
      </c>
      <c r="CZ107" s="373">
        <v>0</v>
      </c>
      <c r="DA107" s="373">
        <v>0</v>
      </c>
      <c r="DB107" s="373">
        <v>0</v>
      </c>
      <c r="DC107" s="373">
        <v>0</v>
      </c>
      <c r="DD107" s="373">
        <v>0</v>
      </c>
      <c r="DE107" s="373">
        <v>0</v>
      </c>
      <c r="DF107" s="373">
        <v>0</v>
      </c>
      <c r="DG107" s="373">
        <v>0</v>
      </c>
      <c r="DH107" s="373">
        <v>0</v>
      </c>
      <c r="DI107" s="375">
        <f t="shared" si="99"/>
        <v>0</v>
      </c>
      <c r="DJ107" s="320"/>
      <c r="DK107" s="373"/>
      <c r="DL107" s="373"/>
      <c r="DM107" s="373"/>
      <c r="DN107" s="373"/>
      <c r="DO107" s="373"/>
      <c r="DP107" s="373"/>
      <c r="DQ107" s="373"/>
      <c r="DR107" s="373"/>
      <c r="DS107" s="373"/>
      <c r="DT107" s="373"/>
      <c r="DU107" s="373"/>
      <c r="DV107" s="373"/>
      <c r="DW107" s="375">
        <f t="shared" si="103"/>
        <v>0</v>
      </c>
      <c r="DY107" s="373"/>
      <c r="DZ107" s="373"/>
      <c r="EA107" s="373"/>
      <c r="EB107" s="373"/>
      <c r="EC107" s="373"/>
      <c r="ED107" s="373"/>
      <c r="EE107" s="373"/>
      <c r="EF107" s="373"/>
      <c r="EG107" s="373"/>
      <c r="EH107" s="373"/>
      <c r="EI107" s="373"/>
      <c r="EJ107" s="373"/>
      <c r="EK107" s="375">
        <f t="shared" si="94"/>
        <v>0</v>
      </c>
      <c r="EL107" s="177"/>
      <c r="EM107" s="373"/>
      <c r="EN107" s="373"/>
      <c r="EO107" s="373"/>
      <c r="EP107" s="373"/>
      <c r="EQ107" s="373"/>
      <c r="ER107" s="373"/>
      <c r="ES107" s="373"/>
      <c r="ET107" s="373"/>
      <c r="EU107" s="373"/>
      <c r="EV107" s="373"/>
      <c r="EW107" s="373"/>
      <c r="EX107" s="373"/>
      <c r="EY107" s="375">
        <f t="shared" si="96"/>
        <v>0</v>
      </c>
      <c r="EZ107" s="164"/>
      <c r="FB107" s="185">
        <v>60506000</v>
      </c>
      <c r="FC107" s="185">
        <v>0</v>
      </c>
    </row>
    <row r="108" spans="1:159" ht="18.75" customHeight="1" outlineLevel="1">
      <c r="A108" s="185" t="s">
        <v>617</v>
      </c>
      <c r="B108" s="176">
        <v>61033300</v>
      </c>
      <c r="C108" s="176" t="s">
        <v>326</v>
      </c>
      <c r="D108" s="176" t="s">
        <v>109</v>
      </c>
      <c r="E108" s="324"/>
      <c r="F108" s="320" t="s">
        <v>666</v>
      </c>
      <c r="G108" s="320"/>
      <c r="H108" s="417">
        <v>0</v>
      </c>
      <c r="I108" s="417">
        <v>0</v>
      </c>
      <c r="J108" s="417">
        <v>0</v>
      </c>
      <c r="K108" s="417">
        <v>0</v>
      </c>
      <c r="L108" s="417">
        <v>0</v>
      </c>
      <c r="M108" s="417">
        <v>0</v>
      </c>
      <c r="N108" s="417">
        <v>0</v>
      </c>
      <c r="O108" s="417">
        <v>0</v>
      </c>
      <c r="P108" s="417">
        <v>0</v>
      </c>
      <c r="Q108" s="819">
        <v>0</v>
      </c>
      <c r="R108" s="417">
        <v>0</v>
      </c>
      <c r="S108" s="417">
        <v>0</v>
      </c>
      <c r="T108" s="402"/>
      <c r="U108" s="366">
        <f t="shared" si="115"/>
        <v>0</v>
      </c>
      <c r="V108" s="165" t="e">
        <f t="shared" si="107"/>
        <v>#DIV/0!</v>
      </c>
      <c r="W108" s="212"/>
      <c r="X108" s="1518">
        <v>0</v>
      </c>
      <c r="Y108" s="1518">
        <v>0</v>
      </c>
      <c r="Z108" s="1518">
        <v>0</v>
      </c>
      <c r="AA108" s="1518">
        <v>0</v>
      </c>
      <c r="AB108" s="1518">
        <v>0</v>
      </c>
      <c r="AC108" s="1518">
        <v>0</v>
      </c>
      <c r="AD108" s="1518">
        <v>0</v>
      </c>
      <c r="AE108" s="1518">
        <v>0</v>
      </c>
      <c r="AF108" s="1518">
        <v>0</v>
      </c>
      <c r="AG108" s="1519">
        <v>0</v>
      </c>
      <c r="AH108" s="1518">
        <v>0</v>
      </c>
      <c r="AI108" s="1518">
        <v>0</v>
      </c>
      <c r="AJ108" s="375">
        <f t="shared" si="105"/>
        <v>0</v>
      </c>
      <c r="AK108" s="212"/>
      <c r="AL108" s="417">
        <v>0</v>
      </c>
      <c r="AM108" s="417">
        <v>0</v>
      </c>
      <c r="AN108" s="417">
        <v>0</v>
      </c>
      <c r="AO108" s="417">
        <v>0</v>
      </c>
      <c r="AP108" s="417">
        <v>0</v>
      </c>
      <c r="AQ108" s="417">
        <v>0</v>
      </c>
      <c r="AR108" s="417">
        <v>0</v>
      </c>
      <c r="AS108" s="417">
        <v>0</v>
      </c>
      <c r="AT108" s="417">
        <v>0</v>
      </c>
      <c r="AU108" s="819">
        <v>0</v>
      </c>
      <c r="AV108" s="417">
        <v>0</v>
      </c>
      <c r="AW108" s="417">
        <v>0</v>
      </c>
      <c r="AX108" s="375">
        <f t="shared" si="104"/>
        <v>0</v>
      </c>
      <c r="AY108" s="366">
        <f t="shared" si="108"/>
        <v>0</v>
      </c>
      <c r="AZ108" s="165" t="e">
        <f t="shared" si="109"/>
        <v>#DIV/0!</v>
      </c>
      <c r="BA108" s="212"/>
      <c r="BB108" s="417">
        <v>0</v>
      </c>
      <c r="BC108" s="417">
        <v>0</v>
      </c>
      <c r="BD108" s="417">
        <v>0</v>
      </c>
      <c r="BE108" s="417">
        <v>0</v>
      </c>
      <c r="BF108" s="417">
        <v>0</v>
      </c>
      <c r="BG108" s="417">
        <v>0</v>
      </c>
      <c r="BH108" s="417">
        <v>0</v>
      </c>
      <c r="BI108" s="417">
        <v>0</v>
      </c>
      <c r="BJ108" s="417">
        <v>0</v>
      </c>
      <c r="BK108" s="819">
        <v>0</v>
      </c>
      <c r="BL108" s="417">
        <v>0</v>
      </c>
      <c r="BM108" s="417">
        <v>0</v>
      </c>
      <c r="BN108" s="375">
        <f t="shared" si="98"/>
        <v>0</v>
      </c>
      <c r="BO108" s="212"/>
      <c r="BP108" s="818">
        <v>0</v>
      </c>
      <c r="BQ108" s="818">
        <v>0</v>
      </c>
      <c r="BR108" s="818">
        <v>0</v>
      </c>
      <c r="BS108" s="818">
        <v>0</v>
      </c>
      <c r="BT108" s="818">
        <v>0</v>
      </c>
      <c r="BU108" s="818">
        <v>0</v>
      </c>
      <c r="BV108" s="818">
        <v>0</v>
      </c>
      <c r="BW108" s="818">
        <v>0</v>
      </c>
      <c r="BX108" s="818">
        <v>0</v>
      </c>
      <c r="BY108" s="818">
        <v>0</v>
      </c>
      <c r="BZ108" s="818">
        <v>0</v>
      </c>
      <c r="CA108" s="818">
        <v>0</v>
      </c>
      <c r="CB108" s="375">
        <f t="shared" si="114"/>
        <v>0</v>
      </c>
      <c r="CC108" s="366">
        <f t="shared" si="110"/>
        <v>0</v>
      </c>
      <c r="CD108" s="165" t="str">
        <f t="shared" si="111"/>
        <v>N/A</v>
      </c>
      <c r="CE108" s="367"/>
      <c r="CF108" s="373">
        <v>0</v>
      </c>
      <c r="CG108" s="373">
        <v>0</v>
      </c>
      <c r="CH108" s="373">
        <v>0</v>
      </c>
      <c r="CI108" s="373">
        <v>0</v>
      </c>
      <c r="CJ108" s="373">
        <v>0</v>
      </c>
      <c r="CK108" s="373">
        <v>0</v>
      </c>
      <c r="CL108" s="373">
        <v>0</v>
      </c>
      <c r="CM108" s="373">
        <v>0</v>
      </c>
      <c r="CN108" s="373">
        <v>0</v>
      </c>
      <c r="CO108" s="373">
        <v>0</v>
      </c>
      <c r="CP108" s="373">
        <v>0</v>
      </c>
      <c r="CQ108" s="373">
        <v>0</v>
      </c>
      <c r="CR108" s="376"/>
      <c r="CS108" s="375">
        <f t="shared" si="90"/>
        <v>0</v>
      </c>
      <c r="CT108" s="378">
        <f t="shared" si="112"/>
        <v>0</v>
      </c>
      <c r="CU108" s="165" t="str">
        <f t="shared" si="113"/>
        <v>N/A</v>
      </c>
      <c r="CV108" s="320"/>
      <c r="CW108" s="373">
        <v>0</v>
      </c>
      <c r="CX108" s="373">
        <v>0</v>
      </c>
      <c r="CY108" s="373">
        <v>0</v>
      </c>
      <c r="CZ108" s="373">
        <v>0</v>
      </c>
      <c r="DA108" s="373">
        <v>0</v>
      </c>
      <c r="DB108" s="373">
        <v>0</v>
      </c>
      <c r="DC108" s="373">
        <v>0</v>
      </c>
      <c r="DD108" s="373">
        <v>0</v>
      </c>
      <c r="DE108" s="373">
        <v>0</v>
      </c>
      <c r="DF108" s="373">
        <v>0</v>
      </c>
      <c r="DG108" s="373">
        <v>0</v>
      </c>
      <c r="DH108" s="373">
        <v>0</v>
      </c>
      <c r="DI108" s="375">
        <f t="shared" si="99"/>
        <v>0</v>
      </c>
      <c r="DJ108" s="320"/>
      <c r="DK108" s="373"/>
      <c r="DL108" s="373"/>
      <c r="DM108" s="373"/>
      <c r="DN108" s="373"/>
      <c r="DO108" s="373"/>
      <c r="DP108" s="373"/>
      <c r="DQ108" s="373"/>
      <c r="DR108" s="373"/>
      <c r="DS108" s="373"/>
      <c r="DT108" s="373"/>
      <c r="DU108" s="373"/>
      <c r="DV108" s="373"/>
      <c r="DW108" s="375">
        <f t="shared" si="103"/>
        <v>0</v>
      </c>
      <c r="DY108" s="373"/>
      <c r="DZ108" s="373"/>
      <c r="EA108" s="373"/>
      <c r="EB108" s="373"/>
      <c r="EC108" s="373"/>
      <c r="ED108" s="373"/>
      <c r="EE108" s="373"/>
      <c r="EF108" s="373"/>
      <c r="EG108" s="373"/>
      <c r="EH108" s="373"/>
      <c r="EI108" s="373"/>
      <c r="EJ108" s="373"/>
      <c r="EK108" s="375">
        <f t="shared" si="94"/>
        <v>0</v>
      </c>
      <c r="EL108" s="177"/>
      <c r="EM108" s="373"/>
      <c r="EN108" s="373"/>
      <c r="EO108" s="373"/>
      <c r="EP108" s="373"/>
      <c r="EQ108" s="373"/>
      <c r="ER108" s="373"/>
      <c r="ES108" s="373"/>
      <c r="ET108" s="373"/>
      <c r="EU108" s="373"/>
      <c r="EV108" s="373"/>
      <c r="EW108" s="373"/>
      <c r="EX108" s="373"/>
      <c r="EY108" s="375">
        <f t="shared" si="96"/>
        <v>0</v>
      </c>
      <c r="EZ108" s="164"/>
      <c r="FB108" s="185">
        <v>60114000</v>
      </c>
      <c r="FC108" s="185">
        <v>0</v>
      </c>
    </row>
    <row r="109" spans="1:159" ht="18.75" customHeight="1" outlineLevel="1">
      <c r="A109" s="185" t="s">
        <v>617</v>
      </c>
      <c r="B109" s="176">
        <v>61033400</v>
      </c>
      <c r="C109" s="176" t="s">
        <v>326</v>
      </c>
      <c r="D109" s="176" t="s">
        <v>109</v>
      </c>
      <c r="E109" s="324"/>
      <c r="F109" s="320" t="s">
        <v>667</v>
      </c>
      <c r="G109" s="320"/>
      <c r="H109" s="417">
        <v>0</v>
      </c>
      <c r="I109" s="417">
        <v>0</v>
      </c>
      <c r="J109" s="417">
        <v>0</v>
      </c>
      <c r="K109" s="417">
        <v>0</v>
      </c>
      <c r="L109" s="417">
        <v>0</v>
      </c>
      <c r="M109" s="417">
        <v>0</v>
      </c>
      <c r="N109" s="417">
        <v>0</v>
      </c>
      <c r="O109" s="417">
        <v>0</v>
      </c>
      <c r="P109" s="417">
        <v>0</v>
      </c>
      <c r="Q109" s="819">
        <v>0</v>
      </c>
      <c r="R109" s="417">
        <v>0</v>
      </c>
      <c r="S109" s="417">
        <v>0</v>
      </c>
      <c r="T109" s="402"/>
      <c r="U109" s="366">
        <f t="shared" si="115"/>
        <v>0</v>
      </c>
      <c r="V109" s="165" t="e">
        <f t="shared" si="107"/>
        <v>#DIV/0!</v>
      </c>
      <c r="W109" s="212"/>
      <c r="X109" s="1518">
        <v>0</v>
      </c>
      <c r="Y109" s="1518">
        <v>0</v>
      </c>
      <c r="Z109" s="1518">
        <v>0</v>
      </c>
      <c r="AA109" s="1518">
        <v>0</v>
      </c>
      <c r="AB109" s="1518">
        <v>0</v>
      </c>
      <c r="AC109" s="1518">
        <v>0</v>
      </c>
      <c r="AD109" s="1518">
        <v>0</v>
      </c>
      <c r="AE109" s="1518">
        <v>0</v>
      </c>
      <c r="AF109" s="1518">
        <v>0</v>
      </c>
      <c r="AG109" s="1519">
        <v>0</v>
      </c>
      <c r="AH109" s="1518">
        <v>0</v>
      </c>
      <c r="AI109" s="1518">
        <v>0</v>
      </c>
      <c r="AJ109" s="375">
        <f t="shared" si="105"/>
        <v>0</v>
      </c>
      <c r="AK109" s="212"/>
      <c r="AL109" s="417">
        <v>0</v>
      </c>
      <c r="AM109" s="417">
        <v>0</v>
      </c>
      <c r="AN109" s="417">
        <v>0</v>
      </c>
      <c r="AO109" s="417">
        <v>0</v>
      </c>
      <c r="AP109" s="417">
        <v>0</v>
      </c>
      <c r="AQ109" s="417">
        <v>0</v>
      </c>
      <c r="AR109" s="417">
        <v>0</v>
      </c>
      <c r="AS109" s="417">
        <v>0</v>
      </c>
      <c r="AT109" s="417">
        <v>0</v>
      </c>
      <c r="AU109" s="819">
        <v>0</v>
      </c>
      <c r="AV109" s="417">
        <v>0</v>
      </c>
      <c r="AW109" s="417">
        <v>0</v>
      </c>
      <c r="AX109" s="375">
        <f t="shared" si="104"/>
        <v>0</v>
      </c>
      <c r="AY109" s="366">
        <f t="shared" si="108"/>
        <v>0</v>
      </c>
      <c r="AZ109" s="165" t="e">
        <f t="shared" si="109"/>
        <v>#DIV/0!</v>
      </c>
      <c r="BA109" s="212"/>
      <c r="BB109" s="417">
        <v>0</v>
      </c>
      <c r="BC109" s="417">
        <v>0</v>
      </c>
      <c r="BD109" s="417">
        <v>0</v>
      </c>
      <c r="BE109" s="417">
        <v>0</v>
      </c>
      <c r="BF109" s="417">
        <v>0</v>
      </c>
      <c r="BG109" s="417">
        <v>0</v>
      </c>
      <c r="BH109" s="417">
        <v>0</v>
      </c>
      <c r="BI109" s="417">
        <v>0</v>
      </c>
      <c r="BJ109" s="417">
        <v>0</v>
      </c>
      <c r="BK109" s="819">
        <v>0</v>
      </c>
      <c r="BL109" s="417">
        <v>0</v>
      </c>
      <c r="BM109" s="417">
        <v>0</v>
      </c>
      <c r="BN109" s="375">
        <f t="shared" si="98"/>
        <v>0</v>
      </c>
      <c r="BO109" s="212"/>
      <c r="BP109" s="818">
        <v>0</v>
      </c>
      <c r="BQ109" s="818">
        <v>0</v>
      </c>
      <c r="BR109" s="818">
        <v>0</v>
      </c>
      <c r="BS109" s="818">
        <v>0</v>
      </c>
      <c r="BT109" s="818">
        <v>0</v>
      </c>
      <c r="BU109" s="818">
        <v>0</v>
      </c>
      <c r="BV109" s="818">
        <v>0</v>
      </c>
      <c r="BW109" s="818">
        <v>0</v>
      </c>
      <c r="BX109" s="818">
        <v>0</v>
      </c>
      <c r="BY109" s="818">
        <v>0</v>
      </c>
      <c r="BZ109" s="818">
        <v>0</v>
      </c>
      <c r="CA109" s="818">
        <v>0</v>
      </c>
      <c r="CB109" s="375">
        <f t="shared" si="114"/>
        <v>0</v>
      </c>
      <c r="CC109" s="366">
        <f t="shared" si="110"/>
        <v>0</v>
      </c>
      <c r="CD109" s="165" t="str">
        <f t="shared" si="111"/>
        <v>N/A</v>
      </c>
      <c r="CE109" s="367"/>
      <c r="CF109" s="373">
        <v>0</v>
      </c>
      <c r="CG109" s="373">
        <v>0</v>
      </c>
      <c r="CH109" s="373">
        <v>0</v>
      </c>
      <c r="CI109" s="373">
        <v>0</v>
      </c>
      <c r="CJ109" s="373">
        <v>0</v>
      </c>
      <c r="CK109" s="373">
        <v>0</v>
      </c>
      <c r="CL109" s="373">
        <v>0</v>
      </c>
      <c r="CM109" s="373">
        <v>0</v>
      </c>
      <c r="CN109" s="373">
        <v>0</v>
      </c>
      <c r="CO109" s="373">
        <v>0</v>
      </c>
      <c r="CP109" s="373">
        <v>0</v>
      </c>
      <c r="CQ109" s="373">
        <v>0</v>
      </c>
      <c r="CR109" s="376"/>
      <c r="CS109" s="375">
        <f t="shared" si="90"/>
        <v>0</v>
      </c>
      <c r="CT109" s="378">
        <f t="shared" si="112"/>
        <v>0</v>
      </c>
      <c r="CU109" s="165" t="str">
        <f t="shared" si="113"/>
        <v>N/A</v>
      </c>
      <c r="CV109" s="320"/>
      <c r="CW109" s="373">
        <v>0</v>
      </c>
      <c r="CX109" s="373">
        <v>0</v>
      </c>
      <c r="CY109" s="373">
        <v>0</v>
      </c>
      <c r="CZ109" s="373">
        <v>0</v>
      </c>
      <c r="DA109" s="373">
        <v>0</v>
      </c>
      <c r="DB109" s="373">
        <v>0</v>
      </c>
      <c r="DC109" s="373">
        <v>0</v>
      </c>
      <c r="DD109" s="373">
        <v>0</v>
      </c>
      <c r="DE109" s="373">
        <v>0</v>
      </c>
      <c r="DF109" s="373">
        <v>0</v>
      </c>
      <c r="DG109" s="373">
        <v>0</v>
      </c>
      <c r="DH109" s="373">
        <v>0</v>
      </c>
      <c r="DI109" s="375">
        <f t="shared" si="99"/>
        <v>0</v>
      </c>
      <c r="DJ109" s="320"/>
      <c r="DK109" s="373"/>
      <c r="DL109" s="373"/>
      <c r="DM109" s="373"/>
      <c r="DN109" s="373"/>
      <c r="DO109" s="373"/>
      <c r="DP109" s="373"/>
      <c r="DQ109" s="373"/>
      <c r="DR109" s="373"/>
      <c r="DS109" s="373"/>
      <c r="DT109" s="373"/>
      <c r="DU109" s="373"/>
      <c r="DV109" s="373"/>
      <c r="DW109" s="375">
        <f t="shared" si="103"/>
        <v>0</v>
      </c>
      <c r="DY109" s="373"/>
      <c r="DZ109" s="373"/>
      <c r="EA109" s="373"/>
      <c r="EB109" s="373"/>
      <c r="EC109" s="373"/>
      <c r="ED109" s="373"/>
      <c r="EE109" s="373"/>
      <c r="EF109" s="373"/>
      <c r="EG109" s="373"/>
      <c r="EH109" s="373"/>
      <c r="EI109" s="373"/>
      <c r="EJ109" s="373"/>
      <c r="EK109" s="375">
        <f t="shared" si="94"/>
        <v>0</v>
      </c>
      <c r="EL109" s="177"/>
      <c r="EM109" s="373"/>
      <c r="EN109" s="373"/>
      <c r="EO109" s="373"/>
      <c r="EP109" s="373"/>
      <c r="EQ109" s="373"/>
      <c r="ER109" s="373"/>
      <c r="ES109" s="373"/>
      <c r="ET109" s="373"/>
      <c r="EU109" s="373"/>
      <c r="EV109" s="373"/>
      <c r="EW109" s="373"/>
      <c r="EX109" s="373"/>
      <c r="EY109" s="375">
        <f t="shared" si="96"/>
        <v>0</v>
      </c>
      <c r="EZ109" s="164"/>
      <c r="FB109" s="185">
        <v>60115000</v>
      </c>
      <c r="FC109" s="185">
        <v>0</v>
      </c>
    </row>
    <row r="110" spans="1:159" ht="18.75" customHeight="1" outlineLevel="1">
      <c r="A110" s="185" t="s">
        <v>617</v>
      </c>
      <c r="B110" s="176">
        <v>61033500</v>
      </c>
      <c r="C110" s="176" t="s">
        <v>326</v>
      </c>
      <c r="D110" s="176" t="s">
        <v>109</v>
      </c>
      <c r="E110" s="324"/>
      <c r="F110" s="320" t="s">
        <v>668</v>
      </c>
      <c r="G110" s="320"/>
      <c r="H110" s="417">
        <v>0</v>
      </c>
      <c r="I110" s="417">
        <v>0</v>
      </c>
      <c r="J110" s="417">
        <v>0</v>
      </c>
      <c r="K110" s="417">
        <v>0</v>
      </c>
      <c r="L110" s="417">
        <v>0</v>
      </c>
      <c r="M110" s="417">
        <v>0</v>
      </c>
      <c r="N110" s="417">
        <v>0</v>
      </c>
      <c r="O110" s="417">
        <v>0</v>
      </c>
      <c r="P110" s="417">
        <v>0</v>
      </c>
      <c r="Q110" s="819">
        <v>0</v>
      </c>
      <c r="R110" s="417">
        <v>0</v>
      </c>
      <c r="S110" s="417">
        <v>0</v>
      </c>
      <c r="T110" s="402"/>
      <c r="U110" s="366">
        <f t="shared" si="115"/>
        <v>0</v>
      </c>
      <c r="V110" s="165" t="e">
        <f t="shared" si="107"/>
        <v>#DIV/0!</v>
      </c>
      <c r="W110" s="212"/>
      <c r="X110" s="1518">
        <v>0</v>
      </c>
      <c r="Y110" s="1518">
        <v>0</v>
      </c>
      <c r="Z110" s="1518">
        <v>0</v>
      </c>
      <c r="AA110" s="1518">
        <v>0</v>
      </c>
      <c r="AB110" s="1518">
        <v>0</v>
      </c>
      <c r="AC110" s="1518">
        <v>0</v>
      </c>
      <c r="AD110" s="1518">
        <v>0</v>
      </c>
      <c r="AE110" s="1518">
        <v>0</v>
      </c>
      <c r="AF110" s="1518">
        <v>0</v>
      </c>
      <c r="AG110" s="1519">
        <v>0</v>
      </c>
      <c r="AH110" s="1518">
        <v>0</v>
      </c>
      <c r="AI110" s="1518">
        <v>0</v>
      </c>
      <c r="AJ110" s="375">
        <f t="shared" si="105"/>
        <v>0</v>
      </c>
      <c r="AK110" s="212"/>
      <c r="AL110" s="417">
        <v>0</v>
      </c>
      <c r="AM110" s="417">
        <v>0</v>
      </c>
      <c r="AN110" s="417">
        <v>0</v>
      </c>
      <c r="AO110" s="417">
        <v>0</v>
      </c>
      <c r="AP110" s="417">
        <v>0</v>
      </c>
      <c r="AQ110" s="417">
        <v>0</v>
      </c>
      <c r="AR110" s="417">
        <v>0</v>
      </c>
      <c r="AS110" s="417">
        <v>0</v>
      </c>
      <c r="AT110" s="417">
        <v>0</v>
      </c>
      <c r="AU110" s="819">
        <v>0</v>
      </c>
      <c r="AV110" s="417">
        <v>0</v>
      </c>
      <c r="AW110" s="417">
        <v>0</v>
      </c>
      <c r="AX110" s="375">
        <f t="shared" si="104"/>
        <v>0</v>
      </c>
      <c r="AY110" s="366">
        <f t="shared" si="108"/>
        <v>0</v>
      </c>
      <c r="AZ110" s="165" t="e">
        <f t="shared" si="109"/>
        <v>#DIV/0!</v>
      </c>
      <c r="BA110" s="212"/>
      <c r="BB110" s="417">
        <v>0</v>
      </c>
      <c r="BC110" s="417">
        <v>0</v>
      </c>
      <c r="BD110" s="417">
        <v>0</v>
      </c>
      <c r="BE110" s="417">
        <v>0</v>
      </c>
      <c r="BF110" s="417">
        <v>0</v>
      </c>
      <c r="BG110" s="417">
        <v>0</v>
      </c>
      <c r="BH110" s="417">
        <v>0</v>
      </c>
      <c r="BI110" s="417">
        <v>0</v>
      </c>
      <c r="BJ110" s="417">
        <v>0</v>
      </c>
      <c r="BK110" s="819">
        <v>0</v>
      </c>
      <c r="BL110" s="417">
        <v>0</v>
      </c>
      <c r="BM110" s="417">
        <v>0</v>
      </c>
      <c r="BN110" s="375">
        <f t="shared" si="98"/>
        <v>0</v>
      </c>
      <c r="BO110" s="212"/>
      <c r="BP110" s="818">
        <v>0</v>
      </c>
      <c r="BQ110" s="818">
        <v>0</v>
      </c>
      <c r="BR110" s="818">
        <v>0</v>
      </c>
      <c r="BS110" s="818">
        <v>0</v>
      </c>
      <c r="BT110" s="818">
        <v>0</v>
      </c>
      <c r="BU110" s="818">
        <v>0</v>
      </c>
      <c r="BV110" s="818">
        <v>0</v>
      </c>
      <c r="BW110" s="818">
        <v>0</v>
      </c>
      <c r="BX110" s="818">
        <v>0</v>
      </c>
      <c r="BY110" s="818">
        <v>0</v>
      </c>
      <c r="BZ110" s="818">
        <v>0</v>
      </c>
      <c r="CA110" s="818">
        <v>0</v>
      </c>
      <c r="CB110" s="375">
        <f t="shared" si="114"/>
        <v>0</v>
      </c>
      <c r="CC110" s="366">
        <f t="shared" si="110"/>
        <v>0</v>
      </c>
      <c r="CD110" s="165" t="str">
        <f t="shared" si="111"/>
        <v>N/A</v>
      </c>
      <c r="CE110" s="367"/>
      <c r="CF110" s="373">
        <v>0</v>
      </c>
      <c r="CG110" s="373">
        <v>0</v>
      </c>
      <c r="CH110" s="373">
        <v>0</v>
      </c>
      <c r="CI110" s="373">
        <v>0</v>
      </c>
      <c r="CJ110" s="373">
        <v>0</v>
      </c>
      <c r="CK110" s="373">
        <v>0</v>
      </c>
      <c r="CL110" s="373">
        <v>0</v>
      </c>
      <c r="CM110" s="373">
        <v>0</v>
      </c>
      <c r="CN110" s="373">
        <v>0</v>
      </c>
      <c r="CO110" s="373">
        <v>0</v>
      </c>
      <c r="CP110" s="373">
        <v>0</v>
      </c>
      <c r="CQ110" s="373">
        <v>0</v>
      </c>
      <c r="CR110" s="376"/>
      <c r="CS110" s="375">
        <f t="shared" si="90"/>
        <v>0</v>
      </c>
      <c r="CT110" s="378">
        <f t="shared" si="112"/>
        <v>0</v>
      </c>
      <c r="CU110" s="165" t="str">
        <f t="shared" si="113"/>
        <v>N/A</v>
      </c>
      <c r="CV110" s="320"/>
      <c r="CW110" s="373">
        <v>0</v>
      </c>
      <c r="CX110" s="373">
        <v>0</v>
      </c>
      <c r="CY110" s="373">
        <v>0</v>
      </c>
      <c r="CZ110" s="373">
        <v>0</v>
      </c>
      <c r="DA110" s="373">
        <v>0</v>
      </c>
      <c r="DB110" s="373">
        <v>0</v>
      </c>
      <c r="DC110" s="373">
        <v>0</v>
      </c>
      <c r="DD110" s="373">
        <v>0</v>
      </c>
      <c r="DE110" s="373">
        <v>0</v>
      </c>
      <c r="DF110" s="373">
        <v>0</v>
      </c>
      <c r="DG110" s="373">
        <v>0</v>
      </c>
      <c r="DH110" s="373">
        <v>0</v>
      </c>
      <c r="DI110" s="375">
        <f t="shared" si="99"/>
        <v>0</v>
      </c>
      <c r="DJ110" s="320"/>
      <c r="DK110" s="373"/>
      <c r="DL110" s="373"/>
      <c r="DM110" s="373"/>
      <c r="DN110" s="373"/>
      <c r="DO110" s="373"/>
      <c r="DP110" s="373"/>
      <c r="DQ110" s="373"/>
      <c r="DR110" s="373"/>
      <c r="DS110" s="373"/>
      <c r="DT110" s="373"/>
      <c r="DU110" s="373"/>
      <c r="DV110" s="373"/>
      <c r="DW110" s="375">
        <f t="shared" si="103"/>
        <v>0</v>
      </c>
      <c r="DY110" s="373"/>
      <c r="DZ110" s="373"/>
      <c r="EA110" s="373"/>
      <c r="EB110" s="373"/>
      <c r="EC110" s="373"/>
      <c r="ED110" s="373"/>
      <c r="EE110" s="373"/>
      <c r="EF110" s="373"/>
      <c r="EG110" s="373"/>
      <c r="EH110" s="373"/>
      <c r="EI110" s="373"/>
      <c r="EJ110" s="373"/>
      <c r="EK110" s="375">
        <f t="shared" si="94"/>
        <v>0</v>
      </c>
      <c r="EL110" s="177"/>
      <c r="EM110" s="373"/>
      <c r="EN110" s="373"/>
      <c r="EO110" s="373"/>
      <c r="EP110" s="373"/>
      <c r="EQ110" s="373"/>
      <c r="ER110" s="373"/>
      <c r="ES110" s="373"/>
      <c r="ET110" s="373"/>
      <c r="EU110" s="373"/>
      <c r="EV110" s="373"/>
      <c r="EW110" s="373"/>
      <c r="EX110" s="373"/>
      <c r="EY110" s="375">
        <f t="shared" si="96"/>
        <v>0</v>
      </c>
      <c r="EZ110" s="164"/>
      <c r="FB110" s="185">
        <v>60407000</v>
      </c>
      <c r="FC110" s="185">
        <v>0</v>
      </c>
    </row>
    <row r="111" spans="1:159" ht="18.75" customHeight="1" outlineLevel="1">
      <c r="A111" s="185" t="s">
        <v>617</v>
      </c>
      <c r="B111" s="176">
        <v>61034000</v>
      </c>
      <c r="C111" s="176" t="s">
        <v>326</v>
      </c>
      <c r="D111" s="176" t="s">
        <v>109</v>
      </c>
      <c r="E111" s="324"/>
      <c r="F111" s="320" t="s">
        <v>669</v>
      </c>
      <c r="G111" s="320"/>
      <c r="H111" s="417">
        <v>0</v>
      </c>
      <c r="I111" s="417">
        <v>0</v>
      </c>
      <c r="J111" s="417">
        <v>0</v>
      </c>
      <c r="K111" s="417">
        <v>0</v>
      </c>
      <c r="L111" s="417">
        <v>0</v>
      </c>
      <c r="M111" s="417">
        <v>0</v>
      </c>
      <c r="N111" s="417">
        <v>0</v>
      </c>
      <c r="O111" s="417">
        <v>0</v>
      </c>
      <c r="P111" s="417">
        <v>0</v>
      </c>
      <c r="Q111" s="819">
        <v>0</v>
      </c>
      <c r="R111" s="417">
        <v>0</v>
      </c>
      <c r="S111" s="417">
        <v>0</v>
      </c>
      <c r="T111" s="402"/>
      <c r="U111" s="366">
        <f t="shared" si="115"/>
        <v>0</v>
      </c>
      <c r="V111" s="165" t="e">
        <f t="shared" si="107"/>
        <v>#DIV/0!</v>
      </c>
      <c r="W111" s="212"/>
      <c r="X111" s="1518">
        <v>0</v>
      </c>
      <c r="Y111" s="1518">
        <v>0</v>
      </c>
      <c r="Z111" s="1518">
        <v>0</v>
      </c>
      <c r="AA111" s="1518">
        <v>0</v>
      </c>
      <c r="AB111" s="1518">
        <v>0</v>
      </c>
      <c r="AC111" s="1518">
        <v>0</v>
      </c>
      <c r="AD111" s="1518">
        <v>0</v>
      </c>
      <c r="AE111" s="1518">
        <v>0</v>
      </c>
      <c r="AF111" s="1518">
        <v>0</v>
      </c>
      <c r="AG111" s="1519">
        <v>0</v>
      </c>
      <c r="AH111" s="1518">
        <v>0</v>
      </c>
      <c r="AI111" s="1518">
        <v>0</v>
      </c>
      <c r="AJ111" s="375">
        <f t="shared" si="105"/>
        <v>0</v>
      </c>
      <c r="AK111" s="212"/>
      <c r="AL111" s="417">
        <v>0</v>
      </c>
      <c r="AM111" s="417">
        <v>0</v>
      </c>
      <c r="AN111" s="417">
        <v>0</v>
      </c>
      <c r="AO111" s="417">
        <v>0</v>
      </c>
      <c r="AP111" s="417">
        <v>0</v>
      </c>
      <c r="AQ111" s="417">
        <v>0</v>
      </c>
      <c r="AR111" s="417">
        <v>0</v>
      </c>
      <c r="AS111" s="417">
        <v>0</v>
      </c>
      <c r="AT111" s="417">
        <v>0</v>
      </c>
      <c r="AU111" s="819">
        <v>0</v>
      </c>
      <c r="AV111" s="417">
        <v>0</v>
      </c>
      <c r="AW111" s="417">
        <v>0</v>
      </c>
      <c r="AX111" s="375">
        <f t="shared" si="104"/>
        <v>0</v>
      </c>
      <c r="AY111" s="366">
        <f t="shared" si="108"/>
        <v>0</v>
      </c>
      <c r="AZ111" s="165" t="e">
        <f t="shared" si="109"/>
        <v>#DIV/0!</v>
      </c>
      <c r="BA111" s="212"/>
      <c r="BB111" s="417">
        <v>0</v>
      </c>
      <c r="BC111" s="417">
        <v>0</v>
      </c>
      <c r="BD111" s="417">
        <v>0</v>
      </c>
      <c r="BE111" s="417">
        <v>0</v>
      </c>
      <c r="BF111" s="417">
        <v>0</v>
      </c>
      <c r="BG111" s="417">
        <v>0</v>
      </c>
      <c r="BH111" s="417">
        <v>0</v>
      </c>
      <c r="BI111" s="417">
        <v>0</v>
      </c>
      <c r="BJ111" s="417">
        <v>0</v>
      </c>
      <c r="BK111" s="819">
        <v>0</v>
      </c>
      <c r="BL111" s="417">
        <v>0</v>
      </c>
      <c r="BM111" s="417">
        <v>0</v>
      </c>
      <c r="BN111" s="375">
        <f t="shared" si="98"/>
        <v>0</v>
      </c>
      <c r="BO111" s="212"/>
      <c r="BP111" s="818">
        <v>0</v>
      </c>
      <c r="BQ111" s="818">
        <v>0</v>
      </c>
      <c r="BR111" s="818">
        <v>0</v>
      </c>
      <c r="BS111" s="818">
        <v>0</v>
      </c>
      <c r="BT111" s="818">
        <v>0</v>
      </c>
      <c r="BU111" s="818">
        <v>0</v>
      </c>
      <c r="BV111" s="818">
        <v>0</v>
      </c>
      <c r="BW111" s="818">
        <v>0</v>
      </c>
      <c r="BX111" s="818">
        <v>0</v>
      </c>
      <c r="BY111" s="818">
        <v>0</v>
      </c>
      <c r="BZ111" s="818">
        <v>0</v>
      </c>
      <c r="CA111" s="818">
        <v>0</v>
      </c>
      <c r="CB111" s="375">
        <f t="shared" si="114"/>
        <v>0</v>
      </c>
      <c r="CC111" s="366">
        <f t="shared" si="110"/>
        <v>0</v>
      </c>
      <c r="CD111" s="165" t="str">
        <f t="shared" si="111"/>
        <v>N/A</v>
      </c>
      <c r="CE111" s="367"/>
      <c r="CF111" s="373">
        <v>0</v>
      </c>
      <c r="CG111" s="373">
        <v>0</v>
      </c>
      <c r="CH111" s="373">
        <v>0</v>
      </c>
      <c r="CI111" s="373">
        <v>0</v>
      </c>
      <c r="CJ111" s="373">
        <v>0</v>
      </c>
      <c r="CK111" s="373">
        <v>0</v>
      </c>
      <c r="CL111" s="373">
        <v>0</v>
      </c>
      <c r="CM111" s="373">
        <v>0</v>
      </c>
      <c r="CN111" s="373">
        <v>0</v>
      </c>
      <c r="CO111" s="373">
        <v>0</v>
      </c>
      <c r="CP111" s="373">
        <v>0</v>
      </c>
      <c r="CQ111" s="373">
        <v>0</v>
      </c>
      <c r="CR111" s="376"/>
      <c r="CS111" s="375">
        <f t="shared" si="90"/>
        <v>0</v>
      </c>
      <c r="CT111" s="378">
        <f t="shared" si="112"/>
        <v>0</v>
      </c>
      <c r="CU111" s="165" t="str">
        <f t="shared" si="113"/>
        <v>N/A</v>
      </c>
      <c r="CV111" s="320"/>
      <c r="CW111" s="373">
        <v>0</v>
      </c>
      <c r="CX111" s="373">
        <v>0</v>
      </c>
      <c r="CY111" s="373">
        <v>0</v>
      </c>
      <c r="CZ111" s="373">
        <v>0</v>
      </c>
      <c r="DA111" s="373">
        <v>0</v>
      </c>
      <c r="DB111" s="373">
        <v>0</v>
      </c>
      <c r="DC111" s="373">
        <v>0</v>
      </c>
      <c r="DD111" s="373">
        <v>0</v>
      </c>
      <c r="DE111" s="373">
        <v>0</v>
      </c>
      <c r="DF111" s="373">
        <v>0</v>
      </c>
      <c r="DG111" s="373">
        <v>0</v>
      </c>
      <c r="DH111" s="373">
        <v>0</v>
      </c>
      <c r="DI111" s="375">
        <f t="shared" si="99"/>
        <v>0</v>
      </c>
      <c r="DJ111" s="320"/>
      <c r="DK111" s="373"/>
      <c r="DL111" s="373"/>
      <c r="DM111" s="373"/>
      <c r="DN111" s="373"/>
      <c r="DO111" s="373"/>
      <c r="DP111" s="373"/>
      <c r="DQ111" s="373"/>
      <c r="DR111" s="373"/>
      <c r="DS111" s="373"/>
      <c r="DT111" s="373"/>
      <c r="DU111" s="373"/>
      <c r="DV111" s="373"/>
      <c r="DW111" s="375">
        <f t="shared" si="103"/>
        <v>0</v>
      </c>
      <c r="DY111" s="373"/>
      <c r="DZ111" s="373"/>
      <c r="EA111" s="373"/>
      <c r="EB111" s="373"/>
      <c r="EC111" s="373"/>
      <c r="ED111" s="373"/>
      <c r="EE111" s="373"/>
      <c r="EF111" s="373"/>
      <c r="EG111" s="373"/>
      <c r="EH111" s="373"/>
      <c r="EI111" s="373"/>
      <c r="EJ111" s="373"/>
      <c r="EK111" s="375">
        <f t="shared" si="94"/>
        <v>0</v>
      </c>
      <c r="EL111" s="177"/>
      <c r="EM111" s="373"/>
      <c r="EN111" s="373"/>
      <c r="EO111" s="373"/>
      <c r="EP111" s="373"/>
      <c r="EQ111" s="373"/>
      <c r="ER111" s="373"/>
      <c r="ES111" s="373"/>
      <c r="ET111" s="373"/>
      <c r="EU111" s="373"/>
      <c r="EV111" s="373"/>
      <c r="EW111" s="373"/>
      <c r="EX111" s="373"/>
      <c r="EY111" s="375">
        <f t="shared" si="96"/>
        <v>0</v>
      </c>
      <c r="EZ111" s="164"/>
      <c r="FB111" s="185">
        <v>60105000</v>
      </c>
      <c r="FC111" s="185">
        <v>0</v>
      </c>
    </row>
    <row r="112" spans="1:159" ht="18.75" customHeight="1" outlineLevel="1">
      <c r="A112" s="185" t="s">
        <v>617</v>
      </c>
      <c r="B112" s="176">
        <v>61070000</v>
      </c>
      <c r="C112" s="176" t="s">
        <v>326</v>
      </c>
      <c r="D112" s="176" t="s">
        <v>109</v>
      </c>
      <c r="E112" s="324"/>
      <c r="F112" s="320" t="s">
        <v>670</v>
      </c>
      <c r="G112" s="320"/>
      <c r="H112" s="417">
        <v>0</v>
      </c>
      <c r="I112" s="417">
        <v>0</v>
      </c>
      <c r="J112" s="417">
        <v>0</v>
      </c>
      <c r="K112" s="417">
        <v>0</v>
      </c>
      <c r="L112" s="417">
        <v>0</v>
      </c>
      <c r="M112" s="417">
        <v>0</v>
      </c>
      <c r="N112" s="417">
        <v>0</v>
      </c>
      <c r="O112" s="417">
        <v>0</v>
      </c>
      <c r="P112" s="417">
        <v>0</v>
      </c>
      <c r="Q112" s="819">
        <v>0</v>
      </c>
      <c r="R112" s="417">
        <v>0</v>
      </c>
      <c r="S112" s="417">
        <v>0</v>
      </c>
      <c r="T112" s="402"/>
      <c r="U112" s="366">
        <f t="shared" si="115"/>
        <v>0</v>
      </c>
      <c r="V112" s="165" t="e">
        <f t="shared" si="107"/>
        <v>#DIV/0!</v>
      </c>
      <c r="W112" s="212"/>
      <c r="X112" s="1518">
        <v>0</v>
      </c>
      <c r="Y112" s="1518">
        <v>0</v>
      </c>
      <c r="Z112" s="1518">
        <v>0</v>
      </c>
      <c r="AA112" s="1518">
        <v>0</v>
      </c>
      <c r="AB112" s="1518">
        <v>0</v>
      </c>
      <c r="AC112" s="1518">
        <v>0</v>
      </c>
      <c r="AD112" s="1518">
        <v>0</v>
      </c>
      <c r="AE112" s="1518">
        <v>0</v>
      </c>
      <c r="AF112" s="1518">
        <v>0</v>
      </c>
      <c r="AG112" s="1519">
        <v>0</v>
      </c>
      <c r="AH112" s="1518">
        <v>0</v>
      </c>
      <c r="AI112" s="1518">
        <v>0</v>
      </c>
      <c r="AJ112" s="375">
        <f t="shared" si="105"/>
        <v>0</v>
      </c>
      <c r="AK112" s="212"/>
      <c r="AL112" s="417">
        <v>0</v>
      </c>
      <c r="AM112" s="417">
        <v>0</v>
      </c>
      <c r="AN112" s="417">
        <v>0</v>
      </c>
      <c r="AO112" s="417">
        <v>0</v>
      </c>
      <c r="AP112" s="417">
        <v>0</v>
      </c>
      <c r="AQ112" s="417">
        <v>0</v>
      </c>
      <c r="AR112" s="417">
        <v>0</v>
      </c>
      <c r="AS112" s="417">
        <v>0</v>
      </c>
      <c r="AT112" s="417">
        <v>0</v>
      </c>
      <c r="AU112" s="819">
        <v>0</v>
      </c>
      <c r="AV112" s="417">
        <v>0</v>
      </c>
      <c r="AW112" s="417">
        <v>0</v>
      </c>
      <c r="AX112" s="375">
        <f t="shared" si="104"/>
        <v>0</v>
      </c>
      <c r="AY112" s="366">
        <f t="shared" si="108"/>
        <v>0</v>
      </c>
      <c r="AZ112" s="165" t="e">
        <f t="shared" si="109"/>
        <v>#DIV/0!</v>
      </c>
      <c r="BA112" s="212"/>
      <c r="BB112" s="417">
        <v>0</v>
      </c>
      <c r="BC112" s="417">
        <v>0</v>
      </c>
      <c r="BD112" s="417">
        <v>0</v>
      </c>
      <c r="BE112" s="417">
        <v>0</v>
      </c>
      <c r="BF112" s="417">
        <v>0</v>
      </c>
      <c r="BG112" s="417">
        <v>0</v>
      </c>
      <c r="BH112" s="417">
        <v>0</v>
      </c>
      <c r="BI112" s="417">
        <v>0</v>
      </c>
      <c r="BJ112" s="417">
        <v>0</v>
      </c>
      <c r="BK112" s="819">
        <v>0</v>
      </c>
      <c r="BL112" s="417">
        <v>0</v>
      </c>
      <c r="BM112" s="417">
        <v>0</v>
      </c>
      <c r="BN112" s="375">
        <f t="shared" si="98"/>
        <v>0</v>
      </c>
      <c r="BO112" s="212"/>
      <c r="BP112" s="818">
        <v>0</v>
      </c>
      <c r="BQ112" s="818">
        <v>0</v>
      </c>
      <c r="BR112" s="818">
        <v>0</v>
      </c>
      <c r="BS112" s="818">
        <v>0</v>
      </c>
      <c r="BT112" s="818">
        <v>0</v>
      </c>
      <c r="BU112" s="818">
        <v>0</v>
      </c>
      <c r="BV112" s="818">
        <v>0</v>
      </c>
      <c r="BW112" s="818">
        <v>0</v>
      </c>
      <c r="BX112" s="818">
        <v>0</v>
      </c>
      <c r="BY112" s="818">
        <v>0</v>
      </c>
      <c r="BZ112" s="818">
        <v>0</v>
      </c>
      <c r="CA112" s="818">
        <v>0</v>
      </c>
      <c r="CB112" s="375">
        <f t="shared" si="114"/>
        <v>0</v>
      </c>
      <c r="CC112" s="366">
        <f t="shared" si="110"/>
        <v>0</v>
      </c>
      <c r="CD112" s="165" t="str">
        <f t="shared" si="111"/>
        <v>N/A</v>
      </c>
      <c r="CE112" s="367"/>
      <c r="CF112" s="373">
        <v>0</v>
      </c>
      <c r="CG112" s="373">
        <v>0</v>
      </c>
      <c r="CH112" s="373">
        <v>0</v>
      </c>
      <c r="CI112" s="373">
        <v>0</v>
      </c>
      <c r="CJ112" s="373">
        <v>0</v>
      </c>
      <c r="CK112" s="373">
        <v>0</v>
      </c>
      <c r="CL112" s="373">
        <v>0</v>
      </c>
      <c r="CM112" s="373">
        <v>0</v>
      </c>
      <c r="CN112" s="373">
        <v>0</v>
      </c>
      <c r="CO112" s="373">
        <v>0</v>
      </c>
      <c r="CP112" s="373">
        <v>0</v>
      </c>
      <c r="CQ112" s="373">
        <v>0</v>
      </c>
      <c r="CR112" s="376"/>
      <c r="CS112" s="375">
        <f t="shared" si="90"/>
        <v>0</v>
      </c>
      <c r="CT112" s="378">
        <f t="shared" si="112"/>
        <v>0</v>
      </c>
      <c r="CU112" s="165" t="str">
        <f t="shared" si="113"/>
        <v>N/A</v>
      </c>
      <c r="CV112" s="320"/>
      <c r="CW112" s="373">
        <v>0</v>
      </c>
      <c r="CX112" s="373">
        <v>0</v>
      </c>
      <c r="CY112" s="373">
        <v>0</v>
      </c>
      <c r="CZ112" s="373">
        <v>0</v>
      </c>
      <c r="DA112" s="373">
        <v>0</v>
      </c>
      <c r="DB112" s="373">
        <v>0</v>
      </c>
      <c r="DC112" s="373">
        <v>0</v>
      </c>
      <c r="DD112" s="373">
        <v>0</v>
      </c>
      <c r="DE112" s="373">
        <v>0</v>
      </c>
      <c r="DF112" s="373">
        <v>0</v>
      </c>
      <c r="DG112" s="373">
        <v>0</v>
      </c>
      <c r="DH112" s="373">
        <v>0</v>
      </c>
      <c r="DI112" s="375">
        <f t="shared" si="99"/>
        <v>0</v>
      </c>
      <c r="DJ112" s="320"/>
      <c r="DK112" s="373"/>
      <c r="DL112" s="373"/>
      <c r="DM112" s="373"/>
      <c r="DN112" s="373"/>
      <c r="DO112" s="373"/>
      <c r="DP112" s="373"/>
      <c r="DQ112" s="373"/>
      <c r="DR112" s="373"/>
      <c r="DS112" s="373"/>
      <c r="DT112" s="373"/>
      <c r="DU112" s="373"/>
      <c r="DV112" s="373"/>
      <c r="DW112" s="375">
        <f t="shared" si="103"/>
        <v>0</v>
      </c>
      <c r="DY112" s="373"/>
      <c r="DZ112" s="373"/>
      <c r="EA112" s="373"/>
      <c r="EB112" s="373"/>
      <c r="EC112" s="373"/>
      <c r="ED112" s="373"/>
      <c r="EE112" s="373"/>
      <c r="EF112" s="373"/>
      <c r="EG112" s="373"/>
      <c r="EH112" s="373"/>
      <c r="EI112" s="373"/>
      <c r="EJ112" s="373"/>
      <c r="EK112" s="375">
        <f t="shared" si="94"/>
        <v>0</v>
      </c>
      <c r="EL112" s="177"/>
      <c r="EM112" s="373"/>
      <c r="EN112" s="373"/>
      <c r="EO112" s="373"/>
      <c r="EP112" s="373"/>
      <c r="EQ112" s="373"/>
      <c r="ER112" s="373"/>
      <c r="ES112" s="373"/>
      <c r="ET112" s="373"/>
      <c r="EU112" s="373"/>
      <c r="EV112" s="373"/>
      <c r="EW112" s="373"/>
      <c r="EX112" s="373"/>
      <c r="EY112" s="375">
        <f t="shared" si="96"/>
        <v>0</v>
      </c>
      <c r="EZ112" s="164"/>
      <c r="FB112" s="185">
        <v>60404000</v>
      </c>
      <c r="FC112" s="185">
        <v>0</v>
      </c>
    </row>
    <row r="113" spans="1:159" ht="18.75" customHeight="1" outlineLevel="1">
      <c r="A113" s="185" t="s">
        <v>617</v>
      </c>
      <c r="B113" s="176">
        <v>61080000</v>
      </c>
      <c r="C113" s="176" t="s">
        <v>326</v>
      </c>
      <c r="D113" s="176" t="s">
        <v>109</v>
      </c>
      <c r="E113" s="324"/>
      <c r="F113" s="320" t="s">
        <v>671</v>
      </c>
      <c r="G113" s="320"/>
      <c r="H113" s="417">
        <v>0</v>
      </c>
      <c r="I113" s="417">
        <v>0</v>
      </c>
      <c r="J113" s="417">
        <v>0</v>
      </c>
      <c r="K113" s="417">
        <v>0</v>
      </c>
      <c r="L113" s="417">
        <v>0</v>
      </c>
      <c r="M113" s="417">
        <v>0</v>
      </c>
      <c r="N113" s="417">
        <v>0</v>
      </c>
      <c r="O113" s="417">
        <v>0</v>
      </c>
      <c r="P113" s="417">
        <v>0</v>
      </c>
      <c r="Q113" s="819">
        <v>0</v>
      </c>
      <c r="R113" s="417">
        <v>0</v>
      </c>
      <c r="S113" s="417">
        <v>0</v>
      </c>
      <c r="T113" s="402"/>
      <c r="U113" s="366">
        <f t="shared" si="115"/>
        <v>0</v>
      </c>
      <c r="V113" s="165" t="e">
        <f t="shared" si="107"/>
        <v>#DIV/0!</v>
      </c>
      <c r="W113" s="212"/>
      <c r="X113" s="1518">
        <v>0</v>
      </c>
      <c r="Y113" s="1518">
        <v>0</v>
      </c>
      <c r="Z113" s="1518">
        <v>0</v>
      </c>
      <c r="AA113" s="1518">
        <v>0</v>
      </c>
      <c r="AB113" s="1518">
        <v>0</v>
      </c>
      <c r="AC113" s="1518">
        <v>0</v>
      </c>
      <c r="AD113" s="1518">
        <v>0</v>
      </c>
      <c r="AE113" s="1518">
        <v>0</v>
      </c>
      <c r="AF113" s="1518">
        <v>0</v>
      </c>
      <c r="AG113" s="1519">
        <v>0</v>
      </c>
      <c r="AH113" s="1518">
        <v>0</v>
      </c>
      <c r="AI113" s="1518">
        <v>0</v>
      </c>
      <c r="AJ113" s="375">
        <f t="shared" si="105"/>
        <v>0</v>
      </c>
      <c r="AK113" s="212"/>
      <c r="AL113" s="417">
        <v>0</v>
      </c>
      <c r="AM113" s="417">
        <v>0</v>
      </c>
      <c r="AN113" s="417">
        <v>0</v>
      </c>
      <c r="AO113" s="417">
        <v>0</v>
      </c>
      <c r="AP113" s="417">
        <v>0</v>
      </c>
      <c r="AQ113" s="417">
        <v>0</v>
      </c>
      <c r="AR113" s="417">
        <v>0</v>
      </c>
      <c r="AS113" s="417">
        <v>0</v>
      </c>
      <c r="AT113" s="417">
        <v>0</v>
      </c>
      <c r="AU113" s="819">
        <v>0</v>
      </c>
      <c r="AV113" s="417">
        <v>0</v>
      </c>
      <c r="AW113" s="417">
        <v>0</v>
      </c>
      <c r="AX113" s="375">
        <f t="shared" si="104"/>
        <v>0</v>
      </c>
      <c r="AY113" s="366">
        <f t="shared" si="108"/>
        <v>0</v>
      </c>
      <c r="AZ113" s="165" t="e">
        <f t="shared" si="109"/>
        <v>#DIV/0!</v>
      </c>
      <c r="BA113" s="212"/>
      <c r="BB113" s="417">
        <v>0</v>
      </c>
      <c r="BC113" s="417">
        <v>0</v>
      </c>
      <c r="BD113" s="417">
        <v>0</v>
      </c>
      <c r="BE113" s="417">
        <v>0</v>
      </c>
      <c r="BF113" s="417">
        <v>0</v>
      </c>
      <c r="BG113" s="417">
        <v>0</v>
      </c>
      <c r="BH113" s="417">
        <v>0</v>
      </c>
      <c r="BI113" s="417">
        <v>0</v>
      </c>
      <c r="BJ113" s="417">
        <v>0</v>
      </c>
      <c r="BK113" s="819">
        <v>0</v>
      </c>
      <c r="BL113" s="417">
        <v>0</v>
      </c>
      <c r="BM113" s="417">
        <v>0</v>
      </c>
      <c r="BN113" s="375">
        <f t="shared" si="98"/>
        <v>0</v>
      </c>
      <c r="BO113" s="212"/>
      <c r="BP113" s="818">
        <v>0</v>
      </c>
      <c r="BQ113" s="818">
        <v>0</v>
      </c>
      <c r="BR113" s="818">
        <v>0</v>
      </c>
      <c r="BS113" s="818">
        <v>0</v>
      </c>
      <c r="BT113" s="818">
        <v>0</v>
      </c>
      <c r="BU113" s="818">
        <v>0</v>
      </c>
      <c r="BV113" s="818">
        <v>0</v>
      </c>
      <c r="BW113" s="818">
        <v>0</v>
      </c>
      <c r="BX113" s="818">
        <v>0</v>
      </c>
      <c r="BY113" s="818">
        <v>0</v>
      </c>
      <c r="BZ113" s="818">
        <v>0</v>
      </c>
      <c r="CA113" s="818">
        <v>0</v>
      </c>
      <c r="CB113" s="375">
        <f t="shared" si="114"/>
        <v>0</v>
      </c>
      <c r="CC113" s="366">
        <f t="shared" si="110"/>
        <v>0</v>
      </c>
      <c r="CD113" s="165" t="str">
        <f t="shared" si="111"/>
        <v>N/A</v>
      </c>
      <c r="CE113" s="367"/>
      <c r="CF113" s="373">
        <v>0</v>
      </c>
      <c r="CG113" s="373">
        <v>0</v>
      </c>
      <c r="CH113" s="373">
        <v>0</v>
      </c>
      <c r="CI113" s="373">
        <v>0</v>
      </c>
      <c r="CJ113" s="373">
        <v>0</v>
      </c>
      <c r="CK113" s="373">
        <v>0</v>
      </c>
      <c r="CL113" s="373">
        <v>0</v>
      </c>
      <c r="CM113" s="373">
        <v>0</v>
      </c>
      <c r="CN113" s="373">
        <v>0</v>
      </c>
      <c r="CO113" s="373">
        <v>0</v>
      </c>
      <c r="CP113" s="373">
        <v>0</v>
      </c>
      <c r="CQ113" s="373">
        <v>0</v>
      </c>
      <c r="CR113" s="376"/>
      <c r="CS113" s="375">
        <f t="shared" si="90"/>
        <v>0</v>
      </c>
      <c r="CT113" s="378">
        <f t="shared" si="112"/>
        <v>0</v>
      </c>
      <c r="CU113" s="165" t="str">
        <f t="shared" si="113"/>
        <v>N/A</v>
      </c>
      <c r="CV113" s="320"/>
      <c r="CW113" s="373">
        <v>0</v>
      </c>
      <c r="CX113" s="373">
        <v>0</v>
      </c>
      <c r="CY113" s="373">
        <v>0</v>
      </c>
      <c r="CZ113" s="373">
        <v>0</v>
      </c>
      <c r="DA113" s="373">
        <v>0</v>
      </c>
      <c r="DB113" s="373">
        <v>0</v>
      </c>
      <c r="DC113" s="373">
        <v>0</v>
      </c>
      <c r="DD113" s="373">
        <v>0</v>
      </c>
      <c r="DE113" s="373">
        <v>0</v>
      </c>
      <c r="DF113" s="373">
        <v>0</v>
      </c>
      <c r="DG113" s="373">
        <v>0</v>
      </c>
      <c r="DH113" s="373">
        <v>0</v>
      </c>
      <c r="DI113" s="375">
        <f t="shared" si="99"/>
        <v>0</v>
      </c>
      <c r="DJ113" s="320"/>
      <c r="DK113" s="373"/>
      <c r="DL113" s="373"/>
      <c r="DM113" s="373"/>
      <c r="DN113" s="373"/>
      <c r="DO113" s="373"/>
      <c r="DP113" s="373"/>
      <c r="DQ113" s="373"/>
      <c r="DR113" s="373"/>
      <c r="DS113" s="373"/>
      <c r="DT113" s="373"/>
      <c r="DU113" s="373"/>
      <c r="DV113" s="373"/>
      <c r="DW113" s="375">
        <f t="shared" si="103"/>
        <v>0</v>
      </c>
      <c r="DY113" s="373"/>
      <c r="DZ113" s="373"/>
      <c r="EA113" s="373"/>
      <c r="EB113" s="373"/>
      <c r="EC113" s="373"/>
      <c r="ED113" s="373"/>
      <c r="EE113" s="373"/>
      <c r="EF113" s="373"/>
      <c r="EG113" s="373"/>
      <c r="EH113" s="373"/>
      <c r="EI113" s="373"/>
      <c r="EJ113" s="373"/>
      <c r="EK113" s="375">
        <f t="shared" si="94"/>
        <v>0</v>
      </c>
      <c r="EL113" s="177"/>
      <c r="EM113" s="373"/>
      <c r="EN113" s="373"/>
      <c r="EO113" s="373"/>
      <c r="EP113" s="373"/>
      <c r="EQ113" s="373"/>
      <c r="ER113" s="373"/>
      <c r="ES113" s="373"/>
      <c r="ET113" s="373"/>
      <c r="EU113" s="373"/>
      <c r="EV113" s="373"/>
      <c r="EW113" s="373"/>
      <c r="EX113" s="373"/>
      <c r="EY113" s="375">
        <f t="shared" si="96"/>
        <v>0</v>
      </c>
      <c r="EZ113" s="164"/>
      <c r="FB113" s="176">
        <v>60404500</v>
      </c>
      <c r="FC113" s="185">
        <v>0</v>
      </c>
    </row>
    <row r="114" spans="1:159" ht="18.75" customHeight="1">
      <c r="A114" s="185" t="s">
        <v>617</v>
      </c>
      <c r="B114" s="176">
        <v>61400000</v>
      </c>
      <c r="C114" s="176" t="s">
        <v>326</v>
      </c>
      <c r="D114" s="176" t="s">
        <v>109</v>
      </c>
      <c r="E114" s="324"/>
      <c r="F114" s="320" t="s">
        <v>672</v>
      </c>
      <c r="G114" s="320"/>
      <c r="H114" s="417">
        <v>0</v>
      </c>
      <c r="I114" s="417">
        <v>0</v>
      </c>
      <c r="J114" s="417">
        <v>0</v>
      </c>
      <c r="K114" s="417">
        <v>0</v>
      </c>
      <c r="L114" s="417">
        <v>0</v>
      </c>
      <c r="M114" s="417">
        <v>0</v>
      </c>
      <c r="N114" s="417">
        <v>0</v>
      </c>
      <c r="O114" s="417">
        <v>0</v>
      </c>
      <c r="P114" s="417">
        <v>0</v>
      </c>
      <c r="Q114" s="819">
        <v>0</v>
      </c>
      <c r="R114" s="417">
        <v>0</v>
      </c>
      <c r="S114" s="417">
        <v>0</v>
      </c>
      <c r="T114" s="402"/>
      <c r="U114" s="366">
        <f t="shared" si="115"/>
        <v>0</v>
      </c>
      <c r="V114" s="165" t="e">
        <f t="shared" si="107"/>
        <v>#DIV/0!</v>
      </c>
      <c r="W114" s="212"/>
      <c r="X114" s="1518">
        <v>0</v>
      </c>
      <c r="Y114" s="1518">
        <v>0</v>
      </c>
      <c r="Z114" s="1518">
        <v>0</v>
      </c>
      <c r="AA114" s="1518">
        <v>0</v>
      </c>
      <c r="AB114" s="1518">
        <v>0</v>
      </c>
      <c r="AC114" s="1518">
        <v>0</v>
      </c>
      <c r="AD114" s="1518">
        <v>0</v>
      </c>
      <c r="AE114" s="1518">
        <v>0</v>
      </c>
      <c r="AF114" s="1518">
        <v>0</v>
      </c>
      <c r="AG114" s="1519">
        <v>0</v>
      </c>
      <c r="AH114" s="1518">
        <v>0</v>
      </c>
      <c r="AI114" s="1518">
        <v>0</v>
      </c>
      <c r="AJ114" s="375">
        <f t="shared" si="105"/>
        <v>0</v>
      </c>
      <c r="AK114" s="212"/>
      <c r="AL114" s="417">
        <v>0</v>
      </c>
      <c r="AM114" s="417">
        <v>0</v>
      </c>
      <c r="AN114" s="417">
        <v>0</v>
      </c>
      <c r="AO114" s="417">
        <v>0</v>
      </c>
      <c r="AP114" s="417">
        <v>0</v>
      </c>
      <c r="AQ114" s="417">
        <v>0</v>
      </c>
      <c r="AR114" s="417">
        <v>0</v>
      </c>
      <c r="AS114" s="417">
        <v>0</v>
      </c>
      <c r="AT114" s="417">
        <v>0</v>
      </c>
      <c r="AU114" s="819">
        <v>0</v>
      </c>
      <c r="AV114" s="417">
        <v>0</v>
      </c>
      <c r="AW114" s="417">
        <v>0</v>
      </c>
      <c r="AX114" s="375">
        <f t="shared" ref="AX114:AX147" si="116">SUM(AL114:AW114)</f>
        <v>0</v>
      </c>
      <c r="AY114" s="366">
        <f t="shared" si="108"/>
        <v>0</v>
      </c>
      <c r="AZ114" s="165" t="e">
        <f t="shared" si="109"/>
        <v>#DIV/0!</v>
      </c>
      <c r="BA114" s="212"/>
      <c r="BB114" s="417">
        <v>0</v>
      </c>
      <c r="BC114" s="417">
        <v>0</v>
      </c>
      <c r="BD114" s="417">
        <v>0</v>
      </c>
      <c r="BE114" s="417">
        <v>0</v>
      </c>
      <c r="BF114" s="417">
        <v>0</v>
      </c>
      <c r="BG114" s="417">
        <v>0</v>
      </c>
      <c r="BH114" s="417">
        <v>0</v>
      </c>
      <c r="BI114" s="417">
        <v>0</v>
      </c>
      <c r="BJ114" s="417">
        <v>0</v>
      </c>
      <c r="BK114" s="819">
        <v>0</v>
      </c>
      <c r="BL114" s="417">
        <v>0</v>
      </c>
      <c r="BM114" s="417">
        <v>0</v>
      </c>
      <c r="BN114" s="375">
        <f t="shared" ref="BN114:BN156" si="117">SUM(BB114:BM114)</f>
        <v>0</v>
      </c>
      <c r="BO114" s="212"/>
      <c r="BP114" s="818">
        <v>0</v>
      </c>
      <c r="BQ114" s="818">
        <v>0</v>
      </c>
      <c r="BR114" s="818">
        <v>0</v>
      </c>
      <c r="BS114" s="818">
        <v>0</v>
      </c>
      <c r="BT114" s="818">
        <v>0</v>
      </c>
      <c r="BU114" s="818">
        <v>0</v>
      </c>
      <c r="BV114" s="818">
        <v>0</v>
      </c>
      <c r="BW114" s="818">
        <v>0</v>
      </c>
      <c r="BX114" s="818">
        <v>0</v>
      </c>
      <c r="BY114" s="818">
        <v>0</v>
      </c>
      <c r="BZ114" s="818">
        <v>0</v>
      </c>
      <c r="CA114" s="818">
        <v>0</v>
      </c>
      <c r="CB114" s="375">
        <f t="shared" si="114"/>
        <v>0</v>
      </c>
      <c r="CC114" s="366">
        <f t="shared" si="110"/>
        <v>0</v>
      </c>
      <c r="CD114" s="165" t="str">
        <f t="shared" si="111"/>
        <v>N/A</v>
      </c>
      <c r="CE114" s="367"/>
      <c r="CF114" s="373">
        <v>0</v>
      </c>
      <c r="CG114" s="373">
        <v>0</v>
      </c>
      <c r="CH114" s="373">
        <v>0</v>
      </c>
      <c r="CI114" s="373">
        <v>0</v>
      </c>
      <c r="CJ114" s="373">
        <v>0</v>
      </c>
      <c r="CK114" s="373">
        <v>0</v>
      </c>
      <c r="CL114" s="373">
        <v>0</v>
      </c>
      <c r="CM114" s="373">
        <v>0</v>
      </c>
      <c r="CN114" s="373">
        <v>0</v>
      </c>
      <c r="CO114" s="373">
        <v>0</v>
      </c>
      <c r="CP114" s="373">
        <v>0</v>
      </c>
      <c r="CQ114" s="373">
        <v>0</v>
      </c>
      <c r="CR114" s="376"/>
      <c r="CS114" s="375">
        <f t="shared" si="90"/>
        <v>0</v>
      </c>
      <c r="CT114" s="378">
        <f t="shared" si="112"/>
        <v>0</v>
      </c>
      <c r="CU114" s="165" t="str">
        <f t="shared" si="113"/>
        <v>N/A</v>
      </c>
      <c r="CV114" s="320"/>
      <c r="CW114" s="373">
        <v>0</v>
      </c>
      <c r="CX114" s="373">
        <v>0</v>
      </c>
      <c r="CY114" s="373">
        <v>0</v>
      </c>
      <c r="CZ114" s="373">
        <v>0</v>
      </c>
      <c r="DA114" s="373">
        <v>0</v>
      </c>
      <c r="DB114" s="373">
        <v>0</v>
      </c>
      <c r="DC114" s="373">
        <v>0</v>
      </c>
      <c r="DD114" s="373">
        <v>0</v>
      </c>
      <c r="DE114" s="373">
        <v>0</v>
      </c>
      <c r="DF114" s="373">
        <v>0</v>
      </c>
      <c r="DG114" s="373">
        <v>0</v>
      </c>
      <c r="DH114" s="373">
        <v>0</v>
      </c>
      <c r="DI114" s="375">
        <f t="shared" si="99"/>
        <v>0</v>
      </c>
      <c r="DJ114" s="320"/>
      <c r="DK114" s="373"/>
      <c r="DL114" s="373"/>
      <c r="DM114" s="373"/>
      <c r="DN114" s="373"/>
      <c r="DO114" s="373"/>
      <c r="DP114" s="373"/>
      <c r="DQ114" s="373"/>
      <c r="DR114" s="373"/>
      <c r="DS114" s="373"/>
      <c r="DT114" s="373"/>
      <c r="DU114" s="373"/>
      <c r="DV114" s="373"/>
      <c r="DW114" s="375">
        <f t="shared" si="103"/>
        <v>0</v>
      </c>
      <c r="DY114" s="373"/>
      <c r="DZ114" s="373"/>
      <c r="EA114" s="373"/>
      <c r="EB114" s="373"/>
      <c r="EC114" s="373"/>
      <c r="ED114" s="373"/>
      <c r="EE114" s="373"/>
      <c r="EF114" s="373"/>
      <c r="EG114" s="373"/>
      <c r="EH114" s="373"/>
      <c r="EI114" s="373"/>
      <c r="EJ114" s="373"/>
      <c r="EK114" s="375">
        <f t="shared" si="94"/>
        <v>0</v>
      </c>
      <c r="EL114" s="177"/>
      <c r="EM114" s="373"/>
      <c r="EN114" s="373"/>
      <c r="EO114" s="373"/>
      <c r="EP114" s="373"/>
      <c r="EQ114" s="373"/>
      <c r="ER114" s="373"/>
      <c r="ES114" s="373"/>
      <c r="ET114" s="373"/>
      <c r="EU114" s="373">
        <v>70633.279999999999</v>
      </c>
      <c r="EV114" s="373"/>
      <c r="EW114" s="373"/>
      <c r="EX114" s="373"/>
      <c r="EY114" s="375">
        <f t="shared" si="96"/>
        <v>70633.279999999999</v>
      </c>
      <c r="EZ114" s="164"/>
      <c r="FC114" s="185">
        <v>0</v>
      </c>
    </row>
    <row r="115" spans="1:159" ht="18.75" customHeight="1" outlineLevel="1">
      <c r="A115" s="185" t="s">
        <v>617</v>
      </c>
      <c r="B115" s="176">
        <v>61410000</v>
      </c>
      <c r="C115" s="176" t="s">
        <v>326</v>
      </c>
      <c r="D115" s="176" t="s">
        <v>109</v>
      </c>
      <c r="E115" s="324"/>
      <c r="F115" s="320" t="s">
        <v>673</v>
      </c>
      <c r="G115" s="320"/>
      <c r="H115" s="417">
        <v>0</v>
      </c>
      <c r="I115" s="417">
        <v>0</v>
      </c>
      <c r="J115" s="417">
        <v>0</v>
      </c>
      <c r="K115" s="417">
        <v>0</v>
      </c>
      <c r="L115" s="417">
        <v>0</v>
      </c>
      <c r="M115" s="417">
        <v>0</v>
      </c>
      <c r="N115" s="417">
        <v>0</v>
      </c>
      <c r="O115" s="417">
        <v>0</v>
      </c>
      <c r="P115" s="417">
        <v>0</v>
      </c>
      <c r="Q115" s="819">
        <v>0</v>
      </c>
      <c r="R115" s="417">
        <v>0</v>
      </c>
      <c r="S115" s="417">
        <v>0</v>
      </c>
      <c r="T115" s="402"/>
      <c r="U115" s="366"/>
      <c r="V115" s="165"/>
      <c r="W115" s="212"/>
      <c r="X115" s="1518">
        <v>0</v>
      </c>
      <c r="Y115" s="1518">
        <v>0</v>
      </c>
      <c r="Z115" s="1518">
        <v>0</v>
      </c>
      <c r="AA115" s="1518">
        <v>0</v>
      </c>
      <c r="AB115" s="1518">
        <v>0</v>
      </c>
      <c r="AC115" s="1518">
        <v>0</v>
      </c>
      <c r="AD115" s="1518">
        <v>0</v>
      </c>
      <c r="AE115" s="1518">
        <v>0</v>
      </c>
      <c r="AF115" s="1518">
        <v>0</v>
      </c>
      <c r="AG115" s="1519">
        <v>0</v>
      </c>
      <c r="AH115" s="1518">
        <v>0</v>
      </c>
      <c r="AI115" s="1518">
        <v>0</v>
      </c>
      <c r="AJ115" s="375">
        <f t="shared" ref="AJ115:AJ147" si="118">SUM(X115:AI115)</f>
        <v>0</v>
      </c>
      <c r="AK115" s="212"/>
      <c r="AL115" s="417">
        <v>0</v>
      </c>
      <c r="AM115" s="417">
        <v>0</v>
      </c>
      <c r="AN115" s="417">
        <v>0</v>
      </c>
      <c r="AO115" s="417">
        <v>0</v>
      </c>
      <c r="AP115" s="417">
        <v>0</v>
      </c>
      <c r="AQ115" s="417">
        <v>0</v>
      </c>
      <c r="AR115" s="417">
        <v>0</v>
      </c>
      <c r="AS115" s="417">
        <v>0</v>
      </c>
      <c r="AT115" s="417">
        <v>0</v>
      </c>
      <c r="AU115" s="819">
        <v>0</v>
      </c>
      <c r="AV115" s="417">
        <v>0</v>
      </c>
      <c r="AW115" s="417">
        <v>0</v>
      </c>
      <c r="AX115" s="375">
        <f t="shared" si="116"/>
        <v>0</v>
      </c>
      <c r="AY115" s="366"/>
      <c r="AZ115" s="165"/>
      <c r="BA115" s="212"/>
      <c r="BB115" s="417">
        <v>0</v>
      </c>
      <c r="BC115" s="417">
        <v>0</v>
      </c>
      <c r="BD115" s="417">
        <v>0</v>
      </c>
      <c r="BE115" s="417">
        <v>0</v>
      </c>
      <c r="BF115" s="417">
        <v>0</v>
      </c>
      <c r="BG115" s="417">
        <v>0</v>
      </c>
      <c r="BH115" s="417">
        <v>0</v>
      </c>
      <c r="BI115" s="417">
        <v>0</v>
      </c>
      <c r="BJ115" s="417">
        <v>0</v>
      </c>
      <c r="BK115" s="819">
        <v>0</v>
      </c>
      <c r="BL115" s="417">
        <v>0</v>
      </c>
      <c r="BM115" s="417">
        <v>0</v>
      </c>
      <c r="BN115" s="375">
        <f t="shared" si="117"/>
        <v>0</v>
      </c>
      <c r="BO115" s="212"/>
      <c r="BP115" s="818">
        <v>0</v>
      </c>
      <c r="BQ115" s="818">
        <v>0</v>
      </c>
      <c r="BR115" s="818">
        <v>0</v>
      </c>
      <c r="BS115" s="818">
        <v>0</v>
      </c>
      <c r="BT115" s="818">
        <v>0</v>
      </c>
      <c r="BU115" s="818">
        <v>0</v>
      </c>
      <c r="BV115" s="818">
        <v>0</v>
      </c>
      <c r="BW115" s="818">
        <v>0</v>
      </c>
      <c r="BX115" s="818">
        <v>0</v>
      </c>
      <c r="BY115" s="818">
        <v>0</v>
      </c>
      <c r="BZ115" s="818">
        <v>0</v>
      </c>
      <c r="CA115" s="818">
        <v>0</v>
      </c>
      <c r="CB115" s="375">
        <f t="shared" si="114"/>
        <v>0</v>
      </c>
      <c r="CC115" s="366">
        <f t="shared" si="110"/>
        <v>0</v>
      </c>
      <c r="CD115" s="165" t="str">
        <f t="shared" si="111"/>
        <v>N/A</v>
      </c>
      <c r="CE115" s="367"/>
      <c r="CF115" s="373">
        <v>0</v>
      </c>
      <c r="CG115" s="373">
        <v>0</v>
      </c>
      <c r="CH115" s="373">
        <v>0</v>
      </c>
      <c r="CI115" s="373">
        <v>0</v>
      </c>
      <c r="CJ115" s="373">
        <v>0</v>
      </c>
      <c r="CK115" s="373">
        <v>0</v>
      </c>
      <c r="CL115" s="373">
        <v>0</v>
      </c>
      <c r="CM115" s="373">
        <v>0</v>
      </c>
      <c r="CN115" s="373">
        <v>0</v>
      </c>
      <c r="CO115" s="373">
        <v>0</v>
      </c>
      <c r="CP115" s="373">
        <v>0</v>
      </c>
      <c r="CQ115" s="373">
        <v>0</v>
      </c>
      <c r="CR115" s="376"/>
      <c r="CS115" s="375">
        <f t="shared" si="90"/>
        <v>0</v>
      </c>
      <c r="CT115" s="378">
        <f t="shared" si="112"/>
        <v>0</v>
      </c>
      <c r="CU115" s="165" t="str">
        <f t="shared" si="113"/>
        <v>N/A</v>
      </c>
      <c r="CV115" s="320"/>
      <c r="CW115" s="373">
        <v>0</v>
      </c>
      <c r="CX115" s="373">
        <v>0</v>
      </c>
      <c r="CY115" s="373">
        <v>0</v>
      </c>
      <c r="CZ115" s="373">
        <v>0</v>
      </c>
      <c r="DA115" s="373">
        <v>0</v>
      </c>
      <c r="DB115" s="373">
        <v>0</v>
      </c>
      <c r="DC115" s="373">
        <v>0</v>
      </c>
      <c r="DD115" s="373">
        <v>0</v>
      </c>
      <c r="DE115" s="373">
        <v>0</v>
      </c>
      <c r="DF115" s="373">
        <v>0</v>
      </c>
      <c r="DG115" s="373">
        <v>0</v>
      </c>
      <c r="DH115" s="373">
        <v>0</v>
      </c>
      <c r="DI115" s="375">
        <f t="shared" si="99"/>
        <v>0</v>
      </c>
      <c r="DJ115" s="320"/>
      <c r="DK115" s="373"/>
      <c r="DL115" s="373"/>
      <c r="DM115" s="373"/>
      <c r="DN115" s="373"/>
      <c r="DO115" s="373"/>
      <c r="DP115" s="373"/>
      <c r="DQ115" s="373"/>
      <c r="DR115" s="373"/>
      <c r="DS115" s="373"/>
      <c r="DT115" s="373"/>
      <c r="DU115" s="373"/>
      <c r="DV115" s="373"/>
      <c r="DW115" s="375">
        <f t="shared" si="103"/>
        <v>0</v>
      </c>
      <c r="DY115" s="373"/>
      <c r="DZ115" s="373"/>
      <c r="EA115" s="373"/>
      <c r="EB115" s="373"/>
      <c r="EC115" s="373"/>
      <c r="ED115" s="373"/>
      <c r="EE115" s="373"/>
      <c r="EF115" s="373"/>
      <c r="EG115" s="373"/>
      <c r="EH115" s="373"/>
      <c r="EI115" s="373"/>
      <c r="EJ115" s="373"/>
      <c r="EK115" s="375">
        <f t="shared" si="94"/>
        <v>0</v>
      </c>
      <c r="EL115" s="177"/>
      <c r="EM115" s="373"/>
      <c r="EN115" s="373"/>
      <c r="EO115" s="373"/>
      <c r="EP115" s="373"/>
      <c r="EQ115" s="373"/>
      <c r="ER115" s="373"/>
      <c r="ES115" s="373"/>
      <c r="ET115" s="373"/>
      <c r="EU115" s="373"/>
      <c r="EV115" s="373"/>
      <c r="EW115" s="373"/>
      <c r="EX115" s="373"/>
      <c r="EY115" s="375">
        <f t="shared" si="96"/>
        <v>0</v>
      </c>
      <c r="EZ115" s="164"/>
      <c r="FB115" s="185" t="e">
        <v>#N/A</v>
      </c>
      <c r="FC115" s="185">
        <v>0</v>
      </c>
    </row>
    <row r="116" spans="1:159" ht="18.75" customHeight="1" outlineLevel="1">
      <c r="A116" s="185" t="s">
        <v>327</v>
      </c>
      <c r="B116" s="176">
        <v>63101000</v>
      </c>
      <c r="C116" s="176" t="s">
        <v>1104</v>
      </c>
      <c r="D116" s="176" t="s">
        <v>335</v>
      </c>
      <c r="E116" s="324"/>
      <c r="F116" s="320" t="s">
        <v>674</v>
      </c>
      <c r="G116" s="320"/>
      <c r="H116" s="417">
        <v>0</v>
      </c>
      <c r="I116" s="417">
        <v>0</v>
      </c>
      <c r="J116" s="417">
        <v>0</v>
      </c>
      <c r="K116" s="417">
        <v>0</v>
      </c>
      <c r="L116" s="417">
        <v>0</v>
      </c>
      <c r="M116" s="417">
        <v>0</v>
      </c>
      <c r="N116" s="417">
        <v>0</v>
      </c>
      <c r="O116" s="417">
        <v>0</v>
      </c>
      <c r="P116" s="417">
        <v>0</v>
      </c>
      <c r="Q116" s="819">
        <v>0</v>
      </c>
      <c r="R116" s="417">
        <v>0</v>
      </c>
      <c r="S116" s="417">
        <v>0</v>
      </c>
      <c r="T116" s="402"/>
      <c r="U116" s="366"/>
      <c r="V116" s="165"/>
      <c r="W116" s="212"/>
      <c r="X116" s="1518">
        <v>0</v>
      </c>
      <c r="Y116" s="1518">
        <v>0</v>
      </c>
      <c r="Z116" s="1518">
        <v>0</v>
      </c>
      <c r="AA116" s="1518">
        <v>0</v>
      </c>
      <c r="AB116" s="1518">
        <v>0</v>
      </c>
      <c r="AC116" s="1518">
        <v>0</v>
      </c>
      <c r="AD116" s="1518">
        <v>0</v>
      </c>
      <c r="AE116" s="1518">
        <v>0</v>
      </c>
      <c r="AF116" s="1518">
        <v>0</v>
      </c>
      <c r="AG116" s="1519">
        <v>0</v>
      </c>
      <c r="AH116" s="1518">
        <v>0</v>
      </c>
      <c r="AI116" s="1518">
        <v>0</v>
      </c>
      <c r="AJ116" s="375">
        <f t="shared" si="118"/>
        <v>0</v>
      </c>
      <c r="AK116" s="212"/>
      <c r="AL116" s="417">
        <v>0</v>
      </c>
      <c r="AM116" s="417">
        <v>0</v>
      </c>
      <c r="AN116" s="417">
        <v>0</v>
      </c>
      <c r="AO116" s="417">
        <v>0</v>
      </c>
      <c r="AP116" s="417">
        <v>0</v>
      </c>
      <c r="AQ116" s="417">
        <v>0</v>
      </c>
      <c r="AR116" s="417">
        <v>0</v>
      </c>
      <c r="AS116" s="417">
        <v>0</v>
      </c>
      <c r="AT116" s="417">
        <v>0</v>
      </c>
      <c r="AU116" s="819">
        <v>0</v>
      </c>
      <c r="AV116" s="417">
        <v>0</v>
      </c>
      <c r="AW116" s="417">
        <v>0</v>
      </c>
      <c r="AX116" s="375">
        <f t="shared" si="116"/>
        <v>0</v>
      </c>
      <c r="AY116" s="366"/>
      <c r="AZ116" s="165"/>
      <c r="BA116" s="212"/>
      <c r="BB116" s="417">
        <v>0</v>
      </c>
      <c r="BC116" s="417">
        <v>0</v>
      </c>
      <c r="BD116" s="417">
        <v>0</v>
      </c>
      <c r="BE116" s="417">
        <v>0</v>
      </c>
      <c r="BF116" s="417">
        <v>0</v>
      </c>
      <c r="BG116" s="417">
        <v>0</v>
      </c>
      <c r="BH116" s="417">
        <v>0</v>
      </c>
      <c r="BI116" s="417">
        <v>0</v>
      </c>
      <c r="BJ116" s="417">
        <v>0</v>
      </c>
      <c r="BK116" s="819">
        <v>0</v>
      </c>
      <c r="BL116" s="417">
        <v>0</v>
      </c>
      <c r="BM116" s="417">
        <v>0</v>
      </c>
      <c r="BN116" s="375">
        <f t="shared" si="117"/>
        <v>0</v>
      </c>
      <c r="BO116" s="212"/>
      <c r="BP116" s="818">
        <v>0</v>
      </c>
      <c r="BQ116" s="818">
        <v>0</v>
      </c>
      <c r="BR116" s="818">
        <v>0</v>
      </c>
      <c r="BS116" s="818">
        <v>0</v>
      </c>
      <c r="BT116" s="818">
        <v>0</v>
      </c>
      <c r="BU116" s="818">
        <v>0</v>
      </c>
      <c r="BV116" s="818">
        <v>0</v>
      </c>
      <c r="BW116" s="818">
        <v>0</v>
      </c>
      <c r="BX116" s="818">
        <v>0</v>
      </c>
      <c r="BY116" s="818">
        <v>0</v>
      </c>
      <c r="BZ116" s="818">
        <v>0</v>
      </c>
      <c r="CA116" s="818">
        <v>0</v>
      </c>
      <c r="CB116" s="375">
        <f t="shared" si="114"/>
        <v>0</v>
      </c>
      <c r="CC116" s="366">
        <f t="shared" si="110"/>
        <v>0</v>
      </c>
      <c r="CD116" s="165" t="str">
        <f t="shared" si="111"/>
        <v>N/A</v>
      </c>
      <c r="CE116" s="367"/>
      <c r="CF116" s="373">
        <v>0</v>
      </c>
      <c r="CG116" s="373">
        <v>0</v>
      </c>
      <c r="CH116" s="373">
        <v>0</v>
      </c>
      <c r="CI116" s="373">
        <v>0</v>
      </c>
      <c r="CJ116" s="373">
        <v>0</v>
      </c>
      <c r="CK116" s="373">
        <v>0</v>
      </c>
      <c r="CL116" s="373">
        <v>0</v>
      </c>
      <c r="CM116" s="373">
        <v>0</v>
      </c>
      <c r="CN116" s="373">
        <v>0</v>
      </c>
      <c r="CO116" s="373">
        <v>0</v>
      </c>
      <c r="CP116" s="373">
        <v>0</v>
      </c>
      <c r="CQ116" s="373">
        <v>0</v>
      </c>
      <c r="CR116" s="376"/>
      <c r="CS116" s="375">
        <f t="shared" si="90"/>
        <v>0</v>
      </c>
      <c r="CT116" s="378">
        <f t="shared" si="112"/>
        <v>0</v>
      </c>
      <c r="CU116" s="165" t="str">
        <f t="shared" si="113"/>
        <v>N/A</v>
      </c>
      <c r="CV116" s="320"/>
      <c r="CW116" s="373">
        <v>0</v>
      </c>
      <c r="CX116" s="373">
        <v>0</v>
      </c>
      <c r="CY116" s="373">
        <v>0</v>
      </c>
      <c r="CZ116" s="373">
        <v>0</v>
      </c>
      <c r="DA116" s="373">
        <v>0</v>
      </c>
      <c r="DB116" s="373">
        <v>0</v>
      </c>
      <c r="DC116" s="373">
        <v>0</v>
      </c>
      <c r="DD116" s="373">
        <v>0</v>
      </c>
      <c r="DE116" s="373">
        <v>0</v>
      </c>
      <c r="DF116" s="373">
        <v>0</v>
      </c>
      <c r="DG116" s="373">
        <v>0</v>
      </c>
      <c r="DH116" s="373">
        <v>0</v>
      </c>
      <c r="DI116" s="375">
        <f t="shared" si="99"/>
        <v>0</v>
      </c>
      <c r="DJ116" s="320"/>
      <c r="DK116" s="373"/>
      <c r="DL116" s="373"/>
      <c r="DM116" s="373"/>
      <c r="DN116" s="373"/>
      <c r="DO116" s="373"/>
      <c r="DP116" s="373"/>
      <c r="DQ116" s="373"/>
      <c r="DR116" s="373"/>
      <c r="DS116" s="373"/>
      <c r="DT116" s="373"/>
      <c r="DU116" s="373"/>
      <c r="DV116" s="373"/>
      <c r="DW116" s="375">
        <f t="shared" si="103"/>
        <v>0</v>
      </c>
      <c r="DY116" s="373"/>
      <c r="DZ116" s="373"/>
      <c r="EA116" s="373"/>
      <c r="EB116" s="373"/>
      <c r="EC116" s="373"/>
      <c r="ED116" s="373"/>
      <c r="EE116" s="373"/>
      <c r="EF116" s="373"/>
      <c r="EG116" s="373"/>
      <c r="EH116" s="373"/>
      <c r="EI116" s="373"/>
      <c r="EJ116" s="373"/>
      <c r="EK116" s="375">
        <f t="shared" si="94"/>
        <v>0</v>
      </c>
      <c r="EL116" s="177"/>
      <c r="EM116" s="373"/>
      <c r="EN116" s="373"/>
      <c r="EO116" s="373"/>
      <c r="EP116" s="373"/>
      <c r="EQ116" s="373"/>
      <c r="ER116" s="373"/>
      <c r="ES116" s="373"/>
      <c r="ET116" s="373"/>
      <c r="EU116" s="373"/>
      <c r="EV116" s="373"/>
      <c r="EW116" s="373"/>
      <c r="EX116" s="373"/>
      <c r="EY116" s="375">
        <f t="shared" si="96"/>
        <v>0</v>
      </c>
      <c r="EZ116" s="164"/>
      <c r="FB116" s="185">
        <v>60409000</v>
      </c>
      <c r="FC116" s="185">
        <v>0</v>
      </c>
    </row>
    <row r="117" spans="1:159" ht="18.75" customHeight="1" outlineLevel="1">
      <c r="A117" s="185" t="s">
        <v>327</v>
      </c>
      <c r="B117" s="176">
        <v>63102000</v>
      </c>
      <c r="C117" s="176" t="s">
        <v>1104</v>
      </c>
      <c r="D117" s="176" t="s">
        <v>335</v>
      </c>
      <c r="E117" s="324"/>
      <c r="F117" s="320" t="s">
        <v>675</v>
      </c>
      <c r="G117" s="320"/>
      <c r="H117" s="417">
        <v>0</v>
      </c>
      <c r="I117" s="417">
        <v>0</v>
      </c>
      <c r="J117" s="417">
        <v>0</v>
      </c>
      <c r="K117" s="417">
        <v>0</v>
      </c>
      <c r="L117" s="417">
        <v>0</v>
      </c>
      <c r="M117" s="417">
        <v>0</v>
      </c>
      <c r="N117" s="417">
        <v>0</v>
      </c>
      <c r="O117" s="417">
        <v>0</v>
      </c>
      <c r="P117" s="417">
        <v>0</v>
      </c>
      <c r="Q117" s="819">
        <v>0</v>
      </c>
      <c r="R117" s="417">
        <v>0</v>
      </c>
      <c r="S117" s="417">
        <v>0</v>
      </c>
      <c r="T117" s="402"/>
      <c r="U117" s="366"/>
      <c r="V117" s="165"/>
      <c r="W117" s="212"/>
      <c r="X117" s="1518">
        <v>0</v>
      </c>
      <c r="Y117" s="1518">
        <v>0</v>
      </c>
      <c r="Z117" s="1518">
        <v>0</v>
      </c>
      <c r="AA117" s="1518">
        <v>0</v>
      </c>
      <c r="AB117" s="1518">
        <v>0</v>
      </c>
      <c r="AC117" s="1518">
        <v>0</v>
      </c>
      <c r="AD117" s="1518">
        <v>0</v>
      </c>
      <c r="AE117" s="1518">
        <v>0</v>
      </c>
      <c r="AF117" s="1518">
        <v>0</v>
      </c>
      <c r="AG117" s="1519">
        <v>0</v>
      </c>
      <c r="AH117" s="1518">
        <v>0</v>
      </c>
      <c r="AI117" s="1518">
        <v>0</v>
      </c>
      <c r="AJ117" s="375">
        <f t="shared" si="118"/>
        <v>0</v>
      </c>
      <c r="AK117" s="212"/>
      <c r="AL117" s="417">
        <v>0</v>
      </c>
      <c r="AM117" s="417">
        <v>0</v>
      </c>
      <c r="AN117" s="417">
        <v>0</v>
      </c>
      <c r="AO117" s="417">
        <v>0</v>
      </c>
      <c r="AP117" s="417">
        <v>0</v>
      </c>
      <c r="AQ117" s="417">
        <v>0</v>
      </c>
      <c r="AR117" s="417">
        <v>0</v>
      </c>
      <c r="AS117" s="417">
        <v>0</v>
      </c>
      <c r="AT117" s="417">
        <v>0</v>
      </c>
      <c r="AU117" s="819">
        <v>0</v>
      </c>
      <c r="AV117" s="417">
        <v>0</v>
      </c>
      <c r="AW117" s="417">
        <v>0</v>
      </c>
      <c r="AX117" s="375">
        <f t="shared" si="116"/>
        <v>0</v>
      </c>
      <c r="AY117" s="366"/>
      <c r="AZ117" s="165"/>
      <c r="BA117" s="212"/>
      <c r="BB117" s="417">
        <v>0</v>
      </c>
      <c r="BC117" s="417">
        <v>0</v>
      </c>
      <c r="BD117" s="417">
        <v>0</v>
      </c>
      <c r="BE117" s="417">
        <v>0</v>
      </c>
      <c r="BF117" s="417">
        <v>0</v>
      </c>
      <c r="BG117" s="417">
        <v>0</v>
      </c>
      <c r="BH117" s="417">
        <v>0</v>
      </c>
      <c r="BI117" s="417">
        <v>0</v>
      </c>
      <c r="BJ117" s="417">
        <v>0</v>
      </c>
      <c r="BK117" s="819">
        <v>0</v>
      </c>
      <c r="BL117" s="417">
        <v>0</v>
      </c>
      <c r="BM117" s="417">
        <v>0</v>
      </c>
      <c r="BN117" s="375">
        <f t="shared" si="117"/>
        <v>0</v>
      </c>
      <c r="BO117" s="212"/>
      <c r="BP117" s="818">
        <v>0</v>
      </c>
      <c r="BQ117" s="818">
        <v>0</v>
      </c>
      <c r="BR117" s="818">
        <v>0</v>
      </c>
      <c r="BS117" s="818">
        <v>0</v>
      </c>
      <c r="BT117" s="818">
        <v>0</v>
      </c>
      <c r="BU117" s="818">
        <v>0</v>
      </c>
      <c r="BV117" s="818">
        <v>0</v>
      </c>
      <c r="BW117" s="818">
        <v>0</v>
      </c>
      <c r="BX117" s="818">
        <v>0</v>
      </c>
      <c r="BY117" s="818">
        <v>0</v>
      </c>
      <c r="BZ117" s="818">
        <v>0</v>
      </c>
      <c r="CA117" s="818">
        <v>0</v>
      </c>
      <c r="CB117" s="375">
        <f t="shared" si="114"/>
        <v>0</v>
      </c>
      <c r="CC117" s="366">
        <f t="shared" si="110"/>
        <v>0</v>
      </c>
      <c r="CD117" s="165" t="str">
        <f t="shared" si="111"/>
        <v>N/A</v>
      </c>
      <c r="CE117" s="367"/>
      <c r="CF117" s="373">
        <v>0</v>
      </c>
      <c r="CG117" s="373">
        <v>0</v>
      </c>
      <c r="CH117" s="373">
        <v>0</v>
      </c>
      <c r="CI117" s="373">
        <v>0</v>
      </c>
      <c r="CJ117" s="373">
        <v>0</v>
      </c>
      <c r="CK117" s="373">
        <v>0</v>
      </c>
      <c r="CL117" s="373">
        <v>0</v>
      </c>
      <c r="CM117" s="373">
        <v>0</v>
      </c>
      <c r="CN117" s="373">
        <v>0</v>
      </c>
      <c r="CO117" s="373">
        <v>0</v>
      </c>
      <c r="CP117" s="373">
        <v>0</v>
      </c>
      <c r="CQ117" s="373">
        <v>0</v>
      </c>
      <c r="CR117" s="376"/>
      <c r="CS117" s="375">
        <f t="shared" si="90"/>
        <v>0</v>
      </c>
      <c r="CT117" s="378">
        <f t="shared" si="112"/>
        <v>0</v>
      </c>
      <c r="CU117" s="165" t="str">
        <f t="shared" si="113"/>
        <v>N/A</v>
      </c>
      <c r="CV117" s="320"/>
      <c r="CW117" s="373">
        <v>0</v>
      </c>
      <c r="CX117" s="373">
        <v>0</v>
      </c>
      <c r="CY117" s="373">
        <v>0</v>
      </c>
      <c r="CZ117" s="373">
        <v>0</v>
      </c>
      <c r="DA117" s="373">
        <v>0</v>
      </c>
      <c r="DB117" s="373">
        <v>0</v>
      </c>
      <c r="DC117" s="373">
        <v>0</v>
      </c>
      <c r="DD117" s="373">
        <v>0</v>
      </c>
      <c r="DE117" s="373">
        <v>0</v>
      </c>
      <c r="DF117" s="373">
        <v>0</v>
      </c>
      <c r="DG117" s="373">
        <v>0</v>
      </c>
      <c r="DH117" s="373">
        <v>0</v>
      </c>
      <c r="DI117" s="375">
        <f t="shared" si="99"/>
        <v>0</v>
      </c>
      <c r="DJ117" s="320"/>
      <c r="DK117" s="373"/>
      <c r="DL117" s="373"/>
      <c r="DM117" s="373"/>
      <c r="DN117" s="373"/>
      <c r="DO117" s="373"/>
      <c r="DP117" s="373"/>
      <c r="DQ117" s="373"/>
      <c r="DR117" s="373"/>
      <c r="DS117" s="373"/>
      <c r="DT117" s="373"/>
      <c r="DU117" s="373"/>
      <c r="DV117" s="373"/>
      <c r="DW117" s="375">
        <f t="shared" ref="DW117:DW129" si="119">SUM(DK117:DV117)</f>
        <v>0</v>
      </c>
      <c r="DY117" s="373"/>
      <c r="DZ117" s="373"/>
      <c r="EA117" s="373"/>
      <c r="EB117" s="373"/>
      <c r="EC117" s="373"/>
      <c r="ED117" s="373"/>
      <c r="EE117" s="373"/>
      <c r="EF117" s="373"/>
      <c r="EG117" s="373"/>
      <c r="EH117" s="373"/>
      <c r="EI117" s="373"/>
      <c r="EJ117" s="373"/>
      <c r="EK117" s="375">
        <f t="shared" si="94"/>
        <v>0</v>
      </c>
      <c r="EL117" s="177"/>
      <c r="EM117" s="373"/>
      <c r="EN117" s="373"/>
      <c r="EO117" s="373"/>
      <c r="EP117" s="373"/>
      <c r="EQ117" s="373"/>
      <c r="ER117" s="373"/>
      <c r="ES117" s="373"/>
      <c r="ET117" s="373"/>
      <c r="EU117" s="373"/>
      <c r="EV117" s="373"/>
      <c r="EW117" s="373"/>
      <c r="EX117" s="373"/>
      <c r="EY117" s="375">
        <f t="shared" si="96"/>
        <v>0</v>
      </c>
      <c r="EZ117" s="164"/>
      <c r="FB117" s="185">
        <v>60408000</v>
      </c>
      <c r="FC117" s="185">
        <v>0</v>
      </c>
    </row>
    <row r="118" spans="1:159" ht="18.75" customHeight="1" outlineLevel="1">
      <c r="A118" s="185" t="s">
        <v>327</v>
      </c>
      <c r="B118" s="176">
        <v>63103000</v>
      </c>
      <c r="C118" s="176" t="s">
        <v>1104</v>
      </c>
      <c r="D118" s="176" t="s">
        <v>335</v>
      </c>
      <c r="E118" s="324"/>
      <c r="F118" s="320" t="s">
        <v>676</v>
      </c>
      <c r="G118" s="320"/>
      <c r="H118" s="417">
        <v>0</v>
      </c>
      <c r="I118" s="417">
        <v>0</v>
      </c>
      <c r="J118" s="417">
        <v>0</v>
      </c>
      <c r="K118" s="417">
        <v>0</v>
      </c>
      <c r="L118" s="417">
        <v>0</v>
      </c>
      <c r="M118" s="417">
        <v>0</v>
      </c>
      <c r="N118" s="417">
        <v>0</v>
      </c>
      <c r="O118" s="417">
        <v>0</v>
      </c>
      <c r="P118" s="417">
        <v>0</v>
      </c>
      <c r="Q118" s="819">
        <v>0</v>
      </c>
      <c r="R118" s="417">
        <v>0</v>
      </c>
      <c r="S118" s="417">
        <v>0</v>
      </c>
      <c r="T118" s="402"/>
      <c r="U118" s="366"/>
      <c r="V118" s="165"/>
      <c r="W118" s="212"/>
      <c r="X118" s="1518">
        <v>0</v>
      </c>
      <c r="Y118" s="1518">
        <v>0</v>
      </c>
      <c r="Z118" s="1518">
        <v>0</v>
      </c>
      <c r="AA118" s="1518">
        <v>0</v>
      </c>
      <c r="AB118" s="1518">
        <v>0</v>
      </c>
      <c r="AC118" s="1518">
        <v>0</v>
      </c>
      <c r="AD118" s="1518">
        <v>0</v>
      </c>
      <c r="AE118" s="1518">
        <v>0</v>
      </c>
      <c r="AF118" s="1518">
        <v>0</v>
      </c>
      <c r="AG118" s="1519">
        <v>0</v>
      </c>
      <c r="AH118" s="1518">
        <v>0</v>
      </c>
      <c r="AI118" s="1518">
        <v>0</v>
      </c>
      <c r="AJ118" s="375">
        <f t="shared" si="118"/>
        <v>0</v>
      </c>
      <c r="AK118" s="212"/>
      <c r="AL118" s="417">
        <v>0</v>
      </c>
      <c r="AM118" s="417">
        <v>0</v>
      </c>
      <c r="AN118" s="417">
        <v>0</v>
      </c>
      <c r="AO118" s="417">
        <v>0</v>
      </c>
      <c r="AP118" s="417">
        <v>0</v>
      </c>
      <c r="AQ118" s="417">
        <v>0</v>
      </c>
      <c r="AR118" s="417">
        <v>0</v>
      </c>
      <c r="AS118" s="417">
        <v>0</v>
      </c>
      <c r="AT118" s="417">
        <v>0</v>
      </c>
      <c r="AU118" s="819">
        <v>0</v>
      </c>
      <c r="AV118" s="417">
        <v>0</v>
      </c>
      <c r="AW118" s="417">
        <v>0</v>
      </c>
      <c r="AX118" s="375">
        <f t="shared" si="116"/>
        <v>0</v>
      </c>
      <c r="AY118" s="366"/>
      <c r="AZ118" s="165"/>
      <c r="BA118" s="212"/>
      <c r="BB118" s="417">
        <v>0</v>
      </c>
      <c r="BC118" s="417">
        <v>0</v>
      </c>
      <c r="BD118" s="417">
        <v>0</v>
      </c>
      <c r="BE118" s="417">
        <v>0</v>
      </c>
      <c r="BF118" s="417">
        <v>0</v>
      </c>
      <c r="BG118" s="417">
        <v>0</v>
      </c>
      <c r="BH118" s="417">
        <v>0</v>
      </c>
      <c r="BI118" s="417">
        <v>0</v>
      </c>
      <c r="BJ118" s="417">
        <v>0</v>
      </c>
      <c r="BK118" s="819">
        <v>0</v>
      </c>
      <c r="BL118" s="417">
        <v>0</v>
      </c>
      <c r="BM118" s="417">
        <v>0</v>
      </c>
      <c r="BN118" s="375">
        <f t="shared" si="117"/>
        <v>0</v>
      </c>
      <c r="BO118" s="212"/>
      <c r="BP118" s="818">
        <v>0</v>
      </c>
      <c r="BQ118" s="818">
        <v>0</v>
      </c>
      <c r="BR118" s="818">
        <v>0</v>
      </c>
      <c r="BS118" s="818">
        <v>0</v>
      </c>
      <c r="BT118" s="818">
        <v>0</v>
      </c>
      <c r="BU118" s="818">
        <v>0</v>
      </c>
      <c r="BV118" s="818">
        <v>0</v>
      </c>
      <c r="BW118" s="818">
        <v>0</v>
      </c>
      <c r="BX118" s="818">
        <v>0</v>
      </c>
      <c r="BY118" s="818">
        <v>0</v>
      </c>
      <c r="BZ118" s="818">
        <v>0</v>
      </c>
      <c r="CA118" s="818">
        <v>0</v>
      </c>
      <c r="CB118" s="375">
        <f t="shared" si="114"/>
        <v>0</v>
      </c>
      <c r="CC118" s="366">
        <f t="shared" si="110"/>
        <v>0</v>
      </c>
      <c r="CD118" s="165" t="str">
        <f t="shared" si="111"/>
        <v>N/A</v>
      </c>
      <c r="CE118" s="367"/>
      <c r="CF118" s="373">
        <v>0</v>
      </c>
      <c r="CG118" s="373">
        <v>0</v>
      </c>
      <c r="CH118" s="373">
        <v>0</v>
      </c>
      <c r="CI118" s="373">
        <v>0</v>
      </c>
      <c r="CJ118" s="373">
        <v>0</v>
      </c>
      <c r="CK118" s="373">
        <v>0</v>
      </c>
      <c r="CL118" s="373">
        <v>0</v>
      </c>
      <c r="CM118" s="373">
        <v>0</v>
      </c>
      <c r="CN118" s="373">
        <v>0</v>
      </c>
      <c r="CO118" s="373">
        <v>0</v>
      </c>
      <c r="CP118" s="373">
        <v>0</v>
      </c>
      <c r="CQ118" s="373">
        <v>0</v>
      </c>
      <c r="CR118" s="376"/>
      <c r="CS118" s="375">
        <f t="shared" si="90"/>
        <v>0</v>
      </c>
      <c r="CT118" s="378">
        <f t="shared" si="112"/>
        <v>0</v>
      </c>
      <c r="CU118" s="165" t="str">
        <f t="shared" si="113"/>
        <v>N/A</v>
      </c>
      <c r="CV118" s="320"/>
      <c r="CW118" s="373">
        <v>0</v>
      </c>
      <c r="CX118" s="373">
        <v>0</v>
      </c>
      <c r="CY118" s="373">
        <v>0</v>
      </c>
      <c r="CZ118" s="373">
        <v>0</v>
      </c>
      <c r="DA118" s="373">
        <v>0</v>
      </c>
      <c r="DB118" s="373">
        <v>0</v>
      </c>
      <c r="DC118" s="373">
        <v>0</v>
      </c>
      <c r="DD118" s="373">
        <v>0</v>
      </c>
      <c r="DE118" s="373">
        <v>0</v>
      </c>
      <c r="DF118" s="373">
        <v>0</v>
      </c>
      <c r="DG118" s="373">
        <v>0</v>
      </c>
      <c r="DH118" s="373">
        <v>0</v>
      </c>
      <c r="DI118" s="375">
        <f t="shared" si="99"/>
        <v>0</v>
      </c>
      <c r="DJ118" s="320"/>
      <c r="DK118" s="373"/>
      <c r="DL118" s="373"/>
      <c r="DM118" s="373"/>
      <c r="DN118" s="373"/>
      <c r="DO118" s="373"/>
      <c r="DP118" s="373"/>
      <c r="DQ118" s="373"/>
      <c r="DR118" s="373"/>
      <c r="DS118" s="373"/>
      <c r="DT118" s="373"/>
      <c r="DU118" s="373"/>
      <c r="DV118" s="373"/>
      <c r="DW118" s="375">
        <f t="shared" si="119"/>
        <v>0</v>
      </c>
      <c r="DY118" s="373"/>
      <c r="DZ118" s="373"/>
      <c r="EA118" s="373"/>
      <c r="EB118" s="373"/>
      <c r="EC118" s="373"/>
      <c r="ED118" s="373"/>
      <c r="EE118" s="373"/>
      <c r="EF118" s="373"/>
      <c r="EG118" s="373"/>
      <c r="EH118" s="373"/>
      <c r="EI118" s="373"/>
      <c r="EJ118" s="373"/>
      <c r="EK118" s="375">
        <f t="shared" si="94"/>
        <v>0</v>
      </c>
      <c r="EL118" s="177"/>
      <c r="EM118" s="373"/>
      <c r="EN118" s="373"/>
      <c r="EO118" s="373"/>
      <c r="EP118" s="373"/>
      <c r="EQ118" s="373"/>
      <c r="ER118" s="373"/>
      <c r="ES118" s="373"/>
      <c r="ET118" s="373"/>
      <c r="EU118" s="373"/>
      <c r="EV118" s="373"/>
      <c r="EW118" s="373"/>
      <c r="EX118" s="373"/>
      <c r="EY118" s="375">
        <f t="shared" ref="EY118:EY131" si="120">SUM(EM118:EX118)</f>
        <v>0</v>
      </c>
      <c r="EZ118" s="164"/>
      <c r="FB118" s="185">
        <v>60112000</v>
      </c>
      <c r="FC118" s="185">
        <v>0</v>
      </c>
    </row>
    <row r="119" spans="1:159" ht="18.75" customHeight="1" outlineLevel="1">
      <c r="A119" s="185" t="s">
        <v>327</v>
      </c>
      <c r="B119" s="176">
        <v>63190000</v>
      </c>
      <c r="C119" s="176" t="s">
        <v>1104</v>
      </c>
      <c r="D119" s="176" t="s">
        <v>335</v>
      </c>
      <c r="E119" s="324"/>
      <c r="F119" s="320" t="s">
        <v>677</v>
      </c>
      <c r="G119" s="320"/>
      <c r="H119" s="417">
        <v>0</v>
      </c>
      <c r="I119" s="417">
        <v>0</v>
      </c>
      <c r="J119" s="417">
        <v>0</v>
      </c>
      <c r="K119" s="417">
        <v>0</v>
      </c>
      <c r="L119" s="417">
        <v>0</v>
      </c>
      <c r="M119" s="417">
        <v>0</v>
      </c>
      <c r="N119" s="417">
        <v>0</v>
      </c>
      <c r="O119" s="417">
        <v>0</v>
      </c>
      <c r="P119" s="417">
        <v>0</v>
      </c>
      <c r="Q119" s="819">
        <v>0</v>
      </c>
      <c r="R119" s="417">
        <v>0</v>
      </c>
      <c r="S119" s="417">
        <v>0</v>
      </c>
      <c r="T119" s="402"/>
      <c r="U119" s="366"/>
      <c r="V119" s="165"/>
      <c r="W119" s="212"/>
      <c r="X119" s="1518">
        <v>0</v>
      </c>
      <c r="Y119" s="1518">
        <v>0</v>
      </c>
      <c r="Z119" s="1518">
        <v>0</v>
      </c>
      <c r="AA119" s="1518">
        <v>0</v>
      </c>
      <c r="AB119" s="1518">
        <v>0</v>
      </c>
      <c r="AC119" s="1518">
        <v>0</v>
      </c>
      <c r="AD119" s="1518">
        <v>0</v>
      </c>
      <c r="AE119" s="1518">
        <v>0</v>
      </c>
      <c r="AF119" s="1518">
        <v>0</v>
      </c>
      <c r="AG119" s="1519">
        <v>0</v>
      </c>
      <c r="AH119" s="1518">
        <v>0</v>
      </c>
      <c r="AI119" s="1518">
        <v>0</v>
      </c>
      <c r="AJ119" s="375">
        <f t="shared" si="118"/>
        <v>0</v>
      </c>
      <c r="AK119" s="212"/>
      <c r="AL119" s="417">
        <v>0</v>
      </c>
      <c r="AM119" s="417">
        <v>0</v>
      </c>
      <c r="AN119" s="417">
        <v>0</v>
      </c>
      <c r="AO119" s="417">
        <v>0</v>
      </c>
      <c r="AP119" s="417">
        <v>0</v>
      </c>
      <c r="AQ119" s="417">
        <v>0</v>
      </c>
      <c r="AR119" s="417">
        <v>0</v>
      </c>
      <c r="AS119" s="417">
        <v>0</v>
      </c>
      <c r="AT119" s="417">
        <v>0</v>
      </c>
      <c r="AU119" s="819">
        <v>0</v>
      </c>
      <c r="AV119" s="417">
        <v>0</v>
      </c>
      <c r="AW119" s="417">
        <v>0</v>
      </c>
      <c r="AX119" s="375">
        <f t="shared" si="116"/>
        <v>0</v>
      </c>
      <c r="AY119" s="366"/>
      <c r="AZ119" s="165"/>
      <c r="BA119" s="212"/>
      <c r="BB119" s="417">
        <v>0</v>
      </c>
      <c r="BC119" s="417">
        <v>0</v>
      </c>
      <c r="BD119" s="417">
        <v>0</v>
      </c>
      <c r="BE119" s="417">
        <v>0</v>
      </c>
      <c r="BF119" s="417">
        <v>0</v>
      </c>
      <c r="BG119" s="417">
        <v>0</v>
      </c>
      <c r="BH119" s="417">
        <v>0</v>
      </c>
      <c r="BI119" s="417">
        <v>0</v>
      </c>
      <c r="BJ119" s="417">
        <v>0</v>
      </c>
      <c r="BK119" s="819">
        <v>0</v>
      </c>
      <c r="BL119" s="417">
        <v>0</v>
      </c>
      <c r="BM119" s="417">
        <v>0</v>
      </c>
      <c r="BN119" s="375">
        <f t="shared" si="117"/>
        <v>0</v>
      </c>
      <c r="BO119" s="212"/>
      <c r="BP119" s="818">
        <v>0</v>
      </c>
      <c r="BQ119" s="818">
        <v>0</v>
      </c>
      <c r="BR119" s="818">
        <v>0</v>
      </c>
      <c r="BS119" s="818">
        <v>0</v>
      </c>
      <c r="BT119" s="818">
        <v>0</v>
      </c>
      <c r="BU119" s="818">
        <v>0</v>
      </c>
      <c r="BV119" s="818">
        <v>0</v>
      </c>
      <c r="BW119" s="818">
        <v>0</v>
      </c>
      <c r="BX119" s="818">
        <v>0</v>
      </c>
      <c r="BY119" s="818">
        <v>0</v>
      </c>
      <c r="BZ119" s="818">
        <v>0</v>
      </c>
      <c r="CA119" s="818">
        <v>0</v>
      </c>
      <c r="CB119" s="375">
        <f t="shared" si="114"/>
        <v>0</v>
      </c>
      <c r="CC119" s="366">
        <f t="shared" si="110"/>
        <v>0</v>
      </c>
      <c r="CD119" s="165" t="str">
        <f t="shared" si="111"/>
        <v>N/A</v>
      </c>
      <c r="CE119" s="367"/>
      <c r="CF119" s="373">
        <v>0</v>
      </c>
      <c r="CG119" s="373">
        <v>0</v>
      </c>
      <c r="CH119" s="373">
        <v>0</v>
      </c>
      <c r="CI119" s="373">
        <v>0</v>
      </c>
      <c r="CJ119" s="373">
        <v>0</v>
      </c>
      <c r="CK119" s="373">
        <v>0</v>
      </c>
      <c r="CL119" s="373">
        <v>0</v>
      </c>
      <c r="CM119" s="373">
        <v>0</v>
      </c>
      <c r="CN119" s="373">
        <v>0</v>
      </c>
      <c r="CO119" s="373">
        <v>0</v>
      </c>
      <c r="CP119" s="373">
        <v>0</v>
      </c>
      <c r="CQ119" s="373">
        <v>0</v>
      </c>
      <c r="CR119" s="376"/>
      <c r="CS119" s="375">
        <f t="shared" si="90"/>
        <v>0</v>
      </c>
      <c r="CT119" s="378">
        <f t="shared" si="112"/>
        <v>0</v>
      </c>
      <c r="CU119" s="165" t="str">
        <f t="shared" si="113"/>
        <v>N/A</v>
      </c>
      <c r="CV119" s="320"/>
      <c r="CW119" s="373">
        <v>0</v>
      </c>
      <c r="CX119" s="373">
        <v>0</v>
      </c>
      <c r="CY119" s="373">
        <v>0</v>
      </c>
      <c r="CZ119" s="373">
        <v>0</v>
      </c>
      <c r="DA119" s="373">
        <v>0</v>
      </c>
      <c r="DB119" s="373">
        <v>0</v>
      </c>
      <c r="DC119" s="373">
        <v>0</v>
      </c>
      <c r="DD119" s="373">
        <v>0</v>
      </c>
      <c r="DE119" s="373">
        <v>0</v>
      </c>
      <c r="DF119" s="373">
        <v>0</v>
      </c>
      <c r="DG119" s="373">
        <v>0</v>
      </c>
      <c r="DH119" s="373">
        <v>0</v>
      </c>
      <c r="DI119" s="375">
        <f t="shared" si="99"/>
        <v>0</v>
      </c>
      <c r="DJ119" s="320"/>
      <c r="DK119" s="373"/>
      <c r="DL119" s="373"/>
      <c r="DM119" s="373"/>
      <c r="DN119" s="373"/>
      <c r="DO119" s="373"/>
      <c r="DP119" s="373"/>
      <c r="DQ119" s="373"/>
      <c r="DR119" s="373"/>
      <c r="DS119" s="373"/>
      <c r="DT119" s="373"/>
      <c r="DU119" s="373"/>
      <c r="DV119" s="373"/>
      <c r="DW119" s="375">
        <f t="shared" si="119"/>
        <v>0</v>
      </c>
      <c r="DY119" s="373"/>
      <c r="DZ119" s="373"/>
      <c r="EA119" s="373"/>
      <c r="EB119" s="373"/>
      <c r="EC119" s="373"/>
      <c r="ED119" s="373"/>
      <c r="EE119" s="373"/>
      <c r="EF119" s="373"/>
      <c r="EG119" s="373"/>
      <c r="EH119" s="373"/>
      <c r="EI119" s="373"/>
      <c r="EJ119" s="373"/>
      <c r="EK119" s="375">
        <f t="shared" si="94"/>
        <v>0</v>
      </c>
      <c r="EL119" s="177"/>
      <c r="EM119" s="373"/>
      <c r="EN119" s="373"/>
      <c r="EO119" s="373"/>
      <c r="EP119" s="373"/>
      <c r="EQ119" s="373"/>
      <c r="ER119" s="373"/>
      <c r="ES119" s="373"/>
      <c r="ET119" s="373"/>
      <c r="EU119" s="373"/>
      <c r="EV119" s="373"/>
      <c r="EW119" s="373"/>
      <c r="EX119" s="373"/>
      <c r="EY119" s="375">
        <f t="shared" si="120"/>
        <v>0</v>
      </c>
      <c r="EZ119" s="164"/>
      <c r="FB119" s="185" t="s">
        <v>583</v>
      </c>
      <c r="FC119" s="185">
        <v>0</v>
      </c>
    </row>
    <row r="120" spans="1:159" ht="18.75" customHeight="1" outlineLevel="1">
      <c r="A120" s="185" t="s">
        <v>327</v>
      </c>
      <c r="B120" s="176">
        <v>63201000</v>
      </c>
      <c r="C120" s="176" t="s">
        <v>1104</v>
      </c>
      <c r="D120" s="176" t="s">
        <v>335</v>
      </c>
      <c r="E120" s="324"/>
      <c r="F120" s="320" t="s">
        <v>678</v>
      </c>
      <c r="G120" s="320"/>
      <c r="H120" s="417">
        <v>0</v>
      </c>
      <c r="I120" s="417">
        <v>0</v>
      </c>
      <c r="J120" s="417">
        <v>0</v>
      </c>
      <c r="K120" s="417">
        <v>0</v>
      </c>
      <c r="L120" s="417">
        <v>0</v>
      </c>
      <c r="M120" s="417">
        <v>0</v>
      </c>
      <c r="N120" s="417">
        <v>0</v>
      </c>
      <c r="O120" s="417">
        <v>0</v>
      </c>
      <c r="P120" s="417">
        <v>0</v>
      </c>
      <c r="Q120" s="819">
        <v>0</v>
      </c>
      <c r="R120" s="417">
        <v>0</v>
      </c>
      <c r="S120" s="417">
        <v>0</v>
      </c>
      <c r="T120" s="402"/>
      <c r="U120" s="366"/>
      <c r="V120" s="165"/>
      <c r="W120" s="212"/>
      <c r="X120" s="1518">
        <v>0</v>
      </c>
      <c r="Y120" s="1518">
        <v>0</v>
      </c>
      <c r="Z120" s="1518">
        <v>0</v>
      </c>
      <c r="AA120" s="1518">
        <v>0</v>
      </c>
      <c r="AB120" s="1518">
        <v>0</v>
      </c>
      <c r="AC120" s="1518">
        <v>0</v>
      </c>
      <c r="AD120" s="1518">
        <v>0</v>
      </c>
      <c r="AE120" s="1518">
        <v>0</v>
      </c>
      <c r="AF120" s="1518">
        <v>0</v>
      </c>
      <c r="AG120" s="1519">
        <v>0</v>
      </c>
      <c r="AH120" s="1518">
        <v>0</v>
      </c>
      <c r="AI120" s="1518">
        <v>0</v>
      </c>
      <c r="AJ120" s="375">
        <f t="shared" si="118"/>
        <v>0</v>
      </c>
      <c r="AK120" s="212"/>
      <c r="AL120" s="417">
        <v>0</v>
      </c>
      <c r="AM120" s="417">
        <v>0</v>
      </c>
      <c r="AN120" s="417">
        <v>0</v>
      </c>
      <c r="AO120" s="417">
        <v>0</v>
      </c>
      <c r="AP120" s="417">
        <v>0</v>
      </c>
      <c r="AQ120" s="417">
        <v>0</v>
      </c>
      <c r="AR120" s="417">
        <v>0</v>
      </c>
      <c r="AS120" s="417">
        <v>0</v>
      </c>
      <c r="AT120" s="417">
        <v>0</v>
      </c>
      <c r="AU120" s="819">
        <v>0</v>
      </c>
      <c r="AV120" s="417">
        <v>0</v>
      </c>
      <c r="AW120" s="417">
        <v>0</v>
      </c>
      <c r="AX120" s="375">
        <f t="shared" si="116"/>
        <v>0</v>
      </c>
      <c r="AY120" s="366"/>
      <c r="AZ120" s="165"/>
      <c r="BA120" s="212"/>
      <c r="BB120" s="417">
        <v>0</v>
      </c>
      <c r="BC120" s="417">
        <v>0</v>
      </c>
      <c r="BD120" s="417">
        <v>0</v>
      </c>
      <c r="BE120" s="417">
        <v>0</v>
      </c>
      <c r="BF120" s="417">
        <v>0</v>
      </c>
      <c r="BG120" s="417">
        <v>0</v>
      </c>
      <c r="BH120" s="417">
        <v>0</v>
      </c>
      <c r="BI120" s="417">
        <v>0</v>
      </c>
      <c r="BJ120" s="417">
        <v>0</v>
      </c>
      <c r="BK120" s="819">
        <v>0</v>
      </c>
      <c r="BL120" s="417">
        <v>0</v>
      </c>
      <c r="BM120" s="417">
        <v>0</v>
      </c>
      <c r="BN120" s="375">
        <f t="shared" si="117"/>
        <v>0</v>
      </c>
      <c r="BO120" s="212"/>
      <c r="BP120" s="818">
        <v>0</v>
      </c>
      <c r="BQ120" s="818">
        <v>0</v>
      </c>
      <c r="BR120" s="818">
        <v>0</v>
      </c>
      <c r="BS120" s="818">
        <v>0</v>
      </c>
      <c r="BT120" s="818">
        <v>0</v>
      </c>
      <c r="BU120" s="818">
        <v>0</v>
      </c>
      <c r="BV120" s="818">
        <v>0</v>
      </c>
      <c r="BW120" s="818">
        <v>0</v>
      </c>
      <c r="BX120" s="818">
        <v>0</v>
      </c>
      <c r="BY120" s="818">
        <v>0</v>
      </c>
      <c r="BZ120" s="818">
        <v>0</v>
      </c>
      <c r="CA120" s="818">
        <v>0</v>
      </c>
      <c r="CB120" s="375">
        <f t="shared" si="114"/>
        <v>0</v>
      </c>
      <c r="CC120" s="366">
        <f t="shared" si="110"/>
        <v>0</v>
      </c>
      <c r="CD120" s="165" t="str">
        <f t="shared" si="111"/>
        <v>N/A</v>
      </c>
      <c r="CE120" s="367"/>
      <c r="CF120" s="373">
        <v>0</v>
      </c>
      <c r="CG120" s="373">
        <v>0</v>
      </c>
      <c r="CH120" s="373">
        <v>0</v>
      </c>
      <c r="CI120" s="373">
        <v>0</v>
      </c>
      <c r="CJ120" s="373">
        <v>0</v>
      </c>
      <c r="CK120" s="373">
        <v>0</v>
      </c>
      <c r="CL120" s="373">
        <v>0</v>
      </c>
      <c r="CM120" s="373">
        <v>0</v>
      </c>
      <c r="CN120" s="373">
        <v>0</v>
      </c>
      <c r="CO120" s="373">
        <v>0</v>
      </c>
      <c r="CP120" s="373">
        <v>0</v>
      </c>
      <c r="CQ120" s="373">
        <v>0</v>
      </c>
      <c r="CR120" s="376"/>
      <c r="CS120" s="375">
        <f t="shared" si="90"/>
        <v>0</v>
      </c>
      <c r="CT120" s="378">
        <f t="shared" si="112"/>
        <v>0</v>
      </c>
      <c r="CU120" s="165" t="str">
        <f t="shared" si="113"/>
        <v>N/A</v>
      </c>
      <c r="CV120" s="320"/>
      <c r="CW120" s="373">
        <v>0</v>
      </c>
      <c r="CX120" s="373">
        <v>0</v>
      </c>
      <c r="CY120" s="373">
        <v>0</v>
      </c>
      <c r="CZ120" s="373">
        <v>0</v>
      </c>
      <c r="DA120" s="373">
        <v>0</v>
      </c>
      <c r="DB120" s="373">
        <v>0</v>
      </c>
      <c r="DC120" s="373">
        <v>0</v>
      </c>
      <c r="DD120" s="373">
        <v>0</v>
      </c>
      <c r="DE120" s="373">
        <v>0</v>
      </c>
      <c r="DF120" s="373">
        <v>0</v>
      </c>
      <c r="DG120" s="373">
        <v>0</v>
      </c>
      <c r="DH120" s="373">
        <v>0</v>
      </c>
      <c r="DI120" s="375">
        <f t="shared" si="99"/>
        <v>0</v>
      </c>
      <c r="DJ120" s="320"/>
      <c r="DK120" s="373"/>
      <c r="DL120" s="373"/>
      <c r="DM120" s="373"/>
      <c r="DN120" s="373"/>
      <c r="DO120" s="373"/>
      <c r="DP120" s="373"/>
      <c r="DQ120" s="373"/>
      <c r="DR120" s="373"/>
      <c r="DS120" s="373"/>
      <c r="DT120" s="373"/>
      <c r="DU120" s="373"/>
      <c r="DV120" s="373"/>
      <c r="DW120" s="375">
        <f t="shared" si="119"/>
        <v>0</v>
      </c>
      <c r="DY120" s="373"/>
      <c r="DZ120" s="373"/>
      <c r="EA120" s="373"/>
      <c r="EB120" s="373"/>
      <c r="EC120" s="373"/>
      <c r="ED120" s="373"/>
      <c r="EE120" s="373"/>
      <c r="EF120" s="373"/>
      <c r="EG120" s="373"/>
      <c r="EH120" s="373"/>
      <c r="EI120" s="373"/>
      <c r="EJ120" s="373"/>
      <c r="EK120" s="375">
        <f t="shared" si="94"/>
        <v>0</v>
      </c>
      <c r="EL120" s="177"/>
      <c r="EM120" s="373"/>
      <c r="EN120" s="373"/>
      <c r="EO120" s="373"/>
      <c r="EP120" s="373"/>
      <c r="EQ120" s="373"/>
      <c r="ER120" s="373"/>
      <c r="ES120" s="373"/>
      <c r="ET120" s="373"/>
      <c r="EU120" s="373"/>
      <c r="EV120" s="373"/>
      <c r="EW120" s="373"/>
      <c r="EX120" s="373"/>
      <c r="EY120" s="375">
        <f t="shared" si="120"/>
        <v>0</v>
      </c>
      <c r="EZ120" s="164"/>
      <c r="FB120" s="185" t="e">
        <v>#N/A</v>
      </c>
      <c r="FC120" s="185">
        <v>0</v>
      </c>
    </row>
    <row r="121" spans="1:159" ht="18.75" customHeight="1" outlineLevel="1">
      <c r="A121" s="185" t="s">
        <v>327</v>
      </c>
      <c r="B121" s="176">
        <v>63290000</v>
      </c>
      <c r="C121" s="176" t="s">
        <v>1104</v>
      </c>
      <c r="D121" s="176" t="s">
        <v>335</v>
      </c>
      <c r="E121" s="324"/>
      <c r="F121" s="320" t="s">
        <v>679</v>
      </c>
      <c r="G121" s="320"/>
      <c r="H121" s="417">
        <v>0</v>
      </c>
      <c r="I121" s="417">
        <v>0</v>
      </c>
      <c r="J121" s="417">
        <v>0</v>
      </c>
      <c r="K121" s="417">
        <v>0</v>
      </c>
      <c r="L121" s="417">
        <v>0</v>
      </c>
      <c r="M121" s="417">
        <v>0</v>
      </c>
      <c r="N121" s="417">
        <v>0</v>
      </c>
      <c r="O121" s="417">
        <v>0</v>
      </c>
      <c r="P121" s="417">
        <v>0</v>
      </c>
      <c r="Q121" s="819">
        <v>0</v>
      </c>
      <c r="R121" s="417">
        <v>0</v>
      </c>
      <c r="S121" s="417">
        <v>0</v>
      </c>
      <c r="T121" s="402"/>
      <c r="U121" s="366"/>
      <c r="V121" s="165"/>
      <c r="W121" s="212"/>
      <c r="X121" s="1518">
        <v>0</v>
      </c>
      <c r="Y121" s="1518">
        <v>0</v>
      </c>
      <c r="Z121" s="1518">
        <v>0</v>
      </c>
      <c r="AA121" s="1518">
        <v>0</v>
      </c>
      <c r="AB121" s="1518">
        <v>0</v>
      </c>
      <c r="AC121" s="1518">
        <v>0</v>
      </c>
      <c r="AD121" s="1518">
        <v>0</v>
      </c>
      <c r="AE121" s="1518">
        <v>0</v>
      </c>
      <c r="AF121" s="1518">
        <v>0</v>
      </c>
      <c r="AG121" s="1519">
        <v>0</v>
      </c>
      <c r="AH121" s="1518">
        <v>0</v>
      </c>
      <c r="AI121" s="1518">
        <v>0</v>
      </c>
      <c r="AJ121" s="375">
        <f t="shared" si="118"/>
        <v>0</v>
      </c>
      <c r="AK121" s="212"/>
      <c r="AL121" s="417">
        <v>0</v>
      </c>
      <c r="AM121" s="417">
        <v>0</v>
      </c>
      <c r="AN121" s="417">
        <v>0</v>
      </c>
      <c r="AO121" s="417">
        <v>0</v>
      </c>
      <c r="AP121" s="417">
        <v>0</v>
      </c>
      <c r="AQ121" s="417">
        <v>0</v>
      </c>
      <c r="AR121" s="417">
        <v>0</v>
      </c>
      <c r="AS121" s="417">
        <v>0</v>
      </c>
      <c r="AT121" s="417">
        <v>0</v>
      </c>
      <c r="AU121" s="819">
        <v>0</v>
      </c>
      <c r="AV121" s="417">
        <v>0</v>
      </c>
      <c r="AW121" s="417">
        <v>0</v>
      </c>
      <c r="AX121" s="375">
        <f t="shared" si="116"/>
        <v>0</v>
      </c>
      <c r="AY121" s="366"/>
      <c r="AZ121" s="165"/>
      <c r="BA121" s="212"/>
      <c r="BB121" s="417">
        <v>0</v>
      </c>
      <c r="BC121" s="417">
        <v>0</v>
      </c>
      <c r="BD121" s="417">
        <v>0</v>
      </c>
      <c r="BE121" s="417">
        <v>0</v>
      </c>
      <c r="BF121" s="417">
        <v>0</v>
      </c>
      <c r="BG121" s="417">
        <v>0</v>
      </c>
      <c r="BH121" s="417">
        <v>0</v>
      </c>
      <c r="BI121" s="417">
        <v>0</v>
      </c>
      <c r="BJ121" s="417">
        <v>0</v>
      </c>
      <c r="BK121" s="819">
        <v>0</v>
      </c>
      <c r="BL121" s="417">
        <v>0</v>
      </c>
      <c r="BM121" s="417">
        <v>0</v>
      </c>
      <c r="BN121" s="375">
        <f t="shared" si="117"/>
        <v>0</v>
      </c>
      <c r="BO121" s="212"/>
      <c r="BP121" s="818">
        <v>0</v>
      </c>
      <c r="BQ121" s="818">
        <v>0</v>
      </c>
      <c r="BR121" s="818">
        <v>0</v>
      </c>
      <c r="BS121" s="818">
        <v>0</v>
      </c>
      <c r="BT121" s="818">
        <v>0</v>
      </c>
      <c r="BU121" s="818">
        <v>0</v>
      </c>
      <c r="BV121" s="818">
        <v>0</v>
      </c>
      <c r="BW121" s="818">
        <v>0</v>
      </c>
      <c r="BX121" s="818">
        <v>0</v>
      </c>
      <c r="BY121" s="818">
        <v>0</v>
      </c>
      <c r="BZ121" s="818">
        <v>0</v>
      </c>
      <c r="CA121" s="818">
        <v>0</v>
      </c>
      <c r="CB121" s="375">
        <f t="shared" si="114"/>
        <v>0</v>
      </c>
      <c r="CC121" s="366">
        <f t="shared" si="110"/>
        <v>0</v>
      </c>
      <c r="CD121" s="165" t="str">
        <f t="shared" si="111"/>
        <v>N/A</v>
      </c>
      <c r="CE121" s="367"/>
      <c r="CF121" s="373">
        <v>0</v>
      </c>
      <c r="CG121" s="373">
        <v>0</v>
      </c>
      <c r="CH121" s="373">
        <v>0</v>
      </c>
      <c r="CI121" s="373">
        <v>0</v>
      </c>
      <c r="CJ121" s="373">
        <v>0</v>
      </c>
      <c r="CK121" s="373">
        <v>0</v>
      </c>
      <c r="CL121" s="373">
        <v>0</v>
      </c>
      <c r="CM121" s="373">
        <v>0</v>
      </c>
      <c r="CN121" s="373">
        <v>0</v>
      </c>
      <c r="CO121" s="373">
        <v>0</v>
      </c>
      <c r="CP121" s="373">
        <v>0</v>
      </c>
      <c r="CQ121" s="373">
        <v>0</v>
      </c>
      <c r="CR121" s="376"/>
      <c r="CS121" s="375">
        <f t="shared" si="90"/>
        <v>0</v>
      </c>
      <c r="CT121" s="378">
        <f t="shared" si="112"/>
        <v>0</v>
      </c>
      <c r="CU121" s="165" t="str">
        <f t="shared" si="113"/>
        <v>N/A</v>
      </c>
      <c r="CV121" s="320"/>
      <c r="CW121" s="373">
        <v>0</v>
      </c>
      <c r="CX121" s="373">
        <v>0</v>
      </c>
      <c r="CY121" s="373">
        <v>0</v>
      </c>
      <c r="CZ121" s="373">
        <v>0</v>
      </c>
      <c r="DA121" s="373">
        <v>0</v>
      </c>
      <c r="DB121" s="373">
        <v>0</v>
      </c>
      <c r="DC121" s="373">
        <v>0</v>
      </c>
      <c r="DD121" s="373">
        <v>0</v>
      </c>
      <c r="DE121" s="373">
        <v>0</v>
      </c>
      <c r="DF121" s="373">
        <v>0</v>
      </c>
      <c r="DG121" s="373">
        <v>0</v>
      </c>
      <c r="DH121" s="373">
        <v>0</v>
      </c>
      <c r="DI121" s="375">
        <f t="shared" ref="DI121:DI156" si="121">SUM(CW121:DH121)</f>
        <v>0</v>
      </c>
      <c r="DJ121" s="320"/>
      <c r="DK121" s="373"/>
      <c r="DL121" s="373"/>
      <c r="DM121" s="373"/>
      <c r="DN121" s="373"/>
      <c r="DO121" s="373"/>
      <c r="DP121" s="373"/>
      <c r="DQ121" s="373"/>
      <c r="DR121" s="373"/>
      <c r="DS121" s="373"/>
      <c r="DT121" s="373"/>
      <c r="DU121" s="373"/>
      <c r="DV121" s="373"/>
      <c r="DW121" s="375">
        <f t="shared" si="119"/>
        <v>0</v>
      </c>
      <c r="DY121" s="373"/>
      <c r="DZ121" s="373"/>
      <c r="EA121" s="373"/>
      <c r="EB121" s="373"/>
      <c r="EC121" s="373"/>
      <c r="ED121" s="373"/>
      <c r="EE121" s="373"/>
      <c r="EF121" s="373"/>
      <c r="EG121" s="373"/>
      <c r="EH121" s="373"/>
      <c r="EI121" s="373"/>
      <c r="EJ121" s="373"/>
      <c r="EK121" s="375">
        <f t="shared" si="94"/>
        <v>0</v>
      </c>
      <c r="EL121" s="177"/>
      <c r="EM121" s="373"/>
      <c r="EN121" s="373"/>
      <c r="EO121" s="373"/>
      <c r="EP121" s="373"/>
      <c r="EQ121" s="373"/>
      <c r="ER121" s="373"/>
      <c r="ES121" s="373"/>
      <c r="ET121" s="373"/>
      <c r="EU121" s="373"/>
      <c r="EV121" s="373"/>
      <c r="EW121" s="373"/>
      <c r="EX121" s="373"/>
      <c r="EY121" s="375">
        <f t="shared" si="120"/>
        <v>0</v>
      </c>
      <c r="EZ121" s="164"/>
      <c r="FB121" s="185" t="e">
        <v>#N/A</v>
      </c>
      <c r="FC121" s="185">
        <v>0</v>
      </c>
    </row>
    <row r="122" spans="1:159" ht="18.75" customHeight="1" outlineLevel="1">
      <c r="A122" s="185" t="s">
        <v>327</v>
      </c>
      <c r="B122" s="176">
        <v>63301000</v>
      </c>
      <c r="C122" s="176" t="s">
        <v>1104</v>
      </c>
      <c r="D122" s="176" t="s">
        <v>335</v>
      </c>
      <c r="E122" s="324"/>
      <c r="F122" s="320" t="s">
        <v>680</v>
      </c>
      <c r="G122" s="320"/>
      <c r="H122" s="417">
        <v>0</v>
      </c>
      <c r="I122" s="417">
        <v>0</v>
      </c>
      <c r="J122" s="417">
        <v>0</v>
      </c>
      <c r="K122" s="417">
        <v>0</v>
      </c>
      <c r="L122" s="417">
        <v>0</v>
      </c>
      <c r="M122" s="417">
        <v>0</v>
      </c>
      <c r="N122" s="417">
        <v>0</v>
      </c>
      <c r="O122" s="417">
        <v>0</v>
      </c>
      <c r="P122" s="417">
        <v>0</v>
      </c>
      <c r="Q122" s="819">
        <v>0</v>
      </c>
      <c r="R122" s="417">
        <v>0</v>
      </c>
      <c r="S122" s="417">
        <v>0</v>
      </c>
      <c r="T122" s="402"/>
      <c r="U122" s="366"/>
      <c r="V122" s="165"/>
      <c r="W122" s="212"/>
      <c r="X122" s="1518">
        <v>0</v>
      </c>
      <c r="Y122" s="1518">
        <v>0</v>
      </c>
      <c r="Z122" s="1518">
        <v>0</v>
      </c>
      <c r="AA122" s="1518">
        <v>0</v>
      </c>
      <c r="AB122" s="1518">
        <v>0</v>
      </c>
      <c r="AC122" s="1518">
        <v>0</v>
      </c>
      <c r="AD122" s="1518">
        <v>0</v>
      </c>
      <c r="AE122" s="1518">
        <v>0</v>
      </c>
      <c r="AF122" s="1518">
        <v>0</v>
      </c>
      <c r="AG122" s="1519">
        <v>0</v>
      </c>
      <c r="AH122" s="1518">
        <v>0</v>
      </c>
      <c r="AI122" s="1518">
        <v>0</v>
      </c>
      <c r="AJ122" s="375">
        <f t="shared" si="118"/>
        <v>0</v>
      </c>
      <c r="AK122" s="212"/>
      <c r="AL122" s="417">
        <v>0</v>
      </c>
      <c r="AM122" s="417">
        <v>0</v>
      </c>
      <c r="AN122" s="417">
        <v>0</v>
      </c>
      <c r="AO122" s="417">
        <v>0</v>
      </c>
      <c r="AP122" s="417">
        <v>0</v>
      </c>
      <c r="AQ122" s="417">
        <v>0</v>
      </c>
      <c r="AR122" s="417">
        <v>0</v>
      </c>
      <c r="AS122" s="417">
        <v>0</v>
      </c>
      <c r="AT122" s="417">
        <v>0</v>
      </c>
      <c r="AU122" s="819">
        <v>0</v>
      </c>
      <c r="AV122" s="417">
        <v>0</v>
      </c>
      <c r="AW122" s="417">
        <v>0</v>
      </c>
      <c r="AX122" s="375">
        <f t="shared" si="116"/>
        <v>0</v>
      </c>
      <c r="AY122" s="366"/>
      <c r="AZ122" s="165"/>
      <c r="BA122" s="212"/>
      <c r="BB122" s="417">
        <v>0</v>
      </c>
      <c r="BC122" s="417">
        <v>0</v>
      </c>
      <c r="BD122" s="417">
        <v>0</v>
      </c>
      <c r="BE122" s="417">
        <v>0</v>
      </c>
      <c r="BF122" s="417">
        <v>0</v>
      </c>
      <c r="BG122" s="417">
        <v>0</v>
      </c>
      <c r="BH122" s="417">
        <v>0</v>
      </c>
      <c r="BI122" s="417">
        <v>0</v>
      </c>
      <c r="BJ122" s="417">
        <v>0</v>
      </c>
      <c r="BK122" s="819">
        <v>0</v>
      </c>
      <c r="BL122" s="417">
        <v>0</v>
      </c>
      <c r="BM122" s="417">
        <v>0</v>
      </c>
      <c r="BN122" s="375">
        <f t="shared" si="117"/>
        <v>0</v>
      </c>
      <c r="BO122" s="212"/>
      <c r="BP122" s="818">
        <v>0</v>
      </c>
      <c r="BQ122" s="818">
        <v>0</v>
      </c>
      <c r="BR122" s="818">
        <v>0</v>
      </c>
      <c r="BS122" s="818">
        <v>0</v>
      </c>
      <c r="BT122" s="818">
        <v>0</v>
      </c>
      <c r="BU122" s="818">
        <v>0</v>
      </c>
      <c r="BV122" s="818">
        <v>0</v>
      </c>
      <c r="BW122" s="818">
        <v>0</v>
      </c>
      <c r="BX122" s="818">
        <v>0</v>
      </c>
      <c r="BY122" s="818">
        <v>0</v>
      </c>
      <c r="BZ122" s="818">
        <v>0</v>
      </c>
      <c r="CA122" s="818">
        <v>0</v>
      </c>
      <c r="CB122" s="375">
        <f t="shared" si="114"/>
        <v>0</v>
      </c>
      <c r="CC122" s="366">
        <f t="shared" si="110"/>
        <v>0</v>
      </c>
      <c r="CD122" s="165" t="str">
        <f t="shared" si="111"/>
        <v>N/A</v>
      </c>
      <c r="CE122" s="367"/>
      <c r="CF122" s="373">
        <v>0</v>
      </c>
      <c r="CG122" s="373">
        <v>0</v>
      </c>
      <c r="CH122" s="373">
        <v>0</v>
      </c>
      <c r="CI122" s="373">
        <v>0</v>
      </c>
      <c r="CJ122" s="373">
        <v>0</v>
      </c>
      <c r="CK122" s="373">
        <v>0</v>
      </c>
      <c r="CL122" s="373">
        <v>0</v>
      </c>
      <c r="CM122" s="373">
        <v>0</v>
      </c>
      <c r="CN122" s="373">
        <v>0</v>
      </c>
      <c r="CO122" s="373">
        <v>0</v>
      </c>
      <c r="CP122" s="373">
        <v>0</v>
      </c>
      <c r="CQ122" s="373">
        <v>0</v>
      </c>
      <c r="CR122" s="376"/>
      <c r="CS122" s="375">
        <f t="shared" si="90"/>
        <v>0</v>
      </c>
      <c r="CT122" s="378">
        <f t="shared" si="112"/>
        <v>0</v>
      </c>
      <c r="CU122" s="165" t="str">
        <f t="shared" si="113"/>
        <v>N/A</v>
      </c>
      <c r="CV122" s="320"/>
      <c r="CW122" s="373">
        <v>0</v>
      </c>
      <c r="CX122" s="373">
        <v>0</v>
      </c>
      <c r="CY122" s="373">
        <v>0</v>
      </c>
      <c r="CZ122" s="373">
        <v>0</v>
      </c>
      <c r="DA122" s="373">
        <v>0</v>
      </c>
      <c r="DB122" s="373">
        <v>0</v>
      </c>
      <c r="DC122" s="373">
        <v>0</v>
      </c>
      <c r="DD122" s="373">
        <v>0</v>
      </c>
      <c r="DE122" s="373">
        <v>0</v>
      </c>
      <c r="DF122" s="373">
        <v>0</v>
      </c>
      <c r="DG122" s="373">
        <v>0</v>
      </c>
      <c r="DH122" s="373">
        <v>0</v>
      </c>
      <c r="DI122" s="375">
        <f t="shared" si="121"/>
        <v>0</v>
      </c>
      <c r="DJ122" s="320"/>
      <c r="DK122" s="373"/>
      <c r="DL122" s="373"/>
      <c r="DM122" s="373"/>
      <c r="DN122" s="373"/>
      <c r="DO122" s="373"/>
      <c r="DP122" s="373"/>
      <c r="DQ122" s="373"/>
      <c r="DR122" s="373"/>
      <c r="DS122" s="373"/>
      <c r="DT122" s="373"/>
      <c r="DU122" s="373"/>
      <c r="DV122" s="373"/>
      <c r="DW122" s="375">
        <f t="shared" si="119"/>
        <v>0</v>
      </c>
      <c r="DY122" s="373"/>
      <c r="DZ122" s="373"/>
      <c r="EA122" s="373"/>
      <c r="EB122" s="373"/>
      <c r="EC122" s="373"/>
      <c r="ED122" s="373"/>
      <c r="EE122" s="373"/>
      <c r="EF122" s="373"/>
      <c r="EG122" s="373"/>
      <c r="EH122" s="373"/>
      <c r="EI122" s="373"/>
      <c r="EJ122" s="373"/>
      <c r="EK122" s="375">
        <f t="shared" si="94"/>
        <v>0</v>
      </c>
      <c r="EL122" s="177"/>
      <c r="EM122" s="373"/>
      <c r="EN122" s="373"/>
      <c r="EO122" s="373"/>
      <c r="EP122" s="373"/>
      <c r="EQ122" s="373"/>
      <c r="ER122" s="373"/>
      <c r="ES122" s="373"/>
      <c r="ET122" s="373"/>
      <c r="EU122" s="373"/>
      <c r="EV122" s="373"/>
      <c r="EW122" s="373"/>
      <c r="EX122" s="373"/>
      <c r="EY122" s="375">
        <f t="shared" si="120"/>
        <v>0</v>
      </c>
      <c r="EZ122" s="164"/>
      <c r="FB122" s="185" t="e">
        <v>#N/A</v>
      </c>
      <c r="FC122" s="185">
        <v>0</v>
      </c>
    </row>
    <row r="123" spans="1:159" ht="18.75" customHeight="1" outlineLevel="1">
      <c r="A123" s="185" t="s">
        <v>327</v>
      </c>
      <c r="B123" s="176">
        <v>63390000</v>
      </c>
      <c r="C123" s="176" t="s">
        <v>1104</v>
      </c>
      <c r="D123" s="176" t="s">
        <v>335</v>
      </c>
      <c r="E123" s="324"/>
      <c r="F123" s="320" t="s">
        <v>681</v>
      </c>
      <c r="G123" s="320"/>
      <c r="H123" s="417">
        <v>0</v>
      </c>
      <c r="I123" s="417">
        <v>0</v>
      </c>
      <c r="J123" s="417">
        <v>0</v>
      </c>
      <c r="K123" s="417">
        <v>0</v>
      </c>
      <c r="L123" s="417">
        <v>0</v>
      </c>
      <c r="M123" s="417">
        <v>0</v>
      </c>
      <c r="N123" s="417">
        <v>0</v>
      </c>
      <c r="O123" s="417">
        <v>0</v>
      </c>
      <c r="P123" s="417">
        <v>0</v>
      </c>
      <c r="Q123" s="819">
        <v>0</v>
      </c>
      <c r="R123" s="417">
        <v>0</v>
      </c>
      <c r="S123" s="417">
        <v>0</v>
      </c>
      <c r="T123" s="402"/>
      <c r="U123" s="366"/>
      <c r="V123" s="165"/>
      <c r="W123" s="212"/>
      <c r="X123" s="1518">
        <v>0</v>
      </c>
      <c r="Y123" s="1518">
        <v>0</v>
      </c>
      <c r="Z123" s="1518">
        <v>0</v>
      </c>
      <c r="AA123" s="1518">
        <v>0</v>
      </c>
      <c r="AB123" s="1518">
        <v>0</v>
      </c>
      <c r="AC123" s="1518">
        <v>0</v>
      </c>
      <c r="AD123" s="1518">
        <v>0</v>
      </c>
      <c r="AE123" s="1518">
        <v>0</v>
      </c>
      <c r="AF123" s="1518">
        <v>0</v>
      </c>
      <c r="AG123" s="1519">
        <v>0</v>
      </c>
      <c r="AH123" s="1518">
        <v>0</v>
      </c>
      <c r="AI123" s="1518">
        <v>0</v>
      </c>
      <c r="AJ123" s="375">
        <f t="shared" si="118"/>
        <v>0</v>
      </c>
      <c r="AK123" s="212"/>
      <c r="AL123" s="417">
        <v>0</v>
      </c>
      <c r="AM123" s="417">
        <v>0</v>
      </c>
      <c r="AN123" s="417">
        <v>0</v>
      </c>
      <c r="AO123" s="417">
        <v>0</v>
      </c>
      <c r="AP123" s="417">
        <v>0</v>
      </c>
      <c r="AQ123" s="417">
        <v>0</v>
      </c>
      <c r="AR123" s="417">
        <v>0</v>
      </c>
      <c r="AS123" s="417">
        <v>0</v>
      </c>
      <c r="AT123" s="417">
        <v>0</v>
      </c>
      <c r="AU123" s="819">
        <v>0</v>
      </c>
      <c r="AV123" s="417">
        <v>0</v>
      </c>
      <c r="AW123" s="417">
        <v>0</v>
      </c>
      <c r="AX123" s="375">
        <f t="shared" si="116"/>
        <v>0</v>
      </c>
      <c r="AY123" s="366"/>
      <c r="AZ123" s="165"/>
      <c r="BA123" s="212"/>
      <c r="BB123" s="417">
        <v>0</v>
      </c>
      <c r="BC123" s="417">
        <v>0</v>
      </c>
      <c r="BD123" s="417">
        <v>0</v>
      </c>
      <c r="BE123" s="417">
        <v>0</v>
      </c>
      <c r="BF123" s="417">
        <v>0</v>
      </c>
      <c r="BG123" s="417">
        <v>0</v>
      </c>
      <c r="BH123" s="417">
        <v>0</v>
      </c>
      <c r="BI123" s="417">
        <v>0</v>
      </c>
      <c r="BJ123" s="417">
        <v>0</v>
      </c>
      <c r="BK123" s="819">
        <v>0</v>
      </c>
      <c r="BL123" s="417">
        <v>0</v>
      </c>
      <c r="BM123" s="417">
        <v>0</v>
      </c>
      <c r="BN123" s="375">
        <f t="shared" si="117"/>
        <v>0</v>
      </c>
      <c r="BO123" s="212"/>
      <c r="BP123" s="818">
        <v>0</v>
      </c>
      <c r="BQ123" s="818">
        <v>0</v>
      </c>
      <c r="BR123" s="818">
        <v>0</v>
      </c>
      <c r="BS123" s="818">
        <v>0</v>
      </c>
      <c r="BT123" s="818">
        <v>0</v>
      </c>
      <c r="BU123" s="818">
        <v>0</v>
      </c>
      <c r="BV123" s="818">
        <v>0</v>
      </c>
      <c r="BW123" s="818">
        <v>0</v>
      </c>
      <c r="BX123" s="818">
        <v>0</v>
      </c>
      <c r="BY123" s="818">
        <v>0</v>
      </c>
      <c r="BZ123" s="818">
        <v>0</v>
      </c>
      <c r="CA123" s="818">
        <v>0</v>
      </c>
      <c r="CB123" s="375">
        <f t="shared" si="114"/>
        <v>0</v>
      </c>
      <c r="CC123" s="366">
        <f t="shared" si="110"/>
        <v>0</v>
      </c>
      <c r="CD123" s="165" t="str">
        <f t="shared" si="111"/>
        <v>N/A</v>
      </c>
      <c r="CE123" s="367"/>
      <c r="CF123" s="373">
        <v>0</v>
      </c>
      <c r="CG123" s="373">
        <v>0</v>
      </c>
      <c r="CH123" s="373">
        <v>0</v>
      </c>
      <c r="CI123" s="373">
        <v>0</v>
      </c>
      <c r="CJ123" s="373">
        <v>0</v>
      </c>
      <c r="CK123" s="373">
        <v>0</v>
      </c>
      <c r="CL123" s="373">
        <v>0</v>
      </c>
      <c r="CM123" s="373">
        <v>0</v>
      </c>
      <c r="CN123" s="373">
        <v>0</v>
      </c>
      <c r="CO123" s="373">
        <v>0</v>
      </c>
      <c r="CP123" s="373">
        <v>0</v>
      </c>
      <c r="CQ123" s="373">
        <v>0</v>
      </c>
      <c r="CR123" s="376"/>
      <c r="CS123" s="375">
        <f t="shared" si="90"/>
        <v>0</v>
      </c>
      <c r="CT123" s="378">
        <f t="shared" si="112"/>
        <v>0</v>
      </c>
      <c r="CU123" s="165" t="str">
        <f t="shared" si="113"/>
        <v>N/A</v>
      </c>
      <c r="CV123" s="320"/>
      <c r="CW123" s="373">
        <v>0</v>
      </c>
      <c r="CX123" s="373">
        <v>0</v>
      </c>
      <c r="CY123" s="373">
        <v>0</v>
      </c>
      <c r="CZ123" s="373">
        <v>0</v>
      </c>
      <c r="DA123" s="373">
        <v>0</v>
      </c>
      <c r="DB123" s="373">
        <v>0</v>
      </c>
      <c r="DC123" s="373">
        <v>0</v>
      </c>
      <c r="DD123" s="373">
        <v>0</v>
      </c>
      <c r="DE123" s="373">
        <v>0</v>
      </c>
      <c r="DF123" s="373">
        <v>0</v>
      </c>
      <c r="DG123" s="373">
        <v>0</v>
      </c>
      <c r="DH123" s="373">
        <v>0</v>
      </c>
      <c r="DI123" s="375">
        <f t="shared" si="121"/>
        <v>0</v>
      </c>
      <c r="DJ123" s="320"/>
      <c r="DK123" s="373"/>
      <c r="DL123" s="373"/>
      <c r="DM123" s="373"/>
      <c r="DN123" s="373"/>
      <c r="DO123" s="373"/>
      <c r="DP123" s="373"/>
      <c r="DQ123" s="373"/>
      <c r="DR123" s="373"/>
      <c r="DS123" s="373"/>
      <c r="DT123" s="373"/>
      <c r="DU123" s="373"/>
      <c r="DV123" s="373"/>
      <c r="DW123" s="375">
        <f t="shared" si="119"/>
        <v>0</v>
      </c>
      <c r="DY123" s="373"/>
      <c r="DZ123" s="373"/>
      <c r="EA123" s="373"/>
      <c r="EB123" s="373"/>
      <c r="EC123" s="373"/>
      <c r="ED123" s="373"/>
      <c r="EE123" s="373"/>
      <c r="EF123" s="373"/>
      <c r="EG123" s="373"/>
      <c r="EH123" s="373"/>
      <c r="EI123" s="373"/>
      <c r="EJ123" s="373"/>
      <c r="EK123" s="375">
        <f t="shared" ref="EK123:EK130" si="122">SUM(DY123:EJ123)</f>
        <v>0</v>
      </c>
      <c r="EL123" s="177"/>
      <c r="EM123" s="373"/>
      <c r="EN123" s="373"/>
      <c r="EO123" s="373"/>
      <c r="EP123" s="373"/>
      <c r="EQ123" s="373"/>
      <c r="ER123" s="373"/>
      <c r="ES123" s="373"/>
      <c r="ET123" s="373"/>
      <c r="EU123" s="373"/>
      <c r="EV123" s="373"/>
      <c r="EW123" s="373"/>
      <c r="EX123" s="373"/>
      <c r="EY123" s="375">
        <f t="shared" si="120"/>
        <v>0</v>
      </c>
      <c r="EZ123" s="164"/>
      <c r="FB123" s="185" t="s">
        <v>584</v>
      </c>
      <c r="FC123" s="185">
        <v>0</v>
      </c>
    </row>
    <row r="124" spans="1:159" ht="18.75" customHeight="1" outlineLevel="1">
      <c r="A124" s="185" t="s">
        <v>327</v>
      </c>
      <c r="B124" s="176">
        <v>63401000</v>
      </c>
      <c r="C124" s="176" t="s">
        <v>1104</v>
      </c>
      <c r="D124" s="176" t="s">
        <v>335</v>
      </c>
      <c r="E124" s="324"/>
      <c r="F124" s="320" t="s">
        <v>682</v>
      </c>
      <c r="G124" s="320"/>
      <c r="H124" s="417">
        <v>0</v>
      </c>
      <c r="I124" s="417">
        <v>0</v>
      </c>
      <c r="J124" s="417">
        <v>0</v>
      </c>
      <c r="K124" s="417">
        <v>0</v>
      </c>
      <c r="L124" s="417">
        <v>0</v>
      </c>
      <c r="M124" s="417">
        <v>0</v>
      </c>
      <c r="N124" s="417">
        <v>0</v>
      </c>
      <c r="O124" s="417">
        <v>0</v>
      </c>
      <c r="P124" s="417">
        <v>0</v>
      </c>
      <c r="Q124" s="819">
        <v>0</v>
      </c>
      <c r="R124" s="417">
        <v>0</v>
      </c>
      <c r="S124" s="417">
        <v>0</v>
      </c>
      <c r="T124" s="402"/>
      <c r="U124" s="366"/>
      <c r="V124" s="165"/>
      <c r="W124" s="212"/>
      <c r="X124" s="1518">
        <v>0</v>
      </c>
      <c r="Y124" s="1518">
        <v>0</v>
      </c>
      <c r="Z124" s="1518">
        <v>0</v>
      </c>
      <c r="AA124" s="1518">
        <v>0</v>
      </c>
      <c r="AB124" s="1518">
        <v>0</v>
      </c>
      <c r="AC124" s="1518">
        <v>0</v>
      </c>
      <c r="AD124" s="1518">
        <v>0</v>
      </c>
      <c r="AE124" s="1518">
        <v>0</v>
      </c>
      <c r="AF124" s="1518">
        <v>0</v>
      </c>
      <c r="AG124" s="1519">
        <v>0</v>
      </c>
      <c r="AH124" s="1518">
        <v>0</v>
      </c>
      <c r="AI124" s="1518">
        <v>0</v>
      </c>
      <c r="AJ124" s="375">
        <f t="shared" si="118"/>
        <v>0</v>
      </c>
      <c r="AK124" s="212"/>
      <c r="AL124" s="417">
        <v>0</v>
      </c>
      <c r="AM124" s="417">
        <v>0</v>
      </c>
      <c r="AN124" s="417">
        <v>0</v>
      </c>
      <c r="AO124" s="417">
        <v>0</v>
      </c>
      <c r="AP124" s="417">
        <v>0</v>
      </c>
      <c r="AQ124" s="417">
        <v>0</v>
      </c>
      <c r="AR124" s="417">
        <v>0</v>
      </c>
      <c r="AS124" s="417">
        <v>0</v>
      </c>
      <c r="AT124" s="417">
        <v>0</v>
      </c>
      <c r="AU124" s="819">
        <v>0</v>
      </c>
      <c r="AV124" s="417">
        <v>0</v>
      </c>
      <c r="AW124" s="417">
        <v>0</v>
      </c>
      <c r="AX124" s="375">
        <f t="shared" si="116"/>
        <v>0</v>
      </c>
      <c r="AY124" s="366"/>
      <c r="AZ124" s="165"/>
      <c r="BA124" s="212"/>
      <c r="BB124" s="417">
        <v>0</v>
      </c>
      <c r="BC124" s="417">
        <v>0</v>
      </c>
      <c r="BD124" s="417">
        <v>0</v>
      </c>
      <c r="BE124" s="417">
        <v>0</v>
      </c>
      <c r="BF124" s="417">
        <v>0</v>
      </c>
      <c r="BG124" s="417">
        <v>0</v>
      </c>
      <c r="BH124" s="417">
        <v>0</v>
      </c>
      <c r="BI124" s="417">
        <v>0</v>
      </c>
      <c r="BJ124" s="417">
        <v>0</v>
      </c>
      <c r="BK124" s="819">
        <v>0</v>
      </c>
      <c r="BL124" s="417">
        <v>0</v>
      </c>
      <c r="BM124" s="417">
        <v>0</v>
      </c>
      <c r="BN124" s="375">
        <f t="shared" si="117"/>
        <v>0</v>
      </c>
      <c r="BO124" s="212"/>
      <c r="BP124" s="818">
        <v>0</v>
      </c>
      <c r="BQ124" s="818">
        <v>0</v>
      </c>
      <c r="BR124" s="818">
        <v>0</v>
      </c>
      <c r="BS124" s="818">
        <v>0</v>
      </c>
      <c r="BT124" s="818">
        <v>0</v>
      </c>
      <c r="BU124" s="818">
        <v>0</v>
      </c>
      <c r="BV124" s="818">
        <v>0</v>
      </c>
      <c r="BW124" s="818">
        <v>0</v>
      </c>
      <c r="BX124" s="818">
        <v>0</v>
      </c>
      <c r="BY124" s="818">
        <v>0</v>
      </c>
      <c r="BZ124" s="818">
        <v>0</v>
      </c>
      <c r="CA124" s="818">
        <v>0</v>
      </c>
      <c r="CB124" s="375">
        <f t="shared" si="114"/>
        <v>0</v>
      </c>
      <c r="CC124" s="366">
        <f t="shared" si="110"/>
        <v>0</v>
      </c>
      <c r="CD124" s="165" t="str">
        <f t="shared" si="111"/>
        <v>N/A</v>
      </c>
      <c r="CE124" s="367"/>
      <c r="CF124" s="373">
        <v>0</v>
      </c>
      <c r="CG124" s="373">
        <v>0</v>
      </c>
      <c r="CH124" s="373">
        <v>0</v>
      </c>
      <c r="CI124" s="373">
        <v>0</v>
      </c>
      <c r="CJ124" s="373">
        <v>0</v>
      </c>
      <c r="CK124" s="373">
        <v>0</v>
      </c>
      <c r="CL124" s="373">
        <v>0</v>
      </c>
      <c r="CM124" s="373">
        <v>0</v>
      </c>
      <c r="CN124" s="373">
        <v>0</v>
      </c>
      <c r="CO124" s="373">
        <v>0</v>
      </c>
      <c r="CP124" s="373">
        <v>0</v>
      </c>
      <c r="CQ124" s="373">
        <v>0</v>
      </c>
      <c r="CR124" s="376"/>
      <c r="CS124" s="375">
        <f t="shared" si="90"/>
        <v>0</v>
      </c>
      <c r="CT124" s="378">
        <f t="shared" si="112"/>
        <v>0</v>
      </c>
      <c r="CU124" s="165" t="str">
        <f t="shared" si="113"/>
        <v>N/A</v>
      </c>
      <c r="CV124" s="320"/>
      <c r="CW124" s="373">
        <v>0</v>
      </c>
      <c r="CX124" s="373">
        <v>0</v>
      </c>
      <c r="CY124" s="373">
        <v>0</v>
      </c>
      <c r="CZ124" s="373">
        <v>0</v>
      </c>
      <c r="DA124" s="373">
        <v>0</v>
      </c>
      <c r="DB124" s="373">
        <v>0</v>
      </c>
      <c r="DC124" s="373">
        <v>0</v>
      </c>
      <c r="DD124" s="373">
        <v>0</v>
      </c>
      <c r="DE124" s="373">
        <v>0</v>
      </c>
      <c r="DF124" s="373">
        <v>0</v>
      </c>
      <c r="DG124" s="373">
        <v>0</v>
      </c>
      <c r="DH124" s="373">
        <v>0</v>
      </c>
      <c r="DI124" s="375">
        <f t="shared" si="121"/>
        <v>0</v>
      </c>
      <c r="DJ124" s="320"/>
      <c r="DK124" s="373"/>
      <c r="DL124" s="373"/>
      <c r="DM124" s="373"/>
      <c r="DN124" s="373"/>
      <c r="DO124" s="373"/>
      <c r="DP124" s="373"/>
      <c r="DQ124" s="373"/>
      <c r="DR124" s="373"/>
      <c r="DS124" s="373"/>
      <c r="DT124" s="373"/>
      <c r="DU124" s="373"/>
      <c r="DV124" s="373"/>
      <c r="DW124" s="375">
        <f t="shared" si="119"/>
        <v>0</v>
      </c>
      <c r="DY124" s="373"/>
      <c r="DZ124" s="373"/>
      <c r="EA124" s="373"/>
      <c r="EB124" s="373"/>
      <c r="EC124" s="373"/>
      <c r="ED124" s="373"/>
      <c r="EE124" s="373"/>
      <c r="EF124" s="373"/>
      <c r="EG124" s="373"/>
      <c r="EH124" s="373"/>
      <c r="EI124" s="373"/>
      <c r="EJ124" s="373"/>
      <c r="EK124" s="375">
        <f t="shared" si="122"/>
        <v>0</v>
      </c>
      <c r="EL124" s="177"/>
      <c r="EM124" s="373"/>
      <c r="EN124" s="373"/>
      <c r="EO124" s="373"/>
      <c r="EP124" s="373"/>
      <c r="EQ124" s="373"/>
      <c r="ER124" s="373"/>
      <c r="ES124" s="373"/>
      <c r="ET124" s="373"/>
      <c r="EU124" s="373"/>
      <c r="EV124" s="373"/>
      <c r="EW124" s="373"/>
      <c r="EX124" s="373"/>
      <c r="EY124" s="375">
        <f t="shared" si="120"/>
        <v>0</v>
      </c>
      <c r="EZ124" s="164"/>
      <c r="FB124" s="185" t="e">
        <v>#N/A</v>
      </c>
      <c r="FC124" s="185">
        <v>0</v>
      </c>
    </row>
    <row r="125" spans="1:159" ht="18.75" customHeight="1" outlineLevel="1" collapsed="1">
      <c r="A125" s="185" t="s">
        <v>327</v>
      </c>
      <c r="B125" s="176">
        <v>63490000</v>
      </c>
      <c r="C125" s="176" t="s">
        <v>1104</v>
      </c>
      <c r="D125" s="176" t="s">
        <v>335</v>
      </c>
      <c r="E125" s="324"/>
      <c r="F125" s="320" t="s">
        <v>683</v>
      </c>
      <c r="G125" s="320"/>
      <c r="H125" s="417">
        <v>0</v>
      </c>
      <c r="I125" s="417">
        <v>0</v>
      </c>
      <c r="J125" s="417">
        <v>0</v>
      </c>
      <c r="K125" s="417">
        <v>0</v>
      </c>
      <c r="L125" s="417">
        <v>0</v>
      </c>
      <c r="M125" s="417">
        <v>0</v>
      </c>
      <c r="N125" s="417">
        <v>0</v>
      </c>
      <c r="O125" s="417">
        <v>0</v>
      </c>
      <c r="P125" s="417">
        <v>0</v>
      </c>
      <c r="Q125" s="819">
        <v>0</v>
      </c>
      <c r="R125" s="417">
        <v>0</v>
      </c>
      <c r="S125" s="417">
        <v>0</v>
      </c>
      <c r="T125" s="402"/>
      <c r="U125" s="366"/>
      <c r="V125" s="165"/>
      <c r="W125" s="212"/>
      <c r="X125" s="1518">
        <v>0</v>
      </c>
      <c r="Y125" s="1518">
        <v>0</v>
      </c>
      <c r="Z125" s="1518">
        <v>0</v>
      </c>
      <c r="AA125" s="1518">
        <v>0</v>
      </c>
      <c r="AB125" s="1518">
        <v>0</v>
      </c>
      <c r="AC125" s="1518">
        <v>0</v>
      </c>
      <c r="AD125" s="1518">
        <v>0</v>
      </c>
      <c r="AE125" s="1518">
        <v>0</v>
      </c>
      <c r="AF125" s="1518">
        <v>0</v>
      </c>
      <c r="AG125" s="1519">
        <v>0</v>
      </c>
      <c r="AH125" s="1518">
        <v>0</v>
      </c>
      <c r="AI125" s="1518">
        <v>0</v>
      </c>
      <c r="AJ125" s="375">
        <f t="shared" si="118"/>
        <v>0</v>
      </c>
      <c r="AK125" s="212"/>
      <c r="AL125" s="417">
        <v>0</v>
      </c>
      <c r="AM125" s="417">
        <v>0</v>
      </c>
      <c r="AN125" s="417">
        <v>0</v>
      </c>
      <c r="AO125" s="417">
        <v>0</v>
      </c>
      <c r="AP125" s="417">
        <v>0</v>
      </c>
      <c r="AQ125" s="417">
        <v>0</v>
      </c>
      <c r="AR125" s="417">
        <v>0</v>
      </c>
      <c r="AS125" s="417">
        <v>0</v>
      </c>
      <c r="AT125" s="417">
        <v>0</v>
      </c>
      <c r="AU125" s="819">
        <v>0</v>
      </c>
      <c r="AV125" s="417">
        <v>0</v>
      </c>
      <c r="AW125" s="417">
        <v>0</v>
      </c>
      <c r="AX125" s="375">
        <f t="shared" si="116"/>
        <v>0</v>
      </c>
      <c r="AY125" s="366"/>
      <c r="AZ125" s="165"/>
      <c r="BA125" s="212"/>
      <c r="BB125" s="417">
        <v>0</v>
      </c>
      <c r="BC125" s="417">
        <v>0</v>
      </c>
      <c r="BD125" s="417">
        <v>0</v>
      </c>
      <c r="BE125" s="417">
        <v>0</v>
      </c>
      <c r="BF125" s="417">
        <v>0</v>
      </c>
      <c r="BG125" s="417">
        <v>0</v>
      </c>
      <c r="BH125" s="417">
        <v>0</v>
      </c>
      <c r="BI125" s="417">
        <v>0</v>
      </c>
      <c r="BJ125" s="417">
        <v>0</v>
      </c>
      <c r="BK125" s="819">
        <v>0</v>
      </c>
      <c r="BL125" s="417">
        <v>0</v>
      </c>
      <c r="BM125" s="417">
        <v>0</v>
      </c>
      <c r="BN125" s="375">
        <f t="shared" si="117"/>
        <v>0</v>
      </c>
      <c r="BO125" s="212"/>
      <c r="BP125" s="818">
        <v>0</v>
      </c>
      <c r="BQ125" s="818">
        <v>0</v>
      </c>
      <c r="BR125" s="818">
        <v>0</v>
      </c>
      <c r="BS125" s="818">
        <v>0</v>
      </c>
      <c r="BT125" s="818">
        <v>0</v>
      </c>
      <c r="BU125" s="818">
        <v>0</v>
      </c>
      <c r="BV125" s="818">
        <v>0</v>
      </c>
      <c r="BW125" s="818">
        <v>0</v>
      </c>
      <c r="BX125" s="818">
        <v>0</v>
      </c>
      <c r="BY125" s="818">
        <v>0</v>
      </c>
      <c r="BZ125" s="818">
        <v>0</v>
      </c>
      <c r="CA125" s="818">
        <v>0</v>
      </c>
      <c r="CB125" s="375">
        <f t="shared" si="114"/>
        <v>0</v>
      </c>
      <c r="CC125" s="366">
        <f t="shared" si="110"/>
        <v>0</v>
      </c>
      <c r="CD125" s="165" t="str">
        <f t="shared" si="111"/>
        <v>N/A</v>
      </c>
      <c r="CE125" s="367"/>
      <c r="CF125" s="373">
        <v>0</v>
      </c>
      <c r="CG125" s="373">
        <v>0</v>
      </c>
      <c r="CH125" s="373">
        <v>0</v>
      </c>
      <c r="CI125" s="373">
        <v>0</v>
      </c>
      <c r="CJ125" s="373">
        <v>0</v>
      </c>
      <c r="CK125" s="373">
        <v>0</v>
      </c>
      <c r="CL125" s="373">
        <v>0</v>
      </c>
      <c r="CM125" s="373">
        <v>0</v>
      </c>
      <c r="CN125" s="373">
        <v>0</v>
      </c>
      <c r="CO125" s="373">
        <v>0</v>
      </c>
      <c r="CP125" s="373">
        <v>0</v>
      </c>
      <c r="CQ125" s="373">
        <v>0</v>
      </c>
      <c r="CR125" s="376"/>
      <c r="CS125" s="375">
        <f t="shared" si="90"/>
        <v>0</v>
      </c>
      <c r="CT125" s="378">
        <f t="shared" si="112"/>
        <v>0</v>
      </c>
      <c r="CU125" s="165" t="str">
        <f t="shared" si="113"/>
        <v>N/A</v>
      </c>
      <c r="CV125" s="320"/>
      <c r="CW125" s="373">
        <v>0</v>
      </c>
      <c r="CX125" s="373">
        <v>0</v>
      </c>
      <c r="CY125" s="373">
        <v>0</v>
      </c>
      <c r="CZ125" s="373">
        <v>0</v>
      </c>
      <c r="DA125" s="373">
        <v>0</v>
      </c>
      <c r="DB125" s="373">
        <v>0</v>
      </c>
      <c r="DC125" s="373">
        <v>0</v>
      </c>
      <c r="DD125" s="373">
        <v>0</v>
      </c>
      <c r="DE125" s="373">
        <v>0</v>
      </c>
      <c r="DF125" s="373">
        <v>0</v>
      </c>
      <c r="DG125" s="373">
        <v>0</v>
      </c>
      <c r="DH125" s="373">
        <v>0</v>
      </c>
      <c r="DI125" s="375">
        <f t="shared" si="121"/>
        <v>0</v>
      </c>
      <c r="DJ125" s="320"/>
      <c r="DK125" s="373"/>
      <c r="DL125" s="373"/>
      <c r="DM125" s="373"/>
      <c r="DN125" s="373"/>
      <c r="DO125" s="373"/>
      <c r="DP125" s="373"/>
      <c r="DQ125" s="373"/>
      <c r="DR125" s="373"/>
      <c r="DS125" s="373"/>
      <c r="DT125" s="373"/>
      <c r="DU125" s="373"/>
      <c r="DV125" s="373"/>
      <c r="DW125" s="375">
        <f t="shared" si="119"/>
        <v>0</v>
      </c>
      <c r="DY125" s="373"/>
      <c r="DZ125" s="373"/>
      <c r="EA125" s="373"/>
      <c r="EB125" s="373"/>
      <c r="EC125" s="373"/>
      <c r="ED125" s="373"/>
      <c r="EE125" s="373"/>
      <c r="EF125" s="373"/>
      <c r="EG125" s="373"/>
      <c r="EH125" s="373"/>
      <c r="EI125" s="373"/>
      <c r="EJ125" s="373"/>
      <c r="EK125" s="375">
        <f t="shared" si="122"/>
        <v>0</v>
      </c>
      <c r="EL125" s="177"/>
      <c r="EM125" s="373"/>
      <c r="EN125" s="373"/>
      <c r="EO125" s="373"/>
      <c r="EP125" s="373"/>
      <c r="EQ125" s="373"/>
      <c r="ER125" s="373"/>
      <c r="ES125" s="373"/>
      <c r="ET125" s="373"/>
      <c r="EU125" s="373"/>
      <c r="EV125" s="373"/>
      <c r="EW125" s="373"/>
      <c r="EX125" s="373"/>
      <c r="EY125" s="375">
        <f t="shared" si="120"/>
        <v>0</v>
      </c>
      <c r="EZ125" s="164"/>
      <c r="FB125" s="185">
        <v>0</v>
      </c>
      <c r="FC125" s="185">
        <v>0</v>
      </c>
    </row>
    <row r="126" spans="1:159" ht="18.75" customHeight="1" outlineLevel="1">
      <c r="A126" s="185" t="s">
        <v>327</v>
      </c>
      <c r="B126" s="176">
        <v>63501000</v>
      </c>
      <c r="C126" s="176" t="s">
        <v>1104</v>
      </c>
      <c r="D126" s="176" t="s">
        <v>335</v>
      </c>
      <c r="E126" s="324"/>
      <c r="F126" s="320" t="s">
        <v>684</v>
      </c>
      <c r="G126" s="320"/>
      <c r="H126" s="417">
        <v>0</v>
      </c>
      <c r="I126" s="417">
        <v>0</v>
      </c>
      <c r="J126" s="417">
        <v>0</v>
      </c>
      <c r="K126" s="417">
        <v>0</v>
      </c>
      <c r="L126" s="417">
        <v>0</v>
      </c>
      <c r="M126" s="417">
        <v>0</v>
      </c>
      <c r="N126" s="417">
        <v>0</v>
      </c>
      <c r="O126" s="417">
        <v>0</v>
      </c>
      <c r="P126" s="417">
        <v>0</v>
      </c>
      <c r="Q126" s="819">
        <v>0</v>
      </c>
      <c r="R126" s="417">
        <v>0</v>
      </c>
      <c r="S126" s="417">
        <v>0</v>
      </c>
      <c r="T126" s="402"/>
      <c r="U126" s="366"/>
      <c r="V126" s="165"/>
      <c r="W126" s="212"/>
      <c r="X126" s="1518">
        <v>0</v>
      </c>
      <c r="Y126" s="1518">
        <v>0</v>
      </c>
      <c r="Z126" s="1518">
        <v>0</v>
      </c>
      <c r="AA126" s="1518">
        <v>0</v>
      </c>
      <c r="AB126" s="1518">
        <v>0</v>
      </c>
      <c r="AC126" s="1518">
        <v>0</v>
      </c>
      <c r="AD126" s="1518">
        <v>0</v>
      </c>
      <c r="AE126" s="1518">
        <v>0</v>
      </c>
      <c r="AF126" s="1518">
        <v>0</v>
      </c>
      <c r="AG126" s="1519">
        <v>0</v>
      </c>
      <c r="AH126" s="1518">
        <v>0</v>
      </c>
      <c r="AI126" s="1518">
        <v>0</v>
      </c>
      <c r="AJ126" s="375">
        <f t="shared" si="118"/>
        <v>0</v>
      </c>
      <c r="AK126" s="212"/>
      <c r="AL126" s="417">
        <v>0</v>
      </c>
      <c r="AM126" s="417">
        <v>0</v>
      </c>
      <c r="AN126" s="417">
        <v>0</v>
      </c>
      <c r="AO126" s="417">
        <v>0</v>
      </c>
      <c r="AP126" s="417">
        <v>0</v>
      </c>
      <c r="AQ126" s="417">
        <v>0</v>
      </c>
      <c r="AR126" s="417">
        <v>0</v>
      </c>
      <c r="AS126" s="417">
        <v>0</v>
      </c>
      <c r="AT126" s="417">
        <v>0</v>
      </c>
      <c r="AU126" s="819">
        <v>0</v>
      </c>
      <c r="AV126" s="417">
        <v>0</v>
      </c>
      <c r="AW126" s="417">
        <v>0</v>
      </c>
      <c r="AX126" s="375">
        <f t="shared" si="116"/>
        <v>0</v>
      </c>
      <c r="AY126" s="366"/>
      <c r="AZ126" s="165"/>
      <c r="BA126" s="212"/>
      <c r="BB126" s="417">
        <v>0</v>
      </c>
      <c r="BC126" s="417">
        <v>0</v>
      </c>
      <c r="BD126" s="417">
        <v>0</v>
      </c>
      <c r="BE126" s="417">
        <v>0</v>
      </c>
      <c r="BF126" s="417">
        <v>0</v>
      </c>
      <c r="BG126" s="417">
        <v>0</v>
      </c>
      <c r="BH126" s="417">
        <v>0</v>
      </c>
      <c r="BI126" s="417">
        <v>0</v>
      </c>
      <c r="BJ126" s="417">
        <v>0</v>
      </c>
      <c r="BK126" s="819">
        <v>0</v>
      </c>
      <c r="BL126" s="417">
        <v>0</v>
      </c>
      <c r="BM126" s="417">
        <v>0</v>
      </c>
      <c r="BN126" s="375">
        <f t="shared" si="117"/>
        <v>0</v>
      </c>
      <c r="BO126" s="212"/>
      <c r="BP126" s="818">
        <v>0</v>
      </c>
      <c r="BQ126" s="818">
        <v>0</v>
      </c>
      <c r="BR126" s="818">
        <v>0</v>
      </c>
      <c r="BS126" s="818">
        <v>0</v>
      </c>
      <c r="BT126" s="818">
        <v>0</v>
      </c>
      <c r="BU126" s="818">
        <v>0</v>
      </c>
      <c r="BV126" s="818">
        <v>0</v>
      </c>
      <c r="BW126" s="818">
        <v>0</v>
      </c>
      <c r="BX126" s="818">
        <v>0</v>
      </c>
      <c r="BY126" s="818">
        <v>0</v>
      </c>
      <c r="BZ126" s="818">
        <v>0</v>
      </c>
      <c r="CA126" s="818">
        <v>0</v>
      </c>
      <c r="CB126" s="375">
        <f t="shared" si="114"/>
        <v>0</v>
      </c>
      <c r="CC126" s="366">
        <f t="shared" si="110"/>
        <v>0</v>
      </c>
      <c r="CD126" s="165" t="str">
        <f t="shared" si="111"/>
        <v>N/A</v>
      </c>
      <c r="CE126" s="367"/>
      <c r="CF126" s="373">
        <v>0</v>
      </c>
      <c r="CG126" s="373">
        <v>0</v>
      </c>
      <c r="CH126" s="373">
        <v>0</v>
      </c>
      <c r="CI126" s="373">
        <v>0</v>
      </c>
      <c r="CJ126" s="373">
        <v>0</v>
      </c>
      <c r="CK126" s="373">
        <v>0</v>
      </c>
      <c r="CL126" s="373">
        <v>0</v>
      </c>
      <c r="CM126" s="373">
        <v>0</v>
      </c>
      <c r="CN126" s="373">
        <v>0</v>
      </c>
      <c r="CO126" s="373">
        <v>0</v>
      </c>
      <c r="CP126" s="373">
        <v>0</v>
      </c>
      <c r="CQ126" s="373">
        <v>0</v>
      </c>
      <c r="CR126" s="376"/>
      <c r="CS126" s="375">
        <f t="shared" si="90"/>
        <v>0</v>
      </c>
      <c r="CT126" s="378">
        <f t="shared" si="112"/>
        <v>0</v>
      </c>
      <c r="CU126" s="165" t="str">
        <f t="shared" si="113"/>
        <v>N/A</v>
      </c>
      <c r="CV126" s="320"/>
      <c r="CW126" s="373">
        <v>0</v>
      </c>
      <c r="CX126" s="373">
        <v>0</v>
      </c>
      <c r="CY126" s="373">
        <v>0</v>
      </c>
      <c r="CZ126" s="373">
        <v>0</v>
      </c>
      <c r="DA126" s="373">
        <v>0</v>
      </c>
      <c r="DB126" s="373">
        <v>0</v>
      </c>
      <c r="DC126" s="373">
        <v>0</v>
      </c>
      <c r="DD126" s="373">
        <v>0</v>
      </c>
      <c r="DE126" s="373">
        <v>0</v>
      </c>
      <c r="DF126" s="373">
        <v>0</v>
      </c>
      <c r="DG126" s="373">
        <v>0</v>
      </c>
      <c r="DH126" s="373">
        <v>0</v>
      </c>
      <c r="DI126" s="375">
        <f t="shared" si="121"/>
        <v>0</v>
      </c>
      <c r="DJ126" s="320"/>
      <c r="DK126" s="373"/>
      <c r="DL126" s="373"/>
      <c r="DM126" s="373"/>
      <c r="DN126" s="373"/>
      <c r="DO126" s="373"/>
      <c r="DP126" s="373"/>
      <c r="DQ126" s="373"/>
      <c r="DR126" s="373"/>
      <c r="DS126" s="373"/>
      <c r="DT126" s="373"/>
      <c r="DU126" s="373"/>
      <c r="DV126" s="373"/>
      <c r="DW126" s="375">
        <f t="shared" si="119"/>
        <v>0</v>
      </c>
      <c r="DY126" s="373"/>
      <c r="DZ126" s="373"/>
      <c r="EA126" s="373"/>
      <c r="EB126" s="373"/>
      <c r="EC126" s="373"/>
      <c r="ED126" s="373"/>
      <c r="EE126" s="373"/>
      <c r="EF126" s="373"/>
      <c r="EG126" s="373"/>
      <c r="EH126" s="373"/>
      <c r="EI126" s="373"/>
      <c r="EJ126" s="373"/>
      <c r="EK126" s="375">
        <f t="shared" si="122"/>
        <v>0</v>
      </c>
      <c r="EL126" s="177"/>
      <c r="EM126" s="373"/>
      <c r="EN126" s="373"/>
      <c r="EO126" s="373"/>
      <c r="EP126" s="373"/>
      <c r="EQ126" s="373"/>
      <c r="ER126" s="373"/>
      <c r="ES126" s="373"/>
      <c r="ET126" s="373"/>
      <c r="EU126" s="373"/>
      <c r="EV126" s="373"/>
      <c r="EW126" s="373"/>
      <c r="EX126" s="373"/>
      <c r="EY126" s="375">
        <f t="shared" si="120"/>
        <v>0</v>
      </c>
      <c r="EZ126" s="164"/>
      <c r="FB126" s="185" t="s">
        <v>22</v>
      </c>
      <c r="FC126" s="185">
        <v>0</v>
      </c>
    </row>
    <row r="127" spans="1:159" ht="18.75" customHeight="1" outlineLevel="1">
      <c r="A127" s="185" t="s">
        <v>327</v>
      </c>
      <c r="B127" s="176">
        <v>63590000</v>
      </c>
      <c r="C127" s="176" t="s">
        <v>1104</v>
      </c>
      <c r="D127" s="176" t="s">
        <v>335</v>
      </c>
      <c r="E127" s="324"/>
      <c r="F127" s="320" t="s">
        <v>685</v>
      </c>
      <c r="G127" s="320"/>
      <c r="H127" s="417">
        <v>0</v>
      </c>
      <c r="I127" s="417">
        <v>0</v>
      </c>
      <c r="J127" s="417">
        <v>0</v>
      </c>
      <c r="K127" s="417">
        <v>0</v>
      </c>
      <c r="L127" s="417">
        <v>0</v>
      </c>
      <c r="M127" s="417">
        <v>0</v>
      </c>
      <c r="N127" s="417">
        <v>0</v>
      </c>
      <c r="O127" s="417">
        <v>0</v>
      </c>
      <c r="P127" s="417">
        <v>0</v>
      </c>
      <c r="Q127" s="819">
        <v>0</v>
      </c>
      <c r="R127" s="417">
        <v>0</v>
      </c>
      <c r="S127" s="417">
        <v>0</v>
      </c>
      <c r="T127" s="402"/>
      <c r="U127" s="366"/>
      <c r="V127" s="165"/>
      <c r="W127" s="212"/>
      <c r="X127" s="1518">
        <v>0</v>
      </c>
      <c r="Y127" s="1518">
        <v>0</v>
      </c>
      <c r="Z127" s="1518">
        <v>0</v>
      </c>
      <c r="AA127" s="1518">
        <v>0</v>
      </c>
      <c r="AB127" s="1518">
        <v>0</v>
      </c>
      <c r="AC127" s="1518">
        <v>0</v>
      </c>
      <c r="AD127" s="1518">
        <v>0</v>
      </c>
      <c r="AE127" s="1518">
        <v>0</v>
      </c>
      <c r="AF127" s="1518">
        <v>0</v>
      </c>
      <c r="AG127" s="1519">
        <v>0</v>
      </c>
      <c r="AH127" s="1518">
        <v>0</v>
      </c>
      <c r="AI127" s="1518">
        <v>0</v>
      </c>
      <c r="AJ127" s="375">
        <f t="shared" si="118"/>
        <v>0</v>
      </c>
      <c r="AK127" s="212"/>
      <c r="AL127" s="417">
        <v>0</v>
      </c>
      <c r="AM127" s="417">
        <v>0</v>
      </c>
      <c r="AN127" s="417">
        <v>0</v>
      </c>
      <c r="AO127" s="417">
        <v>0</v>
      </c>
      <c r="AP127" s="417">
        <v>0</v>
      </c>
      <c r="AQ127" s="417">
        <v>0</v>
      </c>
      <c r="AR127" s="417">
        <v>0</v>
      </c>
      <c r="AS127" s="417">
        <v>0</v>
      </c>
      <c r="AT127" s="417">
        <v>0</v>
      </c>
      <c r="AU127" s="819">
        <v>0</v>
      </c>
      <c r="AV127" s="417">
        <v>0</v>
      </c>
      <c r="AW127" s="417">
        <v>0</v>
      </c>
      <c r="AX127" s="375">
        <f t="shared" si="116"/>
        <v>0</v>
      </c>
      <c r="AY127" s="366"/>
      <c r="AZ127" s="165"/>
      <c r="BA127" s="212"/>
      <c r="BB127" s="417">
        <v>0</v>
      </c>
      <c r="BC127" s="417">
        <v>0</v>
      </c>
      <c r="BD127" s="417">
        <v>0</v>
      </c>
      <c r="BE127" s="417">
        <v>0</v>
      </c>
      <c r="BF127" s="417">
        <v>0</v>
      </c>
      <c r="BG127" s="417">
        <v>0</v>
      </c>
      <c r="BH127" s="417">
        <v>0</v>
      </c>
      <c r="BI127" s="417">
        <v>0</v>
      </c>
      <c r="BJ127" s="417">
        <v>0</v>
      </c>
      <c r="BK127" s="819">
        <v>0</v>
      </c>
      <c r="BL127" s="417">
        <v>0</v>
      </c>
      <c r="BM127" s="417">
        <v>0</v>
      </c>
      <c r="BN127" s="375">
        <f t="shared" si="117"/>
        <v>0</v>
      </c>
      <c r="BO127" s="212"/>
      <c r="BP127" s="818">
        <v>0</v>
      </c>
      <c r="BQ127" s="818">
        <v>0</v>
      </c>
      <c r="BR127" s="818">
        <v>0</v>
      </c>
      <c r="BS127" s="818">
        <v>0</v>
      </c>
      <c r="BT127" s="818">
        <v>0</v>
      </c>
      <c r="BU127" s="818">
        <v>0</v>
      </c>
      <c r="BV127" s="818">
        <v>0</v>
      </c>
      <c r="BW127" s="818">
        <v>0</v>
      </c>
      <c r="BX127" s="818">
        <v>0</v>
      </c>
      <c r="BY127" s="818">
        <v>0</v>
      </c>
      <c r="BZ127" s="818">
        <v>0</v>
      </c>
      <c r="CA127" s="818">
        <v>0</v>
      </c>
      <c r="CB127" s="375">
        <f t="shared" si="114"/>
        <v>0</v>
      </c>
      <c r="CC127" s="366">
        <f t="shared" si="110"/>
        <v>0</v>
      </c>
      <c r="CD127" s="165" t="str">
        <f t="shared" si="111"/>
        <v>N/A</v>
      </c>
      <c r="CE127" s="367"/>
      <c r="CF127" s="373">
        <v>0</v>
      </c>
      <c r="CG127" s="373">
        <v>0</v>
      </c>
      <c r="CH127" s="373">
        <v>0</v>
      </c>
      <c r="CI127" s="373">
        <v>0</v>
      </c>
      <c r="CJ127" s="373">
        <v>0</v>
      </c>
      <c r="CK127" s="373">
        <v>0</v>
      </c>
      <c r="CL127" s="373">
        <v>0</v>
      </c>
      <c r="CM127" s="373">
        <v>0</v>
      </c>
      <c r="CN127" s="373">
        <v>0</v>
      </c>
      <c r="CO127" s="373">
        <v>0</v>
      </c>
      <c r="CP127" s="373">
        <v>0</v>
      </c>
      <c r="CQ127" s="373">
        <v>0</v>
      </c>
      <c r="CR127" s="376"/>
      <c r="CS127" s="375">
        <f t="shared" si="90"/>
        <v>0</v>
      </c>
      <c r="CT127" s="378">
        <f t="shared" si="112"/>
        <v>0</v>
      </c>
      <c r="CU127" s="165" t="str">
        <f t="shared" si="113"/>
        <v>N/A</v>
      </c>
      <c r="CV127" s="320"/>
      <c r="CW127" s="373">
        <v>0</v>
      </c>
      <c r="CX127" s="373">
        <v>0</v>
      </c>
      <c r="CY127" s="373">
        <v>0</v>
      </c>
      <c r="CZ127" s="373">
        <v>0</v>
      </c>
      <c r="DA127" s="373">
        <v>0</v>
      </c>
      <c r="DB127" s="373">
        <v>0</v>
      </c>
      <c r="DC127" s="373">
        <v>0</v>
      </c>
      <c r="DD127" s="373">
        <v>0</v>
      </c>
      <c r="DE127" s="373">
        <v>0</v>
      </c>
      <c r="DF127" s="373">
        <v>0</v>
      </c>
      <c r="DG127" s="373">
        <v>0</v>
      </c>
      <c r="DH127" s="373">
        <v>0</v>
      </c>
      <c r="DI127" s="375">
        <f t="shared" si="121"/>
        <v>0</v>
      </c>
      <c r="DJ127" s="320"/>
      <c r="DK127" s="373"/>
      <c r="DL127" s="373"/>
      <c r="DM127" s="373"/>
      <c r="DN127" s="373"/>
      <c r="DO127" s="373"/>
      <c r="DP127" s="373"/>
      <c r="DQ127" s="373"/>
      <c r="DR127" s="373"/>
      <c r="DS127" s="373"/>
      <c r="DT127" s="373"/>
      <c r="DU127" s="373"/>
      <c r="DV127" s="373"/>
      <c r="DW127" s="375">
        <f t="shared" si="119"/>
        <v>0</v>
      </c>
      <c r="DY127" s="373"/>
      <c r="DZ127" s="373"/>
      <c r="EA127" s="373"/>
      <c r="EB127" s="373"/>
      <c r="EC127" s="373"/>
      <c r="ED127" s="373"/>
      <c r="EE127" s="373"/>
      <c r="EF127" s="373"/>
      <c r="EG127" s="373"/>
      <c r="EH127" s="373"/>
      <c r="EI127" s="373"/>
      <c r="EJ127" s="373"/>
      <c r="EK127" s="375">
        <f t="shared" si="122"/>
        <v>0</v>
      </c>
      <c r="EL127" s="177"/>
      <c r="EM127" s="373"/>
      <c r="EN127" s="373"/>
      <c r="EO127" s="373"/>
      <c r="EP127" s="373"/>
      <c r="EQ127" s="373"/>
      <c r="ER127" s="373"/>
      <c r="ES127" s="373"/>
      <c r="ET127" s="373"/>
      <c r="EU127" s="373"/>
      <c r="EV127" s="373"/>
      <c r="EW127" s="373"/>
      <c r="EX127" s="373"/>
      <c r="EY127" s="375">
        <f t="shared" si="120"/>
        <v>0</v>
      </c>
      <c r="EZ127" s="164"/>
      <c r="FB127" s="185" t="s">
        <v>585</v>
      </c>
      <c r="FC127" s="185">
        <v>0</v>
      </c>
    </row>
    <row r="128" spans="1:159" ht="18.75" customHeight="1" outlineLevel="1">
      <c r="A128" s="185" t="s">
        <v>327</v>
      </c>
      <c r="B128" s="176">
        <v>63601000</v>
      </c>
      <c r="C128" s="176" t="s">
        <v>1104</v>
      </c>
      <c r="D128" s="176" t="s">
        <v>335</v>
      </c>
      <c r="E128" s="324"/>
      <c r="F128" s="320" t="s">
        <v>686</v>
      </c>
      <c r="G128" s="320"/>
      <c r="H128" s="417">
        <v>0</v>
      </c>
      <c r="I128" s="417">
        <v>0</v>
      </c>
      <c r="J128" s="417">
        <v>0</v>
      </c>
      <c r="K128" s="417">
        <v>0</v>
      </c>
      <c r="L128" s="417">
        <v>0</v>
      </c>
      <c r="M128" s="417">
        <v>0</v>
      </c>
      <c r="N128" s="417">
        <v>0</v>
      </c>
      <c r="O128" s="417">
        <v>0</v>
      </c>
      <c r="P128" s="417">
        <v>0</v>
      </c>
      <c r="Q128" s="819">
        <v>0</v>
      </c>
      <c r="R128" s="417">
        <v>0</v>
      </c>
      <c r="S128" s="417">
        <v>0</v>
      </c>
      <c r="T128" s="402"/>
      <c r="U128" s="366"/>
      <c r="V128" s="165"/>
      <c r="W128" s="212"/>
      <c r="X128" s="1518">
        <v>0</v>
      </c>
      <c r="Y128" s="1518">
        <v>0</v>
      </c>
      <c r="Z128" s="1518">
        <v>0</v>
      </c>
      <c r="AA128" s="1518">
        <v>0</v>
      </c>
      <c r="AB128" s="1518">
        <v>0</v>
      </c>
      <c r="AC128" s="1518">
        <v>0</v>
      </c>
      <c r="AD128" s="1518">
        <v>0</v>
      </c>
      <c r="AE128" s="1518">
        <v>0</v>
      </c>
      <c r="AF128" s="1518">
        <v>0</v>
      </c>
      <c r="AG128" s="1519">
        <v>0</v>
      </c>
      <c r="AH128" s="1518">
        <v>0</v>
      </c>
      <c r="AI128" s="1518">
        <v>0</v>
      </c>
      <c r="AJ128" s="375">
        <f t="shared" si="118"/>
        <v>0</v>
      </c>
      <c r="AK128" s="212"/>
      <c r="AL128" s="417">
        <v>0</v>
      </c>
      <c r="AM128" s="417">
        <v>0</v>
      </c>
      <c r="AN128" s="417">
        <v>0</v>
      </c>
      <c r="AO128" s="417">
        <v>0</v>
      </c>
      <c r="AP128" s="417">
        <v>0</v>
      </c>
      <c r="AQ128" s="417">
        <v>0</v>
      </c>
      <c r="AR128" s="417">
        <v>0</v>
      </c>
      <c r="AS128" s="417">
        <v>0</v>
      </c>
      <c r="AT128" s="417">
        <v>0</v>
      </c>
      <c r="AU128" s="819">
        <v>0</v>
      </c>
      <c r="AV128" s="417">
        <v>0</v>
      </c>
      <c r="AW128" s="417">
        <v>0</v>
      </c>
      <c r="AX128" s="375">
        <f t="shared" si="116"/>
        <v>0</v>
      </c>
      <c r="AY128" s="366"/>
      <c r="AZ128" s="165"/>
      <c r="BA128" s="212"/>
      <c r="BB128" s="417">
        <v>0</v>
      </c>
      <c r="BC128" s="417">
        <v>0</v>
      </c>
      <c r="BD128" s="417">
        <v>0</v>
      </c>
      <c r="BE128" s="417">
        <v>0</v>
      </c>
      <c r="BF128" s="417">
        <v>0</v>
      </c>
      <c r="BG128" s="417">
        <v>0</v>
      </c>
      <c r="BH128" s="417">
        <v>0</v>
      </c>
      <c r="BI128" s="417">
        <v>0</v>
      </c>
      <c r="BJ128" s="417">
        <v>0</v>
      </c>
      <c r="BK128" s="819">
        <v>0</v>
      </c>
      <c r="BL128" s="417">
        <v>0</v>
      </c>
      <c r="BM128" s="417">
        <v>0</v>
      </c>
      <c r="BN128" s="375">
        <f t="shared" si="117"/>
        <v>0</v>
      </c>
      <c r="BO128" s="212"/>
      <c r="BP128" s="818">
        <v>0</v>
      </c>
      <c r="BQ128" s="818">
        <v>0</v>
      </c>
      <c r="BR128" s="818">
        <v>0</v>
      </c>
      <c r="BS128" s="818">
        <v>0</v>
      </c>
      <c r="BT128" s="818">
        <v>0</v>
      </c>
      <c r="BU128" s="818">
        <v>0</v>
      </c>
      <c r="BV128" s="818">
        <v>0</v>
      </c>
      <c r="BW128" s="818">
        <v>0</v>
      </c>
      <c r="BX128" s="818">
        <v>0</v>
      </c>
      <c r="BY128" s="818">
        <v>0</v>
      </c>
      <c r="BZ128" s="818">
        <v>0</v>
      </c>
      <c r="CA128" s="818">
        <v>0</v>
      </c>
      <c r="CB128" s="375">
        <f t="shared" si="114"/>
        <v>0</v>
      </c>
      <c r="CC128" s="366">
        <f t="shared" si="110"/>
        <v>0</v>
      </c>
      <c r="CD128" s="165" t="str">
        <f t="shared" si="111"/>
        <v>N/A</v>
      </c>
      <c r="CE128" s="367"/>
      <c r="CF128" s="373">
        <v>0</v>
      </c>
      <c r="CG128" s="373">
        <v>0</v>
      </c>
      <c r="CH128" s="373">
        <v>0</v>
      </c>
      <c r="CI128" s="373">
        <v>0</v>
      </c>
      <c r="CJ128" s="373">
        <v>0</v>
      </c>
      <c r="CK128" s="373">
        <v>0</v>
      </c>
      <c r="CL128" s="373">
        <v>0</v>
      </c>
      <c r="CM128" s="373">
        <v>0</v>
      </c>
      <c r="CN128" s="373">
        <v>0</v>
      </c>
      <c r="CO128" s="373">
        <v>0</v>
      </c>
      <c r="CP128" s="373">
        <v>0</v>
      </c>
      <c r="CQ128" s="373">
        <v>0</v>
      </c>
      <c r="CR128" s="376"/>
      <c r="CS128" s="375">
        <f t="shared" si="90"/>
        <v>0</v>
      </c>
      <c r="CT128" s="378">
        <f t="shared" si="112"/>
        <v>0</v>
      </c>
      <c r="CU128" s="165" t="str">
        <f t="shared" si="113"/>
        <v>N/A</v>
      </c>
      <c r="CV128" s="320"/>
      <c r="CW128" s="373">
        <v>0</v>
      </c>
      <c r="CX128" s="373">
        <v>0</v>
      </c>
      <c r="CY128" s="373">
        <v>0</v>
      </c>
      <c r="CZ128" s="373">
        <v>0</v>
      </c>
      <c r="DA128" s="373">
        <v>0</v>
      </c>
      <c r="DB128" s="373">
        <v>0</v>
      </c>
      <c r="DC128" s="373">
        <v>0</v>
      </c>
      <c r="DD128" s="373">
        <v>0</v>
      </c>
      <c r="DE128" s="373">
        <v>0</v>
      </c>
      <c r="DF128" s="373">
        <v>0</v>
      </c>
      <c r="DG128" s="373">
        <v>0</v>
      </c>
      <c r="DH128" s="373">
        <v>0</v>
      </c>
      <c r="DI128" s="375">
        <f t="shared" si="121"/>
        <v>0</v>
      </c>
      <c r="DJ128" s="320"/>
      <c r="DK128" s="373"/>
      <c r="DL128" s="373"/>
      <c r="DM128" s="373"/>
      <c r="DN128" s="373"/>
      <c r="DO128" s="373"/>
      <c r="DP128" s="373"/>
      <c r="DQ128" s="373"/>
      <c r="DR128" s="373"/>
      <c r="DS128" s="373"/>
      <c r="DT128" s="373"/>
      <c r="DU128" s="373"/>
      <c r="DV128" s="373"/>
      <c r="DW128" s="375">
        <f t="shared" si="119"/>
        <v>0</v>
      </c>
      <c r="DY128" s="373"/>
      <c r="DZ128" s="373"/>
      <c r="EA128" s="373"/>
      <c r="EB128" s="373"/>
      <c r="EC128" s="373"/>
      <c r="ED128" s="373"/>
      <c r="EE128" s="373"/>
      <c r="EF128" s="373"/>
      <c r="EG128" s="373"/>
      <c r="EH128" s="373"/>
      <c r="EI128" s="373"/>
      <c r="EJ128" s="373"/>
      <c r="EK128" s="375">
        <f t="shared" si="122"/>
        <v>0</v>
      </c>
      <c r="EL128" s="177"/>
      <c r="EM128" s="373"/>
      <c r="EN128" s="373"/>
      <c r="EO128" s="373"/>
      <c r="EP128" s="373"/>
      <c r="EQ128" s="373"/>
      <c r="ER128" s="373"/>
      <c r="ES128" s="373"/>
      <c r="ET128" s="373"/>
      <c r="EU128" s="373"/>
      <c r="EV128" s="373"/>
      <c r="EW128" s="373"/>
      <c r="EX128" s="373"/>
      <c r="EY128" s="375">
        <f t="shared" si="120"/>
        <v>0</v>
      </c>
      <c r="EZ128" s="164"/>
      <c r="FB128" s="185">
        <v>65001000</v>
      </c>
      <c r="FC128" s="185">
        <v>0</v>
      </c>
    </row>
    <row r="129" spans="1:159" ht="18.75" customHeight="1" outlineLevel="1">
      <c r="A129" s="185" t="s">
        <v>327</v>
      </c>
      <c r="B129" s="176">
        <v>63690000</v>
      </c>
      <c r="C129" s="176" t="s">
        <v>1104</v>
      </c>
      <c r="D129" s="176" t="s">
        <v>335</v>
      </c>
      <c r="E129" s="324"/>
      <c r="F129" s="320" t="s">
        <v>687</v>
      </c>
      <c r="G129" s="320"/>
      <c r="H129" s="417">
        <v>0</v>
      </c>
      <c r="I129" s="417">
        <v>0</v>
      </c>
      <c r="J129" s="417">
        <v>0</v>
      </c>
      <c r="K129" s="417">
        <v>0</v>
      </c>
      <c r="L129" s="417">
        <v>0</v>
      </c>
      <c r="M129" s="417">
        <v>0</v>
      </c>
      <c r="N129" s="417">
        <v>0</v>
      </c>
      <c r="O129" s="417">
        <v>0</v>
      </c>
      <c r="P129" s="417">
        <v>0</v>
      </c>
      <c r="Q129" s="819">
        <v>0</v>
      </c>
      <c r="R129" s="417">
        <v>0</v>
      </c>
      <c r="S129" s="417">
        <v>0</v>
      </c>
      <c r="T129" s="402"/>
      <c r="U129" s="366"/>
      <c r="V129" s="165"/>
      <c r="W129" s="212"/>
      <c r="X129" s="1518">
        <v>0</v>
      </c>
      <c r="Y129" s="1518">
        <v>0</v>
      </c>
      <c r="Z129" s="1518">
        <v>0</v>
      </c>
      <c r="AA129" s="1518">
        <v>0</v>
      </c>
      <c r="AB129" s="1518">
        <v>0</v>
      </c>
      <c r="AC129" s="1518">
        <v>0</v>
      </c>
      <c r="AD129" s="1518">
        <v>0</v>
      </c>
      <c r="AE129" s="1518">
        <v>0</v>
      </c>
      <c r="AF129" s="1518">
        <v>0</v>
      </c>
      <c r="AG129" s="1519">
        <v>0</v>
      </c>
      <c r="AH129" s="1518">
        <v>0</v>
      </c>
      <c r="AI129" s="1518">
        <v>0</v>
      </c>
      <c r="AJ129" s="375">
        <f t="shared" si="118"/>
        <v>0</v>
      </c>
      <c r="AK129" s="212"/>
      <c r="AL129" s="417">
        <v>0</v>
      </c>
      <c r="AM129" s="417">
        <v>0</v>
      </c>
      <c r="AN129" s="417">
        <v>0</v>
      </c>
      <c r="AO129" s="417">
        <v>0</v>
      </c>
      <c r="AP129" s="417">
        <v>0</v>
      </c>
      <c r="AQ129" s="417">
        <v>0</v>
      </c>
      <c r="AR129" s="417">
        <v>0</v>
      </c>
      <c r="AS129" s="417">
        <v>0</v>
      </c>
      <c r="AT129" s="417">
        <v>0</v>
      </c>
      <c r="AU129" s="819">
        <v>0</v>
      </c>
      <c r="AV129" s="417">
        <v>0</v>
      </c>
      <c r="AW129" s="417">
        <v>0</v>
      </c>
      <c r="AX129" s="375">
        <f t="shared" si="116"/>
        <v>0</v>
      </c>
      <c r="AY129" s="366"/>
      <c r="AZ129" s="165"/>
      <c r="BA129" s="212"/>
      <c r="BB129" s="417">
        <v>0</v>
      </c>
      <c r="BC129" s="417">
        <v>0</v>
      </c>
      <c r="BD129" s="417">
        <v>0</v>
      </c>
      <c r="BE129" s="417">
        <v>0</v>
      </c>
      <c r="BF129" s="417">
        <v>0</v>
      </c>
      <c r="BG129" s="417">
        <v>0</v>
      </c>
      <c r="BH129" s="417">
        <v>0</v>
      </c>
      <c r="BI129" s="417">
        <v>0</v>
      </c>
      <c r="BJ129" s="417">
        <v>0</v>
      </c>
      <c r="BK129" s="819">
        <v>0</v>
      </c>
      <c r="BL129" s="417">
        <v>0</v>
      </c>
      <c r="BM129" s="417">
        <v>0</v>
      </c>
      <c r="BN129" s="375">
        <f t="shared" si="117"/>
        <v>0</v>
      </c>
      <c r="BO129" s="212"/>
      <c r="BP129" s="818">
        <v>0</v>
      </c>
      <c r="BQ129" s="818">
        <v>0</v>
      </c>
      <c r="BR129" s="818">
        <v>0</v>
      </c>
      <c r="BS129" s="818">
        <v>0</v>
      </c>
      <c r="BT129" s="818">
        <v>0</v>
      </c>
      <c r="BU129" s="818">
        <v>0</v>
      </c>
      <c r="BV129" s="818">
        <v>0</v>
      </c>
      <c r="BW129" s="818">
        <v>0</v>
      </c>
      <c r="BX129" s="818">
        <v>0</v>
      </c>
      <c r="BY129" s="818">
        <v>0</v>
      </c>
      <c r="BZ129" s="818">
        <v>0</v>
      </c>
      <c r="CA129" s="818">
        <v>0</v>
      </c>
      <c r="CB129" s="375">
        <f t="shared" si="114"/>
        <v>0</v>
      </c>
      <c r="CC129" s="366">
        <f t="shared" si="110"/>
        <v>0</v>
      </c>
      <c r="CD129" s="165" t="str">
        <f t="shared" si="111"/>
        <v>N/A</v>
      </c>
      <c r="CE129" s="367"/>
      <c r="CF129" s="373">
        <v>0</v>
      </c>
      <c r="CG129" s="373">
        <v>0</v>
      </c>
      <c r="CH129" s="373">
        <v>0</v>
      </c>
      <c r="CI129" s="373">
        <v>0</v>
      </c>
      <c r="CJ129" s="373">
        <v>0</v>
      </c>
      <c r="CK129" s="373">
        <v>0</v>
      </c>
      <c r="CL129" s="373">
        <v>0</v>
      </c>
      <c r="CM129" s="373">
        <v>0</v>
      </c>
      <c r="CN129" s="373">
        <v>0</v>
      </c>
      <c r="CO129" s="373">
        <v>0</v>
      </c>
      <c r="CP129" s="373">
        <v>0</v>
      </c>
      <c r="CQ129" s="373">
        <v>0</v>
      </c>
      <c r="CR129" s="376"/>
      <c r="CS129" s="375">
        <f t="shared" si="90"/>
        <v>0</v>
      </c>
      <c r="CT129" s="378">
        <f t="shared" si="112"/>
        <v>0</v>
      </c>
      <c r="CU129" s="165" t="str">
        <f t="shared" si="113"/>
        <v>N/A</v>
      </c>
      <c r="CV129" s="320"/>
      <c r="CW129" s="373">
        <v>0</v>
      </c>
      <c r="CX129" s="373">
        <v>0</v>
      </c>
      <c r="CY129" s="373">
        <v>0</v>
      </c>
      <c r="CZ129" s="373">
        <v>0</v>
      </c>
      <c r="DA129" s="373">
        <v>0</v>
      </c>
      <c r="DB129" s="373">
        <v>0</v>
      </c>
      <c r="DC129" s="373">
        <v>0</v>
      </c>
      <c r="DD129" s="373">
        <v>0</v>
      </c>
      <c r="DE129" s="373">
        <v>0</v>
      </c>
      <c r="DF129" s="373">
        <v>0</v>
      </c>
      <c r="DG129" s="373">
        <v>0</v>
      </c>
      <c r="DH129" s="373">
        <v>0</v>
      </c>
      <c r="DI129" s="375">
        <f t="shared" si="121"/>
        <v>0</v>
      </c>
      <c r="DJ129" s="320"/>
      <c r="DK129" s="373"/>
      <c r="DL129" s="373"/>
      <c r="DM129" s="373"/>
      <c r="DN129" s="373"/>
      <c r="DO129" s="373"/>
      <c r="DP129" s="373"/>
      <c r="DQ129" s="373"/>
      <c r="DR129" s="373"/>
      <c r="DS129" s="373"/>
      <c r="DT129" s="373"/>
      <c r="DU129" s="373"/>
      <c r="DV129" s="373"/>
      <c r="DW129" s="375">
        <f t="shared" si="119"/>
        <v>0</v>
      </c>
      <c r="DY129" s="373"/>
      <c r="DZ129" s="373"/>
      <c r="EA129" s="373"/>
      <c r="EB129" s="373"/>
      <c r="EC129" s="373"/>
      <c r="ED129" s="373"/>
      <c r="EE129" s="373"/>
      <c r="EF129" s="373"/>
      <c r="EG129" s="373"/>
      <c r="EH129" s="373"/>
      <c r="EI129" s="373"/>
      <c r="EJ129" s="373"/>
      <c r="EK129" s="375">
        <f t="shared" si="122"/>
        <v>0</v>
      </c>
      <c r="EL129" s="177"/>
      <c r="EM129" s="373"/>
      <c r="EN129" s="373"/>
      <c r="EO129" s="373"/>
      <c r="EP129" s="373"/>
      <c r="EQ129" s="373"/>
      <c r="ER129" s="373"/>
      <c r="ES129" s="373"/>
      <c r="ET129" s="373"/>
      <c r="EU129" s="373"/>
      <c r="EV129" s="373"/>
      <c r="EW129" s="373"/>
      <c r="EX129" s="373"/>
      <c r="EY129" s="375">
        <f t="shared" si="120"/>
        <v>0</v>
      </c>
      <c r="EZ129" s="164"/>
      <c r="FB129" s="185" t="e">
        <v>#N/A</v>
      </c>
      <c r="FC129" s="185">
        <v>0</v>
      </c>
    </row>
    <row r="130" spans="1:159" ht="18.75" customHeight="1" outlineLevel="1">
      <c r="A130" s="185" t="s">
        <v>327</v>
      </c>
      <c r="B130" s="176">
        <v>63701000</v>
      </c>
      <c r="C130" s="176" t="s">
        <v>1104</v>
      </c>
      <c r="D130" s="176" t="s">
        <v>335</v>
      </c>
      <c r="E130" s="324"/>
      <c r="F130" s="320" t="s">
        <v>688</v>
      </c>
      <c r="G130" s="320"/>
      <c r="H130" s="417">
        <v>0</v>
      </c>
      <c r="I130" s="417">
        <v>0</v>
      </c>
      <c r="J130" s="417">
        <v>0</v>
      </c>
      <c r="K130" s="417">
        <v>0</v>
      </c>
      <c r="L130" s="417">
        <v>0</v>
      </c>
      <c r="M130" s="417">
        <v>0</v>
      </c>
      <c r="N130" s="417">
        <v>0</v>
      </c>
      <c r="O130" s="417">
        <v>0</v>
      </c>
      <c r="P130" s="417">
        <v>0</v>
      </c>
      <c r="Q130" s="819">
        <v>0</v>
      </c>
      <c r="R130" s="417">
        <v>0</v>
      </c>
      <c r="S130" s="417">
        <v>0</v>
      </c>
      <c r="T130" s="402"/>
      <c r="U130" s="366"/>
      <c r="V130" s="165"/>
      <c r="W130" s="212"/>
      <c r="X130" s="1518">
        <v>0</v>
      </c>
      <c r="Y130" s="1518">
        <v>0</v>
      </c>
      <c r="Z130" s="1518">
        <v>0</v>
      </c>
      <c r="AA130" s="1518">
        <v>0</v>
      </c>
      <c r="AB130" s="1518">
        <v>0</v>
      </c>
      <c r="AC130" s="1518">
        <v>0</v>
      </c>
      <c r="AD130" s="1518">
        <v>0</v>
      </c>
      <c r="AE130" s="1518">
        <v>0</v>
      </c>
      <c r="AF130" s="1518">
        <v>0</v>
      </c>
      <c r="AG130" s="1519">
        <v>0</v>
      </c>
      <c r="AH130" s="1518">
        <v>0</v>
      </c>
      <c r="AI130" s="1518">
        <v>0</v>
      </c>
      <c r="AJ130" s="375">
        <f t="shared" si="118"/>
        <v>0</v>
      </c>
      <c r="AK130" s="212"/>
      <c r="AL130" s="417">
        <v>0</v>
      </c>
      <c r="AM130" s="417">
        <v>0</v>
      </c>
      <c r="AN130" s="417">
        <v>0</v>
      </c>
      <c r="AO130" s="417">
        <v>0</v>
      </c>
      <c r="AP130" s="417">
        <v>0</v>
      </c>
      <c r="AQ130" s="417">
        <v>0</v>
      </c>
      <c r="AR130" s="417">
        <v>0</v>
      </c>
      <c r="AS130" s="417">
        <v>0</v>
      </c>
      <c r="AT130" s="417">
        <v>0</v>
      </c>
      <c r="AU130" s="819">
        <v>0</v>
      </c>
      <c r="AV130" s="417">
        <v>0</v>
      </c>
      <c r="AW130" s="417">
        <v>0</v>
      </c>
      <c r="AX130" s="375">
        <f t="shared" si="116"/>
        <v>0</v>
      </c>
      <c r="AY130" s="366"/>
      <c r="AZ130" s="165"/>
      <c r="BA130" s="212"/>
      <c r="BB130" s="417">
        <v>0</v>
      </c>
      <c r="BC130" s="417">
        <v>0</v>
      </c>
      <c r="BD130" s="417">
        <v>0</v>
      </c>
      <c r="BE130" s="417">
        <v>0</v>
      </c>
      <c r="BF130" s="417">
        <v>0</v>
      </c>
      <c r="BG130" s="417">
        <v>0</v>
      </c>
      <c r="BH130" s="417">
        <v>0</v>
      </c>
      <c r="BI130" s="417">
        <v>0</v>
      </c>
      <c r="BJ130" s="417">
        <v>0</v>
      </c>
      <c r="BK130" s="819">
        <v>0</v>
      </c>
      <c r="BL130" s="417">
        <v>0</v>
      </c>
      <c r="BM130" s="417">
        <v>0</v>
      </c>
      <c r="BN130" s="375">
        <f t="shared" si="117"/>
        <v>0</v>
      </c>
      <c r="BO130" s="212"/>
      <c r="BP130" s="818">
        <v>0</v>
      </c>
      <c r="BQ130" s="818">
        <v>0</v>
      </c>
      <c r="BR130" s="818">
        <v>0</v>
      </c>
      <c r="BS130" s="818">
        <v>0</v>
      </c>
      <c r="BT130" s="818">
        <v>0</v>
      </c>
      <c r="BU130" s="818">
        <v>0</v>
      </c>
      <c r="BV130" s="818">
        <v>0</v>
      </c>
      <c r="BW130" s="818">
        <v>0</v>
      </c>
      <c r="BX130" s="818">
        <v>0</v>
      </c>
      <c r="BY130" s="818">
        <v>0</v>
      </c>
      <c r="BZ130" s="818">
        <v>0</v>
      </c>
      <c r="CA130" s="818">
        <v>0</v>
      </c>
      <c r="CB130" s="375">
        <f t="shared" si="114"/>
        <v>0</v>
      </c>
      <c r="CC130" s="366">
        <f t="shared" si="110"/>
        <v>0</v>
      </c>
      <c r="CD130" s="165" t="str">
        <f t="shared" si="111"/>
        <v>N/A</v>
      </c>
      <c r="CE130" s="367"/>
      <c r="CF130" s="373">
        <v>0</v>
      </c>
      <c r="CG130" s="373">
        <v>0</v>
      </c>
      <c r="CH130" s="373">
        <v>0</v>
      </c>
      <c r="CI130" s="373">
        <v>0</v>
      </c>
      <c r="CJ130" s="373">
        <v>0</v>
      </c>
      <c r="CK130" s="373">
        <v>0</v>
      </c>
      <c r="CL130" s="373">
        <v>0</v>
      </c>
      <c r="CM130" s="373">
        <v>0</v>
      </c>
      <c r="CN130" s="373">
        <v>0</v>
      </c>
      <c r="CO130" s="373">
        <v>0</v>
      </c>
      <c r="CP130" s="373">
        <v>0</v>
      </c>
      <c r="CQ130" s="373">
        <v>0</v>
      </c>
      <c r="CR130" s="376"/>
      <c r="CS130" s="375">
        <f t="shared" si="90"/>
        <v>0</v>
      </c>
      <c r="CT130" s="378">
        <f t="shared" si="112"/>
        <v>0</v>
      </c>
      <c r="CU130" s="165" t="str">
        <f t="shared" si="113"/>
        <v>N/A</v>
      </c>
      <c r="CV130" s="320"/>
      <c r="CW130" s="373">
        <v>0</v>
      </c>
      <c r="CX130" s="373">
        <v>0</v>
      </c>
      <c r="CY130" s="373">
        <v>0</v>
      </c>
      <c r="CZ130" s="373">
        <v>0</v>
      </c>
      <c r="DA130" s="373">
        <v>0</v>
      </c>
      <c r="DB130" s="373">
        <v>0</v>
      </c>
      <c r="DC130" s="373">
        <v>0</v>
      </c>
      <c r="DD130" s="373">
        <v>0</v>
      </c>
      <c r="DE130" s="373">
        <v>0</v>
      </c>
      <c r="DF130" s="373">
        <v>0</v>
      </c>
      <c r="DG130" s="373">
        <v>0</v>
      </c>
      <c r="DH130" s="373">
        <v>0</v>
      </c>
      <c r="DI130" s="375">
        <f t="shared" si="121"/>
        <v>0</v>
      </c>
      <c r="DJ130" s="320"/>
      <c r="DK130" s="373"/>
      <c r="DL130" s="373"/>
      <c r="DM130" s="373"/>
      <c r="DN130" s="373"/>
      <c r="DO130" s="373"/>
      <c r="DP130" s="373"/>
      <c r="DQ130" s="373"/>
      <c r="DR130" s="373"/>
      <c r="DS130" s="373"/>
      <c r="DT130" s="373"/>
      <c r="DU130" s="373"/>
      <c r="DV130" s="373"/>
      <c r="DW130" s="375">
        <f t="shared" ref="DW130:DW147" si="123">SUM(DK130:DV130)</f>
        <v>0</v>
      </c>
      <c r="DY130" s="373"/>
      <c r="DZ130" s="373"/>
      <c r="EA130" s="373"/>
      <c r="EB130" s="373"/>
      <c r="EC130" s="373"/>
      <c r="ED130" s="373"/>
      <c r="EE130" s="373"/>
      <c r="EF130" s="373"/>
      <c r="EG130" s="373"/>
      <c r="EH130" s="373"/>
      <c r="EI130" s="373"/>
      <c r="EJ130" s="373"/>
      <c r="EK130" s="375">
        <f t="shared" si="122"/>
        <v>0</v>
      </c>
      <c r="EL130" s="177"/>
      <c r="EM130" s="373"/>
      <c r="EN130" s="373"/>
      <c r="EO130" s="373"/>
      <c r="EP130" s="373"/>
      <c r="EQ130" s="373"/>
      <c r="ER130" s="373"/>
      <c r="ES130" s="373"/>
      <c r="ET130" s="373"/>
      <c r="EU130" s="373"/>
      <c r="EV130" s="373"/>
      <c r="EW130" s="373"/>
      <c r="EX130" s="373"/>
      <c r="EY130" s="375">
        <f t="shared" si="120"/>
        <v>0</v>
      </c>
      <c r="EZ130" s="164"/>
      <c r="FB130" s="185" t="e">
        <v>#N/A</v>
      </c>
      <c r="FC130" s="185">
        <v>0</v>
      </c>
    </row>
    <row r="131" spans="1:159" ht="18.75" customHeight="1" outlineLevel="1">
      <c r="A131" s="185" t="s">
        <v>327</v>
      </c>
      <c r="B131" s="176">
        <v>63801000</v>
      </c>
      <c r="C131" s="176" t="s">
        <v>1104</v>
      </c>
      <c r="D131" s="176" t="s">
        <v>335</v>
      </c>
      <c r="E131" s="324"/>
      <c r="F131" s="320" t="s">
        <v>689</v>
      </c>
      <c r="G131" s="320"/>
      <c r="H131" s="417">
        <v>0</v>
      </c>
      <c r="I131" s="417">
        <v>0</v>
      </c>
      <c r="J131" s="417">
        <v>0</v>
      </c>
      <c r="K131" s="417">
        <v>0</v>
      </c>
      <c r="L131" s="417">
        <v>0</v>
      </c>
      <c r="M131" s="417">
        <v>0</v>
      </c>
      <c r="N131" s="417">
        <v>0</v>
      </c>
      <c r="O131" s="417">
        <v>0</v>
      </c>
      <c r="P131" s="417">
        <v>0</v>
      </c>
      <c r="Q131" s="819">
        <v>0</v>
      </c>
      <c r="R131" s="417">
        <v>0</v>
      </c>
      <c r="S131" s="417">
        <v>0</v>
      </c>
      <c r="T131" s="402"/>
      <c r="U131" s="366"/>
      <c r="V131" s="165"/>
      <c r="W131" s="212"/>
      <c r="X131" s="1518">
        <v>0</v>
      </c>
      <c r="Y131" s="1518">
        <v>0</v>
      </c>
      <c r="Z131" s="1518">
        <v>0</v>
      </c>
      <c r="AA131" s="1518">
        <v>0</v>
      </c>
      <c r="AB131" s="1518">
        <v>0</v>
      </c>
      <c r="AC131" s="1518">
        <v>0</v>
      </c>
      <c r="AD131" s="1518">
        <v>0</v>
      </c>
      <c r="AE131" s="1518">
        <v>0</v>
      </c>
      <c r="AF131" s="1518">
        <v>0</v>
      </c>
      <c r="AG131" s="1519">
        <v>0</v>
      </c>
      <c r="AH131" s="1518">
        <v>0</v>
      </c>
      <c r="AI131" s="1518">
        <v>0</v>
      </c>
      <c r="AJ131" s="375">
        <f t="shared" si="118"/>
        <v>0</v>
      </c>
      <c r="AK131" s="212"/>
      <c r="AL131" s="417">
        <v>0</v>
      </c>
      <c r="AM131" s="417">
        <v>0</v>
      </c>
      <c r="AN131" s="417">
        <v>0</v>
      </c>
      <c r="AO131" s="417">
        <v>0</v>
      </c>
      <c r="AP131" s="417">
        <v>0</v>
      </c>
      <c r="AQ131" s="417">
        <v>0</v>
      </c>
      <c r="AR131" s="417">
        <v>0</v>
      </c>
      <c r="AS131" s="417">
        <v>0</v>
      </c>
      <c r="AT131" s="417">
        <v>0</v>
      </c>
      <c r="AU131" s="819">
        <v>0</v>
      </c>
      <c r="AV131" s="417">
        <v>0</v>
      </c>
      <c r="AW131" s="417">
        <v>0</v>
      </c>
      <c r="AX131" s="375">
        <f t="shared" si="116"/>
        <v>0</v>
      </c>
      <c r="AY131" s="366"/>
      <c r="AZ131" s="165"/>
      <c r="BA131" s="212"/>
      <c r="BB131" s="417">
        <v>0</v>
      </c>
      <c r="BC131" s="417">
        <v>0</v>
      </c>
      <c r="BD131" s="417">
        <v>0</v>
      </c>
      <c r="BE131" s="417">
        <v>0</v>
      </c>
      <c r="BF131" s="417">
        <v>0</v>
      </c>
      <c r="BG131" s="417">
        <v>0</v>
      </c>
      <c r="BH131" s="417">
        <v>0</v>
      </c>
      <c r="BI131" s="417">
        <v>0</v>
      </c>
      <c r="BJ131" s="417">
        <v>0</v>
      </c>
      <c r="BK131" s="819">
        <v>0</v>
      </c>
      <c r="BL131" s="417">
        <v>0</v>
      </c>
      <c r="BM131" s="417">
        <v>0</v>
      </c>
      <c r="BN131" s="375">
        <f t="shared" si="117"/>
        <v>0</v>
      </c>
      <c r="BO131" s="212"/>
      <c r="BP131" s="818">
        <v>0</v>
      </c>
      <c r="BQ131" s="818">
        <v>0</v>
      </c>
      <c r="BR131" s="818">
        <v>0</v>
      </c>
      <c r="BS131" s="818">
        <v>0</v>
      </c>
      <c r="BT131" s="818">
        <v>0</v>
      </c>
      <c r="BU131" s="818">
        <v>0</v>
      </c>
      <c r="BV131" s="818">
        <v>0</v>
      </c>
      <c r="BW131" s="818">
        <v>0</v>
      </c>
      <c r="BX131" s="818">
        <v>0</v>
      </c>
      <c r="BY131" s="818">
        <v>0</v>
      </c>
      <c r="BZ131" s="818">
        <v>0</v>
      </c>
      <c r="CA131" s="818">
        <v>0</v>
      </c>
      <c r="CB131" s="375">
        <f t="shared" si="114"/>
        <v>0</v>
      </c>
      <c r="CC131" s="366">
        <f t="shared" si="110"/>
        <v>0</v>
      </c>
      <c r="CD131" s="165" t="str">
        <f t="shared" si="111"/>
        <v>N/A</v>
      </c>
      <c r="CE131" s="367"/>
      <c r="CF131" s="373">
        <v>0</v>
      </c>
      <c r="CG131" s="373">
        <v>0</v>
      </c>
      <c r="CH131" s="373">
        <v>0</v>
      </c>
      <c r="CI131" s="373">
        <v>0</v>
      </c>
      <c r="CJ131" s="373">
        <v>0</v>
      </c>
      <c r="CK131" s="373">
        <v>0</v>
      </c>
      <c r="CL131" s="373">
        <v>0</v>
      </c>
      <c r="CM131" s="373">
        <v>0</v>
      </c>
      <c r="CN131" s="373">
        <v>0</v>
      </c>
      <c r="CO131" s="373">
        <v>0</v>
      </c>
      <c r="CP131" s="373">
        <v>0</v>
      </c>
      <c r="CQ131" s="373">
        <v>0</v>
      </c>
      <c r="CR131" s="376"/>
      <c r="CS131" s="375">
        <f t="shared" si="90"/>
        <v>0</v>
      </c>
      <c r="CT131" s="378">
        <f t="shared" si="112"/>
        <v>0</v>
      </c>
      <c r="CU131" s="165" t="str">
        <f t="shared" si="113"/>
        <v>N/A</v>
      </c>
      <c r="CV131" s="320"/>
      <c r="CW131" s="373">
        <v>0</v>
      </c>
      <c r="CX131" s="373">
        <v>0</v>
      </c>
      <c r="CY131" s="373">
        <v>0</v>
      </c>
      <c r="CZ131" s="373">
        <v>0</v>
      </c>
      <c r="DA131" s="373">
        <v>0</v>
      </c>
      <c r="DB131" s="373">
        <v>0</v>
      </c>
      <c r="DC131" s="373">
        <v>0</v>
      </c>
      <c r="DD131" s="373">
        <v>0</v>
      </c>
      <c r="DE131" s="373">
        <v>0</v>
      </c>
      <c r="DF131" s="373">
        <v>0</v>
      </c>
      <c r="DG131" s="373">
        <v>0</v>
      </c>
      <c r="DH131" s="373">
        <v>0</v>
      </c>
      <c r="DI131" s="375">
        <f t="shared" si="121"/>
        <v>0</v>
      </c>
      <c r="DJ131" s="320"/>
      <c r="DK131" s="373"/>
      <c r="DL131" s="373"/>
      <c r="DM131" s="373"/>
      <c r="DN131" s="373"/>
      <c r="DO131" s="373"/>
      <c r="DP131" s="373"/>
      <c r="DQ131" s="373"/>
      <c r="DR131" s="373"/>
      <c r="DS131" s="373"/>
      <c r="DT131" s="373"/>
      <c r="DU131" s="373"/>
      <c r="DV131" s="373"/>
      <c r="DW131" s="375">
        <f t="shared" si="123"/>
        <v>0</v>
      </c>
      <c r="DY131" s="373"/>
      <c r="DZ131" s="373"/>
      <c r="EA131" s="373"/>
      <c r="EB131" s="373"/>
      <c r="EC131" s="373"/>
      <c r="ED131" s="373"/>
      <c r="EE131" s="373"/>
      <c r="EF131" s="373"/>
      <c r="EG131" s="373"/>
      <c r="EH131" s="373"/>
      <c r="EI131" s="373"/>
      <c r="EJ131" s="373"/>
      <c r="EK131" s="375">
        <f>SUM(DY131:EJ131)</f>
        <v>0</v>
      </c>
      <c r="EL131" s="177"/>
      <c r="EM131" s="373"/>
      <c r="EN131" s="373"/>
      <c r="EO131" s="373"/>
      <c r="EP131" s="373"/>
      <c r="EQ131" s="373"/>
      <c r="ER131" s="373"/>
      <c r="ES131" s="373"/>
      <c r="ET131" s="373"/>
      <c r="EU131" s="373"/>
      <c r="EV131" s="373"/>
      <c r="EW131" s="373"/>
      <c r="EX131" s="373"/>
      <c r="EY131" s="375">
        <f t="shared" si="120"/>
        <v>0</v>
      </c>
      <c r="EZ131" s="164"/>
      <c r="FB131" s="185" t="s">
        <v>586</v>
      </c>
      <c r="FC131" s="185">
        <v>0</v>
      </c>
    </row>
    <row r="132" spans="1:159" ht="18.75" customHeight="1" outlineLevel="1">
      <c r="A132" s="185" t="s">
        <v>327</v>
      </c>
      <c r="B132" s="176">
        <v>63901000</v>
      </c>
      <c r="C132" s="176" t="s">
        <v>1104</v>
      </c>
      <c r="D132" s="176" t="s">
        <v>335</v>
      </c>
      <c r="E132" s="324"/>
      <c r="F132" s="320" t="s">
        <v>690</v>
      </c>
      <c r="G132" s="320"/>
      <c r="H132" s="417">
        <v>0</v>
      </c>
      <c r="I132" s="417">
        <v>0</v>
      </c>
      <c r="J132" s="417">
        <v>0</v>
      </c>
      <c r="K132" s="417">
        <v>0</v>
      </c>
      <c r="L132" s="417">
        <v>0</v>
      </c>
      <c r="M132" s="417">
        <v>0</v>
      </c>
      <c r="N132" s="417">
        <v>0</v>
      </c>
      <c r="O132" s="417">
        <v>0</v>
      </c>
      <c r="P132" s="417">
        <v>0</v>
      </c>
      <c r="Q132" s="819">
        <v>0</v>
      </c>
      <c r="R132" s="417">
        <v>0</v>
      </c>
      <c r="S132" s="417">
        <v>0</v>
      </c>
      <c r="T132" s="402"/>
      <c r="U132" s="366"/>
      <c r="V132" s="165"/>
      <c r="W132" s="212"/>
      <c r="X132" s="1518">
        <v>0</v>
      </c>
      <c r="Y132" s="1518">
        <v>0</v>
      </c>
      <c r="Z132" s="1518">
        <v>0</v>
      </c>
      <c r="AA132" s="1518">
        <v>0</v>
      </c>
      <c r="AB132" s="1518">
        <v>0</v>
      </c>
      <c r="AC132" s="1518">
        <v>0</v>
      </c>
      <c r="AD132" s="1518">
        <v>0</v>
      </c>
      <c r="AE132" s="1518">
        <v>0</v>
      </c>
      <c r="AF132" s="1518">
        <v>0</v>
      </c>
      <c r="AG132" s="1519">
        <v>0</v>
      </c>
      <c r="AH132" s="1518">
        <v>0</v>
      </c>
      <c r="AI132" s="1518">
        <v>0</v>
      </c>
      <c r="AJ132" s="375">
        <f t="shared" si="118"/>
        <v>0</v>
      </c>
      <c r="AK132" s="212"/>
      <c r="AL132" s="417">
        <v>0</v>
      </c>
      <c r="AM132" s="417">
        <v>0</v>
      </c>
      <c r="AN132" s="417">
        <v>0</v>
      </c>
      <c r="AO132" s="417">
        <v>0</v>
      </c>
      <c r="AP132" s="417">
        <v>0</v>
      </c>
      <c r="AQ132" s="417">
        <v>0</v>
      </c>
      <c r="AR132" s="417">
        <v>0</v>
      </c>
      <c r="AS132" s="417">
        <v>0</v>
      </c>
      <c r="AT132" s="417">
        <v>0</v>
      </c>
      <c r="AU132" s="819">
        <v>0</v>
      </c>
      <c r="AV132" s="417">
        <v>0</v>
      </c>
      <c r="AW132" s="417">
        <v>0</v>
      </c>
      <c r="AX132" s="375">
        <f t="shared" si="116"/>
        <v>0</v>
      </c>
      <c r="AY132" s="366"/>
      <c r="AZ132" s="165"/>
      <c r="BA132" s="212"/>
      <c r="BB132" s="417">
        <v>0</v>
      </c>
      <c r="BC132" s="417">
        <v>0</v>
      </c>
      <c r="BD132" s="417">
        <v>0</v>
      </c>
      <c r="BE132" s="417">
        <v>0</v>
      </c>
      <c r="BF132" s="417">
        <v>0</v>
      </c>
      <c r="BG132" s="417">
        <v>0</v>
      </c>
      <c r="BH132" s="417">
        <v>0</v>
      </c>
      <c r="BI132" s="417">
        <v>0</v>
      </c>
      <c r="BJ132" s="417">
        <v>0</v>
      </c>
      <c r="BK132" s="819">
        <v>0</v>
      </c>
      <c r="BL132" s="417">
        <v>0</v>
      </c>
      <c r="BM132" s="417">
        <v>0</v>
      </c>
      <c r="BN132" s="375">
        <f t="shared" si="117"/>
        <v>0</v>
      </c>
      <c r="BO132" s="212"/>
      <c r="BP132" s="818">
        <v>0</v>
      </c>
      <c r="BQ132" s="818">
        <v>0</v>
      </c>
      <c r="BR132" s="818">
        <v>0</v>
      </c>
      <c r="BS132" s="818">
        <v>0</v>
      </c>
      <c r="BT132" s="818">
        <v>0</v>
      </c>
      <c r="BU132" s="818">
        <v>0</v>
      </c>
      <c r="BV132" s="818">
        <v>0</v>
      </c>
      <c r="BW132" s="818">
        <v>0</v>
      </c>
      <c r="BX132" s="818">
        <v>0</v>
      </c>
      <c r="BY132" s="818">
        <v>0</v>
      </c>
      <c r="BZ132" s="818">
        <v>0</v>
      </c>
      <c r="CA132" s="818">
        <v>0</v>
      </c>
      <c r="CB132" s="375">
        <f t="shared" si="114"/>
        <v>0</v>
      </c>
      <c r="CC132" s="366">
        <f t="shared" si="110"/>
        <v>0</v>
      </c>
      <c r="CD132" s="165" t="str">
        <f t="shared" si="111"/>
        <v>N/A</v>
      </c>
      <c r="CE132" s="367"/>
      <c r="CF132" s="373">
        <v>0</v>
      </c>
      <c r="CG132" s="373">
        <v>0</v>
      </c>
      <c r="CH132" s="373">
        <v>0</v>
      </c>
      <c r="CI132" s="373">
        <v>0</v>
      </c>
      <c r="CJ132" s="373">
        <v>0</v>
      </c>
      <c r="CK132" s="373">
        <v>0</v>
      </c>
      <c r="CL132" s="373">
        <v>0</v>
      </c>
      <c r="CM132" s="373">
        <v>0</v>
      </c>
      <c r="CN132" s="373">
        <v>0</v>
      </c>
      <c r="CO132" s="373">
        <v>0</v>
      </c>
      <c r="CP132" s="373">
        <v>0</v>
      </c>
      <c r="CQ132" s="373">
        <v>0</v>
      </c>
      <c r="CR132" s="376"/>
      <c r="CS132" s="375">
        <f t="shared" si="90"/>
        <v>0</v>
      </c>
      <c r="CT132" s="378">
        <f t="shared" si="112"/>
        <v>0</v>
      </c>
      <c r="CU132" s="165" t="str">
        <f t="shared" si="113"/>
        <v>N/A</v>
      </c>
      <c r="CV132" s="320"/>
      <c r="CW132" s="373">
        <v>0</v>
      </c>
      <c r="CX132" s="373">
        <v>0</v>
      </c>
      <c r="CY132" s="373">
        <v>0</v>
      </c>
      <c r="CZ132" s="373">
        <v>0</v>
      </c>
      <c r="DA132" s="373">
        <v>0</v>
      </c>
      <c r="DB132" s="373">
        <v>0</v>
      </c>
      <c r="DC132" s="373">
        <v>0</v>
      </c>
      <c r="DD132" s="373">
        <v>0</v>
      </c>
      <c r="DE132" s="373">
        <v>0</v>
      </c>
      <c r="DF132" s="373">
        <v>0</v>
      </c>
      <c r="DG132" s="373">
        <v>0</v>
      </c>
      <c r="DH132" s="373">
        <v>0</v>
      </c>
      <c r="DI132" s="375">
        <f t="shared" si="121"/>
        <v>0</v>
      </c>
      <c r="DJ132" s="320"/>
      <c r="DK132" s="373"/>
      <c r="DL132" s="373"/>
      <c r="DM132" s="373"/>
      <c r="DN132" s="373"/>
      <c r="DO132" s="373"/>
      <c r="DP132" s="373"/>
      <c r="DQ132" s="373"/>
      <c r="DR132" s="373"/>
      <c r="DS132" s="373"/>
      <c r="DT132" s="373"/>
      <c r="DU132" s="373"/>
      <c r="DV132" s="373"/>
      <c r="DW132" s="375">
        <f t="shared" si="123"/>
        <v>0</v>
      </c>
      <c r="DY132" s="373"/>
      <c r="DZ132" s="373"/>
      <c r="EA132" s="373"/>
      <c r="EB132" s="373"/>
      <c r="EC132" s="373"/>
      <c r="ED132" s="373"/>
      <c r="EE132" s="373"/>
      <c r="EF132" s="373"/>
      <c r="EG132" s="373"/>
      <c r="EH132" s="373"/>
      <c r="EI132" s="373"/>
      <c r="EJ132" s="373"/>
      <c r="EK132" s="375">
        <f t="shared" si="94"/>
        <v>0</v>
      </c>
      <c r="EL132" s="177"/>
      <c r="EM132" s="373"/>
      <c r="EN132" s="373"/>
      <c r="EO132" s="373"/>
      <c r="EP132" s="373"/>
      <c r="EQ132" s="373"/>
      <c r="ER132" s="373"/>
      <c r="ES132" s="373"/>
      <c r="ET132" s="373"/>
      <c r="EU132" s="373"/>
      <c r="EV132" s="373"/>
      <c r="EW132" s="373"/>
      <c r="EX132" s="373"/>
      <c r="EY132" s="375">
        <f>SUM(EM132:EX132)</f>
        <v>0</v>
      </c>
      <c r="EZ132" s="164"/>
      <c r="FB132" s="185" t="e">
        <v>#N/A</v>
      </c>
      <c r="FC132" s="185">
        <v>0</v>
      </c>
    </row>
    <row r="133" spans="1:159" ht="18.75" customHeight="1" outlineLevel="1">
      <c r="A133" s="185" t="s">
        <v>327</v>
      </c>
      <c r="B133" s="176">
        <v>65001000</v>
      </c>
      <c r="C133" s="176" t="s">
        <v>1104</v>
      </c>
      <c r="D133" s="176" t="s">
        <v>335</v>
      </c>
      <c r="E133" s="324"/>
      <c r="F133" s="320" t="s">
        <v>691</v>
      </c>
      <c r="G133" s="320"/>
      <c r="H133" s="417">
        <v>0</v>
      </c>
      <c r="I133" s="417">
        <v>0</v>
      </c>
      <c r="J133" s="417">
        <v>0</v>
      </c>
      <c r="K133" s="417">
        <v>0</v>
      </c>
      <c r="L133" s="417">
        <v>0</v>
      </c>
      <c r="M133" s="417">
        <v>0</v>
      </c>
      <c r="N133" s="417">
        <v>0</v>
      </c>
      <c r="O133" s="417">
        <v>0</v>
      </c>
      <c r="P133" s="417">
        <v>0</v>
      </c>
      <c r="Q133" s="819">
        <v>0</v>
      </c>
      <c r="R133" s="417">
        <v>0</v>
      </c>
      <c r="S133" s="417">
        <v>0</v>
      </c>
      <c r="T133" s="402"/>
      <c r="U133" s="366"/>
      <c r="V133" s="165"/>
      <c r="W133" s="212"/>
      <c r="X133" s="1518">
        <v>0</v>
      </c>
      <c r="Y133" s="1518">
        <v>0</v>
      </c>
      <c r="Z133" s="1518">
        <v>0</v>
      </c>
      <c r="AA133" s="1518">
        <v>0</v>
      </c>
      <c r="AB133" s="1518">
        <v>0</v>
      </c>
      <c r="AC133" s="1518">
        <v>0</v>
      </c>
      <c r="AD133" s="1518">
        <v>0</v>
      </c>
      <c r="AE133" s="1518">
        <v>0</v>
      </c>
      <c r="AF133" s="1518">
        <v>0</v>
      </c>
      <c r="AG133" s="1519">
        <v>0</v>
      </c>
      <c r="AH133" s="1518">
        <v>0</v>
      </c>
      <c r="AI133" s="1518">
        <v>0</v>
      </c>
      <c r="AJ133" s="375">
        <f t="shared" si="118"/>
        <v>0</v>
      </c>
      <c r="AK133" s="212"/>
      <c r="AL133" s="417">
        <v>0</v>
      </c>
      <c r="AM133" s="417">
        <v>0</v>
      </c>
      <c r="AN133" s="417">
        <v>0</v>
      </c>
      <c r="AO133" s="417">
        <v>0</v>
      </c>
      <c r="AP133" s="417">
        <v>0</v>
      </c>
      <c r="AQ133" s="417">
        <v>0</v>
      </c>
      <c r="AR133" s="417">
        <v>0</v>
      </c>
      <c r="AS133" s="417">
        <v>0</v>
      </c>
      <c r="AT133" s="417">
        <v>0</v>
      </c>
      <c r="AU133" s="819">
        <v>0</v>
      </c>
      <c r="AV133" s="417">
        <v>0</v>
      </c>
      <c r="AW133" s="417">
        <v>0</v>
      </c>
      <c r="AX133" s="375">
        <f t="shared" si="116"/>
        <v>0</v>
      </c>
      <c r="AY133" s="366"/>
      <c r="AZ133" s="165"/>
      <c r="BA133" s="212"/>
      <c r="BB133" s="417">
        <v>0</v>
      </c>
      <c r="BC133" s="417">
        <v>0</v>
      </c>
      <c r="BD133" s="417">
        <v>0</v>
      </c>
      <c r="BE133" s="417">
        <v>0</v>
      </c>
      <c r="BF133" s="417">
        <v>0</v>
      </c>
      <c r="BG133" s="417">
        <v>0</v>
      </c>
      <c r="BH133" s="417">
        <v>0</v>
      </c>
      <c r="BI133" s="417">
        <v>0</v>
      </c>
      <c r="BJ133" s="417">
        <v>0</v>
      </c>
      <c r="BK133" s="819">
        <v>0</v>
      </c>
      <c r="BL133" s="417">
        <v>0</v>
      </c>
      <c r="BM133" s="417">
        <v>0</v>
      </c>
      <c r="BN133" s="375">
        <f t="shared" si="117"/>
        <v>0</v>
      </c>
      <c r="BO133" s="212"/>
      <c r="BP133" s="818">
        <v>0</v>
      </c>
      <c r="BQ133" s="818">
        <v>0</v>
      </c>
      <c r="BR133" s="818">
        <v>0</v>
      </c>
      <c r="BS133" s="818">
        <v>0</v>
      </c>
      <c r="BT133" s="818">
        <v>0</v>
      </c>
      <c r="BU133" s="818">
        <v>0</v>
      </c>
      <c r="BV133" s="818">
        <v>0</v>
      </c>
      <c r="BW133" s="818">
        <v>0</v>
      </c>
      <c r="BX133" s="818">
        <v>0</v>
      </c>
      <c r="BY133" s="818">
        <v>0</v>
      </c>
      <c r="BZ133" s="818">
        <v>0</v>
      </c>
      <c r="CA133" s="818">
        <v>0</v>
      </c>
      <c r="CB133" s="375">
        <f t="shared" si="114"/>
        <v>0</v>
      </c>
      <c r="CC133" s="366">
        <f t="shared" si="110"/>
        <v>0</v>
      </c>
      <c r="CD133" s="165" t="str">
        <f t="shared" si="111"/>
        <v>N/A</v>
      </c>
      <c r="CE133" s="367"/>
      <c r="CF133" s="373">
        <v>0</v>
      </c>
      <c r="CG133" s="373">
        <v>0</v>
      </c>
      <c r="CH133" s="373">
        <v>0</v>
      </c>
      <c r="CI133" s="373">
        <v>0</v>
      </c>
      <c r="CJ133" s="373">
        <v>0</v>
      </c>
      <c r="CK133" s="373">
        <v>0</v>
      </c>
      <c r="CL133" s="373">
        <v>0</v>
      </c>
      <c r="CM133" s="373">
        <v>0</v>
      </c>
      <c r="CN133" s="373">
        <v>0</v>
      </c>
      <c r="CO133" s="373">
        <v>0</v>
      </c>
      <c r="CP133" s="373">
        <v>0</v>
      </c>
      <c r="CQ133" s="373">
        <v>0</v>
      </c>
      <c r="CR133" s="376"/>
      <c r="CS133" s="375">
        <f t="shared" si="90"/>
        <v>0</v>
      </c>
      <c r="CT133" s="378">
        <f t="shared" si="112"/>
        <v>0</v>
      </c>
      <c r="CU133" s="165" t="str">
        <f t="shared" si="113"/>
        <v>N/A</v>
      </c>
      <c r="CV133" s="320"/>
      <c r="CW133" s="373">
        <v>0</v>
      </c>
      <c r="CX133" s="373">
        <v>0</v>
      </c>
      <c r="CY133" s="373">
        <v>0</v>
      </c>
      <c r="CZ133" s="373">
        <v>0</v>
      </c>
      <c r="DA133" s="373">
        <v>0</v>
      </c>
      <c r="DB133" s="373">
        <v>0</v>
      </c>
      <c r="DC133" s="373">
        <v>0</v>
      </c>
      <c r="DD133" s="373">
        <v>0</v>
      </c>
      <c r="DE133" s="373">
        <v>0</v>
      </c>
      <c r="DF133" s="373">
        <v>0</v>
      </c>
      <c r="DG133" s="373">
        <v>0</v>
      </c>
      <c r="DH133" s="373">
        <v>0</v>
      </c>
      <c r="DI133" s="375">
        <f t="shared" si="121"/>
        <v>0</v>
      </c>
      <c r="DJ133" s="320"/>
      <c r="DK133" s="373"/>
      <c r="DL133" s="373"/>
      <c r="DM133" s="373"/>
      <c r="DN133" s="373"/>
      <c r="DO133" s="373"/>
      <c r="DP133" s="373"/>
      <c r="DQ133" s="373"/>
      <c r="DR133" s="373"/>
      <c r="DS133" s="373"/>
      <c r="DT133" s="373"/>
      <c r="DU133" s="373"/>
      <c r="DV133" s="373"/>
      <c r="DW133" s="375">
        <f t="shared" si="123"/>
        <v>0</v>
      </c>
      <c r="DY133" s="373"/>
      <c r="DZ133" s="373"/>
      <c r="EA133" s="373"/>
      <c r="EB133" s="373"/>
      <c r="EC133" s="373"/>
      <c r="ED133" s="373"/>
      <c r="EE133" s="373"/>
      <c r="EF133" s="373"/>
      <c r="EG133" s="373"/>
      <c r="EH133" s="373"/>
      <c r="EI133" s="373"/>
      <c r="EJ133" s="373"/>
      <c r="EK133" s="375">
        <f t="shared" si="94"/>
        <v>0</v>
      </c>
      <c r="EL133" s="177"/>
      <c r="EM133" s="373"/>
      <c r="EN133" s="373"/>
      <c r="EO133" s="373"/>
      <c r="EP133" s="373"/>
      <c r="EQ133" s="373"/>
      <c r="ER133" s="373"/>
      <c r="ES133" s="373"/>
      <c r="ET133" s="373"/>
      <c r="EU133" s="373"/>
      <c r="EV133" s="373"/>
      <c r="EW133" s="373"/>
      <c r="EX133" s="373"/>
      <c r="EY133" s="375">
        <f>SUM(EM133:EX133)</f>
        <v>0</v>
      </c>
      <c r="EZ133" s="164"/>
      <c r="FB133" s="185">
        <v>60409000</v>
      </c>
      <c r="FC133" s="185">
        <v>0</v>
      </c>
    </row>
    <row r="134" spans="1:159" ht="18.75" customHeight="1" outlineLevel="1">
      <c r="A134" s="185" t="s">
        <v>327</v>
      </c>
      <c r="B134" s="176">
        <v>65002000</v>
      </c>
      <c r="C134" s="176" t="s">
        <v>1104</v>
      </c>
      <c r="D134" s="176" t="s">
        <v>335</v>
      </c>
      <c r="E134" s="324"/>
      <c r="F134" s="320" t="s">
        <v>692</v>
      </c>
      <c r="G134" s="320"/>
      <c r="H134" s="417">
        <v>0</v>
      </c>
      <c r="I134" s="417">
        <v>0</v>
      </c>
      <c r="J134" s="417">
        <v>0</v>
      </c>
      <c r="K134" s="417">
        <v>0</v>
      </c>
      <c r="L134" s="417">
        <v>0</v>
      </c>
      <c r="M134" s="417">
        <v>0</v>
      </c>
      <c r="N134" s="417">
        <v>0</v>
      </c>
      <c r="O134" s="417">
        <v>0</v>
      </c>
      <c r="P134" s="417">
        <v>0</v>
      </c>
      <c r="Q134" s="819">
        <v>0</v>
      </c>
      <c r="R134" s="417">
        <v>0</v>
      </c>
      <c r="S134" s="417">
        <v>0</v>
      </c>
      <c r="T134" s="402"/>
      <c r="U134" s="366"/>
      <c r="V134" s="165"/>
      <c r="W134" s="212"/>
      <c r="X134" s="1518">
        <v>0</v>
      </c>
      <c r="Y134" s="1518">
        <v>0</v>
      </c>
      <c r="Z134" s="1518">
        <v>0</v>
      </c>
      <c r="AA134" s="1518">
        <v>0</v>
      </c>
      <c r="AB134" s="1518">
        <v>0</v>
      </c>
      <c r="AC134" s="1518">
        <v>0</v>
      </c>
      <c r="AD134" s="1518">
        <v>0</v>
      </c>
      <c r="AE134" s="1518">
        <v>0</v>
      </c>
      <c r="AF134" s="1518">
        <v>0</v>
      </c>
      <c r="AG134" s="1519">
        <v>0</v>
      </c>
      <c r="AH134" s="1518">
        <v>0</v>
      </c>
      <c r="AI134" s="1518">
        <v>0</v>
      </c>
      <c r="AJ134" s="375">
        <f t="shared" si="118"/>
        <v>0</v>
      </c>
      <c r="AK134" s="212"/>
      <c r="AL134" s="417">
        <v>0</v>
      </c>
      <c r="AM134" s="417">
        <v>0</v>
      </c>
      <c r="AN134" s="417">
        <v>0</v>
      </c>
      <c r="AO134" s="417">
        <v>0</v>
      </c>
      <c r="AP134" s="417">
        <v>0</v>
      </c>
      <c r="AQ134" s="417">
        <v>0</v>
      </c>
      <c r="AR134" s="417">
        <v>0</v>
      </c>
      <c r="AS134" s="417">
        <v>0</v>
      </c>
      <c r="AT134" s="417">
        <v>0</v>
      </c>
      <c r="AU134" s="819">
        <v>0</v>
      </c>
      <c r="AV134" s="417">
        <v>0</v>
      </c>
      <c r="AW134" s="417">
        <v>0</v>
      </c>
      <c r="AX134" s="375">
        <f t="shared" si="116"/>
        <v>0</v>
      </c>
      <c r="AY134" s="366"/>
      <c r="AZ134" s="165"/>
      <c r="BA134" s="212"/>
      <c r="BB134" s="417">
        <v>0</v>
      </c>
      <c r="BC134" s="417">
        <v>0</v>
      </c>
      <c r="BD134" s="417">
        <v>0</v>
      </c>
      <c r="BE134" s="417">
        <v>0</v>
      </c>
      <c r="BF134" s="417">
        <v>0</v>
      </c>
      <c r="BG134" s="417">
        <v>0</v>
      </c>
      <c r="BH134" s="417">
        <v>0</v>
      </c>
      <c r="BI134" s="417">
        <v>0</v>
      </c>
      <c r="BJ134" s="417">
        <v>0</v>
      </c>
      <c r="BK134" s="819">
        <v>0</v>
      </c>
      <c r="BL134" s="417">
        <v>0</v>
      </c>
      <c r="BM134" s="417">
        <v>0</v>
      </c>
      <c r="BN134" s="375">
        <f t="shared" si="117"/>
        <v>0</v>
      </c>
      <c r="BO134" s="212"/>
      <c r="BP134" s="818">
        <v>0</v>
      </c>
      <c r="BQ134" s="818">
        <v>0</v>
      </c>
      <c r="BR134" s="818">
        <v>0</v>
      </c>
      <c r="BS134" s="818">
        <v>0</v>
      </c>
      <c r="BT134" s="818">
        <v>0</v>
      </c>
      <c r="BU134" s="818">
        <v>0</v>
      </c>
      <c r="BV134" s="818">
        <v>0</v>
      </c>
      <c r="BW134" s="818">
        <v>0</v>
      </c>
      <c r="BX134" s="818">
        <v>0</v>
      </c>
      <c r="BY134" s="818">
        <v>0</v>
      </c>
      <c r="BZ134" s="818">
        <v>0</v>
      </c>
      <c r="CA134" s="818">
        <v>0</v>
      </c>
      <c r="CB134" s="375">
        <f t="shared" si="114"/>
        <v>0</v>
      </c>
      <c r="CC134" s="366">
        <f t="shared" si="110"/>
        <v>0</v>
      </c>
      <c r="CD134" s="165" t="str">
        <f t="shared" si="111"/>
        <v>N/A</v>
      </c>
      <c r="CE134" s="367"/>
      <c r="CF134" s="373">
        <v>0</v>
      </c>
      <c r="CG134" s="373">
        <v>0</v>
      </c>
      <c r="CH134" s="373">
        <v>0</v>
      </c>
      <c r="CI134" s="373">
        <v>0</v>
      </c>
      <c r="CJ134" s="373">
        <v>0</v>
      </c>
      <c r="CK134" s="373">
        <v>0</v>
      </c>
      <c r="CL134" s="373">
        <v>0</v>
      </c>
      <c r="CM134" s="373">
        <v>0</v>
      </c>
      <c r="CN134" s="373">
        <v>0</v>
      </c>
      <c r="CO134" s="373">
        <v>0</v>
      </c>
      <c r="CP134" s="373">
        <v>0</v>
      </c>
      <c r="CQ134" s="373">
        <v>0</v>
      </c>
      <c r="CR134" s="376"/>
      <c r="CS134" s="375">
        <f t="shared" si="90"/>
        <v>0</v>
      </c>
      <c r="CT134" s="378">
        <f t="shared" si="112"/>
        <v>0</v>
      </c>
      <c r="CU134" s="165" t="str">
        <f t="shared" si="113"/>
        <v>N/A</v>
      </c>
      <c r="CV134" s="320"/>
      <c r="CW134" s="373">
        <v>0</v>
      </c>
      <c r="CX134" s="373">
        <v>0</v>
      </c>
      <c r="CY134" s="373">
        <v>0</v>
      </c>
      <c r="CZ134" s="373">
        <v>0</v>
      </c>
      <c r="DA134" s="373">
        <v>0</v>
      </c>
      <c r="DB134" s="373">
        <v>0</v>
      </c>
      <c r="DC134" s="373">
        <v>0</v>
      </c>
      <c r="DD134" s="373">
        <v>0</v>
      </c>
      <c r="DE134" s="373">
        <v>0</v>
      </c>
      <c r="DF134" s="373">
        <v>0</v>
      </c>
      <c r="DG134" s="373">
        <v>0</v>
      </c>
      <c r="DH134" s="373">
        <v>0</v>
      </c>
      <c r="DI134" s="375">
        <f t="shared" si="121"/>
        <v>0</v>
      </c>
      <c r="DJ134" s="320"/>
      <c r="DK134" s="373"/>
      <c r="DL134" s="373"/>
      <c r="DM134" s="373"/>
      <c r="DN134" s="373"/>
      <c r="DO134" s="373"/>
      <c r="DP134" s="373"/>
      <c r="DQ134" s="373"/>
      <c r="DR134" s="373"/>
      <c r="DS134" s="373"/>
      <c r="DT134" s="373"/>
      <c r="DU134" s="373"/>
      <c r="DV134" s="373"/>
      <c r="DW134" s="375">
        <f t="shared" si="123"/>
        <v>0</v>
      </c>
      <c r="DY134" s="373"/>
      <c r="DZ134" s="373"/>
      <c r="EA134" s="373"/>
      <c r="EB134" s="373"/>
      <c r="EC134" s="373"/>
      <c r="ED134" s="373"/>
      <c r="EE134" s="373"/>
      <c r="EF134" s="373"/>
      <c r="EG134" s="373"/>
      <c r="EH134" s="373"/>
      <c r="EI134" s="373"/>
      <c r="EJ134" s="373"/>
      <c r="EK134" s="375">
        <f>SUM(DY134:EJ134)</f>
        <v>0</v>
      </c>
      <c r="EL134" s="177"/>
      <c r="EM134" s="373"/>
      <c r="EN134" s="373"/>
      <c r="EO134" s="373"/>
      <c r="EP134" s="373"/>
      <c r="EQ134" s="373"/>
      <c r="ER134" s="373"/>
      <c r="ES134" s="373"/>
      <c r="ET134" s="373"/>
      <c r="EU134" s="373"/>
      <c r="EV134" s="373"/>
      <c r="EW134" s="373"/>
      <c r="EX134" s="373"/>
      <c r="EY134" s="375">
        <f>SUM(EM134:EX134)</f>
        <v>0</v>
      </c>
      <c r="EZ134" s="164"/>
      <c r="FB134" s="185">
        <v>60408000</v>
      </c>
      <c r="FC134" s="185">
        <v>0</v>
      </c>
    </row>
    <row r="135" spans="1:159" ht="18.75" customHeight="1" outlineLevel="1">
      <c r="A135" s="185" t="s">
        <v>327</v>
      </c>
      <c r="B135" s="176">
        <v>65101000</v>
      </c>
      <c r="C135" s="176" t="s">
        <v>1104</v>
      </c>
      <c r="D135" s="176" t="s">
        <v>335</v>
      </c>
      <c r="E135" s="324"/>
      <c r="F135" s="320" t="s">
        <v>693</v>
      </c>
      <c r="G135" s="320"/>
      <c r="H135" s="417">
        <v>0</v>
      </c>
      <c r="I135" s="417">
        <v>0</v>
      </c>
      <c r="J135" s="417">
        <v>0</v>
      </c>
      <c r="K135" s="417">
        <v>0</v>
      </c>
      <c r="L135" s="417">
        <v>0</v>
      </c>
      <c r="M135" s="417">
        <v>0</v>
      </c>
      <c r="N135" s="417">
        <v>0</v>
      </c>
      <c r="O135" s="417">
        <v>0</v>
      </c>
      <c r="P135" s="417">
        <v>0</v>
      </c>
      <c r="Q135" s="819">
        <v>0</v>
      </c>
      <c r="R135" s="417">
        <v>0</v>
      </c>
      <c r="S135" s="417">
        <v>0</v>
      </c>
      <c r="T135" s="402"/>
      <c r="U135" s="366"/>
      <c r="V135" s="165"/>
      <c r="W135" s="212"/>
      <c r="X135" s="1518">
        <v>0</v>
      </c>
      <c r="Y135" s="1518">
        <v>0</v>
      </c>
      <c r="Z135" s="1518">
        <v>0</v>
      </c>
      <c r="AA135" s="1518">
        <v>0</v>
      </c>
      <c r="AB135" s="1518">
        <v>0</v>
      </c>
      <c r="AC135" s="1518">
        <v>0</v>
      </c>
      <c r="AD135" s="1518">
        <v>0</v>
      </c>
      <c r="AE135" s="1518">
        <v>0</v>
      </c>
      <c r="AF135" s="1518">
        <v>0</v>
      </c>
      <c r="AG135" s="1519">
        <v>0</v>
      </c>
      <c r="AH135" s="1518">
        <v>0</v>
      </c>
      <c r="AI135" s="1518">
        <v>0</v>
      </c>
      <c r="AJ135" s="375">
        <f t="shared" si="118"/>
        <v>0</v>
      </c>
      <c r="AK135" s="212"/>
      <c r="AL135" s="417">
        <v>0</v>
      </c>
      <c r="AM135" s="417">
        <v>0</v>
      </c>
      <c r="AN135" s="417">
        <v>0</v>
      </c>
      <c r="AO135" s="417">
        <v>0</v>
      </c>
      <c r="AP135" s="417">
        <v>0</v>
      </c>
      <c r="AQ135" s="417">
        <v>0</v>
      </c>
      <c r="AR135" s="417">
        <v>0</v>
      </c>
      <c r="AS135" s="417">
        <v>0</v>
      </c>
      <c r="AT135" s="417">
        <v>0</v>
      </c>
      <c r="AU135" s="819">
        <v>0</v>
      </c>
      <c r="AV135" s="417">
        <v>0</v>
      </c>
      <c r="AW135" s="417">
        <v>0</v>
      </c>
      <c r="AX135" s="375">
        <f t="shared" si="116"/>
        <v>0</v>
      </c>
      <c r="AY135" s="366"/>
      <c r="AZ135" s="165"/>
      <c r="BA135" s="212"/>
      <c r="BB135" s="417">
        <v>0</v>
      </c>
      <c r="BC135" s="417">
        <v>0</v>
      </c>
      <c r="BD135" s="417">
        <v>0</v>
      </c>
      <c r="BE135" s="417">
        <v>0</v>
      </c>
      <c r="BF135" s="417">
        <v>0</v>
      </c>
      <c r="BG135" s="417">
        <v>0</v>
      </c>
      <c r="BH135" s="417">
        <v>0</v>
      </c>
      <c r="BI135" s="417">
        <v>0</v>
      </c>
      <c r="BJ135" s="417">
        <v>0</v>
      </c>
      <c r="BK135" s="819">
        <v>0</v>
      </c>
      <c r="BL135" s="417">
        <v>0</v>
      </c>
      <c r="BM135" s="417">
        <v>0</v>
      </c>
      <c r="BN135" s="375">
        <f t="shared" si="117"/>
        <v>0</v>
      </c>
      <c r="BO135" s="212"/>
      <c r="BP135" s="818">
        <v>0</v>
      </c>
      <c r="BQ135" s="818">
        <v>0</v>
      </c>
      <c r="BR135" s="818">
        <v>0</v>
      </c>
      <c r="BS135" s="818">
        <v>0</v>
      </c>
      <c r="BT135" s="818">
        <v>0</v>
      </c>
      <c r="BU135" s="818">
        <v>0</v>
      </c>
      <c r="BV135" s="818">
        <v>0</v>
      </c>
      <c r="BW135" s="818">
        <v>0</v>
      </c>
      <c r="BX135" s="818">
        <v>0</v>
      </c>
      <c r="BY135" s="818">
        <v>0</v>
      </c>
      <c r="BZ135" s="818">
        <v>0</v>
      </c>
      <c r="CA135" s="818">
        <v>0</v>
      </c>
      <c r="CB135" s="375">
        <f t="shared" si="114"/>
        <v>0</v>
      </c>
      <c r="CC135" s="366">
        <f t="shared" si="110"/>
        <v>0</v>
      </c>
      <c r="CD135" s="165" t="str">
        <f t="shared" si="111"/>
        <v>N/A</v>
      </c>
      <c r="CE135" s="367"/>
      <c r="CF135" s="373">
        <v>0</v>
      </c>
      <c r="CG135" s="373">
        <v>0</v>
      </c>
      <c r="CH135" s="373">
        <v>0</v>
      </c>
      <c r="CI135" s="373">
        <v>0</v>
      </c>
      <c r="CJ135" s="373">
        <v>0</v>
      </c>
      <c r="CK135" s="373">
        <v>0</v>
      </c>
      <c r="CL135" s="373">
        <v>0</v>
      </c>
      <c r="CM135" s="373">
        <v>0</v>
      </c>
      <c r="CN135" s="373">
        <v>0</v>
      </c>
      <c r="CO135" s="373">
        <v>0</v>
      </c>
      <c r="CP135" s="373">
        <v>0</v>
      </c>
      <c r="CQ135" s="373">
        <v>0</v>
      </c>
      <c r="CR135" s="376"/>
      <c r="CS135" s="375">
        <f t="shared" si="90"/>
        <v>0</v>
      </c>
      <c r="CT135" s="378">
        <f t="shared" si="112"/>
        <v>0</v>
      </c>
      <c r="CU135" s="165" t="str">
        <f t="shared" si="113"/>
        <v>N/A</v>
      </c>
      <c r="CV135" s="320"/>
      <c r="CW135" s="373">
        <v>0</v>
      </c>
      <c r="CX135" s="373">
        <v>0</v>
      </c>
      <c r="CY135" s="373">
        <v>0</v>
      </c>
      <c r="CZ135" s="373">
        <v>0</v>
      </c>
      <c r="DA135" s="373">
        <v>0</v>
      </c>
      <c r="DB135" s="373">
        <v>0</v>
      </c>
      <c r="DC135" s="373">
        <v>0</v>
      </c>
      <c r="DD135" s="373">
        <v>0</v>
      </c>
      <c r="DE135" s="373">
        <v>0</v>
      </c>
      <c r="DF135" s="373">
        <v>0</v>
      </c>
      <c r="DG135" s="373">
        <v>0</v>
      </c>
      <c r="DH135" s="373">
        <v>0</v>
      </c>
      <c r="DI135" s="375">
        <f t="shared" si="121"/>
        <v>0</v>
      </c>
      <c r="DJ135" s="320"/>
      <c r="DK135" s="373"/>
      <c r="DL135" s="373"/>
      <c r="DM135" s="373"/>
      <c r="DN135" s="373"/>
      <c r="DO135" s="373"/>
      <c r="DP135" s="373"/>
      <c r="DQ135" s="373"/>
      <c r="DR135" s="373"/>
      <c r="DS135" s="373"/>
      <c r="DT135" s="373"/>
      <c r="DU135" s="373"/>
      <c r="DV135" s="373"/>
      <c r="DW135" s="375">
        <f t="shared" si="123"/>
        <v>0</v>
      </c>
      <c r="DY135" s="373"/>
      <c r="DZ135" s="373"/>
      <c r="EA135" s="373"/>
      <c r="EB135" s="373"/>
      <c r="EC135" s="373"/>
      <c r="ED135" s="373"/>
      <c r="EE135" s="373"/>
      <c r="EF135" s="373"/>
      <c r="EG135" s="373"/>
      <c r="EH135" s="373"/>
      <c r="EI135" s="373"/>
      <c r="EJ135" s="373"/>
      <c r="EK135" s="375">
        <f t="shared" si="94"/>
        <v>0</v>
      </c>
      <c r="EL135" s="177"/>
      <c r="EM135" s="373"/>
      <c r="EN135" s="373"/>
      <c r="EO135" s="373"/>
      <c r="EP135" s="373"/>
      <c r="EQ135" s="373"/>
      <c r="ER135" s="373"/>
      <c r="ES135" s="373"/>
      <c r="ET135" s="373"/>
      <c r="EU135" s="373"/>
      <c r="EV135" s="373"/>
      <c r="EW135" s="373"/>
      <c r="EX135" s="373"/>
      <c r="EY135" s="375">
        <f t="shared" si="96"/>
        <v>0</v>
      </c>
      <c r="EZ135" s="164"/>
      <c r="FB135" s="185">
        <v>60112000</v>
      </c>
      <c r="FC135" s="185">
        <v>0</v>
      </c>
    </row>
    <row r="136" spans="1:159" ht="18.75" customHeight="1" outlineLevel="1">
      <c r="A136" s="185" t="s">
        <v>327</v>
      </c>
      <c r="B136" s="176">
        <v>65102000</v>
      </c>
      <c r="C136" s="176" t="s">
        <v>1104</v>
      </c>
      <c r="D136" s="176" t="s">
        <v>335</v>
      </c>
      <c r="E136" s="324"/>
      <c r="F136" s="320" t="s">
        <v>694</v>
      </c>
      <c r="G136" s="320"/>
      <c r="H136" s="417">
        <v>0</v>
      </c>
      <c r="I136" s="417">
        <v>0</v>
      </c>
      <c r="J136" s="417">
        <v>0</v>
      </c>
      <c r="K136" s="417">
        <v>0</v>
      </c>
      <c r="L136" s="417">
        <v>0</v>
      </c>
      <c r="M136" s="417">
        <v>0</v>
      </c>
      <c r="N136" s="417">
        <v>0</v>
      </c>
      <c r="O136" s="417">
        <v>0</v>
      </c>
      <c r="P136" s="417">
        <v>0</v>
      </c>
      <c r="Q136" s="819">
        <v>0</v>
      </c>
      <c r="R136" s="417">
        <v>0</v>
      </c>
      <c r="S136" s="417">
        <v>0</v>
      </c>
      <c r="T136" s="402"/>
      <c r="U136" s="366"/>
      <c r="V136" s="165"/>
      <c r="W136" s="212"/>
      <c r="X136" s="1518">
        <v>0</v>
      </c>
      <c r="Y136" s="1518">
        <v>0</v>
      </c>
      <c r="Z136" s="1518">
        <v>0</v>
      </c>
      <c r="AA136" s="1518">
        <v>0</v>
      </c>
      <c r="AB136" s="1518">
        <v>0</v>
      </c>
      <c r="AC136" s="1518">
        <v>0</v>
      </c>
      <c r="AD136" s="1518">
        <v>0</v>
      </c>
      <c r="AE136" s="1518">
        <v>0</v>
      </c>
      <c r="AF136" s="1518">
        <v>0</v>
      </c>
      <c r="AG136" s="1519">
        <v>0</v>
      </c>
      <c r="AH136" s="1518">
        <v>0</v>
      </c>
      <c r="AI136" s="1518">
        <v>0</v>
      </c>
      <c r="AJ136" s="375">
        <f t="shared" si="118"/>
        <v>0</v>
      </c>
      <c r="AK136" s="212"/>
      <c r="AL136" s="417">
        <v>0</v>
      </c>
      <c r="AM136" s="417">
        <v>0</v>
      </c>
      <c r="AN136" s="417">
        <v>0</v>
      </c>
      <c r="AO136" s="417">
        <v>0</v>
      </c>
      <c r="AP136" s="417">
        <v>0</v>
      </c>
      <c r="AQ136" s="417">
        <v>0</v>
      </c>
      <c r="AR136" s="417">
        <v>0</v>
      </c>
      <c r="AS136" s="417">
        <v>0</v>
      </c>
      <c r="AT136" s="417">
        <v>0</v>
      </c>
      <c r="AU136" s="819">
        <v>0</v>
      </c>
      <c r="AV136" s="417">
        <v>0</v>
      </c>
      <c r="AW136" s="417">
        <v>0</v>
      </c>
      <c r="AX136" s="375">
        <f t="shared" si="116"/>
        <v>0</v>
      </c>
      <c r="AY136" s="366"/>
      <c r="AZ136" s="165"/>
      <c r="BA136" s="212"/>
      <c r="BB136" s="417">
        <v>0</v>
      </c>
      <c r="BC136" s="417">
        <v>0</v>
      </c>
      <c r="BD136" s="417">
        <v>0</v>
      </c>
      <c r="BE136" s="417">
        <v>0</v>
      </c>
      <c r="BF136" s="417">
        <v>0</v>
      </c>
      <c r="BG136" s="417">
        <v>0</v>
      </c>
      <c r="BH136" s="417">
        <v>0</v>
      </c>
      <c r="BI136" s="417">
        <v>0</v>
      </c>
      <c r="BJ136" s="417">
        <v>0</v>
      </c>
      <c r="BK136" s="819">
        <v>0</v>
      </c>
      <c r="BL136" s="417">
        <v>0</v>
      </c>
      <c r="BM136" s="417">
        <v>0</v>
      </c>
      <c r="BN136" s="375">
        <f t="shared" si="117"/>
        <v>0</v>
      </c>
      <c r="BO136" s="212"/>
      <c r="BP136" s="818">
        <v>0</v>
      </c>
      <c r="BQ136" s="818">
        <v>0</v>
      </c>
      <c r="BR136" s="818">
        <v>0</v>
      </c>
      <c r="BS136" s="818">
        <v>0</v>
      </c>
      <c r="BT136" s="818">
        <v>0</v>
      </c>
      <c r="BU136" s="818">
        <v>0</v>
      </c>
      <c r="BV136" s="818">
        <v>0</v>
      </c>
      <c r="BW136" s="818">
        <v>0</v>
      </c>
      <c r="BX136" s="818">
        <v>0</v>
      </c>
      <c r="BY136" s="818">
        <v>0</v>
      </c>
      <c r="BZ136" s="818">
        <v>0</v>
      </c>
      <c r="CA136" s="818">
        <v>0</v>
      </c>
      <c r="CB136" s="375">
        <f t="shared" si="114"/>
        <v>0</v>
      </c>
      <c r="CC136" s="366">
        <f t="shared" si="110"/>
        <v>0</v>
      </c>
      <c r="CD136" s="165" t="str">
        <f t="shared" si="111"/>
        <v>N/A</v>
      </c>
      <c r="CE136" s="367"/>
      <c r="CF136" s="373">
        <v>0</v>
      </c>
      <c r="CG136" s="373">
        <v>0</v>
      </c>
      <c r="CH136" s="373">
        <v>0</v>
      </c>
      <c r="CI136" s="373">
        <v>0</v>
      </c>
      <c r="CJ136" s="373">
        <v>0</v>
      </c>
      <c r="CK136" s="373">
        <v>0</v>
      </c>
      <c r="CL136" s="373">
        <v>0</v>
      </c>
      <c r="CM136" s="373">
        <v>0</v>
      </c>
      <c r="CN136" s="373">
        <v>0</v>
      </c>
      <c r="CO136" s="373">
        <v>0</v>
      </c>
      <c r="CP136" s="373">
        <v>0</v>
      </c>
      <c r="CQ136" s="373">
        <v>0</v>
      </c>
      <c r="CR136" s="376"/>
      <c r="CS136" s="375">
        <f t="shared" si="90"/>
        <v>0</v>
      </c>
      <c r="CT136" s="378">
        <f t="shared" si="112"/>
        <v>0</v>
      </c>
      <c r="CU136" s="165" t="str">
        <f t="shared" si="113"/>
        <v>N/A</v>
      </c>
      <c r="CV136" s="320"/>
      <c r="CW136" s="373">
        <v>0</v>
      </c>
      <c r="CX136" s="373">
        <v>0</v>
      </c>
      <c r="CY136" s="373">
        <v>0</v>
      </c>
      <c r="CZ136" s="373">
        <v>0</v>
      </c>
      <c r="DA136" s="373">
        <v>0</v>
      </c>
      <c r="DB136" s="373">
        <v>0</v>
      </c>
      <c r="DC136" s="373">
        <v>0</v>
      </c>
      <c r="DD136" s="373">
        <v>0</v>
      </c>
      <c r="DE136" s="373">
        <v>0</v>
      </c>
      <c r="DF136" s="373">
        <v>0</v>
      </c>
      <c r="DG136" s="373">
        <v>0</v>
      </c>
      <c r="DH136" s="373">
        <v>0</v>
      </c>
      <c r="DI136" s="375">
        <f t="shared" si="121"/>
        <v>0</v>
      </c>
      <c r="DJ136" s="320"/>
      <c r="DK136" s="373"/>
      <c r="DL136" s="373"/>
      <c r="DM136" s="373"/>
      <c r="DN136" s="373"/>
      <c r="DO136" s="373"/>
      <c r="DP136" s="373"/>
      <c r="DQ136" s="373"/>
      <c r="DR136" s="373"/>
      <c r="DS136" s="373"/>
      <c r="DT136" s="373"/>
      <c r="DU136" s="373"/>
      <c r="DV136" s="373"/>
      <c r="DW136" s="375">
        <f t="shared" si="123"/>
        <v>0</v>
      </c>
      <c r="DY136" s="373"/>
      <c r="DZ136" s="373"/>
      <c r="EA136" s="373"/>
      <c r="EB136" s="373"/>
      <c r="EC136" s="373"/>
      <c r="ED136" s="373"/>
      <c r="EE136" s="373"/>
      <c r="EF136" s="373"/>
      <c r="EG136" s="373"/>
      <c r="EH136" s="373"/>
      <c r="EI136" s="373"/>
      <c r="EJ136" s="373"/>
      <c r="EK136" s="375">
        <f t="shared" si="94"/>
        <v>0</v>
      </c>
      <c r="EL136" s="177"/>
      <c r="EM136" s="373"/>
      <c r="EN136" s="373"/>
      <c r="EO136" s="373"/>
      <c r="EP136" s="373"/>
      <c r="EQ136" s="373"/>
      <c r="ER136" s="373"/>
      <c r="ES136" s="373"/>
      <c r="ET136" s="373"/>
      <c r="EU136" s="373"/>
      <c r="EV136" s="373"/>
      <c r="EW136" s="373"/>
      <c r="EX136" s="373"/>
      <c r="EY136" s="375">
        <f t="shared" si="96"/>
        <v>0</v>
      </c>
      <c r="EZ136" s="164"/>
      <c r="FB136" s="185" t="s">
        <v>583</v>
      </c>
      <c r="FC136" s="185">
        <v>0</v>
      </c>
    </row>
    <row r="137" spans="1:159" ht="18.75" customHeight="1" outlineLevel="1">
      <c r="A137" s="185" t="s">
        <v>327</v>
      </c>
      <c r="B137" s="176">
        <v>65103000</v>
      </c>
      <c r="C137" s="176" t="s">
        <v>1104</v>
      </c>
      <c r="D137" s="176" t="s">
        <v>335</v>
      </c>
      <c r="E137" s="324"/>
      <c r="F137" s="320" t="s">
        <v>695</v>
      </c>
      <c r="G137" s="320"/>
      <c r="H137" s="417">
        <v>0</v>
      </c>
      <c r="I137" s="417">
        <v>0</v>
      </c>
      <c r="J137" s="417">
        <v>0</v>
      </c>
      <c r="K137" s="417">
        <v>0</v>
      </c>
      <c r="L137" s="417">
        <v>0</v>
      </c>
      <c r="M137" s="417">
        <v>0</v>
      </c>
      <c r="N137" s="417">
        <v>0</v>
      </c>
      <c r="O137" s="417">
        <v>0</v>
      </c>
      <c r="P137" s="417">
        <v>0</v>
      </c>
      <c r="Q137" s="819">
        <v>0</v>
      </c>
      <c r="R137" s="417">
        <v>0</v>
      </c>
      <c r="S137" s="417">
        <v>0</v>
      </c>
      <c r="T137" s="402"/>
      <c r="U137" s="366"/>
      <c r="V137" s="165"/>
      <c r="W137" s="212"/>
      <c r="X137" s="1518">
        <v>0</v>
      </c>
      <c r="Y137" s="1518">
        <v>0</v>
      </c>
      <c r="Z137" s="1518">
        <v>0</v>
      </c>
      <c r="AA137" s="1518">
        <v>0</v>
      </c>
      <c r="AB137" s="1518">
        <v>0</v>
      </c>
      <c r="AC137" s="1518">
        <v>0</v>
      </c>
      <c r="AD137" s="1518">
        <v>0</v>
      </c>
      <c r="AE137" s="1518">
        <v>0</v>
      </c>
      <c r="AF137" s="1518">
        <v>0</v>
      </c>
      <c r="AG137" s="1519">
        <v>0</v>
      </c>
      <c r="AH137" s="1518">
        <v>0</v>
      </c>
      <c r="AI137" s="1518">
        <v>0</v>
      </c>
      <c r="AJ137" s="375">
        <f t="shared" si="118"/>
        <v>0</v>
      </c>
      <c r="AK137" s="212"/>
      <c r="AL137" s="417">
        <v>0</v>
      </c>
      <c r="AM137" s="417">
        <v>0</v>
      </c>
      <c r="AN137" s="417">
        <v>0</v>
      </c>
      <c r="AO137" s="417">
        <v>0</v>
      </c>
      <c r="AP137" s="417">
        <v>0</v>
      </c>
      <c r="AQ137" s="417">
        <v>0</v>
      </c>
      <c r="AR137" s="417">
        <v>0</v>
      </c>
      <c r="AS137" s="417">
        <v>0</v>
      </c>
      <c r="AT137" s="417">
        <v>0</v>
      </c>
      <c r="AU137" s="819">
        <v>0</v>
      </c>
      <c r="AV137" s="417">
        <v>0</v>
      </c>
      <c r="AW137" s="417">
        <v>0</v>
      </c>
      <c r="AX137" s="375">
        <f t="shared" si="116"/>
        <v>0</v>
      </c>
      <c r="AY137" s="366"/>
      <c r="AZ137" s="165"/>
      <c r="BA137" s="212"/>
      <c r="BB137" s="417">
        <v>0</v>
      </c>
      <c r="BC137" s="417">
        <v>0</v>
      </c>
      <c r="BD137" s="417">
        <v>0</v>
      </c>
      <c r="BE137" s="417">
        <v>0</v>
      </c>
      <c r="BF137" s="417">
        <v>0</v>
      </c>
      <c r="BG137" s="417">
        <v>0</v>
      </c>
      <c r="BH137" s="417">
        <v>0</v>
      </c>
      <c r="BI137" s="417">
        <v>0</v>
      </c>
      <c r="BJ137" s="417">
        <v>0</v>
      </c>
      <c r="BK137" s="819">
        <v>0</v>
      </c>
      <c r="BL137" s="417">
        <v>0</v>
      </c>
      <c r="BM137" s="417">
        <v>0</v>
      </c>
      <c r="BN137" s="375">
        <f t="shared" si="117"/>
        <v>0</v>
      </c>
      <c r="BO137" s="212"/>
      <c r="BP137" s="818">
        <v>0</v>
      </c>
      <c r="BQ137" s="818">
        <v>0</v>
      </c>
      <c r="BR137" s="818">
        <v>0</v>
      </c>
      <c r="BS137" s="818">
        <v>0</v>
      </c>
      <c r="BT137" s="818">
        <v>0</v>
      </c>
      <c r="BU137" s="818">
        <v>0</v>
      </c>
      <c r="BV137" s="818">
        <v>0</v>
      </c>
      <c r="BW137" s="818">
        <v>0</v>
      </c>
      <c r="BX137" s="818">
        <v>0</v>
      </c>
      <c r="BY137" s="818">
        <v>0</v>
      </c>
      <c r="BZ137" s="818">
        <v>0</v>
      </c>
      <c r="CA137" s="818">
        <v>0</v>
      </c>
      <c r="CB137" s="375">
        <f t="shared" si="114"/>
        <v>0</v>
      </c>
      <c r="CC137" s="366">
        <f t="shared" si="110"/>
        <v>0</v>
      </c>
      <c r="CD137" s="165" t="str">
        <f t="shared" si="111"/>
        <v>N/A</v>
      </c>
      <c r="CE137" s="367"/>
      <c r="CF137" s="373">
        <v>0</v>
      </c>
      <c r="CG137" s="373">
        <v>0</v>
      </c>
      <c r="CH137" s="373">
        <v>0</v>
      </c>
      <c r="CI137" s="373">
        <v>0</v>
      </c>
      <c r="CJ137" s="373">
        <v>0</v>
      </c>
      <c r="CK137" s="373">
        <v>0</v>
      </c>
      <c r="CL137" s="373">
        <v>0</v>
      </c>
      <c r="CM137" s="373">
        <v>0</v>
      </c>
      <c r="CN137" s="373">
        <v>0</v>
      </c>
      <c r="CO137" s="373">
        <v>0</v>
      </c>
      <c r="CP137" s="373">
        <v>0</v>
      </c>
      <c r="CQ137" s="373">
        <v>0</v>
      </c>
      <c r="CR137" s="376"/>
      <c r="CS137" s="375">
        <f t="shared" si="90"/>
        <v>0</v>
      </c>
      <c r="CT137" s="378">
        <f t="shared" si="112"/>
        <v>0</v>
      </c>
      <c r="CU137" s="165" t="str">
        <f t="shared" si="113"/>
        <v>N/A</v>
      </c>
      <c r="CV137" s="320"/>
      <c r="CW137" s="373">
        <v>0</v>
      </c>
      <c r="CX137" s="373">
        <v>0</v>
      </c>
      <c r="CY137" s="373">
        <v>0</v>
      </c>
      <c r="CZ137" s="373">
        <v>0</v>
      </c>
      <c r="DA137" s="373">
        <v>0</v>
      </c>
      <c r="DB137" s="373">
        <v>0</v>
      </c>
      <c r="DC137" s="373">
        <v>0</v>
      </c>
      <c r="DD137" s="373">
        <v>0</v>
      </c>
      <c r="DE137" s="373">
        <v>0</v>
      </c>
      <c r="DF137" s="373">
        <v>0</v>
      </c>
      <c r="DG137" s="373">
        <v>0</v>
      </c>
      <c r="DH137" s="373">
        <v>0</v>
      </c>
      <c r="DI137" s="375">
        <f t="shared" si="121"/>
        <v>0</v>
      </c>
      <c r="DJ137" s="320"/>
      <c r="DK137" s="373"/>
      <c r="DL137" s="373"/>
      <c r="DM137" s="373"/>
      <c r="DN137" s="373"/>
      <c r="DO137" s="373"/>
      <c r="DP137" s="373"/>
      <c r="DQ137" s="373"/>
      <c r="DR137" s="373"/>
      <c r="DS137" s="373"/>
      <c r="DT137" s="373"/>
      <c r="DU137" s="373"/>
      <c r="DV137" s="373"/>
      <c r="DW137" s="375">
        <f t="shared" si="123"/>
        <v>0</v>
      </c>
      <c r="DY137" s="373"/>
      <c r="DZ137" s="373"/>
      <c r="EA137" s="373"/>
      <c r="EB137" s="373"/>
      <c r="EC137" s="373"/>
      <c r="ED137" s="373"/>
      <c r="EE137" s="373"/>
      <c r="EF137" s="373"/>
      <c r="EG137" s="373"/>
      <c r="EH137" s="373"/>
      <c r="EI137" s="373"/>
      <c r="EJ137" s="373"/>
      <c r="EK137" s="375">
        <f t="shared" si="94"/>
        <v>0</v>
      </c>
      <c r="EL137" s="177"/>
      <c r="EM137" s="373"/>
      <c r="EN137" s="373"/>
      <c r="EO137" s="373"/>
      <c r="EP137" s="373"/>
      <c r="EQ137" s="373"/>
      <c r="ER137" s="373"/>
      <c r="ES137" s="373"/>
      <c r="ET137" s="373"/>
      <c r="EU137" s="373"/>
      <c r="EV137" s="373"/>
      <c r="EW137" s="373"/>
      <c r="EX137" s="373"/>
      <c r="EY137" s="375">
        <f t="shared" si="96"/>
        <v>0</v>
      </c>
      <c r="EZ137" s="164"/>
      <c r="FB137" s="185" t="e">
        <v>#N/A</v>
      </c>
      <c r="FC137" s="185">
        <v>0</v>
      </c>
    </row>
    <row r="138" spans="1:159" ht="18.75" customHeight="1" outlineLevel="1">
      <c r="A138" s="185" t="s">
        <v>327</v>
      </c>
      <c r="B138" s="176">
        <v>65104000</v>
      </c>
      <c r="C138" s="176" t="s">
        <v>1104</v>
      </c>
      <c r="D138" s="176" t="s">
        <v>335</v>
      </c>
      <c r="E138" s="324"/>
      <c r="F138" s="320" t="s">
        <v>696</v>
      </c>
      <c r="G138" s="320"/>
      <c r="H138" s="417">
        <v>0</v>
      </c>
      <c r="I138" s="417">
        <v>0</v>
      </c>
      <c r="J138" s="417">
        <v>0</v>
      </c>
      <c r="K138" s="417">
        <v>0</v>
      </c>
      <c r="L138" s="417">
        <v>0</v>
      </c>
      <c r="M138" s="417">
        <v>0</v>
      </c>
      <c r="N138" s="417">
        <v>0</v>
      </c>
      <c r="O138" s="417">
        <v>0</v>
      </c>
      <c r="P138" s="417">
        <v>0</v>
      </c>
      <c r="Q138" s="819">
        <v>0</v>
      </c>
      <c r="R138" s="417">
        <v>0</v>
      </c>
      <c r="S138" s="417">
        <v>0</v>
      </c>
      <c r="T138" s="402"/>
      <c r="U138" s="366"/>
      <c r="V138" s="165"/>
      <c r="W138" s="212"/>
      <c r="X138" s="1518">
        <v>0</v>
      </c>
      <c r="Y138" s="1518">
        <v>0</v>
      </c>
      <c r="Z138" s="1518">
        <v>0</v>
      </c>
      <c r="AA138" s="1518">
        <v>0</v>
      </c>
      <c r="AB138" s="1518">
        <v>0</v>
      </c>
      <c r="AC138" s="1518">
        <v>0</v>
      </c>
      <c r="AD138" s="1518">
        <v>0</v>
      </c>
      <c r="AE138" s="1518">
        <v>0</v>
      </c>
      <c r="AF138" s="1518">
        <v>0</v>
      </c>
      <c r="AG138" s="1519">
        <v>0</v>
      </c>
      <c r="AH138" s="1518">
        <v>0</v>
      </c>
      <c r="AI138" s="1518">
        <v>0</v>
      </c>
      <c r="AJ138" s="375">
        <f t="shared" si="118"/>
        <v>0</v>
      </c>
      <c r="AK138" s="212"/>
      <c r="AL138" s="417">
        <v>0</v>
      </c>
      <c r="AM138" s="417">
        <v>0</v>
      </c>
      <c r="AN138" s="417">
        <v>0</v>
      </c>
      <c r="AO138" s="417">
        <v>0</v>
      </c>
      <c r="AP138" s="417">
        <v>0</v>
      </c>
      <c r="AQ138" s="417">
        <v>0</v>
      </c>
      <c r="AR138" s="417">
        <v>0</v>
      </c>
      <c r="AS138" s="417">
        <v>0</v>
      </c>
      <c r="AT138" s="417">
        <v>0</v>
      </c>
      <c r="AU138" s="819">
        <v>0</v>
      </c>
      <c r="AV138" s="417">
        <v>0</v>
      </c>
      <c r="AW138" s="417">
        <v>0</v>
      </c>
      <c r="AX138" s="375">
        <f t="shared" si="116"/>
        <v>0</v>
      </c>
      <c r="AY138" s="366"/>
      <c r="AZ138" s="165"/>
      <c r="BA138" s="212"/>
      <c r="BB138" s="417">
        <v>0</v>
      </c>
      <c r="BC138" s="417">
        <v>0</v>
      </c>
      <c r="BD138" s="417">
        <v>0</v>
      </c>
      <c r="BE138" s="417">
        <v>0</v>
      </c>
      <c r="BF138" s="417">
        <v>0</v>
      </c>
      <c r="BG138" s="417">
        <v>0</v>
      </c>
      <c r="BH138" s="417">
        <v>0</v>
      </c>
      <c r="BI138" s="417">
        <v>0</v>
      </c>
      <c r="BJ138" s="417">
        <v>0</v>
      </c>
      <c r="BK138" s="819">
        <v>0</v>
      </c>
      <c r="BL138" s="417">
        <v>0</v>
      </c>
      <c r="BM138" s="417">
        <v>0</v>
      </c>
      <c r="BN138" s="375">
        <f t="shared" si="117"/>
        <v>0</v>
      </c>
      <c r="BO138" s="212"/>
      <c r="BP138" s="818">
        <v>0</v>
      </c>
      <c r="BQ138" s="818">
        <v>0</v>
      </c>
      <c r="BR138" s="818">
        <v>0</v>
      </c>
      <c r="BS138" s="818">
        <v>0</v>
      </c>
      <c r="BT138" s="818">
        <v>0</v>
      </c>
      <c r="BU138" s="818">
        <v>0</v>
      </c>
      <c r="BV138" s="818">
        <v>0</v>
      </c>
      <c r="BW138" s="818">
        <v>0</v>
      </c>
      <c r="BX138" s="818">
        <v>0</v>
      </c>
      <c r="BY138" s="818">
        <v>0</v>
      </c>
      <c r="BZ138" s="818">
        <v>0</v>
      </c>
      <c r="CA138" s="818">
        <v>0</v>
      </c>
      <c r="CB138" s="375">
        <f t="shared" si="114"/>
        <v>0</v>
      </c>
      <c r="CC138" s="366">
        <f t="shared" si="110"/>
        <v>0</v>
      </c>
      <c r="CD138" s="165" t="str">
        <f t="shared" si="111"/>
        <v>N/A</v>
      </c>
      <c r="CE138" s="367"/>
      <c r="CF138" s="373">
        <v>0</v>
      </c>
      <c r="CG138" s="373">
        <v>0</v>
      </c>
      <c r="CH138" s="373">
        <v>0</v>
      </c>
      <c r="CI138" s="373">
        <v>0</v>
      </c>
      <c r="CJ138" s="373">
        <v>0</v>
      </c>
      <c r="CK138" s="373">
        <v>0</v>
      </c>
      <c r="CL138" s="373">
        <v>0</v>
      </c>
      <c r="CM138" s="373">
        <v>0</v>
      </c>
      <c r="CN138" s="373">
        <v>0</v>
      </c>
      <c r="CO138" s="373">
        <v>0</v>
      </c>
      <c r="CP138" s="373">
        <v>0</v>
      </c>
      <c r="CQ138" s="373">
        <v>0</v>
      </c>
      <c r="CR138" s="376"/>
      <c r="CS138" s="375">
        <f t="shared" si="90"/>
        <v>0</v>
      </c>
      <c r="CT138" s="378">
        <f t="shared" si="112"/>
        <v>0</v>
      </c>
      <c r="CU138" s="165" t="str">
        <f t="shared" si="113"/>
        <v>N/A</v>
      </c>
      <c r="CV138" s="320"/>
      <c r="CW138" s="373">
        <v>0</v>
      </c>
      <c r="CX138" s="373">
        <v>0</v>
      </c>
      <c r="CY138" s="373">
        <v>0</v>
      </c>
      <c r="CZ138" s="373">
        <v>0</v>
      </c>
      <c r="DA138" s="373">
        <v>0</v>
      </c>
      <c r="DB138" s="373">
        <v>0</v>
      </c>
      <c r="DC138" s="373">
        <v>0</v>
      </c>
      <c r="DD138" s="373">
        <v>0</v>
      </c>
      <c r="DE138" s="373">
        <v>0</v>
      </c>
      <c r="DF138" s="373">
        <v>0</v>
      </c>
      <c r="DG138" s="373">
        <v>0</v>
      </c>
      <c r="DH138" s="373">
        <v>0</v>
      </c>
      <c r="DI138" s="375">
        <f t="shared" si="121"/>
        <v>0</v>
      </c>
      <c r="DJ138" s="320"/>
      <c r="DK138" s="373"/>
      <c r="DL138" s="373"/>
      <c r="DM138" s="373"/>
      <c r="DN138" s="373"/>
      <c r="DO138" s="373"/>
      <c r="DP138" s="373"/>
      <c r="DQ138" s="373"/>
      <c r="DR138" s="373"/>
      <c r="DS138" s="373"/>
      <c r="DT138" s="373"/>
      <c r="DU138" s="373"/>
      <c r="DV138" s="373"/>
      <c r="DW138" s="375">
        <f t="shared" si="123"/>
        <v>0</v>
      </c>
      <c r="DY138" s="373"/>
      <c r="DZ138" s="373"/>
      <c r="EA138" s="373"/>
      <c r="EB138" s="373"/>
      <c r="EC138" s="373"/>
      <c r="ED138" s="373"/>
      <c r="EE138" s="373"/>
      <c r="EF138" s="373"/>
      <c r="EG138" s="373"/>
      <c r="EH138" s="373"/>
      <c r="EI138" s="373"/>
      <c r="EJ138" s="373"/>
      <c r="EK138" s="375">
        <f t="shared" si="94"/>
        <v>0</v>
      </c>
      <c r="EL138" s="177"/>
      <c r="EM138" s="373"/>
      <c r="EN138" s="373"/>
      <c r="EO138" s="373"/>
      <c r="EP138" s="373"/>
      <c r="EQ138" s="373"/>
      <c r="ER138" s="373"/>
      <c r="ES138" s="373"/>
      <c r="ET138" s="373"/>
      <c r="EU138" s="373"/>
      <c r="EV138" s="373"/>
      <c r="EW138" s="373"/>
      <c r="EX138" s="373"/>
      <c r="EY138" s="375">
        <f t="shared" si="96"/>
        <v>0</v>
      </c>
      <c r="EZ138" s="164"/>
      <c r="FB138" s="185" t="e">
        <v>#N/A</v>
      </c>
      <c r="FC138" s="185">
        <v>0</v>
      </c>
    </row>
    <row r="139" spans="1:159" ht="18.75" customHeight="1" outlineLevel="1">
      <c r="A139" s="185" t="s">
        <v>327</v>
      </c>
      <c r="B139" s="176">
        <v>65201000</v>
      </c>
      <c r="C139" s="176" t="s">
        <v>1104</v>
      </c>
      <c r="D139" s="176" t="s">
        <v>335</v>
      </c>
      <c r="E139" s="324"/>
      <c r="F139" s="320" t="s">
        <v>697</v>
      </c>
      <c r="G139" s="320"/>
      <c r="H139" s="417">
        <v>0</v>
      </c>
      <c r="I139" s="417">
        <v>0</v>
      </c>
      <c r="J139" s="417">
        <v>0</v>
      </c>
      <c r="K139" s="417">
        <v>0</v>
      </c>
      <c r="L139" s="417">
        <v>0</v>
      </c>
      <c r="M139" s="417">
        <v>0</v>
      </c>
      <c r="N139" s="417">
        <v>0</v>
      </c>
      <c r="O139" s="417">
        <v>0</v>
      </c>
      <c r="P139" s="417">
        <v>0</v>
      </c>
      <c r="Q139" s="819">
        <v>0</v>
      </c>
      <c r="R139" s="417">
        <v>0</v>
      </c>
      <c r="S139" s="417">
        <v>0</v>
      </c>
      <c r="T139" s="402"/>
      <c r="U139" s="366"/>
      <c r="V139" s="165"/>
      <c r="W139" s="212"/>
      <c r="X139" s="1518">
        <v>0</v>
      </c>
      <c r="Y139" s="1518">
        <v>0</v>
      </c>
      <c r="Z139" s="1518">
        <v>0</v>
      </c>
      <c r="AA139" s="1518">
        <v>0</v>
      </c>
      <c r="AB139" s="1518">
        <v>0</v>
      </c>
      <c r="AC139" s="1518">
        <v>0</v>
      </c>
      <c r="AD139" s="1518">
        <v>0</v>
      </c>
      <c r="AE139" s="1518">
        <v>0</v>
      </c>
      <c r="AF139" s="1518">
        <v>0</v>
      </c>
      <c r="AG139" s="1519">
        <v>0</v>
      </c>
      <c r="AH139" s="1518">
        <v>0</v>
      </c>
      <c r="AI139" s="1518">
        <v>0</v>
      </c>
      <c r="AJ139" s="375">
        <f t="shared" si="118"/>
        <v>0</v>
      </c>
      <c r="AK139" s="212"/>
      <c r="AL139" s="417">
        <v>0</v>
      </c>
      <c r="AM139" s="417">
        <v>0</v>
      </c>
      <c r="AN139" s="417">
        <v>0</v>
      </c>
      <c r="AO139" s="417">
        <v>0</v>
      </c>
      <c r="AP139" s="417">
        <v>0</v>
      </c>
      <c r="AQ139" s="417">
        <v>0</v>
      </c>
      <c r="AR139" s="417">
        <v>0</v>
      </c>
      <c r="AS139" s="417">
        <v>0</v>
      </c>
      <c r="AT139" s="417">
        <v>0</v>
      </c>
      <c r="AU139" s="819">
        <v>0</v>
      </c>
      <c r="AV139" s="417">
        <v>0</v>
      </c>
      <c r="AW139" s="417">
        <v>0</v>
      </c>
      <c r="AX139" s="375">
        <f t="shared" si="116"/>
        <v>0</v>
      </c>
      <c r="AY139" s="366"/>
      <c r="AZ139" s="165"/>
      <c r="BA139" s="212"/>
      <c r="BB139" s="417">
        <v>0</v>
      </c>
      <c r="BC139" s="417">
        <v>0</v>
      </c>
      <c r="BD139" s="417">
        <v>0</v>
      </c>
      <c r="BE139" s="417">
        <v>0</v>
      </c>
      <c r="BF139" s="417">
        <v>0</v>
      </c>
      <c r="BG139" s="417">
        <v>0</v>
      </c>
      <c r="BH139" s="417">
        <v>0</v>
      </c>
      <c r="BI139" s="417">
        <v>0</v>
      </c>
      <c r="BJ139" s="417">
        <v>0</v>
      </c>
      <c r="BK139" s="819">
        <v>0</v>
      </c>
      <c r="BL139" s="417">
        <v>0</v>
      </c>
      <c r="BM139" s="417">
        <v>0</v>
      </c>
      <c r="BN139" s="375">
        <f t="shared" si="117"/>
        <v>0</v>
      </c>
      <c r="BO139" s="212"/>
      <c r="BP139" s="818">
        <v>0</v>
      </c>
      <c r="BQ139" s="818">
        <v>0</v>
      </c>
      <c r="BR139" s="818">
        <v>0</v>
      </c>
      <c r="BS139" s="818">
        <v>0</v>
      </c>
      <c r="BT139" s="818">
        <v>0</v>
      </c>
      <c r="BU139" s="818">
        <v>0</v>
      </c>
      <c r="BV139" s="818">
        <v>0</v>
      </c>
      <c r="BW139" s="818">
        <v>0</v>
      </c>
      <c r="BX139" s="818">
        <v>0</v>
      </c>
      <c r="BY139" s="818">
        <v>0</v>
      </c>
      <c r="BZ139" s="818">
        <v>0</v>
      </c>
      <c r="CA139" s="818">
        <v>0</v>
      </c>
      <c r="CB139" s="375">
        <f t="shared" si="114"/>
        <v>0</v>
      </c>
      <c r="CC139" s="366">
        <f t="shared" si="110"/>
        <v>0</v>
      </c>
      <c r="CD139" s="165" t="str">
        <f t="shared" si="111"/>
        <v>N/A</v>
      </c>
      <c r="CE139" s="367"/>
      <c r="CF139" s="373">
        <v>0</v>
      </c>
      <c r="CG139" s="373">
        <v>0</v>
      </c>
      <c r="CH139" s="373">
        <v>0</v>
      </c>
      <c r="CI139" s="373">
        <v>0</v>
      </c>
      <c r="CJ139" s="373">
        <v>0</v>
      </c>
      <c r="CK139" s="373">
        <v>0</v>
      </c>
      <c r="CL139" s="373">
        <v>0</v>
      </c>
      <c r="CM139" s="373">
        <v>0</v>
      </c>
      <c r="CN139" s="373">
        <v>0</v>
      </c>
      <c r="CO139" s="373">
        <v>0</v>
      </c>
      <c r="CP139" s="373">
        <v>0</v>
      </c>
      <c r="CQ139" s="373">
        <v>0</v>
      </c>
      <c r="CR139" s="376"/>
      <c r="CS139" s="375">
        <f t="shared" si="90"/>
        <v>0</v>
      </c>
      <c r="CT139" s="378">
        <f t="shared" si="112"/>
        <v>0</v>
      </c>
      <c r="CU139" s="165" t="str">
        <f t="shared" si="113"/>
        <v>N/A</v>
      </c>
      <c r="CV139" s="320"/>
      <c r="CW139" s="373">
        <v>0</v>
      </c>
      <c r="CX139" s="373">
        <v>0</v>
      </c>
      <c r="CY139" s="373">
        <v>0</v>
      </c>
      <c r="CZ139" s="373">
        <v>0</v>
      </c>
      <c r="DA139" s="373">
        <v>0</v>
      </c>
      <c r="DB139" s="373">
        <v>0</v>
      </c>
      <c r="DC139" s="373">
        <v>0</v>
      </c>
      <c r="DD139" s="373">
        <v>0</v>
      </c>
      <c r="DE139" s="373">
        <v>0</v>
      </c>
      <c r="DF139" s="373">
        <v>0</v>
      </c>
      <c r="DG139" s="373">
        <v>0</v>
      </c>
      <c r="DH139" s="373">
        <v>0</v>
      </c>
      <c r="DI139" s="375">
        <f t="shared" si="121"/>
        <v>0</v>
      </c>
      <c r="DJ139" s="320"/>
      <c r="DK139" s="373"/>
      <c r="DL139" s="373"/>
      <c r="DM139" s="373"/>
      <c r="DN139" s="373"/>
      <c r="DO139" s="373"/>
      <c r="DP139" s="373"/>
      <c r="DQ139" s="373"/>
      <c r="DR139" s="373"/>
      <c r="DS139" s="373"/>
      <c r="DT139" s="373"/>
      <c r="DU139" s="373"/>
      <c r="DV139" s="373"/>
      <c r="DW139" s="375">
        <f t="shared" si="123"/>
        <v>0</v>
      </c>
      <c r="DY139" s="373"/>
      <c r="DZ139" s="373"/>
      <c r="EA139" s="373"/>
      <c r="EB139" s="373"/>
      <c r="EC139" s="373"/>
      <c r="ED139" s="373"/>
      <c r="EE139" s="373"/>
      <c r="EF139" s="373"/>
      <c r="EG139" s="373"/>
      <c r="EH139" s="373"/>
      <c r="EI139" s="373"/>
      <c r="EJ139" s="373"/>
      <c r="EK139" s="375">
        <f t="shared" si="94"/>
        <v>0</v>
      </c>
      <c r="EL139" s="177"/>
      <c r="EM139" s="373"/>
      <c r="EN139" s="373"/>
      <c r="EO139" s="373"/>
      <c r="EP139" s="373"/>
      <c r="EQ139" s="373"/>
      <c r="ER139" s="373"/>
      <c r="ES139" s="373"/>
      <c r="ET139" s="373"/>
      <c r="EU139" s="373"/>
      <c r="EV139" s="373"/>
      <c r="EW139" s="373"/>
      <c r="EX139" s="373"/>
      <c r="EY139" s="375">
        <f t="shared" si="96"/>
        <v>0</v>
      </c>
      <c r="EZ139" s="164"/>
      <c r="FB139" s="185" t="e">
        <v>#N/A</v>
      </c>
      <c r="FC139" s="185">
        <v>0</v>
      </c>
    </row>
    <row r="140" spans="1:159" ht="18.75" customHeight="1" outlineLevel="1">
      <c r="A140" s="185" t="s">
        <v>327</v>
      </c>
      <c r="B140" s="176">
        <v>65202000</v>
      </c>
      <c r="C140" s="176" t="s">
        <v>1104</v>
      </c>
      <c r="D140" s="176" t="s">
        <v>335</v>
      </c>
      <c r="E140" s="324"/>
      <c r="F140" s="320" t="s">
        <v>698</v>
      </c>
      <c r="G140" s="320"/>
      <c r="H140" s="417">
        <v>0</v>
      </c>
      <c r="I140" s="417">
        <v>0</v>
      </c>
      <c r="J140" s="417">
        <v>0</v>
      </c>
      <c r="K140" s="417">
        <v>0</v>
      </c>
      <c r="L140" s="417">
        <v>0</v>
      </c>
      <c r="M140" s="417">
        <v>0</v>
      </c>
      <c r="N140" s="417">
        <v>0</v>
      </c>
      <c r="O140" s="417">
        <v>0</v>
      </c>
      <c r="P140" s="417">
        <v>0</v>
      </c>
      <c r="Q140" s="819">
        <v>0</v>
      </c>
      <c r="R140" s="417">
        <v>0</v>
      </c>
      <c r="S140" s="417">
        <v>0</v>
      </c>
      <c r="T140" s="402"/>
      <c r="U140" s="366"/>
      <c r="V140" s="165"/>
      <c r="W140" s="212"/>
      <c r="X140" s="1518">
        <v>0</v>
      </c>
      <c r="Y140" s="1518">
        <v>0</v>
      </c>
      <c r="Z140" s="1518">
        <v>0</v>
      </c>
      <c r="AA140" s="1518">
        <v>0</v>
      </c>
      <c r="AB140" s="1518">
        <v>0</v>
      </c>
      <c r="AC140" s="1518">
        <v>0</v>
      </c>
      <c r="AD140" s="1518">
        <v>0</v>
      </c>
      <c r="AE140" s="1518">
        <v>0</v>
      </c>
      <c r="AF140" s="1518">
        <v>0</v>
      </c>
      <c r="AG140" s="1519">
        <v>0</v>
      </c>
      <c r="AH140" s="1518">
        <v>0</v>
      </c>
      <c r="AI140" s="1518">
        <v>0</v>
      </c>
      <c r="AJ140" s="375">
        <f t="shared" si="118"/>
        <v>0</v>
      </c>
      <c r="AK140" s="212"/>
      <c r="AL140" s="417">
        <v>0</v>
      </c>
      <c r="AM140" s="417">
        <v>0</v>
      </c>
      <c r="AN140" s="417">
        <v>0</v>
      </c>
      <c r="AO140" s="417">
        <v>0</v>
      </c>
      <c r="AP140" s="417">
        <v>0</v>
      </c>
      <c r="AQ140" s="417">
        <v>0</v>
      </c>
      <c r="AR140" s="417">
        <v>0</v>
      </c>
      <c r="AS140" s="417">
        <v>0</v>
      </c>
      <c r="AT140" s="417">
        <v>0</v>
      </c>
      <c r="AU140" s="819">
        <v>0</v>
      </c>
      <c r="AV140" s="417">
        <v>0</v>
      </c>
      <c r="AW140" s="417">
        <v>0</v>
      </c>
      <c r="AX140" s="375">
        <f t="shared" si="116"/>
        <v>0</v>
      </c>
      <c r="AY140" s="366"/>
      <c r="AZ140" s="165"/>
      <c r="BA140" s="212"/>
      <c r="BB140" s="417">
        <v>0</v>
      </c>
      <c r="BC140" s="417">
        <v>0</v>
      </c>
      <c r="BD140" s="417">
        <v>0</v>
      </c>
      <c r="BE140" s="417">
        <v>0</v>
      </c>
      <c r="BF140" s="417">
        <v>0</v>
      </c>
      <c r="BG140" s="417">
        <v>0</v>
      </c>
      <c r="BH140" s="417">
        <v>0</v>
      </c>
      <c r="BI140" s="417">
        <v>0</v>
      </c>
      <c r="BJ140" s="417">
        <v>0</v>
      </c>
      <c r="BK140" s="819">
        <v>0</v>
      </c>
      <c r="BL140" s="417">
        <v>0</v>
      </c>
      <c r="BM140" s="417">
        <v>0</v>
      </c>
      <c r="BN140" s="375">
        <f t="shared" si="117"/>
        <v>0</v>
      </c>
      <c r="BO140" s="212"/>
      <c r="BP140" s="818">
        <v>0</v>
      </c>
      <c r="BQ140" s="818">
        <v>0</v>
      </c>
      <c r="BR140" s="818">
        <v>0</v>
      </c>
      <c r="BS140" s="818">
        <v>0</v>
      </c>
      <c r="BT140" s="818">
        <v>0</v>
      </c>
      <c r="BU140" s="818">
        <v>0</v>
      </c>
      <c r="BV140" s="818">
        <v>0</v>
      </c>
      <c r="BW140" s="818">
        <v>0</v>
      </c>
      <c r="BX140" s="818">
        <v>0</v>
      </c>
      <c r="BY140" s="818">
        <v>0</v>
      </c>
      <c r="BZ140" s="818">
        <v>0</v>
      </c>
      <c r="CA140" s="818">
        <v>0</v>
      </c>
      <c r="CB140" s="375">
        <f t="shared" si="114"/>
        <v>0</v>
      </c>
      <c r="CC140" s="366">
        <f t="shared" si="110"/>
        <v>0</v>
      </c>
      <c r="CD140" s="165" t="str">
        <f t="shared" si="111"/>
        <v>N/A</v>
      </c>
      <c r="CE140" s="367"/>
      <c r="CF140" s="373">
        <v>0</v>
      </c>
      <c r="CG140" s="373">
        <v>0</v>
      </c>
      <c r="CH140" s="373">
        <v>0</v>
      </c>
      <c r="CI140" s="373">
        <v>0</v>
      </c>
      <c r="CJ140" s="373">
        <v>0</v>
      </c>
      <c r="CK140" s="373">
        <v>0</v>
      </c>
      <c r="CL140" s="373">
        <v>0</v>
      </c>
      <c r="CM140" s="373">
        <v>0</v>
      </c>
      <c r="CN140" s="373">
        <v>0</v>
      </c>
      <c r="CO140" s="373">
        <v>0</v>
      </c>
      <c r="CP140" s="373">
        <v>0</v>
      </c>
      <c r="CQ140" s="373">
        <v>0</v>
      </c>
      <c r="CR140" s="376"/>
      <c r="CS140" s="375">
        <f t="shared" si="90"/>
        <v>0</v>
      </c>
      <c r="CT140" s="378">
        <f t="shared" si="112"/>
        <v>0</v>
      </c>
      <c r="CU140" s="165" t="str">
        <f t="shared" si="113"/>
        <v>N/A</v>
      </c>
      <c r="CV140" s="320"/>
      <c r="CW140" s="373">
        <v>0</v>
      </c>
      <c r="CX140" s="373">
        <v>0</v>
      </c>
      <c r="CY140" s="373">
        <v>0</v>
      </c>
      <c r="CZ140" s="373">
        <v>0</v>
      </c>
      <c r="DA140" s="373">
        <v>0</v>
      </c>
      <c r="DB140" s="373">
        <v>0</v>
      </c>
      <c r="DC140" s="373">
        <v>0</v>
      </c>
      <c r="DD140" s="373">
        <v>0</v>
      </c>
      <c r="DE140" s="373">
        <v>0</v>
      </c>
      <c r="DF140" s="373">
        <v>0</v>
      </c>
      <c r="DG140" s="373">
        <v>0</v>
      </c>
      <c r="DH140" s="373">
        <v>0</v>
      </c>
      <c r="DI140" s="375">
        <f t="shared" si="121"/>
        <v>0</v>
      </c>
      <c r="DJ140" s="320"/>
      <c r="DK140" s="373"/>
      <c r="DL140" s="373"/>
      <c r="DM140" s="373"/>
      <c r="DN140" s="373"/>
      <c r="DO140" s="373"/>
      <c r="DP140" s="373"/>
      <c r="DQ140" s="373"/>
      <c r="DR140" s="373"/>
      <c r="DS140" s="373"/>
      <c r="DT140" s="373"/>
      <c r="DU140" s="373"/>
      <c r="DV140" s="373"/>
      <c r="DW140" s="375">
        <f t="shared" si="123"/>
        <v>0</v>
      </c>
      <c r="DY140" s="373"/>
      <c r="DZ140" s="373"/>
      <c r="EA140" s="373"/>
      <c r="EB140" s="373"/>
      <c r="EC140" s="373"/>
      <c r="ED140" s="373"/>
      <c r="EE140" s="373"/>
      <c r="EF140" s="373"/>
      <c r="EG140" s="373"/>
      <c r="EH140" s="373"/>
      <c r="EI140" s="373"/>
      <c r="EJ140" s="373"/>
      <c r="EK140" s="375">
        <f t="shared" si="94"/>
        <v>0</v>
      </c>
      <c r="EL140" s="177"/>
      <c r="EM140" s="373"/>
      <c r="EN140" s="373"/>
      <c r="EO140" s="373"/>
      <c r="EP140" s="373"/>
      <c r="EQ140" s="373"/>
      <c r="ER140" s="373"/>
      <c r="ES140" s="373"/>
      <c r="ET140" s="373"/>
      <c r="EU140" s="373"/>
      <c r="EV140" s="373"/>
      <c r="EW140" s="373"/>
      <c r="EX140" s="373"/>
      <c r="EY140" s="375">
        <f t="shared" si="96"/>
        <v>0</v>
      </c>
      <c r="EZ140" s="164"/>
      <c r="FB140" s="185" t="s">
        <v>584</v>
      </c>
      <c r="FC140" s="185">
        <v>0</v>
      </c>
    </row>
    <row r="141" spans="1:159" ht="18.75" customHeight="1" outlineLevel="1">
      <c r="A141" s="185" t="s">
        <v>327</v>
      </c>
      <c r="B141" s="176">
        <v>65211000</v>
      </c>
      <c r="C141" s="176" t="s">
        <v>1104</v>
      </c>
      <c r="D141" s="176" t="s">
        <v>335</v>
      </c>
      <c r="E141" s="324"/>
      <c r="F141" s="320" t="s">
        <v>699</v>
      </c>
      <c r="G141" s="320"/>
      <c r="H141" s="417">
        <v>0</v>
      </c>
      <c r="I141" s="417">
        <v>0</v>
      </c>
      <c r="J141" s="417">
        <v>0</v>
      </c>
      <c r="K141" s="417">
        <v>0</v>
      </c>
      <c r="L141" s="417">
        <v>0</v>
      </c>
      <c r="M141" s="417">
        <v>0</v>
      </c>
      <c r="N141" s="417">
        <v>0</v>
      </c>
      <c r="O141" s="417">
        <v>0</v>
      </c>
      <c r="P141" s="417">
        <v>0</v>
      </c>
      <c r="Q141" s="819">
        <v>0</v>
      </c>
      <c r="R141" s="417">
        <v>0</v>
      </c>
      <c r="S141" s="417">
        <v>0</v>
      </c>
      <c r="T141" s="402"/>
      <c r="U141" s="366"/>
      <c r="V141" s="165"/>
      <c r="W141" s="212"/>
      <c r="X141" s="1518">
        <v>0</v>
      </c>
      <c r="Y141" s="1518">
        <v>0</v>
      </c>
      <c r="Z141" s="1518">
        <v>0</v>
      </c>
      <c r="AA141" s="1518">
        <v>0</v>
      </c>
      <c r="AB141" s="1518">
        <v>0</v>
      </c>
      <c r="AC141" s="1518">
        <v>0</v>
      </c>
      <c r="AD141" s="1518">
        <v>0</v>
      </c>
      <c r="AE141" s="1518">
        <v>0</v>
      </c>
      <c r="AF141" s="1518">
        <v>0</v>
      </c>
      <c r="AG141" s="1519">
        <v>0</v>
      </c>
      <c r="AH141" s="1518">
        <v>0</v>
      </c>
      <c r="AI141" s="1518">
        <v>0</v>
      </c>
      <c r="AJ141" s="375">
        <f t="shared" si="118"/>
        <v>0</v>
      </c>
      <c r="AK141" s="212"/>
      <c r="AL141" s="417">
        <v>0</v>
      </c>
      <c r="AM141" s="417">
        <v>0</v>
      </c>
      <c r="AN141" s="417">
        <v>0</v>
      </c>
      <c r="AO141" s="417">
        <v>0</v>
      </c>
      <c r="AP141" s="417">
        <v>0</v>
      </c>
      <c r="AQ141" s="417">
        <v>0</v>
      </c>
      <c r="AR141" s="417">
        <v>0</v>
      </c>
      <c r="AS141" s="417">
        <v>0</v>
      </c>
      <c r="AT141" s="417">
        <v>0</v>
      </c>
      <c r="AU141" s="819">
        <v>0</v>
      </c>
      <c r="AV141" s="417">
        <v>0</v>
      </c>
      <c r="AW141" s="417">
        <v>0</v>
      </c>
      <c r="AX141" s="375">
        <f t="shared" si="116"/>
        <v>0</v>
      </c>
      <c r="AY141" s="366"/>
      <c r="AZ141" s="165"/>
      <c r="BA141" s="212"/>
      <c r="BB141" s="417">
        <v>0</v>
      </c>
      <c r="BC141" s="417">
        <v>0</v>
      </c>
      <c r="BD141" s="417">
        <v>0</v>
      </c>
      <c r="BE141" s="417">
        <v>0</v>
      </c>
      <c r="BF141" s="417">
        <v>0</v>
      </c>
      <c r="BG141" s="417">
        <v>0</v>
      </c>
      <c r="BH141" s="417">
        <v>0</v>
      </c>
      <c r="BI141" s="417">
        <v>0</v>
      </c>
      <c r="BJ141" s="417">
        <v>0</v>
      </c>
      <c r="BK141" s="819">
        <v>0</v>
      </c>
      <c r="BL141" s="417">
        <v>0</v>
      </c>
      <c r="BM141" s="417">
        <v>0</v>
      </c>
      <c r="BN141" s="375">
        <f t="shared" si="117"/>
        <v>0</v>
      </c>
      <c r="BO141" s="212"/>
      <c r="BP141" s="818">
        <v>0</v>
      </c>
      <c r="BQ141" s="818">
        <v>0</v>
      </c>
      <c r="BR141" s="818">
        <v>0</v>
      </c>
      <c r="BS141" s="818">
        <v>0</v>
      </c>
      <c r="BT141" s="818">
        <v>0</v>
      </c>
      <c r="BU141" s="818">
        <v>0</v>
      </c>
      <c r="BV141" s="818">
        <v>0</v>
      </c>
      <c r="BW141" s="818">
        <v>0</v>
      </c>
      <c r="BX141" s="818">
        <v>0</v>
      </c>
      <c r="BY141" s="818">
        <v>0</v>
      </c>
      <c r="BZ141" s="818">
        <v>0</v>
      </c>
      <c r="CA141" s="818">
        <v>0</v>
      </c>
      <c r="CB141" s="375">
        <f t="shared" si="114"/>
        <v>0</v>
      </c>
      <c r="CC141" s="366">
        <f t="shared" si="110"/>
        <v>0</v>
      </c>
      <c r="CD141" s="165" t="str">
        <f t="shared" si="111"/>
        <v>N/A</v>
      </c>
      <c r="CE141" s="367"/>
      <c r="CF141" s="373">
        <v>0</v>
      </c>
      <c r="CG141" s="373">
        <v>0</v>
      </c>
      <c r="CH141" s="373">
        <v>0</v>
      </c>
      <c r="CI141" s="373">
        <v>0</v>
      </c>
      <c r="CJ141" s="373">
        <v>0</v>
      </c>
      <c r="CK141" s="373">
        <v>0</v>
      </c>
      <c r="CL141" s="373">
        <v>0</v>
      </c>
      <c r="CM141" s="373">
        <v>0</v>
      </c>
      <c r="CN141" s="373">
        <v>0</v>
      </c>
      <c r="CO141" s="373">
        <v>0</v>
      </c>
      <c r="CP141" s="373">
        <v>0</v>
      </c>
      <c r="CQ141" s="373">
        <v>0</v>
      </c>
      <c r="CR141" s="376"/>
      <c r="CS141" s="375">
        <f t="shared" si="90"/>
        <v>0</v>
      </c>
      <c r="CT141" s="378">
        <f t="shared" si="112"/>
        <v>0</v>
      </c>
      <c r="CU141" s="165" t="str">
        <f t="shared" si="113"/>
        <v>N/A</v>
      </c>
      <c r="CV141" s="320"/>
      <c r="CW141" s="373">
        <v>0</v>
      </c>
      <c r="CX141" s="373">
        <v>0</v>
      </c>
      <c r="CY141" s="373">
        <v>0</v>
      </c>
      <c r="CZ141" s="373">
        <v>0</v>
      </c>
      <c r="DA141" s="373">
        <v>0</v>
      </c>
      <c r="DB141" s="373">
        <v>0</v>
      </c>
      <c r="DC141" s="373">
        <v>0</v>
      </c>
      <c r="DD141" s="373">
        <v>0</v>
      </c>
      <c r="DE141" s="373">
        <v>0</v>
      </c>
      <c r="DF141" s="373">
        <v>0</v>
      </c>
      <c r="DG141" s="373">
        <v>0</v>
      </c>
      <c r="DH141" s="373">
        <v>0</v>
      </c>
      <c r="DI141" s="375">
        <f t="shared" si="121"/>
        <v>0</v>
      </c>
      <c r="DJ141" s="320"/>
      <c r="DK141" s="373"/>
      <c r="DL141" s="373"/>
      <c r="DM141" s="373"/>
      <c r="DN141" s="373"/>
      <c r="DO141" s="373"/>
      <c r="DP141" s="373"/>
      <c r="DQ141" s="373"/>
      <c r="DR141" s="373"/>
      <c r="DS141" s="373"/>
      <c r="DT141" s="373"/>
      <c r="DU141" s="373"/>
      <c r="DV141" s="373"/>
      <c r="DW141" s="375">
        <f t="shared" si="123"/>
        <v>0</v>
      </c>
      <c r="DY141" s="373"/>
      <c r="DZ141" s="373"/>
      <c r="EA141" s="373"/>
      <c r="EB141" s="373"/>
      <c r="EC141" s="373"/>
      <c r="ED141" s="373"/>
      <c r="EE141" s="373"/>
      <c r="EF141" s="373"/>
      <c r="EG141" s="373"/>
      <c r="EH141" s="373"/>
      <c r="EI141" s="373"/>
      <c r="EJ141" s="373"/>
      <c r="EK141" s="375">
        <f t="shared" si="94"/>
        <v>0</v>
      </c>
      <c r="EL141" s="177"/>
      <c r="EM141" s="373"/>
      <c r="EN141" s="373"/>
      <c r="EO141" s="373"/>
      <c r="EP141" s="373"/>
      <c r="EQ141" s="373"/>
      <c r="ER141" s="373"/>
      <c r="ES141" s="373"/>
      <c r="ET141" s="373"/>
      <c r="EU141" s="373"/>
      <c r="EV141" s="373"/>
      <c r="EW141" s="373"/>
      <c r="EX141" s="373"/>
      <c r="EY141" s="375">
        <f t="shared" si="96"/>
        <v>0</v>
      </c>
      <c r="EZ141" s="164"/>
      <c r="FB141" s="185" t="e">
        <v>#N/A</v>
      </c>
      <c r="FC141" s="185">
        <v>0</v>
      </c>
    </row>
    <row r="142" spans="1:159" ht="18.75" customHeight="1" outlineLevel="1" collapsed="1">
      <c r="A142" s="185" t="s">
        <v>327</v>
      </c>
      <c r="B142" s="176">
        <v>65212000</v>
      </c>
      <c r="C142" s="176" t="s">
        <v>1104</v>
      </c>
      <c r="D142" s="176" t="s">
        <v>335</v>
      </c>
      <c r="E142" s="324"/>
      <c r="F142" s="320" t="s">
        <v>700</v>
      </c>
      <c r="G142" s="320"/>
      <c r="H142" s="417">
        <v>0</v>
      </c>
      <c r="I142" s="417">
        <v>0</v>
      </c>
      <c r="J142" s="417">
        <v>0</v>
      </c>
      <c r="K142" s="417">
        <v>0</v>
      </c>
      <c r="L142" s="417">
        <v>0</v>
      </c>
      <c r="M142" s="417">
        <v>0</v>
      </c>
      <c r="N142" s="417">
        <v>0</v>
      </c>
      <c r="O142" s="417">
        <v>0</v>
      </c>
      <c r="P142" s="417">
        <v>0</v>
      </c>
      <c r="Q142" s="819">
        <v>0</v>
      </c>
      <c r="R142" s="417">
        <v>0</v>
      </c>
      <c r="S142" s="417">
        <v>0</v>
      </c>
      <c r="T142" s="402"/>
      <c r="U142" s="366"/>
      <c r="V142" s="165"/>
      <c r="W142" s="212"/>
      <c r="X142" s="1518">
        <v>0</v>
      </c>
      <c r="Y142" s="1518">
        <v>0</v>
      </c>
      <c r="Z142" s="1518">
        <v>0</v>
      </c>
      <c r="AA142" s="1518">
        <v>0</v>
      </c>
      <c r="AB142" s="1518">
        <v>0</v>
      </c>
      <c r="AC142" s="1518">
        <v>0</v>
      </c>
      <c r="AD142" s="1518">
        <v>0</v>
      </c>
      <c r="AE142" s="1518">
        <v>0</v>
      </c>
      <c r="AF142" s="1518">
        <v>0</v>
      </c>
      <c r="AG142" s="1519">
        <v>0</v>
      </c>
      <c r="AH142" s="1518">
        <v>0</v>
      </c>
      <c r="AI142" s="1518">
        <v>0</v>
      </c>
      <c r="AJ142" s="375">
        <f t="shared" si="118"/>
        <v>0</v>
      </c>
      <c r="AK142" s="212"/>
      <c r="AL142" s="417">
        <v>0</v>
      </c>
      <c r="AM142" s="417">
        <v>0</v>
      </c>
      <c r="AN142" s="417">
        <v>0</v>
      </c>
      <c r="AO142" s="417">
        <v>0</v>
      </c>
      <c r="AP142" s="417">
        <v>0</v>
      </c>
      <c r="AQ142" s="417">
        <v>0</v>
      </c>
      <c r="AR142" s="417">
        <v>0</v>
      </c>
      <c r="AS142" s="417">
        <v>0</v>
      </c>
      <c r="AT142" s="417">
        <v>0</v>
      </c>
      <c r="AU142" s="819">
        <v>0</v>
      </c>
      <c r="AV142" s="417">
        <v>0</v>
      </c>
      <c r="AW142" s="417">
        <v>0</v>
      </c>
      <c r="AX142" s="375">
        <f t="shared" si="116"/>
        <v>0</v>
      </c>
      <c r="AY142" s="366"/>
      <c r="AZ142" s="165"/>
      <c r="BA142" s="212"/>
      <c r="BB142" s="417">
        <v>0</v>
      </c>
      <c r="BC142" s="417">
        <v>0</v>
      </c>
      <c r="BD142" s="417">
        <v>0</v>
      </c>
      <c r="BE142" s="417">
        <v>0</v>
      </c>
      <c r="BF142" s="417">
        <v>0</v>
      </c>
      <c r="BG142" s="417">
        <v>0</v>
      </c>
      <c r="BH142" s="417">
        <v>0</v>
      </c>
      <c r="BI142" s="417">
        <v>0</v>
      </c>
      <c r="BJ142" s="417">
        <v>0</v>
      </c>
      <c r="BK142" s="819">
        <v>0</v>
      </c>
      <c r="BL142" s="417">
        <v>0</v>
      </c>
      <c r="BM142" s="417">
        <v>0</v>
      </c>
      <c r="BN142" s="375">
        <f t="shared" si="117"/>
        <v>0</v>
      </c>
      <c r="BO142" s="212"/>
      <c r="BP142" s="818">
        <v>0</v>
      </c>
      <c r="BQ142" s="818">
        <v>0</v>
      </c>
      <c r="BR142" s="818">
        <v>0</v>
      </c>
      <c r="BS142" s="818">
        <v>0</v>
      </c>
      <c r="BT142" s="818">
        <v>0</v>
      </c>
      <c r="BU142" s="818">
        <v>0</v>
      </c>
      <c r="BV142" s="818">
        <v>0</v>
      </c>
      <c r="BW142" s="818">
        <v>0</v>
      </c>
      <c r="BX142" s="818">
        <v>0</v>
      </c>
      <c r="BY142" s="818">
        <v>0</v>
      </c>
      <c r="BZ142" s="818">
        <v>0</v>
      </c>
      <c r="CA142" s="818">
        <v>0</v>
      </c>
      <c r="CB142" s="375">
        <f t="shared" si="114"/>
        <v>0</v>
      </c>
      <c r="CC142" s="366">
        <f t="shared" si="110"/>
        <v>0</v>
      </c>
      <c r="CD142" s="165" t="str">
        <f t="shared" si="111"/>
        <v>N/A</v>
      </c>
      <c r="CE142" s="367"/>
      <c r="CF142" s="373">
        <v>0</v>
      </c>
      <c r="CG142" s="373">
        <v>0</v>
      </c>
      <c r="CH142" s="373">
        <v>0</v>
      </c>
      <c r="CI142" s="373">
        <v>0</v>
      </c>
      <c r="CJ142" s="373">
        <v>0</v>
      </c>
      <c r="CK142" s="373">
        <v>0</v>
      </c>
      <c r="CL142" s="373">
        <v>0</v>
      </c>
      <c r="CM142" s="373">
        <v>0</v>
      </c>
      <c r="CN142" s="373">
        <v>0</v>
      </c>
      <c r="CO142" s="373">
        <v>0</v>
      </c>
      <c r="CP142" s="373">
        <v>0</v>
      </c>
      <c r="CQ142" s="373">
        <v>0</v>
      </c>
      <c r="CR142" s="376"/>
      <c r="CS142" s="375">
        <f t="shared" si="90"/>
        <v>0</v>
      </c>
      <c r="CT142" s="378">
        <f t="shared" si="112"/>
        <v>0</v>
      </c>
      <c r="CU142" s="165" t="str">
        <f t="shared" si="113"/>
        <v>N/A</v>
      </c>
      <c r="CV142" s="320"/>
      <c r="CW142" s="373">
        <v>0</v>
      </c>
      <c r="CX142" s="373">
        <v>0</v>
      </c>
      <c r="CY142" s="373">
        <v>0</v>
      </c>
      <c r="CZ142" s="373">
        <v>0</v>
      </c>
      <c r="DA142" s="373">
        <v>0</v>
      </c>
      <c r="DB142" s="373">
        <v>0</v>
      </c>
      <c r="DC142" s="373">
        <v>0</v>
      </c>
      <c r="DD142" s="373">
        <v>0</v>
      </c>
      <c r="DE142" s="373">
        <v>0</v>
      </c>
      <c r="DF142" s="373">
        <v>0</v>
      </c>
      <c r="DG142" s="373">
        <v>0</v>
      </c>
      <c r="DH142" s="373">
        <v>0</v>
      </c>
      <c r="DI142" s="375">
        <f t="shared" si="121"/>
        <v>0</v>
      </c>
      <c r="DJ142" s="320"/>
      <c r="DK142" s="373"/>
      <c r="DL142" s="373"/>
      <c r="DM142" s="373"/>
      <c r="DN142" s="373"/>
      <c r="DO142" s="373"/>
      <c r="DP142" s="373"/>
      <c r="DQ142" s="373"/>
      <c r="DR142" s="373"/>
      <c r="DS142" s="373"/>
      <c r="DT142" s="373"/>
      <c r="DU142" s="373"/>
      <c r="DV142" s="373"/>
      <c r="DW142" s="375">
        <f t="shared" si="123"/>
        <v>0</v>
      </c>
      <c r="DY142" s="373"/>
      <c r="DZ142" s="373"/>
      <c r="EA142" s="373"/>
      <c r="EB142" s="373"/>
      <c r="EC142" s="373"/>
      <c r="ED142" s="373"/>
      <c r="EE142" s="373"/>
      <c r="EF142" s="373"/>
      <c r="EG142" s="373"/>
      <c r="EH142" s="373"/>
      <c r="EI142" s="373"/>
      <c r="EJ142" s="373"/>
      <c r="EK142" s="375">
        <f t="shared" si="94"/>
        <v>0</v>
      </c>
      <c r="EL142" s="177"/>
      <c r="EM142" s="373"/>
      <c r="EN142" s="373"/>
      <c r="EO142" s="373"/>
      <c r="EP142" s="373"/>
      <c r="EQ142" s="373"/>
      <c r="ER142" s="373"/>
      <c r="ES142" s="373"/>
      <c r="ET142" s="373"/>
      <c r="EU142" s="373"/>
      <c r="EV142" s="373"/>
      <c r="EW142" s="373"/>
      <c r="EX142" s="373"/>
      <c r="EY142" s="375">
        <f t="shared" si="96"/>
        <v>0</v>
      </c>
      <c r="EZ142" s="164"/>
      <c r="FB142" s="185">
        <v>0</v>
      </c>
      <c r="FC142" s="185">
        <v>0</v>
      </c>
    </row>
    <row r="143" spans="1:159" ht="18.75" customHeight="1" outlineLevel="1">
      <c r="A143" s="185" t="s">
        <v>327</v>
      </c>
      <c r="B143" s="176">
        <v>65213000</v>
      </c>
      <c r="C143" s="176" t="s">
        <v>1104</v>
      </c>
      <c r="D143" s="176" t="s">
        <v>335</v>
      </c>
      <c r="E143" s="324"/>
      <c r="F143" s="320" t="s">
        <v>701</v>
      </c>
      <c r="G143" s="320"/>
      <c r="H143" s="417">
        <v>0</v>
      </c>
      <c r="I143" s="417">
        <v>0</v>
      </c>
      <c r="J143" s="417">
        <v>0</v>
      </c>
      <c r="K143" s="417">
        <v>0</v>
      </c>
      <c r="L143" s="417">
        <v>0</v>
      </c>
      <c r="M143" s="417">
        <v>0</v>
      </c>
      <c r="N143" s="417">
        <v>0</v>
      </c>
      <c r="O143" s="417">
        <v>0</v>
      </c>
      <c r="P143" s="417">
        <v>0</v>
      </c>
      <c r="Q143" s="819">
        <v>0</v>
      </c>
      <c r="R143" s="417">
        <v>0</v>
      </c>
      <c r="S143" s="417">
        <v>0</v>
      </c>
      <c r="T143" s="402"/>
      <c r="U143" s="366"/>
      <c r="V143" s="165"/>
      <c r="W143" s="212"/>
      <c r="X143" s="1518">
        <v>0</v>
      </c>
      <c r="Y143" s="1518">
        <v>0</v>
      </c>
      <c r="Z143" s="1518">
        <v>0</v>
      </c>
      <c r="AA143" s="1518">
        <v>0</v>
      </c>
      <c r="AB143" s="1518">
        <v>0</v>
      </c>
      <c r="AC143" s="1518">
        <v>0</v>
      </c>
      <c r="AD143" s="1518">
        <v>0</v>
      </c>
      <c r="AE143" s="1518">
        <v>0</v>
      </c>
      <c r="AF143" s="1518">
        <v>0</v>
      </c>
      <c r="AG143" s="1519">
        <v>0</v>
      </c>
      <c r="AH143" s="1518">
        <v>0</v>
      </c>
      <c r="AI143" s="1518">
        <v>0</v>
      </c>
      <c r="AJ143" s="375">
        <f t="shared" si="118"/>
        <v>0</v>
      </c>
      <c r="AK143" s="212"/>
      <c r="AL143" s="417">
        <v>0</v>
      </c>
      <c r="AM143" s="417">
        <v>0</v>
      </c>
      <c r="AN143" s="417">
        <v>0</v>
      </c>
      <c r="AO143" s="417">
        <v>0</v>
      </c>
      <c r="AP143" s="417">
        <v>0</v>
      </c>
      <c r="AQ143" s="417">
        <v>0</v>
      </c>
      <c r="AR143" s="417">
        <v>0</v>
      </c>
      <c r="AS143" s="417">
        <v>0</v>
      </c>
      <c r="AT143" s="417">
        <v>0</v>
      </c>
      <c r="AU143" s="819">
        <v>0</v>
      </c>
      <c r="AV143" s="417">
        <v>0</v>
      </c>
      <c r="AW143" s="417">
        <v>0</v>
      </c>
      <c r="AX143" s="375">
        <f t="shared" si="116"/>
        <v>0</v>
      </c>
      <c r="AY143" s="366"/>
      <c r="AZ143" s="165"/>
      <c r="BA143" s="212"/>
      <c r="BB143" s="417">
        <v>0</v>
      </c>
      <c r="BC143" s="417">
        <v>0</v>
      </c>
      <c r="BD143" s="417">
        <v>0</v>
      </c>
      <c r="BE143" s="417">
        <v>0</v>
      </c>
      <c r="BF143" s="417">
        <v>0</v>
      </c>
      <c r="BG143" s="417">
        <v>0</v>
      </c>
      <c r="BH143" s="417">
        <v>0</v>
      </c>
      <c r="BI143" s="417">
        <v>0</v>
      </c>
      <c r="BJ143" s="417">
        <v>0</v>
      </c>
      <c r="BK143" s="819">
        <v>0</v>
      </c>
      <c r="BL143" s="417">
        <v>0</v>
      </c>
      <c r="BM143" s="417">
        <v>0</v>
      </c>
      <c r="BN143" s="375">
        <f t="shared" si="117"/>
        <v>0</v>
      </c>
      <c r="BO143" s="212"/>
      <c r="BP143" s="818">
        <v>0</v>
      </c>
      <c r="BQ143" s="818">
        <v>0</v>
      </c>
      <c r="BR143" s="818">
        <v>0</v>
      </c>
      <c r="BS143" s="818">
        <v>0</v>
      </c>
      <c r="BT143" s="818">
        <v>0</v>
      </c>
      <c r="BU143" s="818">
        <v>0</v>
      </c>
      <c r="BV143" s="818">
        <v>0</v>
      </c>
      <c r="BW143" s="818">
        <v>0</v>
      </c>
      <c r="BX143" s="818">
        <v>0</v>
      </c>
      <c r="BY143" s="818">
        <v>0</v>
      </c>
      <c r="BZ143" s="818">
        <v>0</v>
      </c>
      <c r="CA143" s="818">
        <v>0</v>
      </c>
      <c r="CB143" s="375">
        <f t="shared" si="114"/>
        <v>0</v>
      </c>
      <c r="CC143" s="366">
        <f t="shared" si="110"/>
        <v>0</v>
      </c>
      <c r="CD143" s="165" t="str">
        <f t="shared" si="111"/>
        <v>N/A</v>
      </c>
      <c r="CE143" s="367"/>
      <c r="CF143" s="373">
        <v>0</v>
      </c>
      <c r="CG143" s="373">
        <v>0</v>
      </c>
      <c r="CH143" s="373">
        <v>0</v>
      </c>
      <c r="CI143" s="373">
        <v>0</v>
      </c>
      <c r="CJ143" s="373">
        <v>0</v>
      </c>
      <c r="CK143" s="373">
        <v>0</v>
      </c>
      <c r="CL143" s="373">
        <v>0</v>
      </c>
      <c r="CM143" s="373">
        <v>0</v>
      </c>
      <c r="CN143" s="373">
        <v>0</v>
      </c>
      <c r="CO143" s="373">
        <v>0</v>
      </c>
      <c r="CP143" s="373">
        <v>0</v>
      </c>
      <c r="CQ143" s="373">
        <v>0</v>
      </c>
      <c r="CR143" s="376"/>
      <c r="CS143" s="375">
        <f t="shared" si="90"/>
        <v>0</v>
      </c>
      <c r="CT143" s="378">
        <f t="shared" si="112"/>
        <v>0</v>
      </c>
      <c r="CU143" s="165" t="str">
        <f t="shared" si="113"/>
        <v>N/A</v>
      </c>
      <c r="CV143" s="320"/>
      <c r="CW143" s="373">
        <v>0</v>
      </c>
      <c r="CX143" s="373">
        <v>0</v>
      </c>
      <c r="CY143" s="373">
        <v>0</v>
      </c>
      <c r="CZ143" s="373">
        <v>0</v>
      </c>
      <c r="DA143" s="373">
        <v>0</v>
      </c>
      <c r="DB143" s="373">
        <v>0</v>
      </c>
      <c r="DC143" s="373">
        <v>0</v>
      </c>
      <c r="DD143" s="373">
        <v>0</v>
      </c>
      <c r="DE143" s="373">
        <v>0</v>
      </c>
      <c r="DF143" s="373">
        <v>0</v>
      </c>
      <c r="DG143" s="373">
        <v>0</v>
      </c>
      <c r="DH143" s="373">
        <v>0</v>
      </c>
      <c r="DI143" s="375">
        <f t="shared" si="121"/>
        <v>0</v>
      </c>
      <c r="DJ143" s="320"/>
      <c r="DK143" s="373"/>
      <c r="DL143" s="373"/>
      <c r="DM143" s="373"/>
      <c r="DN143" s="373"/>
      <c r="DO143" s="373"/>
      <c r="DP143" s="373"/>
      <c r="DQ143" s="373"/>
      <c r="DR143" s="373"/>
      <c r="DS143" s="373"/>
      <c r="DT143" s="373"/>
      <c r="DU143" s="373"/>
      <c r="DV143" s="373"/>
      <c r="DW143" s="375">
        <f t="shared" si="123"/>
        <v>0</v>
      </c>
      <c r="DY143" s="373"/>
      <c r="DZ143" s="373"/>
      <c r="EA143" s="373"/>
      <c r="EB143" s="373"/>
      <c r="EC143" s="373"/>
      <c r="ED143" s="373"/>
      <c r="EE143" s="373"/>
      <c r="EF143" s="373"/>
      <c r="EG143" s="373"/>
      <c r="EH143" s="373"/>
      <c r="EI143" s="373"/>
      <c r="EJ143" s="373"/>
      <c r="EK143" s="375">
        <f t="shared" si="94"/>
        <v>0</v>
      </c>
      <c r="EL143" s="177"/>
      <c r="EM143" s="373"/>
      <c r="EN143" s="373"/>
      <c r="EO143" s="373"/>
      <c r="EP143" s="373"/>
      <c r="EQ143" s="373"/>
      <c r="ER143" s="373"/>
      <c r="ES143" s="373"/>
      <c r="ET143" s="373"/>
      <c r="EU143" s="373"/>
      <c r="EV143" s="373"/>
      <c r="EW143" s="373"/>
      <c r="EX143" s="373"/>
      <c r="EY143" s="375">
        <f t="shared" si="96"/>
        <v>0</v>
      </c>
      <c r="EZ143" s="164"/>
      <c r="FB143" s="185" t="s">
        <v>22</v>
      </c>
      <c r="FC143" s="185">
        <v>0</v>
      </c>
    </row>
    <row r="144" spans="1:159" ht="18.75" customHeight="1" outlineLevel="1">
      <c r="A144" s="185" t="s">
        <v>327</v>
      </c>
      <c r="B144" s="176">
        <v>65214000</v>
      </c>
      <c r="C144" s="176" t="s">
        <v>1104</v>
      </c>
      <c r="D144" s="176" t="s">
        <v>335</v>
      </c>
      <c r="E144" s="324"/>
      <c r="F144" s="320" t="s">
        <v>702</v>
      </c>
      <c r="G144" s="320"/>
      <c r="H144" s="417">
        <v>0</v>
      </c>
      <c r="I144" s="417">
        <v>0</v>
      </c>
      <c r="J144" s="417">
        <v>0</v>
      </c>
      <c r="K144" s="417">
        <v>0</v>
      </c>
      <c r="L144" s="417">
        <v>0</v>
      </c>
      <c r="M144" s="417">
        <v>0</v>
      </c>
      <c r="N144" s="417">
        <v>0</v>
      </c>
      <c r="O144" s="417">
        <v>0</v>
      </c>
      <c r="P144" s="417">
        <v>0</v>
      </c>
      <c r="Q144" s="819">
        <v>0</v>
      </c>
      <c r="R144" s="417">
        <v>0</v>
      </c>
      <c r="S144" s="417">
        <v>0</v>
      </c>
      <c r="T144" s="402"/>
      <c r="U144" s="366"/>
      <c r="V144" s="165"/>
      <c r="W144" s="212"/>
      <c r="X144" s="1518">
        <v>0</v>
      </c>
      <c r="Y144" s="1518">
        <v>0</v>
      </c>
      <c r="Z144" s="1518">
        <v>0</v>
      </c>
      <c r="AA144" s="1518">
        <v>0</v>
      </c>
      <c r="AB144" s="1518">
        <v>0</v>
      </c>
      <c r="AC144" s="1518">
        <v>0</v>
      </c>
      <c r="AD144" s="1518">
        <v>0</v>
      </c>
      <c r="AE144" s="1518">
        <v>0</v>
      </c>
      <c r="AF144" s="1518">
        <v>0</v>
      </c>
      <c r="AG144" s="1519">
        <v>0</v>
      </c>
      <c r="AH144" s="1518">
        <v>0</v>
      </c>
      <c r="AI144" s="1518">
        <v>0</v>
      </c>
      <c r="AJ144" s="375">
        <f t="shared" si="118"/>
        <v>0</v>
      </c>
      <c r="AK144" s="212"/>
      <c r="AL144" s="417">
        <v>0</v>
      </c>
      <c r="AM144" s="417">
        <v>0</v>
      </c>
      <c r="AN144" s="417">
        <v>0</v>
      </c>
      <c r="AO144" s="417">
        <v>0</v>
      </c>
      <c r="AP144" s="417">
        <v>0</v>
      </c>
      <c r="AQ144" s="417">
        <v>0</v>
      </c>
      <c r="AR144" s="417">
        <v>0</v>
      </c>
      <c r="AS144" s="417">
        <v>0</v>
      </c>
      <c r="AT144" s="417">
        <v>0</v>
      </c>
      <c r="AU144" s="819">
        <v>0</v>
      </c>
      <c r="AV144" s="417">
        <v>0</v>
      </c>
      <c r="AW144" s="417">
        <v>0</v>
      </c>
      <c r="AX144" s="375">
        <f t="shared" si="116"/>
        <v>0</v>
      </c>
      <c r="AY144" s="366"/>
      <c r="AZ144" s="165"/>
      <c r="BA144" s="212"/>
      <c r="BB144" s="417">
        <v>0</v>
      </c>
      <c r="BC144" s="417">
        <v>0</v>
      </c>
      <c r="BD144" s="417">
        <v>0</v>
      </c>
      <c r="BE144" s="417">
        <v>0</v>
      </c>
      <c r="BF144" s="417">
        <v>0</v>
      </c>
      <c r="BG144" s="417">
        <v>0</v>
      </c>
      <c r="BH144" s="417">
        <v>0</v>
      </c>
      <c r="BI144" s="417">
        <v>0</v>
      </c>
      <c r="BJ144" s="417">
        <v>0</v>
      </c>
      <c r="BK144" s="819">
        <v>0</v>
      </c>
      <c r="BL144" s="417">
        <v>0</v>
      </c>
      <c r="BM144" s="417">
        <v>0</v>
      </c>
      <c r="BN144" s="375">
        <f t="shared" si="117"/>
        <v>0</v>
      </c>
      <c r="BO144" s="212"/>
      <c r="BP144" s="818">
        <v>0</v>
      </c>
      <c r="BQ144" s="818">
        <v>0</v>
      </c>
      <c r="BR144" s="818">
        <v>0</v>
      </c>
      <c r="BS144" s="818">
        <v>0</v>
      </c>
      <c r="BT144" s="818">
        <v>0</v>
      </c>
      <c r="BU144" s="818">
        <v>0</v>
      </c>
      <c r="BV144" s="818">
        <v>0</v>
      </c>
      <c r="BW144" s="818">
        <v>0</v>
      </c>
      <c r="BX144" s="818">
        <v>0</v>
      </c>
      <c r="BY144" s="818">
        <v>0</v>
      </c>
      <c r="BZ144" s="818">
        <v>0</v>
      </c>
      <c r="CA144" s="818">
        <v>0</v>
      </c>
      <c r="CB144" s="375">
        <f t="shared" si="114"/>
        <v>0</v>
      </c>
      <c r="CC144" s="366">
        <f t="shared" si="110"/>
        <v>0</v>
      </c>
      <c r="CD144" s="165" t="str">
        <f t="shared" si="111"/>
        <v>N/A</v>
      </c>
      <c r="CE144" s="367"/>
      <c r="CF144" s="373">
        <v>0</v>
      </c>
      <c r="CG144" s="373">
        <v>0</v>
      </c>
      <c r="CH144" s="373">
        <v>0</v>
      </c>
      <c r="CI144" s="373">
        <v>0</v>
      </c>
      <c r="CJ144" s="373">
        <v>0</v>
      </c>
      <c r="CK144" s="373">
        <v>0</v>
      </c>
      <c r="CL144" s="373">
        <v>0</v>
      </c>
      <c r="CM144" s="373">
        <v>0</v>
      </c>
      <c r="CN144" s="373">
        <v>0</v>
      </c>
      <c r="CO144" s="373">
        <v>0</v>
      </c>
      <c r="CP144" s="373">
        <v>0</v>
      </c>
      <c r="CQ144" s="373">
        <v>0</v>
      </c>
      <c r="CR144" s="376"/>
      <c r="CS144" s="375">
        <f t="shared" si="90"/>
        <v>0</v>
      </c>
      <c r="CT144" s="378">
        <f t="shared" si="112"/>
        <v>0</v>
      </c>
      <c r="CU144" s="165" t="str">
        <f t="shared" si="113"/>
        <v>N/A</v>
      </c>
      <c r="CV144" s="320"/>
      <c r="CW144" s="373">
        <v>0</v>
      </c>
      <c r="CX144" s="373">
        <v>0</v>
      </c>
      <c r="CY144" s="373">
        <v>0</v>
      </c>
      <c r="CZ144" s="373">
        <v>0</v>
      </c>
      <c r="DA144" s="373">
        <v>0</v>
      </c>
      <c r="DB144" s="373">
        <v>0</v>
      </c>
      <c r="DC144" s="373">
        <v>0</v>
      </c>
      <c r="DD144" s="373">
        <v>0</v>
      </c>
      <c r="DE144" s="373">
        <v>0</v>
      </c>
      <c r="DF144" s="373">
        <v>0</v>
      </c>
      <c r="DG144" s="373">
        <v>0</v>
      </c>
      <c r="DH144" s="373">
        <v>0</v>
      </c>
      <c r="DI144" s="375">
        <f t="shared" si="121"/>
        <v>0</v>
      </c>
      <c r="DJ144" s="320"/>
      <c r="DK144" s="373"/>
      <c r="DL144" s="373"/>
      <c r="DM144" s="373"/>
      <c r="DN144" s="373"/>
      <c r="DO144" s="373"/>
      <c r="DP144" s="373"/>
      <c r="DQ144" s="373"/>
      <c r="DR144" s="373"/>
      <c r="DS144" s="373"/>
      <c r="DT144" s="373"/>
      <c r="DU144" s="373"/>
      <c r="DV144" s="373"/>
      <c r="DW144" s="375">
        <f t="shared" si="123"/>
        <v>0</v>
      </c>
      <c r="DY144" s="373"/>
      <c r="DZ144" s="373"/>
      <c r="EA144" s="373"/>
      <c r="EB144" s="373"/>
      <c r="EC144" s="373"/>
      <c r="ED144" s="373"/>
      <c r="EE144" s="373"/>
      <c r="EF144" s="373"/>
      <c r="EG144" s="373"/>
      <c r="EH144" s="373"/>
      <c r="EI144" s="373"/>
      <c r="EJ144" s="373"/>
      <c r="EK144" s="375">
        <f t="shared" si="94"/>
        <v>0</v>
      </c>
      <c r="EL144" s="177"/>
      <c r="EM144" s="373"/>
      <c r="EN144" s="373"/>
      <c r="EO144" s="373"/>
      <c r="EP144" s="373"/>
      <c r="EQ144" s="373"/>
      <c r="ER144" s="373"/>
      <c r="ES144" s="373"/>
      <c r="ET144" s="373"/>
      <c r="EU144" s="373"/>
      <c r="EV144" s="373"/>
      <c r="EW144" s="373"/>
      <c r="EX144" s="373"/>
      <c r="EY144" s="375">
        <f t="shared" si="96"/>
        <v>0</v>
      </c>
      <c r="EZ144" s="164"/>
      <c r="FB144" s="185" t="s">
        <v>585</v>
      </c>
      <c r="FC144" s="185">
        <v>0</v>
      </c>
    </row>
    <row r="145" spans="1:159" ht="18.75" customHeight="1" outlineLevel="1">
      <c r="A145" s="185" t="s">
        <v>327</v>
      </c>
      <c r="B145" s="176">
        <v>65215000</v>
      </c>
      <c r="C145" s="176" t="s">
        <v>1104</v>
      </c>
      <c r="D145" s="176" t="s">
        <v>335</v>
      </c>
      <c r="E145" s="324"/>
      <c r="F145" s="320" t="s">
        <v>703</v>
      </c>
      <c r="G145" s="320"/>
      <c r="H145" s="417">
        <v>0</v>
      </c>
      <c r="I145" s="417">
        <v>0</v>
      </c>
      <c r="J145" s="417">
        <v>0</v>
      </c>
      <c r="K145" s="417">
        <v>0</v>
      </c>
      <c r="L145" s="417">
        <v>0</v>
      </c>
      <c r="M145" s="417">
        <v>0</v>
      </c>
      <c r="N145" s="417">
        <v>0</v>
      </c>
      <c r="O145" s="417">
        <v>0</v>
      </c>
      <c r="P145" s="417">
        <v>0</v>
      </c>
      <c r="Q145" s="819">
        <v>0</v>
      </c>
      <c r="R145" s="417">
        <v>0</v>
      </c>
      <c r="S145" s="417">
        <v>0</v>
      </c>
      <c r="T145" s="402"/>
      <c r="U145" s="366"/>
      <c r="V145" s="165"/>
      <c r="W145" s="212"/>
      <c r="X145" s="1518">
        <v>0</v>
      </c>
      <c r="Y145" s="1518">
        <v>0</v>
      </c>
      <c r="Z145" s="1518">
        <v>0</v>
      </c>
      <c r="AA145" s="1518">
        <v>0</v>
      </c>
      <c r="AB145" s="1518">
        <v>0</v>
      </c>
      <c r="AC145" s="1518">
        <v>0</v>
      </c>
      <c r="AD145" s="1518">
        <v>0</v>
      </c>
      <c r="AE145" s="1518">
        <v>0</v>
      </c>
      <c r="AF145" s="1518">
        <v>0</v>
      </c>
      <c r="AG145" s="1519">
        <v>0</v>
      </c>
      <c r="AH145" s="1518">
        <v>0</v>
      </c>
      <c r="AI145" s="1518">
        <v>0</v>
      </c>
      <c r="AJ145" s="375">
        <f t="shared" si="118"/>
        <v>0</v>
      </c>
      <c r="AK145" s="212"/>
      <c r="AL145" s="417">
        <v>0</v>
      </c>
      <c r="AM145" s="417">
        <v>0</v>
      </c>
      <c r="AN145" s="417">
        <v>0</v>
      </c>
      <c r="AO145" s="417">
        <v>0</v>
      </c>
      <c r="AP145" s="417">
        <v>0</v>
      </c>
      <c r="AQ145" s="417">
        <v>0</v>
      </c>
      <c r="AR145" s="417">
        <v>0</v>
      </c>
      <c r="AS145" s="417">
        <v>0</v>
      </c>
      <c r="AT145" s="417">
        <v>0</v>
      </c>
      <c r="AU145" s="819">
        <v>0</v>
      </c>
      <c r="AV145" s="417">
        <v>0</v>
      </c>
      <c r="AW145" s="417">
        <v>0</v>
      </c>
      <c r="AX145" s="375">
        <f t="shared" si="116"/>
        <v>0</v>
      </c>
      <c r="AY145" s="366"/>
      <c r="AZ145" s="165"/>
      <c r="BA145" s="212"/>
      <c r="BB145" s="417">
        <v>0</v>
      </c>
      <c r="BC145" s="417">
        <v>0</v>
      </c>
      <c r="BD145" s="417">
        <v>0</v>
      </c>
      <c r="BE145" s="417">
        <v>0</v>
      </c>
      <c r="BF145" s="417">
        <v>0</v>
      </c>
      <c r="BG145" s="417">
        <v>0</v>
      </c>
      <c r="BH145" s="417">
        <v>0</v>
      </c>
      <c r="BI145" s="417">
        <v>0</v>
      </c>
      <c r="BJ145" s="417">
        <v>0</v>
      </c>
      <c r="BK145" s="819">
        <v>0</v>
      </c>
      <c r="BL145" s="417">
        <v>0</v>
      </c>
      <c r="BM145" s="417">
        <v>0</v>
      </c>
      <c r="BN145" s="375">
        <f t="shared" si="117"/>
        <v>0</v>
      </c>
      <c r="BO145" s="212"/>
      <c r="BP145" s="818">
        <v>0</v>
      </c>
      <c r="BQ145" s="818">
        <v>0</v>
      </c>
      <c r="BR145" s="818">
        <v>0</v>
      </c>
      <c r="BS145" s="818">
        <v>0</v>
      </c>
      <c r="BT145" s="818">
        <v>0</v>
      </c>
      <c r="BU145" s="818">
        <v>0</v>
      </c>
      <c r="BV145" s="818">
        <v>0</v>
      </c>
      <c r="BW145" s="818">
        <v>0</v>
      </c>
      <c r="BX145" s="818">
        <v>0</v>
      </c>
      <c r="BY145" s="818">
        <v>0</v>
      </c>
      <c r="BZ145" s="818">
        <v>0</v>
      </c>
      <c r="CA145" s="818">
        <v>0</v>
      </c>
      <c r="CB145" s="375">
        <f t="shared" si="114"/>
        <v>0</v>
      </c>
      <c r="CC145" s="366">
        <f t="shared" si="110"/>
        <v>0</v>
      </c>
      <c r="CD145" s="165" t="str">
        <f t="shared" si="111"/>
        <v>N/A</v>
      </c>
      <c r="CE145" s="367"/>
      <c r="CF145" s="373">
        <v>0</v>
      </c>
      <c r="CG145" s="373">
        <v>0</v>
      </c>
      <c r="CH145" s="373">
        <v>0</v>
      </c>
      <c r="CI145" s="373">
        <v>0</v>
      </c>
      <c r="CJ145" s="373">
        <v>0</v>
      </c>
      <c r="CK145" s="373">
        <v>0</v>
      </c>
      <c r="CL145" s="373">
        <v>0</v>
      </c>
      <c r="CM145" s="373">
        <v>0</v>
      </c>
      <c r="CN145" s="373">
        <v>0</v>
      </c>
      <c r="CO145" s="373">
        <v>0</v>
      </c>
      <c r="CP145" s="373">
        <v>0</v>
      </c>
      <c r="CQ145" s="373">
        <v>0</v>
      </c>
      <c r="CR145" s="376"/>
      <c r="CS145" s="375">
        <f t="shared" si="90"/>
        <v>0</v>
      </c>
      <c r="CT145" s="378">
        <f t="shared" si="112"/>
        <v>0</v>
      </c>
      <c r="CU145" s="165" t="str">
        <f t="shared" si="113"/>
        <v>N/A</v>
      </c>
      <c r="CV145" s="320"/>
      <c r="CW145" s="373">
        <v>0</v>
      </c>
      <c r="CX145" s="373">
        <v>0</v>
      </c>
      <c r="CY145" s="373">
        <v>0</v>
      </c>
      <c r="CZ145" s="373">
        <v>0</v>
      </c>
      <c r="DA145" s="373">
        <v>0</v>
      </c>
      <c r="DB145" s="373">
        <v>0</v>
      </c>
      <c r="DC145" s="373">
        <v>0</v>
      </c>
      <c r="DD145" s="373">
        <v>0</v>
      </c>
      <c r="DE145" s="373">
        <v>0</v>
      </c>
      <c r="DF145" s="373">
        <v>0</v>
      </c>
      <c r="DG145" s="373">
        <v>0</v>
      </c>
      <c r="DH145" s="373">
        <v>0</v>
      </c>
      <c r="DI145" s="375">
        <f t="shared" si="121"/>
        <v>0</v>
      </c>
      <c r="DJ145" s="320"/>
      <c r="DK145" s="373"/>
      <c r="DL145" s="373"/>
      <c r="DM145" s="373"/>
      <c r="DN145" s="373"/>
      <c r="DO145" s="373"/>
      <c r="DP145" s="373"/>
      <c r="DQ145" s="373"/>
      <c r="DR145" s="373"/>
      <c r="DS145" s="373"/>
      <c r="DT145" s="373"/>
      <c r="DU145" s="373"/>
      <c r="DV145" s="373"/>
      <c r="DW145" s="375">
        <f t="shared" si="123"/>
        <v>0</v>
      </c>
      <c r="DY145" s="373"/>
      <c r="DZ145" s="373"/>
      <c r="EA145" s="373"/>
      <c r="EB145" s="373"/>
      <c r="EC145" s="373"/>
      <c r="ED145" s="373"/>
      <c r="EE145" s="373"/>
      <c r="EF145" s="373"/>
      <c r="EG145" s="373"/>
      <c r="EH145" s="373"/>
      <c r="EI145" s="373"/>
      <c r="EJ145" s="373"/>
      <c r="EK145" s="375">
        <f t="shared" si="94"/>
        <v>0</v>
      </c>
      <c r="EL145" s="177"/>
      <c r="EM145" s="373"/>
      <c r="EN145" s="373"/>
      <c r="EO145" s="373"/>
      <c r="EP145" s="373"/>
      <c r="EQ145" s="373"/>
      <c r="ER145" s="373"/>
      <c r="ES145" s="373"/>
      <c r="ET145" s="373"/>
      <c r="EU145" s="373"/>
      <c r="EV145" s="373"/>
      <c r="EW145" s="373"/>
      <c r="EX145" s="373"/>
      <c r="EY145" s="375">
        <f t="shared" si="96"/>
        <v>0</v>
      </c>
      <c r="EZ145" s="164"/>
      <c r="FB145" s="185">
        <v>65001000</v>
      </c>
      <c r="FC145" s="185">
        <v>0</v>
      </c>
    </row>
    <row r="146" spans="1:159" ht="18.75" customHeight="1" outlineLevel="1">
      <c r="A146" s="185" t="s">
        <v>327</v>
      </c>
      <c r="B146" s="176">
        <v>65216000</v>
      </c>
      <c r="C146" s="176" t="s">
        <v>1104</v>
      </c>
      <c r="D146" s="176" t="s">
        <v>335</v>
      </c>
      <c r="E146" s="324"/>
      <c r="F146" s="320" t="s">
        <v>704</v>
      </c>
      <c r="G146" s="320"/>
      <c r="H146" s="417">
        <v>0</v>
      </c>
      <c r="I146" s="417">
        <v>0</v>
      </c>
      <c r="J146" s="417">
        <v>0</v>
      </c>
      <c r="K146" s="417">
        <v>0</v>
      </c>
      <c r="L146" s="417">
        <v>0</v>
      </c>
      <c r="M146" s="417">
        <v>0</v>
      </c>
      <c r="N146" s="417">
        <v>0</v>
      </c>
      <c r="O146" s="417">
        <v>0</v>
      </c>
      <c r="P146" s="417">
        <v>0</v>
      </c>
      <c r="Q146" s="819">
        <v>0</v>
      </c>
      <c r="R146" s="417">
        <v>0</v>
      </c>
      <c r="S146" s="417">
        <v>0</v>
      </c>
      <c r="T146" s="402"/>
      <c r="U146" s="366"/>
      <c r="V146" s="165"/>
      <c r="W146" s="212"/>
      <c r="X146" s="1518">
        <v>0</v>
      </c>
      <c r="Y146" s="1518">
        <v>0</v>
      </c>
      <c r="Z146" s="1518">
        <v>0</v>
      </c>
      <c r="AA146" s="1518">
        <v>0</v>
      </c>
      <c r="AB146" s="1518">
        <v>0</v>
      </c>
      <c r="AC146" s="1518">
        <v>0</v>
      </c>
      <c r="AD146" s="1518">
        <v>0</v>
      </c>
      <c r="AE146" s="1518">
        <v>0</v>
      </c>
      <c r="AF146" s="1518">
        <v>0</v>
      </c>
      <c r="AG146" s="1519">
        <v>0</v>
      </c>
      <c r="AH146" s="1518">
        <v>0</v>
      </c>
      <c r="AI146" s="1518">
        <v>0</v>
      </c>
      <c r="AJ146" s="375">
        <f t="shared" si="118"/>
        <v>0</v>
      </c>
      <c r="AK146" s="212"/>
      <c r="AL146" s="417">
        <v>0</v>
      </c>
      <c r="AM146" s="417">
        <v>0</v>
      </c>
      <c r="AN146" s="417">
        <v>0</v>
      </c>
      <c r="AO146" s="417">
        <v>0</v>
      </c>
      <c r="AP146" s="417">
        <v>0</v>
      </c>
      <c r="AQ146" s="417">
        <v>0</v>
      </c>
      <c r="AR146" s="417">
        <v>0</v>
      </c>
      <c r="AS146" s="417">
        <v>0</v>
      </c>
      <c r="AT146" s="417">
        <v>0</v>
      </c>
      <c r="AU146" s="819">
        <v>0</v>
      </c>
      <c r="AV146" s="417">
        <v>0</v>
      </c>
      <c r="AW146" s="417">
        <v>0</v>
      </c>
      <c r="AX146" s="375">
        <f t="shared" si="116"/>
        <v>0</v>
      </c>
      <c r="AY146" s="366"/>
      <c r="AZ146" s="165"/>
      <c r="BA146" s="212"/>
      <c r="BB146" s="417">
        <v>0</v>
      </c>
      <c r="BC146" s="417">
        <v>0</v>
      </c>
      <c r="BD146" s="417">
        <v>0</v>
      </c>
      <c r="BE146" s="417">
        <v>0</v>
      </c>
      <c r="BF146" s="417">
        <v>0</v>
      </c>
      <c r="BG146" s="417">
        <v>0</v>
      </c>
      <c r="BH146" s="417">
        <v>0</v>
      </c>
      <c r="BI146" s="417">
        <v>0</v>
      </c>
      <c r="BJ146" s="417">
        <v>0</v>
      </c>
      <c r="BK146" s="819">
        <v>0</v>
      </c>
      <c r="BL146" s="417">
        <v>0</v>
      </c>
      <c r="BM146" s="417">
        <v>0</v>
      </c>
      <c r="BN146" s="375">
        <f t="shared" si="117"/>
        <v>0</v>
      </c>
      <c r="BO146" s="212"/>
      <c r="BP146" s="818">
        <v>0</v>
      </c>
      <c r="BQ146" s="818">
        <v>0</v>
      </c>
      <c r="BR146" s="818">
        <v>0</v>
      </c>
      <c r="BS146" s="818">
        <v>0</v>
      </c>
      <c r="BT146" s="818">
        <v>0</v>
      </c>
      <c r="BU146" s="818">
        <v>0</v>
      </c>
      <c r="BV146" s="818">
        <v>0</v>
      </c>
      <c r="BW146" s="818">
        <v>0</v>
      </c>
      <c r="BX146" s="818">
        <v>0</v>
      </c>
      <c r="BY146" s="818">
        <v>0</v>
      </c>
      <c r="BZ146" s="818">
        <v>0</v>
      </c>
      <c r="CA146" s="818">
        <v>0</v>
      </c>
      <c r="CB146" s="375">
        <f t="shared" si="114"/>
        <v>0</v>
      </c>
      <c r="CC146" s="366">
        <f t="shared" si="110"/>
        <v>0</v>
      </c>
      <c r="CD146" s="165" t="str">
        <f t="shared" si="111"/>
        <v>N/A</v>
      </c>
      <c r="CE146" s="367"/>
      <c r="CF146" s="373">
        <v>0</v>
      </c>
      <c r="CG146" s="373">
        <v>0</v>
      </c>
      <c r="CH146" s="373">
        <v>0</v>
      </c>
      <c r="CI146" s="373">
        <v>0</v>
      </c>
      <c r="CJ146" s="373">
        <v>0</v>
      </c>
      <c r="CK146" s="373">
        <v>0</v>
      </c>
      <c r="CL146" s="373">
        <v>0</v>
      </c>
      <c r="CM146" s="373">
        <v>0</v>
      </c>
      <c r="CN146" s="373">
        <v>0</v>
      </c>
      <c r="CO146" s="373">
        <v>0</v>
      </c>
      <c r="CP146" s="373">
        <v>0</v>
      </c>
      <c r="CQ146" s="373">
        <v>0</v>
      </c>
      <c r="CR146" s="376"/>
      <c r="CS146" s="375">
        <f t="shared" si="90"/>
        <v>0</v>
      </c>
      <c r="CT146" s="378">
        <f t="shared" si="112"/>
        <v>0</v>
      </c>
      <c r="CU146" s="165" t="str">
        <f t="shared" si="113"/>
        <v>N/A</v>
      </c>
      <c r="CV146" s="320"/>
      <c r="CW146" s="373">
        <v>0</v>
      </c>
      <c r="CX146" s="373">
        <v>0</v>
      </c>
      <c r="CY146" s="373">
        <v>0</v>
      </c>
      <c r="CZ146" s="373">
        <v>0</v>
      </c>
      <c r="DA146" s="373">
        <v>0</v>
      </c>
      <c r="DB146" s="373">
        <v>0</v>
      </c>
      <c r="DC146" s="373">
        <v>0</v>
      </c>
      <c r="DD146" s="373">
        <v>0</v>
      </c>
      <c r="DE146" s="373">
        <v>0</v>
      </c>
      <c r="DF146" s="373">
        <v>0</v>
      </c>
      <c r="DG146" s="373">
        <v>0</v>
      </c>
      <c r="DH146" s="373">
        <v>0</v>
      </c>
      <c r="DI146" s="375">
        <f t="shared" si="121"/>
        <v>0</v>
      </c>
      <c r="DJ146" s="320"/>
      <c r="DK146" s="373"/>
      <c r="DL146" s="373"/>
      <c r="DM146" s="373"/>
      <c r="DN146" s="373"/>
      <c r="DO146" s="373"/>
      <c r="DP146" s="373"/>
      <c r="DQ146" s="373"/>
      <c r="DR146" s="373"/>
      <c r="DS146" s="373"/>
      <c r="DT146" s="373"/>
      <c r="DU146" s="373"/>
      <c r="DV146" s="373"/>
      <c r="DW146" s="375">
        <f t="shared" si="123"/>
        <v>0</v>
      </c>
      <c r="DY146" s="373"/>
      <c r="DZ146" s="373"/>
      <c r="EA146" s="373"/>
      <c r="EB146" s="373"/>
      <c r="EC146" s="373"/>
      <c r="ED146" s="373"/>
      <c r="EE146" s="373"/>
      <c r="EF146" s="373"/>
      <c r="EG146" s="373"/>
      <c r="EH146" s="373"/>
      <c r="EI146" s="373"/>
      <c r="EJ146" s="373"/>
      <c r="EK146" s="375">
        <f t="shared" si="94"/>
        <v>0</v>
      </c>
      <c r="EL146" s="177"/>
      <c r="EM146" s="373"/>
      <c r="EN146" s="373"/>
      <c r="EO146" s="373"/>
      <c r="EP146" s="373"/>
      <c r="EQ146" s="373"/>
      <c r="ER146" s="373"/>
      <c r="ES146" s="373"/>
      <c r="ET146" s="373"/>
      <c r="EU146" s="373"/>
      <c r="EV146" s="373"/>
      <c r="EW146" s="373"/>
      <c r="EX146" s="373"/>
      <c r="EY146" s="375">
        <f t="shared" si="96"/>
        <v>0</v>
      </c>
      <c r="EZ146" s="164"/>
      <c r="FB146" s="185" t="e">
        <v>#N/A</v>
      </c>
      <c r="FC146" s="185">
        <v>0</v>
      </c>
    </row>
    <row r="147" spans="1:159" ht="18.75" customHeight="1" outlineLevel="1">
      <c r="A147" s="185" t="s">
        <v>327</v>
      </c>
      <c r="B147" s="176">
        <v>65217000</v>
      </c>
      <c r="C147" s="176" t="s">
        <v>1104</v>
      </c>
      <c r="D147" s="176" t="s">
        <v>335</v>
      </c>
      <c r="E147" s="324"/>
      <c r="F147" s="320" t="s">
        <v>705</v>
      </c>
      <c r="G147" s="320"/>
      <c r="H147" s="417">
        <v>0</v>
      </c>
      <c r="I147" s="417">
        <v>0</v>
      </c>
      <c r="J147" s="417">
        <v>0</v>
      </c>
      <c r="K147" s="417">
        <v>0</v>
      </c>
      <c r="L147" s="417">
        <v>0</v>
      </c>
      <c r="M147" s="417">
        <v>0</v>
      </c>
      <c r="N147" s="417">
        <v>0</v>
      </c>
      <c r="O147" s="417">
        <v>0</v>
      </c>
      <c r="P147" s="417">
        <v>0</v>
      </c>
      <c r="Q147" s="819">
        <v>0</v>
      </c>
      <c r="R147" s="417">
        <v>0</v>
      </c>
      <c r="S147" s="417">
        <v>0</v>
      </c>
      <c r="T147" s="402"/>
      <c r="U147" s="366"/>
      <c r="V147" s="165"/>
      <c r="W147" s="212"/>
      <c r="X147" s="1518">
        <v>0</v>
      </c>
      <c r="Y147" s="1518">
        <v>0</v>
      </c>
      <c r="Z147" s="1518">
        <v>0</v>
      </c>
      <c r="AA147" s="1518">
        <v>0</v>
      </c>
      <c r="AB147" s="1518">
        <v>0</v>
      </c>
      <c r="AC147" s="1518">
        <v>0</v>
      </c>
      <c r="AD147" s="1518">
        <v>0</v>
      </c>
      <c r="AE147" s="1518">
        <v>0</v>
      </c>
      <c r="AF147" s="1518">
        <v>0</v>
      </c>
      <c r="AG147" s="1519">
        <v>0</v>
      </c>
      <c r="AH147" s="1518">
        <v>0</v>
      </c>
      <c r="AI147" s="1518">
        <v>0</v>
      </c>
      <c r="AJ147" s="375">
        <f t="shared" si="118"/>
        <v>0</v>
      </c>
      <c r="AK147" s="212"/>
      <c r="AL147" s="417">
        <v>0</v>
      </c>
      <c r="AM147" s="417">
        <v>0</v>
      </c>
      <c r="AN147" s="417">
        <v>0</v>
      </c>
      <c r="AO147" s="417">
        <v>0</v>
      </c>
      <c r="AP147" s="417">
        <v>0</v>
      </c>
      <c r="AQ147" s="417">
        <v>0</v>
      </c>
      <c r="AR147" s="417">
        <v>0</v>
      </c>
      <c r="AS147" s="417">
        <v>0</v>
      </c>
      <c r="AT147" s="417">
        <v>0</v>
      </c>
      <c r="AU147" s="819">
        <v>0</v>
      </c>
      <c r="AV147" s="417">
        <v>0</v>
      </c>
      <c r="AW147" s="417">
        <v>0</v>
      </c>
      <c r="AX147" s="375">
        <f t="shared" si="116"/>
        <v>0</v>
      </c>
      <c r="AY147" s="366"/>
      <c r="AZ147" s="165"/>
      <c r="BA147" s="212"/>
      <c r="BB147" s="417">
        <v>0</v>
      </c>
      <c r="BC147" s="417">
        <v>0</v>
      </c>
      <c r="BD147" s="417">
        <v>0</v>
      </c>
      <c r="BE147" s="417">
        <v>0</v>
      </c>
      <c r="BF147" s="417">
        <v>0</v>
      </c>
      <c r="BG147" s="417">
        <v>0</v>
      </c>
      <c r="BH147" s="417">
        <v>0</v>
      </c>
      <c r="BI147" s="417">
        <v>0</v>
      </c>
      <c r="BJ147" s="417">
        <v>0</v>
      </c>
      <c r="BK147" s="819">
        <v>0</v>
      </c>
      <c r="BL147" s="417">
        <v>0</v>
      </c>
      <c r="BM147" s="417">
        <v>0</v>
      </c>
      <c r="BN147" s="375">
        <f t="shared" si="117"/>
        <v>0</v>
      </c>
      <c r="BO147" s="212"/>
      <c r="BP147" s="818">
        <v>0</v>
      </c>
      <c r="BQ147" s="818">
        <v>0</v>
      </c>
      <c r="BR147" s="818">
        <v>0</v>
      </c>
      <c r="BS147" s="818">
        <v>0</v>
      </c>
      <c r="BT147" s="818">
        <v>0</v>
      </c>
      <c r="BU147" s="818">
        <v>0</v>
      </c>
      <c r="BV147" s="818">
        <v>0</v>
      </c>
      <c r="BW147" s="818">
        <v>0</v>
      </c>
      <c r="BX147" s="818">
        <v>0</v>
      </c>
      <c r="BY147" s="818">
        <v>0</v>
      </c>
      <c r="BZ147" s="818">
        <v>0</v>
      </c>
      <c r="CA147" s="818">
        <v>0</v>
      </c>
      <c r="CB147" s="375">
        <f t="shared" si="114"/>
        <v>0</v>
      </c>
      <c r="CC147" s="366">
        <f t="shared" si="110"/>
        <v>0</v>
      </c>
      <c r="CD147" s="165" t="str">
        <f t="shared" si="111"/>
        <v>N/A</v>
      </c>
      <c r="CE147" s="367"/>
      <c r="CF147" s="373">
        <v>0</v>
      </c>
      <c r="CG147" s="373">
        <v>0</v>
      </c>
      <c r="CH147" s="373">
        <v>0</v>
      </c>
      <c r="CI147" s="373">
        <v>0</v>
      </c>
      <c r="CJ147" s="373">
        <v>0</v>
      </c>
      <c r="CK147" s="373">
        <v>0</v>
      </c>
      <c r="CL147" s="373">
        <v>0</v>
      </c>
      <c r="CM147" s="373">
        <v>0</v>
      </c>
      <c r="CN147" s="373">
        <v>0</v>
      </c>
      <c r="CO147" s="373">
        <v>0</v>
      </c>
      <c r="CP147" s="373">
        <v>0</v>
      </c>
      <c r="CQ147" s="373">
        <v>0</v>
      </c>
      <c r="CR147" s="376"/>
      <c r="CS147" s="375">
        <f t="shared" si="90"/>
        <v>0</v>
      </c>
      <c r="CT147" s="378">
        <f t="shared" si="112"/>
        <v>0</v>
      </c>
      <c r="CU147" s="165" t="str">
        <f t="shared" si="113"/>
        <v>N/A</v>
      </c>
      <c r="CV147" s="320"/>
      <c r="CW147" s="373">
        <v>0</v>
      </c>
      <c r="CX147" s="373">
        <v>0</v>
      </c>
      <c r="CY147" s="373">
        <v>0</v>
      </c>
      <c r="CZ147" s="373">
        <v>0</v>
      </c>
      <c r="DA147" s="373">
        <v>0</v>
      </c>
      <c r="DB147" s="373">
        <v>0</v>
      </c>
      <c r="DC147" s="373">
        <v>0</v>
      </c>
      <c r="DD147" s="373">
        <v>0</v>
      </c>
      <c r="DE147" s="373">
        <v>0</v>
      </c>
      <c r="DF147" s="373">
        <v>0</v>
      </c>
      <c r="DG147" s="373">
        <v>0</v>
      </c>
      <c r="DH147" s="373">
        <v>0</v>
      </c>
      <c r="DI147" s="375">
        <f t="shared" si="121"/>
        <v>0</v>
      </c>
      <c r="DJ147" s="320"/>
      <c r="DK147" s="373"/>
      <c r="DL147" s="373"/>
      <c r="DM147" s="373"/>
      <c r="DN147" s="373"/>
      <c r="DO147" s="373"/>
      <c r="DP147" s="373"/>
      <c r="DQ147" s="373"/>
      <c r="DR147" s="373"/>
      <c r="DS147" s="373"/>
      <c r="DT147" s="373"/>
      <c r="DU147" s="373"/>
      <c r="DV147" s="373"/>
      <c r="DW147" s="375">
        <f t="shared" si="123"/>
        <v>0</v>
      </c>
      <c r="DY147" s="373"/>
      <c r="DZ147" s="373"/>
      <c r="EA147" s="373"/>
      <c r="EB147" s="373"/>
      <c r="EC147" s="373"/>
      <c r="ED147" s="373"/>
      <c r="EE147" s="373"/>
      <c r="EF147" s="373"/>
      <c r="EG147" s="373"/>
      <c r="EH147" s="373"/>
      <c r="EI147" s="373"/>
      <c r="EJ147" s="373"/>
      <c r="EK147" s="375">
        <f t="shared" si="94"/>
        <v>0</v>
      </c>
      <c r="EL147" s="177"/>
      <c r="EM147" s="373"/>
      <c r="EN147" s="373"/>
      <c r="EO147" s="373"/>
      <c r="EP147" s="373"/>
      <c r="EQ147" s="373"/>
      <c r="ER147" s="373"/>
      <c r="ES147" s="373"/>
      <c r="ET147" s="373"/>
      <c r="EU147" s="373"/>
      <c r="EV147" s="373"/>
      <c r="EW147" s="373"/>
      <c r="EX147" s="373"/>
      <c r="EY147" s="375">
        <f t="shared" si="96"/>
        <v>0</v>
      </c>
      <c r="EZ147" s="164"/>
      <c r="FB147" s="185" t="e">
        <v>#N/A</v>
      </c>
      <c r="FC147" s="185">
        <v>0</v>
      </c>
    </row>
    <row r="148" spans="1:159" ht="18.75" customHeight="1" outlineLevel="1">
      <c r="A148" s="185" t="s">
        <v>327</v>
      </c>
      <c r="B148" s="176">
        <v>65301000</v>
      </c>
      <c r="C148" s="176" t="s">
        <v>1104</v>
      </c>
      <c r="D148" s="176" t="s">
        <v>335</v>
      </c>
      <c r="E148" s="368"/>
      <c r="F148" s="320" t="s">
        <v>944</v>
      </c>
      <c r="G148" s="320"/>
      <c r="H148" s="417">
        <v>0</v>
      </c>
      <c r="I148" s="417">
        <v>0</v>
      </c>
      <c r="J148" s="417">
        <v>0</v>
      </c>
      <c r="K148" s="417">
        <v>0</v>
      </c>
      <c r="L148" s="417">
        <v>0</v>
      </c>
      <c r="M148" s="417">
        <v>0</v>
      </c>
      <c r="N148" s="417">
        <v>0</v>
      </c>
      <c r="O148" s="417">
        <v>0</v>
      </c>
      <c r="P148" s="417">
        <v>0</v>
      </c>
      <c r="Q148" s="819">
        <v>0</v>
      </c>
      <c r="R148" s="417">
        <v>0</v>
      </c>
      <c r="S148" s="417">
        <v>0</v>
      </c>
      <c r="T148" s="402"/>
      <c r="U148" s="366"/>
      <c r="V148" s="165"/>
      <c r="W148" s="212"/>
      <c r="X148" s="1518">
        <v>0</v>
      </c>
      <c r="Y148" s="1518">
        <v>0</v>
      </c>
      <c r="Z148" s="1518">
        <v>0</v>
      </c>
      <c r="AA148" s="1518">
        <v>0</v>
      </c>
      <c r="AB148" s="1518">
        <v>0</v>
      </c>
      <c r="AC148" s="1518">
        <v>0</v>
      </c>
      <c r="AD148" s="1518">
        <v>0</v>
      </c>
      <c r="AE148" s="1518">
        <v>0</v>
      </c>
      <c r="AF148" s="1518">
        <v>0</v>
      </c>
      <c r="AG148" s="1519">
        <v>0</v>
      </c>
      <c r="AH148" s="1518">
        <v>0</v>
      </c>
      <c r="AI148" s="1518">
        <v>0</v>
      </c>
      <c r="AJ148" s="375">
        <f>SUM(X148:AI148)</f>
        <v>0</v>
      </c>
      <c r="AK148" s="212"/>
      <c r="AL148" s="417">
        <v>0</v>
      </c>
      <c r="AM148" s="417">
        <v>0</v>
      </c>
      <c r="AN148" s="417">
        <v>0</v>
      </c>
      <c r="AO148" s="417">
        <v>0</v>
      </c>
      <c r="AP148" s="417">
        <v>0</v>
      </c>
      <c r="AQ148" s="417">
        <v>0</v>
      </c>
      <c r="AR148" s="417">
        <v>0</v>
      </c>
      <c r="AS148" s="417">
        <v>0</v>
      </c>
      <c r="AT148" s="417">
        <v>0</v>
      </c>
      <c r="AU148" s="819">
        <v>0</v>
      </c>
      <c r="AV148" s="417">
        <v>0</v>
      </c>
      <c r="AW148" s="417">
        <v>0</v>
      </c>
      <c r="AX148" s="375">
        <f t="shared" ref="AX148:AX157" si="124">SUM(AL148:AW148)</f>
        <v>0</v>
      </c>
      <c r="AY148" s="366"/>
      <c r="AZ148" s="165"/>
      <c r="BA148" s="212"/>
      <c r="BB148" s="417">
        <v>0</v>
      </c>
      <c r="BC148" s="417">
        <v>0</v>
      </c>
      <c r="BD148" s="417">
        <v>0</v>
      </c>
      <c r="BE148" s="417">
        <v>0</v>
      </c>
      <c r="BF148" s="417">
        <v>0</v>
      </c>
      <c r="BG148" s="417">
        <v>0</v>
      </c>
      <c r="BH148" s="417">
        <v>0</v>
      </c>
      <c r="BI148" s="417">
        <v>0</v>
      </c>
      <c r="BJ148" s="417">
        <v>0</v>
      </c>
      <c r="BK148" s="819">
        <v>0</v>
      </c>
      <c r="BL148" s="417">
        <v>0</v>
      </c>
      <c r="BM148" s="417">
        <v>0</v>
      </c>
      <c r="BN148" s="375">
        <f>SUM(BB148:BM148)</f>
        <v>0</v>
      </c>
      <c r="BO148" s="212"/>
      <c r="BP148" s="818">
        <v>0</v>
      </c>
      <c r="BQ148" s="818">
        <v>0</v>
      </c>
      <c r="BR148" s="818">
        <v>0</v>
      </c>
      <c r="BS148" s="818">
        <v>0</v>
      </c>
      <c r="BT148" s="818">
        <v>0</v>
      </c>
      <c r="BU148" s="818">
        <v>0</v>
      </c>
      <c r="BV148" s="818">
        <v>0</v>
      </c>
      <c r="BW148" s="818">
        <v>0</v>
      </c>
      <c r="BX148" s="818">
        <v>0</v>
      </c>
      <c r="BY148" s="818">
        <v>0</v>
      </c>
      <c r="BZ148" s="818">
        <v>0</v>
      </c>
      <c r="CA148" s="818">
        <v>0</v>
      </c>
      <c r="CB148" s="375">
        <f>SUM(BP148:CA148)</f>
        <v>0</v>
      </c>
      <c r="CC148" s="366">
        <f t="shared" si="110"/>
        <v>0</v>
      </c>
      <c r="CD148" s="165" t="str">
        <f t="shared" si="111"/>
        <v>N/A</v>
      </c>
      <c r="CE148" s="367"/>
      <c r="CF148" s="373"/>
      <c r="CG148" s="373"/>
      <c r="CH148" s="373"/>
      <c r="CI148" s="373"/>
      <c r="CJ148" s="373"/>
      <c r="CK148" s="373"/>
      <c r="CL148" s="373"/>
      <c r="CM148" s="373"/>
      <c r="CN148" s="373"/>
      <c r="CO148" s="373"/>
      <c r="CP148" s="373"/>
      <c r="CQ148" s="373"/>
      <c r="CR148" s="376"/>
      <c r="CS148" s="375">
        <f t="shared" ref="CS148:CS153" si="125">SUM(CF148:CR148)</f>
        <v>0</v>
      </c>
      <c r="CT148" s="378">
        <f t="shared" si="112"/>
        <v>0</v>
      </c>
      <c r="CU148" s="165" t="str">
        <f t="shared" si="113"/>
        <v>N/A</v>
      </c>
      <c r="CV148" s="320"/>
      <c r="CW148" s="373">
        <v>0</v>
      </c>
      <c r="CX148" s="373">
        <v>0</v>
      </c>
      <c r="CY148" s="373">
        <v>0</v>
      </c>
      <c r="CZ148" s="373">
        <v>0</v>
      </c>
      <c r="DA148" s="373">
        <v>0</v>
      </c>
      <c r="DB148" s="373">
        <v>0</v>
      </c>
      <c r="DC148" s="373">
        <v>0</v>
      </c>
      <c r="DD148" s="373">
        <v>0</v>
      </c>
      <c r="DE148" s="373">
        <v>0</v>
      </c>
      <c r="DF148" s="373">
        <v>0</v>
      </c>
      <c r="DG148" s="373">
        <v>0</v>
      </c>
      <c r="DH148" s="373">
        <v>0</v>
      </c>
      <c r="DI148" s="375">
        <f t="shared" ref="DI148:DI153" si="126">SUM(CW148:DH148)</f>
        <v>0</v>
      </c>
      <c r="DJ148" s="320"/>
      <c r="DK148" s="373"/>
      <c r="DL148" s="373"/>
      <c r="DM148" s="373"/>
      <c r="DN148" s="373"/>
      <c r="DO148" s="373"/>
      <c r="DP148" s="373"/>
      <c r="DQ148" s="373"/>
      <c r="DR148" s="373"/>
      <c r="DS148" s="373"/>
      <c r="DT148" s="373"/>
      <c r="DU148" s="373"/>
      <c r="DV148" s="373"/>
      <c r="DW148" s="375">
        <f t="shared" ref="DW148:DW153" si="127">SUM(DK148:DV148)</f>
        <v>0</v>
      </c>
      <c r="DY148" s="373"/>
      <c r="DZ148" s="373"/>
      <c r="EA148" s="373"/>
      <c r="EB148" s="373"/>
      <c r="EC148" s="373"/>
      <c r="ED148" s="373"/>
      <c r="EE148" s="373"/>
      <c r="EF148" s="373"/>
      <c r="EG148" s="373"/>
      <c r="EH148" s="373"/>
      <c r="EI148" s="373"/>
      <c r="EJ148" s="373"/>
      <c r="EK148" s="375">
        <f t="shared" ref="EK148:EK153" si="128">SUM(DY148:EJ148)</f>
        <v>0</v>
      </c>
      <c r="EL148" s="177"/>
      <c r="EM148" s="373"/>
      <c r="EN148" s="373"/>
      <c r="EO148" s="373"/>
      <c r="EP148" s="373"/>
      <c r="EQ148" s="373"/>
      <c r="ER148" s="373"/>
      <c r="ES148" s="373"/>
      <c r="ET148" s="373"/>
      <c r="EU148" s="373"/>
      <c r="EV148" s="373"/>
      <c r="EW148" s="373"/>
      <c r="EX148" s="373"/>
      <c r="EY148" s="375">
        <f t="shared" ref="EY148:EY153" si="129">SUM(EM148:EX148)</f>
        <v>0</v>
      </c>
      <c r="EZ148" s="164"/>
      <c r="FC148" s="185">
        <v>-10000</v>
      </c>
    </row>
    <row r="149" spans="1:159" ht="18.75" customHeight="1" outlineLevel="1">
      <c r="A149" s="185" t="s">
        <v>327</v>
      </c>
      <c r="B149" s="176">
        <v>65302000</v>
      </c>
      <c r="C149" s="176" t="s">
        <v>1104</v>
      </c>
      <c r="D149" s="176" t="s">
        <v>335</v>
      </c>
      <c r="E149" s="368"/>
      <c r="F149" s="320" t="s">
        <v>942</v>
      </c>
      <c r="G149" s="320"/>
      <c r="H149" s="417">
        <v>0</v>
      </c>
      <c r="I149" s="417">
        <v>0</v>
      </c>
      <c r="J149" s="417">
        <v>0</v>
      </c>
      <c r="K149" s="417">
        <v>0</v>
      </c>
      <c r="L149" s="417">
        <v>0</v>
      </c>
      <c r="M149" s="417">
        <v>0</v>
      </c>
      <c r="N149" s="417">
        <v>0</v>
      </c>
      <c r="O149" s="417">
        <v>0</v>
      </c>
      <c r="P149" s="417">
        <v>0</v>
      </c>
      <c r="Q149" s="819">
        <v>0</v>
      </c>
      <c r="R149" s="417">
        <v>0</v>
      </c>
      <c r="S149" s="417">
        <v>0</v>
      </c>
      <c r="T149" s="402"/>
      <c r="U149" s="366"/>
      <c r="V149" s="165"/>
      <c r="W149" s="212"/>
      <c r="X149" s="1518">
        <v>0</v>
      </c>
      <c r="Y149" s="1518">
        <v>0</v>
      </c>
      <c r="Z149" s="1518">
        <v>0</v>
      </c>
      <c r="AA149" s="1518">
        <v>0</v>
      </c>
      <c r="AB149" s="1518">
        <v>0</v>
      </c>
      <c r="AC149" s="1518">
        <v>0</v>
      </c>
      <c r="AD149" s="1518">
        <v>0</v>
      </c>
      <c r="AE149" s="1518">
        <v>0</v>
      </c>
      <c r="AF149" s="1518">
        <v>0</v>
      </c>
      <c r="AG149" s="1519">
        <v>0</v>
      </c>
      <c r="AH149" s="1518">
        <v>0</v>
      </c>
      <c r="AI149" s="1518">
        <v>0</v>
      </c>
      <c r="AJ149" s="375">
        <f>SUM(X149:AI149)</f>
        <v>0</v>
      </c>
      <c r="AK149" s="212"/>
      <c r="AL149" s="417">
        <v>0</v>
      </c>
      <c r="AM149" s="417">
        <v>0</v>
      </c>
      <c r="AN149" s="417">
        <v>0</v>
      </c>
      <c r="AO149" s="417">
        <v>0</v>
      </c>
      <c r="AP149" s="417">
        <v>0</v>
      </c>
      <c r="AQ149" s="417">
        <v>0</v>
      </c>
      <c r="AR149" s="417">
        <v>0</v>
      </c>
      <c r="AS149" s="417">
        <v>0</v>
      </c>
      <c r="AT149" s="417">
        <v>0</v>
      </c>
      <c r="AU149" s="819">
        <v>0</v>
      </c>
      <c r="AV149" s="417">
        <v>0</v>
      </c>
      <c r="AW149" s="417">
        <v>0</v>
      </c>
      <c r="AX149" s="375">
        <f t="shared" si="124"/>
        <v>0</v>
      </c>
      <c r="AY149" s="366"/>
      <c r="AZ149" s="165"/>
      <c r="BA149" s="212"/>
      <c r="BB149" s="417">
        <v>0</v>
      </c>
      <c r="BC149" s="417">
        <v>0</v>
      </c>
      <c r="BD149" s="417">
        <v>0</v>
      </c>
      <c r="BE149" s="417">
        <v>0</v>
      </c>
      <c r="BF149" s="417">
        <v>0</v>
      </c>
      <c r="BG149" s="417">
        <v>0</v>
      </c>
      <c r="BH149" s="417">
        <v>0</v>
      </c>
      <c r="BI149" s="417">
        <v>0</v>
      </c>
      <c r="BJ149" s="417">
        <v>0</v>
      </c>
      <c r="BK149" s="819">
        <v>0</v>
      </c>
      <c r="BL149" s="417">
        <v>0</v>
      </c>
      <c r="BM149" s="417">
        <v>0</v>
      </c>
      <c r="BN149" s="375">
        <f>SUM(BB149:BM149)</f>
        <v>0</v>
      </c>
      <c r="BO149" s="212"/>
      <c r="BP149" s="818">
        <v>0</v>
      </c>
      <c r="BQ149" s="818">
        <v>0</v>
      </c>
      <c r="BR149" s="818">
        <v>0</v>
      </c>
      <c r="BS149" s="818">
        <v>0</v>
      </c>
      <c r="BT149" s="818">
        <v>0</v>
      </c>
      <c r="BU149" s="818">
        <v>0</v>
      </c>
      <c r="BV149" s="818">
        <v>0</v>
      </c>
      <c r="BW149" s="818">
        <v>0</v>
      </c>
      <c r="BX149" s="818">
        <v>0</v>
      </c>
      <c r="BY149" s="818">
        <v>0</v>
      </c>
      <c r="BZ149" s="818">
        <v>0</v>
      </c>
      <c r="CA149" s="818">
        <v>0</v>
      </c>
      <c r="CB149" s="375">
        <f>SUM(BP149:CA149)</f>
        <v>0</v>
      </c>
      <c r="CC149" s="366">
        <f t="shared" si="110"/>
        <v>0</v>
      </c>
      <c r="CD149" s="165" t="str">
        <f t="shared" si="111"/>
        <v>N/A</v>
      </c>
      <c r="CE149" s="367"/>
      <c r="CF149" s="373"/>
      <c r="CG149" s="373"/>
      <c r="CH149" s="373"/>
      <c r="CI149" s="373"/>
      <c r="CJ149" s="373"/>
      <c r="CK149" s="373"/>
      <c r="CL149" s="373"/>
      <c r="CM149" s="373"/>
      <c r="CN149" s="373"/>
      <c r="CO149" s="373"/>
      <c r="CP149" s="373"/>
      <c r="CQ149" s="373"/>
      <c r="CR149" s="376"/>
      <c r="CS149" s="375">
        <f t="shared" si="125"/>
        <v>0</v>
      </c>
      <c r="CT149" s="378">
        <f t="shared" si="112"/>
        <v>0</v>
      </c>
      <c r="CU149" s="165" t="str">
        <f t="shared" si="113"/>
        <v>N/A</v>
      </c>
      <c r="CV149" s="320"/>
      <c r="CW149" s="373">
        <v>0</v>
      </c>
      <c r="CX149" s="373">
        <v>0</v>
      </c>
      <c r="CY149" s="373">
        <v>0</v>
      </c>
      <c r="CZ149" s="373">
        <v>0</v>
      </c>
      <c r="DA149" s="373">
        <v>0</v>
      </c>
      <c r="DB149" s="373">
        <v>0</v>
      </c>
      <c r="DC149" s="373">
        <v>0</v>
      </c>
      <c r="DD149" s="373">
        <v>0</v>
      </c>
      <c r="DE149" s="373">
        <v>0</v>
      </c>
      <c r="DF149" s="373">
        <v>0</v>
      </c>
      <c r="DG149" s="373">
        <v>0</v>
      </c>
      <c r="DH149" s="373">
        <v>0</v>
      </c>
      <c r="DI149" s="375">
        <f t="shared" si="126"/>
        <v>0</v>
      </c>
      <c r="DJ149" s="320"/>
      <c r="DK149" s="373"/>
      <c r="DL149" s="373"/>
      <c r="DM149" s="373"/>
      <c r="DN149" s="373"/>
      <c r="DO149" s="373"/>
      <c r="DP149" s="373"/>
      <c r="DQ149" s="373"/>
      <c r="DR149" s="373"/>
      <c r="DS149" s="373"/>
      <c r="DT149" s="373"/>
      <c r="DU149" s="373"/>
      <c r="DV149" s="373"/>
      <c r="DW149" s="375">
        <f t="shared" si="127"/>
        <v>0</v>
      </c>
      <c r="DY149" s="373"/>
      <c r="DZ149" s="373"/>
      <c r="EA149" s="373"/>
      <c r="EB149" s="373"/>
      <c r="EC149" s="373"/>
      <c r="ED149" s="373"/>
      <c r="EE149" s="373"/>
      <c r="EF149" s="373"/>
      <c r="EG149" s="373"/>
      <c r="EH149" s="373"/>
      <c r="EI149" s="373"/>
      <c r="EJ149" s="373"/>
      <c r="EK149" s="375">
        <f t="shared" si="128"/>
        <v>0</v>
      </c>
      <c r="EL149" s="177"/>
      <c r="EM149" s="373"/>
      <c r="EN149" s="373"/>
      <c r="EO149" s="373"/>
      <c r="EP149" s="373"/>
      <c r="EQ149" s="373"/>
      <c r="ER149" s="373"/>
      <c r="ES149" s="373"/>
      <c r="ET149" s="373"/>
      <c r="EU149" s="373"/>
      <c r="EV149" s="373"/>
      <c r="EW149" s="373"/>
      <c r="EX149" s="373"/>
      <c r="EY149" s="375">
        <f t="shared" si="129"/>
        <v>0</v>
      </c>
      <c r="EZ149" s="164"/>
      <c r="FC149" s="185">
        <v>-10000</v>
      </c>
    </row>
    <row r="150" spans="1:159" ht="18.75" customHeight="1" outlineLevel="1">
      <c r="A150" s="185" t="s">
        <v>327</v>
      </c>
      <c r="B150" s="176">
        <v>65311000</v>
      </c>
      <c r="C150" s="176" t="s">
        <v>1104</v>
      </c>
      <c r="D150" s="176"/>
      <c r="E150" s="368"/>
      <c r="F150" s="320" t="s">
        <v>940</v>
      </c>
      <c r="G150" s="320"/>
      <c r="H150" s="417">
        <v>0</v>
      </c>
      <c r="I150" s="417">
        <v>0</v>
      </c>
      <c r="J150" s="417">
        <v>0</v>
      </c>
      <c r="K150" s="417">
        <v>0</v>
      </c>
      <c r="L150" s="417">
        <v>0</v>
      </c>
      <c r="M150" s="417">
        <v>0</v>
      </c>
      <c r="N150" s="417">
        <v>0</v>
      </c>
      <c r="O150" s="417">
        <v>0</v>
      </c>
      <c r="P150" s="417">
        <v>0</v>
      </c>
      <c r="Q150" s="819">
        <v>0</v>
      </c>
      <c r="R150" s="417">
        <v>0</v>
      </c>
      <c r="S150" s="417">
        <v>0</v>
      </c>
      <c r="T150" s="402"/>
      <c r="U150" s="366"/>
      <c r="V150" s="165"/>
      <c r="W150" s="212"/>
      <c r="X150" s="1518">
        <v>0</v>
      </c>
      <c r="Y150" s="1518">
        <v>0</v>
      </c>
      <c r="Z150" s="1518">
        <v>0</v>
      </c>
      <c r="AA150" s="1518">
        <v>0</v>
      </c>
      <c r="AB150" s="1518">
        <v>0</v>
      </c>
      <c r="AC150" s="1518">
        <v>0</v>
      </c>
      <c r="AD150" s="1518">
        <v>0</v>
      </c>
      <c r="AE150" s="1518">
        <v>0</v>
      </c>
      <c r="AF150" s="1518">
        <v>0</v>
      </c>
      <c r="AG150" s="1519">
        <v>0</v>
      </c>
      <c r="AH150" s="1518">
        <v>0</v>
      </c>
      <c r="AI150" s="1518">
        <v>0</v>
      </c>
      <c r="AJ150" s="375">
        <f>SUM(X150:AI150)</f>
        <v>0</v>
      </c>
      <c r="AK150" s="212"/>
      <c r="AL150" s="417">
        <v>0</v>
      </c>
      <c r="AM150" s="417">
        <v>0</v>
      </c>
      <c r="AN150" s="417">
        <v>0</v>
      </c>
      <c r="AO150" s="417">
        <v>0</v>
      </c>
      <c r="AP150" s="417">
        <v>0</v>
      </c>
      <c r="AQ150" s="417">
        <v>0</v>
      </c>
      <c r="AR150" s="417">
        <v>0</v>
      </c>
      <c r="AS150" s="417">
        <v>0</v>
      </c>
      <c r="AT150" s="417">
        <v>0</v>
      </c>
      <c r="AU150" s="819">
        <v>0</v>
      </c>
      <c r="AV150" s="417">
        <v>0</v>
      </c>
      <c r="AW150" s="417">
        <v>0</v>
      </c>
      <c r="AX150" s="375">
        <f t="shared" si="124"/>
        <v>0</v>
      </c>
      <c r="AY150" s="366"/>
      <c r="AZ150" s="165"/>
      <c r="BA150" s="212"/>
      <c r="BB150" s="417">
        <v>0</v>
      </c>
      <c r="BC150" s="417">
        <v>0</v>
      </c>
      <c r="BD150" s="417">
        <v>0</v>
      </c>
      <c r="BE150" s="417">
        <v>0</v>
      </c>
      <c r="BF150" s="417">
        <v>0</v>
      </c>
      <c r="BG150" s="417">
        <v>0</v>
      </c>
      <c r="BH150" s="417">
        <v>0</v>
      </c>
      <c r="BI150" s="417">
        <v>0</v>
      </c>
      <c r="BJ150" s="417">
        <v>0</v>
      </c>
      <c r="BK150" s="819">
        <v>0</v>
      </c>
      <c r="BL150" s="417">
        <v>0</v>
      </c>
      <c r="BM150" s="417">
        <v>0</v>
      </c>
      <c r="BN150" s="375">
        <f>SUM(BB150:BM150)</f>
        <v>0</v>
      </c>
      <c r="BO150" s="212"/>
      <c r="BP150" s="818"/>
      <c r="BQ150" s="818"/>
      <c r="BR150" s="818"/>
      <c r="BS150" s="818"/>
      <c r="BT150" s="818"/>
      <c r="BU150" s="818"/>
      <c r="BV150" s="818"/>
      <c r="BW150" s="818"/>
      <c r="BX150" s="818"/>
      <c r="BY150" s="818"/>
      <c r="BZ150" s="818"/>
      <c r="CA150" s="818"/>
      <c r="CB150" s="375"/>
      <c r="CC150" s="366"/>
      <c r="CD150" s="165"/>
      <c r="CE150" s="367"/>
      <c r="CF150" s="373"/>
      <c r="CG150" s="373"/>
      <c r="CH150" s="373"/>
      <c r="CI150" s="373"/>
      <c r="CJ150" s="373"/>
      <c r="CK150" s="373"/>
      <c r="CL150" s="373"/>
      <c r="CM150" s="373"/>
      <c r="CN150" s="373"/>
      <c r="CO150" s="373"/>
      <c r="CP150" s="373"/>
      <c r="CQ150" s="373"/>
      <c r="CR150" s="376"/>
      <c r="CS150" s="375"/>
      <c r="CT150" s="378"/>
      <c r="CU150" s="165"/>
      <c r="CV150" s="320"/>
      <c r="CW150" s="373"/>
      <c r="CX150" s="373"/>
      <c r="CY150" s="373"/>
      <c r="CZ150" s="373"/>
      <c r="DA150" s="373"/>
      <c r="DB150" s="373"/>
      <c r="DC150" s="373"/>
      <c r="DD150" s="373"/>
      <c r="DE150" s="373"/>
      <c r="DF150" s="373"/>
      <c r="DG150" s="373"/>
      <c r="DH150" s="373"/>
      <c r="DI150" s="375"/>
      <c r="DJ150" s="320"/>
      <c r="DK150" s="373"/>
      <c r="DL150" s="373"/>
      <c r="DM150" s="373"/>
      <c r="DN150" s="373"/>
      <c r="DO150" s="373"/>
      <c r="DP150" s="373"/>
      <c r="DQ150" s="373"/>
      <c r="DR150" s="373"/>
      <c r="DS150" s="373"/>
      <c r="DT150" s="373"/>
      <c r="DU150" s="373"/>
      <c r="DV150" s="373"/>
      <c r="DW150" s="375"/>
      <c r="DY150" s="373"/>
      <c r="DZ150" s="373"/>
      <c r="EA150" s="373"/>
      <c r="EB150" s="373"/>
      <c r="EC150" s="373"/>
      <c r="ED150" s="373"/>
      <c r="EE150" s="373"/>
      <c r="EF150" s="373"/>
      <c r="EG150" s="373"/>
      <c r="EH150" s="373"/>
      <c r="EI150" s="373"/>
      <c r="EJ150" s="373"/>
      <c r="EK150" s="375"/>
      <c r="EL150" s="177"/>
      <c r="EM150" s="373"/>
      <c r="EN150" s="373"/>
      <c r="EO150" s="373"/>
      <c r="EP150" s="373"/>
      <c r="EQ150" s="373"/>
      <c r="ER150" s="373"/>
      <c r="ES150" s="373"/>
      <c r="ET150" s="373"/>
      <c r="EU150" s="373"/>
      <c r="EV150" s="373"/>
      <c r="EW150" s="373"/>
      <c r="EX150" s="373"/>
      <c r="EY150" s="375"/>
      <c r="EZ150" s="164"/>
    </row>
    <row r="151" spans="1:159" ht="18.75" customHeight="1" outlineLevel="1">
      <c r="A151" s="185" t="s">
        <v>327</v>
      </c>
      <c r="B151" s="176">
        <v>65312000</v>
      </c>
      <c r="C151" s="176" t="s">
        <v>1104</v>
      </c>
      <c r="D151" s="176"/>
      <c r="E151" s="368"/>
      <c r="F151" s="320" t="s">
        <v>938</v>
      </c>
      <c r="G151" s="320"/>
      <c r="H151" s="417">
        <v>0</v>
      </c>
      <c r="I151" s="417">
        <v>0</v>
      </c>
      <c r="J151" s="417">
        <v>0</v>
      </c>
      <c r="K151" s="417">
        <v>0</v>
      </c>
      <c r="L151" s="417">
        <v>0</v>
      </c>
      <c r="M151" s="417">
        <v>0</v>
      </c>
      <c r="N151" s="417">
        <v>0</v>
      </c>
      <c r="O151" s="417">
        <v>0</v>
      </c>
      <c r="P151" s="417">
        <v>0</v>
      </c>
      <c r="Q151" s="819">
        <v>0</v>
      </c>
      <c r="R151" s="417">
        <v>0</v>
      </c>
      <c r="S151" s="417">
        <v>0</v>
      </c>
      <c r="T151" s="402"/>
      <c r="U151" s="366"/>
      <c r="V151" s="165"/>
      <c r="W151" s="212"/>
      <c r="X151" s="1518">
        <v>0</v>
      </c>
      <c r="Y151" s="1518">
        <v>0</v>
      </c>
      <c r="Z151" s="1518">
        <v>0</v>
      </c>
      <c r="AA151" s="1518">
        <v>0</v>
      </c>
      <c r="AB151" s="1518">
        <v>0</v>
      </c>
      <c r="AC151" s="1518">
        <v>0</v>
      </c>
      <c r="AD151" s="1518">
        <v>0</v>
      </c>
      <c r="AE151" s="1518">
        <v>0</v>
      </c>
      <c r="AF151" s="1518">
        <v>0</v>
      </c>
      <c r="AG151" s="1519">
        <v>0</v>
      </c>
      <c r="AH151" s="1518">
        <v>0</v>
      </c>
      <c r="AI151" s="1518">
        <v>0</v>
      </c>
      <c r="AJ151" s="375">
        <f>SUM(X151:AI151)</f>
        <v>0</v>
      </c>
      <c r="AK151" s="212"/>
      <c r="AL151" s="417">
        <v>0</v>
      </c>
      <c r="AM151" s="417">
        <v>0</v>
      </c>
      <c r="AN151" s="417">
        <v>0</v>
      </c>
      <c r="AO151" s="417">
        <v>0</v>
      </c>
      <c r="AP151" s="417">
        <v>0</v>
      </c>
      <c r="AQ151" s="417">
        <v>0</v>
      </c>
      <c r="AR151" s="417">
        <v>0</v>
      </c>
      <c r="AS151" s="417">
        <v>0</v>
      </c>
      <c r="AT151" s="417">
        <v>0</v>
      </c>
      <c r="AU151" s="819">
        <v>0</v>
      </c>
      <c r="AV151" s="417">
        <v>0</v>
      </c>
      <c r="AW151" s="417">
        <v>0</v>
      </c>
      <c r="AX151" s="375">
        <f t="shared" si="124"/>
        <v>0</v>
      </c>
      <c r="AY151" s="366"/>
      <c r="AZ151" s="165"/>
      <c r="BA151" s="212"/>
      <c r="BB151" s="417">
        <v>0</v>
      </c>
      <c r="BC151" s="417">
        <v>0</v>
      </c>
      <c r="BD151" s="417">
        <v>0</v>
      </c>
      <c r="BE151" s="417">
        <v>0</v>
      </c>
      <c r="BF151" s="417">
        <v>0</v>
      </c>
      <c r="BG151" s="417">
        <v>0</v>
      </c>
      <c r="BH151" s="417">
        <v>0</v>
      </c>
      <c r="BI151" s="417">
        <v>0</v>
      </c>
      <c r="BJ151" s="417">
        <v>0</v>
      </c>
      <c r="BK151" s="819">
        <v>0</v>
      </c>
      <c r="BL151" s="417">
        <v>0</v>
      </c>
      <c r="BM151" s="417">
        <v>0</v>
      </c>
      <c r="BN151" s="375">
        <f>SUM(BB151:BM151)</f>
        <v>0</v>
      </c>
      <c r="BO151" s="212"/>
      <c r="BP151" s="818"/>
      <c r="BQ151" s="818"/>
      <c r="BR151" s="818"/>
      <c r="BS151" s="818"/>
      <c r="BT151" s="818"/>
      <c r="BU151" s="818"/>
      <c r="BV151" s="818"/>
      <c r="BW151" s="818"/>
      <c r="BX151" s="818"/>
      <c r="BY151" s="818"/>
      <c r="BZ151" s="818"/>
      <c r="CA151" s="818"/>
      <c r="CB151" s="375"/>
      <c r="CC151" s="366"/>
      <c r="CD151" s="165"/>
      <c r="CE151" s="367"/>
      <c r="CF151" s="373"/>
      <c r="CG151" s="373"/>
      <c r="CH151" s="373"/>
      <c r="CI151" s="373"/>
      <c r="CJ151" s="373"/>
      <c r="CK151" s="373"/>
      <c r="CL151" s="373"/>
      <c r="CM151" s="373"/>
      <c r="CN151" s="373"/>
      <c r="CO151" s="373"/>
      <c r="CP151" s="373"/>
      <c r="CQ151" s="373"/>
      <c r="CR151" s="376"/>
      <c r="CS151" s="375"/>
      <c r="CT151" s="378"/>
      <c r="CU151" s="165"/>
      <c r="CV151" s="320"/>
      <c r="CW151" s="373"/>
      <c r="CX151" s="373"/>
      <c r="CY151" s="373"/>
      <c r="CZ151" s="373"/>
      <c r="DA151" s="373"/>
      <c r="DB151" s="373"/>
      <c r="DC151" s="373"/>
      <c r="DD151" s="373"/>
      <c r="DE151" s="373"/>
      <c r="DF151" s="373"/>
      <c r="DG151" s="373"/>
      <c r="DH151" s="373"/>
      <c r="DI151" s="375"/>
      <c r="DJ151" s="320"/>
      <c r="DK151" s="373"/>
      <c r="DL151" s="373"/>
      <c r="DM151" s="373"/>
      <c r="DN151" s="373"/>
      <c r="DO151" s="373"/>
      <c r="DP151" s="373"/>
      <c r="DQ151" s="373"/>
      <c r="DR151" s="373"/>
      <c r="DS151" s="373"/>
      <c r="DT151" s="373"/>
      <c r="DU151" s="373"/>
      <c r="DV151" s="373"/>
      <c r="DW151" s="375"/>
      <c r="DY151" s="373"/>
      <c r="DZ151" s="373"/>
      <c r="EA151" s="373"/>
      <c r="EB151" s="373"/>
      <c r="EC151" s="373"/>
      <c r="ED151" s="373"/>
      <c r="EE151" s="373"/>
      <c r="EF151" s="373"/>
      <c r="EG151" s="373"/>
      <c r="EH151" s="373"/>
      <c r="EI151" s="373"/>
      <c r="EJ151" s="373"/>
      <c r="EK151" s="375"/>
      <c r="EL151" s="177"/>
      <c r="EM151" s="373"/>
      <c r="EN151" s="373"/>
      <c r="EO151" s="373"/>
      <c r="EP151" s="373"/>
      <c r="EQ151" s="373"/>
      <c r="ER151" s="373"/>
      <c r="ES151" s="373"/>
      <c r="ET151" s="373"/>
      <c r="EU151" s="373"/>
      <c r="EV151" s="373"/>
      <c r="EW151" s="373"/>
      <c r="EX151" s="373"/>
      <c r="EY151" s="375"/>
      <c r="EZ151" s="164"/>
    </row>
    <row r="152" spans="1:159" ht="18.75" customHeight="1" outlineLevel="1">
      <c r="A152" s="185" t="s">
        <v>618</v>
      </c>
      <c r="B152" s="176">
        <v>66001000</v>
      </c>
      <c r="C152" s="176" t="s">
        <v>1103</v>
      </c>
      <c r="D152" s="176" t="s">
        <v>335</v>
      </c>
      <c r="E152" s="324"/>
      <c r="F152" s="320" t="s">
        <v>360</v>
      </c>
      <c r="G152" s="320"/>
      <c r="H152" s="417">
        <v>0</v>
      </c>
      <c r="I152" s="417">
        <v>0</v>
      </c>
      <c r="J152" s="417">
        <v>0</v>
      </c>
      <c r="K152" s="417">
        <v>0</v>
      </c>
      <c r="L152" s="417">
        <v>0</v>
      </c>
      <c r="M152" s="417">
        <v>0</v>
      </c>
      <c r="N152" s="417">
        <v>0</v>
      </c>
      <c r="O152" s="417">
        <v>0</v>
      </c>
      <c r="P152" s="417">
        <v>0</v>
      </c>
      <c r="Q152" s="819">
        <v>0</v>
      </c>
      <c r="R152" s="417">
        <v>0</v>
      </c>
      <c r="S152" s="417">
        <v>0</v>
      </c>
      <c r="T152" s="402"/>
      <c r="U152" s="366"/>
      <c r="V152" s="165"/>
      <c r="W152" s="212"/>
      <c r="X152" s="1518">
        <v>0</v>
      </c>
      <c r="Y152" s="1518">
        <v>0</v>
      </c>
      <c r="Z152" s="1518">
        <v>0</v>
      </c>
      <c r="AA152" s="1518">
        <v>0</v>
      </c>
      <c r="AB152" s="1518">
        <v>0</v>
      </c>
      <c r="AC152" s="1518">
        <v>0</v>
      </c>
      <c r="AD152" s="1518">
        <v>0</v>
      </c>
      <c r="AE152" s="1518">
        <v>0</v>
      </c>
      <c r="AF152" s="1518">
        <v>0</v>
      </c>
      <c r="AG152" s="1519">
        <v>0</v>
      </c>
      <c r="AH152" s="1518">
        <v>0</v>
      </c>
      <c r="AI152" s="1518">
        <v>0</v>
      </c>
      <c r="AJ152" s="375">
        <f t="shared" ref="AJ152:AJ156" si="130">SUM(X152:AI152)</f>
        <v>0</v>
      </c>
      <c r="AK152" s="212"/>
      <c r="AL152" s="417">
        <v>0</v>
      </c>
      <c r="AM152" s="417">
        <v>0</v>
      </c>
      <c r="AN152" s="417">
        <v>0</v>
      </c>
      <c r="AO152" s="417">
        <v>0</v>
      </c>
      <c r="AP152" s="417">
        <v>0</v>
      </c>
      <c r="AQ152" s="417">
        <v>0</v>
      </c>
      <c r="AR152" s="417">
        <v>0</v>
      </c>
      <c r="AS152" s="417">
        <v>0</v>
      </c>
      <c r="AT152" s="417">
        <v>0</v>
      </c>
      <c r="AU152" s="819">
        <v>0</v>
      </c>
      <c r="AV152" s="417">
        <v>0</v>
      </c>
      <c r="AW152" s="417">
        <v>0</v>
      </c>
      <c r="AX152" s="375">
        <f t="shared" si="124"/>
        <v>0</v>
      </c>
      <c r="AY152" s="366"/>
      <c r="AZ152" s="165"/>
      <c r="BA152" s="212"/>
      <c r="BB152" s="417">
        <v>0</v>
      </c>
      <c r="BC152" s="417">
        <v>0</v>
      </c>
      <c r="BD152" s="417">
        <v>0</v>
      </c>
      <c r="BE152" s="417">
        <v>0</v>
      </c>
      <c r="BF152" s="417">
        <v>0</v>
      </c>
      <c r="BG152" s="417">
        <v>0</v>
      </c>
      <c r="BH152" s="417">
        <v>0</v>
      </c>
      <c r="BI152" s="417">
        <v>0</v>
      </c>
      <c r="BJ152" s="417">
        <v>0</v>
      </c>
      <c r="BK152" s="819">
        <v>0</v>
      </c>
      <c r="BL152" s="417">
        <v>0</v>
      </c>
      <c r="BM152" s="417">
        <v>0</v>
      </c>
      <c r="BN152" s="375">
        <f t="shared" si="117"/>
        <v>0</v>
      </c>
      <c r="BO152" s="212"/>
      <c r="BP152" s="818">
        <v>0</v>
      </c>
      <c r="BQ152" s="818">
        <v>0</v>
      </c>
      <c r="BR152" s="818">
        <v>0</v>
      </c>
      <c r="BS152" s="818">
        <v>0</v>
      </c>
      <c r="BT152" s="818">
        <v>0</v>
      </c>
      <c r="BU152" s="818">
        <v>0</v>
      </c>
      <c r="BV152" s="818">
        <v>0</v>
      </c>
      <c r="BW152" s="818">
        <v>0</v>
      </c>
      <c r="BX152" s="818">
        <v>0</v>
      </c>
      <c r="BY152" s="818">
        <v>0</v>
      </c>
      <c r="BZ152" s="818">
        <v>0</v>
      </c>
      <c r="CA152" s="818">
        <v>0</v>
      </c>
      <c r="CB152" s="375">
        <f t="shared" si="114"/>
        <v>0</v>
      </c>
      <c r="CC152" s="366">
        <f t="shared" si="110"/>
        <v>0</v>
      </c>
      <c r="CD152" s="165" t="str">
        <f t="shared" si="111"/>
        <v>N/A</v>
      </c>
      <c r="CE152" s="367"/>
      <c r="CF152" s="373">
        <v>0</v>
      </c>
      <c r="CG152" s="373">
        <v>0</v>
      </c>
      <c r="CH152" s="373">
        <v>0</v>
      </c>
      <c r="CI152" s="373">
        <v>0</v>
      </c>
      <c r="CJ152" s="373">
        <v>0</v>
      </c>
      <c r="CK152" s="373">
        <v>0</v>
      </c>
      <c r="CL152" s="373">
        <v>0</v>
      </c>
      <c r="CM152" s="373">
        <v>0</v>
      </c>
      <c r="CN152" s="373">
        <v>0</v>
      </c>
      <c r="CO152" s="373">
        <v>0</v>
      </c>
      <c r="CP152" s="373">
        <v>0</v>
      </c>
      <c r="CQ152" s="373">
        <v>0</v>
      </c>
      <c r="CR152" s="376"/>
      <c r="CS152" s="375">
        <f t="shared" si="125"/>
        <v>0</v>
      </c>
      <c r="CT152" s="378">
        <f t="shared" si="112"/>
        <v>0</v>
      </c>
      <c r="CU152" s="165" t="str">
        <f t="shared" si="113"/>
        <v>N/A</v>
      </c>
      <c r="CV152" s="320"/>
      <c r="CW152" s="373">
        <v>0</v>
      </c>
      <c r="CX152" s="373">
        <v>0</v>
      </c>
      <c r="CY152" s="373">
        <v>0</v>
      </c>
      <c r="CZ152" s="373">
        <v>0</v>
      </c>
      <c r="DA152" s="373">
        <v>0</v>
      </c>
      <c r="DB152" s="373">
        <v>0</v>
      </c>
      <c r="DC152" s="373">
        <v>0</v>
      </c>
      <c r="DD152" s="373">
        <v>0</v>
      </c>
      <c r="DE152" s="373">
        <v>0</v>
      </c>
      <c r="DF152" s="373">
        <v>0</v>
      </c>
      <c r="DG152" s="373">
        <v>0</v>
      </c>
      <c r="DH152" s="373">
        <v>0</v>
      </c>
      <c r="DI152" s="375">
        <f t="shared" si="126"/>
        <v>0</v>
      </c>
      <c r="DJ152" s="320"/>
      <c r="DK152" s="373"/>
      <c r="DL152" s="373"/>
      <c r="DM152" s="373"/>
      <c r="DN152" s="373"/>
      <c r="DO152" s="373"/>
      <c r="DP152" s="373"/>
      <c r="DQ152" s="373"/>
      <c r="DR152" s="373"/>
      <c r="DS152" s="373"/>
      <c r="DT152" s="373"/>
      <c r="DU152" s="373"/>
      <c r="DV152" s="373"/>
      <c r="DW152" s="375">
        <f t="shared" si="127"/>
        <v>0</v>
      </c>
      <c r="DY152" s="373"/>
      <c r="DZ152" s="373"/>
      <c r="EA152" s="373"/>
      <c r="EB152" s="373"/>
      <c r="EC152" s="373"/>
      <c r="ED152" s="373"/>
      <c r="EE152" s="373"/>
      <c r="EF152" s="373"/>
      <c r="EG152" s="373"/>
      <c r="EH152" s="373"/>
      <c r="EI152" s="373"/>
      <c r="EJ152" s="373"/>
      <c r="EK152" s="375">
        <f t="shared" si="128"/>
        <v>0</v>
      </c>
      <c r="EL152" s="177"/>
      <c r="EM152" s="373"/>
      <c r="EN152" s="373"/>
      <c r="EO152" s="373"/>
      <c r="EP152" s="373"/>
      <c r="EQ152" s="373"/>
      <c r="ER152" s="373"/>
      <c r="ES152" s="373"/>
      <c r="ET152" s="373"/>
      <c r="EU152" s="373"/>
      <c r="EV152" s="373"/>
      <c r="EW152" s="373"/>
      <c r="EX152" s="373"/>
      <c r="EY152" s="375">
        <f t="shared" si="129"/>
        <v>0</v>
      </c>
      <c r="EZ152" s="164"/>
      <c r="FB152" s="185">
        <v>65001000</v>
      </c>
      <c r="FC152" s="185">
        <v>0</v>
      </c>
    </row>
    <row r="153" spans="1:159" ht="18.75" customHeight="1" outlineLevel="1">
      <c r="A153" s="185" t="s">
        <v>618</v>
      </c>
      <c r="B153" s="176">
        <v>66002000</v>
      </c>
      <c r="C153" s="176" t="s">
        <v>1103</v>
      </c>
      <c r="D153" s="176" t="s">
        <v>335</v>
      </c>
      <c r="E153" s="324"/>
      <c r="F153" s="320" t="s">
        <v>706</v>
      </c>
      <c r="G153" s="320"/>
      <c r="H153" s="417">
        <v>0</v>
      </c>
      <c r="I153" s="417">
        <v>0</v>
      </c>
      <c r="J153" s="417">
        <v>0</v>
      </c>
      <c r="K153" s="417">
        <v>0</v>
      </c>
      <c r="L153" s="417">
        <v>0</v>
      </c>
      <c r="M153" s="417">
        <v>0</v>
      </c>
      <c r="N153" s="417">
        <v>0</v>
      </c>
      <c r="O153" s="417">
        <v>0</v>
      </c>
      <c r="P153" s="417">
        <v>0</v>
      </c>
      <c r="Q153" s="819">
        <v>0</v>
      </c>
      <c r="R153" s="417">
        <v>0</v>
      </c>
      <c r="S153" s="417">
        <v>0</v>
      </c>
      <c r="T153" s="402"/>
      <c r="U153" s="366"/>
      <c r="V153" s="165"/>
      <c r="W153" s="212"/>
      <c r="X153" s="1518">
        <v>0</v>
      </c>
      <c r="Y153" s="1518">
        <v>0</v>
      </c>
      <c r="Z153" s="1518">
        <v>0</v>
      </c>
      <c r="AA153" s="1518">
        <v>0</v>
      </c>
      <c r="AB153" s="1518">
        <v>0</v>
      </c>
      <c r="AC153" s="1518">
        <v>0</v>
      </c>
      <c r="AD153" s="1518">
        <v>0</v>
      </c>
      <c r="AE153" s="1518">
        <v>0</v>
      </c>
      <c r="AF153" s="1518">
        <v>0</v>
      </c>
      <c r="AG153" s="1519">
        <v>0</v>
      </c>
      <c r="AH153" s="1518">
        <v>0</v>
      </c>
      <c r="AI153" s="1518">
        <v>0</v>
      </c>
      <c r="AJ153" s="375">
        <f t="shared" si="130"/>
        <v>0</v>
      </c>
      <c r="AK153" s="212"/>
      <c r="AL153" s="417">
        <v>0</v>
      </c>
      <c r="AM153" s="417">
        <v>0</v>
      </c>
      <c r="AN153" s="417">
        <v>0</v>
      </c>
      <c r="AO153" s="417">
        <v>0</v>
      </c>
      <c r="AP153" s="417">
        <v>0</v>
      </c>
      <c r="AQ153" s="417">
        <v>0</v>
      </c>
      <c r="AR153" s="417">
        <v>0</v>
      </c>
      <c r="AS153" s="417">
        <v>0</v>
      </c>
      <c r="AT153" s="417">
        <v>0</v>
      </c>
      <c r="AU153" s="819">
        <v>0</v>
      </c>
      <c r="AV153" s="417">
        <v>0</v>
      </c>
      <c r="AW153" s="417">
        <v>0</v>
      </c>
      <c r="AX153" s="375">
        <f t="shared" si="124"/>
        <v>0</v>
      </c>
      <c r="AY153" s="366"/>
      <c r="AZ153" s="165"/>
      <c r="BA153" s="212"/>
      <c r="BB153" s="417">
        <v>0</v>
      </c>
      <c r="BC153" s="417">
        <v>0</v>
      </c>
      <c r="BD153" s="417">
        <v>0</v>
      </c>
      <c r="BE153" s="417">
        <v>0</v>
      </c>
      <c r="BF153" s="417">
        <v>0</v>
      </c>
      <c r="BG153" s="417">
        <v>0</v>
      </c>
      <c r="BH153" s="417">
        <v>0</v>
      </c>
      <c r="BI153" s="417">
        <v>0</v>
      </c>
      <c r="BJ153" s="417">
        <v>0</v>
      </c>
      <c r="BK153" s="819">
        <v>0</v>
      </c>
      <c r="BL153" s="417">
        <v>0</v>
      </c>
      <c r="BM153" s="417">
        <v>0</v>
      </c>
      <c r="BN153" s="375">
        <f t="shared" si="117"/>
        <v>0</v>
      </c>
      <c r="BO153" s="212"/>
      <c r="BP153" s="818">
        <v>0</v>
      </c>
      <c r="BQ153" s="818">
        <v>0</v>
      </c>
      <c r="BR153" s="818">
        <v>0</v>
      </c>
      <c r="BS153" s="818">
        <v>0</v>
      </c>
      <c r="BT153" s="818">
        <v>0</v>
      </c>
      <c r="BU153" s="818">
        <v>0</v>
      </c>
      <c r="BV153" s="818">
        <v>0</v>
      </c>
      <c r="BW153" s="818">
        <v>0</v>
      </c>
      <c r="BX153" s="818">
        <v>0</v>
      </c>
      <c r="BY153" s="818">
        <v>0</v>
      </c>
      <c r="BZ153" s="818">
        <v>0</v>
      </c>
      <c r="CA153" s="818">
        <v>0</v>
      </c>
      <c r="CB153" s="375">
        <f t="shared" si="114"/>
        <v>0</v>
      </c>
      <c r="CC153" s="366">
        <f t="shared" si="110"/>
        <v>0</v>
      </c>
      <c r="CD153" s="165" t="str">
        <f t="shared" si="111"/>
        <v>N/A</v>
      </c>
      <c r="CE153" s="367"/>
      <c r="CF153" s="373">
        <v>0</v>
      </c>
      <c r="CG153" s="373">
        <v>0</v>
      </c>
      <c r="CH153" s="373">
        <v>0</v>
      </c>
      <c r="CI153" s="373">
        <v>0</v>
      </c>
      <c r="CJ153" s="373">
        <v>0</v>
      </c>
      <c r="CK153" s="373">
        <v>0</v>
      </c>
      <c r="CL153" s="373">
        <v>0</v>
      </c>
      <c r="CM153" s="373">
        <v>0</v>
      </c>
      <c r="CN153" s="373">
        <v>0</v>
      </c>
      <c r="CO153" s="373">
        <v>0</v>
      </c>
      <c r="CP153" s="373">
        <v>0</v>
      </c>
      <c r="CQ153" s="373">
        <v>0</v>
      </c>
      <c r="CR153" s="376"/>
      <c r="CS153" s="375">
        <f t="shared" si="125"/>
        <v>0</v>
      </c>
      <c r="CT153" s="378">
        <f t="shared" si="112"/>
        <v>0</v>
      </c>
      <c r="CU153" s="165" t="str">
        <f t="shared" si="113"/>
        <v>N/A</v>
      </c>
      <c r="CV153" s="320"/>
      <c r="CW153" s="373">
        <v>0</v>
      </c>
      <c r="CX153" s="373">
        <v>0</v>
      </c>
      <c r="CY153" s="373">
        <v>0</v>
      </c>
      <c r="CZ153" s="373">
        <v>0</v>
      </c>
      <c r="DA153" s="373">
        <v>0</v>
      </c>
      <c r="DB153" s="373">
        <v>0</v>
      </c>
      <c r="DC153" s="373">
        <v>0</v>
      </c>
      <c r="DD153" s="373">
        <v>0</v>
      </c>
      <c r="DE153" s="373">
        <v>0</v>
      </c>
      <c r="DF153" s="373">
        <v>0</v>
      </c>
      <c r="DG153" s="373">
        <v>0</v>
      </c>
      <c r="DH153" s="373">
        <v>0</v>
      </c>
      <c r="DI153" s="375">
        <f t="shared" si="126"/>
        <v>0</v>
      </c>
      <c r="DJ153" s="320"/>
      <c r="DK153" s="373"/>
      <c r="DL153" s="373"/>
      <c r="DM153" s="373"/>
      <c r="DN153" s="373"/>
      <c r="DO153" s="373"/>
      <c r="DP153" s="373"/>
      <c r="DQ153" s="373"/>
      <c r="DR153" s="373"/>
      <c r="DS153" s="373"/>
      <c r="DT153" s="373"/>
      <c r="DU153" s="373"/>
      <c r="DV153" s="373"/>
      <c r="DW153" s="375">
        <f t="shared" si="127"/>
        <v>0</v>
      </c>
      <c r="DY153" s="373"/>
      <c r="DZ153" s="373"/>
      <c r="EA153" s="373"/>
      <c r="EB153" s="373"/>
      <c r="EC153" s="373"/>
      <c r="ED153" s="373"/>
      <c r="EE153" s="373"/>
      <c r="EF153" s="373"/>
      <c r="EG153" s="373"/>
      <c r="EH153" s="373"/>
      <c r="EI153" s="373"/>
      <c r="EJ153" s="373"/>
      <c r="EK153" s="375">
        <f t="shared" si="128"/>
        <v>0</v>
      </c>
      <c r="EL153" s="177"/>
      <c r="EM153" s="373"/>
      <c r="EN153" s="373"/>
      <c r="EO153" s="373"/>
      <c r="EP153" s="373"/>
      <c r="EQ153" s="373"/>
      <c r="ER153" s="373"/>
      <c r="ES153" s="373"/>
      <c r="ET153" s="373"/>
      <c r="EU153" s="373"/>
      <c r="EV153" s="373"/>
      <c r="EW153" s="373"/>
      <c r="EX153" s="373"/>
      <c r="EY153" s="375">
        <f t="shared" si="129"/>
        <v>0</v>
      </c>
      <c r="EZ153" s="164"/>
      <c r="FB153" s="185" t="e">
        <v>#N/A</v>
      </c>
      <c r="FC153" s="185">
        <v>0</v>
      </c>
    </row>
    <row r="154" spans="1:159" ht="18.75" customHeight="1" outlineLevel="1">
      <c r="A154" s="185" t="s">
        <v>618</v>
      </c>
      <c r="B154" s="176">
        <v>66003000</v>
      </c>
      <c r="C154" s="176" t="s">
        <v>1103</v>
      </c>
      <c r="D154" s="176" t="s">
        <v>335</v>
      </c>
      <c r="E154" s="324"/>
      <c r="F154" s="320" t="s">
        <v>707</v>
      </c>
      <c r="G154" s="320"/>
      <c r="H154" s="417">
        <v>0</v>
      </c>
      <c r="I154" s="417">
        <v>0</v>
      </c>
      <c r="J154" s="417">
        <v>0</v>
      </c>
      <c r="K154" s="417">
        <v>0</v>
      </c>
      <c r="L154" s="417">
        <v>0</v>
      </c>
      <c r="M154" s="417">
        <v>0</v>
      </c>
      <c r="N154" s="417">
        <v>0</v>
      </c>
      <c r="O154" s="417">
        <v>0</v>
      </c>
      <c r="P154" s="417">
        <v>0</v>
      </c>
      <c r="Q154" s="819">
        <v>0</v>
      </c>
      <c r="R154" s="417">
        <v>0</v>
      </c>
      <c r="S154" s="417">
        <v>0</v>
      </c>
      <c r="T154" s="402"/>
      <c r="U154" s="366"/>
      <c r="V154" s="165"/>
      <c r="W154" s="212"/>
      <c r="X154" s="1518">
        <v>0</v>
      </c>
      <c r="Y154" s="1518">
        <v>0</v>
      </c>
      <c r="Z154" s="1518">
        <v>0</v>
      </c>
      <c r="AA154" s="1518">
        <v>0</v>
      </c>
      <c r="AB154" s="1518">
        <v>0</v>
      </c>
      <c r="AC154" s="1518">
        <v>0</v>
      </c>
      <c r="AD154" s="1518">
        <v>0</v>
      </c>
      <c r="AE154" s="1518">
        <v>0</v>
      </c>
      <c r="AF154" s="1518">
        <v>0</v>
      </c>
      <c r="AG154" s="1519">
        <v>0</v>
      </c>
      <c r="AH154" s="1518">
        <v>0</v>
      </c>
      <c r="AI154" s="1518">
        <v>0</v>
      </c>
      <c r="AJ154" s="375">
        <f t="shared" si="130"/>
        <v>0</v>
      </c>
      <c r="AK154" s="212"/>
      <c r="AL154" s="417">
        <v>0</v>
      </c>
      <c r="AM154" s="417">
        <v>0</v>
      </c>
      <c r="AN154" s="417">
        <v>0</v>
      </c>
      <c r="AO154" s="417">
        <v>0</v>
      </c>
      <c r="AP154" s="417">
        <v>0</v>
      </c>
      <c r="AQ154" s="417">
        <v>0</v>
      </c>
      <c r="AR154" s="417">
        <v>0</v>
      </c>
      <c r="AS154" s="417">
        <v>0</v>
      </c>
      <c r="AT154" s="417">
        <v>0</v>
      </c>
      <c r="AU154" s="819">
        <v>0</v>
      </c>
      <c r="AV154" s="417">
        <v>0</v>
      </c>
      <c r="AW154" s="417">
        <v>0</v>
      </c>
      <c r="AX154" s="375">
        <f t="shared" si="124"/>
        <v>0</v>
      </c>
      <c r="AY154" s="366"/>
      <c r="AZ154" s="165"/>
      <c r="BA154" s="212"/>
      <c r="BB154" s="417">
        <v>0</v>
      </c>
      <c r="BC154" s="417">
        <v>0</v>
      </c>
      <c r="BD154" s="417">
        <v>0</v>
      </c>
      <c r="BE154" s="417">
        <v>0</v>
      </c>
      <c r="BF154" s="417">
        <v>0</v>
      </c>
      <c r="BG154" s="417">
        <v>0</v>
      </c>
      <c r="BH154" s="417">
        <v>0</v>
      </c>
      <c r="BI154" s="417">
        <v>0</v>
      </c>
      <c r="BJ154" s="417">
        <v>0</v>
      </c>
      <c r="BK154" s="819">
        <v>0</v>
      </c>
      <c r="BL154" s="417">
        <v>0</v>
      </c>
      <c r="BM154" s="417">
        <v>0</v>
      </c>
      <c r="BN154" s="375">
        <f t="shared" si="117"/>
        <v>0</v>
      </c>
      <c r="BO154" s="212"/>
      <c r="BP154" s="818">
        <v>0</v>
      </c>
      <c r="BQ154" s="818">
        <v>0</v>
      </c>
      <c r="BR154" s="818">
        <v>0</v>
      </c>
      <c r="BS154" s="818">
        <v>0</v>
      </c>
      <c r="BT154" s="818">
        <v>0</v>
      </c>
      <c r="BU154" s="818">
        <v>0</v>
      </c>
      <c r="BV154" s="818">
        <v>0</v>
      </c>
      <c r="BW154" s="818">
        <v>0</v>
      </c>
      <c r="BX154" s="818">
        <v>0</v>
      </c>
      <c r="BY154" s="818">
        <v>0</v>
      </c>
      <c r="BZ154" s="818">
        <v>0</v>
      </c>
      <c r="CA154" s="818">
        <v>0</v>
      </c>
      <c r="CB154" s="375">
        <f t="shared" si="114"/>
        <v>0</v>
      </c>
      <c r="CC154" s="366">
        <f t="shared" si="110"/>
        <v>0</v>
      </c>
      <c r="CD154" s="165" t="str">
        <f t="shared" si="111"/>
        <v>N/A</v>
      </c>
      <c r="CE154" s="367"/>
      <c r="CF154" s="373">
        <v>0</v>
      </c>
      <c r="CG154" s="373">
        <v>0</v>
      </c>
      <c r="CH154" s="373">
        <v>0</v>
      </c>
      <c r="CI154" s="373">
        <v>0</v>
      </c>
      <c r="CJ154" s="373">
        <v>0</v>
      </c>
      <c r="CK154" s="373">
        <v>0</v>
      </c>
      <c r="CL154" s="373">
        <v>0</v>
      </c>
      <c r="CM154" s="373">
        <v>0</v>
      </c>
      <c r="CN154" s="373">
        <v>0</v>
      </c>
      <c r="CO154" s="373">
        <v>0</v>
      </c>
      <c r="CP154" s="373">
        <v>0</v>
      </c>
      <c r="CQ154" s="373">
        <v>0</v>
      </c>
      <c r="CR154" s="376"/>
      <c r="CS154" s="375">
        <f>SUM(CF154:CR154)</f>
        <v>0</v>
      </c>
      <c r="CT154" s="378">
        <f t="shared" si="112"/>
        <v>0</v>
      </c>
      <c r="CU154" s="165" t="str">
        <f t="shared" si="113"/>
        <v>N/A</v>
      </c>
      <c r="CV154" s="320"/>
      <c r="CW154" s="373">
        <v>0</v>
      </c>
      <c r="CX154" s="373">
        <v>0</v>
      </c>
      <c r="CY154" s="373">
        <v>0</v>
      </c>
      <c r="CZ154" s="373">
        <v>0</v>
      </c>
      <c r="DA154" s="373">
        <v>0</v>
      </c>
      <c r="DB154" s="373">
        <v>0</v>
      </c>
      <c r="DC154" s="373">
        <v>0</v>
      </c>
      <c r="DD154" s="373">
        <v>0</v>
      </c>
      <c r="DE154" s="373">
        <v>0</v>
      </c>
      <c r="DF154" s="373">
        <v>0</v>
      </c>
      <c r="DG154" s="373">
        <v>0</v>
      </c>
      <c r="DH154" s="373">
        <v>0</v>
      </c>
      <c r="DI154" s="375">
        <f t="shared" si="121"/>
        <v>0</v>
      </c>
      <c r="DJ154" s="320"/>
      <c r="DK154" s="373"/>
      <c r="DL154" s="373"/>
      <c r="DM154" s="373"/>
      <c r="DN154" s="373"/>
      <c r="DO154" s="373"/>
      <c r="DP154" s="373"/>
      <c r="DQ154" s="373"/>
      <c r="DR154" s="373"/>
      <c r="DS154" s="373"/>
      <c r="DT154" s="373"/>
      <c r="DU154" s="373"/>
      <c r="DV154" s="373"/>
      <c r="DW154" s="375">
        <f>SUM(DK154:DV154)</f>
        <v>0</v>
      </c>
      <c r="DY154" s="373"/>
      <c r="DZ154" s="373"/>
      <c r="EA154" s="373"/>
      <c r="EB154" s="373"/>
      <c r="EC154" s="373"/>
      <c r="ED154" s="373"/>
      <c r="EE154" s="373"/>
      <c r="EF154" s="373"/>
      <c r="EG154" s="373"/>
      <c r="EH154" s="373"/>
      <c r="EI154" s="373"/>
      <c r="EJ154" s="373"/>
      <c r="EK154" s="375">
        <f>SUM(DY154:EJ154)</f>
        <v>0</v>
      </c>
      <c r="EL154" s="177"/>
      <c r="EM154" s="373"/>
      <c r="EN154" s="373"/>
      <c r="EO154" s="373"/>
      <c r="EP154" s="373"/>
      <c r="EQ154" s="373"/>
      <c r="ER154" s="373"/>
      <c r="ES154" s="373"/>
      <c r="ET154" s="373"/>
      <c r="EU154" s="373"/>
      <c r="EV154" s="373"/>
      <c r="EW154" s="373"/>
      <c r="EX154" s="373"/>
      <c r="EY154" s="375">
        <f>SUM(EM154:EX154)</f>
        <v>0</v>
      </c>
      <c r="EZ154" s="164"/>
      <c r="FB154" s="185" t="e">
        <v>#N/A</v>
      </c>
      <c r="FC154" s="185">
        <v>0</v>
      </c>
    </row>
    <row r="155" spans="1:159" ht="14.25" customHeight="1" outlineLevel="1">
      <c r="A155" s="185" t="s">
        <v>328</v>
      </c>
      <c r="B155" s="176">
        <v>67001000</v>
      </c>
      <c r="C155" s="176" t="s">
        <v>1102</v>
      </c>
      <c r="D155" s="176" t="s">
        <v>335</v>
      </c>
      <c r="E155" s="324"/>
      <c r="F155" s="320" t="s">
        <v>361</v>
      </c>
      <c r="G155" s="320"/>
      <c r="H155" s="417">
        <v>0</v>
      </c>
      <c r="I155" s="417">
        <v>0</v>
      </c>
      <c r="J155" s="417">
        <v>0</v>
      </c>
      <c r="K155" s="417">
        <v>0</v>
      </c>
      <c r="L155" s="417">
        <v>0</v>
      </c>
      <c r="M155" s="417">
        <v>0</v>
      </c>
      <c r="N155" s="417">
        <v>0</v>
      </c>
      <c r="O155" s="417">
        <v>0</v>
      </c>
      <c r="P155" s="417">
        <v>0</v>
      </c>
      <c r="Q155" s="819">
        <v>0</v>
      </c>
      <c r="R155" s="417">
        <v>0</v>
      </c>
      <c r="S155" s="417">
        <v>0</v>
      </c>
      <c r="T155" s="402"/>
      <c r="U155" s="366"/>
      <c r="V155" s="165"/>
      <c r="W155" s="212"/>
      <c r="X155" s="1518">
        <v>0</v>
      </c>
      <c r="Y155" s="1518">
        <v>0</v>
      </c>
      <c r="Z155" s="1518">
        <v>0</v>
      </c>
      <c r="AA155" s="1518">
        <v>0</v>
      </c>
      <c r="AB155" s="1518">
        <v>0</v>
      </c>
      <c r="AC155" s="1518">
        <v>0</v>
      </c>
      <c r="AD155" s="1518">
        <v>0</v>
      </c>
      <c r="AE155" s="1518">
        <v>0</v>
      </c>
      <c r="AF155" s="1518">
        <v>0</v>
      </c>
      <c r="AG155" s="1519">
        <v>0</v>
      </c>
      <c r="AH155" s="1518">
        <v>0</v>
      </c>
      <c r="AI155" s="1518">
        <v>0</v>
      </c>
      <c r="AJ155" s="375">
        <f t="shared" si="130"/>
        <v>0</v>
      </c>
      <c r="AK155" s="212"/>
      <c r="AL155" s="417">
        <v>0</v>
      </c>
      <c r="AM155" s="417">
        <v>0</v>
      </c>
      <c r="AN155" s="417">
        <v>0</v>
      </c>
      <c r="AO155" s="417">
        <v>0</v>
      </c>
      <c r="AP155" s="417">
        <v>0</v>
      </c>
      <c r="AQ155" s="417">
        <v>0</v>
      </c>
      <c r="AR155" s="417">
        <v>0</v>
      </c>
      <c r="AS155" s="417">
        <v>0</v>
      </c>
      <c r="AT155" s="417">
        <v>0</v>
      </c>
      <c r="AU155" s="819">
        <v>0</v>
      </c>
      <c r="AV155" s="417">
        <v>0</v>
      </c>
      <c r="AW155" s="417">
        <v>0</v>
      </c>
      <c r="AX155" s="375">
        <f t="shared" si="124"/>
        <v>0</v>
      </c>
      <c r="AY155" s="366"/>
      <c r="AZ155" s="165"/>
      <c r="BA155" s="212"/>
      <c r="BB155" s="417">
        <v>0</v>
      </c>
      <c r="BC155" s="417">
        <v>0</v>
      </c>
      <c r="BD155" s="417">
        <v>0</v>
      </c>
      <c r="BE155" s="417">
        <v>0</v>
      </c>
      <c r="BF155" s="417">
        <v>0</v>
      </c>
      <c r="BG155" s="417">
        <v>0</v>
      </c>
      <c r="BH155" s="417">
        <v>0</v>
      </c>
      <c r="BI155" s="417">
        <v>0</v>
      </c>
      <c r="BJ155" s="417">
        <v>0</v>
      </c>
      <c r="BK155" s="819">
        <v>0</v>
      </c>
      <c r="BL155" s="417">
        <v>0</v>
      </c>
      <c r="BM155" s="417">
        <v>0</v>
      </c>
      <c r="BN155" s="375">
        <f t="shared" si="117"/>
        <v>0</v>
      </c>
      <c r="BO155" s="212"/>
      <c r="BP155" s="818">
        <v>0</v>
      </c>
      <c r="BQ155" s="818">
        <v>0</v>
      </c>
      <c r="BR155" s="818">
        <v>0</v>
      </c>
      <c r="BS155" s="818">
        <v>0</v>
      </c>
      <c r="BT155" s="818">
        <v>0</v>
      </c>
      <c r="BU155" s="818">
        <v>0</v>
      </c>
      <c r="BV155" s="818">
        <v>0</v>
      </c>
      <c r="BW155" s="818">
        <v>0</v>
      </c>
      <c r="BX155" s="818">
        <v>0</v>
      </c>
      <c r="BY155" s="818">
        <v>0</v>
      </c>
      <c r="BZ155" s="818">
        <v>0</v>
      </c>
      <c r="CA155" s="818">
        <v>0</v>
      </c>
      <c r="CB155" s="375">
        <f t="shared" si="114"/>
        <v>0</v>
      </c>
      <c r="CC155" s="366">
        <f t="shared" si="110"/>
        <v>0</v>
      </c>
      <c r="CD155" s="165" t="str">
        <f t="shared" si="111"/>
        <v>N/A</v>
      </c>
      <c r="CE155" s="367"/>
      <c r="CF155" s="373">
        <v>0</v>
      </c>
      <c r="CG155" s="373">
        <v>0</v>
      </c>
      <c r="CH155" s="373">
        <v>0</v>
      </c>
      <c r="CI155" s="373">
        <v>0</v>
      </c>
      <c r="CJ155" s="373">
        <v>0</v>
      </c>
      <c r="CK155" s="373">
        <v>0</v>
      </c>
      <c r="CL155" s="373">
        <v>0</v>
      </c>
      <c r="CM155" s="373">
        <v>0</v>
      </c>
      <c r="CN155" s="373">
        <v>0</v>
      </c>
      <c r="CO155" s="373">
        <v>0</v>
      </c>
      <c r="CP155" s="373">
        <v>0</v>
      </c>
      <c r="CQ155" s="373">
        <v>0</v>
      </c>
      <c r="CR155" s="376"/>
      <c r="CS155" s="375">
        <f>SUM(CF155:CR155)</f>
        <v>0</v>
      </c>
      <c r="CT155" s="378">
        <f t="shared" si="112"/>
        <v>0</v>
      </c>
      <c r="CU155" s="165" t="str">
        <f t="shared" si="113"/>
        <v>N/A</v>
      </c>
      <c r="CV155" s="320"/>
      <c r="CW155" s="373">
        <v>0</v>
      </c>
      <c r="CX155" s="373">
        <v>0</v>
      </c>
      <c r="CY155" s="373">
        <v>0</v>
      </c>
      <c r="CZ155" s="373">
        <v>0</v>
      </c>
      <c r="DA155" s="373">
        <v>0</v>
      </c>
      <c r="DB155" s="373">
        <v>0</v>
      </c>
      <c r="DC155" s="373">
        <v>0</v>
      </c>
      <c r="DD155" s="373">
        <v>0</v>
      </c>
      <c r="DE155" s="373">
        <v>0</v>
      </c>
      <c r="DF155" s="373">
        <v>0</v>
      </c>
      <c r="DG155" s="373">
        <v>0</v>
      </c>
      <c r="DH155" s="373">
        <v>0</v>
      </c>
      <c r="DI155" s="375">
        <f t="shared" si="121"/>
        <v>0</v>
      </c>
      <c r="DJ155" s="320"/>
      <c r="DK155" s="373"/>
      <c r="DL155" s="373"/>
      <c r="DM155" s="373"/>
      <c r="DN155" s="373"/>
      <c r="DO155" s="373"/>
      <c r="DP155" s="373"/>
      <c r="DQ155" s="373"/>
      <c r="DR155" s="373"/>
      <c r="DS155" s="373"/>
      <c r="DT155" s="373"/>
      <c r="DU155" s="373"/>
      <c r="DV155" s="373"/>
      <c r="DW155" s="375">
        <f>SUM(DK155:DV155)</f>
        <v>0</v>
      </c>
      <c r="DY155" s="373"/>
      <c r="DZ155" s="373"/>
      <c r="EA155" s="373"/>
      <c r="EB155" s="373"/>
      <c r="EC155" s="373"/>
      <c r="ED155" s="373"/>
      <c r="EE155" s="373"/>
      <c r="EF155" s="373"/>
      <c r="EG155" s="373"/>
      <c r="EH155" s="373"/>
      <c r="EI155" s="373"/>
      <c r="EJ155" s="373"/>
      <c r="EK155" s="375">
        <f>SUM(DY155:EJ155)</f>
        <v>0</v>
      </c>
      <c r="EL155" s="177"/>
      <c r="EM155" s="373"/>
      <c r="EN155" s="373"/>
      <c r="EO155" s="373"/>
      <c r="EP155" s="373"/>
      <c r="EQ155" s="373"/>
      <c r="ER155" s="373"/>
      <c r="ES155" s="373"/>
      <c r="ET155" s="373"/>
      <c r="EU155" s="373"/>
      <c r="EV155" s="373"/>
      <c r="EW155" s="373"/>
      <c r="EX155" s="373"/>
      <c r="EY155" s="375">
        <f t="shared" si="96"/>
        <v>0</v>
      </c>
      <c r="EZ155" s="164"/>
      <c r="FB155" s="185" t="s">
        <v>586</v>
      </c>
      <c r="FC155" s="185">
        <v>0</v>
      </c>
    </row>
    <row r="156" spans="1:159" ht="18.75" customHeight="1" outlineLevel="1">
      <c r="A156" s="185" t="s">
        <v>328</v>
      </c>
      <c r="B156" s="176">
        <v>67002000</v>
      </c>
      <c r="C156" s="176" t="s">
        <v>1102</v>
      </c>
      <c r="D156" s="176" t="s">
        <v>335</v>
      </c>
      <c r="E156" s="324"/>
      <c r="F156" s="320" t="s">
        <v>708</v>
      </c>
      <c r="G156" s="320"/>
      <c r="H156" s="417">
        <v>0</v>
      </c>
      <c r="I156" s="417">
        <v>0</v>
      </c>
      <c r="J156" s="417">
        <v>0</v>
      </c>
      <c r="K156" s="417">
        <v>0</v>
      </c>
      <c r="L156" s="417">
        <v>0</v>
      </c>
      <c r="M156" s="417">
        <v>0</v>
      </c>
      <c r="N156" s="417">
        <v>0</v>
      </c>
      <c r="O156" s="417">
        <v>0</v>
      </c>
      <c r="P156" s="417">
        <v>0</v>
      </c>
      <c r="Q156" s="819">
        <v>0</v>
      </c>
      <c r="R156" s="417">
        <v>0</v>
      </c>
      <c r="S156" s="417">
        <v>0</v>
      </c>
      <c r="T156" s="402"/>
      <c r="U156" s="366"/>
      <c r="V156" s="165"/>
      <c r="W156" s="212"/>
      <c r="X156" s="1518">
        <v>0</v>
      </c>
      <c r="Y156" s="1518">
        <v>0</v>
      </c>
      <c r="Z156" s="1518">
        <v>0</v>
      </c>
      <c r="AA156" s="1518">
        <v>0</v>
      </c>
      <c r="AB156" s="1518">
        <v>0</v>
      </c>
      <c r="AC156" s="1518">
        <v>0</v>
      </c>
      <c r="AD156" s="1518">
        <v>0</v>
      </c>
      <c r="AE156" s="1518">
        <v>0</v>
      </c>
      <c r="AF156" s="1518">
        <v>0</v>
      </c>
      <c r="AG156" s="1519">
        <v>0</v>
      </c>
      <c r="AH156" s="1518">
        <v>0</v>
      </c>
      <c r="AI156" s="1518">
        <v>0</v>
      </c>
      <c r="AJ156" s="375">
        <f t="shared" si="130"/>
        <v>0</v>
      </c>
      <c r="AK156" s="212"/>
      <c r="AL156" s="417">
        <v>0</v>
      </c>
      <c r="AM156" s="417">
        <v>0</v>
      </c>
      <c r="AN156" s="417">
        <v>0</v>
      </c>
      <c r="AO156" s="417">
        <v>0</v>
      </c>
      <c r="AP156" s="417">
        <v>0</v>
      </c>
      <c r="AQ156" s="417">
        <v>0</v>
      </c>
      <c r="AR156" s="417">
        <v>0</v>
      </c>
      <c r="AS156" s="417">
        <v>0</v>
      </c>
      <c r="AT156" s="417">
        <v>0</v>
      </c>
      <c r="AU156" s="819">
        <v>0</v>
      </c>
      <c r="AV156" s="417">
        <v>0</v>
      </c>
      <c r="AW156" s="417">
        <v>0</v>
      </c>
      <c r="AX156" s="375">
        <f t="shared" si="124"/>
        <v>0</v>
      </c>
      <c r="AY156" s="366"/>
      <c r="AZ156" s="165"/>
      <c r="BA156" s="212"/>
      <c r="BB156" s="417">
        <v>0</v>
      </c>
      <c r="BC156" s="417">
        <v>0</v>
      </c>
      <c r="BD156" s="417">
        <v>0</v>
      </c>
      <c r="BE156" s="417">
        <v>0</v>
      </c>
      <c r="BF156" s="417">
        <v>0</v>
      </c>
      <c r="BG156" s="417">
        <v>0</v>
      </c>
      <c r="BH156" s="417">
        <v>0</v>
      </c>
      <c r="BI156" s="417">
        <v>0</v>
      </c>
      <c r="BJ156" s="417">
        <v>0</v>
      </c>
      <c r="BK156" s="819">
        <v>0</v>
      </c>
      <c r="BL156" s="417">
        <v>0</v>
      </c>
      <c r="BM156" s="417">
        <v>0</v>
      </c>
      <c r="BN156" s="375">
        <f t="shared" si="117"/>
        <v>0</v>
      </c>
      <c r="BO156" s="212"/>
      <c r="BP156" s="818">
        <v>0</v>
      </c>
      <c r="BQ156" s="818">
        <v>0</v>
      </c>
      <c r="BR156" s="818">
        <v>0</v>
      </c>
      <c r="BS156" s="818">
        <v>0</v>
      </c>
      <c r="BT156" s="818">
        <v>0</v>
      </c>
      <c r="BU156" s="818">
        <v>0</v>
      </c>
      <c r="BV156" s="818">
        <v>0</v>
      </c>
      <c r="BW156" s="818">
        <v>0</v>
      </c>
      <c r="BX156" s="818">
        <v>0</v>
      </c>
      <c r="BY156" s="818">
        <v>0</v>
      </c>
      <c r="BZ156" s="818">
        <v>0</v>
      </c>
      <c r="CA156" s="818">
        <v>0</v>
      </c>
      <c r="CB156" s="375">
        <f t="shared" si="114"/>
        <v>0</v>
      </c>
      <c r="CC156" s="366">
        <f t="shared" si="110"/>
        <v>0</v>
      </c>
      <c r="CD156" s="165" t="str">
        <f t="shared" si="111"/>
        <v>N/A</v>
      </c>
      <c r="CE156" s="367"/>
      <c r="CF156" s="373">
        <v>0</v>
      </c>
      <c r="CG156" s="373">
        <v>0</v>
      </c>
      <c r="CH156" s="373">
        <v>0</v>
      </c>
      <c r="CI156" s="373">
        <v>0</v>
      </c>
      <c r="CJ156" s="373">
        <v>0</v>
      </c>
      <c r="CK156" s="373">
        <v>0</v>
      </c>
      <c r="CL156" s="373">
        <v>0</v>
      </c>
      <c r="CM156" s="373">
        <v>0</v>
      </c>
      <c r="CN156" s="373">
        <v>0</v>
      </c>
      <c r="CO156" s="373">
        <v>0</v>
      </c>
      <c r="CP156" s="373">
        <v>0</v>
      </c>
      <c r="CQ156" s="373">
        <v>0</v>
      </c>
      <c r="CR156" s="376"/>
      <c r="CS156" s="375">
        <f>SUM(CF156:CR156)</f>
        <v>0</v>
      </c>
      <c r="CT156" s="378">
        <f t="shared" si="112"/>
        <v>0</v>
      </c>
      <c r="CU156" s="165" t="str">
        <f t="shared" si="113"/>
        <v>N/A</v>
      </c>
      <c r="CV156" s="320"/>
      <c r="CW156" s="373">
        <v>0</v>
      </c>
      <c r="CX156" s="373">
        <v>0</v>
      </c>
      <c r="CY156" s="373">
        <v>0</v>
      </c>
      <c r="CZ156" s="373">
        <v>0</v>
      </c>
      <c r="DA156" s="373">
        <v>0</v>
      </c>
      <c r="DB156" s="373">
        <v>0</v>
      </c>
      <c r="DC156" s="373">
        <v>0</v>
      </c>
      <c r="DD156" s="373">
        <v>0</v>
      </c>
      <c r="DE156" s="373">
        <v>0</v>
      </c>
      <c r="DF156" s="373">
        <v>0</v>
      </c>
      <c r="DG156" s="373">
        <v>0</v>
      </c>
      <c r="DH156" s="373">
        <v>0</v>
      </c>
      <c r="DI156" s="375">
        <f t="shared" si="121"/>
        <v>0</v>
      </c>
      <c r="DJ156" s="320"/>
      <c r="DK156" s="373"/>
      <c r="DL156" s="373"/>
      <c r="DM156" s="373"/>
      <c r="DN156" s="373"/>
      <c r="DO156" s="373"/>
      <c r="DP156" s="373"/>
      <c r="DQ156" s="373"/>
      <c r="DR156" s="373"/>
      <c r="DS156" s="373"/>
      <c r="DT156" s="373"/>
      <c r="DU156" s="373"/>
      <c r="DV156" s="373"/>
      <c r="DW156" s="375">
        <f>SUM(DK156:DV156)</f>
        <v>0</v>
      </c>
      <c r="DY156" s="373"/>
      <c r="DZ156" s="373"/>
      <c r="EA156" s="373"/>
      <c r="EB156" s="373"/>
      <c r="EC156" s="373"/>
      <c r="ED156" s="373"/>
      <c r="EE156" s="373"/>
      <c r="EF156" s="373"/>
      <c r="EG156" s="373"/>
      <c r="EH156" s="373"/>
      <c r="EI156" s="373"/>
      <c r="EJ156" s="373"/>
      <c r="EK156" s="375">
        <f>SUM(DY156:EJ156)</f>
        <v>0</v>
      </c>
      <c r="EL156" s="177"/>
      <c r="EM156" s="373"/>
      <c r="EN156" s="373"/>
      <c r="EO156" s="373"/>
      <c r="EP156" s="373"/>
      <c r="EQ156" s="373"/>
      <c r="ER156" s="373"/>
      <c r="ES156" s="373"/>
      <c r="ET156" s="373"/>
      <c r="EU156" s="373"/>
      <c r="EV156" s="373"/>
      <c r="EW156" s="373"/>
      <c r="EX156" s="373"/>
      <c r="EY156" s="375">
        <f>SUM(EM156:EX156)</f>
        <v>0</v>
      </c>
      <c r="EZ156" s="164"/>
      <c r="FB156" s="185" t="s">
        <v>587</v>
      </c>
      <c r="FC156" s="185">
        <v>0</v>
      </c>
    </row>
    <row r="157" spans="1:159" ht="18.75" customHeight="1" outlineLevel="1">
      <c r="A157" s="210" t="s">
        <v>619</v>
      </c>
      <c r="B157" s="176" t="s">
        <v>1101</v>
      </c>
      <c r="C157" s="176" t="s">
        <v>1100</v>
      </c>
      <c r="D157" s="176" t="s">
        <v>109</v>
      </c>
      <c r="E157" s="324"/>
      <c r="F157" s="320" t="s">
        <v>1099</v>
      </c>
      <c r="G157" s="320"/>
      <c r="H157" s="417">
        <v>0</v>
      </c>
      <c r="I157" s="417">
        <v>0</v>
      </c>
      <c r="J157" s="417">
        <v>0</v>
      </c>
      <c r="K157" s="417">
        <v>0</v>
      </c>
      <c r="L157" s="417">
        <v>0</v>
      </c>
      <c r="M157" s="417">
        <v>0</v>
      </c>
      <c r="N157" s="417">
        <v>0</v>
      </c>
      <c r="O157" s="417">
        <v>0</v>
      </c>
      <c r="P157" s="417">
        <v>0</v>
      </c>
      <c r="Q157" s="819">
        <v>0</v>
      </c>
      <c r="R157" s="417">
        <v>0</v>
      </c>
      <c r="S157" s="417">
        <v>0</v>
      </c>
      <c r="T157" s="402"/>
      <c r="U157" s="366"/>
      <c r="V157" s="165"/>
      <c r="W157" s="212"/>
      <c r="X157" s="1518">
        <v>0</v>
      </c>
      <c r="Y157" s="1518">
        <v>0</v>
      </c>
      <c r="Z157" s="1518">
        <v>0</v>
      </c>
      <c r="AA157" s="1518">
        <v>0</v>
      </c>
      <c r="AB157" s="1518">
        <v>0</v>
      </c>
      <c r="AC157" s="1518">
        <v>0</v>
      </c>
      <c r="AD157" s="1518">
        <v>0</v>
      </c>
      <c r="AE157" s="1518">
        <v>0</v>
      </c>
      <c r="AF157" s="1518">
        <v>0</v>
      </c>
      <c r="AG157" s="1519">
        <v>0</v>
      </c>
      <c r="AH157" s="1518">
        <v>0</v>
      </c>
      <c r="AI157" s="1518">
        <v>0</v>
      </c>
      <c r="AJ157" s="375">
        <f>SUM(X157:AI157)</f>
        <v>0</v>
      </c>
      <c r="AK157" s="212"/>
      <c r="AL157" s="417">
        <v>0</v>
      </c>
      <c r="AM157" s="417">
        <v>0</v>
      </c>
      <c r="AN157" s="417">
        <v>0</v>
      </c>
      <c r="AO157" s="417">
        <v>0</v>
      </c>
      <c r="AP157" s="417">
        <v>0</v>
      </c>
      <c r="AQ157" s="417">
        <v>0</v>
      </c>
      <c r="AR157" s="417">
        <v>0</v>
      </c>
      <c r="AS157" s="417">
        <v>0</v>
      </c>
      <c r="AT157" s="417">
        <v>0</v>
      </c>
      <c r="AU157" s="819">
        <v>0</v>
      </c>
      <c r="AV157" s="417">
        <v>0</v>
      </c>
      <c r="AW157" s="417">
        <v>0</v>
      </c>
      <c r="AX157" s="375">
        <f t="shared" si="124"/>
        <v>0</v>
      </c>
      <c r="AY157" s="366"/>
      <c r="AZ157" s="165"/>
      <c r="BA157" s="212"/>
      <c r="BB157" s="417">
        <v>0</v>
      </c>
      <c r="BC157" s="417">
        <v>0</v>
      </c>
      <c r="BD157" s="417">
        <v>0</v>
      </c>
      <c r="BE157" s="417">
        <v>0</v>
      </c>
      <c r="BF157" s="417">
        <v>0</v>
      </c>
      <c r="BG157" s="417">
        <v>0</v>
      </c>
      <c r="BH157" s="417">
        <v>0</v>
      </c>
      <c r="BI157" s="417">
        <v>0</v>
      </c>
      <c r="BJ157" s="417">
        <v>0</v>
      </c>
      <c r="BK157" s="819">
        <v>0</v>
      </c>
      <c r="BL157" s="417">
        <v>0</v>
      </c>
      <c r="BM157" s="417">
        <v>0</v>
      </c>
      <c r="BN157" s="375">
        <f>SUM(BB157:BM157)</f>
        <v>0</v>
      </c>
      <c r="BO157" s="212"/>
      <c r="BP157" s="818">
        <v>0</v>
      </c>
      <c r="BQ157" s="818">
        <v>0</v>
      </c>
      <c r="BR157" s="818">
        <v>0</v>
      </c>
      <c r="BS157" s="818">
        <v>0</v>
      </c>
      <c r="BT157" s="818">
        <v>0</v>
      </c>
      <c r="BU157" s="818">
        <v>0</v>
      </c>
      <c r="BV157" s="818">
        <v>0</v>
      </c>
      <c r="BW157" s="818">
        <v>0</v>
      </c>
      <c r="BX157" s="818">
        <v>0</v>
      </c>
      <c r="BY157" s="818">
        <v>0</v>
      </c>
      <c r="BZ157" s="818">
        <v>0</v>
      </c>
      <c r="CA157" s="818">
        <v>0</v>
      </c>
      <c r="CB157" s="375">
        <f>SUM(BP157:CA157)</f>
        <v>0</v>
      </c>
      <c r="CC157" s="366">
        <f t="shared" si="110"/>
        <v>0</v>
      </c>
      <c r="CD157" s="165" t="str">
        <f t="shared" si="111"/>
        <v>N/A</v>
      </c>
      <c r="CE157" s="367"/>
      <c r="CF157" s="373">
        <v>0</v>
      </c>
      <c r="CG157" s="373">
        <v>0</v>
      </c>
      <c r="CH157" s="373">
        <v>0</v>
      </c>
      <c r="CI157" s="373">
        <v>0</v>
      </c>
      <c r="CJ157" s="373">
        <v>0</v>
      </c>
      <c r="CK157" s="373">
        <v>0</v>
      </c>
      <c r="CL157" s="373">
        <v>0</v>
      </c>
      <c r="CM157" s="373">
        <v>0</v>
      </c>
      <c r="CN157" s="373">
        <v>0</v>
      </c>
      <c r="CO157" s="373">
        <v>0</v>
      </c>
      <c r="CP157" s="373">
        <v>0</v>
      </c>
      <c r="CQ157" s="373">
        <v>0</v>
      </c>
      <c r="CR157" s="376"/>
      <c r="CS157" s="375">
        <f>SUM(CF157:CR157)</f>
        <v>0</v>
      </c>
      <c r="CT157" s="378">
        <f t="shared" si="112"/>
        <v>0</v>
      </c>
      <c r="CU157" s="165" t="str">
        <f t="shared" si="113"/>
        <v>N/A</v>
      </c>
      <c r="CV157" s="320"/>
      <c r="CW157" s="373"/>
      <c r="CX157" s="373"/>
      <c r="CY157" s="373"/>
      <c r="CZ157" s="373"/>
      <c r="DA157" s="373"/>
      <c r="DB157" s="373"/>
      <c r="DC157" s="373"/>
      <c r="DD157" s="373"/>
      <c r="DE157" s="373"/>
      <c r="DF157" s="373"/>
      <c r="DG157" s="373"/>
      <c r="DH157" s="373"/>
      <c r="DI157" s="375"/>
      <c r="DJ157" s="320"/>
      <c r="DK157" s="373"/>
      <c r="DL157" s="373"/>
      <c r="DM157" s="373"/>
      <c r="DN157" s="373"/>
      <c r="DO157" s="373"/>
      <c r="DP157" s="373"/>
      <c r="DQ157" s="373"/>
      <c r="DR157" s="373"/>
      <c r="DS157" s="373"/>
      <c r="DT157" s="373"/>
      <c r="DU157" s="373"/>
      <c r="DV157" s="373"/>
      <c r="DW157" s="375"/>
      <c r="DY157" s="373"/>
      <c r="DZ157" s="373"/>
      <c r="EA157" s="373"/>
      <c r="EB157" s="373"/>
      <c r="EC157" s="373"/>
      <c r="ED157" s="373"/>
      <c r="EE157" s="373"/>
      <c r="EF157" s="373"/>
      <c r="EG157" s="373"/>
      <c r="EH157" s="373"/>
      <c r="EI157" s="373"/>
      <c r="EJ157" s="373"/>
      <c r="EK157" s="375"/>
      <c r="EL157" s="177"/>
      <c r="EM157" s="373"/>
      <c r="EN157" s="373"/>
      <c r="EO157" s="373"/>
      <c r="EP157" s="373"/>
      <c r="EQ157" s="373"/>
      <c r="ER157" s="373"/>
      <c r="ES157" s="373"/>
      <c r="ET157" s="373"/>
      <c r="EU157" s="373"/>
      <c r="EV157" s="373"/>
      <c r="EW157" s="373"/>
      <c r="EX157" s="373"/>
      <c r="EY157" s="375"/>
      <c r="EZ157" s="164"/>
    </row>
    <row r="158" spans="1:159" ht="18.75" customHeight="1">
      <c r="B158" s="176"/>
      <c r="C158" s="176"/>
      <c r="D158" s="176"/>
      <c r="E158" s="324"/>
      <c r="F158" s="320"/>
      <c r="G158" s="320"/>
      <c r="H158" s="417"/>
      <c r="I158" s="417"/>
      <c r="J158" s="417"/>
      <c r="K158" s="417"/>
      <c r="L158" s="417"/>
      <c r="M158" s="417"/>
      <c r="N158" s="417"/>
      <c r="O158" s="417"/>
      <c r="P158" s="417"/>
      <c r="Q158" s="417"/>
      <c r="R158" s="417"/>
      <c r="S158" s="417"/>
      <c r="T158" s="402"/>
      <c r="U158" s="366"/>
      <c r="V158" s="165"/>
      <c r="W158" s="320"/>
      <c r="X158" s="417"/>
      <c r="Y158" s="417"/>
      <c r="Z158" s="417"/>
      <c r="AA158" s="417"/>
      <c r="AB158" s="417"/>
      <c r="AC158" s="417"/>
      <c r="AD158" s="417"/>
      <c r="AE158" s="417"/>
      <c r="AF158" s="417"/>
      <c r="AG158" s="417"/>
      <c r="AH158" s="417"/>
      <c r="AI158" s="417"/>
      <c r="AJ158" s="375"/>
      <c r="AK158" s="320"/>
      <c r="AL158" s="417"/>
      <c r="AM158" s="417"/>
      <c r="AN158" s="417"/>
      <c r="AO158" s="417"/>
      <c r="AP158" s="417"/>
      <c r="AQ158" s="417"/>
      <c r="AR158" s="417"/>
      <c r="AS158" s="417"/>
      <c r="AT158" s="417"/>
      <c r="AU158" s="417"/>
      <c r="AV158" s="417"/>
      <c r="AW158" s="417"/>
      <c r="AX158" s="375"/>
      <c r="AY158" s="366"/>
      <c r="AZ158" s="165"/>
      <c r="BA158" s="320"/>
      <c r="BB158" s="417"/>
      <c r="BC158" s="417"/>
      <c r="BD158" s="417"/>
      <c r="BE158" s="417"/>
      <c r="BF158" s="417"/>
      <c r="BG158" s="417"/>
      <c r="BH158" s="417"/>
      <c r="BI158" s="417"/>
      <c r="BJ158" s="417"/>
      <c r="BK158" s="417"/>
      <c r="BL158" s="417"/>
      <c r="BM158" s="417"/>
      <c r="BN158" s="375"/>
      <c r="BO158" s="320"/>
      <c r="BP158" s="417"/>
      <c r="BQ158" s="417"/>
      <c r="BR158" s="417"/>
      <c r="BS158" s="417"/>
      <c r="BT158" s="417"/>
      <c r="BU158" s="417"/>
      <c r="BV158" s="417"/>
      <c r="BW158" s="417"/>
      <c r="BX158" s="417"/>
      <c r="BY158" s="417"/>
      <c r="BZ158" s="417"/>
      <c r="CA158" s="417"/>
      <c r="CB158" s="375"/>
      <c r="CC158" s="366"/>
      <c r="CD158" s="165"/>
      <c r="CE158" s="367"/>
      <c r="CF158" s="373"/>
      <c r="CG158" s="373"/>
      <c r="CH158" s="373"/>
      <c r="CI158" s="373"/>
      <c r="CJ158" s="373"/>
      <c r="CK158" s="373"/>
      <c r="CL158" s="373"/>
      <c r="CM158" s="373"/>
      <c r="CN158" s="373"/>
      <c r="CO158" s="373"/>
      <c r="CP158" s="373"/>
      <c r="CQ158" s="373"/>
      <c r="CR158" s="376"/>
      <c r="CS158" s="375"/>
      <c r="CT158" s="378"/>
      <c r="CU158" s="165"/>
      <c r="CV158" s="320"/>
      <c r="CW158" s="373"/>
      <c r="CX158" s="373"/>
      <c r="CY158" s="373"/>
      <c r="CZ158" s="373"/>
      <c r="DA158" s="373"/>
      <c r="DB158" s="373"/>
      <c r="DC158" s="373"/>
      <c r="DD158" s="373"/>
      <c r="DE158" s="373"/>
      <c r="DF158" s="373"/>
      <c r="DG158" s="373"/>
      <c r="DH158" s="373"/>
      <c r="DI158" s="375"/>
      <c r="DJ158" s="320"/>
      <c r="DK158" s="373"/>
      <c r="DL158" s="373"/>
      <c r="DM158" s="373"/>
      <c r="DN158" s="373"/>
      <c r="DO158" s="373"/>
      <c r="DP158" s="373"/>
      <c r="DQ158" s="373"/>
      <c r="DR158" s="373"/>
      <c r="DS158" s="373"/>
      <c r="DT158" s="373"/>
      <c r="DU158" s="373"/>
      <c r="DV158" s="373"/>
      <c r="DW158" s="375"/>
      <c r="DY158" s="373"/>
      <c r="DZ158" s="373"/>
      <c r="EA158" s="373"/>
      <c r="EB158" s="373"/>
      <c r="EC158" s="373"/>
      <c r="ED158" s="373"/>
      <c r="EE158" s="373"/>
      <c r="EF158" s="373"/>
      <c r="EG158" s="373"/>
      <c r="EH158" s="373"/>
      <c r="EI158" s="373"/>
      <c r="EJ158" s="373"/>
      <c r="EK158" s="375"/>
      <c r="EL158" s="177"/>
      <c r="EM158" s="373"/>
      <c r="EN158" s="373"/>
      <c r="EO158" s="373"/>
      <c r="EP158" s="373"/>
      <c r="EQ158" s="373"/>
      <c r="ER158" s="373"/>
      <c r="ES158" s="373"/>
      <c r="ET158" s="373"/>
      <c r="EU158" s="373"/>
      <c r="EV158" s="373"/>
      <c r="EW158" s="373"/>
      <c r="EX158" s="373"/>
      <c r="EY158" s="375"/>
      <c r="EZ158" s="164"/>
    </row>
    <row r="159" spans="1:159" ht="12.75" customHeight="1">
      <c r="B159" s="176"/>
      <c r="C159" s="176"/>
      <c r="D159" s="176"/>
      <c r="E159" s="324"/>
      <c r="F159" s="325"/>
      <c r="G159" s="325"/>
      <c r="H159" s="414"/>
      <c r="I159" s="414"/>
      <c r="J159" s="414"/>
      <c r="K159" s="414"/>
      <c r="L159" s="414"/>
      <c r="M159" s="414"/>
      <c r="N159" s="414"/>
      <c r="O159" s="414"/>
      <c r="P159" s="414"/>
      <c r="Q159" s="414"/>
      <c r="R159" s="414"/>
      <c r="S159" s="414"/>
      <c r="T159" s="419"/>
      <c r="U159" s="365"/>
      <c r="V159" s="163"/>
      <c r="W159" s="325"/>
      <c r="X159" s="414"/>
      <c r="Y159" s="414"/>
      <c r="Z159" s="414"/>
      <c r="AA159" s="414"/>
      <c r="AB159" s="414"/>
      <c r="AC159" s="414"/>
      <c r="AD159" s="414"/>
      <c r="AE159" s="414"/>
      <c r="AF159" s="414"/>
      <c r="AG159" s="414"/>
      <c r="AH159" s="414"/>
      <c r="AI159" s="414"/>
      <c r="AJ159" s="419"/>
      <c r="AK159" s="325"/>
      <c r="AL159" s="414"/>
      <c r="AM159" s="414"/>
      <c r="AN159" s="414"/>
      <c r="AO159" s="414"/>
      <c r="AP159" s="414"/>
      <c r="AQ159" s="414"/>
      <c r="AR159" s="414"/>
      <c r="AS159" s="414"/>
      <c r="AT159" s="414"/>
      <c r="AU159" s="414"/>
      <c r="AV159" s="414"/>
      <c r="AW159" s="414"/>
      <c r="AX159" s="419"/>
      <c r="AY159" s="365"/>
      <c r="AZ159" s="163"/>
      <c r="BA159" s="325"/>
      <c r="BB159" s="414"/>
      <c r="BC159" s="414"/>
      <c r="BD159" s="414"/>
      <c r="BE159" s="414"/>
      <c r="BF159" s="414"/>
      <c r="BG159" s="414"/>
      <c r="BH159" s="414"/>
      <c r="BI159" s="414"/>
      <c r="BJ159" s="414"/>
      <c r="BK159" s="414"/>
      <c r="BL159" s="414"/>
      <c r="BM159" s="414"/>
      <c r="BN159" s="419"/>
      <c r="BO159" s="325"/>
      <c r="BP159" s="414"/>
      <c r="BQ159" s="414"/>
      <c r="BR159" s="414"/>
      <c r="BS159" s="414"/>
      <c r="BT159" s="414"/>
      <c r="BU159" s="414"/>
      <c r="BV159" s="414"/>
      <c r="BW159" s="414"/>
      <c r="BX159" s="414"/>
      <c r="BY159" s="414"/>
      <c r="BZ159" s="414"/>
      <c r="CA159" s="414"/>
      <c r="CB159" s="419"/>
      <c r="CC159" s="365"/>
      <c r="CD159" s="163"/>
      <c r="CE159" s="325"/>
      <c r="CF159" s="374"/>
      <c r="CG159" s="374"/>
      <c r="CH159" s="374"/>
      <c r="CI159" s="374"/>
      <c r="CJ159" s="374"/>
      <c r="CK159" s="374"/>
      <c r="CL159" s="374"/>
      <c r="CM159" s="374"/>
      <c r="CN159" s="374"/>
      <c r="CO159" s="374"/>
      <c r="CP159" s="374"/>
      <c r="CQ159" s="374"/>
      <c r="CR159" s="376"/>
      <c r="CS159" s="375"/>
      <c r="CT159" s="393"/>
      <c r="CU159" s="163"/>
      <c r="CV159" s="326"/>
      <c r="CW159" s="374"/>
      <c r="CX159" s="374"/>
      <c r="CY159" s="374"/>
      <c r="CZ159" s="374"/>
      <c r="DA159" s="374"/>
      <c r="DB159" s="374"/>
      <c r="DC159" s="374"/>
      <c r="DD159" s="374"/>
      <c r="DE159" s="374"/>
      <c r="DF159" s="374"/>
      <c r="DG159" s="374"/>
      <c r="DH159" s="374"/>
      <c r="DI159" s="375"/>
      <c r="DJ159" s="326"/>
      <c r="DK159" s="374"/>
      <c r="DL159" s="374"/>
      <c r="DM159" s="374"/>
      <c r="DN159" s="374"/>
      <c r="DO159" s="374"/>
      <c r="DP159" s="374"/>
      <c r="DQ159" s="374"/>
      <c r="DR159" s="374"/>
      <c r="DS159" s="374"/>
      <c r="DT159" s="374"/>
      <c r="DU159" s="374"/>
      <c r="DV159" s="374"/>
      <c r="DW159" s="375"/>
      <c r="DY159" s="374"/>
      <c r="DZ159" s="374"/>
      <c r="EA159" s="374"/>
      <c r="EB159" s="374"/>
      <c r="EC159" s="374"/>
      <c r="ED159" s="374"/>
      <c r="EE159" s="374"/>
      <c r="EF159" s="374"/>
      <c r="EG159" s="374"/>
      <c r="EH159" s="374"/>
      <c r="EI159" s="374"/>
      <c r="EJ159" s="374"/>
      <c r="EK159" s="375"/>
      <c r="EL159" s="164"/>
      <c r="EM159" s="374"/>
      <c r="EN159" s="374"/>
      <c r="EO159" s="374"/>
      <c r="EP159" s="374"/>
      <c r="EQ159" s="374"/>
      <c r="ER159" s="374"/>
      <c r="ES159" s="374"/>
      <c r="ET159" s="374"/>
      <c r="EU159" s="374"/>
      <c r="EV159" s="374"/>
      <c r="EW159" s="374"/>
      <c r="EX159" s="403"/>
      <c r="EY159" s="375"/>
      <c r="EZ159" s="164"/>
    </row>
    <row r="160" spans="1:159" ht="18" customHeight="1">
      <c r="B160" s="176"/>
      <c r="C160" s="176"/>
      <c r="D160" s="176"/>
      <c r="E160" s="324" t="s">
        <v>330</v>
      </c>
      <c r="F160" s="325"/>
      <c r="G160" s="325"/>
      <c r="H160" s="344">
        <f t="shared" ref="H160:T160" si="131">SUM(H28:H159)</f>
        <v>1395419.27</v>
      </c>
      <c r="I160" s="344">
        <f t="shared" si="131"/>
        <v>1177386.77</v>
      </c>
      <c r="J160" s="344">
        <f t="shared" si="131"/>
        <v>1220274.27</v>
      </c>
      <c r="K160" s="344">
        <f t="shared" si="131"/>
        <v>1651186.77</v>
      </c>
      <c r="L160" s="344">
        <f t="shared" si="131"/>
        <v>1572224.27</v>
      </c>
      <c r="M160" s="344">
        <f t="shared" si="131"/>
        <v>1272536.77</v>
      </c>
      <c r="N160" s="344">
        <f t="shared" si="131"/>
        <v>1492424.27</v>
      </c>
      <c r="O160" s="344">
        <f t="shared" si="131"/>
        <v>1167186.77</v>
      </c>
      <c r="P160" s="344">
        <f t="shared" si="131"/>
        <v>1300179.27</v>
      </c>
      <c r="Q160" s="344">
        <f t="shared" si="131"/>
        <v>1206786.77</v>
      </c>
      <c r="R160" s="344">
        <f t="shared" si="131"/>
        <v>1175824.27</v>
      </c>
      <c r="S160" s="344">
        <f t="shared" si="131"/>
        <v>75685833.137635857</v>
      </c>
      <c r="T160" s="344">
        <f t="shared" si="131"/>
        <v>0</v>
      </c>
      <c r="U160" s="817">
        <f>AJ160-T160</f>
        <v>83499629.179999992</v>
      </c>
      <c r="V160" s="343">
        <f>U160/AJ160</f>
        <v>1</v>
      </c>
      <c r="W160" s="325"/>
      <c r="X160" s="344">
        <f t="shared" ref="X160:AI160" si="132">SUM(X28:X159)</f>
        <v>5226000.5599999996</v>
      </c>
      <c r="Y160" s="344">
        <f t="shared" si="132"/>
        <v>4955184.9200000009</v>
      </c>
      <c r="Z160" s="344">
        <f t="shared" si="132"/>
        <v>6330875.1799999997</v>
      </c>
      <c r="AA160" s="344">
        <f t="shared" si="132"/>
        <v>6439430.7599999998</v>
      </c>
      <c r="AB160" s="344">
        <f t="shared" si="132"/>
        <v>6422767.3500000006</v>
      </c>
      <c r="AC160" s="344">
        <f t="shared" si="132"/>
        <v>5772373.7999999998</v>
      </c>
      <c r="AD160" s="344">
        <f t="shared" si="132"/>
        <v>1460595.1900000002</v>
      </c>
      <c r="AE160" s="344">
        <f t="shared" si="132"/>
        <v>5845346.1900000004</v>
      </c>
      <c r="AF160" s="344">
        <f t="shared" si="132"/>
        <v>5770846.8900000015</v>
      </c>
      <c r="AG160" s="344">
        <f t="shared" si="132"/>
        <v>5907366.3699999992</v>
      </c>
      <c r="AH160" s="344">
        <f t="shared" si="132"/>
        <v>5624609.5</v>
      </c>
      <c r="AI160" s="344">
        <f t="shared" si="132"/>
        <v>23744232.470000003</v>
      </c>
      <c r="AJ160" s="344">
        <f>SUM(AJ28:AJ159)</f>
        <v>83499629.179999992</v>
      </c>
      <c r="AK160" s="325"/>
      <c r="AL160" s="344">
        <f t="shared" ref="AL160:AX160" si="133">SUM(AL28:AL159)</f>
        <v>1395419.27</v>
      </c>
      <c r="AM160" s="344">
        <f t="shared" si="133"/>
        <v>1177386.77</v>
      </c>
      <c r="AN160" s="344">
        <f t="shared" si="133"/>
        <v>1220274.27</v>
      </c>
      <c r="AO160" s="344">
        <f t="shared" si="133"/>
        <v>1651186.77</v>
      </c>
      <c r="AP160" s="344">
        <f t="shared" si="133"/>
        <v>1572224.27</v>
      </c>
      <c r="AQ160" s="344">
        <f t="shared" si="133"/>
        <v>1272536.77</v>
      </c>
      <c r="AR160" s="344">
        <f t="shared" si="133"/>
        <v>1492424.27</v>
      </c>
      <c r="AS160" s="344">
        <f t="shared" si="133"/>
        <v>1167186.77</v>
      </c>
      <c r="AT160" s="344">
        <f t="shared" si="133"/>
        <v>1300179.27</v>
      </c>
      <c r="AU160" s="344">
        <f t="shared" si="133"/>
        <v>1206786.77</v>
      </c>
      <c r="AV160" s="344">
        <f t="shared" si="133"/>
        <v>1175824.27</v>
      </c>
      <c r="AW160" s="344">
        <f t="shared" si="133"/>
        <v>75685833.137635857</v>
      </c>
      <c r="AX160" s="344">
        <f t="shared" si="133"/>
        <v>90687262.607635856</v>
      </c>
      <c r="AY160" s="817">
        <f>BN160-AX160</f>
        <v>-17786204.253366128</v>
      </c>
      <c r="AZ160" s="343">
        <f>AY160/BN160</f>
        <v>-0.2439773119195657</v>
      </c>
      <c r="BA160" s="325"/>
      <c r="BB160" s="344">
        <f t="shared" ref="BB160:BM160" si="134">SUM(BB28:BB159)</f>
        <v>6046087.0399999991</v>
      </c>
      <c r="BC160" s="344">
        <f t="shared" si="134"/>
        <v>7648304.0599999987</v>
      </c>
      <c r="BD160" s="344">
        <f t="shared" si="134"/>
        <v>7205866.4999999991</v>
      </c>
      <c r="BE160" s="344">
        <f t="shared" si="134"/>
        <v>5155874.5399999991</v>
      </c>
      <c r="BF160" s="344">
        <f t="shared" si="134"/>
        <v>6402632.9699999969</v>
      </c>
      <c r="BG160" s="344">
        <f t="shared" si="134"/>
        <v>5690930.7499999991</v>
      </c>
      <c r="BH160" s="344">
        <f t="shared" si="134"/>
        <v>5633315.4499999983</v>
      </c>
      <c r="BI160" s="344">
        <f t="shared" si="134"/>
        <v>5014348.6400000006</v>
      </c>
      <c r="BJ160" s="344">
        <f t="shared" si="134"/>
        <v>6550210.5399999991</v>
      </c>
      <c r="BK160" s="344">
        <f t="shared" si="134"/>
        <v>6022933.0199999986</v>
      </c>
      <c r="BL160" s="344">
        <f t="shared" si="134"/>
        <v>4871113.6399999987</v>
      </c>
      <c r="BM160" s="344">
        <f t="shared" si="134"/>
        <v>5921860.3899999997</v>
      </c>
      <c r="BN160" s="344">
        <f>SUM(BN28:BN159)</f>
        <v>72901058.354269728</v>
      </c>
      <c r="BO160" s="325"/>
      <c r="BP160" s="344">
        <f t="shared" ref="BP160:CA160" si="135">SUM(BP28:BP159)</f>
        <v>7846348.2815090977</v>
      </c>
      <c r="BQ160" s="344">
        <f t="shared" si="135"/>
        <v>7963101.2815090977</v>
      </c>
      <c r="BR160" s="344">
        <f t="shared" si="135"/>
        <v>7945725.4481757637</v>
      </c>
      <c r="BS160" s="344">
        <f t="shared" si="135"/>
        <v>8209255.0453979857</v>
      </c>
      <c r="BT160" s="344">
        <f t="shared" si="135"/>
        <v>8187256.0453979857</v>
      </c>
      <c r="BU160" s="344">
        <f t="shared" si="135"/>
        <v>8537083.5453979876</v>
      </c>
      <c r="BV160" s="344">
        <f t="shared" si="135"/>
        <v>7663422.0453979857</v>
      </c>
      <c r="BW160" s="344">
        <f t="shared" si="135"/>
        <v>8325023.0453979857</v>
      </c>
      <c r="BX160" s="344">
        <f t="shared" si="135"/>
        <v>7018279.5453979857</v>
      </c>
      <c r="BY160" s="344">
        <f t="shared" si="135"/>
        <v>6953532.7953979857</v>
      </c>
      <c r="BZ160" s="344">
        <f t="shared" si="135"/>
        <v>6995032.7953979857</v>
      </c>
      <c r="CA160" s="344">
        <f t="shared" si="135"/>
        <v>4138426.2953979876</v>
      </c>
      <c r="CB160" s="344">
        <f>SUM(CB28:CB159)</f>
        <v>89782486.169775829</v>
      </c>
      <c r="CC160" s="817">
        <f>CB160-BN160</f>
        <v>16881427.815506101</v>
      </c>
      <c r="CD160" s="343">
        <f>IFERROR(CC160/CB160,"N/A")</f>
        <v>0.18802584485780285</v>
      </c>
      <c r="CE160" s="325"/>
      <c r="CF160" s="344">
        <f t="shared" ref="CF160:CS160" si="136">SUM(CF28:CF159)</f>
        <v>5265450.9400000013</v>
      </c>
      <c r="CG160" s="344">
        <f t="shared" si="136"/>
        <v>4731381.1399999997</v>
      </c>
      <c r="CH160" s="344">
        <f t="shared" si="136"/>
        <v>4833145.330000001</v>
      </c>
      <c r="CI160" s="344">
        <f t="shared" si="136"/>
        <v>4746268.2699999996</v>
      </c>
      <c r="CJ160" s="344">
        <f t="shared" si="136"/>
        <v>5407769.3599999994</v>
      </c>
      <c r="CK160" s="344">
        <f t="shared" si="136"/>
        <v>5621113.2999999989</v>
      </c>
      <c r="CL160" s="345">
        <f t="shared" si="136"/>
        <v>10221774.360000001</v>
      </c>
      <c r="CM160" s="344">
        <f t="shared" si="136"/>
        <v>5735113.0799999973</v>
      </c>
      <c r="CN160" s="344">
        <f t="shared" si="136"/>
        <v>5631007.8599999975</v>
      </c>
      <c r="CO160" s="344">
        <f t="shared" si="136"/>
        <v>4987235.0999999987</v>
      </c>
      <c r="CP160" s="344">
        <f t="shared" si="136"/>
        <v>6230261.5899999999</v>
      </c>
      <c r="CQ160" s="344">
        <f t="shared" si="136"/>
        <v>7465483.0200000005</v>
      </c>
      <c r="CR160" s="346">
        <f t="shared" si="136"/>
        <v>0</v>
      </c>
      <c r="CS160" s="335">
        <f t="shared" si="136"/>
        <v>70876003.350000039</v>
      </c>
      <c r="CT160" s="342">
        <f>BN160-CS160</f>
        <v>2025055.0042696893</v>
      </c>
      <c r="CU160" s="343">
        <f>IFERROR(CT160/CS160,"N/A")</f>
        <v>2.8571800165841155E-2</v>
      </c>
      <c r="CV160" s="326"/>
      <c r="CW160" s="344">
        <f t="shared" ref="CW160:DI160" si="137">SUM(CW28:CW159)</f>
        <v>4104362.4699999993</v>
      </c>
      <c r="CX160" s="344">
        <f t="shared" si="137"/>
        <v>3935400.4999999995</v>
      </c>
      <c r="CY160" s="344">
        <f t="shared" si="137"/>
        <v>4066948.9399999995</v>
      </c>
      <c r="CZ160" s="344">
        <f t="shared" si="137"/>
        <v>4280894.040000001</v>
      </c>
      <c r="DA160" s="344">
        <f t="shared" si="137"/>
        <v>3975248.3000000003</v>
      </c>
      <c r="DB160" s="344">
        <f t="shared" si="137"/>
        <v>4046632.4600000004</v>
      </c>
      <c r="DC160" s="345">
        <f t="shared" si="137"/>
        <v>4508465.08</v>
      </c>
      <c r="DD160" s="344">
        <f t="shared" si="137"/>
        <v>4344012.040000001</v>
      </c>
      <c r="DE160" s="344">
        <f t="shared" si="137"/>
        <v>4631200.3399999989</v>
      </c>
      <c r="DF160" s="344">
        <f t="shared" si="137"/>
        <v>5858721.4500000011</v>
      </c>
      <c r="DG160" s="344">
        <f t="shared" si="137"/>
        <v>7769983.1999999993</v>
      </c>
      <c r="DH160" s="344">
        <f t="shared" si="137"/>
        <v>5243423.7300000014</v>
      </c>
      <c r="DI160" s="335">
        <f t="shared" si="137"/>
        <v>56765292.549999997</v>
      </c>
      <c r="DJ160" s="326"/>
      <c r="DK160" s="344">
        <f t="shared" ref="DK160:DW160" si="138">SUM(DK28:DK159)</f>
        <v>3761782.3600000003</v>
      </c>
      <c r="DL160" s="344">
        <f t="shared" si="138"/>
        <v>3572548.4899999998</v>
      </c>
      <c r="DM160" s="344">
        <f t="shared" si="138"/>
        <v>3229875.3899999992</v>
      </c>
      <c r="DN160" s="344">
        <f t="shared" si="138"/>
        <v>3797072.34</v>
      </c>
      <c r="DO160" s="344">
        <f t="shared" si="138"/>
        <v>3740659.0899999994</v>
      </c>
      <c r="DP160" s="344">
        <f t="shared" si="138"/>
        <v>3471206.4699999997</v>
      </c>
      <c r="DQ160" s="345">
        <f t="shared" si="138"/>
        <v>3603970.15</v>
      </c>
      <c r="DR160" s="344">
        <f t="shared" si="138"/>
        <v>6971351.3599999994</v>
      </c>
      <c r="DS160" s="344">
        <f t="shared" si="138"/>
        <v>3576511.17</v>
      </c>
      <c r="DT160" s="344">
        <f t="shared" si="138"/>
        <v>4899862.040000001</v>
      </c>
      <c r="DU160" s="344">
        <f t="shared" si="138"/>
        <v>3779023.8900000006</v>
      </c>
      <c r="DV160" s="344">
        <f t="shared" si="138"/>
        <v>4985855.1899999995</v>
      </c>
      <c r="DW160" s="335">
        <f t="shared" si="138"/>
        <v>49389717.940000005</v>
      </c>
      <c r="DY160" s="344">
        <f t="shared" ref="DY160:EK160" si="139">SUM(DY28:DY159)</f>
        <v>437919.14999999997</v>
      </c>
      <c r="DZ160" s="344">
        <f t="shared" si="139"/>
        <v>906242.6</v>
      </c>
      <c r="EA160" s="344">
        <f t="shared" si="139"/>
        <v>339828.95</v>
      </c>
      <c r="EB160" s="344">
        <f t="shared" si="139"/>
        <v>1398137.1600000001</v>
      </c>
      <c r="EC160" s="344">
        <f t="shared" si="139"/>
        <v>926519.58000000007</v>
      </c>
      <c r="ED160" s="344">
        <f t="shared" si="139"/>
        <v>1040469.24</v>
      </c>
      <c r="EE160" s="345">
        <f t="shared" si="139"/>
        <v>1762945.3</v>
      </c>
      <c r="EF160" s="344">
        <f t="shared" si="139"/>
        <v>1614189.3699999999</v>
      </c>
      <c r="EG160" s="344">
        <f t="shared" si="139"/>
        <v>2592002.5099999998</v>
      </c>
      <c r="EH160" s="344">
        <f t="shared" si="139"/>
        <v>1942337.8000000003</v>
      </c>
      <c r="EI160" s="344">
        <f t="shared" si="139"/>
        <v>3229241.2800000003</v>
      </c>
      <c r="EJ160" s="344">
        <f t="shared" si="139"/>
        <v>1289154.8999999999</v>
      </c>
      <c r="EK160" s="335">
        <f t="shared" si="139"/>
        <v>17478987.840000004</v>
      </c>
      <c r="EL160" s="164"/>
      <c r="EM160" s="344">
        <f t="shared" ref="EM160:EY160" si="140">SUM(EM28:EM159)</f>
        <v>885681.5</v>
      </c>
      <c r="EN160" s="344">
        <f t="shared" si="140"/>
        <v>485232.8</v>
      </c>
      <c r="EO160" s="344">
        <f t="shared" si="140"/>
        <v>409559.12</v>
      </c>
      <c r="EP160" s="344">
        <f t="shared" si="140"/>
        <v>1201677.1200000001</v>
      </c>
      <c r="EQ160" s="344">
        <f t="shared" si="140"/>
        <v>473058.26</v>
      </c>
      <c r="ER160" s="344">
        <f t="shared" si="140"/>
        <v>532496.1</v>
      </c>
      <c r="ES160" s="344">
        <f t="shared" si="140"/>
        <v>1060757.7</v>
      </c>
      <c r="ET160" s="344">
        <f t="shared" si="140"/>
        <v>461251.9</v>
      </c>
      <c r="EU160" s="344">
        <f t="shared" si="140"/>
        <v>3524410.87</v>
      </c>
      <c r="EV160" s="344">
        <f t="shared" si="140"/>
        <v>1141221.47</v>
      </c>
      <c r="EW160" s="344">
        <f t="shared" si="140"/>
        <v>340541.31</v>
      </c>
      <c r="EX160" s="344">
        <f t="shared" si="140"/>
        <v>5423155.4700000007</v>
      </c>
      <c r="EY160" s="335">
        <f t="shared" si="140"/>
        <v>15939043.619999999</v>
      </c>
      <c r="EZ160" s="164"/>
    </row>
    <row r="161" spans="2:162" ht="18" customHeight="1"/>
    <row r="162" spans="2:162" ht="21.75" customHeight="1">
      <c r="E162" s="187" t="s">
        <v>362</v>
      </c>
      <c r="T162" s="168">
        <f>T160-T25</f>
        <v>0</v>
      </c>
      <c r="U162" s="212">
        <f>AJ162-T162</f>
        <v>79222501.539999992</v>
      </c>
      <c r="V162" s="212">
        <f>U162/AJ162</f>
        <v>1</v>
      </c>
      <c r="X162" s="168">
        <f t="shared" ref="X162:AI162" si="141">X160-X25</f>
        <v>3935258.5599999996</v>
      </c>
      <c r="Y162" s="168">
        <f t="shared" si="141"/>
        <v>3149624.7500000009</v>
      </c>
      <c r="Z162" s="168">
        <f t="shared" si="141"/>
        <v>7861817.0999999996</v>
      </c>
      <c r="AA162" s="168">
        <f t="shared" si="141"/>
        <v>6271523.79</v>
      </c>
      <c r="AB162" s="168">
        <f t="shared" si="141"/>
        <v>6303145.2100000009</v>
      </c>
      <c r="AC162" s="168">
        <f t="shared" si="141"/>
        <v>5524805.1499999994</v>
      </c>
      <c r="AD162" s="168">
        <f t="shared" si="141"/>
        <v>916286.51000000013</v>
      </c>
      <c r="AE162" s="168">
        <f t="shared" si="141"/>
        <v>4939389.040000001</v>
      </c>
      <c r="AF162" s="168">
        <f t="shared" si="141"/>
        <v>5419951.1100000013</v>
      </c>
      <c r="AG162" s="168">
        <f t="shared" si="141"/>
        <v>6100499.3699999992</v>
      </c>
      <c r="AH162" s="168">
        <f t="shared" si="141"/>
        <v>4518085.37</v>
      </c>
      <c r="AI162" s="168">
        <f t="shared" si="141"/>
        <v>24282115.580000002</v>
      </c>
      <c r="AJ162" s="168">
        <f>AJ160-AJ25</f>
        <v>79222501.539999992</v>
      </c>
      <c r="AX162" s="168">
        <f>AX160-AX25</f>
        <v>91322262.607635856</v>
      </c>
      <c r="AY162" s="212">
        <f>BN162-AX162</f>
        <v>-36665343.503366128</v>
      </c>
      <c r="AZ162" s="212">
        <f>AY162/BN162</f>
        <v>-0.67082711766865544</v>
      </c>
      <c r="BN162" s="168">
        <f>BN160-BN25</f>
        <v>54656919.104269728</v>
      </c>
      <c r="CB162" s="168">
        <f>CB160-CB25</f>
        <v>73944652.169775829</v>
      </c>
      <c r="CC162" s="212"/>
      <c r="CD162" s="212"/>
      <c r="CF162" s="213"/>
      <c r="CG162" s="213"/>
      <c r="CH162" s="213"/>
      <c r="CI162" s="213"/>
      <c r="CJ162" s="213"/>
      <c r="CK162" s="213"/>
      <c r="CL162" s="214"/>
      <c r="CM162" s="213"/>
      <c r="CN162" s="213"/>
      <c r="CO162" s="213"/>
      <c r="CP162" s="213"/>
      <c r="CQ162" s="213"/>
      <c r="CR162" s="213"/>
      <c r="CS162" s="168">
        <f>CS160-CS25</f>
        <v>72155889.890000045</v>
      </c>
      <c r="CT162" s="168"/>
      <c r="CU162" s="168"/>
      <c r="CW162" s="213"/>
      <c r="CX162" s="213"/>
      <c r="CY162" s="213"/>
      <c r="CZ162" s="213"/>
      <c r="DA162" s="213"/>
      <c r="DB162" s="213"/>
      <c r="DC162" s="214"/>
      <c r="DD162" s="213"/>
      <c r="DE162" s="213"/>
      <c r="DF162" s="213"/>
      <c r="DG162" s="213"/>
      <c r="DH162" s="213"/>
      <c r="DI162" s="168">
        <f>DI160-DI25</f>
        <v>57830313.509999998</v>
      </c>
      <c r="DK162" s="213"/>
      <c r="DL162" s="213"/>
      <c r="DM162" s="213"/>
      <c r="DN162" s="213"/>
      <c r="DO162" s="213"/>
      <c r="DP162" s="213"/>
      <c r="DQ162" s="214"/>
      <c r="DR162" s="213"/>
      <c r="DS162" s="213"/>
      <c r="DT162" s="213"/>
      <c r="DU162" s="213"/>
      <c r="DV162" s="213"/>
      <c r="DW162" s="168">
        <f>DW160-DW25</f>
        <v>43735709.920000002</v>
      </c>
      <c r="DX162" s="213"/>
      <c r="DY162" s="213"/>
      <c r="DZ162" s="213"/>
      <c r="EA162" s="213"/>
      <c r="EB162" s="213"/>
      <c r="EC162" s="213"/>
      <c r="ED162" s="213"/>
      <c r="EE162" s="214"/>
      <c r="EF162" s="213"/>
      <c r="EG162" s="213"/>
      <c r="EH162" s="213"/>
      <c r="EI162" s="213"/>
      <c r="EJ162" s="213"/>
      <c r="EK162" s="168">
        <f>EK160-EK25</f>
        <v>18495930.300000004</v>
      </c>
      <c r="EL162" s="213"/>
      <c r="EM162" s="213"/>
      <c r="EN162" s="213"/>
      <c r="EO162" s="213"/>
      <c r="EP162" s="213"/>
      <c r="EQ162" s="213"/>
      <c r="ER162" s="213"/>
      <c r="ES162" s="213"/>
      <c r="ET162" s="213"/>
      <c r="EU162" s="213"/>
      <c r="EV162" s="213"/>
      <c r="EW162" s="213"/>
      <c r="EX162" s="213"/>
      <c r="EY162" s="168">
        <f>EY160-EY25</f>
        <v>20647247.519999996</v>
      </c>
    </row>
    <row r="163" spans="2:162" s="192" customFormat="1" ht="18" customHeight="1">
      <c r="B163" s="193"/>
      <c r="C163" s="193"/>
      <c r="D163" s="193"/>
      <c r="E163" s="194"/>
      <c r="F163" s="193"/>
      <c r="G163" s="193"/>
      <c r="H163" s="193"/>
      <c r="I163" s="193"/>
      <c r="J163" s="193"/>
      <c r="K163" s="193"/>
      <c r="L163" s="193"/>
      <c r="M163" s="193"/>
      <c r="N163" s="193"/>
      <c r="O163" s="193"/>
      <c r="P163" s="193"/>
      <c r="Q163" s="193"/>
      <c r="R163" s="193"/>
      <c r="S163" s="193"/>
      <c r="T163" s="193"/>
      <c r="U163" s="193"/>
      <c r="V163" s="193"/>
      <c r="W163" s="193"/>
      <c r="X163" s="193"/>
      <c r="Y163" s="193"/>
      <c r="Z163" s="193"/>
      <c r="AA163" s="193"/>
      <c r="AB163" s="193"/>
      <c r="AC163" s="193"/>
      <c r="AD163" s="193"/>
      <c r="AE163" s="193"/>
      <c r="AF163" s="193"/>
      <c r="AG163" s="193"/>
      <c r="AH163" s="193"/>
      <c r="AI163" s="193"/>
      <c r="AJ163" s="193"/>
      <c r="AK163" s="193"/>
      <c r="AL163" s="193"/>
      <c r="AM163" s="193"/>
      <c r="AN163" s="193"/>
      <c r="AO163" s="193"/>
      <c r="AP163" s="193"/>
      <c r="AQ163" s="193"/>
      <c r="AR163" s="193"/>
      <c r="AS163" s="193"/>
      <c r="AT163" s="193"/>
      <c r="AU163" s="193"/>
      <c r="AV163" s="193"/>
      <c r="AW163" s="193"/>
      <c r="AX163" s="193"/>
      <c r="AY163" s="193"/>
      <c r="AZ163" s="193"/>
      <c r="BA163" s="193"/>
      <c r="BB163" s="193"/>
      <c r="BC163" s="193"/>
      <c r="BD163" s="193"/>
      <c r="BE163" s="193"/>
      <c r="BF163" s="193"/>
      <c r="BG163" s="193"/>
      <c r="BH163" s="193"/>
      <c r="BI163" s="193"/>
      <c r="BJ163" s="193"/>
      <c r="BK163" s="193"/>
      <c r="BL163" s="193"/>
      <c r="BM163" s="193"/>
      <c r="BN163" s="193"/>
      <c r="BO163" s="193"/>
      <c r="BP163" s="193"/>
      <c r="BQ163" s="193"/>
      <c r="BR163" s="193"/>
      <c r="BS163" s="193"/>
      <c r="BT163" s="193"/>
      <c r="BU163" s="193"/>
      <c r="BV163" s="193"/>
      <c r="BW163" s="193"/>
      <c r="BX163" s="193"/>
      <c r="BY163" s="193"/>
      <c r="BZ163" s="193"/>
      <c r="CA163" s="193"/>
      <c r="CB163" s="963"/>
      <c r="CC163" s="193"/>
      <c r="CD163" s="193"/>
      <c r="CE163" s="193"/>
      <c r="CL163" s="334"/>
      <c r="CS163" s="158"/>
      <c r="CT163" s="158"/>
      <c r="CU163" s="158"/>
      <c r="CV163" s="316"/>
      <c r="DC163" s="334"/>
      <c r="DI163" s="158"/>
      <c r="DJ163" s="316"/>
      <c r="DQ163" s="334"/>
      <c r="DW163" s="158"/>
      <c r="EE163" s="334"/>
      <c r="EK163" s="158"/>
      <c r="EY163" s="158"/>
      <c r="FF163" s="816"/>
    </row>
    <row r="164" spans="2:162" s="192" customFormat="1" ht="18" customHeight="1">
      <c r="B164" s="193"/>
      <c r="C164" s="193"/>
      <c r="D164" s="193"/>
      <c r="E164" s="194"/>
      <c r="F164" s="193"/>
      <c r="G164" s="193"/>
      <c r="H164" s="193"/>
      <c r="I164" s="193"/>
      <c r="J164" s="193"/>
      <c r="K164" s="193"/>
      <c r="L164" s="193"/>
      <c r="M164" s="193"/>
      <c r="N164" s="193"/>
      <c r="O164" s="193"/>
      <c r="P164" s="193"/>
      <c r="Q164" s="193"/>
      <c r="R164" s="193"/>
      <c r="S164" s="193"/>
      <c r="T164" s="193"/>
      <c r="U164" s="193"/>
      <c r="V164" s="193"/>
      <c r="W164" s="193"/>
      <c r="X164" s="193"/>
      <c r="Y164" s="193"/>
      <c r="Z164" s="193"/>
      <c r="AA164" s="193"/>
      <c r="AB164" s="193"/>
      <c r="AC164" s="193"/>
      <c r="AD164" s="193"/>
      <c r="AE164" s="193"/>
      <c r="AF164" s="193"/>
      <c r="AG164" s="193"/>
      <c r="AH164" s="193"/>
      <c r="AI164" s="193"/>
      <c r="AJ164" s="193"/>
      <c r="AK164" s="193"/>
      <c r="AL164" s="193"/>
      <c r="AM164" s="193"/>
      <c r="AN164" s="193"/>
      <c r="AO164" s="193"/>
      <c r="AP164" s="193"/>
      <c r="AQ164" s="193"/>
      <c r="AR164" s="193"/>
      <c r="AS164" s="193"/>
      <c r="AT164" s="193"/>
      <c r="AU164" s="193"/>
      <c r="AV164" s="193"/>
      <c r="AW164" s="193"/>
      <c r="AX164" s="193"/>
      <c r="AY164" s="193"/>
      <c r="AZ164" s="193"/>
      <c r="BA164" s="193"/>
      <c r="BB164" s="193"/>
      <c r="BC164" s="193"/>
      <c r="BD164" s="193"/>
      <c r="BE164" s="193"/>
      <c r="BF164" s="193"/>
      <c r="BG164" s="193"/>
      <c r="BH164" s="193"/>
      <c r="BI164" s="193"/>
      <c r="BJ164" s="193"/>
      <c r="BK164" s="193"/>
      <c r="BL164" s="193"/>
      <c r="BM164" s="193"/>
      <c r="BN164" s="193"/>
      <c r="BO164" s="193"/>
      <c r="BP164" s="193"/>
      <c r="BQ164" s="193"/>
      <c r="BR164" s="193"/>
      <c r="BS164" s="193"/>
      <c r="BT164" s="193"/>
      <c r="BU164" s="193"/>
      <c r="BV164" s="193"/>
      <c r="BW164" s="193"/>
      <c r="BX164" s="193"/>
      <c r="BY164" s="193"/>
      <c r="BZ164" s="193"/>
      <c r="CA164" s="193"/>
      <c r="CB164" s="963"/>
      <c r="CC164" s="193"/>
      <c r="CD164" s="193"/>
      <c r="CE164" s="193"/>
      <c r="CK164" s="964"/>
      <c r="CL164" s="964"/>
      <c r="CM164" s="964"/>
      <c r="CN164" s="964"/>
      <c r="CO164" s="964"/>
      <c r="CS164" s="158"/>
      <c r="CT164" s="158"/>
      <c r="CU164" s="158"/>
      <c r="CV164" s="316"/>
      <c r="DC164" s="334"/>
      <c r="DI164" s="158"/>
      <c r="DJ164" s="316"/>
      <c r="DQ164" s="334"/>
      <c r="DW164" s="158"/>
      <c r="EE164" s="334"/>
      <c r="EK164" s="158"/>
      <c r="EY164" s="158"/>
      <c r="FF164" s="816"/>
    </row>
    <row r="165" spans="2:162" s="192" customFormat="1" ht="18" customHeight="1">
      <c r="B165" s="193"/>
      <c r="C165" s="193"/>
      <c r="D165" s="193"/>
      <c r="E165" s="194"/>
      <c r="F165" s="193"/>
      <c r="G165" s="193"/>
      <c r="H165" s="193"/>
      <c r="I165" s="193"/>
      <c r="J165" s="193"/>
      <c r="K165" s="193"/>
      <c r="L165" s="193"/>
      <c r="M165" s="193"/>
      <c r="N165" s="193"/>
      <c r="O165" s="193"/>
      <c r="P165" s="193"/>
      <c r="Q165" s="193"/>
      <c r="R165" s="193"/>
      <c r="S165" s="193"/>
      <c r="T165" s="193"/>
      <c r="U165" s="193"/>
      <c r="V165" s="193"/>
      <c r="W165" s="193"/>
      <c r="X165" s="193"/>
      <c r="Y165" s="193"/>
      <c r="Z165" s="193"/>
      <c r="AA165" s="193"/>
      <c r="AB165" s="193"/>
      <c r="AC165" s="193"/>
      <c r="AD165" s="193"/>
      <c r="AE165" s="193"/>
      <c r="AF165" s="193"/>
      <c r="AG165" s="193"/>
      <c r="AH165" s="193"/>
      <c r="AI165" s="193"/>
      <c r="AJ165" s="193"/>
      <c r="AK165" s="193"/>
      <c r="AL165" s="193"/>
      <c r="AM165" s="193"/>
      <c r="AN165" s="193"/>
      <c r="AO165" s="193"/>
      <c r="AP165" s="193"/>
      <c r="AQ165" s="193"/>
      <c r="AR165" s="193"/>
      <c r="AS165" s="193"/>
      <c r="AT165" s="193"/>
      <c r="AU165" s="193"/>
      <c r="AV165" s="193"/>
      <c r="AW165" s="193"/>
      <c r="AX165" s="193"/>
      <c r="AY165" s="193"/>
      <c r="AZ165" s="193"/>
      <c r="BA165" s="193"/>
      <c r="BB165" s="193"/>
      <c r="BC165" s="193"/>
      <c r="BD165" s="193"/>
      <c r="BE165" s="193"/>
      <c r="BF165" s="193"/>
      <c r="BG165" s="193"/>
      <c r="BH165" s="193"/>
      <c r="BI165" s="193"/>
      <c r="BJ165" s="193"/>
      <c r="BK165" s="193"/>
      <c r="BL165" s="193"/>
      <c r="BM165" s="193"/>
      <c r="BN165" s="193"/>
      <c r="BO165" s="193"/>
      <c r="BP165" s="193"/>
      <c r="BQ165" s="193"/>
      <c r="BR165" s="193"/>
      <c r="BS165" s="193"/>
      <c r="BT165" s="193"/>
      <c r="BU165" s="193"/>
      <c r="BV165" s="193"/>
      <c r="BW165" s="193"/>
      <c r="BX165" s="193"/>
      <c r="BY165" s="193"/>
      <c r="BZ165" s="193"/>
      <c r="CA165" s="193"/>
      <c r="CB165" s="963"/>
      <c r="CC165" s="193"/>
      <c r="CD165" s="193"/>
      <c r="CE165" s="193"/>
      <c r="CL165" s="334"/>
      <c r="CS165" s="158"/>
      <c r="CT165" s="158"/>
      <c r="CU165" s="158"/>
      <c r="CV165" s="316"/>
      <c r="DC165" s="334"/>
      <c r="DI165" s="158"/>
      <c r="DJ165" s="316"/>
      <c r="DQ165" s="334"/>
      <c r="DW165" s="158"/>
      <c r="EE165" s="334"/>
      <c r="EK165" s="158"/>
      <c r="EY165" s="158"/>
      <c r="FF165" s="816"/>
    </row>
    <row r="166" spans="2:162" s="192" customFormat="1" ht="18" customHeight="1">
      <c r="B166" s="193"/>
      <c r="C166" s="193"/>
      <c r="D166" s="193"/>
      <c r="E166" s="194"/>
      <c r="F166" s="193"/>
      <c r="G166" s="193"/>
      <c r="H166" s="193"/>
      <c r="I166" s="193"/>
      <c r="J166" s="193"/>
      <c r="K166" s="193"/>
      <c r="L166" s="193"/>
      <c r="M166" s="193"/>
      <c r="N166" s="193"/>
      <c r="O166" s="193"/>
      <c r="P166" s="193"/>
      <c r="Q166" s="193"/>
      <c r="R166" s="193"/>
      <c r="S166" s="193"/>
      <c r="T166" s="193"/>
      <c r="U166" s="193"/>
      <c r="V166" s="193"/>
      <c r="W166" s="193"/>
      <c r="X166" s="193"/>
      <c r="Y166" s="193"/>
      <c r="Z166" s="193"/>
      <c r="AA166" s="193"/>
      <c r="AB166" s="193"/>
      <c r="AC166" s="193"/>
      <c r="AD166" s="193"/>
      <c r="AE166" s="193"/>
      <c r="AF166" s="193"/>
      <c r="AG166" s="193"/>
      <c r="AH166" s="193"/>
      <c r="AI166" s="193"/>
      <c r="AJ166" s="193"/>
      <c r="AK166" s="193"/>
      <c r="AL166" s="193"/>
      <c r="AM166" s="193"/>
      <c r="AN166" s="193"/>
      <c r="AO166" s="193"/>
      <c r="AP166" s="193"/>
      <c r="AQ166" s="193"/>
      <c r="AR166" s="193"/>
      <c r="AS166" s="193"/>
      <c r="AT166" s="193"/>
      <c r="AU166" s="193"/>
      <c r="AV166" s="193"/>
      <c r="AW166" s="193"/>
      <c r="AX166" s="193"/>
      <c r="AY166" s="193"/>
      <c r="AZ166" s="193"/>
      <c r="BA166" s="193"/>
      <c r="BB166" s="193"/>
      <c r="BC166" s="193"/>
      <c r="BD166" s="193"/>
      <c r="BE166" s="193"/>
      <c r="BF166" s="193"/>
      <c r="BG166" s="193"/>
      <c r="BH166" s="193"/>
      <c r="BI166" s="193"/>
      <c r="BJ166" s="193"/>
      <c r="BK166" s="193"/>
      <c r="BL166" s="193"/>
      <c r="BM166" s="193"/>
      <c r="BN166" s="193"/>
      <c r="BO166" s="193"/>
      <c r="BP166" s="193"/>
      <c r="BQ166" s="193"/>
      <c r="BR166" s="193"/>
      <c r="BS166" s="193"/>
      <c r="BT166" s="193"/>
      <c r="BU166" s="193"/>
      <c r="BV166" s="193"/>
      <c r="BW166" s="193"/>
      <c r="BX166" s="193"/>
      <c r="BY166" s="193"/>
      <c r="BZ166" s="193"/>
      <c r="CA166" s="193"/>
      <c r="CB166" s="963"/>
      <c r="CC166" s="193"/>
      <c r="CD166" s="193"/>
      <c r="CE166" s="193"/>
      <c r="CL166" s="334"/>
      <c r="CS166" s="158"/>
      <c r="CT166" s="158"/>
      <c r="CU166" s="158"/>
      <c r="CV166" s="316"/>
      <c r="DC166" s="334"/>
      <c r="DI166" s="158"/>
      <c r="DJ166" s="316"/>
      <c r="DQ166" s="334"/>
      <c r="DW166" s="158"/>
      <c r="EE166" s="334"/>
      <c r="EK166" s="158"/>
      <c r="EY166" s="158"/>
      <c r="FF166" s="816"/>
    </row>
    <row r="167" spans="2:162" s="192" customFormat="1" ht="18" customHeight="1">
      <c r="B167" s="193"/>
      <c r="C167" s="193"/>
      <c r="D167" s="193"/>
      <c r="E167" s="194"/>
      <c r="F167" s="193"/>
      <c r="G167" s="193"/>
      <c r="H167" s="193"/>
      <c r="I167" s="193"/>
      <c r="J167" s="193"/>
      <c r="K167" s="193"/>
      <c r="L167" s="193"/>
      <c r="M167" s="193"/>
      <c r="N167" s="193"/>
      <c r="O167" s="193"/>
      <c r="P167" s="193"/>
      <c r="Q167" s="193"/>
      <c r="R167" s="193"/>
      <c r="S167" s="193"/>
      <c r="T167" s="193"/>
      <c r="U167" s="193"/>
      <c r="V167" s="193"/>
      <c r="W167" s="193"/>
      <c r="X167" s="193"/>
      <c r="Y167" s="193"/>
      <c r="Z167" s="193"/>
      <c r="AA167" s="193"/>
      <c r="AB167" s="193"/>
      <c r="AC167" s="193"/>
      <c r="AD167" s="193"/>
      <c r="AE167" s="193"/>
      <c r="AF167" s="193"/>
      <c r="AG167" s="193"/>
      <c r="AH167" s="193"/>
      <c r="AI167" s="193"/>
      <c r="AJ167" s="193"/>
      <c r="AK167" s="193"/>
      <c r="AL167" s="193"/>
      <c r="AM167" s="193"/>
      <c r="AN167" s="193"/>
      <c r="AO167" s="193"/>
      <c r="AP167" s="193"/>
      <c r="AQ167" s="193"/>
      <c r="AR167" s="193"/>
      <c r="AS167" s="193"/>
      <c r="AT167" s="193"/>
      <c r="AU167" s="193"/>
      <c r="AV167" s="193"/>
      <c r="AW167" s="193"/>
      <c r="AX167" s="193"/>
      <c r="AY167" s="193"/>
      <c r="AZ167" s="193"/>
      <c r="BA167" s="193"/>
      <c r="BB167" s="193"/>
      <c r="BC167" s="193"/>
      <c r="BD167" s="193"/>
      <c r="BE167" s="193"/>
      <c r="BF167" s="193"/>
      <c r="BG167" s="193"/>
      <c r="BH167" s="193"/>
      <c r="BI167" s="193"/>
      <c r="BJ167" s="193"/>
      <c r="BK167" s="193"/>
      <c r="BL167" s="193"/>
      <c r="BM167" s="193"/>
      <c r="BN167" s="193"/>
      <c r="BO167" s="193"/>
      <c r="BP167" s="193"/>
      <c r="BQ167" s="193"/>
      <c r="BR167" s="193"/>
      <c r="BS167" s="193"/>
      <c r="BT167" s="193"/>
      <c r="BU167" s="193"/>
      <c r="BV167" s="193"/>
      <c r="BW167" s="193"/>
      <c r="BX167" s="193"/>
      <c r="BY167" s="193"/>
      <c r="BZ167" s="193"/>
      <c r="CA167" s="193"/>
      <c r="CB167" s="963"/>
      <c r="CC167" s="193"/>
      <c r="CD167" s="193"/>
      <c r="CE167" s="193"/>
      <c r="CL167" s="334"/>
      <c r="CS167" s="158"/>
      <c r="CT167" s="158"/>
      <c r="CU167" s="158"/>
      <c r="CV167" s="316"/>
      <c r="DC167" s="334"/>
      <c r="DI167" s="158"/>
      <c r="DJ167" s="316"/>
      <c r="DQ167" s="334"/>
      <c r="DW167" s="158"/>
      <c r="EE167" s="334"/>
      <c r="EK167" s="158"/>
      <c r="EY167" s="158"/>
      <c r="FF167" s="816"/>
    </row>
    <row r="168" spans="2:162" s="192" customFormat="1" ht="18" customHeight="1">
      <c r="B168" s="193"/>
      <c r="C168" s="193"/>
      <c r="D168" s="193"/>
      <c r="E168" s="194"/>
      <c r="F168" s="193"/>
      <c r="G168" s="193"/>
      <c r="H168" s="193"/>
      <c r="I168" s="193"/>
      <c r="J168" s="193"/>
      <c r="K168" s="193"/>
      <c r="L168" s="193"/>
      <c r="M168" s="193"/>
      <c r="N168" s="193"/>
      <c r="O168" s="193"/>
      <c r="P168" s="193"/>
      <c r="Q168" s="193"/>
      <c r="R168" s="193"/>
      <c r="S168" s="193"/>
      <c r="T168" s="193"/>
      <c r="U168" s="193"/>
      <c r="V168" s="193"/>
      <c r="W168" s="193"/>
      <c r="X168" s="193"/>
      <c r="Y168" s="193"/>
      <c r="Z168" s="193"/>
      <c r="AA168" s="193"/>
      <c r="AB168" s="193"/>
      <c r="AC168" s="193"/>
      <c r="AD168" s="193"/>
      <c r="AE168" s="193"/>
      <c r="AF168" s="193"/>
      <c r="AG168" s="193"/>
      <c r="AH168" s="193"/>
      <c r="AI168" s="193"/>
      <c r="AJ168" s="193"/>
      <c r="AK168" s="193"/>
      <c r="AL168" s="193"/>
      <c r="AM168" s="193"/>
      <c r="AN168" s="193"/>
      <c r="AO168" s="193"/>
      <c r="AP168" s="193"/>
      <c r="AQ168" s="193"/>
      <c r="AR168" s="193"/>
      <c r="AS168" s="193"/>
      <c r="AT168" s="193"/>
      <c r="AU168" s="193"/>
      <c r="AV168" s="193"/>
      <c r="AW168" s="193"/>
      <c r="AX168" s="193"/>
      <c r="AY168" s="193"/>
      <c r="AZ168" s="193"/>
      <c r="BA168" s="193"/>
      <c r="BB168" s="193"/>
      <c r="BC168" s="193"/>
      <c r="BD168" s="193"/>
      <c r="BE168" s="193"/>
      <c r="BF168" s="193"/>
      <c r="BG168" s="193"/>
      <c r="BH168" s="193"/>
      <c r="BI168" s="193"/>
      <c r="BJ168" s="193"/>
      <c r="BK168" s="193"/>
      <c r="BL168" s="193"/>
      <c r="BM168" s="193"/>
      <c r="BN168" s="193"/>
      <c r="BO168" s="193"/>
      <c r="BP168" s="193"/>
      <c r="BQ168" s="193"/>
      <c r="BR168" s="193"/>
      <c r="BS168" s="193"/>
      <c r="BT168" s="193"/>
      <c r="BU168" s="193"/>
      <c r="BV168" s="193"/>
      <c r="BW168" s="193"/>
      <c r="BX168" s="193"/>
      <c r="BY168" s="193"/>
      <c r="BZ168" s="193"/>
      <c r="CA168" s="193"/>
      <c r="CB168" s="963"/>
      <c r="CC168" s="193"/>
      <c r="CD168" s="193"/>
      <c r="CE168" s="193"/>
      <c r="CL168" s="334"/>
      <c r="CS168" s="158"/>
      <c r="CT168" s="158"/>
      <c r="CU168" s="158"/>
      <c r="CV168" s="316"/>
      <c r="DC168" s="334"/>
      <c r="DI168" s="158"/>
      <c r="DJ168" s="316"/>
      <c r="DQ168" s="334"/>
      <c r="DW168" s="158"/>
      <c r="EE168" s="334"/>
      <c r="EK168" s="158"/>
      <c r="EY168" s="158"/>
      <c r="FF168" s="816"/>
    </row>
    <row r="169" spans="2:162" s="192" customFormat="1" ht="18" customHeight="1">
      <c r="B169" s="193"/>
      <c r="C169" s="193"/>
      <c r="D169" s="193"/>
      <c r="E169" s="194"/>
      <c r="F169" s="193"/>
      <c r="G169" s="193"/>
      <c r="H169" s="193"/>
      <c r="I169" s="193"/>
      <c r="J169" s="193"/>
      <c r="K169" s="193"/>
      <c r="L169" s="193"/>
      <c r="M169" s="193"/>
      <c r="N169" s="193"/>
      <c r="O169" s="193"/>
      <c r="P169" s="193"/>
      <c r="Q169" s="193"/>
      <c r="R169" s="193"/>
      <c r="S169" s="193"/>
      <c r="T169" s="193"/>
      <c r="U169" s="193"/>
      <c r="V169" s="193"/>
      <c r="W169" s="193"/>
      <c r="X169" s="193"/>
      <c r="Y169" s="193"/>
      <c r="Z169" s="193"/>
      <c r="AA169" s="193"/>
      <c r="AB169" s="193"/>
      <c r="AC169" s="193"/>
      <c r="AD169" s="193"/>
      <c r="AE169" s="193"/>
      <c r="AF169" s="193"/>
      <c r="AG169" s="193"/>
      <c r="AH169" s="193"/>
      <c r="AI169" s="193"/>
      <c r="AJ169" s="193"/>
      <c r="AK169" s="193"/>
      <c r="AL169" s="193"/>
      <c r="AM169" s="193"/>
      <c r="AN169" s="193"/>
      <c r="AO169" s="193"/>
      <c r="AP169" s="193"/>
      <c r="AQ169" s="193"/>
      <c r="AR169" s="193"/>
      <c r="AS169" s="193"/>
      <c r="AT169" s="193"/>
      <c r="AU169" s="193"/>
      <c r="AV169" s="193"/>
      <c r="AW169" s="193"/>
      <c r="AX169" s="193"/>
      <c r="AY169" s="193"/>
      <c r="AZ169" s="193"/>
      <c r="BA169" s="193"/>
      <c r="BB169" s="193"/>
      <c r="BC169" s="193"/>
      <c r="BD169" s="193"/>
      <c r="BE169" s="193"/>
      <c r="BF169" s="193"/>
      <c r="BG169" s="193"/>
      <c r="BH169" s="193"/>
      <c r="BI169" s="193"/>
      <c r="BJ169" s="193"/>
      <c r="BK169" s="193"/>
      <c r="BL169" s="193"/>
      <c r="BM169" s="193"/>
      <c r="BN169" s="193"/>
      <c r="BO169" s="193"/>
      <c r="BP169" s="193"/>
      <c r="BQ169" s="193"/>
      <c r="BR169" s="193"/>
      <c r="BS169" s="193"/>
      <c r="BT169" s="193"/>
      <c r="BU169" s="193"/>
      <c r="BV169" s="193"/>
      <c r="BW169" s="193"/>
      <c r="BX169" s="193"/>
      <c r="BY169" s="193"/>
      <c r="BZ169" s="193"/>
      <c r="CA169" s="193"/>
      <c r="CB169" s="963"/>
      <c r="CC169" s="193"/>
      <c r="CD169" s="193"/>
      <c r="CE169" s="193"/>
      <c r="CL169" s="334"/>
      <c r="CS169" s="158"/>
      <c r="CT169" s="158"/>
      <c r="CU169" s="158"/>
      <c r="CV169" s="316"/>
      <c r="DC169" s="334"/>
      <c r="DI169" s="158"/>
      <c r="DJ169" s="316"/>
      <c r="DQ169" s="334"/>
      <c r="DW169" s="158"/>
      <c r="EE169" s="334"/>
      <c r="EK169" s="158"/>
      <c r="EY169" s="158"/>
      <c r="FF169" s="816"/>
    </row>
    <row r="170" spans="2:162" s="192" customFormat="1" ht="18" customHeight="1">
      <c r="B170" s="193"/>
      <c r="C170" s="193"/>
      <c r="D170" s="193"/>
      <c r="E170" s="194"/>
      <c r="F170" s="193"/>
      <c r="G170" s="193"/>
      <c r="H170" s="193"/>
      <c r="I170" s="193"/>
      <c r="J170" s="193"/>
      <c r="K170" s="193"/>
      <c r="L170" s="193"/>
      <c r="M170" s="193"/>
      <c r="N170" s="193"/>
      <c r="O170" s="193"/>
      <c r="P170" s="193"/>
      <c r="Q170" s="193"/>
      <c r="R170" s="193"/>
      <c r="S170" s="193"/>
      <c r="T170" s="193"/>
      <c r="U170" s="193"/>
      <c r="V170" s="193"/>
      <c r="W170" s="193"/>
      <c r="X170" s="193"/>
      <c r="Y170" s="193"/>
      <c r="Z170" s="193"/>
      <c r="AA170" s="193"/>
      <c r="AB170" s="193"/>
      <c r="AC170" s="193"/>
      <c r="AD170" s="193"/>
      <c r="AE170" s="193"/>
      <c r="AF170" s="193"/>
      <c r="AG170" s="193"/>
      <c r="AH170" s="193"/>
      <c r="AI170" s="193"/>
      <c r="AJ170" s="193"/>
      <c r="AK170" s="193"/>
      <c r="AL170" s="193"/>
      <c r="AM170" s="193"/>
      <c r="AN170" s="193"/>
      <c r="AO170" s="193"/>
      <c r="AP170" s="193"/>
      <c r="AQ170" s="193"/>
      <c r="AR170" s="193"/>
      <c r="AS170" s="193"/>
      <c r="AT170" s="193"/>
      <c r="AU170" s="193"/>
      <c r="AV170" s="193"/>
      <c r="AW170" s="193"/>
      <c r="AX170" s="193"/>
      <c r="AY170" s="193"/>
      <c r="AZ170" s="193"/>
      <c r="BA170" s="193"/>
      <c r="BB170" s="193"/>
      <c r="BC170" s="193"/>
      <c r="BD170" s="193"/>
      <c r="BE170" s="193"/>
      <c r="BF170" s="193"/>
      <c r="BG170" s="193"/>
      <c r="BH170" s="193"/>
      <c r="BI170" s="193"/>
      <c r="BJ170" s="193"/>
      <c r="BK170" s="193"/>
      <c r="BL170" s="193"/>
      <c r="BM170" s="193"/>
      <c r="BN170" s="193"/>
      <c r="BO170" s="193"/>
      <c r="BP170" s="193"/>
      <c r="BQ170" s="193"/>
      <c r="BR170" s="193"/>
      <c r="BS170" s="193"/>
      <c r="BT170" s="193"/>
      <c r="BU170" s="193"/>
      <c r="BV170" s="193"/>
      <c r="BW170" s="193"/>
      <c r="BX170" s="193"/>
      <c r="BY170" s="193"/>
      <c r="BZ170" s="193"/>
      <c r="CA170" s="193"/>
      <c r="CB170" s="963"/>
      <c r="CC170" s="193"/>
      <c r="CD170" s="193"/>
      <c r="CE170" s="193"/>
      <c r="CL170" s="334"/>
      <c r="CS170" s="158"/>
      <c r="CT170" s="158"/>
      <c r="CU170" s="158"/>
      <c r="CV170" s="316"/>
      <c r="DC170" s="334"/>
      <c r="DI170" s="158"/>
      <c r="DJ170" s="316"/>
      <c r="DQ170" s="334"/>
      <c r="DW170" s="158"/>
      <c r="EE170" s="334"/>
      <c r="EK170" s="158"/>
      <c r="EY170" s="158"/>
      <c r="FF170" s="816"/>
    </row>
    <row r="171" spans="2:162" s="192" customFormat="1" ht="18" customHeight="1">
      <c r="B171" s="193"/>
      <c r="C171" s="193"/>
      <c r="D171" s="193"/>
      <c r="E171" s="194"/>
      <c r="F171" s="193"/>
      <c r="G171" s="193"/>
      <c r="H171" s="193"/>
      <c r="I171" s="193"/>
      <c r="J171" s="193"/>
      <c r="K171" s="193"/>
      <c r="L171" s="193"/>
      <c r="M171" s="193"/>
      <c r="N171" s="193"/>
      <c r="O171" s="193"/>
      <c r="P171" s="193"/>
      <c r="Q171" s="193"/>
      <c r="R171" s="193"/>
      <c r="S171" s="193"/>
      <c r="T171" s="193"/>
      <c r="U171" s="193"/>
      <c r="V171" s="193"/>
      <c r="W171" s="193"/>
      <c r="X171" s="193"/>
      <c r="Y171" s="193"/>
      <c r="Z171" s="193"/>
      <c r="AA171" s="193"/>
      <c r="AB171" s="193"/>
      <c r="AC171" s="193"/>
      <c r="AD171" s="193"/>
      <c r="AE171" s="193"/>
      <c r="AF171" s="193"/>
      <c r="AG171" s="193"/>
      <c r="AH171" s="193"/>
      <c r="AI171" s="193"/>
      <c r="AJ171" s="193"/>
      <c r="AK171" s="193"/>
      <c r="AL171" s="193"/>
      <c r="AM171" s="193"/>
      <c r="AN171" s="193"/>
      <c r="AO171" s="193"/>
      <c r="AP171" s="193"/>
      <c r="AQ171" s="193"/>
      <c r="AR171" s="193"/>
      <c r="AS171" s="193"/>
      <c r="AT171" s="193"/>
      <c r="AU171" s="193"/>
      <c r="AV171" s="193"/>
      <c r="AW171" s="193"/>
      <c r="AX171" s="193"/>
      <c r="AY171" s="193"/>
      <c r="AZ171" s="193"/>
      <c r="BA171" s="193"/>
      <c r="BB171" s="193"/>
      <c r="BC171" s="193"/>
      <c r="BD171" s="193"/>
      <c r="BE171" s="193"/>
      <c r="BF171" s="193"/>
      <c r="BG171" s="193"/>
      <c r="BH171" s="193"/>
      <c r="BI171" s="193"/>
      <c r="BJ171" s="193"/>
      <c r="BK171" s="193"/>
      <c r="BL171" s="193"/>
      <c r="BM171" s="193"/>
      <c r="BN171" s="193"/>
      <c r="BO171" s="193"/>
      <c r="BP171" s="193"/>
      <c r="BQ171" s="193"/>
      <c r="BR171" s="193"/>
      <c r="BS171" s="193"/>
      <c r="BT171" s="193"/>
      <c r="BU171" s="193"/>
      <c r="BV171" s="193"/>
      <c r="BW171" s="193"/>
      <c r="BX171" s="193"/>
      <c r="BY171" s="193"/>
      <c r="BZ171" s="193"/>
      <c r="CA171" s="193"/>
      <c r="CB171" s="963"/>
      <c r="CC171" s="193"/>
      <c r="CD171" s="193"/>
      <c r="CE171" s="193"/>
      <c r="CL171" s="334"/>
      <c r="CS171" s="158"/>
      <c r="CT171" s="158"/>
      <c r="CU171" s="158"/>
      <c r="CV171" s="316"/>
      <c r="DC171" s="334"/>
      <c r="DI171" s="158"/>
      <c r="DJ171" s="316"/>
      <c r="DQ171" s="334"/>
      <c r="DW171" s="158"/>
      <c r="EE171" s="334"/>
      <c r="EK171" s="158"/>
      <c r="EY171" s="158"/>
      <c r="FF171" s="816"/>
    </row>
    <row r="172" spans="2:162" s="192" customFormat="1" ht="18" customHeight="1">
      <c r="B172" s="193"/>
      <c r="C172" s="193"/>
      <c r="D172" s="193"/>
      <c r="E172" s="194"/>
      <c r="F172" s="193"/>
      <c r="G172" s="193"/>
      <c r="H172" s="193"/>
      <c r="I172" s="193"/>
      <c r="J172" s="193"/>
      <c r="K172" s="193"/>
      <c r="L172" s="193"/>
      <c r="M172" s="193"/>
      <c r="N172" s="193"/>
      <c r="O172" s="193"/>
      <c r="P172" s="193"/>
      <c r="Q172" s="193"/>
      <c r="R172" s="193"/>
      <c r="S172" s="193"/>
      <c r="T172" s="193"/>
      <c r="U172" s="193"/>
      <c r="V172" s="193"/>
      <c r="W172" s="193"/>
      <c r="X172" s="193"/>
      <c r="Y172" s="193"/>
      <c r="Z172" s="193"/>
      <c r="AA172" s="193"/>
      <c r="AB172" s="193"/>
      <c r="AC172" s="193"/>
      <c r="AD172" s="193"/>
      <c r="AE172" s="193"/>
      <c r="AF172" s="193"/>
      <c r="AG172" s="193"/>
      <c r="AH172" s="193"/>
      <c r="AI172" s="193"/>
      <c r="AJ172" s="193"/>
      <c r="AK172" s="193"/>
      <c r="AL172" s="193"/>
      <c r="AM172" s="193"/>
      <c r="AN172" s="193"/>
      <c r="AO172" s="193"/>
      <c r="AP172" s="193"/>
      <c r="AQ172" s="193"/>
      <c r="AR172" s="193"/>
      <c r="AS172" s="193"/>
      <c r="AT172" s="193"/>
      <c r="AU172" s="193"/>
      <c r="AV172" s="193"/>
      <c r="AW172" s="193"/>
      <c r="AX172" s="193"/>
      <c r="AY172" s="193"/>
      <c r="AZ172" s="193"/>
      <c r="BA172" s="193"/>
      <c r="BB172" s="193"/>
      <c r="BC172" s="193"/>
      <c r="BD172" s="193"/>
      <c r="BE172" s="193"/>
      <c r="BF172" s="193"/>
      <c r="BG172" s="193"/>
      <c r="BH172" s="193"/>
      <c r="BI172" s="193"/>
      <c r="BJ172" s="193"/>
      <c r="BK172" s="193"/>
      <c r="BL172" s="193"/>
      <c r="BM172" s="193"/>
      <c r="BN172" s="193"/>
      <c r="BO172" s="193"/>
      <c r="BP172" s="193"/>
      <c r="BQ172" s="193"/>
      <c r="BR172" s="193"/>
      <c r="BS172" s="193"/>
      <c r="BT172" s="193"/>
      <c r="BU172" s="193"/>
      <c r="BV172" s="193"/>
      <c r="BW172" s="193"/>
      <c r="BX172" s="193"/>
      <c r="BY172" s="193"/>
      <c r="BZ172" s="193"/>
      <c r="CA172" s="193"/>
      <c r="CB172" s="963"/>
      <c r="CC172" s="193"/>
      <c r="CD172" s="193"/>
      <c r="CE172" s="193"/>
      <c r="CL172" s="334"/>
      <c r="CS172" s="158"/>
      <c r="CT172" s="158"/>
      <c r="CU172" s="158"/>
      <c r="CV172" s="316"/>
      <c r="DC172" s="334"/>
      <c r="DI172" s="158"/>
      <c r="DJ172" s="316"/>
      <c r="DQ172" s="334"/>
      <c r="DW172" s="158"/>
      <c r="EE172" s="334"/>
      <c r="EK172" s="158"/>
      <c r="EY172" s="158"/>
      <c r="FF172" s="816"/>
    </row>
    <row r="173" spans="2:162" s="192" customFormat="1" ht="18" customHeight="1">
      <c r="B173" s="193"/>
      <c r="C173" s="193"/>
      <c r="D173" s="193"/>
      <c r="E173" s="194"/>
      <c r="F173" s="193"/>
      <c r="G173" s="193"/>
      <c r="H173" s="193"/>
      <c r="I173" s="193"/>
      <c r="J173" s="193"/>
      <c r="K173" s="193"/>
      <c r="L173" s="193"/>
      <c r="M173" s="193"/>
      <c r="N173" s="193"/>
      <c r="O173" s="193"/>
      <c r="P173" s="193"/>
      <c r="Q173" s="193"/>
      <c r="R173" s="193"/>
      <c r="S173" s="193"/>
      <c r="T173" s="193"/>
      <c r="U173" s="193"/>
      <c r="V173" s="193"/>
      <c r="W173" s="193"/>
      <c r="X173" s="193"/>
      <c r="Y173" s="193"/>
      <c r="Z173" s="193"/>
      <c r="AA173" s="193"/>
      <c r="AB173" s="193"/>
      <c r="AC173" s="193"/>
      <c r="AD173" s="193"/>
      <c r="AE173" s="193"/>
      <c r="AF173" s="193"/>
      <c r="AG173" s="193"/>
      <c r="AH173" s="193"/>
      <c r="AI173" s="193"/>
      <c r="AJ173" s="193"/>
      <c r="AK173" s="193"/>
      <c r="AL173" s="193"/>
      <c r="AM173" s="193"/>
      <c r="AN173" s="193"/>
      <c r="AO173" s="193"/>
      <c r="AP173" s="193"/>
      <c r="AQ173" s="193"/>
      <c r="AR173" s="193"/>
      <c r="AS173" s="193"/>
      <c r="AT173" s="193"/>
      <c r="AU173" s="193"/>
      <c r="AV173" s="193"/>
      <c r="AW173" s="193"/>
      <c r="AX173" s="193"/>
      <c r="AY173" s="193"/>
      <c r="AZ173" s="193"/>
      <c r="BA173" s="193"/>
      <c r="BB173" s="193"/>
      <c r="BC173" s="193"/>
      <c r="BD173" s="193"/>
      <c r="BE173" s="193"/>
      <c r="BF173" s="193"/>
      <c r="BG173" s="193"/>
      <c r="BH173" s="193"/>
      <c r="BI173" s="193"/>
      <c r="BJ173" s="193"/>
      <c r="BK173" s="193"/>
      <c r="BL173" s="193"/>
      <c r="BM173" s="193"/>
      <c r="BN173" s="193"/>
      <c r="BO173" s="193"/>
      <c r="BP173" s="193"/>
      <c r="BQ173" s="193"/>
      <c r="BR173" s="193"/>
      <c r="BS173" s="193"/>
      <c r="BT173" s="193"/>
      <c r="BU173" s="193"/>
      <c r="BV173" s="193"/>
      <c r="BW173" s="193"/>
      <c r="BX173" s="193"/>
      <c r="BY173" s="193"/>
      <c r="BZ173" s="193"/>
      <c r="CA173" s="193"/>
      <c r="CB173" s="963"/>
      <c r="CC173" s="193"/>
      <c r="CD173" s="193"/>
      <c r="CE173" s="193"/>
      <c r="CL173" s="334"/>
      <c r="CS173" s="158"/>
      <c r="CT173" s="158"/>
      <c r="CU173" s="158"/>
      <c r="CV173" s="316"/>
      <c r="DC173" s="334"/>
      <c r="DI173" s="158"/>
      <c r="DJ173" s="316"/>
      <c r="DQ173" s="334"/>
      <c r="DW173" s="158"/>
      <c r="EE173" s="334"/>
      <c r="EK173" s="158"/>
      <c r="EY173" s="158"/>
      <c r="FF173" s="816"/>
    </row>
    <row r="174" spans="2:162" s="192" customFormat="1" ht="18" customHeight="1">
      <c r="B174" s="193"/>
      <c r="C174" s="193"/>
      <c r="D174" s="193"/>
      <c r="E174" s="194"/>
      <c r="F174" s="193"/>
      <c r="G174" s="193"/>
      <c r="H174" s="193"/>
      <c r="I174" s="193"/>
      <c r="J174" s="193"/>
      <c r="K174" s="193"/>
      <c r="L174" s="193"/>
      <c r="M174" s="193"/>
      <c r="N174" s="193"/>
      <c r="O174" s="193"/>
      <c r="P174" s="193"/>
      <c r="Q174" s="193"/>
      <c r="R174" s="193"/>
      <c r="S174" s="193"/>
      <c r="T174" s="193"/>
      <c r="U174" s="193"/>
      <c r="V174" s="193"/>
      <c r="W174" s="193"/>
      <c r="X174" s="193"/>
      <c r="Y174" s="193"/>
      <c r="Z174" s="193"/>
      <c r="AA174" s="193"/>
      <c r="AB174" s="193"/>
      <c r="AC174" s="193"/>
      <c r="AD174" s="193"/>
      <c r="AE174" s="193"/>
      <c r="AF174" s="193"/>
      <c r="AG174" s="193"/>
      <c r="AH174" s="193"/>
      <c r="AI174" s="193"/>
      <c r="AJ174" s="193"/>
      <c r="AK174" s="193"/>
      <c r="AL174" s="193"/>
      <c r="AM174" s="193"/>
      <c r="AN174" s="193"/>
      <c r="AO174" s="193"/>
      <c r="AP174" s="193"/>
      <c r="AQ174" s="193"/>
      <c r="AR174" s="193"/>
      <c r="AS174" s="193"/>
      <c r="AT174" s="193"/>
      <c r="AU174" s="193"/>
      <c r="AV174" s="193"/>
      <c r="AW174" s="193"/>
      <c r="AX174" s="193"/>
      <c r="AY174" s="193"/>
      <c r="AZ174" s="193"/>
      <c r="BA174" s="193"/>
      <c r="BB174" s="193"/>
      <c r="BC174" s="193"/>
      <c r="BD174" s="193"/>
      <c r="BE174" s="193"/>
      <c r="BF174" s="193"/>
      <c r="BG174" s="193"/>
      <c r="BH174" s="193"/>
      <c r="BI174" s="193"/>
      <c r="BJ174" s="193"/>
      <c r="BK174" s="193"/>
      <c r="BL174" s="193"/>
      <c r="BM174" s="193"/>
      <c r="BN174" s="193"/>
      <c r="BO174" s="193"/>
      <c r="BP174" s="193"/>
      <c r="BQ174" s="193"/>
      <c r="BR174" s="193"/>
      <c r="BS174" s="193"/>
      <c r="BT174" s="193"/>
      <c r="BU174" s="193"/>
      <c r="BV174" s="193"/>
      <c r="BW174" s="193"/>
      <c r="BX174" s="193"/>
      <c r="BY174" s="193"/>
      <c r="BZ174" s="193"/>
      <c r="CA174" s="193"/>
      <c r="CB174" s="963"/>
      <c r="CC174" s="193"/>
      <c r="CD174" s="193"/>
      <c r="CE174" s="193"/>
      <c r="CL174" s="334"/>
      <c r="CS174" s="158"/>
      <c r="CT174" s="158"/>
      <c r="CU174" s="158"/>
      <c r="CV174" s="316"/>
      <c r="DC174" s="334"/>
      <c r="DI174" s="158"/>
      <c r="DJ174" s="316"/>
      <c r="DQ174" s="334"/>
      <c r="DW174" s="158"/>
      <c r="EE174" s="334"/>
      <c r="EK174" s="158"/>
      <c r="EY174" s="158"/>
      <c r="FF174" s="816"/>
    </row>
    <row r="175" spans="2:162" s="192" customFormat="1" ht="18" customHeight="1">
      <c r="B175" s="193"/>
      <c r="C175" s="193"/>
      <c r="D175" s="193"/>
      <c r="E175" s="194"/>
      <c r="F175" s="193"/>
      <c r="G175" s="193"/>
      <c r="H175" s="193"/>
      <c r="I175" s="193"/>
      <c r="J175" s="193"/>
      <c r="K175" s="193"/>
      <c r="L175" s="193"/>
      <c r="M175" s="193"/>
      <c r="N175" s="193"/>
      <c r="O175" s="193"/>
      <c r="P175" s="193"/>
      <c r="Q175" s="193"/>
      <c r="R175" s="193"/>
      <c r="S175" s="193"/>
      <c r="T175" s="193"/>
      <c r="U175" s="193"/>
      <c r="V175" s="193"/>
      <c r="W175" s="193"/>
      <c r="X175" s="193"/>
      <c r="Y175" s="193"/>
      <c r="Z175" s="193"/>
      <c r="AA175" s="193"/>
      <c r="AB175" s="193"/>
      <c r="AC175" s="193"/>
      <c r="AD175" s="193"/>
      <c r="AE175" s="193"/>
      <c r="AF175" s="193"/>
      <c r="AG175" s="193"/>
      <c r="AH175" s="193"/>
      <c r="AI175" s="193"/>
      <c r="AJ175" s="193"/>
      <c r="AK175" s="193"/>
      <c r="AL175" s="193"/>
      <c r="AM175" s="193"/>
      <c r="AN175" s="193"/>
      <c r="AO175" s="193"/>
      <c r="AP175" s="193"/>
      <c r="AQ175" s="193"/>
      <c r="AR175" s="193"/>
      <c r="AS175" s="193"/>
      <c r="AT175" s="193"/>
      <c r="AU175" s="193"/>
      <c r="AV175" s="193"/>
      <c r="AW175" s="193"/>
      <c r="AX175" s="193"/>
      <c r="AY175" s="193"/>
      <c r="AZ175" s="193"/>
      <c r="BA175" s="193"/>
      <c r="BB175" s="193"/>
      <c r="BC175" s="193"/>
      <c r="BD175" s="193"/>
      <c r="BE175" s="193"/>
      <c r="BF175" s="193"/>
      <c r="BG175" s="193"/>
      <c r="BH175" s="193"/>
      <c r="BI175" s="193"/>
      <c r="BJ175" s="193"/>
      <c r="BK175" s="193"/>
      <c r="BL175" s="193"/>
      <c r="BM175" s="193"/>
      <c r="BN175" s="193"/>
      <c r="BO175" s="193"/>
      <c r="BP175" s="193"/>
      <c r="BQ175" s="193"/>
      <c r="BR175" s="193"/>
      <c r="BS175" s="193"/>
      <c r="BT175" s="193"/>
      <c r="BU175" s="193"/>
      <c r="BV175" s="193"/>
      <c r="BW175" s="193"/>
      <c r="BX175" s="193"/>
      <c r="BY175" s="193"/>
      <c r="BZ175" s="193"/>
      <c r="CA175" s="193"/>
      <c r="CB175" s="963"/>
      <c r="CC175" s="193"/>
      <c r="CD175" s="193"/>
      <c r="CE175" s="193"/>
      <c r="CL175" s="334"/>
      <c r="CS175" s="158"/>
      <c r="CT175" s="158"/>
      <c r="CU175" s="158"/>
      <c r="CV175" s="316"/>
      <c r="DC175" s="334"/>
      <c r="DI175" s="158"/>
      <c r="DJ175" s="316"/>
      <c r="DQ175" s="334"/>
      <c r="DW175" s="158"/>
      <c r="EE175" s="334"/>
      <c r="EK175" s="158"/>
      <c r="EY175" s="158"/>
      <c r="FF175" s="816"/>
    </row>
    <row r="176" spans="2:162" s="192" customFormat="1" ht="18" customHeight="1">
      <c r="B176" s="193"/>
      <c r="C176" s="193"/>
      <c r="D176" s="193"/>
      <c r="E176" s="194"/>
      <c r="F176" s="193"/>
      <c r="G176" s="193"/>
      <c r="H176" s="193"/>
      <c r="I176" s="193"/>
      <c r="J176" s="193"/>
      <c r="K176" s="193"/>
      <c r="L176" s="193"/>
      <c r="M176" s="193"/>
      <c r="N176" s="193"/>
      <c r="O176" s="193"/>
      <c r="P176" s="193"/>
      <c r="Q176" s="193"/>
      <c r="R176" s="193"/>
      <c r="S176" s="193"/>
      <c r="T176" s="193"/>
      <c r="U176" s="193"/>
      <c r="V176" s="193"/>
      <c r="W176" s="193"/>
      <c r="X176" s="193"/>
      <c r="Y176" s="193"/>
      <c r="Z176" s="193"/>
      <c r="AA176" s="193"/>
      <c r="AB176" s="193"/>
      <c r="AC176" s="193"/>
      <c r="AD176" s="193"/>
      <c r="AE176" s="193"/>
      <c r="AF176" s="193"/>
      <c r="AG176" s="193"/>
      <c r="AH176" s="193"/>
      <c r="AI176" s="193"/>
      <c r="AJ176" s="193"/>
      <c r="AK176" s="193"/>
      <c r="AL176" s="193"/>
      <c r="AM176" s="193"/>
      <c r="AN176" s="193"/>
      <c r="AO176" s="193"/>
      <c r="AP176" s="193"/>
      <c r="AQ176" s="193"/>
      <c r="AR176" s="193"/>
      <c r="AS176" s="193"/>
      <c r="AT176" s="193"/>
      <c r="AU176" s="193"/>
      <c r="AV176" s="193"/>
      <c r="AW176" s="193"/>
      <c r="AX176" s="193"/>
      <c r="AY176" s="193"/>
      <c r="AZ176" s="193"/>
      <c r="BA176" s="193"/>
      <c r="BB176" s="193"/>
      <c r="BC176" s="193"/>
      <c r="BD176" s="193"/>
      <c r="BE176" s="193"/>
      <c r="BF176" s="193"/>
      <c r="BG176" s="193"/>
      <c r="BH176" s="193"/>
      <c r="BI176" s="193"/>
      <c r="BJ176" s="193"/>
      <c r="BK176" s="193"/>
      <c r="BL176" s="193"/>
      <c r="BM176" s="193"/>
      <c r="BN176" s="193"/>
      <c r="BO176" s="193"/>
      <c r="BP176" s="193"/>
      <c r="BQ176" s="193"/>
      <c r="BR176" s="193"/>
      <c r="BS176" s="193"/>
      <c r="BT176" s="193"/>
      <c r="BU176" s="193"/>
      <c r="BV176" s="193"/>
      <c r="BW176" s="193"/>
      <c r="BX176" s="193"/>
      <c r="BY176" s="193"/>
      <c r="BZ176" s="193"/>
      <c r="CA176" s="193"/>
      <c r="CB176" s="963"/>
      <c r="CC176" s="193"/>
      <c r="CD176" s="193"/>
      <c r="CE176" s="193"/>
      <c r="CL176" s="334"/>
      <c r="CS176" s="158"/>
      <c r="CT176" s="158"/>
      <c r="CU176" s="158"/>
      <c r="CV176" s="316"/>
      <c r="DC176" s="334"/>
      <c r="DI176" s="158"/>
      <c r="DJ176" s="316"/>
      <c r="DQ176" s="334"/>
      <c r="DW176" s="158"/>
      <c r="EE176" s="334"/>
      <c r="EK176" s="158"/>
      <c r="EY176" s="158"/>
      <c r="FF176" s="816"/>
    </row>
    <row r="177" spans="2:162" s="192" customFormat="1" ht="18" customHeight="1">
      <c r="B177" s="193"/>
      <c r="C177" s="193"/>
      <c r="D177" s="193"/>
      <c r="E177" s="194"/>
      <c r="F177" s="193"/>
      <c r="G177" s="193"/>
      <c r="H177" s="193"/>
      <c r="I177" s="193"/>
      <c r="J177" s="193"/>
      <c r="K177" s="193"/>
      <c r="L177" s="193"/>
      <c r="M177" s="193"/>
      <c r="N177" s="193"/>
      <c r="O177" s="193"/>
      <c r="P177" s="193"/>
      <c r="Q177" s="193"/>
      <c r="R177" s="193"/>
      <c r="S177" s="193"/>
      <c r="T177" s="193"/>
      <c r="U177" s="193"/>
      <c r="V177" s="193"/>
      <c r="W177" s="193"/>
      <c r="X177" s="193"/>
      <c r="Y177" s="193"/>
      <c r="Z177" s="193"/>
      <c r="AA177" s="193"/>
      <c r="AB177" s="193"/>
      <c r="AC177" s="193"/>
      <c r="AD177" s="193"/>
      <c r="AE177" s="193"/>
      <c r="AF177" s="193"/>
      <c r="AG177" s="193"/>
      <c r="AH177" s="193"/>
      <c r="AI177" s="193"/>
      <c r="AJ177" s="193"/>
      <c r="AK177" s="193"/>
      <c r="AL177" s="193"/>
      <c r="AM177" s="193"/>
      <c r="AN177" s="193"/>
      <c r="AO177" s="193"/>
      <c r="AP177" s="193"/>
      <c r="AQ177" s="193"/>
      <c r="AR177" s="193"/>
      <c r="AS177" s="193"/>
      <c r="AT177" s="193"/>
      <c r="AU177" s="193"/>
      <c r="AV177" s="193"/>
      <c r="AW177" s="193"/>
      <c r="AX177" s="193"/>
      <c r="AY177" s="193"/>
      <c r="AZ177" s="193"/>
      <c r="BA177" s="193"/>
      <c r="BB177" s="193"/>
      <c r="BC177" s="193"/>
      <c r="BD177" s="193"/>
      <c r="BE177" s="193"/>
      <c r="BF177" s="193"/>
      <c r="BG177" s="193"/>
      <c r="BH177" s="193"/>
      <c r="BI177" s="193"/>
      <c r="BJ177" s="193"/>
      <c r="BK177" s="193"/>
      <c r="BL177" s="193"/>
      <c r="BM177" s="193"/>
      <c r="BN177" s="193"/>
      <c r="BO177" s="193"/>
      <c r="BP177" s="193"/>
      <c r="BQ177" s="193"/>
      <c r="BR177" s="193"/>
      <c r="BS177" s="193"/>
      <c r="BT177" s="193"/>
      <c r="BU177" s="193"/>
      <c r="BV177" s="193"/>
      <c r="BW177" s="193"/>
      <c r="BX177" s="193"/>
      <c r="BY177" s="193"/>
      <c r="BZ177" s="193"/>
      <c r="CA177" s="193"/>
      <c r="CB177" s="963"/>
      <c r="CC177" s="193"/>
      <c r="CD177" s="193"/>
      <c r="CE177" s="193"/>
      <c r="CL177" s="334"/>
      <c r="CS177" s="158"/>
      <c r="CT177" s="158"/>
      <c r="CU177" s="158"/>
      <c r="CV177" s="316"/>
      <c r="DC177" s="334"/>
      <c r="DI177" s="158"/>
      <c r="DJ177" s="316"/>
      <c r="DQ177" s="334"/>
      <c r="DW177" s="158"/>
      <c r="EE177" s="334"/>
      <c r="EK177" s="158"/>
      <c r="EY177" s="158"/>
      <c r="FF177" s="816"/>
    </row>
    <row r="178" spans="2:162" s="192" customFormat="1" ht="18" customHeight="1">
      <c r="B178" s="193"/>
      <c r="C178" s="193"/>
      <c r="D178" s="193"/>
      <c r="E178" s="194"/>
      <c r="F178" s="193"/>
      <c r="G178" s="193"/>
      <c r="H178" s="193"/>
      <c r="I178" s="193"/>
      <c r="J178" s="193"/>
      <c r="K178" s="193"/>
      <c r="L178" s="193"/>
      <c r="M178" s="193"/>
      <c r="N178" s="193"/>
      <c r="O178" s="193"/>
      <c r="P178" s="193"/>
      <c r="Q178" s="193"/>
      <c r="R178" s="193"/>
      <c r="S178" s="193"/>
      <c r="T178" s="193"/>
      <c r="U178" s="193"/>
      <c r="V178" s="193"/>
      <c r="W178" s="193"/>
      <c r="X178" s="193"/>
      <c r="Y178" s="193"/>
      <c r="Z178" s="193"/>
      <c r="AA178" s="193"/>
      <c r="AB178" s="193"/>
      <c r="AC178" s="193"/>
      <c r="AD178" s="193"/>
      <c r="AE178" s="193"/>
      <c r="AF178" s="193"/>
      <c r="AG178" s="193"/>
      <c r="AH178" s="193"/>
      <c r="AI178" s="193"/>
      <c r="AJ178" s="193"/>
      <c r="AK178" s="193"/>
      <c r="AL178" s="193"/>
      <c r="AM178" s="193"/>
      <c r="AN178" s="193"/>
      <c r="AO178" s="193"/>
      <c r="AP178" s="193"/>
      <c r="AQ178" s="193"/>
      <c r="AR178" s="193"/>
      <c r="AS178" s="193"/>
      <c r="AT178" s="193"/>
      <c r="AU178" s="193"/>
      <c r="AV178" s="193"/>
      <c r="AW178" s="193"/>
      <c r="AX178" s="193"/>
      <c r="AY178" s="193"/>
      <c r="AZ178" s="193"/>
      <c r="BA178" s="193"/>
      <c r="BB178" s="193"/>
      <c r="BC178" s="193"/>
      <c r="BD178" s="193"/>
      <c r="BE178" s="193"/>
      <c r="BF178" s="193"/>
      <c r="BG178" s="193"/>
      <c r="BH178" s="193"/>
      <c r="BI178" s="193"/>
      <c r="BJ178" s="193"/>
      <c r="BK178" s="193"/>
      <c r="BL178" s="193"/>
      <c r="BM178" s="193"/>
      <c r="BN178" s="193"/>
      <c r="BO178" s="193"/>
      <c r="BP178" s="193"/>
      <c r="BQ178" s="193"/>
      <c r="BR178" s="193"/>
      <c r="BS178" s="193"/>
      <c r="BT178" s="193"/>
      <c r="BU178" s="193"/>
      <c r="BV178" s="193"/>
      <c r="BW178" s="193"/>
      <c r="BX178" s="193"/>
      <c r="BY178" s="193"/>
      <c r="BZ178" s="193"/>
      <c r="CA178" s="193"/>
      <c r="CB178" s="963"/>
      <c r="CC178" s="193"/>
      <c r="CD178" s="193"/>
      <c r="CE178" s="193"/>
      <c r="CL178" s="334"/>
      <c r="CS178" s="158"/>
      <c r="CT178" s="158"/>
      <c r="CU178" s="158"/>
      <c r="CV178" s="316"/>
      <c r="DC178" s="334"/>
      <c r="DI178" s="158"/>
      <c r="DJ178" s="316"/>
      <c r="DQ178" s="334"/>
      <c r="DW178" s="158"/>
      <c r="EE178" s="334"/>
      <c r="EK178" s="158"/>
      <c r="EY178" s="158"/>
      <c r="FF178" s="816"/>
    </row>
    <row r="179" spans="2:162" s="192" customFormat="1" ht="18" customHeight="1">
      <c r="B179" s="193"/>
      <c r="C179" s="193"/>
      <c r="D179" s="193"/>
      <c r="E179" s="194"/>
      <c r="F179" s="193"/>
      <c r="G179" s="193"/>
      <c r="H179" s="193"/>
      <c r="I179" s="193"/>
      <c r="J179" s="193"/>
      <c r="K179" s="193"/>
      <c r="L179" s="193"/>
      <c r="M179" s="193"/>
      <c r="N179" s="193"/>
      <c r="O179" s="193"/>
      <c r="P179" s="193"/>
      <c r="Q179" s="193"/>
      <c r="R179" s="193"/>
      <c r="S179" s="193"/>
      <c r="T179" s="193"/>
      <c r="U179" s="193"/>
      <c r="V179" s="193"/>
      <c r="W179" s="193"/>
      <c r="X179" s="193"/>
      <c r="Y179" s="193"/>
      <c r="Z179" s="193"/>
      <c r="AA179" s="193"/>
      <c r="AB179" s="193"/>
      <c r="AC179" s="193"/>
      <c r="AD179" s="193"/>
      <c r="AE179" s="193"/>
      <c r="AF179" s="193"/>
      <c r="AG179" s="193"/>
      <c r="AH179" s="193"/>
      <c r="AI179" s="193"/>
      <c r="AJ179" s="193"/>
      <c r="AK179" s="193"/>
      <c r="AL179" s="193"/>
      <c r="AM179" s="193"/>
      <c r="AN179" s="193"/>
      <c r="AO179" s="193"/>
      <c r="AP179" s="193"/>
      <c r="AQ179" s="193"/>
      <c r="AR179" s="193"/>
      <c r="AS179" s="193"/>
      <c r="AT179" s="193"/>
      <c r="AU179" s="193"/>
      <c r="AV179" s="193"/>
      <c r="AW179" s="193"/>
      <c r="AX179" s="193"/>
      <c r="AY179" s="193"/>
      <c r="AZ179" s="193"/>
      <c r="BA179" s="193"/>
      <c r="BB179" s="193"/>
      <c r="BC179" s="193"/>
      <c r="BD179" s="193"/>
      <c r="BE179" s="193"/>
      <c r="BF179" s="193"/>
      <c r="BG179" s="193"/>
      <c r="BH179" s="193"/>
      <c r="BI179" s="193"/>
      <c r="BJ179" s="193"/>
      <c r="BK179" s="193"/>
      <c r="BL179" s="193"/>
      <c r="BM179" s="193"/>
      <c r="BN179" s="193"/>
      <c r="BO179" s="193"/>
      <c r="BP179" s="193"/>
      <c r="BQ179" s="193"/>
      <c r="BR179" s="193"/>
      <c r="BS179" s="193"/>
      <c r="BT179" s="193"/>
      <c r="BU179" s="193"/>
      <c r="BV179" s="193"/>
      <c r="BW179" s="193"/>
      <c r="BX179" s="193"/>
      <c r="BY179" s="193"/>
      <c r="BZ179" s="193"/>
      <c r="CA179" s="193"/>
      <c r="CB179" s="963"/>
      <c r="CC179" s="193"/>
      <c r="CD179" s="193"/>
      <c r="CE179" s="193"/>
      <c r="CL179" s="334"/>
      <c r="CS179" s="158"/>
      <c r="CT179" s="158"/>
      <c r="CU179" s="158"/>
      <c r="CV179" s="316"/>
      <c r="DC179" s="334"/>
      <c r="DI179" s="158"/>
      <c r="DJ179" s="316"/>
      <c r="DQ179" s="334"/>
      <c r="DW179" s="158"/>
      <c r="EE179" s="334"/>
      <c r="EK179" s="158"/>
      <c r="EY179" s="158"/>
      <c r="FF179" s="816"/>
    </row>
    <row r="180" spans="2:162" s="192" customFormat="1" ht="18" customHeight="1">
      <c r="B180" s="193"/>
      <c r="C180" s="193"/>
      <c r="D180" s="193"/>
      <c r="E180" s="194"/>
      <c r="F180" s="193"/>
      <c r="G180" s="193"/>
      <c r="H180" s="193"/>
      <c r="I180" s="193"/>
      <c r="J180" s="193"/>
      <c r="K180" s="193"/>
      <c r="L180" s="193"/>
      <c r="M180" s="193"/>
      <c r="N180" s="193"/>
      <c r="O180" s="193"/>
      <c r="P180" s="193"/>
      <c r="Q180" s="193"/>
      <c r="R180" s="193"/>
      <c r="S180" s="193"/>
      <c r="T180" s="193"/>
      <c r="U180" s="193"/>
      <c r="V180" s="193"/>
      <c r="W180" s="193"/>
      <c r="X180" s="193"/>
      <c r="Y180" s="193"/>
      <c r="Z180" s="193"/>
      <c r="AA180" s="193"/>
      <c r="AB180" s="193"/>
      <c r="AC180" s="193"/>
      <c r="AD180" s="193"/>
      <c r="AE180" s="193"/>
      <c r="AF180" s="193"/>
      <c r="AG180" s="193"/>
      <c r="AH180" s="193"/>
      <c r="AI180" s="193"/>
      <c r="AJ180" s="193"/>
      <c r="AK180" s="193"/>
      <c r="AL180" s="193"/>
      <c r="AM180" s="193"/>
      <c r="AN180" s="193"/>
      <c r="AO180" s="193"/>
      <c r="AP180" s="193"/>
      <c r="AQ180" s="193"/>
      <c r="AR180" s="193"/>
      <c r="AS180" s="193"/>
      <c r="AT180" s="193"/>
      <c r="AU180" s="193"/>
      <c r="AV180" s="193"/>
      <c r="AW180" s="193"/>
      <c r="AX180" s="193"/>
      <c r="AY180" s="193"/>
      <c r="AZ180" s="193"/>
      <c r="BA180" s="193"/>
      <c r="BB180" s="193"/>
      <c r="BC180" s="193"/>
      <c r="BD180" s="193"/>
      <c r="BE180" s="193"/>
      <c r="BF180" s="193"/>
      <c r="BG180" s="193"/>
      <c r="BH180" s="193"/>
      <c r="BI180" s="193"/>
      <c r="BJ180" s="193"/>
      <c r="BK180" s="193"/>
      <c r="BL180" s="193"/>
      <c r="BM180" s="193"/>
      <c r="BN180" s="193"/>
      <c r="BO180" s="193"/>
      <c r="BP180" s="193"/>
      <c r="BQ180" s="193"/>
      <c r="BR180" s="193"/>
      <c r="BS180" s="193"/>
      <c r="BT180" s="193"/>
      <c r="BU180" s="193"/>
      <c r="BV180" s="193"/>
      <c r="BW180" s="193"/>
      <c r="BX180" s="193"/>
      <c r="BY180" s="193"/>
      <c r="BZ180" s="193"/>
      <c r="CA180" s="193"/>
      <c r="CB180" s="963"/>
      <c r="CC180" s="193"/>
      <c r="CD180" s="193"/>
      <c r="CE180" s="193"/>
      <c r="CL180" s="334"/>
      <c r="CS180" s="158"/>
      <c r="CT180" s="158"/>
      <c r="CU180" s="158"/>
      <c r="CV180" s="316"/>
      <c r="DC180" s="334"/>
      <c r="DI180" s="158"/>
      <c r="DJ180" s="316"/>
      <c r="DQ180" s="334"/>
      <c r="DW180" s="158"/>
      <c r="EE180" s="334"/>
      <c r="EK180" s="158"/>
      <c r="EY180" s="158"/>
      <c r="FF180" s="816"/>
    </row>
    <row r="181" spans="2:162" s="192" customFormat="1" ht="18" customHeight="1">
      <c r="B181" s="193"/>
      <c r="C181" s="193"/>
      <c r="D181" s="193"/>
      <c r="E181" s="194"/>
      <c r="F181" s="193"/>
      <c r="G181" s="193"/>
      <c r="H181" s="193"/>
      <c r="I181" s="193"/>
      <c r="J181" s="193"/>
      <c r="K181" s="193"/>
      <c r="L181" s="193"/>
      <c r="M181" s="193"/>
      <c r="N181" s="193"/>
      <c r="O181" s="193"/>
      <c r="P181" s="193"/>
      <c r="Q181" s="193"/>
      <c r="R181" s="193"/>
      <c r="S181" s="193"/>
      <c r="T181" s="193"/>
      <c r="U181" s="193"/>
      <c r="V181" s="193"/>
      <c r="W181" s="193"/>
      <c r="X181" s="193"/>
      <c r="Y181" s="193"/>
      <c r="Z181" s="193"/>
      <c r="AA181" s="193"/>
      <c r="AB181" s="193"/>
      <c r="AC181" s="193"/>
      <c r="AD181" s="193"/>
      <c r="AE181" s="193"/>
      <c r="AF181" s="193"/>
      <c r="AG181" s="193"/>
      <c r="AH181" s="193"/>
      <c r="AI181" s="193"/>
      <c r="AJ181" s="193"/>
      <c r="AK181" s="193"/>
      <c r="AL181" s="193"/>
      <c r="AM181" s="193"/>
      <c r="AN181" s="193"/>
      <c r="AO181" s="193"/>
      <c r="AP181" s="193"/>
      <c r="AQ181" s="193"/>
      <c r="AR181" s="193"/>
      <c r="AS181" s="193"/>
      <c r="AT181" s="193"/>
      <c r="AU181" s="193"/>
      <c r="AV181" s="193"/>
      <c r="AW181" s="193"/>
      <c r="AX181" s="193"/>
      <c r="AY181" s="193"/>
      <c r="AZ181" s="193"/>
      <c r="BA181" s="193"/>
      <c r="BB181" s="193"/>
      <c r="BC181" s="193"/>
      <c r="BD181" s="193"/>
      <c r="BE181" s="193"/>
      <c r="BF181" s="193"/>
      <c r="BG181" s="193"/>
      <c r="BH181" s="193"/>
      <c r="BI181" s="193"/>
      <c r="BJ181" s="193"/>
      <c r="BK181" s="193"/>
      <c r="BL181" s="193"/>
      <c r="BM181" s="193"/>
      <c r="BN181" s="193"/>
      <c r="BO181" s="193"/>
      <c r="BP181" s="193"/>
      <c r="BQ181" s="193"/>
      <c r="BR181" s="193"/>
      <c r="BS181" s="193"/>
      <c r="BT181" s="193"/>
      <c r="BU181" s="193"/>
      <c r="BV181" s="193"/>
      <c r="BW181" s="193"/>
      <c r="BX181" s="193"/>
      <c r="BY181" s="193"/>
      <c r="BZ181" s="193"/>
      <c r="CA181" s="193"/>
      <c r="CB181" s="963"/>
      <c r="CC181" s="193"/>
      <c r="CD181" s="193"/>
      <c r="CE181" s="193"/>
      <c r="CL181" s="334"/>
      <c r="CS181" s="158"/>
      <c r="CT181" s="158"/>
      <c r="CU181" s="158"/>
      <c r="CV181" s="316"/>
      <c r="DC181" s="334"/>
      <c r="DI181" s="158"/>
      <c r="DJ181" s="316"/>
      <c r="DQ181" s="334"/>
      <c r="DW181" s="158"/>
      <c r="EE181" s="334"/>
      <c r="EK181" s="158"/>
      <c r="EY181" s="158"/>
      <c r="FF181" s="816"/>
    </row>
    <row r="182" spans="2:162" s="192" customFormat="1" ht="18" customHeight="1">
      <c r="B182" s="193"/>
      <c r="C182" s="193"/>
      <c r="D182" s="193"/>
      <c r="E182" s="194"/>
      <c r="F182" s="193"/>
      <c r="G182" s="193"/>
      <c r="H182" s="193"/>
      <c r="I182" s="193"/>
      <c r="J182" s="193"/>
      <c r="K182" s="193"/>
      <c r="L182" s="193"/>
      <c r="M182" s="193"/>
      <c r="N182" s="193"/>
      <c r="O182" s="193"/>
      <c r="P182" s="193"/>
      <c r="Q182" s="193"/>
      <c r="R182" s="193"/>
      <c r="S182" s="193"/>
      <c r="T182" s="193"/>
      <c r="U182" s="193"/>
      <c r="V182" s="193"/>
      <c r="W182" s="193"/>
      <c r="X182" s="193"/>
      <c r="Y182" s="193"/>
      <c r="Z182" s="193"/>
      <c r="AA182" s="193"/>
      <c r="AB182" s="193"/>
      <c r="AC182" s="193"/>
      <c r="AD182" s="193"/>
      <c r="AE182" s="193"/>
      <c r="AF182" s="193"/>
      <c r="AG182" s="193"/>
      <c r="AH182" s="193"/>
      <c r="AI182" s="193"/>
      <c r="AJ182" s="193"/>
      <c r="AK182" s="193"/>
      <c r="AL182" s="193"/>
      <c r="AM182" s="193"/>
      <c r="AN182" s="193"/>
      <c r="AO182" s="193"/>
      <c r="AP182" s="193"/>
      <c r="AQ182" s="193"/>
      <c r="AR182" s="193"/>
      <c r="AS182" s="193"/>
      <c r="AT182" s="193"/>
      <c r="AU182" s="193"/>
      <c r="AV182" s="193"/>
      <c r="AW182" s="193"/>
      <c r="AX182" s="193"/>
      <c r="AY182" s="193"/>
      <c r="AZ182" s="193"/>
      <c r="BA182" s="193"/>
      <c r="BB182" s="193"/>
      <c r="BC182" s="193"/>
      <c r="BD182" s="193"/>
      <c r="BE182" s="193"/>
      <c r="BF182" s="193"/>
      <c r="BG182" s="193"/>
      <c r="BH182" s="193"/>
      <c r="BI182" s="193"/>
      <c r="BJ182" s="193"/>
      <c r="BK182" s="193"/>
      <c r="BL182" s="193"/>
      <c r="BM182" s="193"/>
      <c r="BN182" s="193"/>
      <c r="BO182" s="193"/>
      <c r="BP182" s="193"/>
      <c r="BQ182" s="193"/>
      <c r="BR182" s="193"/>
      <c r="BS182" s="193"/>
      <c r="BT182" s="193"/>
      <c r="BU182" s="193"/>
      <c r="BV182" s="193"/>
      <c r="BW182" s="193"/>
      <c r="BX182" s="193"/>
      <c r="BY182" s="193"/>
      <c r="BZ182" s="193"/>
      <c r="CA182" s="193"/>
      <c r="CB182" s="963"/>
      <c r="CC182" s="193"/>
      <c r="CD182" s="193"/>
      <c r="CE182" s="193"/>
      <c r="CL182" s="334"/>
      <c r="CS182" s="158"/>
      <c r="CT182" s="158"/>
      <c r="CU182" s="158"/>
      <c r="CV182" s="316"/>
      <c r="DC182" s="334"/>
      <c r="DI182" s="158"/>
      <c r="DJ182" s="316"/>
      <c r="DQ182" s="334"/>
      <c r="DW182" s="158"/>
      <c r="EE182" s="334"/>
      <c r="EK182" s="158"/>
      <c r="EY182" s="158"/>
      <c r="FF182" s="816"/>
    </row>
    <row r="183" spans="2:162" s="192" customFormat="1" ht="18" customHeight="1">
      <c r="B183" s="193"/>
      <c r="C183" s="193"/>
      <c r="D183" s="193"/>
      <c r="E183" s="194"/>
      <c r="F183" s="193"/>
      <c r="G183" s="193"/>
      <c r="H183" s="193"/>
      <c r="I183" s="193"/>
      <c r="J183" s="193"/>
      <c r="K183" s="193"/>
      <c r="L183" s="193"/>
      <c r="M183" s="193"/>
      <c r="N183" s="193"/>
      <c r="O183" s="193"/>
      <c r="P183" s="193"/>
      <c r="Q183" s="193"/>
      <c r="R183" s="193"/>
      <c r="S183" s="193"/>
      <c r="T183" s="193"/>
      <c r="U183" s="193"/>
      <c r="V183" s="193"/>
      <c r="W183" s="193"/>
      <c r="X183" s="193"/>
      <c r="Y183" s="193"/>
      <c r="Z183" s="193"/>
      <c r="AA183" s="193"/>
      <c r="AB183" s="193"/>
      <c r="AC183" s="193"/>
      <c r="AD183" s="193"/>
      <c r="AE183" s="193"/>
      <c r="AF183" s="193"/>
      <c r="AG183" s="193"/>
      <c r="AH183" s="193"/>
      <c r="AI183" s="193"/>
      <c r="AJ183" s="193"/>
      <c r="AK183" s="193"/>
      <c r="AL183" s="193"/>
      <c r="AM183" s="193"/>
      <c r="AN183" s="193"/>
      <c r="AO183" s="193"/>
      <c r="AP183" s="193"/>
      <c r="AQ183" s="193"/>
      <c r="AR183" s="193"/>
      <c r="AS183" s="193"/>
      <c r="AT183" s="193"/>
      <c r="AU183" s="193"/>
      <c r="AV183" s="193"/>
      <c r="AW183" s="193"/>
      <c r="AX183" s="193"/>
      <c r="AY183" s="193"/>
      <c r="AZ183" s="193"/>
      <c r="BA183" s="193"/>
      <c r="BB183" s="193"/>
      <c r="BC183" s="193"/>
      <c r="BD183" s="193"/>
      <c r="BE183" s="193"/>
      <c r="BF183" s="193"/>
      <c r="BG183" s="193"/>
      <c r="BH183" s="193"/>
      <c r="BI183" s="193"/>
      <c r="BJ183" s="193"/>
      <c r="BK183" s="193"/>
      <c r="BL183" s="193"/>
      <c r="BM183" s="193"/>
      <c r="BN183" s="193"/>
      <c r="BO183" s="193"/>
      <c r="BP183" s="193"/>
      <c r="BQ183" s="193"/>
      <c r="BR183" s="193"/>
      <c r="BS183" s="193"/>
      <c r="BT183" s="193"/>
      <c r="BU183" s="193"/>
      <c r="BV183" s="193"/>
      <c r="BW183" s="193"/>
      <c r="BX183" s="193"/>
      <c r="BY183" s="193"/>
      <c r="BZ183" s="193"/>
      <c r="CA183" s="193"/>
      <c r="CB183" s="963"/>
      <c r="CC183" s="193"/>
      <c r="CD183" s="193"/>
      <c r="CE183" s="193"/>
      <c r="CL183" s="334"/>
      <c r="CS183" s="158"/>
      <c r="CT183" s="158"/>
      <c r="CU183" s="158"/>
      <c r="CV183" s="316"/>
      <c r="DC183" s="334"/>
      <c r="DI183" s="158"/>
      <c r="DJ183" s="316"/>
      <c r="DQ183" s="334"/>
      <c r="DW183" s="158"/>
      <c r="EE183" s="334"/>
      <c r="EK183" s="158"/>
      <c r="EY183" s="158"/>
      <c r="FF183" s="816"/>
    </row>
    <row r="184" spans="2:162" s="192" customFormat="1" ht="18" customHeight="1">
      <c r="B184" s="193"/>
      <c r="C184" s="193"/>
      <c r="D184" s="193"/>
      <c r="E184" s="194"/>
      <c r="F184" s="193"/>
      <c r="G184" s="193"/>
      <c r="H184" s="193"/>
      <c r="I184" s="193"/>
      <c r="J184" s="193"/>
      <c r="K184" s="193"/>
      <c r="L184" s="193"/>
      <c r="M184" s="193"/>
      <c r="N184" s="193"/>
      <c r="O184" s="193"/>
      <c r="P184" s="193"/>
      <c r="Q184" s="193"/>
      <c r="R184" s="193"/>
      <c r="S184" s="193"/>
      <c r="T184" s="193"/>
      <c r="U184" s="193"/>
      <c r="V184" s="193"/>
      <c r="W184" s="193"/>
      <c r="X184" s="193"/>
      <c r="Y184" s="193"/>
      <c r="Z184" s="193"/>
      <c r="AA184" s="193"/>
      <c r="AB184" s="193"/>
      <c r="AC184" s="193"/>
      <c r="AD184" s="193"/>
      <c r="AE184" s="193"/>
      <c r="AF184" s="193"/>
      <c r="AG184" s="193"/>
      <c r="AH184" s="193"/>
      <c r="AI184" s="193"/>
      <c r="AJ184" s="193"/>
      <c r="AK184" s="193"/>
      <c r="AL184" s="193"/>
      <c r="AM184" s="193"/>
      <c r="AN184" s="193"/>
      <c r="AO184" s="193"/>
      <c r="AP184" s="193"/>
      <c r="AQ184" s="193"/>
      <c r="AR184" s="193"/>
      <c r="AS184" s="193"/>
      <c r="AT184" s="193"/>
      <c r="AU184" s="193"/>
      <c r="AV184" s="193"/>
      <c r="AW184" s="193"/>
      <c r="AX184" s="193"/>
      <c r="AY184" s="193"/>
      <c r="AZ184" s="193"/>
      <c r="BA184" s="193"/>
      <c r="BB184" s="193"/>
      <c r="BC184" s="193"/>
      <c r="BD184" s="193"/>
      <c r="BE184" s="193"/>
      <c r="BF184" s="193"/>
      <c r="BG184" s="193"/>
      <c r="BH184" s="193"/>
      <c r="BI184" s="193"/>
      <c r="BJ184" s="193"/>
      <c r="BK184" s="193"/>
      <c r="BL184" s="193"/>
      <c r="BM184" s="193"/>
      <c r="BN184" s="193"/>
      <c r="BO184" s="193"/>
      <c r="BP184" s="193"/>
      <c r="BQ184" s="193"/>
      <c r="BR184" s="193"/>
      <c r="BS184" s="193"/>
      <c r="BT184" s="193"/>
      <c r="BU184" s="193"/>
      <c r="BV184" s="193"/>
      <c r="BW184" s="193"/>
      <c r="BX184" s="193"/>
      <c r="BY184" s="193"/>
      <c r="BZ184" s="193"/>
      <c r="CA184" s="193"/>
      <c r="CB184" s="963"/>
      <c r="CC184" s="193"/>
      <c r="CD184" s="193"/>
      <c r="CE184" s="193"/>
      <c r="CL184" s="334"/>
      <c r="CS184" s="158"/>
      <c r="CT184" s="158"/>
      <c r="CU184" s="158"/>
      <c r="CV184" s="316"/>
      <c r="DC184" s="334"/>
      <c r="DI184" s="158"/>
      <c r="DJ184" s="316"/>
      <c r="DQ184" s="334"/>
      <c r="DW184" s="158"/>
      <c r="EE184" s="334"/>
      <c r="EK184" s="158"/>
      <c r="EY184" s="158"/>
      <c r="FF184" s="816"/>
    </row>
    <row r="185" spans="2:162" s="192" customFormat="1" ht="18" customHeight="1">
      <c r="B185" s="193"/>
      <c r="C185" s="193"/>
      <c r="D185" s="193"/>
      <c r="E185" s="194"/>
      <c r="F185" s="193"/>
      <c r="G185" s="193"/>
      <c r="H185" s="193"/>
      <c r="I185" s="193"/>
      <c r="J185" s="193"/>
      <c r="K185" s="193"/>
      <c r="L185" s="193"/>
      <c r="M185" s="193"/>
      <c r="N185" s="193"/>
      <c r="O185" s="193"/>
      <c r="P185" s="193"/>
      <c r="Q185" s="193"/>
      <c r="R185" s="193"/>
      <c r="S185" s="193"/>
      <c r="T185" s="193"/>
      <c r="U185" s="193"/>
      <c r="V185" s="193"/>
      <c r="W185" s="193"/>
      <c r="X185" s="193"/>
      <c r="Y185" s="193"/>
      <c r="Z185" s="193"/>
      <c r="AA185" s="193"/>
      <c r="AB185" s="193"/>
      <c r="AC185" s="193"/>
      <c r="AD185" s="193"/>
      <c r="AE185" s="193"/>
      <c r="AF185" s="193"/>
      <c r="AG185" s="193"/>
      <c r="AH185" s="193"/>
      <c r="AI185" s="193"/>
      <c r="AJ185" s="193"/>
      <c r="AK185" s="193"/>
      <c r="AL185" s="193"/>
      <c r="AM185" s="193"/>
      <c r="AN185" s="193"/>
      <c r="AO185" s="193"/>
      <c r="AP185" s="193"/>
      <c r="AQ185" s="193"/>
      <c r="AR185" s="193"/>
      <c r="AS185" s="193"/>
      <c r="AT185" s="193"/>
      <c r="AU185" s="193"/>
      <c r="AV185" s="193"/>
      <c r="AW185" s="193"/>
      <c r="AX185" s="193"/>
      <c r="AY185" s="193"/>
      <c r="AZ185" s="193"/>
      <c r="BA185" s="193"/>
      <c r="BB185" s="193"/>
      <c r="BC185" s="193"/>
      <c r="BD185" s="193"/>
      <c r="BE185" s="193"/>
      <c r="BF185" s="193"/>
      <c r="BG185" s="193"/>
      <c r="BH185" s="193"/>
      <c r="BI185" s="193"/>
      <c r="BJ185" s="193"/>
      <c r="BK185" s="193"/>
      <c r="BL185" s="193"/>
      <c r="BM185" s="193"/>
      <c r="BN185" s="193"/>
      <c r="BO185" s="193"/>
      <c r="BP185" s="193"/>
      <c r="BQ185" s="193"/>
      <c r="BR185" s="193"/>
      <c r="BS185" s="193"/>
      <c r="BT185" s="193"/>
      <c r="BU185" s="193"/>
      <c r="BV185" s="193"/>
      <c r="BW185" s="193"/>
      <c r="BX185" s="193"/>
      <c r="BY185" s="193"/>
      <c r="BZ185" s="193"/>
      <c r="CA185" s="193"/>
      <c r="CB185" s="963"/>
      <c r="CC185" s="193"/>
      <c r="CD185" s="193"/>
      <c r="CE185" s="193"/>
      <c r="CL185" s="334"/>
      <c r="CS185" s="158"/>
      <c r="CT185" s="158"/>
      <c r="CU185" s="158"/>
      <c r="CV185" s="316"/>
      <c r="DC185" s="334"/>
      <c r="DI185" s="158"/>
      <c r="DJ185" s="316"/>
      <c r="DQ185" s="334"/>
      <c r="DW185" s="158"/>
      <c r="EE185" s="334"/>
      <c r="EK185" s="158"/>
      <c r="EY185" s="158"/>
      <c r="FF185" s="816"/>
    </row>
    <row r="186" spans="2:162" s="192" customFormat="1" ht="18" customHeight="1">
      <c r="B186" s="193"/>
      <c r="C186" s="193"/>
      <c r="D186" s="193"/>
      <c r="E186" s="194"/>
      <c r="F186" s="193"/>
      <c r="G186" s="193"/>
      <c r="H186" s="193"/>
      <c r="I186" s="193"/>
      <c r="J186" s="193"/>
      <c r="K186" s="193"/>
      <c r="L186" s="193"/>
      <c r="M186" s="193"/>
      <c r="N186" s="193"/>
      <c r="O186" s="193"/>
      <c r="P186" s="193"/>
      <c r="Q186" s="193"/>
      <c r="R186" s="193"/>
      <c r="S186" s="193"/>
      <c r="T186" s="193"/>
      <c r="U186" s="193"/>
      <c r="V186" s="193"/>
      <c r="W186" s="193"/>
      <c r="X186" s="193"/>
      <c r="Y186" s="193"/>
      <c r="Z186" s="193"/>
      <c r="AA186" s="193"/>
      <c r="AB186" s="193"/>
      <c r="AC186" s="193"/>
      <c r="AD186" s="193"/>
      <c r="AE186" s="193"/>
      <c r="AF186" s="193"/>
      <c r="AG186" s="193"/>
      <c r="AH186" s="193"/>
      <c r="AI186" s="193"/>
      <c r="AJ186" s="193"/>
      <c r="AK186" s="193"/>
      <c r="AL186" s="193"/>
      <c r="AM186" s="193"/>
      <c r="AN186" s="193"/>
      <c r="AO186" s="193"/>
      <c r="AP186" s="193"/>
      <c r="AQ186" s="193"/>
      <c r="AR186" s="193"/>
      <c r="AS186" s="193"/>
      <c r="AT186" s="193"/>
      <c r="AU186" s="193"/>
      <c r="AV186" s="193"/>
      <c r="AW186" s="193"/>
      <c r="AX186" s="193"/>
      <c r="AY186" s="193"/>
      <c r="AZ186" s="193"/>
      <c r="BA186" s="193"/>
      <c r="BB186" s="193"/>
      <c r="BC186" s="193"/>
      <c r="BD186" s="193"/>
      <c r="BE186" s="193"/>
      <c r="BF186" s="193"/>
      <c r="BG186" s="193"/>
      <c r="BH186" s="193"/>
      <c r="BI186" s="193"/>
      <c r="BJ186" s="193"/>
      <c r="BK186" s="193"/>
      <c r="BL186" s="193"/>
      <c r="BM186" s="193"/>
      <c r="BN186" s="193"/>
      <c r="BO186" s="193"/>
      <c r="BP186" s="193"/>
      <c r="BQ186" s="193"/>
      <c r="BR186" s="193"/>
      <c r="BS186" s="193"/>
      <c r="BT186" s="193"/>
      <c r="BU186" s="193"/>
      <c r="BV186" s="193"/>
      <c r="BW186" s="193"/>
      <c r="BX186" s="193"/>
      <c r="BY186" s="193"/>
      <c r="BZ186" s="193"/>
      <c r="CA186" s="193"/>
      <c r="CB186" s="963"/>
      <c r="CC186" s="193"/>
      <c r="CD186" s="193"/>
      <c r="CE186" s="193"/>
      <c r="CL186" s="334"/>
      <c r="CS186" s="158"/>
      <c r="CT186" s="158"/>
      <c r="CU186" s="158"/>
      <c r="CV186" s="316"/>
      <c r="DC186" s="334"/>
      <c r="DI186" s="158"/>
      <c r="DJ186" s="316"/>
      <c r="DQ186" s="334"/>
      <c r="DW186" s="158"/>
      <c r="EE186" s="334"/>
      <c r="EK186" s="158"/>
      <c r="EY186" s="158"/>
      <c r="FF186" s="816"/>
    </row>
    <row r="187" spans="2:162" s="192" customFormat="1" ht="18" customHeight="1">
      <c r="B187" s="193"/>
      <c r="C187" s="193"/>
      <c r="D187" s="193"/>
      <c r="E187" s="194"/>
      <c r="F187" s="193"/>
      <c r="G187" s="193"/>
      <c r="H187" s="193"/>
      <c r="I187" s="193"/>
      <c r="J187" s="193"/>
      <c r="K187" s="193"/>
      <c r="L187" s="193"/>
      <c r="M187" s="193"/>
      <c r="N187" s="193"/>
      <c r="O187" s="193"/>
      <c r="P187" s="193"/>
      <c r="Q187" s="193"/>
      <c r="R187" s="193"/>
      <c r="S187" s="193"/>
      <c r="T187" s="193"/>
      <c r="U187" s="193"/>
      <c r="V187" s="193"/>
      <c r="W187" s="193"/>
      <c r="X187" s="193"/>
      <c r="Y187" s="193"/>
      <c r="Z187" s="193"/>
      <c r="AA187" s="193"/>
      <c r="AB187" s="193"/>
      <c r="AC187" s="193"/>
      <c r="AD187" s="193"/>
      <c r="AE187" s="193"/>
      <c r="AF187" s="193"/>
      <c r="AG187" s="193"/>
      <c r="AH187" s="193"/>
      <c r="AI187" s="193"/>
      <c r="AJ187" s="193"/>
      <c r="AK187" s="193"/>
      <c r="AL187" s="193"/>
      <c r="AM187" s="193"/>
      <c r="AN187" s="193"/>
      <c r="AO187" s="193"/>
      <c r="AP187" s="193"/>
      <c r="AQ187" s="193"/>
      <c r="AR187" s="193"/>
      <c r="AS187" s="193"/>
      <c r="AT187" s="193"/>
      <c r="AU187" s="193"/>
      <c r="AV187" s="193"/>
      <c r="AW187" s="193"/>
      <c r="AX187" s="193"/>
      <c r="AY187" s="193"/>
      <c r="AZ187" s="193"/>
      <c r="BA187" s="193"/>
      <c r="BB187" s="193"/>
      <c r="BC187" s="193"/>
      <c r="BD187" s="193"/>
      <c r="BE187" s="193"/>
      <c r="BF187" s="193"/>
      <c r="BG187" s="193"/>
      <c r="BH187" s="193"/>
      <c r="BI187" s="193"/>
      <c r="BJ187" s="193"/>
      <c r="BK187" s="193"/>
      <c r="BL187" s="193"/>
      <c r="BM187" s="193"/>
      <c r="BN187" s="193"/>
      <c r="BO187" s="193"/>
      <c r="BP187" s="193"/>
      <c r="BQ187" s="193"/>
      <c r="BR187" s="193"/>
      <c r="BS187" s="193"/>
      <c r="BT187" s="193"/>
      <c r="BU187" s="193"/>
      <c r="BV187" s="193"/>
      <c r="BW187" s="193"/>
      <c r="BX187" s="193"/>
      <c r="BY187" s="193"/>
      <c r="BZ187" s="193"/>
      <c r="CA187" s="193"/>
      <c r="CB187" s="963"/>
      <c r="CC187" s="193"/>
      <c r="CD187" s="193"/>
      <c r="CE187" s="193"/>
      <c r="CL187" s="334"/>
      <c r="CS187" s="158"/>
      <c r="CT187" s="158"/>
      <c r="CU187" s="158"/>
      <c r="CV187" s="316"/>
      <c r="DC187" s="334"/>
      <c r="DI187" s="158"/>
      <c r="DJ187" s="316"/>
      <c r="DQ187" s="334"/>
      <c r="DW187" s="158"/>
      <c r="EE187" s="334"/>
      <c r="EK187" s="158"/>
      <c r="EY187" s="158"/>
      <c r="FF187" s="816"/>
    </row>
    <row r="188" spans="2:162" s="192" customFormat="1" ht="18" customHeight="1">
      <c r="B188" s="193"/>
      <c r="C188" s="193"/>
      <c r="D188" s="193"/>
      <c r="E188" s="194"/>
      <c r="F188" s="193"/>
      <c r="G188" s="193"/>
      <c r="H188" s="193"/>
      <c r="I188" s="193"/>
      <c r="J188" s="193"/>
      <c r="K188" s="193"/>
      <c r="L188" s="193"/>
      <c r="M188" s="193"/>
      <c r="N188" s="193"/>
      <c r="O188" s="193"/>
      <c r="P188" s="193"/>
      <c r="Q188" s="193"/>
      <c r="R188" s="193"/>
      <c r="S188" s="193"/>
      <c r="T188" s="193"/>
      <c r="U188" s="193"/>
      <c r="V188" s="193"/>
      <c r="W188" s="193"/>
      <c r="X188" s="193"/>
      <c r="Y188" s="193"/>
      <c r="Z188" s="193"/>
      <c r="AA188" s="193"/>
      <c r="AB188" s="193"/>
      <c r="AC188" s="193"/>
      <c r="AD188" s="193"/>
      <c r="AE188" s="193"/>
      <c r="AF188" s="193"/>
      <c r="AG188" s="193"/>
      <c r="AH188" s="193"/>
      <c r="AI188" s="193"/>
      <c r="AJ188" s="193"/>
      <c r="AK188" s="193"/>
      <c r="AL188" s="193"/>
      <c r="AM188" s="193"/>
      <c r="AN188" s="193"/>
      <c r="AO188" s="193"/>
      <c r="AP188" s="193"/>
      <c r="AQ188" s="193"/>
      <c r="AR188" s="193"/>
      <c r="AS188" s="193"/>
      <c r="AT188" s="193"/>
      <c r="AU188" s="193"/>
      <c r="AV188" s="193"/>
      <c r="AW188" s="193"/>
      <c r="AX188" s="193"/>
      <c r="AY188" s="193"/>
      <c r="AZ188" s="193"/>
      <c r="BA188" s="193"/>
      <c r="BB188" s="193"/>
      <c r="BC188" s="193"/>
      <c r="BD188" s="193"/>
      <c r="BE188" s="193"/>
      <c r="BF188" s="193"/>
      <c r="BG188" s="193"/>
      <c r="BH188" s="193"/>
      <c r="BI188" s="193"/>
      <c r="BJ188" s="193"/>
      <c r="BK188" s="193"/>
      <c r="BL188" s="193"/>
      <c r="BM188" s="193"/>
      <c r="BN188" s="193"/>
      <c r="BO188" s="193"/>
      <c r="BP188" s="193"/>
      <c r="BQ188" s="193"/>
      <c r="BR188" s="193"/>
      <c r="BS188" s="193"/>
      <c r="BT188" s="193"/>
      <c r="BU188" s="193"/>
      <c r="BV188" s="193"/>
      <c r="BW188" s="193"/>
      <c r="BX188" s="193"/>
      <c r="BY188" s="193"/>
      <c r="BZ188" s="193"/>
      <c r="CA188" s="193"/>
      <c r="CB188" s="963"/>
      <c r="CC188" s="193"/>
      <c r="CD188" s="193"/>
      <c r="CE188" s="193"/>
      <c r="CL188" s="334"/>
      <c r="CS188" s="158"/>
      <c r="CT188" s="158"/>
      <c r="CU188" s="158"/>
      <c r="CV188" s="316"/>
      <c r="DC188" s="334"/>
      <c r="DI188" s="158"/>
      <c r="DJ188" s="316"/>
      <c r="DQ188" s="334"/>
      <c r="DW188" s="158"/>
      <c r="EE188" s="334"/>
      <c r="EK188" s="158"/>
      <c r="EY188" s="158"/>
      <c r="FF188" s="816"/>
    </row>
    <row r="189" spans="2:162" s="192" customFormat="1" ht="18" customHeight="1">
      <c r="B189" s="193"/>
      <c r="C189" s="193"/>
      <c r="D189" s="193"/>
      <c r="E189" s="194"/>
      <c r="F189" s="193"/>
      <c r="G189" s="193"/>
      <c r="H189" s="193"/>
      <c r="I189" s="193"/>
      <c r="J189" s="193"/>
      <c r="K189" s="193"/>
      <c r="L189" s="193"/>
      <c r="M189" s="193"/>
      <c r="N189" s="193"/>
      <c r="O189" s="193"/>
      <c r="P189" s="193"/>
      <c r="Q189" s="193"/>
      <c r="R189" s="193"/>
      <c r="S189" s="193"/>
      <c r="T189" s="193"/>
      <c r="U189" s="193"/>
      <c r="V189" s="193"/>
      <c r="W189" s="193"/>
      <c r="X189" s="193"/>
      <c r="Y189" s="193"/>
      <c r="Z189" s="193"/>
      <c r="AA189" s="193"/>
      <c r="AB189" s="193"/>
      <c r="AC189" s="193"/>
      <c r="AD189" s="193"/>
      <c r="AE189" s="193"/>
      <c r="AF189" s="193"/>
      <c r="AG189" s="193"/>
      <c r="AH189" s="193"/>
      <c r="AI189" s="193"/>
      <c r="AJ189" s="193"/>
      <c r="AK189" s="193"/>
      <c r="AL189" s="193"/>
      <c r="AM189" s="193"/>
      <c r="AN189" s="193"/>
      <c r="AO189" s="193"/>
      <c r="AP189" s="193"/>
      <c r="AQ189" s="193"/>
      <c r="AR189" s="193"/>
      <c r="AS189" s="193"/>
      <c r="AT189" s="193"/>
      <c r="AU189" s="193"/>
      <c r="AV189" s="193"/>
      <c r="AW189" s="193"/>
      <c r="AX189" s="193"/>
      <c r="AY189" s="193"/>
      <c r="AZ189" s="193"/>
      <c r="BA189" s="193"/>
      <c r="BB189" s="193"/>
      <c r="BC189" s="193"/>
      <c r="BD189" s="193"/>
      <c r="BE189" s="193"/>
      <c r="BF189" s="193"/>
      <c r="BG189" s="193"/>
      <c r="BH189" s="193"/>
      <c r="BI189" s="193"/>
      <c r="BJ189" s="193"/>
      <c r="BK189" s="193"/>
      <c r="BL189" s="193"/>
      <c r="BM189" s="193"/>
      <c r="BN189" s="193"/>
      <c r="BO189" s="193"/>
      <c r="BP189" s="193"/>
      <c r="BQ189" s="193"/>
      <c r="BR189" s="193"/>
      <c r="BS189" s="193"/>
      <c r="BT189" s="193"/>
      <c r="BU189" s="193"/>
      <c r="BV189" s="193"/>
      <c r="BW189" s="193"/>
      <c r="BX189" s="193"/>
      <c r="BY189" s="193"/>
      <c r="BZ189" s="193"/>
      <c r="CA189" s="193"/>
      <c r="CB189" s="963"/>
      <c r="CC189" s="193"/>
      <c r="CD189" s="193"/>
      <c r="CE189" s="193"/>
      <c r="CL189" s="334"/>
      <c r="CS189" s="158"/>
      <c r="CT189" s="158"/>
      <c r="CU189" s="158"/>
      <c r="CV189" s="316"/>
      <c r="DC189" s="334"/>
      <c r="DI189" s="158"/>
      <c r="DJ189" s="316"/>
      <c r="DQ189" s="334"/>
      <c r="DW189" s="158"/>
      <c r="EE189" s="334"/>
      <c r="EK189" s="158"/>
      <c r="EY189" s="158"/>
      <c r="FF189" s="816"/>
    </row>
    <row r="190" spans="2:162" s="192" customFormat="1" ht="18" customHeight="1">
      <c r="B190" s="193"/>
      <c r="C190" s="193"/>
      <c r="D190" s="193"/>
      <c r="E190" s="194"/>
      <c r="F190" s="193"/>
      <c r="G190" s="193"/>
      <c r="H190" s="193"/>
      <c r="I190" s="193"/>
      <c r="J190" s="193"/>
      <c r="K190" s="193"/>
      <c r="L190" s="193"/>
      <c r="M190" s="193"/>
      <c r="N190" s="193"/>
      <c r="O190" s="193"/>
      <c r="P190" s="193"/>
      <c r="Q190" s="193"/>
      <c r="R190" s="193"/>
      <c r="S190" s="193"/>
      <c r="T190" s="193"/>
      <c r="U190" s="193"/>
      <c r="V190" s="193"/>
      <c r="W190" s="193"/>
      <c r="X190" s="193"/>
      <c r="Y190" s="193"/>
      <c r="Z190" s="193"/>
      <c r="AA190" s="193"/>
      <c r="AB190" s="193"/>
      <c r="AC190" s="193"/>
      <c r="AD190" s="193"/>
      <c r="AE190" s="193"/>
      <c r="AF190" s="193"/>
      <c r="AG190" s="193"/>
      <c r="AH190" s="193"/>
      <c r="AI190" s="193"/>
      <c r="AJ190" s="193"/>
      <c r="AK190" s="193"/>
      <c r="AL190" s="193"/>
      <c r="AM190" s="193"/>
      <c r="AN190" s="193"/>
      <c r="AO190" s="193"/>
      <c r="AP190" s="193"/>
      <c r="AQ190" s="193"/>
      <c r="AR190" s="193"/>
      <c r="AS190" s="193"/>
      <c r="AT190" s="193"/>
      <c r="AU190" s="193"/>
      <c r="AV190" s="193"/>
      <c r="AW190" s="193"/>
      <c r="AX190" s="193"/>
      <c r="AY190" s="193"/>
      <c r="AZ190" s="193"/>
      <c r="BA190" s="193"/>
      <c r="BB190" s="193"/>
      <c r="BC190" s="193"/>
      <c r="BD190" s="193"/>
      <c r="BE190" s="193"/>
      <c r="BF190" s="193"/>
      <c r="BG190" s="193"/>
      <c r="BH190" s="193"/>
      <c r="BI190" s="193"/>
      <c r="BJ190" s="193"/>
      <c r="BK190" s="193"/>
      <c r="BL190" s="193"/>
      <c r="BM190" s="193"/>
      <c r="BN190" s="193"/>
      <c r="BO190" s="193"/>
      <c r="BP190" s="193"/>
      <c r="BQ190" s="193"/>
      <c r="BR190" s="193"/>
      <c r="BS190" s="193"/>
      <c r="BT190" s="193"/>
      <c r="BU190" s="193"/>
      <c r="BV190" s="193"/>
      <c r="BW190" s="193"/>
      <c r="BX190" s="193"/>
      <c r="BY190" s="193"/>
      <c r="BZ190" s="193"/>
      <c r="CA190" s="193"/>
      <c r="CB190" s="963"/>
      <c r="CC190" s="193"/>
      <c r="CD190" s="193"/>
      <c r="CE190" s="193"/>
      <c r="CL190" s="334"/>
      <c r="CS190" s="158"/>
      <c r="CT190" s="158"/>
      <c r="CU190" s="158"/>
      <c r="CV190" s="316"/>
      <c r="DC190" s="334"/>
      <c r="DI190" s="158"/>
      <c r="DJ190" s="316"/>
      <c r="DQ190" s="334"/>
      <c r="DW190" s="158"/>
      <c r="EE190" s="334"/>
      <c r="EK190" s="158"/>
      <c r="EY190" s="158"/>
      <c r="FF190" s="816"/>
    </row>
    <row r="191" spans="2:162" s="192" customFormat="1" ht="18" customHeight="1">
      <c r="B191" s="193"/>
      <c r="C191" s="193"/>
      <c r="D191" s="193"/>
      <c r="E191" s="194"/>
      <c r="F191" s="193"/>
      <c r="G191" s="193"/>
      <c r="H191" s="193"/>
      <c r="I191" s="193"/>
      <c r="J191" s="193"/>
      <c r="K191" s="193"/>
      <c r="L191" s="193"/>
      <c r="M191" s="193"/>
      <c r="N191" s="193"/>
      <c r="O191" s="193"/>
      <c r="P191" s="193"/>
      <c r="Q191" s="193"/>
      <c r="R191" s="193"/>
      <c r="S191" s="193"/>
      <c r="T191" s="193"/>
      <c r="U191" s="193"/>
      <c r="V191" s="193"/>
      <c r="W191" s="193"/>
      <c r="X191" s="193"/>
      <c r="Y191" s="193"/>
      <c r="Z191" s="193"/>
      <c r="AA191" s="193"/>
      <c r="AB191" s="193"/>
      <c r="AC191" s="193"/>
      <c r="AD191" s="193"/>
      <c r="AE191" s="193"/>
      <c r="AF191" s="193"/>
      <c r="AG191" s="193"/>
      <c r="AH191" s="193"/>
      <c r="AI191" s="193"/>
      <c r="AJ191" s="193"/>
      <c r="AK191" s="193"/>
      <c r="AL191" s="193"/>
      <c r="AM191" s="193"/>
      <c r="AN191" s="193"/>
      <c r="AO191" s="193"/>
      <c r="AP191" s="193"/>
      <c r="AQ191" s="193"/>
      <c r="AR191" s="193"/>
      <c r="AS191" s="193"/>
      <c r="AT191" s="193"/>
      <c r="AU191" s="193"/>
      <c r="AV191" s="193"/>
      <c r="AW191" s="193"/>
      <c r="AX191" s="193"/>
      <c r="AY191" s="193"/>
      <c r="AZ191" s="193"/>
      <c r="BA191" s="193"/>
      <c r="BB191" s="193"/>
      <c r="BC191" s="193"/>
      <c r="BD191" s="193"/>
      <c r="BE191" s="193"/>
      <c r="BF191" s="193"/>
      <c r="BG191" s="193"/>
      <c r="BH191" s="193"/>
      <c r="BI191" s="193"/>
      <c r="BJ191" s="193"/>
      <c r="BK191" s="193"/>
      <c r="BL191" s="193"/>
      <c r="BM191" s="193"/>
      <c r="BN191" s="193"/>
      <c r="BO191" s="193"/>
      <c r="BP191" s="193"/>
      <c r="BQ191" s="193"/>
      <c r="BR191" s="193"/>
      <c r="BS191" s="193"/>
      <c r="BT191" s="193"/>
      <c r="BU191" s="193"/>
      <c r="BV191" s="193"/>
      <c r="BW191" s="193"/>
      <c r="BX191" s="193"/>
      <c r="BY191" s="193"/>
      <c r="BZ191" s="193"/>
      <c r="CA191" s="193"/>
      <c r="CB191" s="963"/>
      <c r="CC191" s="193"/>
      <c r="CD191" s="193"/>
      <c r="CE191" s="193"/>
      <c r="CL191" s="334"/>
      <c r="CS191" s="158"/>
      <c r="CT191" s="158"/>
      <c r="CU191" s="158"/>
      <c r="CV191" s="316"/>
      <c r="DC191" s="334"/>
      <c r="DI191" s="158"/>
      <c r="DJ191" s="316"/>
      <c r="DQ191" s="334"/>
      <c r="DW191" s="158"/>
      <c r="EE191" s="334"/>
      <c r="EK191" s="158"/>
      <c r="EY191" s="158"/>
      <c r="FF191" s="816"/>
    </row>
    <row r="192" spans="2:162" s="192" customFormat="1" ht="18" customHeight="1">
      <c r="B192" s="193"/>
      <c r="C192" s="193"/>
      <c r="D192" s="193"/>
      <c r="E192" s="194"/>
      <c r="F192" s="193"/>
      <c r="G192" s="193"/>
      <c r="H192" s="193"/>
      <c r="I192" s="193"/>
      <c r="J192" s="193"/>
      <c r="K192" s="193"/>
      <c r="L192" s="193"/>
      <c r="M192" s="193"/>
      <c r="N192" s="193"/>
      <c r="O192" s="193"/>
      <c r="P192" s="193"/>
      <c r="Q192" s="193"/>
      <c r="R192" s="193"/>
      <c r="S192" s="193"/>
      <c r="T192" s="193"/>
      <c r="U192" s="193"/>
      <c r="V192" s="193"/>
      <c r="W192" s="193"/>
      <c r="X192" s="193"/>
      <c r="Y192" s="193"/>
      <c r="Z192" s="193"/>
      <c r="AA192" s="193"/>
      <c r="AB192" s="193"/>
      <c r="AC192" s="193"/>
      <c r="AD192" s="193"/>
      <c r="AE192" s="193"/>
      <c r="AF192" s="193"/>
      <c r="AG192" s="193"/>
      <c r="AH192" s="193"/>
      <c r="AI192" s="193"/>
      <c r="AJ192" s="193"/>
      <c r="AK192" s="193"/>
      <c r="AL192" s="193"/>
      <c r="AM192" s="193"/>
      <c r="AN192" s="193"/>
      <c r="AO192" s="193"/>
      <c r="AP192" s="193"/>
      <c r="AQ192" s="193"/>
      <c r="AR192" s="193"/>
      <c r="AS192" s="193"/>
      <c r="AT192" s="193"/>
      <c r="AU192" s="193"/>
      <c r="AV192" s="193"/>
      <c r="AW192" s="193"/>
      <c r="AX192" s="193"/>
      <c r="AY192" s="193"/>
      <c r="AZ192" s="193"/>
      <c r="BA192" s="193"/>
      <c r="BB192" s="193"/>
      <c r="BC192" s="193"/>
      <c r="BD192" s="193"/>
      <c r="BE192" s="193"/>
      <c r="BF192" s="193"/>
      <c r="BG192" s="193"/>
      <c r="BH192" s="193"/>
      <c r="BI192" s="193"/>
      <c r="BJ192" s="193"/>
      <c r="BK192" s="193"/>
      <c r="BL192" s="193"/>
      <c r="BM192" s="193"/>
      <c r="BN192" s="193"/>
      <c r="BO192" s="193"/>
      <c r="BP192" s="193"/>
      <c r="BQ192" s="193"/>
      <c r="BR192" s="193"/>
      <c r="BS192" s="193"/>
      <c r="BT192" s="193"/>
      <c r="BU192" s="193"/>
      <c r="BV192" s="193"/>
      <c r="BW192" s="193"/>
      <c r="BX192" s="193"/>
      <c r="BY192" s="193"/>
      <c r="BZ192" s="193"/>
      <c r="CA192" s="193"/>
      <c r="CB192" s="963"/>
      <c r="CC192" s="193"/>
      <c r="CD192" s="193"/>
      <c r="CE192" s="193"/>
      <c r="CL192" s="334"/>
      <c r="CS192" s="158"/>
      <c r="CT192" s="158"/>
      <c r="CU192" s="158"/>
      <c r="CV192" s="316"/>
      <c r="DC192" s="334"/>
      <c r="DI192" s="158"/>
      <c r="DJ192" s="316"/>
      <c r="DQ192" s="334"/>
      <c r="DW192" s="158"/>
      <c r="EE192" s="334"/>
      <c r="EK192" s="158"/>
      <c r="EY192" s="158"/>
      <c r="FF192" s="816"/>
    </row>
    <row r="193" spans="2:162" s="192" customFormat="1" ht="18" customHeight="1">
      <c r="B193" s="193"/>
      <c r="C193" s="193"/>
      <c r="D193" s="193"/>
      <c r="E193" s="194"/>
      <c r="F193" s="193"/>
      <c r="G193" s="193"/>
      <c r="H193" s="193"/>
      <c r="I193" s="193"/>
      <c r="J193" s="193"/>
      <c r="K193" s="193"/>
      <c r="L193" s="193"/>
      <c r="M193" s="193"/>
      <c r="N193" s="193"/>
      <c r="O193" s="193"/>
      <c r="P193" s="193"/>
      <c r="Q193" s="193"/>
      <c r="R193" s="193"/>
      <c r="S193" s="193"/>
      <c r="T193" s="193"/>
      <c r="U193" s="193"/>
      <c r="V193" s="193"/>
      <c r="W193" s="193"/>
      <c r="X193" s="193"/>
      <c r="Y193" s="193"/>
      <c r="Z193" s="193"/>
      <c r="AA193" s="193"/>
      <c r="AB193" s="193"/>
      <c r="AC193" s="193"/>
      <c r="AD193" s="193"/>
      <c r="AE193" s="193"/>
      <c r="AF193" s="193"/>
      <c r="AG193" s="193"/>
      <c r="AH193" s="193"/>
      <c r="AI193" s="193"/>
      <c r="AJ193" s="193"/>
      <c r="AK193" s="193"/>
      <c r="AL193" s="193"/>
      <c r="AM193" s="193"/>
      <c r="AN193" s="193"/>
      <c r="AO193" s="193"/>
      <c r="AP193" s="193"/>
      <c r="AQ193" s="193"/>
      <c r="AR193" s="193"/>
      <c r="AS193" s="193"/>
      <c r="AT193" s="193"/>
      <c r="AU193" s="193"/>
      <c r="AV193" s="193"/>
      <c r="AW193" s="193"/>
      <c r="AX193" s="193"/>
      <c r="AY193" s="193"/>
      <c r="AZ193" s="193"/>
      <c r="BA193" s="193"/>
      <c r="BB193" s="193"/>
      <c r="BC193" s="193"/>
      <c r="BD193" s="193"/>
      <c r="BE193" s="193"/>
      <c r="BF193" s="193"/>
      <c r="BG193" s="193"/>
      <c r="BH193" s="193"/>
      <c r="BI193" s="193"/>
      <c r="BJ193" s="193"/>
      <c r="BK193" s="193"/>
      <c r="BL193" s="193"/>
      <c r="BM193" s="193"/>
      <c r="BN193" s="193"/>
      <c r="BO193" s="193"/>
      <c r="BP193" s="193"/>
      <c r="BQ193" s="193"/>
      <c r="BR193" s="193"/>
      <c r="BS193" s="193"/>
      <c r="BT193" s="193"/>
      <c r="BU193" s="193"/>
      <c r="BV193" s="193"/>
      <c r="BW193" s="193"/>
      <c r="BX193" s="193"/>
      <c r="BY193" s="193"/>
      <c r="BZ193" s="193"/>
      <c r="CA193" s="193"/>
      <c r="CB193" s="963"/>
      <c r="CC193" s="193"/>
      <c r="CD193" s="193"/>
      <c r="CE193" s="193"/>
      <c r="CL193" s="334"/>
      <c r="CS193" s="158"/>
      <c r="CT193" s="158"/>
      <c r="CU193" s="158"/>
      <c r="CV193" s="316"/>
      <c r="DC193" s="334"/>
      <c r="DI193" s="158"/>
      <c r="DJ193" s="316"/>
      <c r="DQ193" s="334"/>
      <c r="DW193" s="158"/>
      <c r="EE193" s="334"/>
      <c r="EK193" s="158"/>
      <c r="EY193" s="158"/>
      <c r="FF193" s="816"/>
    </row>
    <row r="194" spans="2:162" s="192" customFormat="1" ht="18" customHeight="1">
      <c r="B194" s="193"/>
      <c r="C194" s="193"/>
      <c r="D194" s="193"/>
      <c r="E194" s="194"/>
      <c r="F194" s="193"/>
      <c r="G194" s="193"/>
      <c r="H194" s="193"/>
      <c r="I194" s="193"/>
      <c r="J194" s="193"/>
      <c r="K194" s="193"/>
      <c r="L194" s="193"/>
      <c r="M194" s="193"/>
      <c r="N194" s="193"/>
      <c r="O194" s="193"/>
      <c r="P194" s="193"/>
      <c r="Q194" s="193"/>
      <c r="R194" s="193"/>
      <c r="S194" s="193"/>
      <c r="T194" s="193"/>
      <c r="U194" s="193"/>
      <c r="V194" s="193"/>
      <c r="W194" s="193"/>
      <c r="X194" s="193"/>
      <c r="Y194" s="193"/>
      <c r="Z194" s="193"/>
      <c r="AA194" s="193"/>
      <c r="AB194" s="193"/>
      <c r="AC194" s="193"/>
      <c r="AD194" s="193"/>
      <c r="AE194" s="193"/>
      <c r="AF194" s="193"/>
      <c r="AG194" s="193"/>
      <c r="AH194" s="193"/>
      <c r="AI194" s="193"/>
      <c r="AJ194" s="193"/>
      <c r="AK194" s="193"/>
      <c r="AL194" s="193"/>
      <c r="AM194" s="193"/>
      <c r="AN194" s="193"/>
      <c r="AO194" s="193"/>
      <c r="AP194" s="193"/>
      <c r="AQ194" s="193"/>
      <c r="AR194" s="193"/>
      <c r="AS194" s="193"/>
      <c r="AT194" s="193"/>
      <c r="AU194" s="193"/>
      <c r="AV194" s="193"/>
      <c r="AW194" s="193"/>
      <c r="AX194" s="193"/>
      <c r="AY194" s="193"/>
      <c r="AZ194" s="193"/>
      <c r="BA194" s="193"/>
      <c r="BB194" s="193"/>
      <c r="BC194" s="193"/>
      <c r="BD194" s="193"/>
      <c r="BE194" s="193"/>
      <c r="BF194" s="193"/>
      <c r="BG194" s="193"/>
      <c r="BH194" s="193"/>
      <c r="BI194" s="193"/>
      <c r="BJ194" s="193"/>
      <c r="BK194" s="193"/>
      <c r="BL194" s="193"/>
      <c r="BM194" s="193"/>
      <c r="BN194" s="193"/>
      <c r="BO194" s="193"/>
      <c r="BP194" s="193"/>
      <c r="BQ194" s="193"/>
      <c r="BR194" s="193"/>
      <c r="BS194" s="193"/>
      <c r="BT194" s="193"/>
      <c r="BU194" s="193"/>
      <c r="BV194" s="193"/>
      <c r="BW194" s="193"/>
      <c r="BX194" s="193"/>
      <c r="BY194" s="193"/>
      <c r="BZ194" s="193"/>
      <c r="CA194" s="193"/>
      <c r="CB194" s="963"/>
      <c r="CC194" s="193"/>
      <c r="CD194" s="193"/>
      <c r="CE194" s="193"/>
      <c r="CL194" s="334"/>
      <c r="CS194" s="158"/>
      <c r="CT194" s="158"/>
      <c r="CU194" s="158"/>
      <c r="CV194" s="316"/>
      <c r="DC194" s="334"/>
      <c r="DI194" s="158"/>
      <c r="DJ194" s="316"/>
      <c r="DQ194" s="334"/>
      <c r="DW194" s="158"/>
      <c r="EE194" s="334"/>
      <c r="EK194" s="158"/>
      <c r="EY194" s="158"/>
      <c r="FF194" s="816"/>
    </row>
    <row r="195" spans="2:162" s="192" customFormat="1" ht="18" customHeight="1">
      <c r="B195" s="193"/>
      <c r="C195" s="193"/>
      <c r="D195" s="193"/>
      <c r="E195" s="194"/>
      <c r="F195" s="193"/>
      <c r="G195" s="193"/>
      <c r="H195" s="193"/>
      <c r="I195" s="193"/>
      <c r="J195" s="193"/>
      <c r="K195" s="193"/>
      <c r="L195" s="193"/>
      <c r="M195" s="193"/>
      <c r="N195" s="193"/>
      <c r="O195" s="193"/>
      <c r="P195" s="193"/>
      <c r="Q195" s="193"/>
      <c r="R195" s="193"/>
      <c r="S195" s="193"/>
      <c r="T195" s="193"/>
      <c r="U195" s="193"/>
      <c r="V195" s="193"/>
      <c r="W195" s="193"/>
      <c r="X195" s="193"/>
      <c r="Y195" s="193"/>
      <c r="Z195" s="193"/>
      <c r="AA195" s="193"/>
      <c r="AB195" s="193"/>
      <c r="AC195" s="193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963"/>
      <c r="CC195" s="193"/>
      <c r="CD195" s="193"/>
      <c r="CE195" s="193"/>
      <c r="CL195" s="334"/>
      <c r="CS195" s="158"/>
      <c r="CT195" s="158"/>
      <c r="CU195" s="158"/>
      <c r="CV195" s="316"/>
      <c r="DC195" s="334"/>
      <c r="DI195" s="158"/>
      <c r="DJ195" s="316"/>
      <c r="DQ195" s="334"/>
      <c r="DW195" s="158"/>
      <c r="EE195" s="334"/>
      <c r="EK195" s="158"/>
      <c r="EY195" s="158"/>
      <c r="FF195" s="816"/>
    </row>
    <row r="196" spans="2:162" s="192" customFormat="1" ht="18" customHeight="1">
      <c r="B196" s="193"/>
      <c r="C196" s="193"/>
      <c r="D196" s="193"/>
      <c r="E196" s="194"/>
      <c r="F196" s="193"/>
      <c r="G196" s="193"/>
      <c r="H196" s="193"/>
      <c r="I196" s="193"/>
      <c r="J196" s="193"/>
      <c r="K196" s="193"/>
      <c r="L196" s="193"/>
      <c r="M196" s="193"/>
      <c r="N196" s="193"/>
      <c r="O196" s="193"/>
      <c r="P196" s="193"/>
      <c r="Q196" s="193"/>
      <c r="R196" s="193"/>
      <c r="S196" s="193"/>
      <c r="T196" s="193"/>
      <c r="U196" s="193"/>
      <c r="V196" s="193"/>
      <c r="W196" s="193"/>
      <c r="X196" s="193"/>
      <c r="Y196" s="193"/>
      <c r="Z196" s="193"/>
      <c r="AA196" s="193"/>
      <c r="AB196" s="193"/>
      <c r="AC196" s="193"/>
      <c r="AD196" s="193"/>
      <c r="AE196" s="193"/>
      <c r="AF196" s="193"/>
      <c r="AG196" s="193"/>
      <c r="AH196" s="193"/>
      <c r="AI196" s="193"/>
      <c r="AJ196" s="193"/>
      <c r="AK196" s="193"/>
      <c r="AL196" s="193"/>
      <c r="AM196" s="193"/>
      <c r="AN196" s="193"/>
      <c r="AO196" s="193"/>
      <c r="AP196" s="193"/>
      <c r="AQ196" s="193"/>
      <c r="AR196" s="193"/>
      <c r="AS196" s="193"/>
      <c r="AT196" s="193"/>
      <c r="AU196" s="193"/>
      <c r="AV196" s="193"/>
      <c r="AW196" s="193"/>
      <c r="AX196" s="193"/>
      <c r="AY196" s="193"/>
      <c r="AZ196" s="193"/>
      <c r="BA196" s="193"/>
      <c r="BB196" s="193"/>
      <c r="BC196" s="193"/>
      <c r="BD196" s="193"/>
      <c r="BE196" s="193"/>
      <c r="BF196" s="193"/>
      <c r="BG196" s="193"/>
      <c r="BH196" s="193"/>
      <c r="BI196" s="193"/>
      <c r="BJ196" s="193"/>
      <c r="BK196" s="193"/>
      <c r="BL196" s="193"/>
      <c r="BM196" s="193"/>
      <c r="BN196" s="193"/>
      <c r="BO196" s="193"/>
      <c r="BP196" s="193"/>
      <c r="BQ196" s="193"/>
      <c r="BR196" s="193"/>
      <c r="BS196" s="193"/>
      <c r="BT196" s="193"/>
      <c r="BU196" s="193"/>
      <c r="BV196" s="193"/>
      <c r="BW196" s="193"/>
      <c r="BX196" s="193"/>
      <c r="BY196" s="193"/>
      <c r="BZ196" s="193"/>
      <c r="CA196" s="193"/>
      <c r="CB196" s="963"/>
      <c r="CC196" s="193"/>
      <c r="CD196" s="193"/>
      <c r="CE196" s="193"/>
      <c r="CL196" s="334"/>
      <c r="CS196" s="158"/>
      <c r="CT196" s="158"/>
      <c r="CU196" s="158"/>
      <c r="CV196" s="316"/>
      <c r="DC196" s="334"/>
      <c r="DI196" s="158"/>
      <c r="DJ196" s="316"/>
      <c r="DQ196" s="334"/>
      <c r="DW196" s="158"/>
      <c r="EE196" s="334"/>
      <c r="EK196" s="158"/>
      <c r="EY196" s="158"/>
      <c r="FF196" s="816"/>
    </row>
    <row r="197" spans="2:162" s="192" customFormat="1" ht="18" customHeight="1">
      <c r="B197" s="193"/>
      <c r="C197" s="193"/>
      <c r="D197" s="193"/>
      <c r="E197" s="194"/>
      <c r="F197" s="193"/>
      <c r="G197" s="193"/>
      <c r="H197" s="193"/>
      <c r="I197" s="193"/>
      <c r="J197" s="193"/>
      <c r="K197" s="193"/>
      <c r="L197" s="193"/>
      <c r="M197" s="193"/>
      <c r="N197" s="193"/>
      <c r="O197" s="193"/>
      <c r="P197" s="193"/>
      <c r="Q197" s="193"/>
      <c r="R197" s="193"/>
      <c r="S197" s="193"/>
      <c r="T197" s="193"/>
      <c r="U197" s="193"/>
      <c r="V197" s="193"/>
      <c r="W197" s="193"/>
      <c r="X197" s="193"/>
      <c r="Y197" s="193"/>
      <c r="Z197" s="193"/>
      <c r="AA197" s="193"/>
      <c r="AB197" s="193"/>
      <c r="AC197" s="193"/>
      <c r="AD197" s="193"/>
      <c r="AE197" s="193"/>
      <c r="AF197" s="193"/>
      <c r="AG197" s="193"/>
      <c r="AH197" s="193"/>
      <c r="AI197" s="193"/>
      <c r="AJ197" s="193"/>
      <c r="AK197" s="193"/>
      <c r="AL197" s="193"/>
      <c r="AM197" s="193"/>
      <c r="AN197" s="193"/>
      <c r="AO197" s="193"/>
      <c r="AP197" s="193"/>
      <c r="AQ197" s="193"/>
      <c r="AR197" s="193"/>
      <c r="AS197" s="193"/>
      <c r="AT197" s="193"/>
      <c r="AU197" s="193"/>
      <c r="AV197" s="193"/>
      <c r="AW197" s="193"/>
      <c r="AX197" s="193"/>
      <c r="AY197" s="193"/>
      <c r="AZ197" s="193"/>
      <c r="BA197" s="193"/>
      <c r="BB197" s="193"/>
      <c r="BC197" s="193"/>
      <c r="BD197" s="193"/>
      <c r="BE197" s="193"/>
      <c r="BF197" s="193"/>
      <c r="BG197" s="193"/>
      <c r="BH197" s="193"/>
      <c r="BI197" s="193"/>
      <c r="BJ197" s="193"/>
      <c r="BK197" s="193"/>
      <c r="BL197" s="193"/>
      <c r="BM197" s="193"/>
      <c r="BN197" s="193"/>
      <c r="BO197" s="193"/>
      <c r="BP197" s="193"/>
      <c r="BQ197" s="193"/>
      <c r="BR197" s="193"/>
      <c r="BS197" s="193"/>
      <c r="BT197" s="193"/>
      <c r="BU197" s="193"/>
      <c r="BV197" s="193"/>
      <c r="BW197" s="193"/>
      <c r="BX197" s="193"/>
      <c r="BY197" s="193"/>
      <c r="BZ197" s="193"/>
      <c r="CA197" s="193"/>
      <c r="CB197" s="963"/>
      <c r="CC197" s="193"/>
      <c r="CD197" s="193"/>
      <c r="CE197" s="193"/>
      <c r="CL197" s="334"/>
      <c r="CS197" s="158"/>
      <c r="CT197" s="158"/>
      <c r="CU197" s="158"/>
      <c r="CV197" s="316"/>
      <c r="DC197" s="334"/>
      <c r="DI197" s="158"/>
      <c r="DJ197" s="316"/>
      <c r="DQ197" s="334"/>
      <c r="DW197" s="158"/>
      <c r="EE197" s="334"/>
      <c r="EK197" s="158"/>
      <c r="EY197" s="158"/>
      <c r="FF197" s="816"/>
    </row>
    <row r="198" spans="2:162" s="192" customFormat="1" ht="18" customHeight="1">
      <c r="B198" s="193"/>
      <c r="C198" s="193"/>
      <c r="D198" s="193"/>
      <c r="E198" s="194"/>
      <c r="F198" s="193"/>
      <c r="G198" s="193"/>
      <c r="H198" s="193"/>
      <c r="I198" s="193"/>
      <c r="J198" s="193"/>
      <c r="K198" s="193"/>
      <c r="L198" s="193"/>
      <c r="M198" s="193"/>
      <c r="N198" s="193"/>
      <c r="O198" s="193"/>
      <c r="P198" s="193"/>
      <c r="Q198" s="193"/>
      <c r="R198" s="193"/>
      <c r="S198" s="193"/>
      <c r="T198" s="193"/>
      <c r="U198" s="193"/>
      <c r="V198" s="193"/>
      <c r="W198" s="193"/>
      <c r="X198" s="193"/>
      <c r="Y198" s="193"/>
      <c r="Z198" s="193"/>
      <c r="AA198" s="193"/>
      <c r="AB198" s="193"/>
      <c r="AC198" s="193"/>
      <c r="AD198" s="193"/>
      <c r="AE198" s="193"/>
      <c r="AF198" s="193"/>
      <c r="AG198" s="193"/>
      <c r="AH198" s="193"/>
      <c r="AI198" s="193"/>
      <c r="AJ198" s="193"/>
      <c r="AK198" s="193"/>
      <c r="AL198" s="193"/>
      <c r="AM198" s="193"/>
      <c r="AN198" s="193"/>
      <c r="AO198" s="193"/>
      <c r="AP198" s="193"/>
      <c r="AQ198" s="193"/>
      <c r="AR198" s="193"/>
      <c r="AS198" s="193"/>
      <c r="AT198" s="193"/>
      <c r="AU198" s="193"/>
      <c r="AV198" s="193"/>
      <c r="AW198" s="193"/>
      <c r="AX198" s="193"/>
      <c r="AY198" s="193"/>
      <c r="AZ198" s="193"/>
      <c r="BA198" s="193"/>
      <c r="BB198" s="193"/>
      <c r="BC198" s="193"/>
      <c r="BD198" s="193"/>
      <c r="BE198" s="193"/>
      <c r="BF198" s="193"/>
      <c r="BG198" s="193"/>
      <c r="BH198" s="193"/>
      <c r="BI198" s="193"/>
      <c r="BJ198" s="193"/>
      <c r="BK198" s="193"/>
      <c r="BL198" s="193"/>
      <c r="BM198" s="193"/>
      <c r="BN198" s="193"/>
      <c r="BO198" s="193"/>
      <c r="BP198" s="193"/>
      <c r="BQ198" s="193"/>
      <c r="BR198" s="193"/>
      <c r="BS198" s="193"/>
      <c r="BT198" s="193"/>
      <c r="BU198" s="193"/>
      <c r="BV198" s="193"/>
      <c r="BW198" s="193"/>
      <c r="BX198" s="193"/>
      <c r="BY198" s="193"/>
      <c r="BZ198" s="193"/>
      <c r="CA198" s="193"/>
      <c r="CB198" s="963"/>
      <c r="CC198" s="193"/>
      <c r="CD198" s="193"/>
      <c r="CE198" s="193"/>
      <c r="CL198" s="334"/>
      <c r="CS198" s="158"/>
      <c r="CT198" s="158"/>
      <c r="CU198" s="158"/>
      <c r="CV198" s="316"/>
      <c r="DC198" s="334"/>
      <c r="DI198" s="158"/>
      <c r="DJ198" s="316"/>
      <c r="DQ198" s="334"/>
      <c r="DW198" s="158"/>
      <c r="EE198" s="334"/>
      <c r="EK198" s="158"/>
      <c r="EY198" s="158"/>
      <c r="FF198" s="816"/>
    </row>
    <row r="199" spans="2:162" s="192" customFormat="1" ht="18" customHeight="1">
      <c r="B199" s="193"/>
      <c r="C199" s="193"/>
      <c r="D199" s="193"/>
      <c r="E199" s="194"/>
      <c r="F199" s="193"/>
      <c r="G199" s="193"/>
      <c r="H199" s="193"/>
      <c r="I199" s="193"/>
      <c r="J199" s="193"/>
      <c r="K199" s="193"/>
      <c r="L199" s="193"/>
      <c r="M199" s="193"/>
      <c r="N199" s="193"/>
      <c r="O199" s="193"/>
      <c r="P199" s="193"/>
      <c r="Q199" s="193"/>
      <c r="R199" s="193"/>
      <c r="S199" s="193"/>
      <c r="T199" s="193"/>
      <c r="U199" s="193"/>
      <c r="V199" s="193"/>
      <c r="W199" s="193"/>
      <c r="X199" s="193"/>
      <c r="Y199" s="193"/>
      <c r="Z199" s="193"/>
      <c r="AA199" s="193"/>
      <c r="AB199" s="193"/>
      <c r="AC199" s="193"/>
      <c r="AD199" s="193"/>
      <c r="AE199" s="193"/>
      <c r="AF199" s="193"/>
      <c r="AG199" s="193"/>
      <c r="AH199" s="193"/>
      <c r="AI199" s="193"/>
      <c r="AJ199" s="193"/>
      <c r="AK199" s="193"/>
      <c r="AL199" s="193"/>
      <c r="AM199" s="193"/>
      <c r="AN199" s="193"/>
      <c r="AO199" s="193"/>
      <c r="AP199" s="193"/>
      <c r="AQ199" s="193"/>
      <c r="AR199" s="193"/>
      <c r="AS199" s="193"/>
      <c r="AT199" s="193"/>
      <c r="AU199" s="193"/>
      <c r="AV199" s="193"/>
      <c r="AW199" s="193"/>
      <c r="AX199" s="193"/>
      <c r="AY199" s="193"/>
      <c r="AZ199" s="193"/>
      <c r="BA199" s="193"/>
      <c r="BB199" s="193"/>
      <c r="BC199" s="193"/>
      <c r="BD199" s="193"/>
      <c r="BE199" s="193"/>
      <c r="BF199" s="193"/>
      <c r="BG199" s="193"/>
      <c r="BH199" s="193"/>
      <c r="BI199" s="193"/>
      <c r="BJ199" s="193"/>
      <c r="BK199" s="193"/>
      <c r="BL199" s="193"/>
      <c r="BM199" s="193"/>
      <c r="BN199" s="193"/>
      <c r="BO199" s="193"/>
      <c r="BP199" s="193"/>
      <c r="BQ199" s="193"/>
      <c r="BR199" s="193"/>
      <c r="BS199" s="193"/>
      <c r="BT199" s="193"/>
      <c r="BU199" s="193"/>
      <c r="BV199" s="193"/>
      <c r="BW199" s="193"/>
      <c r="BX199" s="193"/>
      <c r="BY199" s="193"/>
      <c r="BZ199" s="193"/>
      <c r="CA199" s="193"/>
      <c r="CB199" s="963"/>
      <c r="CC199" s="193"/>
      <c r="CD199" s="193"/>
      <c r="CE199" s="193"/>
      <c r="CL199" s="334"/>
      <c r="CS199" s="158"/>
      <c r="CT199" s="158"/>
      <c r="CU199" s="158"/>
      <c r="CV199" s="316"/>
      <c r="DC199" s="334"/>
      <c r="DI199" s="158"/>
      <c r="DJ199" s="316"/>
      <c r="DQ199" s="334"/>
      <c r="DW199" s="158"/>
      <c r="EE199" s="334"/>
      <c r="EK199" s="158"/>
      <c r="EY199" s="158"/>
      <c r="FF199" s="816"/>
    </row>
    <row r="200" spans="2:162" s="192" customFormat="1" ht="18" customHeight="1">
      <c r="B200" s="193"/>
      <c r="C200" s="193"/>
      <c r="D200" s="193"/>
      <c r="E200" s="194"/>
      <c r="F200" s="193"/>
      <c r="G200" s="193"/>
      <c r="H200" s="193"/>
      <c r="I200" s="193"/>
      <c r="J200" s="193"/>
      <c r="K200" s="193"/>
      <c r="L200" s="193"/>
      <c r="M200" s="193"/>
      <c r="N200" s="193"/>
      <c r="O200" s="193"/>
      <c r="P200" s="193"/>
      <c r="Q200" s="193"/>
      <c r="R200" s="193"/>
      <c r="S200" s="193"/>
      <c r="T200" s="193"/>
      <c r="U200" s="193"/>
      <c r="V200" s="193"/>
      <c r="W200" s="193"/>
      <c r="X200" s="193"/>
      <c r="Y200" s="193"/>
      <c r="Z200" s="193"/>
      <c r="AA200" s="193"/>
      <c r="AB200" s="193"/>
      <c r="AC200" s="193"/>
      <c r="AD200" s="193"/>
      <c r="AE200" s="193"/>
      <c r="AF200" s="193"/>
      <c r="AG200" s="193"/>
      <c r="AH200" s="193"/>
      <c r="AI200" s="193"/>
      <c r="AJ200" s="193"/>
      <c r="AK200" s="193"/>
      <c r="AL200" s="193"/>
      <c r="AM200" s="193"/>
      <c r="AN200" s="193"/>
      <c r="AO200" s="193"/>
      <c r="AP200" s="193"/>
      <c r="AQ200" s="193"/>
      <c r="AR200" s="193"/>
      <c r="AS200" s="193"/>
      <c r="AT200" s="193"/>
      <c r="AU200" s="193"/>
      <c r="AV200" s="193"/>
      <c r="AW200" s="193"/>
      <c r="AX200" s="193"/>
      <c r="AY200" s="193"/>
      <c r="AZ200" s="193"/>
      <c r="BA200" s="193"/>
      <c r="BB200" s="193"/>
      <c r="BC200" s="193"/>
      <c r="BD200" s="193"/>
      <c r="BE200" s="193"/>
      <c r="BF200" s="193"/>
      <c r="BG200" s="193"/>
      <c r="BH200" s="193"/>
      <c r="BI200" s="193"/>
      <c r="BJ200" s="193"/>
      <c r="BK200" s="193"/>
      <c r="BL200" s="193"/>
      <c r="BM200" s="193"/>
      <c r="BN200" s="193"/>
      <c r="BO200" s="193"/>
      <c r="BP200" s="193"/>
      <c r="BQ200" s="193"/>
      <c r="BR200" s="193"/>
      <c r="BS200" s="193"/>
      <c r="BT200" s="193"/>
      <c r="BU200" s="193"/>
      <c r="BV200" s="193"/>
      <c r="BW200" s="193"/>
      <c r="BX200" s="193"/>
      <c r="BY200" s="193"/>
      <c r="BZ200" s="193"/>
      <c r="CA200" s="193"/>
      <c r="CB200" s="963"/>
      <c r="CC200" s="193"/>
      <c r="CD200" s="193"/>
      <c r="CE200" s="193"/>
      <c r="CL200" s="334"/>
      <c r="CS200" s="158"/>
      <c r="CT200" s="158"/>
      <c r="CU200" s="158"/>
      <c r="CV200" s="316"/>
      <c r="DC200" s="334"/>
      <c r="DI200" s="158"/>
      <c r="DJ200" s="316"/>
      <c r="DQ200" s="334"/>
      <c r="DW200" s="158"/>
      <c r="EE200" s="334"/>
      <c r="EK200" s="158"/>
      <c r="EY200" s="158"/>
      <c r="FF200" s="816"/>
    </row>
    <row r="201" spans="2:162" s="192" customFormat="1" ht="18" customHeight="1">
      <c r="B201" s="193"/>
      <c r="C201" s="193"/>
      <c r="D201" s="193"/>
      <c r="E201" s="194"/>
      <c r="F201" s="193"/>
      <c r="G201" s="193"/>
      <c r="H201" s="193"/>
      <c r="I201" s="193"/>
      <c r="J201" s="193"/>
      <c r="K201" s="193"/>
      <c r="L201" s="193"/>
      <c r="M201" s="193"/>
      <c r="N201" s="193"/>
      <c r="O201" s="193"/>
      <c r="P201" s="193"/>
      <c r="Q201" s="193"/>
      <c r="R201" s="193"/>
      <c r="S201" s="193"/>
      <c r="T201" s="193"/>
      <c r="U201" s="193"/>
      <c r="V201" s="193"/>
      <c r="W201" s="193"/>
      <c r="X201" s="193"/>
      <c r="Y201" s="193"/>
      <c r="Z201" s="193"/>
      <c r="AA201" s="193"/>
      <c r="AB201" s="193"/>
      <c r="AC201" s="193"/>
      <c r="AD201" s="193"/>
      <c r="AE201" s="193"/>
      <c r="AF201" s="193"/>
      <c r="AG201" s="193"/>
      <c r="AH201" s="193"/>
      <c r="AI201" s="193"/>
      <c r="AJ201" s="193"/>
      <c r="AK201" s="193"/>
      <c r="AL201" s="193"/>
      <c r="AM201" s="193"/>
      <c r="AN201" s="193"/>
      <c r="AO201" s="193"/>
      <c r="AP201" s="193"/>
      <c r="AQ201" s="193"/>
      <c r="AR201" s="193"/>
      <c r="AS201" s="193"/>
      <c r="AT201" s="193"/>
      <c r="AU201" s="193"/>
      <c r="AV201" s="193"/>
      <c r="AW201" s="193"/>
      <c r="AX201" s="193"/>
      <c r="AY201" s="193"/>
      <c r="AZ201" s="193"/>
      <c r="BA201" s="193"/>
      <c r="BB201" s="193"/>
      <c r="BC201" s="193"/>
      <c r="BD201" s="193"/>
      <c r="BE201" s="193"/>
      <c r="BF201" s="193"/>
      <c r="BG201" s="193"/>
      <c r="BH201" s="193"/>
      <c r="BI201" s="193"/>
      <c r="BJ201" s="193"/>
      <c r="BK201" s="193"/>
      <c r="BL201" s="193"/>
      <c r="BM201" s="193"/>
      <c r="BN201" s="193"/>
      <c r="BO201" s="193"/>
      <c r="BP201" s="193"/>
      <c r="BQ201" s="193"/>
      <c r="BR201" s="193"/>
      <c r="BS201" s="193"/>
      <c r="BT201" s="193"/>
      <c r="BU201" s="193"/>
      <c r="BV201" s="193"/>
      <c r="BW201" s="193"/>
      <c r="BX201" s="193"/>
      <c r="BY201" s="193"/>
      <c r="BZ201" s="193"/>
      <c r="CA201" s="193"/>
      <c r="CB201" s="963"/>
      <c r="CC201" s="193"/>
      <c r="CD201" s="193"/>
      <c r="CE201" s="193"/>
      <c r="CL201" s="334"/>
      <c r="CS201" s="158"/>
      <c r="CT201" s="158"/>
      <c r="CU201" s="158"/>
      <c r="CV201" s="316"/>
      <c r="DC201" s="334"/>
      <c r="DI201" s="158"/>
      <c r="DJ201" s="316"/>
      <c r="DQ201" s="334"/>
      <c r="DW201" s="158"/>
      <c r="EE201" s="334"/>
      <c r="EK201" s="158"/>
      <c r="EY201" s="158"/>
      <c r="FF201" s="816"/>
    </row>
    <row r="202" spans="2:162" s="192" customFormat="1" ht="18" customHeight="1">
      <c r="B202" s="193"/>
      <c r="C202" s="193"/>
      <c r="D202" s="193"/>
      <c r="E202" s="194"/>
      <c r="F202" s="193"/>
      <c r="G202" s="193"/>
      <c r="H202" s="193"/>
      <c r="I202" s="193"/>
      <c r="J202" s="193"/>
      <c r="K202" s="193"/>
      <c r="L202" s="193"/>
      <c r="M202" s="193"/>
      <c r="N202" s="193"/>
      <c r="O202" s="193"/>
      <c r="P202" s="193"/>
      <c r="Q202" s="193"/>
      <c r="R202" s="193"/>
      <c r="S202" s="193"/>
      <c r="T202" s="193"/>
      <c r="U202" s="193"/>
      <c r="V202" s="193"/>
      <c r="W202" s="193"/>
      <c r="X202" s="193"/>
      <c r="Y202" s="193"/>
      <c r="Z202" s="193"/>
      <c r="AA202" s="193"/>
      <c r="AB202" s="193"/>
      <c r="AC202" s="193"/>
      <c r="AD202" s="193"/>
      <c r="AE202" s="193"/>
      <c r="AF202" s="193"/>
      <c r="AG202" s="193"/>
      <c r="AH202" s="193"/>
      <c r="AI202" s="193"/>
      <c r="AJ202" s="193"/>
      <c r="AK202" s="193"/>
      <c r="AL202" s="193"/>
      <c r="AM202" s="193"/>
      <c r="AN202" s="193"/>
      <c r="AO202" s="193"/>
      <c r="AP202" s="193"/>
      <c r="AQ202" s="193"/>
      <c r="AR202" s="193"/>
      <c r="AS202" s="193"/>
      <c r="AT202" s="193"/>
      <c r="AU202" s="193"/>
      <c r="AV202" s="193"/>
      <c r="AW202" s="193"/>
      <c r="AX202" s="193"/>
      <c r="AY202" s="193"/>
      <c r="AZ202" s="193"/>
      <c r="BA202" s="193"/>
      <c r="BB202" s="193"/>
      <c r="BC202" s="193"/>
      <c r="BD202" s="193"/>
      <c r="BE202" s="193"/>
      <c r="BF202" s="193"/>
      <c r="BG202" s="193"/>
      <c r="BH202" s="193"/>
      <c r="BI202" s="193"/>
      <c r="BJ202" s="193"/>
      <c r="BK202" s="193"/>
      <c r="BL202" s="193"/>
      <c r="BM202" s="193"/>
      <c r="BN202" s="193"/>
      <c r="BO202" s="193"/>
      <c r="BP202" s="193"/>
      <c r="BQ202" s="193"/>
      <c r="BR202" s="193"/>
      <c r="BS202" s="193"/>
      <c r="BT202" s="193"/>
      <c r="BU202" s="193"/>
      <c r="BV202" s="193"/>
      <c r="BW202" s="193"/>
      <c r="BX202" s="193"/>
      <c r="BY202" s="193"/>
      <c r="BZ202" s="193"/>
      <c r="CA202" s="193"/>
      <c r="CB202" s="963"/>
      <c r="CC202" s="193"/>
      <c r="CD202" s="193"/>
      <c r="CE202" s="193"/>
      <c r="CL202" s="334"/>
      <c r="CS202" s="158"/>
      <c r="CT202" s="158"/>
      <c r="CU202" s="158"/>
      <c r="CV202" s="316"/>
      <c r="DC202" s="334"/>
      <c r="DI202" s="158"/>
      <c r="DJ202" s="316"/>
      <c r="DQ202" s="334"/>
      <c r="DW202" s="158"/>
      <c r="EE202" s="334"/>
      <c r="EK202" s="158"/>
      <c r="EY202" s="158"/>
      <c r="FF202" s="816"/>
    </row>
    <row r="203" spans="2:162" s="192" customFormat="1" ht="18" customHeight="1">
      <c r="B203" s="193"/>
      <c r="C203" s="193"/>
      <c r="D203" s="193"/>
      <c r="E203" s="194"/>
      <c r="F203" s="193"/>
      <c r="G203" s="193"/>
      <c r="H203" s="193"/>
      <c r="I203" s="193"/>
      <c r="J203" s="193"/>
      <c r="K203" s="193"/>
      <c r="L203" s="193"/>
      <c r="M203" s="193"/>
      <c r="N203" s="193"/>
      <c r="O203" s="193"/>
      <c r="P203" s="193"/>
      <c r="Q203" s="193"/>
      <c r="R203" s="193"/>
      <c r="S203" s="193"/>
      <c r="T203" s="193"/>
      <c r="U203" s="193"/>
      <c r="V203" s="193"/>
      <c r="W203" s="193"/>
      <c r="X203" s="193"/>
      <c r="Y203" s="193"/>
      <c r="Z203" s="193"/>
      <c r="AA203" s="193"/>
      <c r="AB203" s="193"/>
      <c r="AC203" s="193"/>
      <c r="AD203" s="193"/>
      <c r="AE203" s="193"/>
      <c r="AF203" s="193"/>
      <c r="AG203" s="193"/>
      <c r="AH203" s="193"/>
      <c r="AI203" s="193"/>
      <c r="AJ203" s="193"/>
      <c r="AK203" s="193"/>
      <c r="AL203" s="193"/>
      <c r="AM203" s="193"/>
      <c r="AN203" s="193"/>
      <c r="AO203" s="193"/>
      <c r="AP203" s="193"/>
      <c r="AQ203" s="193"/>
      <c r="AR203" s="193"/>
      <c r="AS203" s="193"/>
      <c r="AT203" s="193"/>
      <c r="AU203" s="193"/>
      <c r="AV203" s="193"/>
      <c r="AW203" s="193"/>
      <c r="AX203" s="193"/>
      <c r="AY203" s="193"/>
      <c r="AZ203" s="193"/>
      <c r="BA203" s="193"/>
      <c r="BB203" s="193"/>
      <c r="BC203" s="193"/>
      <c r="BD203" s="193"/>
      <c r="BE203" s="193"/>
      <c r="BF203" s="193"/>
      <c r="BG203" s="193"/>
      <c r="BH203" s="193"/>
      <c r="BI203" s="193"/>
      <c r="BJ203" s="193"/>
      <c r="BK203" s="193"/>
      <c r="BL203" s="193"/>
      <c r="BM203" s="193"/>
      <c r="BN203" s="193"/>
      <c r="BO203" s="193"/>
      <c r="BP203" s="193"/>
      <c r="BQ203" s="193"/>
      <c r="BR203" s="193"/>
      <c r="BS203" s="193"/>
      <c r="BT203" s="193"/>
      <c r="BU203" s="193"/>
      <c r="BV203" s="193"/>
      <c r="BW203" s="193"/>
      <c r="BX203" s="193"/>
      <c r="BY203" s="193"/>
      <c r="BZ203" s="193"/>
      <c r="CA203" s="193"/>
      <c r="CB203" s="963"/>
      <c r="CC203" s="193"/>
      <c r="CD203" s="193"/>
      <c r="CE203" s="193"/>
      <c r="CL203" s="334"/>
      <c r="CS203" s="158"/>
      <c r="CT203" s="158"/>
      <c r="CU203" s="158"/>
      <c r="CV203" s="316"/>
      <c r="DC203" s="334"/>
      <c r="DI203" s="158"/>
      <c r="DJ203" s="316"/>
      <c r="DQ203" s="334"/>
      <c r="DW203" s="158"/>
      <c r="EE203" s="334"/>
      <c r="EK203" s="158"/>
      <c r="EY203" s="158"/>
      <c r="FF203" s="816"/>
    </row>
    <row r="204" spans="2:162" s="192" customFormat="1" ht="18" customHeight="1">
      <c r="B204" s="193"/>
      <c r="C204" s="193"/>
      <c r="D204" s="193"/>
      <c r="E204" s="194"/>
      <c r="F204" s="193"/>
      <c r="G204" s="193"/>
      <c r="H204" s="193"/>
      <c r="I204" s="193"/>
      <c r="J204" s="193"/>
      <c r="K204" s="193"/>
      <c r="L204" s="193"/>
      <c r="M204" s="193"/>
      <c r="N204" s="193"/>
      <c r="O204" s="193"/>
      <c r="P204" s="193"/>
      <c r="Q204" s="193"/>
      <c r="R204" s="193"/>
      <c r="S204" s="193"/>
      <c r="T204" s="193"/>
      <c r="U204" s="193"/>
      <c r="V204" s="193"/>
      <c r="W204" s="193"/>
      <c r="X204" s="193"/>
      <c r="Y204" s="193"/>
      <c r="Z204" s="193"/>
      <c r="AA204" s="193"/>
      <c r="AB204" s="193"/>
      <c r="AC204" s="193"/>
      <c r="AD204" s="193"/>
      <c r="AE204" s="193"/>
      <c r="AF204" s="193"/>
      <c r="AG204" s="193"/>
      <c r="AH204" s="193"/>
      <c r="AI204" s="193"/>
      <c r="AJ204" s="193"/>
      <c r="AK204" s="193"/>
      <c r="AL204" s="193"/>
      <c r="AM204" s="193"/>
      <c r="AN204" s="193"/>
      <c r="AO204" s="193"/>
      <c r="AP204" s="193"/>
      <c r="AQ204" s="193"/>
      <c r="AR204" s="193"/>
      <c r="AS204" s="193"/>
      <c r="AT204" s="193"/>
      <c r="AU204" s="193"/>
      <c r="AV204" s="193"/>
      <c r="AW204" s="193"/>
      <c r="AX204" s="193"/>
      <c r="AY204" s="193"/>
      <c r="AZ204" s="193"/>
      <c r="BA204" s="193"/>
      <c r="BB204" s="193"/>
      <c r="BC204" s="193"/>
      <c r="BD204" s="193"/>
      <c r="BE204" s="193"/>
      <c r="BF204" s="193"/>
      <c r="BG204" s="193"/>
      <c r="BH204" s="193"/>
      <c r="BI204" s="193"/>
      <c r="BJ204" s="193"/>
      <c r="BK204" s="193"/>
      <c r="BL204" s="193"/>
      <c r="BM204" s="193"/>
      <c r="BN204" s="193"/>
      <c r="BO204" s="193"/>
      <c r="BP204" s="193"/>
      <c r="BQ204" s="193"/>
      <c r="BR204" s="193"/>
      <c r="BS204" s="193"/>
      <c r="BT204" s="193"/>
      <c r="BU204" s="193"/>
      <c r="BV204" s="193"/>
      <c r="BW204" s="193"/>
      <c r="BX204" s="193"/>
      <c r="BY204" s="193"/>
      <c r="BZ204" s="193"/>
      <c r="CA204" s="193"/>
      <c r="CB204" s="963"/>
      <c r="CC204" s="193"/>
      <c r="CD204" s="193"/>
      <c r="CE204" s="193"/>
      <c r="CL204" s="334"/>
      <c r="CS204" s="158"/>
      <c r="CT204" s="158"/>
      <c r="CU204" s="158"/>
      <c r="CV204" s="316"/>
      <c r="DC204" s="334"/>
      <c r="DI204" s="158"/>
      <c r="DJ204" s="316"/>
      <c r="DQ204" s="334"/>
      <c r="DW204" s="158"/>
      <c r="EE204" s="334"/>
      <c r="EK204" s="158"/>
      <c r="EY204" s="158"/>
      <c r="FF204" s="816"/>
    </row>
    <row r="205" spans="2:162" s="192" customFormat="1" ht="18" customHeight="1">
      <c r="B205" s="193"/>
      <c r="C205" s="193"/>
      <c r="D205" s="193"/>
      <c r="E205" s="194"/>
      <c r="F205" s="193"/>
      <c r="G205" s="193"/>
      <c r="H205" s="193"/>
      <c r="I205" s="193"/>
      <c r="J205" s="193"/>
      <c r="K205" s="193"/>
      <c r="L205" s="193"/>
      <c r="M205" s="193"/>
      <c r="N205" s="193"/>
      <c r="O205" s="193"/>
      <c r="P205" s="193"/>
      <c r="Q205" s="193"/>
      <c r="R205" s="193"/>
      <c r="S205" s="193"/>
      <c r="T205" s="193"/>
      <c r="U205" s="193"/>
      <c r="V205" s="193"/>
      <c r="W205" s="193"/>
      <c r="X205" s="193"/>
      <c r="Y205" s="193"/>
      <c r="Z205" s="193"/>
      <c r="AA205" s="193"/>
      <c r="AB205" s="193"/>
      <c r="AC205" s="193"/>
      <c r="AD205" s="193"/>
      <c r="AE205" s="193"/>
      <c r="AF205" s="193"/>
      <c r="AG205" s="193"/>
      <c r="AH205" s="193"/>
      <c r="AI205" s="193"/>
      <c r="AJ205" s="193"/>
      <c r="AK205" s="193"/>
      <c r="AL205" s="193"/>
      <c r="AM205" s="193"/>
      <c r="AN205" s="193"/>
      <c r="AO205" s="193"/>
      <c r="AP205" s="193"/>
      <c r="AQ205" s="193"/>
      <c r="AR205" s="193"/>
      <c r="AS205" s="193"/>
      <c r="AT205" s="193"/>
      <c r="AU205" s="193"/>
      <c r="AV205" s="193"/>
      <c r="AW205" s="193"/>
      <c r="AX205" s="193"/>
      <c r="AY205" s="193"/>
      <c r="AZ205" s="193"/>
      <c r="BA205" s="193"/>
      <c r="BB205" s="193"/>
      <c r="BC205" s="193"/>
      <c r="BD205" s="193"/>
      <c r="BE205" s="193"/>
      <c r="BF205" s="193"/>
      <c r="BG205" s="193"/>
      <c r="BH205" s="193"/>
      <c r="BI205" s="193"/>
      <c r="BJ205" s="193"/>
      <c r="BK205" s="193"/>
      <c r="BL205" s="193"/>
      <c r="BM205" s="193"/>
      <c r="BN205" s="193"/>
      <c r="BO205" s="193"/>
      <c r="BP205" s="193"/>
      <c r="BQ205" s="193"/>
      <c r="BR205" s="193"/>
      <c r="BS205" s="193"/>
      <c r="BT205" s="193"/>
      <c r="BU205" s="193"/>
      <c r="BV205" s="193"/>
      <c r="BW205" s="193"/>
      <c r="BX205" s="193"/>
      <c r="BY205" s="193"/>
      <c r="BZ205" s="193"/>
      <c r="CA205" s="193"/>
      <c r="CB205" s="963"/>
      <c r="CC205" s="193"/>
      <c r="CD205" s="193"/>
      <c r="CE205" s="193"/>
      <c r="CL205" s="334"/>
      <c r="CS205" s="158"/>
      <c r="CT205" s="158"/>
      <c r="CU205" s="158"/>
      <c r="CV205" s="316"/>
      <c r="DC205" s="334"/>
      <c r="DI205" s="158"/>
      <c r="DJ205" s="316"/>
      <c r="DQ205" s="334"/>
      <c r="DW205" s="158"/>
      <c r="EE205" s="334"/>
      <c r="EK205" s="158"/>
      <c r="EY205" s="158"/>
      <c r="FF205" s="816"/>
    </row>
    <row r="206" spans="2:162" s="192" customFormat="1" ht="18" customHeight="1">
      <c r="B206" s="193"/>
      <c r="C206" s="193"/>
      <c r="D206" s="193"/>
      <c r="E206" s="194"/>
      <c r="F206" s="193"/>
      <c r="G206" s="193"/>
      <c r="H206" s="193"/>
      <c r="I206" s="193"/>
      <c r="J206" s="193"/>
      <c r="K206" s="193"/>
      <c r="L206" s="193"/>
      <c r="M206" s="193"/>
      <c r="N206" s="193"/>
      <c r="O206" s="193"/>
      <c r="P206" s="193"/>
      <c r="Q206" s="193"/>
      <c r="R206" s="193"/>
      <c r="S206" s="193"/>
      <c r="T206" s="193"/>
      <c r="U206" s="193"/>
      <c r="V206" s="193"/>
      <c r="W206" s="193"/>
      <c r="X206" s="193"/>
      <c r="Y206" s="193"/>
      <c r="Z206" s="193"/>
      <c r="AA206" s="193"/>
      <c r="AB206" s="193"/>
      <c r="AC206" s="193"/>
      <c r="AD206" s="193"/>
      <c r="AE206" s="193"/>
      <c r="AF206" s="193"/>
      <c r="AG206" s="193"/>
      <c r="AH206" s="193"/>
      <c r="AI206" s="193"/>
      <c r="AJ206" s="193"/>
      <c r="AK206" s="193"/>
      <c r="AL206" s="193"/>
      <c r="AM206" s="193"/>
      <c r="AN206" s="193"/>
      <c r="AO206" s="193"/>
      <c r="AP206" s="193"/>
      <c r="AQ206" s="193"/>
      <c r="AR206" s="193"/>
      <c r="AS206" s="193"/>
      <c r="AT206" s="193"/>
      <c r="AU206" s="193"/>
      <c r="AV206" s="193"/>
      <c r="AW206" s="193"/>
      <c r="AX206" s="193"/>
      <c r="AY206" s="193"/>
      <c r="AZ206" s="193"/>
      <c r="BA206" s="193"/>
      <c r="BB206" s="193"/>
      <c r="BC206" s="193"/>
      <c r="BD206" s="193"/>
      <c r="BE206" s="193"/>
      <c r="BF206" s="193"/>
      <c r="BG206" s="193"/>
      <c r="BH206" s="193"/>
      <c r="BI206" s="193"/>
      <c r="BJ206" s="193"/>
      <c r="BK206" s="193"/>
      <c r="BL206" s="193"/>
      <c r="BM206" s="193"/>
      <c r="BN206" s="193"/>
      <c r="BO206" s="193"/>
      <c r="BP206" s="193"/>
      <c r="BQ206" s="193"/>
      <c r="BR206" s="193"/>
      <c r="BS206" s="193"/>
      <c r="BT206" s="193"/>
      <c r="BU206" s="193"/>
      <c r="BV206" s="193"/>
      <c r="BW206" s="193"/>
      <c r="BX206" s="193"/>
      <c r="BY206" s="193"/>
      <c r="BZ206" s="193"/>
      <c r="CA206" s="193"/>
      <c r="CB206" s="963"/>
      <c r="CC206" s="193"/>
      <c r="CD206" s="193"/>
      <c r="CE206" s="193"/>
      <c r="CL206" s="334"/>
      <c r="CS206" s="158"/>
      <c r="CT206" s="158"/>
      <c r="CU206" s="158"/>
      <c r="CV206" s="316"/>
      <c r="DC206" s="334"/>
      <c r="DI206" s="158"/>
      <c r="DJ206" s="316"/>
      <c r="DQ206" s="334"/>
      <c r="DW206" s="158"/>
      <c r="EE206" s="334"/>
      <c r="EK206" s="158"/>
      <c r="EY206" s="158"/>
      <c r="FF206" s="816"/>
    </row>
    <row r="207" spans="2:162" s="192" customFormat="1" ht="18" customHeight="1">
      <c r="B207" s="193"/>
      <c r="C207" s="193"/>
      <c r="D207" s="193"/>
      <c r="E207" s="194"/>
      <c r="F207" s="193"/>
      <c r="G207" s="193"/>
      <c r="H207" s="193"/>
      <c r="I207" s="193"/>
      <c r="J207" s="193"/>
      <c r="K207" s="193"/>
      <c r="L207" s="193"/>
      <c r="M207" s="193"/>
      <c r="N207" s="193"/>
      <c r="O207" s="193"/>
      <c r="P207" s="193"/>
      <c r="Q207" s="193"/>
      <c r="R207" s="193"/>
      <c r="S207" s="193"/>
      <c r="T207" s="193"/>
      <c r="U207" s="193"/>
      <c r="V207" s="193"/>
      <c r="W207" s="193"/>
      <c r="X207" s="193"/>
      <c r="Y207" s="193"/>
      <c r="Z207" s="193"/>
      <c r="AA207" s="193"/>
      <c r="AB207" s="193"/>
      <c r="AC207" s="193"/>
      <c r="AD207" s="193"/>
      <c r="AE207" s="193"/>
      <c r="AF207" s="193"/>
      <c r="AG207" s="193"/>
      <c r="AH207" s="193"/>
      <c r="AI207" s="193"/>
      <c r="AJ207" s="193"/>
      <c r="AK207" s="193"/>
      <c r="AL207" s="193"/>
      <c r="AM207" s="193"/>
      <c r="AN207" s="193"/>
      <c r="AO207" s="193"/>
      <c r="AP207" s="193"/>
      <c r="AQ207" s="193"/>
      <c r="AR207" s="193"/>
      <c r="AS207" s="193"/>
      <c r="AT207" s="193"/>
      <c r="AU207" s="193"/>
      <c r="AV207" s="193"/>
      <c r="AW207" s="193"/>
      <c r="AX207" s="193"/>
      <c r="AY207" s="193"/>
      <c r="AZ207" s="193"/>
      <c r="BA207" s="193"/>
      <c r="BB207" s="193"/>
      <c r="BC207" s="193"/>
      <c r="BD207" s="193"/>
      <c r="BE207" s="193"/>
      <c r="BF207" s="193"/>
      <c r="BG207" s="193"/>
      <c r="BH207" s="193"/>
      <c r="BI207" s="193"/>
      <c r="BJ207" s="193"/>
      <c r="BK207" s="193"/>
      <c r="BL207" s="193"/>
      <c r="BM207" s="193"/>
      <c r="BN207" s="193"/>
      <c r="BO207" s="193"/>
      <c r="BP207" s="193"/>
      <c r="BQ207" s="193"/>
      <c r="BR207" s="193"/>
      <c r="BS207" s="193"/>
      <c r="BT207" s="193"/>
      <c r="BU207" s="193"/>
      <c r="BV207" s="193"/>
      <c r="BW207" s="193"/>
      <c r="BX207" s="193"/>
      <c r="BY207" s="193"/>
      <c r="BZ207" s="193"/>
      <c r="CA207" s="193"/>
      <c r="CB207" s="963"/>
      <c r="CC207" s="193"/>
      <c r="CD207" s="193"/>
      <c r="CE207" s="193"/>
      <c r="CL207" s="334"/>
      <c r="CS207" s="158"/>
      <c r="CT207" s="158"/>
      <c r="CU207" s="158"/>
      <c r="CV207" s="316"/>
      <c r="DC207" s="334"/>
      <c r="DI207" s="158"/>
      <c r="DJ207" s="316"/>
      <c r="DQ207" s="334"/>
      <c r="DW207" s="158"/>
      <c r="EE207" s="334"/>
      <c r="EK207" s="158"/>
      <c r="EY207" s="158"/>
      <c r="FF207" s="816"/>
    </row>
    <row r="208" spans="2:162" s="192" customFormat="1" ht="18" customHeight="1">
      <c r="B208" s="193"/>
      <c r="C208" s="193"/>
      <c r="D208" s="193"/>
      <c r="E208" s="194"/>
      <c r="F208" s="193"/>
      <c r="G208" s="193"/>
      <c r="H208" s="193"/>
      <c r="I208" s="193"/>
      <c r="J208" s="193"/>
      <c r="K208" s="193"/>
      <c r="L208" s="193"/>
      <c r="M208" s="193"/>
      <c r="N208" s="193"/>
      <c r="O208" s="193"/>
      <c r="P208" s="193"/>
      <c r="Q208" s="193"/>
      <c r="R208" s="193"/>
      <c r="S208" s="193"/>
      <c r="T208" s="193"/>
      <c r="U208" s="193"/>
      <c r="V208" s="193"/>
      <c r="W208" s="193"/>
      <c r="X208" s="193"/>
      <c r="Y208" s="193"/>
      <c r="Z208" s="193"/>
      <c r="AA208" s="193"/>
      <c r="AB208" s="193"/>
      <c r="AC208" s="193"/>
      <c r="AD208" s="193"/>
      <c r="AE208" s="193"/>
      <c r="AF208" s="193"/>
      <c r="AG208" s="193"/>
      <c r="AH208" s="193"/>
      <c r="AI208" s="193"/>
      <c r="AJ208" s="193"/>
      <c r="AK208" s="193"/>
      <c r="AL208" s="193"/>
      <c r="AM208" s="193"/>
      <c r="AN208" s="193"/>
      <c r="AO208" s="193"/>
      <c r="AP208" s="193"/>
      <c r="AQ208" s="193"/>
      <c r="AR208" s="193"/>
      <c r="AS208" s="193"/>
      <c r="AT208" s="193"/>
      <c r="AU208" s="193"/>
      <c r="AV208" s="193"/>
      <c r="AW208" s="193"/>
      <c r="AX208" s="193"/>
      <c r="AY208" s="193"/>
      <c r="AZ208" s="193"/>
      <c r="BA208" s="193"/>
      <c r="BB208" s="193"/>
      <c r="BC208" s="193"/>
      <c r="BD208" s="193"/>
      <c r="BE208" s="193"/>
      <c r="BF208" s="193"/>
      <c r="BG208" s="193"/>
      <c r="BH208" s="193"/>
      <c r="BI208" s="193"/>
      <c r="BJ208" s="193"/>
      <c r="BK208" s="193"/>
      <c r="BL208" s="193"/>
      <c r="BM208" s="193"/>
      <c r="BN208" s="193"/>
      <c r="BO208" s="193"/>
      <c r="BP208" s="193"/>
      <c r="BQ208" s="193"/>
      <c r="BR208" s="193"/>
      <c r="BS208" s="193"/>
      <c r="BT208" s="193"/>
      <c r="BU208" s="193"/>
      <c r="BV208" s="193"/>
      <c r="BW208" s="193"/>
      <c r="BX208" s="193"/>
      <c r="BY208" s="193"/>
      <c r="BZ208" s="193"/>
      <c r="CA208" s="193"/>
      <c r="CB208" s="963"/>
      <c r="CC208" s="193"/>
      <c r="CD208" s="193"/>
      <c r="CE208" s="193"/>
      <c r="CL208" s="334"/>
      <c r="CS208" s="158"/>
      <c r="CT208" s="158"/>
      <c r="CU208" s="158"/>
      <c r="CV208" s="316"/>
      <c r="DC208" s="334"/>
      <c r="DI208" s="158"/>
      <c r="DJ208" s="316"/>
      <c r="DQ208" s="334"/>
      <c r="DW208" s="158"/>
      <c r="EE208" s="334"/>
      <c r="EK208" s="158"/>
      <c r="EY208" s="158"/>
      <c r="FF208" s="816"/>
    </row>
    <row r="209" spans="2:162" s="192" customFormat="1" ht="18" customHeight="1">
      <c r="B209" s="193"/>
      <c r="C209" s="193"/>
      <c r="D209" s="193"/>
      <c r="E209" s="194"/>
      <c r="F209" s="193"/>
      <c r="G209" s="193"/>
      <c r="H209" s="193"/>
      <c r="I209" s="193"/>
      <c r="J209" s="193"/>
      <c r="K209" s="193"/>
      <c r="L209" s="193"/>
      <c r="M209" s="193"/>
      <c r="N209" s="193"/>
      <c r="O209" s="193"/>
      <c r="P209" s="193"/>
      <c r="Q209" s="193"/>
      <c r="R209" s="193"/>
      <c r="S209" s="193"/>
      <c r="T209" s="193"/>
      <c r="U209" s="193"/>
      <c r="V209" s="193"/>
      <c r="W209" s="193"/>
      <c r="X209" s="193"/>
      <c r="Y209" s="193"/>
      <c r="Z209" s="193"/>
      <c r="AA209" s="193"/>
      <c r="AB209" s="193"/>
      <c r="AC209" s="193"/>
      <c r="AD209" s="193"/>
      <c r="AE209" s="193"/>
      <c r="AF209" s="193"/>
      <c r="AG209" s="193"/>
      <c r="AH209" s="193"/>
      <c r="AI209" s="193"/>
      <c r="AJ209" s="193"/>
      <c r="AK209" s="193"/>
      <c r="AL209" s="193"/>
      <c r="AM209" s="193"/>
      <c r="AN209" s="193"/>
      <c r="AO209" s="193"/>
      <c r="AP209" s="193"/>
      <c r="AQ209" s="193"/>
      <c r="AR209" s="193"/>
      <c r="AS209" s="193"/>
      <c r="AT209" s="193"/>
      <c r="AU209" s="193"/>
      <c r="AV209" s="193"/>
      <c r="AW209" s="193"/>
      <c r="AX209" s="193"/>
      <c r="AY209" s="193"/>
      <c r="AZ209" s="193"/>
      <c r="BA209" s="193"/>
      <c r="BB209" s="193"/>
      <c r="BC209" s="193"/>
      <c r="BD209" s="193"/>
      <c r="BE209" s="193"/>
      <c r="BF209" s="193"/>
      <c r="BG209" s="193"/>
      <c r="BH209" s="193"/>
      <c r="BI209" s="193"/>
      <c r="BJ209" s="193"/>
      <c r="BK209" s="193"/>
      <c r="BL209" s="193"/>
      <c r="BM209" s="193"/>
      <c r="BN209" s="193"/>
      <c r="BO209" s="193"/>
      <c r="BP209" s="193"/>
      <c r="BQ209" s="193"/>
      <c r="BR209" s="193"/>
      <c r="BS209" s="193"/>
      <c r="BT209" s="193"/>
      <c r="BU209" s="193"/>
      <c r="BV209" s="193"/>
      <c r="BW209" s="193"/>
      <c r="BX209" s="193"/>
      <c r="BY209" s="193"/>
      <c r="BZ209" s="193"/>
      <c r="CA209" s="193"/>
      <c r="CB209" s="963"/>
      <c r="CC209" s="193"/>
      <c r="CD209" s="193"/>
      <c r="CE209" s="193"/>
      <c r="CL209" s="334"/>
      <c r="CS209" s="158"/>
      <c r="CT209" s="158"/>
      <c r="CU209" s="158"/>
      <c r="CV209" s="316"/>
      <c r="DC209" s="334"/>
      <c r="DI209" s="158"/>
      <c r="DJ209" s="316"/>
      <c r="DQ209" s="334"/>
      <c r="DW209" s="158"/>
      <c r="EE209" s="334"/>
      <c r="EK209" s="158"/>
      <c r="EY209" s="158"/>
      <c r="FF209" s="816"/>
    </row>
    <row r="210" spans="2:162" s="192" customFormat="1" ht="18" customHeight="1">
      <c r="B210" s="193"/>
      <c r="C210" s="193"/>
      <c r="D210" s="193"/>
      <c r="E210" s="194"/>
      <c r="F210" s="193"/>
      <c r="G210" s="193"/>
      <c r="H210" s="193"/>
      <c r="I210" s="193"/>
      <c r="J210" s="193"/>
      <c r="K210" s="193"/>
      <c r="L210" s="193"/>
      <c r="M210" s="193"/>
      <c r="N210" s="193"/>
      <c r="O210" s="193"/>
      <c r="P210" s="193"/>
      <c r="Q210" s="193"/>
      <c r="R210" s="193"/>
      <c r="S210" s="193"/>
      <c r="T210" s="193"/>
      <c r="U210" s="193"/>
      <c r="V210" s="193"/>
      <c r="W210" s="193"/>
      <c r="X210" s="193"/>
      <c r="Y210" s="193"/>
      <c r="Z210" s="193"/>
      <c r="AA210" s="193"/>
      <c r="AB210" s="193"/>
      <c r="AC210" s="193"/>
      <c r="AD210" s="193"/>
      <c r="AE210" s="193"/>
      <c r="AF210" s="193"/>
      <c r="AG210" s="193"/>
      <c r="AH210" s="193"/>
      <c r="AI210" s="193"/>
      <c r="AJ210" s="193"/>
      <c r="AK210" s="193"/>
      <c r="AL210" s="193"/>
      <c r="AM210" s="193"/>
      <c r="AN210" s="193"/>
      <c r="AO210" s="193"/>
      <c r="AP210" s="193"/>
      <c r="AQ210" s="193"/>
      <c r="AR210" s="193"/>
      <c r="AS210" s="193"/>
      <c r="AT210" s="193"/>
      <c r="AU210" s="193"/>
      <c r="AV210" s="193"/>
      <c r="AW210" s="193"/>
      <c r="AX210" s="193"/>
      <c r="AY210" s="193"/>
      <c r="AZ210" s="193"/>
      <c r="BA210" s="193"/>
      <c r="BB210" s="193"/>
      <c r="BC210" s="193"/>
      <c r="BD210" s="193"/>
      <c r="BE210" s="193"/>
      <c r="BF210" s="193"/>
      <c r="BG210" s="193"/>
      <c r="BH210" s="193"/>
      <c r="BI210" s="193"/>
      <c r="BJ210" s="193"/>
      <c r="BK210" s="193"/>
      <c r="BL210" s="193"/>
      <c r="BM210" s="193"/>
      <c r="BN210" s="193"/>
      <c r="BO210" s="193"/>
      <c r="BP210" s="193"/>
      <c r="BQ210" s="193"/>
      <c r="BR210" s="193"/>
      <c r="BS210" s="193"/>
      <c r="BT210" s="193"/>
      <c r="BU210" s="193"/>
      <c r="BV210" s="193"/>
      <c r="BW210" s="193"/>
      <c r="BX210" s="193"/>
      <c r="BY210" s="193"/>
      <c r="BZ210" s="193"/>
      <c r="CA210" s="193"/>
      <c r="CB210" s="963"/>
      <c r="CC210" s="193"/>
      <c r="CD210" s="193"/>
      <c r="CE210" s="193"/>
      <c r="CL210" s="334"/>
      <c r="CS210" s="158"/>
      <c r="CT210" s="158"/>
      <c r="CU210" s="158"/>
      <c r="CV210" s="316"/>
      <c r="DC210" s="334"/>
      <c r="DI210" s="158"/>
      <c r="DJ210" s="316"/>
      <c r="DQ210" s="334"/>
      <c r="DW210" s="158"/>
      <c r="EE210" s="334"/>
      <c r="EK210" s="158"/>
      <c r="EY210" s="158"/>
      <c r="FF210" s="816"/>
    </row>
    <row r="211" spans="2:162" s="192" customFormat="1" ht="18" customHeight="1">
      <c r="B211" s="193"/>
      <c r="C211" s="193"/>
      <c r="D211" s="193"/>
      <c r="E211" s="194"/>
      <c r="F211" s="193"/>
      <c r="G211" s="193"/>
      <c r="H211" s="193"/>
      <c r="I211" s="193"/>
      <c r="J211" s="193"/>
      <c r="K211" s="193"/>
      <c r="L211" s="193"/>
      <c r="M211" s="193"/>
      <c r="N211" s="193"/>
      <c r="O211" s="193"/>
      <c r="P211" s="193"/>
      <c r="Q211" s="193"/>
      <c r="R211" s="193"/>
      <c r="S211" s="193"/>
      <c r="T211" s="193"/>
      <c r="U211" s="193"/>
      <c r="V211" s="193"/>
      <c r="W211" s="193"/>
      <c r="X211" s="193"/>
      <c r="Y211" s="193"/>
      <c r="Z211" s="193"/>
      <c r="AA211" s="193"/>
      <c r="AB211" s="193"/>
      <c r="AC211" s="193"/>
      <c r="AD211" s="193"/>
      <c r="AE211" s="193"/>
      <c r="AF211" s="193"/>
      <c r="AG211" s="193"/>
      <c r="AH211" s="193"/>
      <c r="AI211" s="193"/>
      <c r="AJ211" s="193"/>
      <c r="AK211" s="193"/>
      <c r="AL211" s="193"/>
      <c r="AM211" s="193"/>
      <c r="AN211" s="193"/>
      <c r="AO211" s="193"/>
      <c r="AP211" s="193"/>
      <c r="AQ211" s="193"/>
      <c r="AR211" s="193"/>
      <c r="AS211" s="193"/>
      <c r="AT211" s="193"/>
      <c r="AU211" s="193"/>
      <c r="AV211" s="193"/>
      <c r="AW211" s="193"/>
      <c r="AX211" s="193"/>
      <c r="AY211" s="193"/>
      <c r="AZ211" s="193"/>
      <c r="BA211" s="193"/>
      <c r="BB211" s="193"/>
      <c r="BC211" s="193"/>
      <c r="BD211" s="193"/>
      <c r="BE211" s="193"/>
      <c r="BF211" s="193"/>
      <c r="BG211" s="193"/>
      <c r="BH211" s="193"/>
      <c r="BI211" s="193"/>
      <c r="BJ211" s="193"/>
      <c r="BK211" s="193"/>
      <c r="BL211" s="193"/>
      <c r="BM211" s="193"/>
      <c r="BN211" s="193"/>
      <c r="BO211" s="193"/>
      <c r="BP211" s="193"/>
      <c r="BQ211" s="193"/>
      <c r="BR211" s="193"/>
      <c r="BS211" s="193"/>
      <c r="BT211" s="193"/>
      <c r="BU211" s="193"/>
      <c r="BV211" s="193"/>
      <c r="BW211" s="193"/>
      <c r="BX211" s="193"/>
      <c r="BY211" s="193"/>
      <c r="BZ211" s="193"/>
      <c r="CA211" s="193"/>
      <c r="CB211" s="963"/>
      <c r="CC211" s="193"/>
      <c r="CD211" s="193"/>
      <c r="CE211" s="193"/>
      <c r="CL211" s="334"/>
      <c r="CS211" s="158"/>
      <c r="CT211" s="158"/>
      <c r="CU211" s="158"/>
      <c r="CV211" s="316"/>
      <c r="DC211" s="334"/>
      <c r="DI211" s="158"/>
      <c r="DJ211" s="316"/>
      <c r="DQ211" s="334"/>
      <c r="DW211" s="158"/>
      <c r="EE211" s="334"/>
      <c r="EK211" s="158"/>
      <c r="EY211" s="158"/>
      <c r="FF211" s="816"/>
    </row>
    <row r="212" spans="2:162" s="192" customFormat="1" ht="18" customHeight="1">
      <c r="B212" s="193"/>
      <c r="C212" s="193"/>
      <c r="D212" s="193"/>
      <c r="E212" s="194"/>
      <c r="F212" s="193"/>
      <c r="G212" s="193"/>
      <c r="H212" s="193"/>
      <c r="I212" s="193"/>
      <c r="J212" s="193"/>
      <c r="K212" s="193"/>
      <c r="L212" s="193"/>
      <c r="M212" s="193"/>
      <c r="N212" s="193"/>
      <c r="O212" s="193"/>
      <c r="P212" s="193"/>
      <c r="Q212" s="193"/>
      <c r="R212" s="193"/>
      <c r="S212" s="193"/>
      <c r="T212" s="193"/>
      <c r="U212" s="193"/>
      <c r="V212" s="193"/>
      <c r="W212" s="193"/>
      <c r="X212" s="193"/>
      <c r="Y212" s="193"/>
      <c r="Z212" s="193"/>
      <c r="AA212" s="193"/>
      <c r="AB212" s="193"/>
      <c r="AC212" s="193"/>
      <c r="AD212" s="193"/>
      <c r="AE212" s="193"/>
      <c r="AF212" s="193"/>
      <c r="AG212" s="193"/>
      <c r="AH212" s="193"/>
      <c r="AI212" s="193"/>
      <c r="AJ212" s="193"/>
      <c r="AK212" s="193"/>
      <c r="AL212" s="193"/>
      <c r="AM212" s="193"/>
      <c r="AN212" s="193"/>
      <c r="AO212" s="193"/>
      <c r="AP212" s="193"/>
      <c r="AQ212" s="193"/>
      <c r="AR212" s="193"/>
      <c r="AS212" s="193"/>
      <c r="AT212" s="193"/>
      <c r="AU212" s="193"/>
      <c r="AV212" s="193"/>
      <c r="AW212" s="193"/>
      <c r="AX212" s="193"/>
      <c r="AY212" s="193"/>
      <c r="AZ212" s="193"/>
      <c r="BA212" s="193"/>
      <c r="BB212" s="193"/>
      <c r="BC212" s="193"/>
      <c r="BD212" s="193"/>
      <c r="BE212" s="193"/>
      <c r="BF212" s="193"/>
      <c r="BG212" s="193"/>
      <c r="BH212" s="193"/>
      <c r="BI212" s="193"/>
      <c r="BJ212" s="193"/>
      <c r="BK212" s="193"/>
      <c r="BL212" s="193"/>
      <c r="BM212" s="193"/>
      <c r="BN212" s="193"/>
      <c r="BO212" s="193"/>
      <c r="BP212" s="193"/>
      <c r="BQ212" s="193"/>
      <c r="BR212" s="193"/>
      <c r="BS212" s="193"/>
      <c r="BT212" s="193"/>
      <c r="BU212" s="193"/>
      <c r="BV212" s="193"/>
      <c r="BW212" s="193"/>
      <c r="BX212" s="193"/>
      <c r="BY212" s="193"/>
      <c r="BZ212" s="193"/>
      <c r="CA212" s="193"/>
      <c r="CB212" s="963"/>
      <c r="CC212" s="193"/>
      <c r="CD212" s="193"/>
      <c r="CE212" s="193"/>
      <c r="CL212" s="334"/>
      <c r="CS212" s="158"/>
      <c r="CT212" s="158"/>
      <c r="CU212" s="158"/>
      <c r="CV212" s="316"/>
      <c r="DC212" s="334"/>
      <c r="DI212" s="158"/>
      <c r="DJ212" s="316"/>
      <c r="DQ212" s="334"/>
      <c r="DW212" s="158"/>
      <c r="EE212" s="334"/>
      <c r="EK212" s="158"/>
      <c r="EY212" s="158"/>
      <c r="FF212" s="816"/>
    </row>
    <row r="213" spans="2:162" s="192" customFormat="1" ht="18" customHeight="1">
      <c r="B213" s="193"/>
      <c r="C213" s="193"/>
      <c r="D213" s="193"/>
      <c r="E213" s="194"/>
      <c r="F213" s="193"/>
      <c r="G213" s="193"/>
      <c r="H213" s="193"/>
      <c r="I213" s="193"/>
      <c r="J213" s="193"/>
      <c r="K213" s="193"/>
      <c r="L213" s="193"/>
      <c r="M213" s="193"/>
      <c r="N213" s="193"/>
      <c r="O213" s="193"/>
      <c r="P213" s="193"/>
      <c r="Q213" s="193"/>
      <c r="R213" s="193"/>
      <c r="S213" s="193"/>
      <c r="T213" s="193"/>
      <c r="U213" s="193"/>
      <c r="V213" s="193"/>
      <c r="W213" s="193"/>
      <c r="X213" s="193"/>
      <c r="Y213" s="193"/>
      <c r="Z213" s="193"/>
      <c r="AA213" s="193"/>
      <c r="AB213" s="193"/>
      <c r="AC213" s="193"/>
      <c r="AD213" s="193"/>
      <c r="AE213" s="193"/>
      <c r="AF213" s="193"/>
      <c r="AG213" s="193"/>
      <c r="AH213" s="193"/>
      <c r="AI213" s="193"/>
      <c r="AJ213" s="193"/>
      <c r="AK213" s="193"/>
      <c r="AL213" s="193"/>
      <c r="AM213" s="193"/>
      <c r="AN213" s="193"/>
      <c r="AO213" s="193"/>
      <c r="AP213" s="193"/>
      <c r="AQ213" s="193"/>
      <c r="AR213" s="193"/>
      <c r="AS213" s="193"/>
      <c r="AT213" s="193"/>
      <c r="AU213" s="193"/>
      <c r="AV213" s="193"/>
      <c r="AW213" s="193"/>
      <c r="AX213" s="193"/>
      <c r="AY213" s="193"/>
      <c r="AZ213" s="193"/>
      <c r="BA213" s="193"/>
      <c r="BB213" s="193"/>
      <c r="BC213" s="193"/>
      <c r="BD213" s="193"/>
      <c r="BE213" s="193"/>
      <c r="BF213" s="193"/>
      <c r="BG213" s="193"/>
      <c r="BH213" s="193"/>
      <c r="BI213" s="193"/>
      <c r="BJ213" s="193"/>
      <c r="BK213" s="193"/>
      <c r="BL213" s="193"/>
      <c r="BM213" s="193"/>
      <c r="BN213" s="193"/>
      <c r="BO213" s="193"/>
      <c r="BP213" s="193"/>
      <c r="BQ213" s="193"/>
      <c r="BR213" s="193"/>
      <c r="BS213" s="193"/>
      <c r="BT213" s="193"/>
      <c r="BU213" s="193"/>
      <c r="BV213" s="193"/>
      <c r="BW213" s="193"/>
      <c r="BX213" s="193"/>
      <c r="BY213" s="193"/>
      <c r="BZ213" s="193"/>
      <c r="CA213" s="193"/>
      <c r="CB213" s="963"/>
      <c r="CC213" s="193"/>
      <c r="CD213" s="193"/>
      <c r="CE213" s="193"/>
      <c r="CL213" s="334"/>
      <c r="CS213" s="158"/>
      <c r="CT213" s="158"/>
      <c r="CU213" s="158"/>
      <c r="CV213" s="316"/>
      <c r="DC213" s="334"/>
      <c r="DI213" s="158"/>
      <c r="DJ213" s="316"/>
      <c r="DQ213" s="334"/>
      <c r="DW213" s="158"/>
      <c r="EE213" s="334"/>
      <c r="EK213" s="158"/>
      <c r="EY213" s="158"/>
      <c r="FF213" s="816"/>
    </row>
    <row r="214" spans="2:162" s="192" customFormat="1" ht="18" customHeight="1">
      <c r="B214" s="193"/>
      <c r="C214" s="193"/>
      <c r="D214" s="193"/>
      <c r="E214" s="194"/>
      <c r="F214" s="193"/>
      <c r="G214" s="193"/>
      <c r="H214" s="193"/>
      <c r="I214" s="193"/>
      <c r="J214" s="193"/>
      <c r="K214" s="193"/>
      <c r="L214" s="193"/>
      <c r="M214" s="193"/>
      <c r="N214" s="193"/>
      <c r="O214" s="193"/>
      <c r="P214" s="193"/>
      <c r="Q214" s="193"/>
      <c r="R214" s="193"/>
      <c r="S214" s="193"/>
      <c r="T214" s="193"/>
      <c r="U214" s="193"/>
      <c r="V214" s="193"/>
      <c r="W214" s="193"/>
      <c r="X214" s="193"/>
      <c r="Y214" s="193"/>
      <c r="Z214" s="193"/>
      <c r="AA214" s="193"/>
      <c r="AB214" s="193"/>
      <c r="AC214" s="193"/>
      <c r="AD214" s="193"/>
      <c r="AE214" s="193"/>
      <c r="AF214" s="193"/>
      <c r="AG214" s="193"/>
      <c r="AH214" s="193"/>
      <c r="AI214" s="193"/>
      <c r="AJ214" s="193"/>
      <c r="AK214" s="193"/>
      <c r="AL214" s="193"/>
      <c r="AM214" s="193"/>
      <c r="AN214" s="193"/>
      <c r="AO214" s="193"/>
      <c r="AP214" s="193"/>
      <c r="AQ214" s="193"/>
      <c r="AR214" s="193"/>
      <c r="AS214" s="193"/>
      <c r="AT214" s="193"/>
      <c r="AU214" s="193"/>
      <c r="AV214" s="193"/>
      <c r="AW214" s="193"/>
      <c r="AX214" s="193"/>
      <c r="AY214" s="193"/>
      <c r="AZ214" s="193"/>
      <c r="BA214" s="193"/>
      <c r="BB214" s="193"/>
      <c r="BC214" s="193"/>
      <c r="BD214" s="193"/>
      <c r="BE214" s="193"/>
      <c r="BF214" s="193"/>
      <c r="BG214" s="193"/>
      <c r="BH214" s="193"/>
      <c r="BI214" s="193"/>
      <c r="BJ214" s="193"/>
      <c r="BK214" s="193"/>
      <c r="BL214" s="193"/>
      <c r="BM214" s="193"/>
      <c r="BN214" s="193"/>
      <c r="BO214" s="193"/>
      <c r="BP214" s="193"/>
      <c r="BQ214" s="193"/>
      <c r="BR214" s="193"/>
      <c r="BS214" s="193"/>
      <c r="BT214" s="193"/>
      <c r="BU214" s="193"/>
      <c r="BV214" s="193"/>
      <c r="BW214" s="193"/>
      <c r="BX214" s="193"/>
      <c r="BY214" s="193"/>
      <c r="BZ214" s="193"/>
      <c r="CA214" s="193"/>
      <c r="CB214" s="963"/>
      <c r="CC214" s="193"/>
      <c r="CD214" s="193"/>
      <c r="CE214" s="193"/>
      <c r="CL214" s="334"/>
      <c r="CS214" s="158"/>
      <c r="CT214" s="158"/>
      <c r="CU214" s="158"/>
      <c r="CV214" s="316"/>
      <c r="DC214" s="334"/>
      <c r="DI214" s="158"/>
      <c r="DJ214" s="316"/>
      <c r="DQ214" s="334"/>
      <c r="DW214" s="158"/>
      <c r="EE214" s="334"/>
      <c r="EK214" s="158"/>
      <c r="EY214" s="158"/>
      <c r="FF214" s="816"/>
    </row>
    <row r="215" spans="2:162" s="192" customFormat="1" ht="18" customHeight="1">
      <c r="B215" s="193"/>
      <c r="C215" s="193"/>
      <c r="D215" s="193"/>
      <c r="E215" s="194"/>
      <c r="F215" s="193"/>
      <c r="G215" s="193"/>
      <c r="H215" s="193"/>
      <c r="I215" s="193"/>
      <c r="J215" s="193"/>
      <c r="K215" s="193"/>
      <c r="L215" s="193"/>
      <c r="M215" s="193"/>
      <c r="N215" s="193"/>
      <c r="O215" s="193"/>
      <c r="P215" s="193"/>
      <c r="Q215" s="193"/>
      <c r="R215" s="193"/>
      <c r="S215" s="193"/>
      <c r="T215" s="193"/>
      <c r="U215" s="193"/>
      <c r="V215" s="193"/>
      <c r="W215" s="193"/>
      <c r="X215" s="193"/>
      <c r="Y215" s="193"/>
      <c r="Z215" s="193"/>
      <c r="AA215" s="193"/>
      <c r="AB215" s="193"/>
      <c r="AC215" s="193"/>
      <c r="AD215" s="193"/>
      <c r="AE215" s="193"/>
      <c r="AF215" s="193"/>
      <c r="AG215" s="193"/>
      <c r="AH215" s="193"/>
      <c r="AI215" s="193"/>
      <c r="AJ215" s="193"/>
      <c r="AK215" s="193"/>
      <c r="AL215" s="193"/>
      <c r="AM215" s="193"/>
      <c r="AN215" s="193"/>
      <c r="AO215" s="193"/>
      <c r="AP215" s="193"/>
      <c r="AQ215" s="193"/>
      <c r="AR215" s="193"/>
      <c r="AS215" s="193"/>
      <c r="AT215" s="193"/>
      <c r="AU215" s="193"/>
      <c r="AV215" s="193"/>
      <c r="AW215" s="193"/>
      <c r="AX215" s="193"/>
      <c r="AY215" s="193"/>
      <c r="AZ215" s="193"/>
      <c r="BA215" s="193"/>
      <c r="BB215" s="193"/>
      <c r="BC215" s="193"/>
      <c r="BD215" s="193"/>
      <c r="BE215" s="193"/>
      <c r="BF215" s="193"/>
      <c r="BG215" s="193"/>
      <c r="BH215" s="193"/>
      <c r="BI215" s="193"/>
      <c r="BJ215" s="193"/>
      <c r="BK215" s="193"/>
      <c r="BL215" s="193"/>
      <c r="BM215" s="193"/>
      <c r="BN215" s="193"/>
      <c r="BO215" s="193"/>
      <c r="BP215" s="193"/>
      <c r="BQ215" s="193"/>
      <c r="BR215" s="193"/>
      <c r="BS215" s="193"/>
      <c r="BT215" s="193"/>
      <c r="BU215" s="193"/>
      <c r="BV215" s="193"/>
      <c r="BW215" s="193"/>
      <c r="BX215" s="193"/>
      <c r="BY215" s="193"/>
      <c r="BZ215" s="193"/>
      <c r="CA215" s="193"/>
      <c r="CB215" s="963"/>
      <c r="CC215" s="193"/>
      <c r="CD215" s="193"/>
      <c r="CE215" s="193"/>
      <c r="CL215" s="334"/>
      <c r="CS215" s="158"/>
      <c r="CT215" s="158"/>
      <c r="CU215" s="158"/>
      <c r="CV215" s="316"/>
      <c r="DC215" s="334"/>
      <c r="DI215" s="158"/>
      <c r="DJ215" s="316"/>
      <c r="DQ215" s="334"/>
      <c r="DW215" s="158"/>
      <c r="EE215" s="334"/>
      <c r="EK215" s="158"/>
      <c r="EY215" s="158"/>
      <c r="FF215" s="816"/>
    </row>
    <row r="216" spans="2:162" s="192" customFormat="1" ht="18" customHeight="1">
      <c r="B216" s="193"/>
      <c r="C216" s="193"/>
      <c r="D216" s="193"/>
      <c r="E216" s="194"/>
      <c r="F216" s="193"/>
      <c r="G216" s="193"/>
      <c r="H216" s="193"/>
      <c r="I216" s="193"/>
      <c r="J216" s="193"/>
      <c r="K216" s="193"/>
      <c r="L216" s="193"/>
      <c r="M216" s="193"/>
      <c r="N216" s="193"/>
      <c r="O216" s="193"/>
      <c r="P216" s="193"/>
      <c r="Q216" s="193"/>
      <c r="R216" s="193"/>
      <c r="S216" s="193"/>
      <c r="T216" s="193"/>
      <c r="U216" s="193"/>
      <c r="V216" s="193"/>
      <c r="W216" s="193"/>
      <c r="X216" s="193"/>
      <c r="Y216" s="193"/>
      <c r="Z216" s="193"/>
      <c r="AA216" s="193"/>
      <c r="AB216" s="193"/>
      <c r="AC216" s="193"/>
      <c r="AD216" s="193"/>
      <c r="AE216" s="193"/>
      <c r="AF216" s="193"/>
      <c r="AG216" s="193"/>
      <c r="AH216" s="193"/>
      <c r="AI216" s="193"/>
      <c r="AJ216" s="193"/>
      <c r="AK216" s="193"/>
      <c r="AL216" s="193"/>
      <c r="AM216" s="193"/>
      <c r="AN216" s="193"/>
      <c r="AO216" s="193"/>
      <c r="AP216" s="193"/>
      <c r="AQ216" s="193"/>
      <c r="AR216" s="193"/>
      <c r="AS216" s="193"/>
      <c r="AT216" s="193"/>
      <c r="AU216" s="193"/>
      <c r="AV216" s="193"/>
      <c r="AW216" s="193"/>
      <c r="AX216" s="193"/>
      <c r="AY216" s="193"/>
      <c r="AZ216" s="193"/>
      <c r="BA216" s="193"/>
      <c r="BB216" s="193"/>
      <c r="BC216" s="193"/>
      <c r="BD216" s="193"/>
      <c r="BE216" s="193"/>
      <c r="BF216" s="193"/>
      <c r="BG216" s="193"/>
      <c r="BH216" s="193"/>
      <c r="BI216" s="193"/>
      <c r="BJ216" s="193"/>
      <c r="BK216" s="193"/>
      <c r="BL216" s="193"/>
      <c r="BM216" s="193"/>
      <c r="BN216" s="193"/>
      <c r="BO216" s="193"/>
      <c r="BP216" s="193"/>
      <c r="BQ216" s="193"/>
      <c r="BR216" s="193"/>
      <c r="BS216" s="193"/>
      <c r="BT216" s="193"/>
      <c r="BU216" s="193"/>
      <c r="BV216" s="193"/>
      <c r="BW216" s="193"/>
      <c r="BX216" s="193"/>
      <c r="BY216" s="193"/>
      <c r="BZ216" s="193"/>
      <c r="CA216" s="193"/>
      <c r="CB216" s="963"/>
      <c r="CC216" s="193"/>
      <c r="CD216" s="193"/>
      <c r="CE216" s="193"/>
      <c r="CL216" s="334"/>
      <c r="CS216" s="158"/>
      <c r="CT216" s="158"/>
      <c r="CU216" s="158"/>
      <c r="CV216" s="316"/>
      <c r="DC216" s="334"/>
      <c r="DI216" s="158"/>
      <c r="DJ216" s="316"/>
      <c r="DQ216" s="334"/>
      <c r="DW216" s="158"/>
      <c r="EE216" s="334"/>
      <c r="EK216" s="158"/>
      <c r="EY216" s="158"/>
      <c r="FF216" s="816"/>
    </row>
    <row r="217" spans="2:162" s="192" customFormat="1" ht="18" customHeight="1">
      <c r="B217" s="193"/>
      <c r="C217" s="193"/>
      <c r="D217" s="193"/>
      <c r="E217" s="194"/>
      <c r="F217" s="193"/>
      <c r="G217" s="193"/>
      <c r="H217" s="193"/>
      <c r="I217" s="193"/>
      <c r="J217" s="193"/>
      <c r="K217" s="193"/>
      <c r="L217" s="193"/>
      <c r="M217" s="193"/>
      <c r="N217" s="193"/>
      <c r="O217" s="193"/>
      <c r="P217" s="193"/>
      <c r="Q217" s="193"/>
      <c r="R217" s="193"/>
      <c r="S217" s="193"/>
      <c r="T217" s="193"/>
      <c r="U217" s="193"/>
      <c r="V217" s="193"/>
      <c r="W217" s="193"/>
      <c r="X217" s="193"/>
      <c r="Y217" s="193"/>
      <c r="Z217" s="193"/>
      <c r="AA217" s="193"/>
      <c r="AB217" s="193"/>
      <c r="AC217" s="193"/>
      <c r="AD217" s="193"/>
      <c r="AE217" s="193"/>
      <c r="AF217" s="193"/>
      <c r="AG217" s="193"/>
      <c r="AH217" s="193"/>
      <c r="AI217" s="193"/>
      <c r="AJ217" s="193"/>
      <c r="AK217" s="193"/>
      <c r="AL217" s="193"/>
      <c r="AM217" s="193"/>
      <c r="AN217" s="193"/>
      <c r="AO217" s="193"/>
      <c r="AP217" s="193"/>
      <c r="AQ217" s="193"/>
      <c r="AR217" s="193"/>
      <c r="AS217" s="193"/>
      <c r="AT217" s="193"/>
      <c r="AU217" s="193"/>
      <c r="AV217" s="193"/>
      <c r="AW217" s="193"/>
      <c r="AX217" s="193"/>
      <c r="AY217" s="193"/>
      <c r="AZ217" s="193"/>
      <c r="BA217" s="193"/>
      <c r="BB217" s="193"/>
      <c r="BC217" s="193"/>
      <c r="BD217" s="193"/>
      <c r="BE217" s="193"/>
      <c r="BF217" s="193"/>
      <c r="BG217" s="193"/>
      <c r="BH217" s="193"/>
      <c r="BI217" s="193"/>
      <c r="BJ217" s="193"/>
      <c r="BK217" s="193"/>
      <c r="BL217" s="193"/>
      <c r="BM217" s="193"/>
      <c r="BN217" s="193"/>
      <c r="BO217" s="193"/>
      <c r="BP217" s="193"/>
      <c r="BQ217" s="193"/>
      <c r="BR217" s="193"/>
      <c r="BS217" s="193"/>
      <c r="BT217" s="193"/>
      <c r="BU217" s="193"/>
      <c r="BV217" s="193"/>
      <c r="BW217" s="193"/>
      <c r="BX217" s="193"/>
      <c r="BY217" s="193"/>
      <c r="BZ217" s="193"/>
      <c r="CA217" s="193"/>
      <c r="CB217" s="963"/>
      <c r="CC217" s="193"/>
      <c r="CD217" s="193"/>
      <c r="CE217" s="193"/>
      <c r="CL217" s="334"/>
      <c r="CS217" s="158"/>
      <c r="CT217" s="158"/>
      <c r="CU217" s="158"/>
      <c r="CV217" s="316"/>
      <c r="DC217" s="334"/>
      <c r="DI217" s="158"/>
      <c r="DJ217" s="316"/>
      <c r="DQ217" s="334"/>
      <c r="DW217" s="158"/>
      <c r="EE217" s="334"/>
      <c r="EK217" s="158"/>
      <c r="EY217" s="158"/>
      <c r="FF217" s="816"/>
    </row>
    <row r="218" spans="2:162" s="192" customFormat="1" ht="18" customHeight="1">
      <c r="B218" s="193"/>
      <c r="C218" s="193"/>
      <c r="D218" s="193"/>
      <c r="E218" s="194"/>
      <c r="F218" s="193"/>
      <c r="G218" s="193"/>
      <c r="H218" s="193"/>
      <c r="I218" s="193"/>
      <c r="J218" s="193"/>
      <c r="K218" s="193"/>
      <c r="L218" s="193"/>
      <c r="M218" s="193"/>
      <c r="N218" s="193"/>
      <c r="O218" s="193"/>
      <c r="P218" s="193"/>
      <c r="Q218" s="193"/>
      <c r="R218" s="193"/>
      <c r="S218" s="193"/>
      <c r="T218" s="193"/>
      <c r="U218" s="193"/>
      <c r="V218" s="193"/>
      <c r="W218" s="193"/>
      <c r="X218" s="193"/>
      <c r="Y218" s="193"/>
      <c r="Z218" s="193"/>
      <c r="AA218" s="193"/>
      <c r="AB218" s="193"/>
      <c r="AC218" s="193"/>
      <c r="AD218" s="193"/>
      <c r="AE218" s="193"/>
      <c r="AF218" s="193"/>
      <c r="AG218" s="193"/>
      <c r="AH218" s="193"/>
      <c r="AI218" s="193"/>
      <c r="AJ218" s="193"/>
      <c r="AK218" s="193"/>
      <c r="AL218" s="193"/>
      <c r="AM218" s="193"/>
      <c r="AN218" s="193"/>
      <c r="AO218" s="193"/>
      <c r="AP218" s="193"/>
      <c r="AQ218" s="193"/>
      <c r="AR218" s="193"/>
      <c r="AS218" s="193"/>
      <c r="AT218" s="193"/>
      <c r="AU218" s="193"/>
      <c r="AV218" s="193"/>
      <c r="AW218" s="193"/>
      <c r="AX218" s="193"/>
      <c r="AY218" s="193"/>
      <c r="AZ218" s="193"/>
      <c r="BA218" s="193"/>
      <c r="BB218" s="193"/>
      <c r="BC218" s="193"/>
      <c r="BD218" s="193"/>
      <c r="BE218" s="193"/>
      <c r="BF218" s="193"/>
      <c r="BG218" s="193"/>
      <c r="BH218" s="193"/>
      <c r="BI218" s="193"/>
      <c r="BJ218" s="193"/>
      <c r="BK218" s="193"/>
      <c r="BL218" s="193"/>
      <c r="BM218" s="193"/>
      <c r="BN218" s="193"/>
      <c r="BO218" s="193"/>
      <c r="BP218" s="193"/>
      <c r="BQ218" s="193"/>
      <c r="BR218" s="193"/>
      <c r="BS218" s="193"/>
      <c r="BT218" s="193"/>
      <c r="BU218" s="193"/>
      <c r="BV218" s="193"/>
      <c r="BW218" s="193"/>
      <c r="BX218" s="193"/>
      <c r="BY218" s="193"/>
      <c r="BZ218" s="193"/>
      <c r="CA218" s="193"/>
      <c r="CB218" s="963"/>
      <c r="CC218" s="193"/>
      <c r="CD218" s="193"/>
      <c r="CE218" s="193"/>
      <c r="CL218" s="334"/>
      <c r="CS218" s="158"/>
      <c r="CT218" s="158"/>
      <c r="CU218" s="158"/>
      <c r="CV218" s="316"/>
      <c r="DC218" s="334"/>
      <c r="DI218" s="158"/>
      <c r="DJ218" s="316"/>
      <c r="DQ218" s="334"/>
      <c r="DW218" s="158"/>
      <c r="EE218" s="334"/>
      <c r="EK218" s="158"/>
      <c r="EY218" s="158"/>
      <c r="FF218" s="816"/>
    </row>
    <row r="219" spans="2:162" s="192" customFormat="1" ht="18" customHeight="1">
      <c r="B219" s="193"/>
      <c r="C219" s="193"/>
      <c r="D219" s="193"/>
      <c r="E219" s="194"/>
      <c r="F219" s="193"/>
      <c r="G219" s="193"/>
      <c r="H219" s="193"/>
      <c r="I219" s="193"/>
      <c r="J219" s="193"/>
      <c r="K219" s="193"/>
      <c r="L219" s="193"/>
      <c r="M219" s="193"/>
      <c r="N219" s="193"/>
      <c r="O219" s="193"/>
      <c r="P219" s="193"/>
      <c r="Q219" s="193"/>
      <c r="R219" s="193"/>
      <c r="S219" s="193"/>
      <c r="T219" s="193"/>
      <c r="U219" s="193"/>
      <c r="V219" s="193"/>
      <c r="W219" s="193"/>
      <c r="X219" s="193"/>
      <c r="Y219" s="193"/>
      <c r="Z219" s="193"/>
      <c r="AA219" s="193"/>
      <c r="AB219" s="193"/>
      <c r="AC219" s="193"/>
      <c r="AD219" s="193"/>
      <c r="AE219" s="193"/>
      <c r="AF219" s="193"/>
      <c r="AG219" s="193"/>
      <c r="AH219" s="193"/>
      <c r="AI219" s="193"/>
      <c r="AJ219" s="193"/>
      <c r="AK219" s="193"/>
      <c r="AL219" s="193"/>
      <c r="AM219" s="193"/>
      <c r="AN219" s="193"/>
      <c r="AO219" s="193"/>
      <c r="AP219" s="193"/>
      <c r="AQ219" s="193"/>
      <c r="AR219" s="193"/>
      <c r="AS219" s="193"/>
      <c r="AT219" s="193"/>
      <c r="AU219" s="193"/>
      <c r="AV219" s="193"/>
      <c r="AW219" s="193"/>
      <c r="AX219" s="193"/>
      <c r="AY219" s="193"/>
      <c r="AZ219" s="193"/>
      <c r="BA219" s="193"/>
      <c r="BB219" s="193"/>
      <c r="BC219" s="193"/>
      <c r="BD219" s="193"/>
      <c r="BE219" s="193"/>
      <c r="BF219" s="193"/>
      <c r="BG219" s="193"/>
      <c r="BH219" s="193"/>
      <c r="BI219" s="193"/>
      <c r="BJ219" s="193"/>
      <c r="BK219" s="193"/>
      <c r="BL219" s="193"/>
      <c r="BM219" s="193"/>
      <c r="BN219" s="193"/>
      <c r="BO219" s="193"/>
      <c r="BP219" s="193"/>
      <c r="BQ219" s="193"/>
      <c r="BR219" s="193"/>
      <c r="BS219" s="193"/>
      <c r="BT219" s="193"/>
      <c r="BU219" s="193"/>
      <c r="BV219" s="193"/>
      <c r="BW219" s="193"/>
      <c r="BX219" s="193"/>
      <c r="BY219" s="193"/>
      <c r="BZ219" s="193"/>
      <c r="CA219" s="193"/>
      <c r="CB219" s="963"/>
      <c r="CC219" s="193"/>
      <c r="CD219" s="193"/>
      <c r="CE219" s="193"/>
      <c r="CL219" s="334"/>
      <c r="CS219" s="158"/>
      <c r="CT219" s="158"/>
      <c r="CU219" s="158"/>
      <c r="CV219" s="316"/>
      <c r="DC219" s="334"/>
      <c r="DI219" s="158"/>
      <c r="DJ219" s="316"/>
      <c r="DQ219" s="334"/>
      <c r="DW219" s="158"/>
      <c r="EE219" s="334"/>
      <c r="EK219" s="158"/>
      <c r="EY219" s="158"/>
      <c r="FF219" s="816"/>
    </row>
    <row r="220" spans="2:162" s="192" customFormat="1" ht="18" customHeight="1">
      <c r="B220" s="193"/>
      <c r="C220" s="193"/>
      <c r="D220" s="193"/>
      <c r="E220" s="194"/>
      <c r="F220" s="193"/>
      <c r="G220" s="193"/>
      <c r="H220" s="193"/>
      <c r="I220" s="193"/>
      <c r="J220" s="193"/>
      <c r="K220" s="193"/>
      <c r="L220" s="193"/>
      <c r="M220" s="193"/>
      <c r="N220" s="193"/>
      <c r="O220" s="193"/>
      <c r="P220" s="193"/>
      <c r="Q220" s="193"/>
      <c r="R220" s="193"/>
      <c r="S220" s="193"/>
      <c r="T220" s="193"/>
      <c r="U220" s="193"/>
      <c r="V220" s="193"/>
      <c r="W220" s="193"/>
      <c r="X220" s="193"/>
      <c r="Y220" s="193"/>
      <c r="Z220" s="193"/>
      <c r="AA220" s="193"/>
      <c r="AB220" s="193"/>
      <c r="AC220" s="193"/>
      <c r="AD220" s="193"/>
      <c r="AE220" s="193"/>
      <c r="AF220" s="193"/>
      <c r="AG220" s="193"/>
      <c r="AH220" s="193"/>
      <c r="AI220" s="193"/>
      <c r="AJ220" s="193"/>
      <c r="AK220" s="193"/>
      <c r="AL220" s="193"/>
      <c r="AM220" s="193"/>
      <c r="AN220" s="193"/>
      <c r="AO220" s="193"/>
      <c r="AP220" s="193"/>
      <c r="AQ220" s="193"/>
      <c r="AR220" s="193"/>
      <c r="AS220" s="193"/>
      <c r="AT220" s="193"/>
      <c r="AU220" s="193"/>
      <c r="AV220" s="193"/>
      <c r="AW220" s="193"/>
      <c r="AX220" s="193"/>
      <c r="AY220" s="193"/>
      <c r="AZ220" s="193"/>
      <c r="BA220" s="193"/>
      <c r="BB220" s="193"/>
      <c r="BC220" s="193"/>
      <c r="BD220" s="193"/>
      <c r="BE220" s="193"/>
      <c r="BF220" s="193"/>
      <c r="BG220" s="193"/>
      <c r="BH220" s="193"/>
      <c r="BI220" s="193"/>
      <c r="BJ220" s="193"/>
      <c r="BK220" s="193"/>
      <c r="BL220" s="193"/>
      <c r="BM220" s="193"/>
      <c r="BN220" s="193"/>
      <c r="BO220" s="193"/>
      <c r="BP220" s="193"/>
      <c r="BQ220" s="193"/>
      <c r="BR220" s="193"/>
      <c r="BS220" s="193"/>
      <c r="BT220" s="193"/>
      <c r="BU220" s="193"/>
      <c r="BV220" s="193"/>
      <c r="BW220" s="193"/>
      <c r="BX220" s="193"/>
      <c r="BY220" s="193"/>
      <c r="BZ220" s="193"/>
      <c r="CA220" s="193"/>
      <c r="CB220" s="963"/>
      <c r="CC220" s="193"/>
      <c r="CD220" s="193"/>
      <c r="CE220" s="193"/>
      <c r="CL220" s="334"/>
      <c r="CS220" s="158"/>
      <c r="CT220" s="158"/>
      <c r="CU220" s="158"/>
      <c r="CV220" s="316"/>
      <c r="DC220" s="334"/>
      <c r="DI220" s="158"/>
      <c r="DJ220" s="316"/>
      <c r="DQ220" s="334"/>
      <c r="DW220" s="158"/>
      <c r="EE220" s="334"/>
      <c r="EK220" s="158"/>
      <c r="EY220" s="158"/>
      <c r="FF220" s="816"/>
    </row>
    <row r="221" spans="2:162" s="192" customFormat="1" ht="18" customHeight="1">
      <c r="B221" s="193"/>
      <c r="C221" s="193"/>
      <c r="D221" s="193"/>
      <c r="E221" s="194"/>
      <c r="F221" s="193"/>
      <c r="G221" s="193"/>
      <c r="H221" s="193"/>
      <c r="I221" s="193"/>
      <c r="J221" s="193"/>
      <c r="K221" s="193"/>
      <c r="L221" s="193"/>
      <c r="M221" s="193"/>
      <c r="N221" s="193"/>
      <c r="O221" s="193"/>
      <c r="P221" s="193"/>
      <c r="Q221" s="193"/>
      <c r="R221" s="193"/>
      <c r="S221" s="193"/>
      <c r="T221" s="193"/>
      <c r="U221" s="193"/>
      <c r="V221" s="193"/>
      <c r="W221" s="193"/>
      <c r="X221" s="193"/>
      <c r="Y221" s="193"/>
      <c r="Z221" s="193"/>
      <c r="AA221" s="193"/>
      <c r="AB221" s="193"/>
      <c r="AC221" s="193"/>
      <c r="AD221" s="193"/>
      <c r="AE221" s="193"/>
      <c r="AF221" s="193"/>
      <c r="AG221" s="193"/>
      <c r="AH221" s="193"/>
      <c r="AI221" s="193"/>
      <c r="AJ221" s="193"/>
      <c r="AK221" s="193"/>
      <c r="AL221" s="193"/>
      <c r="AM221" s="193"/>
      <c r="AN221" s="193"/>
      <c r="AO221" s="193"/>
      <c r="AP221" s="193"/>
      <c r="AQ221" s="193"/>
      <c r="AR221" s="193"/>
      <c r="AS221" s="193"/>
      <c r="AT221" s="193"/>
      <c r="AU221" s="193"/>
      <c r="AV221" s="193"/>
      <c r="AW221" s="193"/>
      <c r="AX221" s="193"/>
      <c r="AY221" s="193"/>
      <c r="AZ221" s="193"/>
      <c r="BA221" s="193"/>
      <c r="BB221" s="193"/>
      <c r="BC221" s="193"/>
      <c r="BD221" s="193"/>
      <c r="BE221" s="193"/>
      <c r="BF221" s="193"/>
      <c r="BG221" s="193"/>
      <c r="BH221" s="193"/>
      <c r="BI221" s="193"/>
      <c r="BJ221" s="193"/>
      <c r="BK221" s="193"/>
      <c r="BL221" s="193"/>
      <c r="BM221" s="193"/>
      <c r="BN221" s="193"/>
      <c r="BO221" s="193"/>
      <c r="BP221" s="193"/>
      <c r="BQ221" s="193"/>
      <c r="BR221" s="193"/>
      <c r="BS221" s="193"/>
      <c r="BT221" s="193"/>
      <c r="BU221" s="193"/>
      <c r="BV221" s="193"/>
      <c r="BW221" s="193"/>
      <c r="BX221" s="193"/>
      <c r="BY221" s="193"/>
      <c r="BZ221" s="193"/>
      <c r="CA221" s="193"/>
      <c r="CB221" s="963"/>
      <c r="CC221" s="193"/>
      <c r="CD221" s="193"/>
      <c r="CE221" s="193"/>
      <c r="CL221" s="334"/>
      <c r="CS221" s="158"/>
      <c r="CT221" s="158"/>
      <c r="CU221" s="158"/>
      <c r="CV221" s="316"/>
      <c r="DC221" s="334"/>
      <c r="DI221" s="158"/>
      <c r="DJ221" s="316"/>
      <c r="DQ221" s="334"/>
      <c r="DW221" s="158"/>
      <c r="EE221" s="334"/>
      <c r="EK221" s="158"/>
      <c r="EY221" s="158"/>
      <c r="FF221" s="816"/>
    </row>
    <row r="222" spans="2:162" s="192" customFormat="1" ht="18" customHeight="1">
      <c r="B222" s="193"/>
      <c r="C222" s="193"/>
      <c r="D222" s="193"/>
      <c r="E222" s="194"/>
      <c r="F222" s="193"/>
      <c r="G222" s="193"/>
      <c r="H222" s="193"/>
      <c r="I222" s="193"/>
      <c r="J222" s="193"/>
      <c r="K222" s="193"/>
      <c r="L222" s="193"/>
      <c r="M222" s="193"/>
      <c r="N222" s="193"/>
      <c r="O222" s="193"/>
      <c r="P222" s="193"/>
      <c r="Q222" s="193"/>
      <c r="R222" s="193"/>
      <c r="S222" s="193"/>
      <c r="T222" s="193"/>
      <c r="U222" s="193"/>
      <c r="V222" s="193"/>
      <c r="W222" s="193"/>
      <c r="X222" s="193"/>
      <c r="Y222" s="193"/>
      <c r="Z222" s="193"/>
      <c r="AA222" s="193"/>
      <c r="AB222" s="193"/>
      <c r="AC222" s="193"/>
      <c r="AD222" s="193"/>
      <c r="AE222" s="193"/>
      <c r="AF222" s="193"/>
      <c r="AG222" s="193"/>
      <c r="AH222" s="193"/>
      <c r="AI222" s="193"/>
      <c r="AJ222" s="193"/>
      <c r="AK222" s="193"/>
      <c r="AL222" s="193"/>
      <c r="AM222" s="193"/>
      <c r="AN222" s="193"/>
      <c r="AO222" s="193"/>
      <c r="AP222" s="193"/>
      <c r="AQ222" s="193"/>
      <c r="AR222" s="193"/>
      <c r="AS222" s="193"/>
      <c r="AT222" s="193"/>
      <c r="AU222" s="193"/>
      <c r="AV222" s="193"/>
      <c r="AW222" s="193"/>
      <c r="AX222" s="193"/>
      <c r="AY222" s="193"/>
      <c r="AZ222" s="193"/>
      <c r="BA222" s="193"/>
      <c r="BB222" s="193"/>
      <c r="BC222" s="193"/>
      <c r="BD222" s="193"/>
      <c r="BE222" s="193"/>
      <c r="BF222" s="193"/>
      <c r="BG222" s="193"/>
      <c r="BH222" s="193"/>
      <c r="BI222" s="193"/>
      <c r="BJ222" s="193"/>
      <c r="BK222" s="193"/>
      <c r="BL222" s="193"/>
      <c r="BM222" s="193"/>
      <c r="BN222" s="193"/>
      <c r="BO222" s="193"/>
      <c r="BP222" s="193"/>
      <c r="BQ222" s="193"/>
      <c r="BR222" s="193"/>
      <c r="BS222" s="193"/>
      <c r="BT222" s="193"/>
      <c r="BU222" s="193"/>
      <c r="BV222" s="193"/>
      <c r="BW222" s="193"/>
      <c r="BX222" s="193"/>
      <c r="BY222" s="193"/>
      <c r="BZ222" s="193"/>
      <c r="CA222" s="193"/>
      <c r="CB222" s="963"/>
      <c r="CC222" s="193"/>
      <c r="CD222" s="193"/>
      <c r="CE222" s="193"/>
      <c r="CL222" s="334"/>
      <c r="CS222" s="158"/>
      <c r="CT222" s="158"/>
      <c r="CU222" s="158"/>
      <c r="CV222" s="316"/>
      <c r="DC222" s="334"/>
      <c r="DI222" s="158"/>
      <c r="DJ222" s="316"/>
      <c r="DQ222" s="334"/>
      <c r="DW222" s="158"/>
      <c r="EE222" s="334"/>
      <c r="EK222" s="158"/>
      <c r="EY222" s="158"/>
      <c r="FF222" s="816"/>
    </row>
    <row r="223" spans="2:162" s="192" customFormat="1" ht="18" customHeight="1">
      <c r="B223" s="193"/>
      <c r="C223" s="193"/>
      <c r="D223" s="193"/>
      <c r="E223" s="194"/>
      <c r="F223" s="193"/>
      <c r="G223" s="193"/>
      <c r="H223" s="193"/>
      <c r="I223" s="193"/>
      <c r="J223" s="193"/>
      <c r="K223" s="193"/>
      <c r="L223" s="193"/>
      <c r="M223" s="193"/>
      <c r="N223" s="193"/>
      <c r="O223" s="193"/>
      <c r="P223" s="193"/>
      <c r="Q223" s="193"/>
      <c r="R223" s="193"/>
      <c r="S223" s="193"/>
      <c r="T223" s="193"/>
      <c r="U223" s="193"/>
      <c r="V223" s="193"/>
      <c r="W223" s="193"/>
      <c r="X223" s="193"/>
      <c r="Y223" s="193"/>
      <c r="Z223" s="193"/>
      <c r="AA223" s="193"/>
      <c r="AB223" s="193"/>
      <c r="AC223" s="193"/>
      <c r="AD223" s="193"/>
      <c r="AE223" s="193"/>
      <c r="AF223" s="193"/>
      <c r="AG223" s="193"/>
      <c r="AH223" s="193"/>
      <c r="AI223" s="193"/>
      <c r="AJ223" s="193"/>
      <c r="AK223" s="193"/>
      <c r="AL223" s="193"/>
      <c r="AM223" s="193"/>
      <c r="AN223" s="193"/>
      <c r="AO223" s="193"/>
      <c r="AP223" s="193"/>
      <c r="AQ223" s="193"/>
      <c r="AR223" s="193"/>
      <c r="AS223" s="193"/>
      <c r="AT223" s="193"/>
      <c r="AU223" s="193"/>
      <c r="AV223" s="193"/>
      <c r="AW223" s="193"/>
      <c r="AX223" s="193"/>
      <c r="AY223" s="193"/>
      <c r="AZ223" s="193"/>
      <c r="BA223" s="193"/>
      <c r="BB223" s="193"/>
      <c r="BC223" s="193"/>
      <c r="BD223" s="193"/>
      <c r="BE223" s="193"/>
      <c r="BF223" s="193"/>
      <c r="BG223" s="193"/>
      <c r="BH223" s="193"/>
      <c r="BI223" s="193"/>
      <c r="BJ223" s="193"/>
      <c r="BK223" s="193"/>
      <c r="BL223" s="193"/>
      <c r="BM223" s="193"/>
      <c r="BN223" s="193"/>
      <c r="BO223" s="193"/>
      <c r="BP223" s="193"/>
      <c r="BQ223" s="193"/>
      <c r="BR223" s="193"/>
      <c r="BS223" s="193"/>
      <c r="BT223" s="193"/>
      <c r="BU223" s="193"/>
      <c r="BV223" s="193"/>
      <c r="BW223" s="193"/>
      <c r="BX223" s="193"/>
      <c r="BY223" s="193"/>
      <c r="BZ223" s="193"/>
      <c r="CA223" s="193"/>
      <c r="CB223" s="963"/>
      <c r="CC223" s="193"/>
      <c r="CD223" s="193"/>
      <c r="CE223" s="193"/>
      <c r="CL223" s="334"/>
      <c r="CS223" s="158"/>
      <c r="CT223" s="158"/>
      <c r="CU223" s="158"/>
      <c r="CV223" s="316"/>
      <c r="DC223" s="334"/>
      <c r="DI223" s="158"/>
      <c r="DJ223" s="316"/>
      <c r="DQ223" s="334"/>
      <c r="DW223" s="158"/>
      <c r="EE223" s="334"/>
      <c r="EK223" s="158"/>
      <c r="EY223" s="158"/>
      <c r="FF223" s="816"/>
    </row>
    <row r="224" spans="2:162" s="192" customFormat="1" ht="18" customHeight="1">
      <c r="B224" s="193"/>
      <c r="C224" s="193"/>
      <c r="D224" s="193"/>
      <c r="E224" s="194"/>
      <c r="F224" s="193"/>
      <c r="G224" s="193"/>
      <c r="H224" s="193"/>
      <c r="I224" s="193"/>
      <c r="J224" s="193"/>
      <c r="K224" s="193"/>
      <c r="L224" s="193"/>
      <c r="M224" s="193"/>
      <c r="N224" s="193"/>
      <c r="O224" s="193"/>
      <c r="P224" s="193"/>
      <c r="Q224" s="193"/>
      <c r="R224" s="193"/>
      <c r="S224" s="193"/>
      <c r="T224" s="193"/>
      <c r="U224" s="193"/>
      <c r="V224" s="193"/>
      <c r="W224" s="193"/>
      <c r="X224" s="193"/>
      <c r="Y224" s="193"/>
      <c r="Z224" s="193"/>
      <c r="AA224" s="193"/>
      <c r="AB224" s="193"/>
      <c r="AC224" s="193"/>
      <c r="AD224" s="193"/>
      <c r="AE224" s="193"/>
      <c r="AF224" s="193"/>
      <c r="AG224" s="193"/>
      <c r="AH224" s="193"/>
      <c r="AI224" s="193"/>
      <c r="AJ224" s="193"/>
      <c r="AK224" s="193"/>
      <c r="AL224" s="193"/>
      <c r="AM224" s="193"/>
      <c r="AN224" s="193"/>
      <c r="AO224" s="193"/>
      <c r="AP224" s="193"/>
      <c r="AQ224" s="193"/>
      <c r="AR224" s="193"/>
      <c r="AS224" s="193"/>
      <c r="AT224" s="193"/>
      <c r="AU224" s="193"/>
      <c r="AV224" s="193"/>
      <c r="AW224" s="193"/>
      <c r="AX224" s="193"/>
      <c r="AY224" s="193"/>
      <c r="AZ224" s="193"/>
      <c r="BA224" s="193"/>
      <c r="BB224" s="193"/>
      <c r="BC224" s="193"/>
      <c r="BD224" s="193"/>
      <c r="BE224" s="193"/>
      <c r="BF224" s="193"/>
      <c r="BG224" s="193"/>
      <c r="BH224" s="193"/>
      <c r="BI224" s="193"/>
      <c r="BJ224" s="193"/>
      <c r="BK224" s="193"/>
      <c r="BL224" s="193"/>
      <c r="BM224" s="193"/>
      <c r="BN224" s="193"/>
      <c r="BO224" s="193"/>
      <c r="BP224" s="193"/>
      <c r="BQ224" s="193"/>
      <c r="BR224" s="193"/>
      <c r="BS224" s="193"/>
      <c r="BT224" s="193"/>
      <c r="BU224" s="193"/>
      <c r="BV224" s="193"/>
      <c r="BW224" s="193"/>
      <c r="BX224" s="193"/>
      <c r="BY224" s="193"/>
      <c r="BZ224" s="193"/>
      <c r="CA224" s="193"/>
      <c r="CB224" s="963"/>
      <c r="CC224" s="193"/>
      <c r="CD224" s="193"/>
      <c r="CE224" s="193"/>
      <c r="CL224" s="334"/>
      <c r="CS224" s="158"/>
      <c r="CT224" s="158"/>
      <c r="CU224" s="158"/>
      <c r="CV224" s="316"/>
      <c r="DC224" s="334"/>
      <c r="DI224" s="158"/>
      <c r="DJ224" s="316"/>
      <c r="DQ224" s="334"/>
      <c r="DW224" s="158"/>
      <c r="EE224" s="334"/>
      <c r="EK224" s="158"/>
      <c r="EY224" s="158"/>
      <c r="FF224" s="816"/>
    </row>
    <row r="225" spans="2:162" s="192" customFormat="1" ht="18" customHeight="1">
      <c r="B225" s="193"/>
      <c r="C225" s="193"/>
      <c r="D225" s="193"/>
      <c r="E225" s="194"/>
      <c r="F225" s="193"/>
      <c r="G225" s="193"/>
      <c r="H225" s="193"/>
      <c r="I225" s="193"/>
      <c r="J225" s="193"/>
      <c r="K225" s="193"/>
      <c r="L225" s="193"/>
      <c r="M225" s="193"/>
      <c r="N225" s="193"/>
      <c r="O225" s="193"/>
      <c r="P225" s="193"/>
      <c r="Q225" s="193"/>
      <c r="R225" s="193"/>
      <c r="S225" s="193"/>
      <c r="T225" s="193"/>
      <c r="U225" s="193"/>
      <c r="V225" s="193"/>
      <c r="W225" s="193"/>
      <c r="X225" s="193"/>
      <c r="Y225" s="193"/>
      <c r="Z225" s="193"/>
      <c r="AA225" s="193"/>
      <c r="AB225" s="193"/>
      <c r="AC225" s="193"/>
      <c r="AD225" s="193"/>
      <c r="AE225" s="193"/>
      <c r="AF225" s="193"/>
      <c r="AG225" s="193"/>
      <c r="AH225" s="193"/>
      <c r="AI225" s="193"/>
      <c r="AJ225" s="193"/>
      <c r="AK225" s="193"/>
      <c r="AL225" s="193"/>
      <c r="AM225" s="193"/>
      <c r="AN225" s="193"/>
      <c r="AO225" s="193"/>
      <c r="AP225" s="193"/>
      <c r="AQ225" s="193"/>
      <c r="AR225" s="193"/>
      <c r="AS225" s="193"/>
      <c r="AT225" s="193"/>
      <c r="AU225" s="193"/>
      <c r="AV225" s="193"/>
      <c r="AW225" s="193"/>
      <c r="AX225" s="193"/>
      <c r="AY225" s="193"/>
      <c r="AZ225" s="193"/>
      <c r="BA225" s="193"/>
      <c r="BB225" s="193"/>
      <c r="BC225" s="193"/>
      <c r="BD225" s="193"/>
      <c r="BE225" s="193"/>
      <c r="BF225" s="193"/>
      <c r="BG225" s="193"/>
      <c r="BH225" s="193"/>
      <c r="BI225" s="193"/>
      <c r="BJ225" s="193"/>
      <c r="BK225" s="193"/>
      <c r="BL225" s="193"/>
      <c r="BM225" s="193"/>
      <c r="BN225" s="193"/>
      <c r="BO225" s="193"/>
      <c r="BP225" s="193"/>
      <c r="BQ225" s="193"/>
      <c r="BR225" s="193"/>
      <c r="BS225" s="193"/>
      <c r="BT225" s="193"/>
      <c r="BU225" s="193"/>
      <c r="BV225" s="193"/>
      <c r="BW225" s="193"/>
      <c r="BX225" s="193"/>
      <c r="BY225" s="193"/>
      <c r="BZ225" s="193"/>
      <c r="CA225" s="193"/>
      <c r="CB225" s="963"/>
      <c r="CC225" s="193"/>
      <c r="CD225" s="193"/>
      <c r="CE225" s="193"/>
      <c r="CL225" s="334"/>
      <c r="CS225" s="158"/>
      <c r="CT225" s="158"/>
      <c r="CU225" s="158"/>
      <c r="CV225" s="316"/>
      <c r="DC225" s="334"/>
      <c r="DI225" s="158"/>
      <c r="DJ225" s="316"/>
      <c r="DQ225" s="334"/>
      <c r="DW225" s="158"/>
      <c r="EE225" s="334"/>
      <c r="EK225" s="158"/>
      <c r="EY225" s="158"/>
      <c r="FF225" s="816"/>
    </row>
    <row r="226" spans="2:162" s="192" customFormat="1" ht="18" customHeight="1">
      <c r="B226" s="193"/>
      <c r="C226" s="193"/>
      <c r="D226" s="193"/>
      <c r="E226" s="194"/>
      <c r="F226" s="193"/>
      <c r="G226" s="193"/>
      <c r="H226" s="193"/>
      <c r="I226" s="193"/>
      <c r="J226" s="193"/>
      <c r="K226" s="193"/>
      <c r="L226" s="193"/>
      <c r="M226" s="193"/>
      <c r="N226" s="193"/>
      <c r="O226" s="193"/>
      <c r="P226" s="193"/>
      <c r="Q226" s="193"/>
      <c r="R226" s="193"/>
      <c r="S226" s="193"/>
      <c r="T226" s="193"/>
      <c r="U226" s="193"/>
      <c r="V226" s="193"/>
      <c r="W226" s="193"/>
      <c r="X226" s="193"/>
      <c r="Y226" s="193"/>
      <c r="Z226" s="193"/>
      <c r="AA226" s="193"/>
      <c r="AB226" s="193"/>
      <c r="AC226" s="193"/>
      <c r="AD226" s="193"/>
      <c r="AE226" s="193"/>
      <c r="AF226" s="193"/>
      <c r="AG226" s="193"/>
      <c r="AH226" s="193"/>
      <c r="AI226" s="193"/>
      <c r="AJ226" s="193"/>
      <c r="AK226" s="193"/>
      <c r="AL226" s="193"/>
      <c r="AM226" s="193"/>
      <c r="AN226" s="193"/>
      <c r="AO226" s="193"/>
      <c r="AP226" s="193"/>
      <c r="AQ226" s="193"/>
      <c r="AR226" s="193"/>
      <c r="AS226" s="193"/>
      <c r="AT226" s="193"/>
      <c r="AU226" s="193"/>
      <c r="AV226" s="193"/>
      <c r="AW226" s="193"/>
      <c r="AX226" s="193"/>
      <c r="AY226" s="193"/>
      <c r="AZ226" s="193"/>
      <c r="BA226" s="193"/>
      <c r="BB226" s="193"/>
      <c r="BC226" s="193"/>
      <c r="BD226" s="193"/>
      <c r="BE226" s="193"/>
      <c r="BF226" s="193"/>
      <c r="BG226" s="193"/>
      <c r="BH226" s="193"/>
      <c r="BI226" s="193"/>
      <c r="BJ226" s="193"/>
      <c r="BK226" s="193"/>
      <c r="BL226" s="193"/>
      <c r="BM226" s="193"/>
      <c r="BN226" s="193"/>
      <c r="BO226" s="193"/>
      <c r="BP226" s="193"/>
      <c r="BQ226" s="193"/>
      <c r="BR226" s="193"/>
      <c r="BS226" s="193"/>
      <c r="BT226" s="193"/>
      <c r="BU226" s="193"/>
      <c r="BV226" s="193"/>
      <c r="BW226" s="193"/>
      <c r="BX226" s="193"/>
      <c r="BY226" s="193"/>
      <c r="BZ226" s="193"/>
      <c r="CA226" s="193"/>
      <c r="CB226" s="963"/>
      <c r="CC226" s="193"/>
      <c r="CD226" s="193"/>
      <c r="CE226" s="193"/>
      <c r="CL226" s="334"/>
      <c r="CS226" s="158"/>
      <c r="CT226" s="158"/>
      <c r="CU226" s="158"/>
      <c r="CV226" s="316"/>
      <c r="DC226" s="334"/>
      <c r="DI226" s="158"/>
      <c r="DJ226" s="316"/>
      <c r="DQ226" s="334"/>
      <c r="DW226" s="158"/>
      <c r="EE226" s="334"/>
      <c r="EK226" s="158"/>
      <c r="EY226" s="158"/>
      <c r="FF226" s="816"/>
    </row>
    <row r="227" spans="2:162" s="192" customFormat="1" ht="18" customHeight="1">
      <c r="B227" s="193"/>
      <c r="C227" s="193"/>
      <c r="D227" s="193"/>
      <c r="E227" s="194"/>
      <c r="F227" s="193"/>
      <c r="G227" s="193"/>
      <c r="H227" s="193"/>
      <c r="I227" s="193"/>
      <c r="J227" s="193"/>
      <c r="K227" s="193"/>
      <c r="L227" s="193"/>
      <c r="M227" s="193"/>
      <c r="N227" s="193"/>
      <c r="O227" s="193"/>
      <c r="P227" s="193"/>
      <c r="Q227" s="193"/>
      <c r="R227" s="193"/>
      <c r="S227" s="193"/>
      <c r="T227" s="193"/>
      <c r="U227" s="193"/>
      <c r="V227" s="193"/>
      <c r="W227" s="193"/>
      <c r="X227" s="193"/>
      <c r="Y227" s="193"/>
      <c r="Z227" s="193"/>
      <c r="AA227" s="193"/>
      <c r="AB227" s="193"/>
      <c r="AC227" s="193"/>
      <c r="AD227" s="193"/>
      <c r="AE227" s="193"/>
      <c r="AF227" s="193"/>
      <c r="AG227" s="193"/>
      <c r="AH227" s="193"/>
      <c r="AI227" s="193"/>
      <c r="AJ227" s="193"/>
      <c r="AK227" s="193"/>
      <c r="AL227" s="193"/>
      <c r="AM227" s="193"/>
      <c r="AN227" s="193"/>
      <c r="AO227" s="193"/>
      <c r="AP227" s="193"/>
      <c r="AQ227" s="193"/>
      <c r="AR227" s="193"/>
      <c r="AS227" s="193"/>
      <c r="AT227" s="193"/>
      <c r="AU227" s="193"/>
      <c r="AV227" s="193"/>
      <c r="AW227" s="193"/>
      <c r="AX227" s="193"/>
      <c r="AY227" s="193"/>
      <c r="AZ227" s="193"/>
      <c r="BA227" s="193"/>
      <c r="BB227" s="193"/>
      <c r="BC227" s="193"/>
      <c r="BD227" s="193"/>
      <c r="BE227" s="193"/>
      <c r="BF227" s="193"/>
      <c r="BG227" s="193"/>
      <c r="BH227" s="193"/>
      <c r="BI227" s="193"/>
      <c r="BJ227" s="193"/>
      <c r="BK227" s="193"/>
      <c r="BL227" s="193"/>
      <c r="BM227" s="193"/>
      <c r="BN227" s="193"/>
      <c r="BO227" s="193"/>
      <c r="BP227" s="193"/>
      <c r="BQ227" s="193"/>
      <c r="BR227" s="193"/>
      <c r="BS227" s="193"/>
      <c r="BT227" s="193"/>
      <c r="BU227" s="193"/>
      <c r="BV227" s="193"/>
      <c r="BW227" s="193"/>
      <c r="BX227" s="193"/>
      <c r="BY227" s="193"/>
      <c r="BZ227" s="193"/>
      <c r="CA227" s="193"/>
      <c r="CB227" s="963"/>
      <c r="CC227" s="193"/>
      <c r="CD227" s="193"/>
      <c r="CE227" s="193"/>
      <c r="CL227" s="334"/>
      <c r="CS227" s="158"/>
      <c r="CT227" s="158"/>
      <c r="CU227" s="158"/>
      <c r="CV227" s="316"/>
      <c r="DC227" s="334"/>
      <c r="DI227" s="158"/>
      <c r="DJ227" s="316"/>
      <c r="DQ227" s="334"/>
      <c r="DW227" s="158"/>
      <c r="EE227" s="334"/>
      <c r="EK227" s="158"/>
      <c r="EY227" s="158"/>
      <c r="FF227" s="816"/>
    </row>
    <row r="228" spans="2:162" s="192" customFormat="1" ht="18" customHeight="1">
      <c r="B228" s="193"/>
      <c r="C228" s="193"/>
      <c r="D228" s="193"/>
      <c r="E228" s="194"/>
      <c r="F228" s="193"/>
      <c r="G228" s="193"/>
      <c r="H228" s="193"/>
      <c r="I228" s="193"/>
      <c r="J228" s="193"/>
      <c r="K228" s="193"/>
      <c r="L228" s="193"/>
      <c r="M228" s="193"/>
      <c r="N228" s="193"/>
      <c r="O228" s="193"/>
      <c r="P228" s="193"/>
      <c r="Q228" s="193"/>
      <c r="R228" s="193"/>
      <c r="S228" s="193"/>
      <c r="T228" s="193"/>
      <c r="U228" s="193"/>
      <c r="V228" s="193"/>
      <c r="W228" s="193"/>
      <c r="X228" s="193"/>
      <c r="Y228" s="193"/>
      <c r="Z228" s="193"/>
      <c r="AA228" s="193"/>
      <c r="AB228" s="193"/>
      <c r="AC228" s="193"/>
      <c r="AD228" s="193"/>
      <c r="AE228" s="193"/>
      <c r="AF228" s="193"/>
      <c r="AG228" s="193"/>
      <c r="AH228" s="193"/>
      <c r="AI228" s="193"/>
      <c r="AJ228" s="193"/>
      <c r="AK228" s="193"/>
      <c r="AL228" s="193"/>
      <c r="AM228" s="193"/>
      <c r="AN228" s="193"/>
      <c r="AO228" s="193"/>
      <c r="AP228" s="193"/>
      <c r="AQ228" s="193"/>
      <c r="AR228" s="193"/>
      <c r="AS228" s="193"/>
      <c r="AT228" s="193"/>
      <c r="AU228" s="193"/>
      <c r="AV228" s="193"/>
      <c r="AW228" s="193"/>
      <c r="AX228" s="193"/>
      <c r="AY228" s="193"/>
      <c r="AZ228" s="193"/>
      <c r="BA228" s="193"/>
      <c r="BB228" s="193"/>
      <c r="BC228" s="193"/>
      <c r="BD228" s="193"/>
      <c r="BE228" s="193"/>
      <c r="BF228" s="193"/>
      <c r="BG228" s="193"/>
      <c r="BH228" s="193"/>
      <c r="BI228" s="193"/>
      <c r="BJ228" s="193"/>
      <c r="BK228" s="193"/>
      <c r="BL228" s="193"/>
      <c r="BM228" s="193"/>
      <c r="BN228" s="193"/>
      <c r="BO228" s="193"/>
      <c r="BP228" s="193"/>
      <c r="BQ228" s="193"/>
      <c r="BR228" s="193"/>
      <c r="BS228" s="193"/>
      <c r="BT228" s="193"/>
      <c r="BU228" s="193"/>
      <c r="BV228" s="193"/>
      <c r="BW228" s="193"/>
      <c r="BX228" s="193"/>
      <c r="BY228" s="193"/>
      <c r="BZ228" s="193"/>
      <c r="CA228" s="193"/>
      <c r="CB228" s="963"/>
      <c r="CC228" s="193"/>
      <c r="CD228" s="193"/>
      <c r="CE228" s="193"/>
      <c r="CL228" s="334"/>
      <c r="CS228" s="158"/>
      <c r="CT228" s="158"/>
      <c r="CU228" s="158"/>
      <c r="CV228" s="316"/>
      <c r="DC228" s="334"/>
      <c r="DI228" s="158"/>
      <c r="DJ228" s="316"/>
      <c r="DQ228" s="334"/>
      <c r="DW228" s="158"/>
      <c r="EE228" s="334"/>
      <c r="EK228" s="158"/>
      <c r="EY228" s="158"/>
      <c r="FF228" s="816"/>
    </row>
    <row r="229" spans="2:162" s="192" customFormat="1" ht="18" customHeight="1">
      <c r="B229" s="193"/>
      <c r="C229" s="193"/>
      <c r="D229" s="193"/>
      <c r="E229" s="194"/>
      <c r="F229" s="193"/>
      <c r="G229" s="193"/>
      <c r="H229" s="193"/>
      <c r="I229" s="193"/>
      <c r="J229" s="193"/>
      <c r="K229" s="193"/>
      <c r="L229" s="193"/>
      <c r="M229" s="193"/>
      <c r="N229" s="193"/>
      <c r="O229" s="193"/>
      <c r="P229" s="193"/>
      <c r="Q229" s="193"/>
      <c r="R229" s="193"/>
      <c r="S229" s="193"/>
      <c r="T229" s="193"/>
      <c r="U229" s="193"/>
      <c r="V229" s="193"/>
      <c r="W229" s="193"/>
      <c r="X229" s="193"/>
      <c r="Y229" s="193"/>
      <c r="Z229" s="193"/>
      <c r="AA229" s="193"/>
      <c r="AB229" s="193"/>
      <c r="AC229" s="193"/>
      <c r="AD229" s="193"/>
      <c r="AE229" s="193"/>
      <c r="AF229" s="193"/>
      <c r="AG229" s="193"/>
      <c r="AH229" s="193"/>
      <c r="AI229" s="193"/>
      <c r="AJ229" s="193"/>
      <c r="AK229" s="193"/>
      <c r="AL229" s="193"/>
      <c r="AM229" s="193"/>
      <c r="AN229" s="193"/>
      <c r="AO229" s="193"/>
      <c r="AP229" s="193"/>
      <c r="AQ229" s="193"/>
      <c r="AR229" s="193"/>
      <c r="AS229" s="193"/>
      <c r="AT229" s="193"/>
      <c r="AU229" s="193"/>
      <c r="AV229" s="193"/>
      <c r="AW229" s="193"/>
      <c r="AX229" s="193"/>
      <c r="AY229" s="193"/>
      <c r="AZ229" s="193"/>
      <c r="BA229" s="193"/>
      <c r="BB229" s="193"/>
      <c r="BC229" s="193"/>
      <c r="BD229" s="193"/>
      <c r="BE229" s="193"/>
      <c r="BF229" s="193"/>
      <c r="BG229" s="193"/>
      <c r="BH229" s="193"/>
      <c r="BI229" s="193"/>
      <c r="BJ229" s="193"/>
      <c r="BK229" s="193"/>
      <c r="BL229" s="193"/>
      <c r="BM229" s="193"/>
      <c r="BN229" s="193"/>
      <c r="BO229" s="193"/>
      <c r="BP229" s="193"/>
      <c r="BQ229" s="193"/>
      <c r="BR229" s="193"/>
      <c r="BS229" s="193"/>
      <c r="BT229" s="193"/>
      <c r="BU229" s="193"/>
      <c r="BV229" s="193"/>
      <c r="BW229" s="193"/>
      <c r="BX229" s="193"/>
      <c r="BY229" s="193"/>
      <c r="BZ229" s="193"/>
      <c r="CA229" s="193"/>
      <c r="CB229" s="963"/>
      <c r="CC229" s="193"/>
      <c r="CD229" s="193"/>
      <c r="CE229" s="193"/>
      <c r="CL229" s="334"/>
      <c r="CS229" s="158"/>
      <c r="CT229" s="158"/>
      <c r="CU229" s="158"/>
      <c r="CV229" s="316"/>
      <c r="DC229" s="334"/>
      <c r="DI229" s="158"/>
      <c r="DJ229" s="316"/>
      <c r="DQ229" s="334"/>
      <c r="DW229" s="158"/>
      <c r="EE229" s="334"/>
      <c r="EK229" s="158"/>
      <c r="EY229" s="158"/>
      <c r="FF229" s="816"/>
    </row>
    <row r="230" spans="2:162" s="192" customFormat="1" ht="18" customHeight="1">
      <c r="B230" s="193"/>
      <c r="C230" s="193"/>
      <c r="D230" s="193"/>
      <c r="E230" s="194"/>
      <c r="F230" s="193"/>
      <c r="G230" s="193"/>
      <c r="H230" s="193"/>
      <c r="I230" s="193"/>
      <c r="J230" s="193"/>
      <c r="K230" s="193"/>
      <c r="L230" s="193"/>
      <c r="M230" s="193"/>
      <c r="N230" s="193"/>
      <c r="O230" s="193"/>
      <c r="P230" s="193"/>
      <c r="Q230" s="193"/>
      <c r="R230" s="193"/>
      <c r="S230" s="193"/>
      <c r="T230" s="193"/>
      <c r="U230" s="193"/>
      <c r="V230" s="193"/>
      <c r="W230" s="193"/>
      <c r="X230" s="193"/>
      <c r="Y230" s="193"/>
      <c r="Z230" s="193"/>
      <c r="AA230" s="193"/>
      <c r="AB230" s="193"/>
      <c r="AC230" s="193"/>
      <c r="AD230" s="193"/>
      <c r="AE230" s="193"/>
      <c r="AF230" s="193"/>
      <c r="AG230" s="193"/>
      <c r="AH230" s="193"/>
      <c r="AI230" s="193"/>
      <c r="AJ230" s="193"/>
      <c r="AK230" s="193"/>
      <c r="AL230" s="193"/>
      <c r="AM230" s="193"/>
      <c r="AN230" s="193"/>
      <c r="AO230" s="193"/>
      <c r="AP230" s="193"/>
      <c r="AQ230" s="193"/>
      <c r="AR230" s="193"/>
      <c r="AS230" s="193"/>
      <c r="AT230" s="193"/>
      <c r="AU230" s="193"/>
      <c r="AV230" s="193"/>
      <c r="AW230" s="193"/>
      <c r="AX230" s="193"/>
      <c r="AY230" s="193"/>
      <c r="AZ230" s="193"/>
      <c r="BA230" s="193"/>
      <c r="BB230" s="193"/>
      <c r="BC230" s="193"/>
      <c r="BD230" s="193"/>
      <c r="BE230" s="193"/>
      <c r="BF230" s="193"/>
      <c r="BG230" s="193"/>
      <c r="BH230" s="193"/>
      <c r="BI230" s="193"/>
      <c r="BJ230" s="193"/>
      <c r="BK230" s="193"/>
      <c r="BL230" s="193"/>
      <c r="BM230" s="193"/>
      <c r="BN230" s="193"/>
      <c r="BO230" s="193"/>
      <c r="BP230" s="193"/>
      <c r="BQ230" s="193"/>
      <c r="BR230" s="193"/>
      <c r="BS230" s="193"/>
      <c r="BT230" s="193"/>
      <c r="BU230" s="193"/>
      <c r="BV230" s="193"/>
      <c r="BW230" s="193"/>
      <c r="BX230" s="193"/>
      <c r="BY230" s="193"/>
      <c r="BZ230" s="193"/>
      <c r="CA230" s="193"/>
      <c r="CB230" s="963"/>
      <c r="CC230" s="193"/>
      <c r="CD230" s="193"/>
      <c r="CE230" s="193"/>
      <c r="CL230" s="334"/>
      <c r="CS230" s="158"/>
      <c r="CT230" s="158"/>
      <c r="CU230" s="158"/>
      <c r="CV230" s="316"/>
      <c r="DC230" s="334"/>
      <c r="DI230" s="158"/>
      <c r="DJ230" s="316"/>
      <c r="DQ230" s="334"/>
      <c r="DW230" s="158"/>
      <c r="EE230" s="334"/>
      <c r="EK230" s="158"/>
      <c r="EY230" s="158"/>
      <c r="FF230" s="816"/>
    </row>
    <row r="231" spans="2:162" s="192" customFormat="1" ht="18" customHeight="1">
      <c r="B231" s="193"/>
      <c r="C231" s="193"/>
      <c r="D231" s="193"/>
      <c r="E231" s="194"/>
      <c r="F231" s="193"/>
      <c r="G231" s="193"/>
      <c r="H231" s="193"/>
      <c r="I231" s="193"/>
      <c r="J231" s="193"/>
      <c r="K231" s="193"/>
      <c r="L231" s="193"/>
      <c r="M231" s="193"/>
      <c r="N231" s="193"/>
      <c r="O231" s="193"/>
      <c r="P231" s="193"/>
      <c r="Q231" s="193"/>
      <c r="R231" s="193"/>
      <c r="S231" s="193"/>
      <c r="T231" s="193"/>
      <c r="U231" s="193"/>
      <c r="V231" s="193"/>
      <c r="W231" s="193"/>
      <c r="X231" s="193"/>
      <c r="Y231" s="193"/>
      <c r="Z231" s="193"/>
      <c r="AA231" s="193"/>
      <c r="AB231" s="193"/>
      <c r="AC231" s="193"/>
      <c r="AD231" s="193"/>
      <c r="AE231" s="193"/>
      <c r="AF231" s="193"/>
      <c r="AG231" s="193"/>
      <c r="AH231" s="193"/>
      <c r="AI231" s="193"/>
      <c r="AJ231" s="193"/>
      <c r="AK231" s="193"/>
      <c r="AL231" s="193"/>
      <c r="AM231" s="193"/>
      <c r="AN231" s="193"/>
      <c r="AO231" s="193"/>
      <c r="AP231" s="193"/>
      <c r="AQ231" s="193"/>
      <c r="AR231" s="193"/>
      <c r="AS231" s="193"/>
      <c r="AT231" s="193"/>
      <c r="AU231" s="193"/>
      <c r="AV231" s="193"/>
      <c r="AW231" s="193"/>
      <c r="AX231" s="193"/>
      <c r="AY231" s="193"/>
      <c r="AZ231" s="193"/>
      <c r="BA231" s="193"/>
      <c r="BB231" s="193"/>
      <c r="BC231" s="193"/>
      <c r="BD231" s="193"/>
      <c r="BE231" s="193"/>
      <c r="BF231" s="193"/>
      <c r="BG231" s="193"/>
      <c r="BH231" s="193"/>
      <c r="BI231" s="193"/>
      <c r="BJ231" s="193"/>
      <c r="BK231" s="193"/>
      <c r="BL231" s="193"/>
      <c r="BM231" s="193"/>
      <c r="BN231" s="193"/>
      <c r="BO231" s="193"/>
      <c r="BP231" s="193"/>
      <c r="BQ231" s="193"/>
      <c r="BR231" s="193"/>
      <c r="BS231" s="193"/>
      <c r="BT231" s="193"/>
      <c r="BU231" s="193"/>
      <c r="BV231" s="193"/>
      <c r="BW231" s="193"/>
      <c r="BX231" s="193"/>
      <c r="BY231" s="193"/>
      <c r="BZ231" s="193"/>
      <c r="CA231" s="193"/>
      <c r="CB231" s="963"/>
      <c r="CC231" s="193"/>
      <c r="CD231" s="193"/>
      <c r="CE231" s="193"/>
      <c r="CL231" s="334"/>
      <c r="CS231" s="158"/>
      <c r="CT231" s="158"/>
      <c r="CU231" s="158"/>
      <c r="CV231" s="316"/>
      <c r="DC231" s="334"/>
      <c r="DI231" s="158"/>
      <c r="DJ231" s="316"/>
      <c r="DQ231" s="334"/>
      <c r="DW231" s="158"/>
      <c r="EE231" s="334"/>
      <c r="EK231" s="158"/>
      <c r="EY231" s="158"/>
      <c r="FF231" s="816"/>
    </row>
    <row r="232" spans="2:162" s="192" customFormat="1" ht="18" customHeight="1">
      <c r="B232" s="193"/>
      <c r="C232" s="193"/>
      <c r="D232" s="193"/>
      <c r="E232" s="194"/>
      <c r="F232" s="193"/>
      <c r="G232" s="193"/>
      <c r="H232" s="193"/>
      <c r="I232" s="193"/>
      <c r="J232" s="193"/>
      <c r="K232" s="193"/>
      <c r="L232" s="193"/>
      <c r="M232" s="193"/>
      <c r="N232" s="193"/>
      <c r="O232" s="193"/>
      <c r="P232" s="193"/>
      <c r="Q232" s="193"/>
      <c r="R232" s="193"/>
      <c r="S232" s="193"/>
      <c r="T232" s="193"/>
      <c r="U232" s="193"/>
      <c r="V232" s="193"/>
      <c r="W232" s="193"/>
      <c r="X232" s="193"/>
      <c r="Y232" s="193"/>
      <c r="Z232" s="193"/>
      <c r="AA232" s="193"/>
      <c r="AB232" s="193"/>
      <c r="AC232" s="193"/>
      <c r="AD232" s="193"/>
      <c r="AE232" s="193"/>
      <c r="AF232" s="193"/>
      <c r="AG232" s="193"/>
      <c r="AH232" s="193"/>
      <c r="AI232" s="193"/>
      <c r="AJ232" s="193"/>
      <c r="AK232" s="193"/>
      <c r="AL232" s="193"/>
      <c r="AM232" s="193"/>
      <c r="AN232" s="193"/>
      <c r="AO232" s="193"/>
      <c r="AP232" s="193"/>
      <c r="AQ232" s="193"/>
      <c r="AR232" s="193"/>
      <c r="AS232" s="193"/>
      <c r="AT232" s="193"/>
      <c r="AU232" s="193"/>
      <c r="AV232" s="193"/>
      <c r="AW232" s="193"/>
      <c r="AX232" s="193"/>
      <c r="AY232" s="193"/>
      <c r="AZ232" s="193"/>
      <c r="BA232" s="193"/>
      <c r="BB232" s="193"/>
      <c r="BC232" s="193"/>
      <c r="BD232" s="193"/>
      <c r="BE232" s="193"/>
      <c r="BF232" s="193"/>
      <c r="BG232" s="193"/>
      <c r="BH232" s="193"/>
      <c r="BI232" s="193"/>
      <c r="BJ232" s="193"/>
      <c r="BK232" s="193"/>
      <c r="BL232" s="193"/>
      <c r="BM232" s="193"/>
      <c r="BN232" s="193"/>
      <c r="BO232" s="193"/>
      <c r="BP232" s="193"/>
      <c r="BQ232" s="193"/>
      <c r="BR232" s="193"/>
      <c r="BS232" s="193"/>
      <c r="BT232" s="193"/>
      <c r="BU232" s="193"/>
      <c r="BV232" s="193"/>
      <c r="BW232" s="193"/>
      <c r="BX232" s="193"/>
      <c r="BY232" s="193"/>
      <c r="BZ232" s="193"/>
      <c r="CA232" s="193"/>
      <c r="CB232" s="963"/>
      <c r="CC232" s="193"/>
      <c r="CD232" s="193"/>
      <c r="CE232" s="193"/>
      <c r="CL232" s="334"/>
      <c r="CS232" s="158"/>
      <c r="CT232" s="158"/>
      <c r="CU232" s="158"/>
      <c r="CV232" s="316"/>
      <c r="DC232" s="334"/>
      <c r="DI232" s="158"/>
      <c r="DJ232" s="316"/>
      <c r="DQ232" s="334"/>
      <c r="DW232" s="158"/>
      <c r="EE232" s="334"/>
      <c r="EK232" s="158"/>
      <c r="EY232" s="158"/>
      <c r="FF232" s="816"/>
    </row>
    <row r="233" spans="2:162" s="192" customFormat="1" ht="18" customHeight="1">
      <c r="B233" s="193"/>
      <c r="C233" s="193"/>
      <c r="D233" s="193"/>
      <c r="E233" s="194"/>
      <c r="F233" s="193"/>
      <c r="G233" s="193"/>
      <c r="H233" s="193"/>
      <c r="I233" s="193"/>
      <c r="J233" s="193"/>
      <c r="K233" s="193"/>
      <c r="L233" s="193"/>
      <c r="M233" s="193"/>
      <c r="N233" s="193"/>
      <c r="O233" s="193"/>
      <c r="P233" s="193"/>
      <c r="Q233" s="193"/>
      <c r="R233" s="193"/>
      <c r="S233" s="193"/>
      <c r="T233" s="193"/>
      <c r="U233" s="193"/>
      <c r="V233" s="193"/>
      <c r="W233" s="193"/>
      <c r="X233" s="193"/>
      <c r="Y233" s="193"/>
      <c r="Z233" s="193"/>
      <c r="AA233" s="193"/>
      <c r="AB233" s="193"/>
      <c r="AC233" s="193"/>
      <c r="AD233" s="193"/>
      <c r="AE233" s="193"/>
      <c r="AF233" s="193"/>
      <c r="AG233" s="193"/>
      <c r="AH233" s="193"/>
      <c r="AI233" s="193"/>
      <c r="AJ233" s="193"/>
      <c r="AK233" s="193"/>
      <c r="AL233" s="193"/>
      <c r="AM233" s="193"/>
      <c r="AN233" s="193"/>
      <c r="AO233" s="193"/>
      <c r="AP233" s="193"/>
      <c r="AQ233" s="193"/>
      <c r="AR233" s="193"/>
      <c r="AS233" s="193"/>
      <c r="AT233" s="193"/>
      <c r="AU233" s="193"/>
      <c r="AV233" s="193"/>
      <c r="AW233" s="193"/>
      <c r="AX233" s="193"/>
      <c r="AY233" s="193"/>
      <c r="AZ233" s="193"/>
      <c r="BA233" s="193"/>
      <c r="BB233" s="193"/>
      <c r="BC233" s="193"/>
      <c r="BD233" s="193"/>
      <c r="BE233" s="193"/>
      <c r="BF233" s="193"/>
      <c r="BG233" s="193"/>
      <c r="BH233" s="193"/>
      <c r="BI233" s="193"/>
      <c r="BJ233" s="193"/>
      <c r="BK233" s="193"/>
      <c r="BL233" s="193"/>
      <c r="BM233" s="193"/>
      <c r="BN233" s="193"/>
      <c r="BO233" s="193"/>
      <c r="BP233" s="193"/>
      <c r="BQ233" s="193"/>
      <c r="BR233" s="193"/>
      <c r="BS233" s="193"/>
      <c r="BT233" s="193"/>
      <c r="BU233" s="193"/>
      <c r="BV233" s="193"/>
      <c r="BW233" s="193"/>
      <c r="BX233" s="193"/>
      <c r="BY233" s="193"/>
      <c r="BZ233" s="193"/>
      <c r="CA233" s="193"/>
      <c r="CB233" s="963"/>
      <c r="CC233" s="193"/>
      <c r="CD233" s="193"/>
      <c r="CE233" s="193"/>
      <c r="CL233" s="334"/>
      <c r="CS233" s="158"/>
      <c r="CT233" s="158"/>
      <c r="CU233" s="158"/>
      <c r="CV233" s="316"/>
      <c r="DC233" s="334"/>
      <c r="DI233" s="158"/>
      <c r="DJ233" s="316"/>
      <c r="DQ233" s="334"/>
      <c r="DW233" s="158"/>
      <c r="EE233" s="334"/>
      <c r="EK233" s="158"/>
      <c r="EY233" s="158"/>
      <c r="FF233" s="816"/>
    </row>
    <row r="234" spans="2:162" s="192" customFormat="1" ht="18" customHeight="1">
      <c r="B234" s="193"/>
      <c r="C234" s="193"/>
      <c r="D234" s="193"/>
      <c r="E234" s="194"/>
      <c r="F234" s="193"/>
      <c r="G234" s="193"/>
      <c r="H234" s="193"/>
      <c r="I234" s="193"/>
      <c r="J234" s="193"/>
      <c r="K234" s="193"/>
      <c r="L234" s="193"/>
      <c r="M234" s="193"/>
      <c r="N234" s="193"/>
      <c r="O234" s="193"/>
      <c r="P234" s="193"/>
      <c r="Q234" s="193"/>
      <c r="R234" s="193"/>
      <c r="S234" s="193"/>
      <c r="T234" s="193"/>
      <c r="U234" s="193"/>
      <c r="V234" s="193"/>
      <c r="W234" s="193"/>
      <c r="X234" s="193"/>
      <c r="Y234" s="193"/>
      <c r="Z234" s="193"/>
      <c r="AA234" s="193"/>
      <c r="AB234" s="193"/>
      <c r="AC234" s="193"/>
      <c r="AD234" s="193"/>
      <c r="AE234" s="193"/>
      <c r="AF234" s="193"/>
      <c r="AG234" s="193"/>
      <c r="AH234" s="193"/>
      <c r="AI234" s="193"/>
      <c r="AJ234" s="193"/>
      <c r="AK234" s="193"/>
      <c r="AL234" s="193"/>
      <c r="AM234" s="193"/>
      <c r="AN234" s="193"/>
      <c r="AO234" s="193"/>
      <c r="AP234" s="193"/>
      <c r="AQ234" s="193"/>
      <c r="AR234" s="193"/>
      <c r="AS234" s="193"/>
      <c r="AT234" s="193"/>
      <c r="AU234" s="193"/>
      <c r="AV234" s="193"/>
      <c r="AW234" s="193"/>
      <c r="AX234" s="193"/>
      <c r="AY234" s="193"/>
      <c r="AZ234" s="193"/>
      <c r="BA234" s="193"/>
      <c r="BB234" s="193"/>
      <c r="BC234" s="193"/>
      <c r="BD234" s="193"/>
      <c r="BE234" s="193"/>
      <c r="BF234" s="193"/>
      <c r="BG234" s="193"/>
      <c r="BH234" s="193"/>
      <c r="BI234" s="193"/>
      <c r="BJ234" s="193"/>
      <c r="BK234" s="193"/>
      <c r="BL234" s="193"/>
      <c r="BM234" s="193"/>
      <c r="BN234" s="193"/>
      <c r="BO234" s="193"/>
      <c r="BP234" s="193"/>
      <c r="BQ234" s="193"/>
      <c r="BR234" s="193"/>
      <c r="BS234" s="193"/>
      <c r="BT234" s="193"/>
      <c r="BU234" s="193"/>
      <c r="BV234" s="193"/>
      <c r="BW234" s="193"/>
      <c r="BX234" s="193"/>
      <c r="BY234" s="193"/>
      <c r="BZ234" s="193"/>
      <c r="CA234" s="193"/>
      <c r="CB234" s="963"/>
      <c r="CC234" s="193"/>
      <c r="CD234" s="193"/>
      <c r="CE234" s="193"/>
      <c r="CL234" s="334"/>
      <c r="CS234" s="158"/>
      <c r="CT234" s="158"/>
      <c r="CU234" s="158"/>
      <c r="CV234" s="316"/>
      <c r="DC234" s="334"/>
      <c r="DI234" s="158"/>
      <c r="DJ234" s="316"/>
      <c r="DQ234" s="334"/>
      <c r="DW234" s="158"/>
      <c r="EE234" s="334"/>
      <c r="EK234" s="158"/>
      <c r="EY234" s="158"/>
      <c r="FF234" s="816"/>
    </row>
    <row r="235" spans="2:162" s="192" customFormat="1" ht="18" customHeight="1">
      <c r="B235" s="193"/>
      <c r="C235" s="193"/>
      <c r="D235" s="193"/>
      <c r="E235" s="194"/>
      <c r="F235" s="193"/>
      <c r="G235" s="193"/>
      <c r="H235" s="193"/>
      <c r="I235" s="193"/>
      <c r="J235" s="193"/>
      <c r="K235" s="193"/>
      <c r="L235" s="193"/>
      <c r="M235" s="193"/>
      <c r="N235" s="193"/>
      <c r="O235" s="193"/>
      <c r="P235" s="193"/>
      <c r="Q235" s="193"/>
      <c r="R235" s="193"/>
      <c r="S235" s="193"/>
      <c r="T235" s="193"/>
      <c r="U235" s="193"/>
      <c r="V235" s="193"/>
      <c r="W235" s="193"/>
      <c r="X235" s="193"/>
      <c r="Y235" s="193"/>
      <c r="Z235" s="193"/>
      <c r="AA235" s="193"/>
      <c r="AB235" s="193"/>
      <c r="AC235" s="193"/>
      <c r="AD235" s="193"/>
      <c r="AE235" s="193"/>
      <c r="AF235" s="193"/>
      <c r="AG235" s="193"/>
      <c r="AH235" s="193"/>
      <c r="AI235" s="193"/>
      <c r="AJ235" s="193"/>
      <c r="AK235" s="193"/>
      <c r="AL235" s="193"/>
      <c r="AM235" s="193"/>
      <c r="AN235" s="193"/>
      <c r="AO235" s="193"/>
      <c r="AP235" s="193"/>
      <c r="AQ235" s="193"/>
      <c r="AR235" s="193"/>
      <c r="AS235" s="193"/>
      <c r="AT235" s="193"/>
      <c r="AU235" s="193"/>
      <c r="AV235" s="193"/>
      <c r="AW235" s="193"/>
      <c r="AX235" s="193"/>
      <c r="AY235" s="193"/>
      <c r="AZ235" s="193"/>
      <c r="BA235" s="193"/>
      <c r="BB235" s="193"/>
      <c r="BC235" s="193"/>
      <c r="BD235" s="193"/>
      <c r="BE235" s="193"/>
      <c r="BF235" s="193"/>
      <c r="BG235" s="193"/>
      <c r="BH235" s="193"/>
      <c r="BI235" s="193"/>
      <c r="BJ235" s="193"/>
      <c r="BK235" s="193"/>
      <c r="BL235" s="193"/>
      <c r="BM235" s="193"/>
      <c r="BN235" s="193"/>
      <c r="BO235" s="193"/>
      <c r="BP235" s="193"/>
      <c r="BQ235" s="193"/>
      <c r="BR235" s="193"/>
      <c r="BS235" s="193"/>
      <c r="BT235" s="193"/>
      <c r="BU235" s="193"/>
      <c r="BV235" s="193"/>
      <c r="BW235" s="193"/>
      <c r="BX235" s="193"/>
      <c r="BY235" s="193"/>
      <c r="BZ235" s="193"/>
      <c r="CA235" s="193"/>
      <c r="CB235" s="963"/>
      <c r="CC235" s="193"/>
      <c r="CD235" s="193"/>
      <c r="CE235" s="193"/>
      <c r="CL235" s="334"/>
      <c r="CS235" s="158"/>
      <c r="CT235" s="158"/>
      <c r="CU235" s="158"/>
      <c r="CV235" s="316"/>
      <c r="DC235" s="334"/>
      <c r="DI235" s="158"/>
      <c r="DJ235" s="316"/>
      <c r="DQ235" s="334"/>
      <c r="DW235" s="158"/>
      <c r="EE235" s="334"/>
      <c r="EK235" s="158"/>
      <c r="EY235" s="158"/>
      <c r="FF235" s="816"/>
    </row>
    <row r="236" spans="2:162" s="192" customFormat="1" ht="18" customHeight="1">
      <c r="B236" s="193"/>
      <c r="C236" s="193"/>
      <c r="D236" s="193"/>
      <c r="E236" s="194"/>
      <c r="F236" s="193"/>
      <c r="G236" s="193"/>
      <c r="H236" s="193"/>
      <c r="I236" s="193"/>
      <c r="J236" s="193"/>
      <c r="K236" s="193"/>
      <c r="L236" s="193"/>
      <c r="M236" s="193"/>
      <c r="N236" s="193"/>
      <c r="O236" s="193"/>
      <c r="P236" s="193"/>
      <c r="Q236" s="193"/>
      <c r="R236" s="193"/>
      <c r="S236" s="193"/>
      <c r="T236" s="193"/>
      <c r="U236" s="193"/>
      <c r="V236" s="193"/>
      <c r="W236" s="193"/>
      <c r="X236" s="193"/>
      <c r="Y236" s="193"/>
      <c r="Z236" s="193"/>
      <c r="AA236" s="193"/>
      <c r="AB236" s="193"/>
      <c r="AC236" s="193"/>
      <c r="AD236" s="193"/>
      <c r="AE236" s="193"/>
      <c r="AF236" s="193"/>
      <c r="AG236" s="193"/>
      <c r="AH236" s="193"/>
      <c r="AI236" s="193"/>
      <c r="AJ236" s="193"/>
      <c r="AK236" s="193"/>
      <c r="AL236" s="193"/>
      <c r="AM236" s="193"/>
      <c r="AN236" s="193"/>
      <c r="AO236" s="193"/>
      <c r="AP236" s="193"/>
      <c r="AQ236" s="193"/>
      <c r="AR236" s="193"/>
      <c r="AS236" s="193"/>
      <c r="AT236" s="193"/>
      <c r="AU236" s="193"/>
      <c r="AV236" s="193"/>
      <c r="AW236" s="193"/>
      <c r="AX236" s="193"/>
      <c r="AY236" s="193"/>
      <c r="AZ236" s="193"/>
      <c r="BA236" s="193"/>
      <c r="BB236" s="193"/>
      <c r="BC236" s="193"/>
      <c r="BD236" s="193"/>
      <c r="BE236" s="193"/>
      <c r="BF236" s="193"/>
      <c r="BG236" s="193"/>
      <c r="BH236" s="193"/>
      <c r="BI236" s="193"/>
      <c r="BJ236" s="193"/>
      <c r="BK236" s="193"/>
      <c r="BL236" s="193"/>
      <c r="BM236" s="193"/>
      <c r="BN236" s="193"/>
      <c r="BO236" s="193"/>
      <c r="BP236" s="193"/>
      <c r="BQ236" s="193"/>
      <c r="BR236" s="193"/>
      <c r="BS236" s="193"/>
      <c r="BT236" s="193"/>
      <c r="BU236" s="193"/>
      <c r="BV236" s="193"/>
      <c r="BW236" s="193"/>
      <c r="BX236" s="193"/>
      <c r="BY236" s="193"/>
      <c r="BZ236" s="193"/>
      <c r="CA236" s="193"/>
      <c r="CB236" s="963"/>
      <c r="CC236" s="193"/>
      <c r="CD236" s="193"/>
      <c r="CE236" s="193"/>
      <c r="CL236" s="334"/>
      <c r="CS236" s="158"/>
      <c r="CT236" s="158"/>
      <c r="CU236" s="158"/>
      <c r="CV236" s="316"/>
      <c r="DC236" s="334"/>
      <c r="DI236" s="158"/>
      <c r="DJ236" s="316"/>
      <c r="DQ236" s="334"/>
      <c r="DW236" s="158"/>
      <c r="EE236" s="334"/>
      <c r="EK236" s="158"/>
      <c r="EY236" s="158"/>
      <c r="FF236" s="816"/>
    </row>
    <row r="237" spans="2:162" s="192" customFormat="1" ht="18" customHeight="1">
      <c r="B237" s="193"/>
      <c r="C237" s="193"/>
      <c r="D237" s="193"/>
      <c r="E237" s="194"/>
      <c r="F237" s="193"/>
      <c r="G237" s="193"/>
      <c r="H237" s="193"/>
      <c r="I237" s="193"/>
      <c r="J237" s="193"/>
      <c r="K237" s="193"/>
      <c r="L237" s="193"/>
      <c r="M237" s="193"/>
      <c r="N237" s="193"/>
      <c r="O237" s="193"/>
      <c r="P237" s="193"/>
      <c r="Q237" s="193"/>
      <c r="R237" s="193"/>
      <c r="S237" s="193"/>
      <c r="T237" s="193"/>
      <c r="U237" s="193"/>
      <c r="V237" s="193"/>
      <c r="W237" s="193"/>
      <c r="X237" s="193"/>
      <c r="Y237" s="193"/>
      <c r="Z237" s="193"/>
      <c r="AA237" s="193"/>
      <c r="AB237" s="193"/>
      <c r="AC237" s="193"/>
      <c r="AD237" s="193"/>
      <c r="AE237" s="193"/>
      <c r="AF237" s="193"/>
      <c r="AG237" s="193"/>
      <c r="AH237" s="193"/>
      <c r="AI237" s="193"/>
      <c r="AJ237" s="193"/>
      <c r="AK237" s="193"/>
      <c r="AL237" s="193"/>
      <c r="AM237" s="193"/>
      <c r="AN237" s="193"/>
      <c r="AO237" s="193"/>
      <c r="AP237" s="193"/>
      <c r="AQ237" s="193"/>
      <c r="AR237" s="193"/>
      <c r="AS237" s="193"/>
      <c r="AT237" s="193"/>
      <c r="AU237" s="193"/>
      <c r="AV237" s="193"/>
      <c r="AW237" s="193"/>
      <c r="AX237" s="193"/>
      <c r="AY237" s="193"/>
      <c r="AZ237" s="193"/>
      <c r="BA237" s="193"/>
      <c r="BB237" s="193"/>
      <c r="BC237" s="193"/>
      <c r="BD237" s="193"/>
      <c r="BE237" s="193"/>
      <c r="BF237" s="193"/>
      <c r="BG237" s="193"/>
      <c r="BH237" s="193"/>
      <c r="BI237" s="193"/>
      <c r="BJ237" s="193"/>
      <c r="BK237" s="193"/>
      <c r="BL237" s="193"/>
      <c r="BM237" s="193"/>
      <c r="BN237" s="193"/>
      <c r="BO237" s="193"/>
      <c r="BP237" s="193"/>
      <c r="BQ237" s="193"/>
      <c r="BR237" s="193"/>
      <c r="BS237" s="193"/>
      <c r="BT237" s="193"/>
      <c r="BU237" s="193"/>
      <c r="BV237" s="193"/>
      <c r="BW237" s="193"/>
      <c r="BX237" s="193"/>
      <c r="BY237" s="193"/>
      <c r="BZ237" s="193"/>
      <c r="CA237" s="193"/>
      <c r="CB237" s="963"/>
      <c r="CC237" s="193"/>
      <c r="CD237" s="193"/>
      <c r="CE237" s="193"/>
      <c r="CL237" s="334"/>
      <c r="CS237" s="158"/>
      <c r="CT237" s="158"/>
      <c r="CU237" s="158"/>
      <c r="CV237" s="316"/>
      <c r="DC237" s="334"/>
      <c r="DI237" s="158"/>
      <c r="DJ237" s="316"/>
      <c r="DQ237" s="334"/>
      <c r="DW237" s="158"/>
      <c r="EE237" s="334"/>
      <c r="EK237" s="158"/>
      <c r="EY237" s="158"/>
      <c r="FF237" s="816"/>
    </row>
    <row r="238" spans="2:162" s="192" customFormat="1" ht="18" customHeight="1">
      <c r="B238" s="193"/>
      <c r="C238" s="193"/>
      <c r="D238" s="193"/>
      <c r="E238" s="194"/>
      <c r="F238" s="193"/>
      <c r="G238" s="193"/>
      <c r="H238" s="193"/>
      <c r="I238" s="193"/>
      <c r="J238" s="193"/>
      <c r="K238" s="193"/>
      <c r="L238" s="193"/>
      <c r="M238" s="193"/>
      <c r="N238" s="193"/>
      <c r="O238" s="193"/>
      <c r="P238" s="193"/>
      <c r="Q238" s="193"/>
      <c r="R238" s="193"/>
      <c r="S238" s="193"/>
      <c r="T238" s="193"/>
      <c r="U238" s="193"/>
      <c r="V238" s="193"/>
      <c r="W238" s="193"/>
      <c r="X238" s="193"/>
      <c r="Y238" s="193"/>
      <c r="Z238" s="193"/>
      <c r="AA238" s="193"/>
      <c r="AB238" s="193"/>
      <c r="AC238" s="193"/>
      <c r="AD238" s="193"/>
      <c r="AE238" s="193"/>
      <c r="AF238" s="193"/>
      <c r="AG238" s="193"/>
      <c r="AH238" s="193"/>
      <c r="AI238" s="193"/>
      <c r="AJ238" s="193"/>
      <c r="AK238" s="193"/>
      <c r="AL238" s="193"/>
      <c r="AM238" s="193"/>
      <c r="AN238" s="193"/>
      <c r="AO238" s="193"/>
      <c r="AP238" s="193"/>
      <c r="AQ238" s="193"/>
      <c r="AR238" s="193"/>
      <c r="AS238" s="193"/>
      <c r="AT238" s="193"/>
      <c r="AU238" s="193"/>
      <c r="AV238" s="193"/>
      <c r="AW238" s="193"/>
      <c r="AX238" s="193"/>
      <c r="AY238" s="193"/>
      <c r="AZ238" s="193"/>
      <c r="BA238" s="193"/>
      <c r="BB238" s="193"/>
      <c r="BC238" s="193"/>
      <c r="BD238" s="193"/>
      <c r="BE238" s="193"/>
      <c r="BF238" s="193"/>
      <c r="BG238" s="193"/>
      <c r="BH238" s="193"/>
      <c r="BI238" s="193"/>
      <c r="BJ238" s="193"/>
      <c r="BK238" s="193"/>
      <c r="BL238" s="193"/>
      <c r="BM238" s="193"/>
      <c r="BN238" s="193"/>
      <c r="BO238" s="193"/>
      <c r="BP238" s="193"/>
      <c r="BQ238" s="193"/>
      <c r="BR238" s="193"/>
      <c r="BS238" s="193"/>
      <c r="BT238" s="193"/>
      <c r="BU238" s="193"/>
      <c r="BV238" s="193"/>
      <c r="BW238" s="193"/>
      <c r="BX238" s="193"/>
      <c r="BY238" s="193"/>
      <c r="BZ238" s="193"/>
      <c r="CA238" s="193"/>
      <c r="CB238" s="963"/>
      <c r="CC238" s="193"/>
      <c r="CD238" s="193"/>
      <c r="CE238" s="193"/>
      <c r="CL238" s="334"/>
      <c r="CS238" s="158"/>
      <c r="CT238" s="158"/>
      <c r="CU238" s="158"/>
      <c r="CV238" s="316"/>
      <c r="DC238" s="334"/>
      <c r="DI238" s="158"/>
      <c r="DJ238" s="316"/>
      <c r="DQ238" s="334"/>
      <c r="DW238" s="158"/>
      <c r="EE238" s="334"/>
      <c r="EK238" s="158"/>
      <c r="EY238" s="158"/>
      <c r="FF238" s="816"/>
    </row>
    <row r="239" spans="2:162" s="192" customFormat="1" ht="18" customHeight="1">
      <c r="B239" s="193"/>
      <c r="C239" s="193"/>
      <c r="D239" s="193"/>
      <c r="E239" s="194"/>
      <c r="F239" s="193"/>
      <c r="G239" s="193"/>
      <c r="H239" s="193"/>
      <c r="I239" s="193"/>
      <c r="J239" s="193"/>
      <c r="K239" s="193"/>
      <c r="L239" s="193"/>
      <c r="M239" s="193"/>
      <c r="N239" s="193"/>
      <c r="O239" s="193"/>
      <c r="P239" s="193"/>
      <c r="Q239" s="193"/>
      <c r="R239" s="193"/>
      <c r="S239" s="193"/>
      <c r="T239" s="193"/>
      <c r="U239" s="193"/>
      <c r="V239" s="193"/>
      <c r="W239" s="193"/>
      <c r="X239" s="193"/>
      <c r="Y239" s="193"/>
      <c r="Z239" s="193"/>
      <c r="AA239" s="193"/>
      <c r="AB239" s="193"/>
      <c r="AC239" s="193"/>
      <c r="AD239" s="193"/>
      <c r="AE239" s="193"/>
      <c r="AF239" s="193"/>
      <c r="AG239" s="193"/>
      <c r="AH239" s="193"/>
      <c r="AI239" s="193"/>
      <c r="AJ239" s="193"/>
      <c r="AK239" s="193"/>
      <c r="AL239" s="193"/>
      <c r="AM239" s="193"/>
      <c r="AN239" s="193"/>
      <c r="AO239" s="193"/>
      <c r="AP239" s="193"/>
      <c r="AQ239" s="193"/>
      <c r="AR239" s="193"/>
      <c r="AS239" s="193"/>
      <c r="AT239" s="193"/>
      <c r="AU239" s="193"/>
      <c r="AV239" s="193"/>
      <c r="AW239" s="193"/>
      <c r="AX239" s="193"/>
      <c r="AY239" s="193"/>
      <c r="AZ239" s="193"/>
      <c r="BA239" s="193"/>
      <c r="BB239" s="193"/>
      <c r="BC239" s="193"/>
      <c r="BD239" s="193"/>
      <c r="BE239" s="193"/>
      <c r="BF239" s="193"/>
      <c r="BG239" s="193"/>
      <c r="BH239" s="193"/>
      <c r="BI239" s="193"/>
      <c r="BJ239" s="193"/>
      <c r="BK239" s="193"/>
      <c r="BL239" s="193"/>
      <c r="BM239" s="193"/>
      <c r="BN239" s="193"/>
      <c r="BO239" s="193"/>
      <c r="BP239" s="193"/>
      <c r="BQ239" s="193"/>
      <c r="BR239" s="193"/>
      <c r="BS239" s="193"/>
      <c r="BT239" s="193"/>
      <c r="BU239" s="193"/>
      <c r="BV239" s="193"/>
      <c r="BW239" s="193"/>
      <c r="BX239" s="193"/>
      <c r="BY239" s="193"/>
      <c r="BZ239" s="193"/>
      <c r="CA239" s="193"/>
      <c r="CB239" s="963"/>
      <c r="CC239" s="193"/>
      <c r="CD239" s="193"/>
      <c r="CE239" s="193"/>
      <c r="CL239" s="334"/>
      <c r="CS239" s="158"/>
      <c r="CT239" s="158"/>
      <c r="CU239" s="158"/>
      <c r="CV239" s="316"/>
      <c r="DC239" s="334"/>
      <c r="DI239" s="158"/>
      <c r="DJ239" s="316"/>
      <c r="DQ239" s="334"/>
      <c r="DW239" s="158"/>
      <c r="EE239" s="334"/>
      <c r="EK239" s="158"/>
      <c r="EY239" s="158"/>
      <c r="FF239" s="816"/>
    </row>
    <row r="240" spans="2:162" s="192" customFormat="1" ht="18" customHeight="1">
      <c r="B240" s="193"/>
      <c r="C240" s="193"/>
      <c r="D240" s="193"/>
      <c r="E240" s="194"/>
      <c r="F240" s="193"/>
      <c r="G240" s="193"/>
      <c r="H240" s="193"/>
      <c r="I240" s="193"/>
      <c r="J240" s="193"/>
      <c r="K240" s="193"/>
      <c r="L240" s="193"/>
      <c r="M240" s="193"/>
      <c r="N240" s="193"/>
      <c r="O240" s="193"/>
      <c r="P240" s="193"/>
      <c r="Q240" s="193"/>
      <c r="R240" s="193"/>
      <c r="S240" s="193"/>
      <c r="T240" s="193"/>
      <c r="U240" s="193"/>
      <c r="V240" s="193"/>
      <c r="W240" s="193"/>
      <c r="X240" s="193"/>
      <c r="Y240" s="193"/>
      <c r="Z240" s="193"/>
      <c r="AA240" s="193"/>
      <c r="AB240" s="193"/>
      <c r="AC240" s="193"/>
      <c r="AD240" s="193"/>
      <c r="AE240" s="193"/>
      <c r="AF240" s="193"/>
      <c r="AG240" s="193"/>
      <c r="AH240" s="193"/>
      <c r="AI240" s="193"/>
      <c r="AJ240" s="193"/>
      <c r="AK240" s="193"/>
      <c r="AL240" s="193"/>
      <c r="AM240" s="193"/>
      <c r="AN240" s="193"/>
      <c r="AO240" s="193"/>
      <c r="AP240" s="193"/>
      <c r="AQ240" s="193"/>
      <c r="AR240" s="193"/>
      <c r="AS240" s="193"/>
      <c r="AT240" s="193"/>
      <c r="AU240" s="193"/>
      <c r="AV240" s="193"/>
      <c r="AW240" s="193"/>
      <c r="AX240" s="193"/>
      <c r="AY240" s="193"/>
      <c r="AZ240" s="193"/>
      <c r="BA240" s="193"/>
      <c r="BB240" s="193"/>
      <c r="BC240" s="193"/>
      <c r="BD240" s="193"/>
      <c r="BE240" s="193"/>
      <c r="BF240" s="193"/>
      <c r="BG240" s="193"/>
      <c r="BH240" s="193"/>
      <c r="BI240" s="193"/>
      <c r="BJ240" s="193"/>
      <c r="BK240" s="193"/>
      <c r="BL240" s="193"/>
      <c r="BM240" s="193"/>
      <c r="BN240" s="193"/>
      <c r="BO240" s="193"/>
      <c r="BP240" s="193"/>
      <c r="BQ240" s="193"/>
      <c r="BR240" s="193"/>
      <c r="BS240" s="193"/>
      <c r="BT240" s="193"/>
      <c r="BU240" s="193"/>
      <c r="BV240" s="193"/>
      <c r="BW240" s="193"/>
      <c r="BX240" s="193"/>
      <c r="BY240" s="193"/>
      <c r="BZ240" s="193"/>
      <c r="CA240" s="193"/>
      <c r="CB240" s="963"/>
      <c r="CC240" s="193"/>
      <c r="CD240" s="193"/>
      <c r="CE240" s="193"/>
      <c r="CL240" s="334"/>
      <c r="CS240" s="158"/>
      <c r="CT240" s="158"/>
      <c r="CU240" s="158"/>
      <c r="CV240" s="316"/>
      <c r="DC240" s="334"/>
      <c r="DI240" s="158"/>
      <c r="DJ240" s="316"/>
      <c r="DQ240" s="334"/>
      <c r="DW240" s="158"/>
      <c r="EE240" s="334"/>
      <c r="EK240" s="158"/>
      <c r="EY240" s="158"/>
      <c r="FF240" s="816"/>
    </row>
    <row r="241" spans="2:162" s="192" customFormat="1" ht="18" customHeight="1">
      <c r="B241" s="193"/>
      <c r="C241" s="193"/>
      <c r="D241" s="193"/>
      <c r="E241" s="194"/>
      <c r="F241" s="193"/>
      <c r="G241" s="193"/>
      <c r="H241" s="193"/>
      <c r="I241" s="193"/>
      <c r="J241" s="193"/>
      <c r="K241" s="193"/>
      <c r="L241" s="193"/>
      <c r="M241" s="193"/>
      <c r="N241" s="193"/>
      <c r="O241" s="193"/>
      <c r="P241" s="193"/>
      <c r="Q241" s="193"/>
      <c r="R241" s="193"/>
      <c r="S241" s="193"/>
      <c r="T241" s="193"/>
      <c r="U241" s="193"/>
      <c r="V241" s="193"/>
      <c r="W241" s="193"/>
      <c r="X241" s="193"/>
      <c r="Y241" s="193"/>
      <c r="Z241" s="193"/>
      <c r="AA241" s="193"/>
      <c r="AB241" s="193"/>
      <c r="AC241" s="193"/>
      <c r="AD241" s="193"/>
      <c r="AE241" s="193"/>
      <c r="AF241" s="193"/>
      <c r="AG241" s="193"/>
      <c r="AH241" s="193"/>
      <c r="AI241" s="193"/>
      <c r="AJ241" s="193"/>
      <c r="AK241" s="193"/>
      <c r="AL241" s="193"/>
      <c r="AM241" s="193"/>
      <c r="AN241" s="193"/>
      <c r="AO241" s="193"/>
      <c r="AP241" s="193"/>
      <c r="AQ241" s="193"/>
      <c r="AR241" s="193"/>
      <c r="AS241" s="193"/>
      <c r="AT241" s="193"/>
      <c r="AU241" s="193"/>
      <c r="AV241" s="193"/>
      <c r="AW241" s="193"/>
      <c r="AX241" s="193"/>
      <c r="AY241" s="193"/>
      <c r="AZ241" s="193"/>
      <c r="BA241" s="193"/>
      <c r="BB241" s="193"/>
      <c r="BC241" s="193"/>
      <c r="BD241" s="193"/>
      <c r="BE241" s="193"/>
      <c r="BF241" s="193"/>
      <c r="BG241" s="193"/>
      <c r="BH241" s="193"/>
      <c r="BI241" s="193"/>
      <c r="BJ241" s="193"/>
      <c r="BK241" s="193"/>
      <c r="BL241" s="193"/>
      <c r="BM241" s="193"/>
      <c r="BN241" s="193"/>
      <c r="BO241" s="193"/>
      <c r="BP241" s="193"/>
      <c r="BQ241" s="193"/>
      <c r="BR241" s="193"/>
      <c r="BS241" s="193"/>
      <c r="BT241" s="193"/>
      <c r="BU241" s="193"/>
      <c r="BV241" s="193"/>
      <c r="BW241" s="193"/>
      <c r="BX241" s="193"/>
      <c r="BY241" s="193"/>
      <c r="BZ241" s="193"/>
      <c r="CA241" s="193"/>
      <c r="CB241" s="963"/>
      <c r="CC241" s="193"/>
      <c r="CD241" s="193"/>
      <c r="CE241" s="193"/>
      <c r="CL241" s="334"/>
      <c r="CS241" s="158"/>
      <c r="CT241" s="158"/>
      <c r="CU241" s="158"/>
      <c r="CV241" s="316"/>
      <c r="DC241" s="334"/>
      <c r="DI241" s="158"/>
      <c r="DJ241" s="316"/>
      <c r="DQ241" s="334"/>
      <c r="DW241" s="158"/>
      <c r="EE241" s="334"/>
      <c r="EK241" s="158"/>
      <c r="EY241" s="158"/>
      <c r="FF241" s="816"/>
    </row>
    <row r="242" spans="2:162" s="192" customFormat="1" ht="18" customHeight="1">
      <c r="B242" s="193"/>
      <c r="C242" s="193"/>
      <c r="D242" s="193"/>
      <c r="E242" s="194"/>
      <c r="F242" s="193"/>
      <c r="G242" s="193"/>
      <c r="H242" s="193"/>
      <c r="I242" s="193"/>
      <c r="J242" s="193"/>
      <c r="K242" s="193"/>
      <c r="L242" s="193"/>
      <c r="M242" s="193"/>
      <c r="N242" s="193"/>
      <c r="O242" s="193"/>
      <c r="P242" s="193"/>
      <c r="Q242" s="193"/>
      <c r="R242" s="193"/>
      <c r="S242" s="193"/>
      <c r="T242" s="193"/>
      <c r="U242" s="193"/>
      <c r="V242" s="193"/>
      <c r="W242" s="193"/>
      <c r="X242" s="193"/>
      <c r="Y242" s="193"/>
      <c r="Z242" s="193"/>
      <c r="AA242" s="193"/>
      <c r="AB242" s="193"/>
      <c r="AC242" s="193"/>
      <c r="AD242" s="193"/>
      <c r="AE242" s="193"/>
      <c r="AF242" s="193"/>
      <c r="AG242" s="193"/>
      <c r="AH242" s="193"/>
      <c r="AI242" s="193"/>
      <c r="AJ242" s="193"/>
      <c r="AK242" s="193"/>
      <c r="AL242" s="193"/>
      <c r="AM242" s="193"/>
      <c r="AN242" s="193"/>
      <c r="AO242" s="193"/>
      <c r="AP242" s="193"/>
      <c r="AQ242" s="193"/>
      <c r="AR242" s="193"/>
      <c r="AS242" s="193"/>
      <c r="AT242" s="193"/>
      <c r="AU242" s="193"/>
      <c r="AV242" s="193"/>
      <c r="AW242" s="193"/>
      <c r="AX242" s="193"/>
      <c r="AY242" s="193"/>
      <c r="AZ242" s="193"/>
      <c r="BA242" s="193"/>
      <c r="BB242" s="193"/>
      <c r="BC242" s="193"/>
      <c r="BD242" s="193"/>
      <c r="BE242" s="193"/>
      <c r="BF242" s="193"/>
      <c r="BG242" s="193"/>
      <c r="BH242" s="193"/>
      <c r="BI242" s="193"/>
      <c r="BJ242" s="193"/>
      <c r="BK242" s="193"/>
      <c r="BL242" s="193"/>
      <c r="BM242" s="193"/>
      <c r="BN242" s="193"/>
      <c r="BO242" s="193"/>
      <c r="BP242" s="193"/>
      <c r="BQ242" s="193"/>
      <c r="BR242" s="193"/>
      <c r="BS242" s="193"/>
      <c r="BT242" s="193"/>
      <c r="BU242" s="193"/>
      <c r="BV242" s="193"/>
      <c r="BW242" s="193"/>
      <c r="BX242" s="193"/>
      <c r="BY242" s="193"/>
      <c r="BZ242" s="193"/>
      <c r="CA242" s="193"/>
      <c r="CB242" s="963"/>
      <c r="CC242" s="193"/>
      <c r="CD242" s="193"/>
      <c r="CE242" s="193"/>
      <c r="CL242" s="334"/>
      <c r="CS242" s="158"/>
      <c r="CT242" s="158"/>
      <c r="CU242" s="158"/>
      <c r="CV242" s="316"/>
      <c r="DC242" s="334"/>
      <c r="DI242" s="158"/>
      <c r="DJ242" s="316"/>
      <c r="DQ242" s="334"/>
      <c r="DW242" s="158"/>
      <c r="EE242" s="334"/>
      <c r="EK242" s="158"/>
      <c r="EY242" s="158"/>
      <c r="FF242" s="816"/>
    </row>
    <row r="243" spans="2:162" s="192" customFormat="1" ht="18" customHeight="1">
      <c r="B243" s="193"/>
      <c r="C243" s="193"/>
      <c r="D243" s="193"/>
      <c r="E243" s="194"/>
      <c r="F243" s="193"/>
      <c r="G243" s="193"/>
      <c r="H243" s="193"/>
      <c r="I243" s="193"/>
      <c r="J243" s="193"/>
      <c r="K243" s="193"/>
      <c r="L243" s="193"/>
      <c r="M243" s="193"/>
      <c r="N243" s="193"/>
      <c r="O243" s="193"/>
      <c r="P243" s="193"/>
      <c r="Q243" s="193"/>
      <c r="R243" s="193"/>
      <c r="S243" s="193"/>
      <c r="T243" s="193"/>
      <c r="U243" s="193"/>
      <c r="V243" s="193"/>
      <c r="W243" s="193"/>
      <c r="X243" s="193"/>
      <c r="Y243" s="193"/>
      <c r="Z243" s="193"/>
      <c r="AA243" s="193"/>
      <c r="AB243" s="193"/>
      <c r="AC243" s="193"/>
      <c r="AD243" s="193"/>
      <c r="AE243" s="193"/>
      <c r="AF243" s="193"/>
      <c r="AG243" s="193"/>
      <c r="AH243" s="193"/>
      <c r="AI243" s="193"/>
      <c r="AJ243" s="193"/>
      <c r="AK243" s="193"/>
      <c r="AL243" s="193"/>
      <c r="AM243" s="193"/>
      <c r="AN243" s="193"/>
      <c r="AO243" s="193"/>
      <c r="AP243" s="193"/>
      <c r="AQ243" s="193"/>
      <c r="AR243" s="193"/>
      <c r="AS243" s="193"/>
      <c r="AT243" s="193"/>
      <c r="AU243" s="193"/>
      <c r="AV243" s="193"/>
      <c r="AW243" s="193"/>
      <c r="AX243" s="193"/>
      <c r="AY243" s="193"/>
      <c r="AZ243" s="193"/>
      <c r="BA243" s="193"/>
      <c r="BB243" s="193"/>
      <c r="BC243" s="193"/>
      <c r="BD243" s="193"/>
      <c r="BE243" s="193"/>
      <c r="BF243" s="193"/>
      <c r="BG243" s="193"/>
      <c r="BH243" s="193"/>
      <c r="BI243" s="193"/>
      <c r="BJ243" s="193"/>
      <c r="BK243" s="193"/>
      <c r="BL243" s="193"/>
      <c r="BM243" s="193"/>
      <c r="BN243" s="193"/>
      <c r="BO243" s="193"/>
      <c r="BP243" s="193"/>
      <c r="BQ243" s="193"/>
      <c r="BR243" s="193"/>
      <c r="BS243" s="193"/>
      <c r="BT243" s="193"/>
      <c r="BU243" s="193"/>
      <c r="BV243" s="193"/>
      <c r="BW243" s="193"/>
      <c r="BX243" s="193"/>
      <c r="BY243" s="193"/>
      <c r="BZ243" s="193"/>
      <c r="CA243" s="193"/>
      <c r="CB243" s="963"/>
      <c r="CC243" s="193"/>
      <c r="CD243" s="193"/>
      <c r="CE243" s="193"/>
      <c r="CL243" s="334"/>
      <c r="CS243" s="158"/>
      <c r="CT243" s="158"/>
      <c r="CU243" s="158"/>
      <c r="CV243" s="316"/>
      <c r="DC243" s="334"/>
      <c r="DI243" s="158"/>
      <c r="DJ243" s="316"/>
      <c r="DQ243" s="334"/>
      <c r="DW243" s="158"/>
      <c r="EE243" s="334"/>
      <c r="EK243" s="158"/>
      <c r="EY243" s="158"/>
      <c r="FF243" s="816"/>
    </row>
    <row r="244" spans="2:162" s="192" customFormat="1" ht="18" customHeight="1">
      <c r="B244" s="193"/>
      <c r="C244" s="193"/>
      <c r="D244" s="193"/>
      <c r="E244" s="194"/>
      <c r="F244" s="193"/>
      <c r="G244" s="193"/>
      <c r="H244" s="193"/>
      <c r="I244" s="193"/>
      <c r="J244" s="193"/>
      <c r="K244" s="193"/>
      <c r="L244" s="193"/>
      <c r="M244" s="193"/>
      <c r="N244" s="193"/>
      <c r="O244" s="193"/>
      <c r="P244" s="193"/>
      <c r="Q244" s="193"/>
      <c r="R244" s="193"/>
      <c r="S244" s="193"/>
      <c r="T244" s="193"/>
      <c r="U244" s="193"/>
      <c r="V244" s="193"/>
      <c r="W244" s="193"/>
      <c r="X244" s="193"/>
      <c r="Y244" s="193"/>
      <c r="Z244" s="193"/>
      <c r="AA244" s="193"/>
      <c r="AB244" s="193"/>
      <c r="AC244" s="193"/>
      <c r="AD244" s="193"/>
      <c r="AE244" s="193"/>
      <c r="AF244" s="193"/>
      <c r="AG244" s="193"/>
      <c r="AH244" s="193"/>
      <c r="AI244" s="193"/>
      <c r="AJ244" s="193"/>
      <c r="AK244" s="193"/>
      <c r="AL244" s="193"/>
      <c r="AM244" s="193"/>
      <c r="AN244" s="193"/>
      <c r="AO244" s="193"/>
      <c r="AP244" s="193"/>
      <c r="AQ244" s="193"/>
      <c r="AR244" s="193"/>
      <c r="AS244" s="193"/>
      <c r="AT244" s="193"/>
      <c r="AU244" s="193"/>
      <c r="AV244" s="193"/>
      <c r="AW244" s="193"/>
      <c r="AX244" s="193"/>
      <c r="AY244" s="193"/>
      <c r="AZ244" s="193"/>
      <c r="BA244" s="193"/>
      <c r="BB244" s="193"/>
      <c r="BC244" s="193"/>
      <c r="BD244" s="193"/>
      <c r="BE244" s="193"/>
      <c r="BF244" s="193"/>
      <c r="BG244" s="193"/>
      <c r="BH244" s="193"/>
      <c r="BI244" s="193"/>
      <c r="BJ244" s="193"/>
      <c r="BK244" s="193"/>
      <c r="BL244" s="193"/>
      <c r="BM244" s="193"/>
      <c r="BN244" s="193"/>
      <c r="BO244" s="193"/>
      <c r="BP244" s="193"/>
      <c r="BQ244" s="193"/>
      <c r="BR244" s="193"/>
      <c r="BS244" s="193"/>
      <c r="BT244" s="193"/>
      <c r="BU244" s="193"/>
      <c r="BV244" s="193"/>
      <c r="BW244" s="193"/>
      <c r="BX244" s="193"/>
      <c r="BY244" s="193"/>
      <c r="BZ244" s="193"/>
      <c r="CA244" s="193"/>
      <c r="CB244" s="963"/>
      <c r="CC244" s="193"/>
      <c r="CD244" s="193"/>
      <c r="CE244" s="193"/>
      <c r="CL244" s="334"/>
      <c r="CS244" s="158"/>
      <c r="CT244" s="158"/>
      <c r="CU244" s="158"/>
      <c r="CV244" s="316"/>
      <c r="DC244" s="334"/>
      <c r="DI244" s="158"/>
      <c r="DJ244" s="316"/>
      <c r="DQ244" s="334"/>
      <c r="DW244" s="158"/>
      <c r="EE244" s="334"/>
      <c r="EK244" s="158"/>
      <c r="EY244" s="158"/>
      <c r="FF244" s="816"/>
    </row>
    <row r="245" spans="2:162" s="192" customFormat="1" ht="18" customHeight="1">
      <c r="B245" s="193"/>
      <c r="C245" s="193"/>
      <c r="D245" s="193"/>
      <c r="E245" s="194"/>
      <c r="F245" s="193"/>
      <c r="G245" s="193"/>
      <c r="H245" s="193"/>
      <c r="I245" s="193"/>
      <c r="J245" s="193"/>
      <c r="K245" s="193"/>
      <c r="L245" s="193"/>
      <c r="M245" s="193"/>
      <c r="N245" s="193"/>
      <c r="O245" s="193"/>
      <c r="P245" s="193"/>
      <c r="Q245" s="193"/>
      <c r="R245" s="193"/>
      <c r="S245" s="193"/>
      <c r="T245" s="193"/>
      <c r="U245" s="193"/>
      <c r="V245" s="193"/>
      <c r="W245" s="193"/>
      <c r="X245" s="193"/>
      <c r="Y245" s="193"/>
      <c r="Z245" s="193"/>
      <c r="AA245" s="193"/>
      <c r="AB245" s="193"/>
      <c r="AC245" s="193"/>
      <c r="AD245" s="193"/>
      <c r="AE245" s="193"/>
      <c r="AF245" s="193"/>
      <c r="AG245" s="193"/>
      <c r="AH245" s="193"/>
      <c r="AI245" s="193"/>
      <c r="AJ245" s="193"/>
      <c r="AK245" s="193"/>
      <c r="AL245" s="193"/>
      <c r="AM245" s="193"/>
      <c r="AN245" s="193"/>
      <c r="AO245" s="193"/>
      <c r="AP245" s="193"/>
      <c r="AQ245" s="193"/>
      <c r="AR245" s="193"/>
      <c r="AS245" s="193"/>
      <c r="AT245" s="193"/>
      <c r="AU245" s="193"/>
      <c r="AV245" s="193"/>
      <c r="AW245" s="193"/>
      <c r="AX245" s="193"/>
      <c r="AY245" s="193"/>
      <c r="AZ245" s="193"/>
      <c r="BA245" s="193"/>
      <c r="BB245" s="193"/>
      <c r="BC245" s="193"/>
      <c r="BD245" s="193"/>
      <c r="BE245" s="193"/>
      <c r="BF245" s="193"/>
      <c r="BG245" s="193"/>
      <c r="BH245" s="193"/>
      <c r="BI245" s="193"/>
      <c r="BJ245" s="193"/>
      <c r="BK245" s="193"/>
      <c r="BL245" s="193"/>
      <c r="BM245" s="193"/>
      <c r="BN245" s="193"/>
      <c r="BO245" s="193"/>
      <c r="BP245" s="193"/>
      <c r="BQ245" s="193"/>
      <c r="BR245" s="193"/>
      <c r="BS245" s="193"/>
      <c r="BT245" s="193"/>
      <c r="BU245" s="193"/>
      <c r="BV245" s="193"/>
      <c r="BW245" s="193"/>
      <c r="BX245" s="193"/>
      <c r="BY245" s="193"/>
      <c r="BZ245" s="193"/>
      <c r="CA245" s="193"/>
      <c r="CB245" s="963"/>
      <c r="CC245" s="193"/>
      <c r="CD245" s="193"/>
      <c r="CE245" s="193"/>
      <c r="CL245" s="334"/>
      <c r="CS245" s="158"/>
      <c r="CT245" s="158"/>
      <c r="CU245" s="158"/>
      <c r="CV245" s="316"/>
      <c r="DC245" s="334"/>
      <c r="DI245" s="158"/>
      <c r="DJ245" s="316"/>
      <c r="DQ245" s="334"/>
      <c r="DW245" s="158"/>
      <c r="EE245" s="334"/>
      <c r="EK245" s="158"/>
      <c r="EY245" s="158"/>
      <c r="FF245" s="816"/>
    </row>
    <row r="246" spans="2:162" s="192" customFormat="1" ht="18" customHeight="1">
      <c r="B246" s="193"/>
      <c r="C246" s="193"/>
      <c r="D246" s="193"/>
      <c r="E246" s="194"/>
      <c r="F246" s="193"/>
      <c r="G246" s="193"/>
      <c r="H246" s="193"/>
      <c r="I246" s="193"/>
      <c r="J246" s="193"/>
      <c r="K246" s="193"/>
      <c r="L246" s="193"/>
      <c r="M246" s="193"/>
      <c r="N246" s="193"/>
      <c r="O246" s="193"/>
      <c r="P246" s="193"/>
      <c r="Q246" s="193"/>
      <c r="R246" s="193"/>
      <c r="S246" s="193"/>
      <c r="T246" s="193"/>
      <c r="U246" s="193"/>
      <c r="V246" s="193"/>
      <c r="W246" s="193"/>
      <c r="X246" s="193"/>
      <c r="Y246" s="193"/>
      <c r="Z246" s="193"/>
      <c r="AA246" s="193"/>
      <c r="AB246" s="193"/>
      <c r="AC246" s="193"/>
      <c r="AD246" s="193"/>
      <c r="AE246" s="193"/>
      <c r="AF246" s="193"/>
      <c r="AG246" s="193"/>
      <c r="AH246" s="193"/>
      <c r="AI246" s="193"/>
      <c r="AJ246" s="193"/>
      <c r="AK246" s="193"/>
      <c r="AL246" s="193"/>
      <c r="AM246" s="193"/>
      <c r="AN246" s="193"/>
      <c r="AO246" s="193"/>
      <c r="AP246" s="193"/>
      <c r="AQ246" s="193"/>
      <c r="AR246" s="193"/>
      <c r="AS246" s="193"/>
      <c r="AT246" s="193"/>
      <c r="AU246" s="193"/>
      <c r="AV246" s="193"/>
      <c r="AW246" s="193"/>
      <c r="AX246" s="193"/>
      <c r="AY246" s="193"/>
      <c r="AZ246" s="193"/>
      <c r="BA246" s="193"/>
      <c r="BB246" s="193"/>
      <c r="BC246" s="193"/>
      <c r="BD246" s="193"/>
      <c r="BE246" s="193"/>
      <c r="BF246" s="193"/>
      <c r="BG246" s="193"/>
      <c r="BH246" s="193"/>
      <c r="BI246" s="193"/>
      <c r="BJ246" s="193"/>
      <c r="BK246" s="193"/>
      <c r="BL246" s="193"/>
      <c r="BM246" s="193"/>
      <c r="BN246" s="193"/>
      <c r="BO246" s="193"/>
      <c r="BP246" s="193"/>
      <c r="BQ246" s="193"/>
      <c r="BR246" s="193"/>
      <c r="BS246" s="193"/>
      <c r="BT246" s="193"/>
      <c r="BU246" s="193"/>
      <c r="BV246" s="193"/>
      <c r="BW246" s="193"/>
      <c r="BX246" s="193"/>
      <c r="BY246" s="193"/>
      <c r="BZ246" s="193"/>
      <c r="CA246" s="193"/>
      <c r="CB246" s="963"/>
      <c r="CC246" s="193"/>
      <c r="CD246" s="193"/>
      <c r="CE246" s="193"/>
      <c r="CL246" s="334"/>
      <c r="CS246" s="158"/>
      <c r="CT246" s="158"/>
      <c r="CU246" s="158"/>
      <c r="CV246" s="316"/>
      <c r="DC246" s="334"/>
      <c r="DI246" s="158"/>
      <c r="DJ246" s="316"/>
      <c r="DQ246" s="334"/>
      <c r="DW246" s="158"/>
      <c r="EE246" s="334"/>
      <c r="EK246" s="158"/>
      <c r="EY246" s="158"/>
      <c r="FF246" s="816"/>
    </row>
    <row r="247" spans="2:162" s="192" customFormat="1" ht="18" customHeight="1">
      <c r="B247" s="193"/>
      <c r="C247" s="193"/>
      <c r="D247" s="193"/>
      <c r="E247" s="194"/>
      <c r="F247" s="193"/>
      <c r="G247" s="193"/>
      <c r="H247" s="193"/>
      <c r="I247" s="193"/>
      <c r="J247" s="193"/>
      <c r="K247" s="193"/>
      <c r="L247" s="193"/>
      <c r="M247" s="193"/>
      <c r="N247" s="193"/>
      <c r="O247" s="193"/>
      <c r="P247" s="193"/>
      <c r="Q247" s="193"/>
      <c r="R247" s="193"/>
      <c r="S247" s="193"/>
      <c r="T247" s="193"/>
      <c r="U247" s="193"/>
      <c r="V247" s="193"/>
      <c r="W247" s="193"/>
      <c r="X247" s="193"/>
      <c r="Y247" s="193"/>
      <c r="Z247" s="193"/>
      <c r="AA247" s="193"/>
      <c r="AB247" s="193"/>
      <c r="AC247" s="193"/>
      <c r="AD247" s="193"/>
      <c r="AE247" s="193"/>
      <c r="AF247" s="193"/>
      <c r="AG247" s="193"/>
      <c r="AH247" s="193"/>
      <c r="AI247" s="193"/>
      <c r="AJ247" s="193"/>
      <c r="AK247" s="193"/>
      <c r="AL247" s="193"/>
      <c r="AM247" s="193"/>
      <c r="AN247" s="193"/>
      <c r="AO247" s="193"/>
      <c r="AP247" s="193"/>
      <c r="AQ247" s="193"/>
      <c r="AR247" s="193"/>
      <c r="AS247" s="193"/>
      <c r="AT247" s="193"/>
      <c r="AU247" s="193"/>
      <c r="AV247" s="193"/>
      <c r="AW247" s="193"/>
      <c r="AX247" s="193"/>
      <c r="AY247" s="193"/>
      <c r="AZ247" s="193"/>
      <c r="BA247" s="193"/>
      <c r="BB247" s="193"/>
      <c r="BC247" s="193"/>
      <c r="BD247" s="193"/>
      <c r="BE247" s="193"/>
      <c r="BF247" s="193"/>
      <c r="BG247" s="193"/>
      <c r="BH247" s="193"/>
      <c r="BI247" s="193"/>
      <c r="BJ247" s="193"/>
      <c r="BK247" s="193"/>
      <c r="BL247" s="193"/>
      <c r="BM247" s="193"/>
      <c r="BN247" s="193"/>
      <c r="BO247" s="193"/>
      <c r="BP247" s="193"/>
      <c r="BQ247" s="193"/>
      <c r="BR247" s="193"/>
      <c r="BS247" s="193"/>
      <c r="BT247" s="193"/>
      <c r="BU247" s="193"/>
      <c r="BV247" s="193"/>
      <c r="BW247" s="193"/>
      <c r="BX247" s="193"/>
      <c r="BY247" s="193"/>
      <c r="BZ247" s="193"/>
      <c r="CA247" s="193"/>
      <c r="CB247" s="963"/>
      <c r="CC247" s="193"/>
      <c r="CD247" s="193"/>
      <c r="CE247" s="193"/>
      <c r="CL247" s="334"/>
      <c r="CS247" s="158"/>
      <c r="CT247" s="158"/>
      <c r="CU247" s="158"/>
      <c r="CV247" s="316"/>
      <c r="DC247" s="334"/>
      <c r="DI247" s="158"/>
      <c r="DJ247" s="316"/>
      <c r="DQ247" s="334"/>
      <c r="DW247" s="158"/>
      <c r="EE247" s="334"/>
      <c r="EK247" s="158"/>
      <c r="EY247" s="158"/>
      <c r="FF247" s="816"/>
    </row>
    <row r="248" spans="2:162" s="192" customFormat="1" ht="18" customHeight="1">
      <c r="B248" s="193"/>
      <c r="C248" s="193"/>
      <c r="D248" s="193"/>
      <c r="E248" s="194"/>
      <c r="F248" s="193"/>
      <c r="G248" s="193"/>
      <c r="H248" s="193"/>
      <c r="I248" s="193"/>
      <c r="J248" s="193"/>
      <c r="K248" s="193"/>
      <c r="L248" s="193"/>
      <c r="M248" s="193"/>
      <c r="N248" s="193"/>
      <c r="O248" s="193"/>
      <c r="P248" s="193"/>
      <c r="Q248" s="193"/>
      <c r="R248" s="193"/>
      <c r="S248" s="193"/>
      <c r="T248" s="193"/>
      <c r="U248" s="193"/>
      <c r="V248" s="193"/>
      <c r="W248" s="193"/>
      <c r="X248" s="193"/>
      <c r="Y248" s="193"/>
      <c r="Z248" s="193"/>
      <c r="AA248" s="193"/>
      <c r="AB248" s="193"/>
      <c r="AC248" s="193"/>
      <c r="AD248" s="193"/>
      <c r="AE248" s="193"/>
      <c r="AF248" s="193"/>
      <c r="AG248" s="193"/>
      <c r="AH248" s="193"/>
      <c r="AI248" s="193"/>
      <c r="AJ248" s="193"/>
      <c r="AK248" s="193"/>
      <c r="AL248" s="193"/>
      <c r="AM248" s="193"/>
      <c r="AN248" s="193"/>
      <c r="AO248" s="193"/>
      <c r="AP248" s="193"/>
      <c r="AQ248" s="193"/>
      <c r="AR248" s="193"/>
      <c r="AS248" s="193"/>
      <c r="AT248" s="193"/>
      <c r="AU248" s="193"/>
      <c r="AV248" s="193"/>
      <c r="AW248" s="193"/>
      <c r="AX248" s="193"/>
      <c r="AY248" s="193"/>
      <c r="AZ248" s="193"/>
      <c r="BA248" s="193"/>
      <c r="BB248" s="193"/>
      <c r="BC248" s="193"/>
      <c r="BD248" s="193"/>
      <c r="BE248" s="193"/>
      <c r="BF248" s="193"/>
      <c r="BG248" s="193"/>
      <c r="BH248" s="193"/>
      <c r="BI248" s="193"/>
      <c r="BJ248" s="193"/>
      <c r="BK248" s="193"/>
      <c r="BL248" s="193"/>
      <c r="BM248" s="193"/>
      <c r="BN248" s="193"/>
      <c r="BO248" s="193"/>
      <c r="BP248" s="193"/>
      <c r="BQ248" s="193"/>
      <c r="BR248" s="193"/>
      <c r="BS248" s="193"/>
      <c r="BT248" s="193"/>
      <c r="BU248" s="193"/>
      <c r="BV248" s="193"/>
      <c r="BW248" s="193"/>
      <c r="BX248" s="193"/>
      <c r="BY248" s="193"/>
      <c r="BZ248" s="193"/>
      <c r="CA248" s="193"/>
      <c r="CB248" s="963"/>
      <c r="CC248" s="193"/>
      <c r="CD248" s="193"/>
      <c r="CE248" s="193"/>
      <c r="CL248" s="334"/>
      <c r="CS248" s="158"/>
      <c r="CT248" s="158"/>
      <c r="CU248" s="158"/>
      <c r="CV248" s="316"/>
      <c r="DC248" s="334"/>
      <c r="DI248" s="158"/>
      <c r="DJ248" s="316"/>
      <c r="DQ248" s="334"/>
      <c r="DW248" s="158"/>
      <c r="EE248" s="334"/>
      <c r="EK248" s="158"/>
      <c r="EY248" s="158"/>
      <c r="FF248" s="816"/>
    </row>
    <row r="249" spans="2:162" s="192" customFormat="1" ht="18" customHeight="1">
      <c r="B249" s="193"/>
      <c r="C249" s="193"/>
      <c r="D249" s="193"/>
      <c r="E249" s="194"/>
      <c r="F249" s="193"/>
      <c r="G249" s="193"/>
      <c r="H249" s="193"/>
      <c r="I249" s="193"/>
      <c r="J249" s="193"/>
      <c r="K249" s="193"/>
      <c r="L249" s="193"/>
      <c r="M249" s="193"/>
      <c r="N249" s="193"/>
      <c r="O249" s="193"/>
      <c r="P249" s="193"/>
      <c r="Q249" s="193"/>
      <c r="R249" s="193"/>
      <c r="S249" s="193"/>
      <c r="T249" s="193"/>
      <c r="U249" s="193"/>
      <c r="V249" s="193"/>
      <c r="W249" s="193"/>
      <c r="X249" s="193"/>
      <c r="Y249" s="193"/>
      <c r="Z249" s="193"/>
      <c r="AA249" s="193"/>
      <c r="AB249" s="193"/>
      <c r="AC249" s="193"/>
      <c r="AD249" s="193"/>
      <c r="AE249" s="193"/>
      <c r="AF249" s="193"/>
      <c r="AG249" s="193"/>
      <c r="AH249" s="193"/>
      <c r="AI249" s="193"/>
      <c r="AJ249" s="193"/>
      <c r="AK249" s="193"/>
      <c r="AL249" s="193"/>
      <c r="AM249" s="193"/>
      <c r="AN249" s="193"/>
      <c r="AO249" s="193"/>
      <c r="AP249" s="193"/>
      <c r="AQ249" s="193"/>
      <c r="AR249" s="193"/>
      <c r="AS249" s="193"/>
      <c r="AT249" s="193"/>
      <c r="AU249" s="193"/>
      <c r="AV249" s="193"/>
      <c r="AW249" s="193"/>
      <c r="AX249" s="193"/>
      <c r="AY249" s="193"/>
      <c r="AZ249" s="193"/>
      <c r="BA249" s="193"/>
      <c r="BB249" s="193"/>
      <c r="BC249" s="193"/>
      <c r="BD249" s="193"/>
      <c r="BE249" s="193"/>
      <c r="BF249" s="193"/>
      <c r="BG249" s="193"/>
      <c r="BH249" s="193"/>
      <c r="BI249" s="193"/>
      <c r="BJ249" s="193"/>
      <c r="BK249" s="193"/>
      <c r="BL249" s="193"/>
      <c r="BM249" s="193"/>
      <c r="BN249" s="193"/>
      <c r="BO249" s="193"/>
      <c r="BP249" s="193"/>
      <c r="BQ249" s="193"/>
      <c r="BR249" s="193"/>
      <c r="BS249" s="193"/>
      <c r="BT249" s="193"/>
      <c r="BU249" s="193"/>
      <c r="BV249" s="193"/>
      <c r="BW249" s="193"/>
      <c r="BX249" s="193"/>
      <c r="BY249" s="193"/>
      <c r="BZ249" s="193"/>
      <c r="CA249" s="193"/>
      <c r="CB249" s="963"/>
      <c r="CC249" s="193"/>
      <c r="CD249" s="193"/>
      <c r="CE249" s="193"/>
      <c r="CL249" s="334"/>
      <c r="CS249" s="158"/>
      <c r="CT249" s="158"/>
      <c r="CU249" s="158"/>
      <c r="CV249" s="316"/>
      <c r="DC249" s="334"/>
      <c r="DI249" s="158"/>
      <c r="DJ249" s="316"/>
      <c r="DQ249" s="334"/>
      <c r="DW249" s="158"/>
      <c r="EE249" s="334"/>
      <c r="EK249" s="158"/>
      <c r="EY249" s="158"/>
      <c r="FF249" s="816"/>
    </row>
    <row r="250" spans="2:162" s="192" customFormat="1" ht="18" customHeight="1">
      <c r="B250" s="193"/>
      <c r="C250" s="193"/>
      <c r="D250" s="193"/>
      <c r="E250" s="194"/>
      <c r="F250" s="193"/>
      <c r="G250" s="193"/>
      <c r="H250" s="193"/>
      <c r="I250" s="193"/>
      <c r="J250" s="193"/>
      <c r="K250" s="193"/>
      <c r="L250" s="193"/>
      <c r="M250" s="193"/>
      <c r="N250" s="193"/>
      <c r="O250" s="193"/>
      <c r="P250" s="193"/>
      <c r="Q250" s="193"/>
      <c r="R250" s="193"/>
      <c r="S250" s="193"/>
      <c r="T250" s="193"/>
      <c r="U250" s="193"/>
      <c r="V250" s="193"/>
      <c r="W250" s="193"/>
      <c r="X250" s="193"/>
      <c r="Y250" s="193"/>
      <c r="Z250" s="193"/>
      <c r="AA250" s="193"/>
      <c r="AB250" s="193"/>
      <c r="AC250" s="193"/>
      <c r="AD250" s="193"/>
      <c r="AE250" s="193"/>
      <c r="AF250" s="193"/>
      <c r="AG250" s="193"/>
      <c r="AH250" s="193"/>
      <c r="AI250" s="193"/>
      <c r="AJ250" s="193"/>
      <c r="AK250" s="193"/>
      <c r="AL250" s="193"/>
      <c r="AM250" s="193"/>
      <c r="AN250" s="193"/>
      <c r="AO250" s="193"/>
      <c r="AP250" s="193"/>
      <c r="AQ250" s="193"/>
      <c r="AR250" s="193"/>
      <c r="AS250" s="193"/>
      <c r="AT250" s="193"/>
      <c r="AU250" s="193"/>
      <c r="AV250" s="193"/>
      <c r="AW250" s="193"/>
      <c r="AX250" s="193"/>
      <c r="AY250" s="193"/>
      <c r="AZ250" s="193"/>
      <c r="BA250" s="193"/>
      <c r="BB250" s="193"/>
      <c r="BC250" s="193"/>
      <c r="BD250" s="193"/>
      <c r="BE250" s="193"/>
      <c r="BF250" s="193"/>
      <c r="BG250" s="193"/>
      <c r="BH250" s="193"/>
      <c r="BI250" s="193"/>
      <c r="BJ250" s="193"/>
      <c r="BK250" s="193"/>
      <c r="BL250" s="193"/>
      <c r="BM250" s="193"/>
      <c r="BN250" s="193"/>
      <c r="BO250" s="193"/>
      <c r="BP250" s="193"/>
      <c r="BQ250" s="193"/>
      <c r="BR250" s="193"/>
      <c r="BS250" s="193"/>
      <c r="BT250" s="193"/>
      <c r="BU250" s="193"/>
      <c r="BV250" s="193"/>
      <c r="BW250" s="193"/>
      <c r="BX250" s="193"/>
      <c r="BY250" s="193"/>
      <c r="BZ250" s="193"/>
      <c r="CA250" s="193"/>
      <c r="CB250" s="963"/>
      <c r="CC250" s="193"/>
      <c r="CD250" s="193"/>
      <c r="CE250" s="193"/>
      <c r="CL250" s="334"/>
      <c r="CS250" s="158"/>
      <c r="CT250" s="158"/>
      <c r="CU250" s="158"/>
      <c r="CV250" s="316"/>
      <c r="DC250" s="334"/>
      <c r="DI250" s="158"/>
      <c r="DJ250" s="316"/>
      <c r="DQ250" s="334"/>
      <c r="DW250" s="158"/>
      <c r="EE250" s="334"/>
      <c r="EK250" s="158"/>
      <c r="EY250" s="158"/>
      <c r="FF250" s="816"/>
    </row>
    <row r="251" spans="2:162" s="192" customFormat="1" ht="18" customHeight="1">
      <c r="B251" s="193"/>
      <c r="C251" s="193"/>
      <c r="D251" s="193"/>
      <c r="E251" s="194"/>
      <c r="F251" s="193"/>
      <c r="G251" s="193"/>
      <c r="H251" s="193"/>
      <c r="I251" s="193"/>
      <c r="J251" s="193"/>
      <c r="K251" s="193"/>
      <c r="L251" s="193"/>
      <c r="M251" s="193"/>
      <c r="N251" s="193"/>
      <c r="O251" s="193"/>
      <c r="P251" s="193"/>
      <c r="Q251" s="193"/>
      <c r="R251" s="193"/>
      <c r="S251" s="193"/>
      <c r="T251" s="193"/>
      <c r="U251" s="193"/>
      <c r="V251" s="193"/>
      <c r="W251" s="193"/>
      <c r="X251" s="193"/>
      <c r="Y251" s="193"/>
      <c r="Z251" s="193"/>
      <c r="AA251" s="193"/>
      <c r="AB251" s="193"/>
      <c r="AC251" s="193"/>
      <c r="AD251" s="193"/>
      <c r="AE251" s="193"/>
      <c r="AF251" s="193"/>
      <c r="AG251" s="193"/>
      <c r="AH251" s="193"/>
      <c r="AI251" s="193"/>
      <c r="AJ251" s="193"/>
      <c r="AK251" s="193"/>
      <c r="AL251" s="193"/>
      <c r="AM251" s="193"/>
      <c r="AN251" s="193"/>
      <c r="AO251" s="193"/>
      <c r="AP251" s="193"/>
      <c r="AQ251" s="193"/>
      <c r="AR251" s="193"/>
      <c r="AS251" s="193"/>
      <c r="AT251" s="193"/>
      <c r="AU251" s="193"/>
      <c r="AV251" s="193"/>
      <c r="AW251" s="193"/>
      <c r="AX251" s="193"/>
      <c r="AY251" s="193"/>
      <c r="AZ251" s="193"/>
      <c r="BA251" s="193"/>
      <c r="BB251" s="193"/>
      <c r="BC251" s="193"/>
      <c r="BD251" s="193"/>
      <c r="BE251" s="193"/>
      <c r="BF251" s="193"/>
      <c r="BG251" s="193"/>
      <c r="BH251" s="193"/>
      <c r="BI251" s="193"/>
      <c r="BJ251" s="193"/>
      <c r="BK251" s="193"/>
      <c r="BL251" s="193"/>
      <c r="BM251" s="193"/>
      <c r="BN251" s="193"/>
      <c r="BO251" s="193"/>
      <c r="BP251" s="193"/>
      <c r="BQ251" s="193"/>
      <c r="BR251" s="193"/>
      <c r="BS251" s="193"/>
      <c r="BT251" s="193"/>
      <c r="BU251" s="193"/>
      <c r="BV251" s="193"/>
      <c r="BW251" s="193"/>
      <c r="BX251" s="193"/>
      <c r="BY251" s="193"/>
      <c r="BZ251" s="193"/>
      <c r="CA251" s="193"/>
      <c r="CB251" s="963"/>
      <c r="CC251" s="193"/>
      <c r="CD251" s="193"/>
      <c r="CE251" s="193"/>
      <c r="CL251" s="334"/>
      <c r="CS251" s="158"/>
      <c r="CT251" s="158"/>
      <c r="CU251" s="158"/>
      <c r="CV251" s="316"/>
      <c r="DC251" s="334"/>
      <c r="DI251" s="158"/>
      <c r="DJ251" s="316"/>
      <c r="DQ251" s="334"/>
      <c r="DW251" s="158"/>
      <c r="EE251" s="334"/>
      <c r="EK251" s="158"/>
      <c r="EY251" s="158"/>
      <c r="FF251" s="816"/>
    </row>
    <row r="252" spans="2:162" s="192" customFormat="1" ht="18" customHeight="1">
      <c r="B252" s="193"/>
      <c r="C252" s="193"/>
      <c r="D252" s="193"/>
      <c r="E252" s="194"/>
      <c r="F252" s="193"/>
      <c r="G252" s="193"/>
      <c r="H252" s="193"/>
      <c r="I252" s="193"/>
      <c r="J252" s="193"/>
      <c r="K252" s="193"/>
      <c r="L252" s="193"/>
      <c r="M252" s="193"/>
      <c r="N252" s="193"/>
      <c r="O252" s="193"/>
      <c r="P252" s="193"/>
      <c r="Q252" s="193"/>
      <c r="R252" s="193"/>
      <c r="S252" s="193"/>
      <c r="T252" s="193"/>
      <c r="U252" s="193"/>
      <c r="V252" s="193"/>
      <c r="W252" s="193"/>
      <c r="X252" s="193"/>
      <c r="Y252" s="193"/>
      <c r="Z252" s="193"/>
      <c r="AA252" s="193"/>
      <c r="AB252" s="193"/>
      <c r="AC252" s="193"/>
      <c r="AD252" s="193"/>
      <c r="AE252" s="193"/>
      <c r="AF252" s="193"/>
      <c r="AG252" s="193"/>
      <c r="AH252" s="193"/>
      <c r="AI252" s="193"/>
      <c r="AJ252" s="193"/>
      <c r="AK252" s="193"/>
      <c r="AL252" s="193"/>
      <c r="AM252" s="193"/>
      <c r="AN252" s="193"/>
      <c r="AO252" s="193"/>
      <c r="AP252" s="193"/>
      <c r="AQ252" s="193"/>
      <c r="AR252" s="193"/>
      <c r="AS252" s="193"/>
      <c r="AT252" s="193"/>
      <c r="AU252" s="193"/>
      <c r="AV252" s="193"/>
      <c r="AW252" s="193"/>
      <c r="AX252" s="193"/>
      <c r="AY252" s="193"/>
      <c r="AZ252" s="193"/>
      <c r="BA252" s="193"/>
      <c r="BB252" s="193"/>
      <c r="BC252" s="193"/>
      <c r="BD252" s="193"/>
      <c r="BE252" s="193"/>
      <c r="BF252" s="193"/>
      <c r="BG252" s="193"/>
      <c r="BH252" s="193"/>
      <c r="BI252" s="193"/>
      <c r="BJ252" s="193"/>
      <c r="BK252" s="193"/>
      <c r="BL252" s="193"/>
      <c r="BM252" s="193"/>
      <c r="BN252" s="193"/>
      <c r="BO252" s="193"/>
      <c r="BP252" s="193"/>
      <c r="BQ252" s="193"/>
      <c r="BR252" s="193"/>
      <c r="BS252" s="193"/>
      <c r="BT252" s="193"/>
      <c r="BU252" s="193"/>
      <c r="BV252" s="193"/>
      <c r="BW252" s="193"/>
      <c r="BX252" s="193"/>
      <c r="BY252" s="193"/>
      <c r="BZ252" s="193"/>
      <c r="CA252" s="193"/>
      <c r="CB252" s="963"/>
      <c r="CC252" s="193"/>
      <c r="CD252" s="193"/>
      <c r="CE252" s="193"/>
      <c r="CL252" s="334"/>
      <c r="CS252" s="158"/>
      <c r="CT252" s="158"/>
      <c r="CU252" s="158"/>
      <c r="CV252" s="316"/>
      <c r="DC252" s="334"/>
      <c r="DI252" s="158"/>
      <c r="DJ252" s="316"/>
      <c r="DQ252" s="334"/>
      <c r="DW252" s="158"/>
      <c r="EE252" s="334"/>
      <c r="EK252" s="158"/>
      <c r="EY252" s="158"/>
      <c r="FF252" s="816"/>
    </row>
    <row r="253" spans="2:162" s="192" customFormat="1" ht="18" customHeight="1">
      <c r="B253" s="193"/>
      <c r="C253" s="193"/>
      <c r="D253" s="193"/>
      <c r="E253" s="194"/>
      <c r="F253" s="193"/>
      <c r="G253" s="193"/>
      <c r="H253" s="193"/>
      <c r="I253" s="193"/>
      <c r="J253" s="193"/>
      <c r="K253" s="193"/>
      <c r="L253" s="193"/>
      <c r="M253" s="193"/>
      <c r="N253" s="193"/>
      <c r="O253" s="193"/>
      <c r="P253" s="193"/>
      <c r="Q253" s="193"/>
      <c r="R253" s="193"/>
      <c r="S253" s="193"/>
      <c r="T253" s="193"/>
      <c r="U253" s="193"/>
      <c r="V253" s="193"/>
      <c r="W253" s="193"/>
      <c r="X253" s="193"/>
      <c r="Y253" s="193"/>
      <c r="Z253" s="193"/>
      <c r="AA253" s="193"/>
      <c r="AB253" s="193"/>
      <c r="AC253" s="193"/>
      <c r="AD253" s="193"/>
      <c r="AE253" s="193"/>
      <c r="AF253" s="193"/>
      <c r="AG253" s="193"/>
      <c r="AH253" s="193"/>
      <c r="AI253" s="193"/>
      <c r="AJ253" s="193"/>
      <c r="AK253" s="193"/>
      <c r="AL253" s="193"/>
      <c r="AM253" s="193"/>
      <c r="AN253" s="193"/>
      <c r="AO253" s="193"/>
      <c r="AP253" s="193"/>
      <c r="AQ253" s="193"/>
      <c r="AR253" s="193"/>
      <c r="AS253" s="193"/>
      <c r="AT253" s="193"/>
      <c r="AU253" s="193"/>
      <c r="AV253" s="193"/>
      <c r="AW253" s="193"/>
      <c r="AX253" s="193"/>
      <c r="AY253" s="193"/>
      <c r="AZ253" s="193"/>
      <c r="BA253" s="193"/>
      <c r="BB253" s="193"/>
      <c r="BC253" s="193"/>
      <c r="BD253" s="193"/>
      <c r="BE253" s="193"/>
      <c r="BF253" s="193"/>
      <c r="BG253" s="193"/>
      <c r="BH253" s="193"/>
      <c r="BI253" s="193"/>
      <c r="BJ253" s="193"/>
      <c r="BK253" s="193"/>
      <c r="BL253" s="193"/>
      <c r="BM253" s="193"/>
      <c r="BN253" s="193"/>
      <c r="BO253" s="193"/>
      <c r="BP253" s="193"/>
      <c r="BQ253" s="193"/>
      <c r="BR253" s="193"/>
      <c r="BS253" s="193"/>
      <c r="BT253" s="193"/>
      <c r="BU253" s="193"/>
      <c r="BV253" s="193"/>
      <c r="BW253" s="193"/>
      <c r="BX253" s="193"/>
      <c r="BY253" s="193"/>
      <c r="BZ253" s="193"/>
      <c r="CA253" s="193"/>
      <c r="CB253" s="963"/>
      <c r="CC253" s="193"/>
      <c r="CD253" s="193"/>
      <c r="CE253" s="193"/>
      <c r="CL253" s="334"/>
      <c r="CS253" s="158"/>
      <c r="CT253" s="158"/>
      <c r="CU253" s="158"/>
      <c r="CV253" s="316"/>
      <c r="DC253" s="334"/>
      <c r="DI253" s="158"/>
      <c r="DJ253" s="316"/>
      <c r="DQ253" s="334"/>
      <c r="DW253" s="158"/>
      <c r="EE253" s="334"/>
      <c r="EK253" s="158"/>
      <c r="EY253" s="158"/>
      <c r="FF253" s="816"/>
    </row>
    <row r="254" spans="2:162" s="192" customFormat="1" ht="18" customHeight="1">
      <c r="B254" s="193"/>
      <c r="C254" s="193"/>
      <c r="D254" s="193"/>
      <c r="E254" s="194"/>
      <c r="F254" s="193"/>
      <c r="G254" s="193"/>
      <c r="H254" s="193"/>
      <c r="I254" s="193"/>
      <c r="J254" s="193"/>
      <c r="K254" s="193"/>
      <c r="L254" s="193"/>
      <c r="M254" s="193"/>
      <c r="N254" s="193"/>
      <c r="O254" s="193"/>
      <c r="P254" s="193"/>
      <c r="Q254" s="193"/>
      <c r="R254" s="193"/>
      <c r="S254" s="193"/>
      <c r="T254" s="193"/>
      <c r="U254" s="193"/>
      <c r="V254" s="193"/>
      <c r="W254" s="193"/>
      <c r="X254" s="193"/>
      <c r="Y254" s="193"/>
      <c r="Z254" s="193"/>
      <c r="AA254" s="193"/>
      <c r="AB254" s="193"/>
      <c r="AC254" s="193"/>
      <c r="AD254" s="193"/>
      <c r="AE254" s="193"/>
      <c r="AF254" s="193"/>
      <c r="AG254" s="193"/>
      <c r="AH254" s="193"/>
      <c r="AI254" s="193"/>
      <c r="AJ254" s="193"/>
      <c r="AK254" s="193"/>
      <c r="AL254" s="193"/>
      <c r="AM254" s="193"/>
      <c r="AN254" s="193"/>
      <c r="AO254" s="193"/>
      <c r="AP254" s="193"/>
      <c r="AQ254" s="193"/>
      <c r="AR254" s="193"/>
      <c r="AS254" s="193"/>
      <c r="AT254" s="193"/>
      <c r="AU254" s="193"/>
      <c r="AV254" s="193"/>
      <c r="AW254" s="193"/>
      <c r="AX254" s="193"/>
      <c r="AY254" s="193"/>
      <c r="AZ254" s="193"/>
      <c r="BA254" s="193"/>
      <c r="BB254" s="193"/>
      <c r="BC254" s="193"/>
      <c r="BD254" s="193"/>
      <c r="BE254" s="193"/>
      <c r="BF254" s="193"/>
      <c r="BG254" s="193"/>
      <c r="BH254" s="193"/>
      <c r="BI254" s="193"/>
      <c r="BJ254" s="193"/>
      <c r="BK254" s="193"/>
      <c r="BL254" s="193"/>
      <c r="BM254" s="193"/>
      <c r="BN254" s="193"/>
      <c r="BO254" s="193"/>
      <c r="BP254" s="193"/>
      <c r="BQ254" s="193"/>
      <c r="BR254" s="193"/>
      <c r="BS254" s="193"/>
      <c r="BT254" s="193"/>
      <c r="BU254" s="193"/>
      <c r="BV254" s="193"/>
      <c r="BW254" s="193"/>
      <c r="BX254" s="193"/>
      <c r="BY254" s="193"/>
      <c r="BZ254" s="193"/>
      <c r="CA254" s="193"/>
      <c r="CB254" s="963"/>
      <c r="CC254" s="193"/>
      <c r="CD254" s="193"/>
      <c r="CE254" s="193"/>
      <c r="CL254" s="334"/>
      <c r="CS254" s="158"/>
      <c r="CT254" s="158"/>
      <c r="CU254" s="158"/>
      <c r="CV254" s="316"/>
      <c r="DC254" s="334"/>
      <c r="DI254" s="158"/>
      <c r="DJ254" s="316"/>
      <c r="DQ254" s="334"/>
      <c r="DW254" s="158"/>
      <c r="EE254" s="334"/>
      <c r="EK254" s="158"/>
      <c r="EY254" s="158"/>
      <c r="FF254" s="816"/>
    </row>
    <row r="255" spans="2:162" s="192" customFormat="1" ht="18" customHeight="1">
      <c r="B255" s="193"/>
      <c r="C255" s="193"/>
      <c r="D255" s="193"/>
      <c r="E255" s="194"/>
      <c r="F255" s="193"/>
      <c r="G255" s="193"/>
      <c r="H255" s="193"/>
      <c r="I255" s="193"/>
      <c r="J255" s="193"/>
      <c r="K255" s="193"/>
      <c r="L255" s="193"/>
      <c r="M255" s="193"/>
      <c r="N255" s="193"/>
      <c r="O255" s="193"/>
      <c r="P255" s="193"/>
      <c r="Q255" s="193"/>
      <c r="R255" s="193"/>
      <c r="S255" s="193"/>
      <c r="T255" s="193"/>
      <c r="U255" s="193"/>
      <c r="V255" s="193"/>
      <c r="W255" s="193"/>
      <c r="X255" s="193"/>
      <c r="Y255" s="193"/>
      <c r="Z255" s="193"/>
      <c r="AA255" s="193"/>
      <c r="AB255" s="193"/>
      <c r="AC255" s="193"/>
      <c r="AD255" s="193"/>
      <c r="AE255" s="193"/>
      <c r="AF255" s="193"/>
      <c r="AG255" s="193"/>
      <c r="AH255" s="193"/>
      <c r="AI255" s="193"/>
      <c r="AJ255" s="193"/>
      <c r="AK255" s="193"/>
      <c r="AL255" s="193"/>
      <c r="AM255" s="193"/>
      <c r="AN255" s="193"/>
      <c r="AO255" s="193"/>
      <c r="AP255" s="193"/>
      <c r="AQ255" s="193"/>
      <c r="AR255" s="193"/>
      <c r="AS255" s="193"/>
      <c r="AT255" s="193"/>
      <c r="AU255" s="193"/>
      <c r="AV255" s="193"/>
      <c r="AW255" s="193"/>
      <c r="AX255" s="193"/>
      <c r="AY255" s="193"/>
      <c r="AZ255" s="193"/>
      <c r="BA255" s="193"/>
      <c r="BB255" s="193"/>
      <c r="BC255" s="193"/>
      <c r="BD255" s="193"/>
      <c r="BE255" s="193"/>
      <c r="BF255" s="193"/>
      <c r="BG255" s="193"/>
      <c r="BH255" s="193"/>
      <c r="BI255" s="193"/>
      <c r="BJ255" s="193"/>
      <c r="BK255" s="193"/>
      <c r="BL255" s="193"/>
      <c r="BM255" s="193"/>
      <c r="BN255" s="193"/>
      <c r="BO255" s="193"/>
      <c r="BP255" s="193"/>
      <c r="BQ255" s="193"/>
      <c r="BR255" s="193"/>
      <c r="BS255" s="193"/>
      <c r="BT255" s="193"/>
      <c r="BU255" s="193"/>
      <c r="BV255" s="193"/>
      <c r="BW255" s="193"/>
      <c r="BX255" s="193"/>
      <c r="BY255" s="193"/>
      <c r="BZ255" s="193"/>
      <c r="CA255" s="193"/>
      <c r="CB255" s="963"/>
      <c r="CC255" s="193"/>
      <c r="CD255" s="193"/>
      <c r="CE255" s="193"/>
      <c r="CL255" s="334"/>
      <c r="CS255" s="158"/>
      <c r="CT255" s="158"/>
      <c r="CU255" s="158"/>
      <c r="CV255" s="316"/>
      <c r="DC255" s="334"/>
      <c r="DI255" s="158"/>
      <c r="DJ255" s="316"/>
      <c r="DQ255" s="334"/>
      <c r="DW255" s="158"/>
      <c r="EE255" s="334"/>
      <c r="EK255" s="158"/>
      <c r="EY255" s="158"/>
      <c r="FF255" s="816"/>
    </row>
    <row r="256" spans="2:162" s="192" customFormat="1" ht="18" customHeight="1">
      <c r="B256" s="193"/>
      <c r="C256" s="193"/>
      <c r="D256" s="193"/>
      <c r="E256" s="194"/>
      <c r="F256" s="193"/>
      <c r="G256" s="193"/>
      <c r="H256" s="193"/>
      <c r="I256" s="193"/>
      <c r="J256" s="193"/>
      <c r="K256" s="193"/>
      <c r="L256" s="193"/>
      <c r="M256" s="193"/>
      <c r="N256" s="193"/>
      <c r="O256" s="193"/>
      <c r="P256" s="193"/>
      <c r="Q256" s="193"/>
      <c r="R256" s="193"/>
      <c r="S256" s="193"/>
      <c r="T256" s="193"/>
      <c r="U256" s="193"/>
      <c r="V256" s="193"/>
      <c r="W256" s="193"/>
      <c r="X256" s="193"/>
      <c r="Y256" s="193"/>
      <c r="Z256" s="193"/>
      <c r="AA256" s="193"/>
      <c r="AB256" s="193"/>
      <c r="AC256" s="193"/>
      <c r="AD256" s="193"/>
      <c r="AE256" s="193"/>
      <c r="AF256" s="193"/>
      <c r="AG256" s="193"/>
      <c r="AH256" s="193"/>
      <c r="AI256" s="193"/>
      <c r="AJ256" s="193"/>
      <c r="AK256" s="193"/>
      <c r="AL256" s="193"/>
      <c r="AM256" s="193"/>
      <c r="AN256" s="193"/>
      <c r="AO256" s="193"/>
      <c r="AP256" s="193"/>
      <c r="AQ256" s="193"/>
      <c r="AR256" s="193"/>
      <c r="AS256" s="193"/>
      <c r="AT256" s="193"/>
      <c r="AU256" s="193"/>
      <c r="AV256" s="193"/>
      <c r="AW256" s="193"/>
      <c r="AX256" s="193"/>
      <c r="AY256" s="193"/>
      <c r="AZ256" s="193"/>
      <c r="BA256" s="193"/>
      <c r="BB256" s="193"/>
      <c r="BC256" s="193"/>
      <c r="BD256" s="193"/>
      <c r="BE256" s="193"/>
      <c r="BF256" s="193"/>
      <c r="BG256" s="193"/>
      <c r="BH256" s="193"/>
      <c r="BI256" s="193"/>
      <c r="BJ256" s="193"/>
      <c r="BK256" s="193"/>
      <c r="BL256" s="193"/>
      <c r="BM256" s="193"/>
      <c r="BN256" s="193"/>
      <c r="BO256" s="193"/>
      <c r="BP256" s="193"/>
      <c r="BQ256" s="193"/>
      <c r="BR256" s="193"/>
      <c r="BS256" s="193"/>
      <c r="BT256" s="193"/>
      <c r="BU256" s="193"/>
      <c r="BV256" s="193"/>
      <c r="BW256" s="193"/>
      <c r="BX256" s="193"/>
      <c r="BY256" s="193"/>
      <c r="BZ256" s="193"/>
      <c r="CA256" s="193"/>
      <c r="CB256" s="963"/>
      <c r="CC256" s="193"/>
      <c r="CD256" s="193"/>
      <c r="CE256" s="193"/>
      <c r="CL256" s="334"/>
      <c r="CS256" s="158"/>
      <c r="CT256" s="158"/>
      <c r="CU256" s="158"/>
      <c r="CV256" s="316"/>
      <c r="DC256" s="334"/>
      <c r="DI256" s="158"/>
      <c r="DJ256" s="316"/>
      <c r="DQ256" s="334"/>
      <c r="DW256" s="158"/>
      <c r="EE256" s="334"/>
      <c r="EK256" s="158"/>
      <c r="EY256" s="158"/>
      <c r="FF256" s="816"/>
    </row>
    <row r="257" spans="2:162" s="192" customFormat="1" ht="18" customHeight="1">
      <c r="B257" s="193"/>
      <c r="C257" s="193"/>
      <c r="D257" s="193"/>
      <c r="E257" s="194"/>
      <c r="F257" s="193"/>
      <c r="G257" s="193"/>
      <c r="H257" s="193"/>
      <c r="I257" s="193"/>
      <c r="J257" s="193"/>
      <c r="K257" s="193"/>
      <c r="L257" s="193"/>
      <c r="M257" s="193"/>
      <c r="N257" s="193"/>
      <c r="O257" s="193"/>
      <c r="P257" s="193"/>
      <c r="Q257" s="193"/>
      <c r="R257" s="193"/>
      <c r="S257" s="193"/>
      <c r="T257" s="193"/>
      <c r="U257" s="193"/>
      <c r="V257" s="193"/>
      <c r="W257" s="193"/>
      <c r="X257" s="193"/>
      <c r="Y257" s="193"/>
      <c r="Z257" s="193"/>
      <c r="AA257" s="193"/>
      <c r="AB257" s="193"/>
      <c r="AC257" s="193"/>
      <c r="AD257" s="193"/>
      <c r="AE257" s="193"/>
      <c r="AF257" s="193"/>
      <c r="AG257" s="193"/>
      <c r="AH257" s="193"/>
      <c r="AI257" s="193"/>
      <c r="AJ257" s="193"/>
      <c r="AK257" s="193"/>
      <c r="AL257" s="193"/>
      <c r="AM257" s="193"/>
      <c r="AN257" s="193"/>
      <c r="AO257" s="193"/>
      <c r="AP257" s="193"/>
      <c r="AQ257" s="193"/>
      <c r="AR257" s="193"/>
      <c r="AS257" s="193"/>
      <c r="AT257" s="193"/>
      <c r="AU257" s="193"/>
      <c r="AV257" s="193"/>
      <c r="AW257" s="193"/>
      <c r="AX257" s="193"/>
      <c r="AY257" s="193"/>
      <c r="AZ257" s="193"/>
      <c r="BA257" s="193"/>
      <c r="BB257" s="193"/>
      <c r="BC257" s="193"/>
      <c r="BD257" s="193"/>
      <c r="BE257" s="193"/>
      <c r="BF257" s="193"/>
      <c r="BG257" s="193"/>
      <c r="BH257" s="193"/>
      <c r="BI257" s="193"/>
      <c r="BJ257" s="193"/>
      <c r="BK257" s="193"/>
      <c r="BL257" s="193"/>
      <c r="BM257" s="193"/>
      <c r="BN257" s="193"/>
      <c r="BO257" s="193"/>
      <c r="BP257" s="193"/>
      <c r="BQ257" s="193"/>
      <c r="BR257" s="193"/>
      <c r="BS257" s="193"/>
      <c r="BT257" s="193"/>
      <c r="BU257" s="193"/>
      <c r="BV257" s="193"/>
      <c r="BW257" s="193"/>
      <c r="BX257" s="193"/>
      <c r="BY257" s="193"/>
      <c r="BZ257" s="193"/>
      <c r="CA257" s="193"/>
      <c r="CB257" s="963"/>
      <c r="CC257" s="193"/>
      <c r="CD257" s="193"/>
      <c r="CE257" s="193"/>
      <c r="CL257" s="334"/>
      <c r="CS257" s="158"/>
      <c r="CT257" s="158"/>
      <c r="CU257" s="158"/>
      <c r="CV257" s="316"/>
      <c r="DC257" s="334"/>
      <c r="DI257" s="158"/>
      <c r="DJ257" s="316"/>
      <c r="DQ257" s="334"/>
      <c r="DW257" s="158"/>
      <c r="EE257" s="334"/>
      <c r="EK257" s="158"/>
      <c r="EY257" s="158"/>
      <c r="FF257" s="816"/>
    </row>
    <row r="258" spans="2:162" s="192" customFormat="1" ht="18" customHeight="1">
      <c r="B258" s="193"/>
      <c r="C258" s="193"/>
      <c r="D258" s="193"/>
      <c r="E258" s="194"/>
      <c r="F258" s="193"/>
      <c r="G258" s="193"/>
      <c r="H258" s="193"/>
      <c r="I258" s="193"/>
      <c r="J258" s="193"/>
      <c r="K258" s="193"/>
      <c r="L258" s="193"/>
      <c r="M258" s="193"/>
      <c r="N258" s="193"/>
      <c r="O258" s="193"/>
      <c r="P258" s="193"/>
      <c r="Q258" s="193"/>
      <c r="R258" s="193"/>
      <c r="S258" s="193"/>
      <c r="T258" s="193"/>
      <c r="U258" s="193"/>
      <c r="V258" s="193"/>
      <c r="W258" s="193"/>
      <c r="X258" s="193"/>
      <c r="Y258" s="193"/>
      <c r="Z258" s="193"/>
      <c r="AA258" s="193"/>
      <c r="AB258" s="193"/>
      <c r="AC258" s="193"/>
      <c r="AD258" s="193"/>
      <c r="AE258" s="193"/>
      <c r="AF258" s="193"/>
      <c r="AG258" s="193"/>
      <c r="AH258" s="193"/>
      <c r="AI258" s="193"/>
      <c r="AJ258" s="193"/>
      <c r="AK258" s="193"/>
      <c r="AL258" s="193"/>
      <c r="AM258" s="193"/>
      <c r="AN258" s="193"/>
      <c r="AO258" s="193"/>
      <c r="AP258" s="193"/>
      <c r="AQ258" s="193"/>
      <c r="AR258" s="193"/>
      <c r="AS258" s="193"/>
      <c r="AT258" s="193"/>
      <c r="AU258" s="193"/>
      <c r="AV258" s="193"/>
      <c r="AW258" s="193"/>
      <c r="AX258" s="193"/>
      <c r="AY258" s="193"/>
      <c r="AZ258" s="193"/>
      <c r="BA258" s="193"/>
      <c r="BB258" s="193"/>
      <c r="BC258" s="193"/>
      <c r="BD258" s="193"/>
      <c r="BE258" s="193"/>
      <c r="BF258" s="193"/>
      <c r="BG258" s="193"/>
      <c r="BH258" s="193"/>
      <c r="BI258" s="193"/>
      <c r="BJ258" s="193"/>
      <c r="BK258" s="193"/>
      <c r="BL258" s="193"/>
      <c r="BM258" s="193"/>
      <c r="BN258" s="193"/>
      <c r="BO258" s="193"/>
      <c r="BP258" s="193"/>
      <c r="BQ258" s="193"/>
      <c r="BR258" s="193"/>
      <c r="BS258" s="193"/>
      <c r="BT258" s="193"/>
      <c r="BU258" s="193"/>
      <c r="BV258" s="193"/>
      <c r="BW258" s="193"/>
      <c r="BX258" s="193"/>
      <c r="BY258" s="193"/>
      <c r="BZ258" s="193"/>
      <c r="CA258" s="193"/>
      <c r="CB258" s="963"/>
      <c r="CC258" s="193"/>
      <c r="CD258" s="193"/>
      <c r="CE258" s="193"/>
      <c r="CL258" s="334"/>
      <c r="CS258" s="158"/>
      <c r="CT258" s="158"/>
      <c r="CU258" s="158"/>
      <c r="CV258" s="316"/>
      <c r="DC258" s="334"/>
      <c r="DI258" s="158"/>
      <c r="DJ258" s="316"/>
      <c r="DQ258" s="334"/>
      <c r="DW258" s="158"/>
      <c r="EE258" s="334"/>
      <c r="EK258" s="158"/>
      <c r="EY258" s="158"/>
      <c r="FF258" s="816"/>
    </row>
    <row r="259" spans="2:162" s="192" customFormat="1" ht="18" customHeight="1">
      <c r="B259" s="193"/>
      <c r="C259" s="193"/>
      <c r="D259" s="193"/>
      <c r="E259" s="194"/>
      <c r="F259" s="193"/>
      <c r="G259" s="193"/>
      <c r="H259" s="193"/>
      <c r="I259" s="193"/>
      <c r="J259" s="193"/>
      <c r="K259" s="193"/>
      <c r="L259" s="193"/>
      <c r="M259" s="193"/>
      <c r="N259" s="193"/>
      <c r="O259" s="193"/>
      <c r="P259" s="193"/>
      <c r="Q259" s="193"/>
      <c r="R259" s="193"/>
      <c r="S259" s="193"/>
      <c r="T259" s="193"/>
      <c r="U259" s="193"/>
      <c r="V259" s="193"/>
      <c r="W259" s="193"/>
      <c r="X259" s="193"/>
      <c r="Y259" s="193"/>
      <c r="Z259" s="193"/>
      <c r="AA259" s="193"/>
      <c r="AB259" s="193"/>
      <c r="AC259" s="193"/>
      <c r="AD259" s="193"/>
      <c r="AE259" s="193"/>
      <c r="AF259" s="193"/>
      <c r="AG259" s="193"/>
      <c r="AH259" s="193"/>
      <c r="AI259" s="193"/>
      <c r="AJ259" s="193"/>
      <c r="AK259" s="193"/>
      <c r="AL259" s="193"/>
      <c r="AM259" s="193"/>
      <c r="AN259" s="193"/>
      <c r="AO259" s="193"/>
      <c r="AP259" s="193"/>
      <c r="AQ259" s="193"/>
      <c r="AR259" s="193"/>
      <c r="AS259" s="193"/>
      <c r="AT259" s="193"/>
      <c r="AU259" s="193"/>
      <c r="AV259" s="193"/>
      <c r="AW259" s="193"/>
      <c r="AX259" s="193"/>
      <c r="AY259" s="193"/>
      <c r="AZ259" s="193"/>
      <c r="BA259" s="193"/>
      <c r="BB259" s="193"/>
      <c r="BC259" s="193"/>
      <c r="BD259" s="193"/>
      <c r="BE259" s="193"/>
      <c r="BF259" s="193"/>
      <c r="BG259" s="193"/>
      <c r="BH259" s="193"/>
      <c r="BI259" s="193"/>
      <c r="BJ259" s="193"/>
      <c r="BK259" s="193"/>
      <c r="BL259" s="193"/>
      <c r="BM259" s="193"/>
      <c r="BN259" s="193"/>
      <c r="BO259" s="193"/>
      <c r="BP259" s="193"/>
      <c r="BQ259" s="193"/>
      <c r="BR259" s="193"/>
      <c r="BS259" s="193"/>
      <c r="BT259" s="193"/>
      <c r="BU259" s="193"/>
      <c r="BV259" s="193"/>
      <c r="BW259" s="193"/>
      <c r="BX259" s="193"/>
      <c r="BY259" s="193"/>
      <c r="BZ259" s="193"/>
      <c r="CA259" s="193"/>
      <c r="CB259" s="963"/>
      <c r="CC259" s="193"/>
      <c r="CD259" s="193"/>
      <c r="CE259" s="193"/>
      <c r="CL259" s="334"/>
      <c r="CS259" s="158"/>
      <c r="CT259" s="158"/>
      <c r="CU259" s="158"/>
      <c r="CV259" s="316"/>
      <c r="DC259" s="334"/>
      <c r="DI259" s="158"/>
      <c r="DJ259" s="316"/>
      <c r="DQ259" s="334"/>
      <c r="DW259" s="158"/>
      <c r="EE259" s="334"/>
      <c r="EK259" s="158"/>
      <c r="EY259" s="158"/>
      <c r="FF259" s="816"/>
    </row>
    <row r="260" spans="2:162" s="192" customFormat="1" ht="18" customHeight="1">
      <c r="B260" s="193"/>
      <c r="C260" s="193"/>
      <c r="D260" s="193"/>
      <c r="E260" s="194"/>
      <c r="F260" s="193"/>
      <c r="G260" s="193"/>
      <c r="H260" s="193"/>
      <c r="I260" s="193"/>
      <c r="J260" s="193"/>
      <c r="K260" s="193"/>
      <c r="L260" s="193"/>
      <c r="M260" s="193"/>
      <c r="N260" s="193"/>
      <c r="O260" s="193"/>
      <c r="P260" s="193"/>
      <c r="Q260" s="193"/>
      <c r="R260" s="193"/>
      <c r="S260" s="193"/>
      <c r="T260" s="193"/>
      <c r="U260" s="193"/>
      <c r="V260" s="193"/>
      <c r="W260" s="193"/>
      <c r="X260" s="193"/>
      <c r="Y260" s="193"/>
      <c r="Z260" s="193"/>
      <c r="AA260" s="193"/>
      <c r="AB260" s="193"/>
      <c r="AC260" s="193"/>
      <c r="AD260" s="193"/>
      <c r="AE260" s="193"/>
      <c r="AF260" s="193"/>
      <c r="AG260" s="193"/>
      <c r="AH260" s="193"/>
      <c r="AI260" s="193"/>
      <c r="AJ260" s="193"/>
      <c r="AK260" s="193"/>
      <c r="AL260" s="193"/>
      <c r="AM260" s="193"/>
      <c r="AN260" s="193"/>
      <c r="AO260" s="193"/>
      <c r="AP260" s="193"/>
      <c r="AQ260" s="193"/>
      <c r="AR260" s="193"/>
      <c r="AS260" s="193"/>
      <c r="AT260" s="193"/>
      <c r="AU260" s="193"/>
      <c r="AV260" s="193"/>
      <c r="AW260" s="193"/>
      <c r="AX260" s="193"/>
      <c r="AY260" s="193"/>
      <c r="AZ260" s="193"/>
      <c r="BA260" s="193"/>
      <c r="BB260" s="193"/>
      <c r="BC260" s="193"/>
      <c r="BD260" s="193"/>
      <c r="BE260" s="193"/>
      <c r="BF260" s="193"/>
      <c r="BG260" s="193"/>
      <c r="BH260" s="193"/>
      <c r="BI260" s="193"/>
      <c r="BJ260" s="193"/>
      <c r="BK260" s="193"/>
      <c r="BL260" s="193"/>
      <c r="BM260" s="193"/>
      <c r="BN260" s="193"/>
      <c r="BO260" s="193"/>
      <c r="BP260" s="193"/>
      <c r="BQ260" s="193"/>
      <c r="BR260" s="193"/>
      <c r="BS260" s="193"/>
      <c r="BT260" s="193"/>
      <c r="BU260" s="193"/>
      <c r="BV260" s="193"/>
      <c r="BW260" s="193"/>
      <c r="BX260" s="193"/>
      <c r="BY260" s="193"/>
      <c r="BZ260" s="193"/>
      <c r="CA260" s="193"/>
      <c r="CB260" s="963"/>
      <c r="CC260" s="193"/>
      <c r="CD260" s="193"/>
      <c r="CE260" s="193"/>
      <c r="CL260" s="334"/>
      <c r="CS260" s="158"/>
      <c r="CT260" s="158"/>
      <c r="CU260" s="158"/>
      <c r="CV260" s="316"/>
      <c r="DC260" s="334"/>
      <c r="DI260" s="158"/>
      <c r="DJ260" s="316"/>
      <c r="DQ260" s="334"/>
      <c r="DW260" s="158"/>
      <c r="EE260" s="334"/>
      <c r="EK260" s="158"/>
      <c r="EY260" s="158"/>
      <c r="FF260" s="816"/>
    </row>
    <row r="261" spans="2:162" s="192" customFormat="1" ht="18" customHeight="1">
      <c r="B261" s="193"/>
      <c r="C261" s="193"/>
      <c r="D261" s="193"/>
      <c r="E261" s="194"/>
      <c r="F261" s="193"/>
      <c r="G261" s="193"/>
      <c r="H261" s="193"/>
      <c r="I261" s="193"/>
      <c r="J261" s="193"/>
      <c r="K261" s="193"/>
      <c r="L261" s="193"/>
      <c r="M261" s="193"/>
      <c r="N261" s="193"/>
      <c r="O261" s="193"/>
      <c r="P261" s="193"/>
      <c r="Q261" s="193"/>
      <c r="R261" s="193"/>
      <c r="S261" s="193"/>
      <c r="T261" s="193"/>
      <c r="U261" s="193"/>
      <c r="V261" s="193"/>
      <c r="W261" s="193"/>
      <c r="X261" s="193"/>
      <c r="Y261" s="193"/>
      <c r="Z261" s="193"/>
      <c r="AA261" s="193"/>
      <c r="AB261" s="193"/>
      <c r="AC261" s="193"/>
      <c r="AD261" s="193"/>
      <c r="AE261" s="193"/>
      <c r="AF261" s="193"/>
      <c r="AG261" s="193"/>
      <c r="AH261" s="193"/>
      <c r="AI261" s="193"/>
      <c r="AJ261" s="193"/>
      <c r="AK261" s="193"/>
      <c r="AL261" s="193"/>
      <c r="AM261" s="193"/>
      <c r="AN261" s="193"/>
      <c r="AO261" s="193"/>
      <c r="AP261" s="193"/>
      <c r="AQ261" s="193"/>
      <c r="AR261" s="193"/>
      <c r="AS261" s="193"/>
      <c r="AT261" s="193"/>
      <c r="AU261" s="193"/>
      <c r="AV261" s="193"/>
      <c r="AW261" s="193"/>
      <c r="AX261" s="193"/>
      <c r="AY261" s="193"/>
      <c r="AZ261" s="193"/>
      <c r="BA261" s="193"/>
      <c r="BB261" s="193"/>
      <c r="BC261" s="193"/>
      <c r="BD261" s="193"/>
      <c r="BE261" s="193"/>
      <c r="BF261" s="193"/>
      <c r="BG261" s="193"/>
      <c r="BH261" s="193"/>
      <c r="BI261" s="193"/>
      <c r="BJ261" s="193"/>
      <c r="BK261" s="193"/>
      <c r="BL261" s="193"/>
      <c r="BM261" s="193"/>
      <c r="BN261" s="193"/>
      <c r="BO261" s="193"/>
      <c r="BP261" s="193"/>
      <c r="BQ261" s="193"/>
      <c r="BR261" s="193"/>
      <c r="BS261" s="193"/>
      <c r="BT261" s="193"/>
      <c r="BU261" s="193"/>
      <c r="BV261" s="193"/>
      <c r="BW261" s="193"/>
      <c r="BX261" s="193"/>
      <c r="BY261" s="193"/>
      <c r="BZ261" s="193"/>
      <c r="CA261" s="193"/>
      <c r="CB261" s="963"/>
      <c r="CC261" s="193"/>
      <c r="CD261" s="193"/>
      <c r="CE261" s="193"/>
      <c r="CL261" s="334"/>
      <c r="CS261" s="158"/>
      <c r="CT261" s="158"/>
      <c r="CU261" s="158"/>
      <c r="CV261" s="316"/>
      <c r="DC261" s="334"/>
      <c r="DI261" s="158"/>
      <c r="DJ261" s="316"/>
      <c r="DQ261" s="334"/>
      <c r="DW261" s="158"/>
      <c r="EE261" s="334"/>
      <c r="EK261" s="158"/>
      <c r="EY261" s="158"/>
      <c r="FF261" s="816"/>
    </row>
    <row r="262" spans="2:162" s="192" customFormat="1" ht="18" customHeight="1">
      <c r="B262" s="193"/>
      <c r="C262" s="193"/>
      <c r="D262" s="193"/>
      <c r="E262" s="194"/>
      <c r="F262" s="193"/>
      <c r="G262" s="193"/>
      <c r="H262" s="193"/>
      <c r="I262" s="193"/>
      <c r="J262" s="193"/>
      <c r="K262" s="193"/>
      <c r="L262" s="193"/>
      <c r="M262" s="193"/>
      <c r="N262" s="193"/>
      <c r="O262" s="193"/>
      <c r="P262" s="193"/>
      <c r="Q262" s="193"/>
      <c r="R262" s="193"/>
      <c r="S262" s="193"/>
      <c r="T262" s="193"/>
      <c r="U262" s="193"/>
      <c r="V262" s="193"/>
      <c r="W262" s="193"/>
      <c r="X262" s="193"/>
      <c r="Y262" s="193"/>
      <c r="Z262" s="193"/>
      <c r="AA262" s="193"/>
      <c r="AB262" s="193"/>
      <c r="AC262" s="193"/>
      <c r="AD262" s="193"/>
      <c r="AE262" s="193"/>
      <c r="AF262" s="193"/>
      <c r="AG262" s="193"/>
      <c r="AH262" s="193"/>
      <c r="AI262" s="193"/>
      <c r="AJ262" s="193"/>
      <c r="AK262" s="193"/>
      <c r="AL262" s="193"/>
      <c r="AM262" s="193"/>
      <c r="AN262" s="193"/>
      <c r="AO262" s="193"/>
      <c r="AP262" s="193"/>
      <c r="AQ262" s="193"/>
      <c r="AR262" s="193"/>
      <c r="AS262" s="193"/>
      <c r="AT262" s="193"/>
      <c r="AU262" s="193"/>
      <c r="AV262" s="193"/>
      <c r="AW262" s="193"/>
      <c r="AX262" s="193"/>
      <c r="AY262" s="193"/>
      <c r="AZ262" s="193"/>
      <c r="BA262" s="193"/>
      <c r="BB262" s="193"/>
      <c r="BC262" s="193"/>
      <c r="BD262" s="193"/>
      <c r="BE262" s="193"/>
      <c r="BF262" s="193"/>
      <c r="BG262" s="193"/>
      <c r="BH262" s="193"/>
      <c r="BI262" s="193"/>
      <c r="BJ262" s="193"/>
      <c r="BK262" s="193"/>
      <c r="BL262" s="193"/>
      <c r="BM262" s="193"/>
      <c r="BN262" s="193"/>
      <c r="BO262" s="193"/>
      <c r="BP262" s="193"/>
      <c r="BQ262" s="193"/>
      <c r="BR262" s="193"/>
      <c r="BS262" s="193"/>
      <c r="BT262" s="193"/>
      <c r="BU262" s="193"/>
      <c r="BV262" s="193"/>
      <c r="BW262" s="193"/>
      <c r="BX262" s="193"/>
      <c r="BY262" s="193"/>
      <c r="BZ262" s="193"/>
      <c r="CA262" s="193"/>
      <c r="CB262" s="963"/>
      <c r="CC262" s="193"/>
      <c r="CD262" s="193"/>
      <c r="CE262" s="193"/>
      <c r="CL262" s="334"/>
      <c r="CS262" s="158"/>
      <c r="CT262" s="158"/>
      <c r="CU262" s="158"/>
      <c r="CV262" s="316"/>
      <c r="DC262" s="334"/>
      <c r="DI262" s="158"/>
      <c r="DJ262" s="316"/>
      <c r="DQ262" s="334"/>
      <c r="DW262" s="158"/>
      <c r="EE262" s="334"/>
      <c r="EK262" s="158"/>
      <c r="EY262" s="158"/>
      <c r="FF262" s="816"/>
    </row>
    <row r="263" spans="2:162" s="192" customFormat="1" ht="18" customHeight="1">
      <c r="B263" s="193"/>
      <c r="C263" s="193"/>
      <c r="D263" s="193"/>
      <c r="E263" s="194"/>
      <c r="F263" s="193"/>
      <c r="G263" s="193"/>
      <c r="H263" s="193"/>
      <c r="I263" s="193"/>
      <c r="J263" s="193"/>
      <c r="K263" s="193"/>
      <c r="L263" s="193"/>
      <c r="M263" s="193"/>
      <c r="N263" s="193"/>
      <c r="O263" s="193"/>
      <c r="P263" s="193"/>
      <c r="Q263" s="193"/>
      <c r="R263" s="193"/>
      <c r="S263" s="193"/>
      <c r="T263" s="193"/>
      <c r="U263" s="193"/>
      <c r="V263" s="193"/>
      <c r="W263" s="193"/>
      <c r="X263" s="193"/>
      <c r="Y263" s="193"/>
      <c r="Z263" s="193"/>
      <c r="AA263" s="193"/>
      <c r="AB263" s="193"/>
      <c r="AC263" s="193"/>
      <c r="AD263" s="193"/>
      <c r="AE263" s="193"/>
      <c r="AF263" s="193"/>
      <c r="AG263" s="193"/>
      <c r="AH263" s="193"/>
      <c r="AI263" s="193"/>
      <c r="AJ263" s="193"/>
      <c r="AK263" s="193"/>
      <c r="AL263" s="193"/>
      <c r="AM263" s="193"/>
      <c r="AN263" s="193"/>
      <c r="AO263" s="193"/>
      <c r="AP263" s="193"/>
      <c r="AQ263" s="193"/>
      <c r="AR263" s="193"/>
      <c r="AS263" s="193"/>
      <c r="AT263" s="193"/>
      <c r="AU263" s="193"/>
      <c r="AV263" s="193"/>
      <c r="AW263" s="193"/>
      <c r="AX263" s="193"/>
      <c r="AY263" s="193"/>
      <c r="AZ263" s="193"/>
      <c r="BA263" s="193"/>
      <c r="BB263" s="193"/>
      <c r="BC263" s="193"/>
      <c r="BD263" s="193"/>
      <c r="BE263" s="193"/>
      <c r="BF263" s="193"/>
      <c r="BG263" s="193"/>
      <c r="BH263" s="193"/>
      <c r="BI263" s="193"/>
      <c r="BJ263" s="193"/>
      <c r="BK263" s="193"/>
      <c r="BL263" s="193"/>
      <c r="BM263" s="193"/>
      <c r="BN263" s="193"/>
      <c r="BO263" s="193"/>
      <c r="BP263" s="193"/>
      <c r="BQ263" s="193"/>
      <c r="BR263" s="193"/>
      <c r="BS263" s="193"/>
      <c r="BT263" s="193"/>
      <c r="BU263" s="193"/>
      <c r="BV263" s="193"/>
      <c r="BW263" s="193"/>
      <c r="BX263" s="193"/>
      <c r="BY263" s="193"/>
      <c r="BZ263" s="193"/>
      <c r="CA263" s="193"/>
      <c r="CB263" s="963"/>
      <c r="CC263" s="193"/>
      <c r="CD263" s="193"/>
      <c r="CE263" s="193"/>
      <c r="CL263" s="334"/>
      <c r="CS263" s="158"/>
      <c r="CT263" s="158"/>
      <c r="CU263" s="158"/>
      <c r="CV263" s="316"/>
      <c r="DC263" s="334"/>
      <c r="DI263" s="158"/>
      <c r="DJ263" s="316"/>
      <c r="DQ263" s="334"/>
      <c r="DW263" s="158"/>
      <c r="EE263" s="334"/>
      <c r="EK263" s="158"/>
      <c r="EY263" s="158"/>
      <c r="FF263" s="816"/>
    </row>
    <row r="264" spans="2:162" s="192" customFormat="1" ht="18" customHeight="1">
      <c r="B264" s="193"/>
      <c r="C264" s="193"/>
      <c r="D264" s="193"/>
      <c r="E264" s="194"/>
      <c r="F264" s="193"/>
      <c r="G264" s="193"/>
      <c r="H264" s="193"/>
      <c r="I264" s="193"/>
      <c r="J264" s="193"/>
      <c r="K264" s="193"/>
      <c r="L264" s="193"/>
      <c r="M264" s="193"/>
      <c r="N264" s="193"/>
      <c r="O264" s="193"/>
      <c r="P264" s="193"/>
      <c r="Q264" s="193"/>
      <c r="R264" s="193"/>
      <c r="S264" s="193"/>
      <c r="T264" s="193"/>
      <c r="U264" s="193"/>
      <c r="V264" s="193"/>
      <c r="W264" s="193"/>
      <c r="X264" s="193"/>
      <c r="Y264" s="193"/>
      <c r="Z264" s="193"/>
      <c r="AA264" s="193"/>
      <c r="AB264" s="193"/>
      <c r="AC264" s="193"/>
      <c r="AD264" s="193"/>
      <c r="AE264" s="193"/>
      <c r="AF264" s="193"/>
      <c r="AG264" s="193"/>
      <c r="AH264" s="193"/>
      <c r="AI264" s="193"/>
      <c r="AJ264" s="193"/>
      <c r="AK264" s="193"/>
      <c r="AL264" s="193"/>
      <c r="AM264" s="193"/>
      <c r="AN264" s="193"/>
      <c r="AO264" s="193"/>
      <c r="AP264" s="193"/>
      <c r="AQ264" s="193"/>
      <c r="AR264" s="193"/>
      <c r="AS264" s="193"/>
      <c r="AT264" s="193"/>
      <c r="AU264" s="193"/>
      <c r="AV264" s="193"/>
      <c r="AW264" s="193"/>
      <c r="AX264" s="193"/>
      <c r="AY264" s="193"/>
      <c r="AZ264" s="193"/>
      <c r="BA264" s="193"/>
      <c r="BB264" s="193"/>
      <c r="BC264" s="193"/>
      <c r="BD264" s="193"/>
      <c r="BE264" s="193"/>
      <c r="BF264" s="193"/>
      <c r="BG264" s="193"/>
      <c r="BH264" s="193"/>
      <c r="BI264" s="193"/>
      <c r="BJ264" s="193"/>
      <c r="BK264" s="193"/>
      <c r="BL264" s="193"/>
      <c r="BM264" s="193"/>
      <c r="BN264" s="193"/>
      <c r="BO264" s="193"/>
      <c r="BP264" s="193"/>
      <c r="BQ264" s="193"/>
      <c r="BR264" s="193"/>
      <c r="BS264" s="193"/>
      <c r="BT264" s="193"/>
      <c r="BU264" s="193"/>
      <c r="BV264" s="193"/>
      <c r="BW264" s="193"/>
      <c r="BX264" s="193"/>
      <c r="BY264" s="193"/>
      <c r="BZ264" s="193"/>
      <c r="CA264" s="193"/>
      <c r="CB264" s="963"/>
      <c r="CC264" s="193"/>
      <c r="CD264" s="193"/>
      <c r="CE264" s="193"/>
      <c r="CL264" s="334"/>
      <c r="CS264" s="158"/>
      <c r="CT264" s="158"/>
      <c r="CU264" s="158"/>
      <c r="CV264" s="316"/>
      <c r="DC264" s="334"/>
      <c r="DI264" s="158"/>
      <c r="DJ264" s="316"/>
      <c r="DQ264" s="334"/>
      <c r="DW264" s="158"/>
      <c r="EE264" s="334"/>
      <c r="EK264" s="158"/>
      <c r="EY264" s="158"/>
      <c r="FF264" s="816"/>
    </row>
    <row r="265" spans="2:162" s="192" customFormat="1" ht="18" customHeight="1">
      <c r="B265" s="193"/>
      <c r="C265" s="193"/>
      <c r="D265" s="193"/>
      <c r="E265" s="194"/>
      <c r="F265" s="193"/>
      <c r="G265" s="193"/>
      <c r="H265" s="193"/>
      <c r="I265" s="193"/>
      <c r="J265" s="193"/>
      <c r="K265" s="193"/>
      <c r="L265" s="193"/>
      <c r="M265" s="193"/>
      <c r="N265" s="193"/>
      <c r="O265" s="193"/>
      <c r="P265" s="193"/>
      <c r="Q265" s="193"/>
      <c r="R265" s="193"/>
      <c r="S265" s="193"/>
      <c r="T265" s="193"/>
      <c r="U265" s="193"/>
      <c r="V265" s="193"/>
      <c r="W265" s="193"/>
      <c r="X265" s="193"/>
      <c r="Y265" s="193"/>
      <c r="Z265" s="193"/>
      <c r="AA265" s="193"/>
      <c r="AB265" s="193"/>
      <c r="AC265" s="193"/>
      <c r="AD265" s="193"/>
      <c r="AE265" s="193"/>
      <c r="AF265" s="193"/>
      <c r="AG265" s="193"/>
      <c r="AH265" s="193"/>
      <c r="AI265" s="193"/>
      <c r="AJ265" s="193"/>
      <c r="AK265" s="193"/>
      <c r="AL265" s="193"/>
      <c r="AM265" s="193"/>
      <c r="AN265" s="193"/>
      <c r="AO265" s="193"/>
      <c r="AP265" s="193"/>
      <c r="AQ265" s="193"/>
      <c r="AR265" s="193"/>
      <c r="AS265" s="193"/>
      <c r="AT265" s="193"/>
      <c r="AU265" s="193"/>
      <c r="AV265" s="193"/>
      <c r="AW265" s="193"/>
      <c r="AX265" s="193"/>
      <c r="AY265" s="193"/>
      <c r="AZ265" s="193"/>
      <c r="BA265" s="193"/>
      <c r="BB265" s="193"/>
      <c r="BC265" s="193"/>
      <c r="BD265" s="193"/>
      <c r="BE265" s="193"/>
      <c r="BF265" s="193"/>
      <c r="BG265" s="193"/>
      <c r="BH265" s="193"/>
      <c r="BI265" s="193"/>
      <c r="BJ265" s="193"/>
      <c r="BK265" s="193"/>
      <c r="BL265" s="193"/>
      <c r="BM265" s="193"/>
      <c r="BN265" s="193"/>
      <c r="BO265" s="193"/>
      <c r="BP265" s="193"/>
      <c r="BQ265" s="193"/>
      <c r="BR265" s="193"/>
      <c r="BS265" s="193"/>
      <c r="BT265" s="193"/>
      <c r="BU265" s="193"/>
      <c r="BV265" s="193"/>
      <c r="BW265" s="193"/>
      <c r="BX265" s="193"/>
      <c r="BY265" s="193"/>
      <c r="BZ265" s="193"/>
      <c r="CA265" s="193"/>
      <c r="CB265" s="963"/>
      <c r="CC265" s="193"/>
      <c r="CD265" s="193"/>
      <c r="CE265" s="193"/>
      <c r="CL265" s="334"/>
      <c r="CS265" s="158"/>
      <c r="CT265" s="158"/>
      <c r="CU265" s="158"/>
      <c r="CV265" s="316"/>
      <c r="DC265" s="334"/>
      <c r="DI265" s="158"/>
      <c r="DJ265" s="316"/>
      <c r="DQ265" s="334"/>
      <c r="DW265" s="158"/>
      <c r="EE265" s="334"/>
      <c r="EK265" s="158"/>
      <c r="EY265" s="158"/>
      <c r="FF265" s="816"/>
    </row>
    <row r="266" spans="2:162" s="192" customFormat="1" ht="18" customHeight="1">
      <c r="B266" s="193"/>
      <c r="C266" s="193"/>
      <c r="D266" s="193"/>
      <c r="E266" s="194"/>
      <c r="F266" s="193"/>
      <c r="G266" s="193"/>
      <c r="H266" s="193"/>
      <c r="I266" s="193"/>
      <c r="J266" s="193"/>
      <c r="K266" s="193"/>
      <c r="L266" s="193"/>
      <c r="M266" s="193"/>
      <c r="N266" s="193"/>
      <c r="O266" s="193"/>
      <c r="P266" s="193"/>
      <c r="Q266" s="193"/>
      <c r="R266" s="193"/>
      <c r="S266" s="193"/>
      <c r="T266" s="193"/>
      <c r="U266" s="193"/>
      <c r="V266" s="193"/>
      <c r="W266" s="193"/>
      <c r="X266" s="193"/>
      <c r="Y266" s="193"/>
      <c r="Z266" s="193"/>
      <c r="AA266" s="193"/>
      <c r="AB266" s="193"/>
      <c r="AC266" s="193"/>
      <c r="AD266" s="193"/>
      <c r="AE266" s="193"/>
      <c r="AF266" s="193"/>
      <c r="AG266" s="193"/>
      <c r="AH266" s="193"/>
      <c r="AI266" s="193"/>
      <c r="AJ266" s="193"/>
      <c r="AK266" s="193"/>
      <c r="AL266" s="193"/>
      <c r="AM266" s="193"/>
      <c r="AN266" s="193"/>
      <c r="AO266" s="193"/>
      <c r="AP266" s="193"/>
      <c r="AQ266" s="193"/>
      <c r="AR266" s="193"/>
      <c r="AS266" s="193"/>
      <c r="AT266" s="193"/>
      <c r="AU266" s="193"/>
      <c r="AV266" s="193"/>
      <c r="AW266" s="193"/>
      <c r="AX266" s="193"/>
      <c r="AY266" s="193"/>
      <c r="AZ266" s="193"/>
      <c r="BA266" s="193"/>
      <c r="BB266" s="193"/>
      <c r="BC266" s="193"/>
      <c r="BD266" s="193"/>
      <c r="BE266" s="193"/>
      <c r="BF266" s="193"/>
      <c r="BG266" s="193"/>
      <c r="BH266" s="193"/>
      <c r="BI266" s="193"/>
      <c r="BJ266" s="193"/>
      <c r="BK266" s="193"/>
      <c r="BL266" s="193"/>
      <c r="BM266" s="193"/>
      <c r="BN266" s="193"/>
      <c r="BO266" s="193"/>
      <c r="BP266" s="193"/>
      <c r="BQ266" s="193"/>
      <c r="BR266" s="193"/>
      <c r="BS266" s="193"/>
      <c r="BT266" s="193"/>
      <c r="BU266" s="193"/>
      <c r="BV266" s="193"/>
      <c r="BW266" s="193"/>
      <c r="BX266" s="193"/>
      <c r="BY266" s="193"/>
      <c r="BZ266" s="193"/>
      <c r="CA266" s="193"/>
      <c r="CB266" s="963"/>
      <c r="CC266" s="193"/>
      <c r="CD266" s="193"/>
      <c r="CE266" s="193"/>
      <c r="CL266" s="334"/>
      <c r="CS266" s="158"/>
      <c r="CT266" s="158"/>
      <c r="CU266" s="158"/>
      <c r="CV266" s="316"/>
      <c r="DC266" s="334"/>
      <c r="DI266" s="158"/>
      <c r="DJ266" s="316"/>
      <c r="DQ266" s="334"/>
      <c r="DW266" s="158"/>
      <c r="EE266" s="334"/>
      <c r="EK266" s="158"/>
      <c r="EY266" s="158"/>
      <c r="FF266" s="816"/>
    </row>
    <row r="267" spans="2:162" s="192" customFormat="1" ht="18" customHeight="1">
      <c r="B267" s="193"/>
      <c r="C267" s="193"/>
      <c r="D267" s="193"/>
      <c r="E267" s="194"/>
      <c r="F267" s="193"/>
      <c r="G267" s="193"/>
      <c r="H267" s="193"/>
      <c r="I267" s="193"/>
      <c r="J267" s="193"/>
      <c r="K267" s="193"/>
      <c r="L267" s="193"/>
      <c r="M267" s="193"/>
      <c r="N267" s="193"/>
      <c r="O267" s="193"/>
      <c r="P267" s="193"/>
      <c r="Q267" s="193"/>
      <c r="R267" s="193"/>
      <c r="S267" s="193"/>
      <c r="T267" s="193"/>
      <c r="U267" s="193"/>
      <c r="V267" s="193"/>
      <c r="W267" s="193"/>
      <c r="X267" s="193"/>
      <c r="Y267" s="193"/>
      <c r="Z267" s="193"/>
      <c r="AA267" s="193"/>
      <c r="AB267" s="193"/>
      <c r="AC267" s="193"/>
      <c r="AD267" s="193"/>
      <c r="AE267" s="193"/>
      <c r="AF267" s="193"/>
      <c r="AG267" s="193"/>
      <c r="AH267" s="193"/>
      <c r="AI267" s="193"/>
      <c r="AJ267" s="193"/>
      <c r="AK267" s="193"/>
      <c r="AL267" s="193"/>
      <c r="AM267" s="193"/>
      <c r="AN267" s="193"/>
      <c r="AO267" s="193"/>
      <c r="AP267" s="193"/>
      <c r="AQ267" s="193"/>
      <c r="AR267" s="193"/>
      <c r="AS267" s="193"/>
      <c r="AT267" s="193"/>
      <c r="AU267" s="193"/>
      <c r="AV267" s="193"/>
      <c r="AW267" s="193"/>
      <c r="AX267" s="193"/>
      <c r="AY267" s="193"/>
      <c r="AZ267" s="193"/>
      <c r="BA267" s="193"/>
      <c r="BB267" s="193"/>
      <c r="BC267" s="193"/>
      <c r="BD267" s="193"/>
      <c r="BE267" s="193"/>
      <c r="BF267" s="193"/>
      <c r="BG267" s="193"/>
      <c r="BH267" s="193"/>
      <c r="BI267" s="193"/>
      <c r="BJ267" s="193"/>
      <c r="BK267" s="193"/>
      <c r="BL267" s="193"/>
      <c r="BM267" s="193"/>
      <c r="BN267" s="193"/>
      <c r="BO267" s="193"/>
      <c r="BP267" s="193"/>
      <c r="BQ267" s="193"/>
      <c r="BR267" s="193"/>
      <c r="BS267" s="193"/>
      <c r="BT267" s="193"/>
      <c r="BU267" s="193"/>
      <c r="BV267" s="193"/>
      <c r="BW267" s="193"/>
      <c r="BX267" s="193"/>
      <c r="BY267" s="193"/>
      <c r="BZ267" s="193"/>
      <c r="CA267" s="193"/>
      <c r="CB267" s="963"/>
      <c r="CC267" s="193"/>
      <c r="CD267" s="193"/>
      <c r="CE267" s="193"/>
      <c r="CL267" s="334"/>
      <c r="CS267" s="158"/>
      <c r="CT267" s="158"/>
      <c r="CU267" s="158"/>
      <c r="CV267" s="316"/>
      <c r="DC267" s="334"/>
      <c r="DI267" s="158"/>
      <c r="DJ267" s="316"/>
      <c r="DQ267" s="334"/>
      <c r="DW267" s="158"/>
      <c r="EE267" s="334"/>
      <c r="EK267" s="158"/>
      <c r="EY267" s="158"/>
      <c r="FF267" s="816"/>
    </row>
    <row r="268" spans="2:162" s="192" customFormat="1" ht="18" customHeight="1">
      <c r="B268" s="193"/>
      <c r="C268" s="193"/>
      <c r="D268" s="193"/>
      <c r="E268" s="194"/>
      <c r="F268" s="193"/>
      <c r="G268" s="193"/>
      <c r="H268" s="193"/>
      <c r="I268" s="193"/>
      <c r="J268" s="193"/>
      <c r="K268" s="193"/>
      <c r="L268" s="193"/>
      <c r="M268" s="193"/>
      <c r="N268" s="193"/>
      <c r="O268" s="193"/>
      <c r="P268" s="193"/>
      <c r="Q268" s="193"/>
      <c r="R268" s="193"/>
      <c r="S268" s="193"/>
      <c r="T268" s="193"/>
      <c r="U268" s="193"/>
      <c r="V268" s="193"/>
      <c r="W268" s="193"/>
      <c r="X268" s="193"/>
      <c r="Y268" s="193"/>
      <c r="Z268" s="193"/>
      <c r="AA268" s="193"/>
      <c r="AB268" s="193"/>
      <c r="AC268" s="193"/>
      <c r="AD268" s="193"/>
      <c r="AE268" s="193"/>
      <c r="AF268" s="193"/>
      <c r="AG268" s="193"/>
      <c r="AH268" s="193"/>
      <c r="AI268" s="193"/>
      <c r="AJ268" s="193"/>
      <c r="AK268" s="193"/>
      <c r="AL268" s="193"/>
      <c r="AM268" s="193"/>
      <c r="AN268" s="193"/>
      <c r="AO268" s="193"/>
      <c r="AP268" s="193"/>
      <c r="AQ268" s="193"/>
      <c r="AR268" s="193"/>
      <c r="AS268" s="193"/>
      <c r="AT268" s="193"/>
      <c r="AU268" s="193"/>
      <c r="AV268" s="193"/>
      <c r="AW268" s="193"/>
      <c r="AX268" s="193"/>
      <c r="AY268" s="193"/>
      <c r="AZ268" s="193"/>
      <c r="BA268" s="193"/>
      <c r="BB268" s="193"/>
      <c r="BC268" s="193"/>
      <c r="BD268" s="193"/>
      <c r="BE268" s="193"/>
      <c r="BF268" s="193"/>
      <c r="BG268" s="193"/>
      <c r="BH268" s="193"/>
      <c r="BI268" s="193"/>
      <c r="BJ268" s="193"/>
      <c r="BK268" s="193"/>
      <c r="BL268" s="193"/>
      <c r="BM268" s="193"/>
      <c r="BN268" s="193"/>
      <c r="BO268" s="193"/>
      <c r="BP268" s="193"/>
      <c r="BQ268" s="193"/>
      <c r="BR268" s="193"/>
      <c r="BS268" s="193"/>
      <c r="BT268" s="193"/>
      <c r="BU268" s="193"/>
      <c r="BV268" s="193"/>
      <c r="BW268" s="193"/>
      <c r="BX268" s="193"/>
      <c r="BY268" s="193"/>
      <c r="BZ268" s="193"/>
      <c r="CA268" s="193"/>
      <c r="CB268" s="963"/>
      <c r="CC268" s="193"/>
      <c r="CD268" s="193"/>
      <c r="CE268" s="193"/>
      <c r="CL268" s="334"/>
      <c r="CS268" s="158"/>
      <c r="CT268" s="158"/>
      <c r="CU268" s="158"/>
      <c r="CV268" s="316"/>
      <c r="DC268" s="334"/>
      <c r="DI268" s="158"/>
      <c r="DJ268" s="316"/>
      <c r="DQ268" s="334"/>
      <c r="DW268" s="158"/>
      <c r="EE268" s="334"/>
      <c r="EK268" s="158"/>
      <c r="EY268" s="158"/>
      <c r="FF268" s="816"/>
    </row>
    <row r="269" spans="2:162" s="192" customFormat="1" ht="18" customHeight="1">
      <c r="B269" s="193"/>
      <c r="C269" s="193"/>
      <c r="D269" s="193"/>
      <c r="E269" s="194"/>
      <c r="F269" s="193"/>
      <c r="G269" s="193"/>
      <c r="H269" s="193"/>
      <c r="I269" s="193"/>
      <c r="J269" s="193"/>
      <c r="K269" s="193"/>
      <c r="L269" s="193"/>
      <c r="M269" s="193"/>
      <c r="N269" s="193"/>
      <c r="O269" s="193"/>
      <c r="P269" s="193"/>
      <c r="Q269" s="193"/>
      <c r="R269" s="193"/>
      <c r="S269" s="193"/>
      <c r="T269" s="193"/>
      <c r="U269" s="193"/>
      <c r="V269" s="193"/>
      <c r="W269" s="193"/>
      <c r="X269" s="193"/>
      <c r="Y269" s="193"/>
      <c r="Z269" s="193"/>
      <c r="AA269" s="193"/>
      <c r="AB269" s="193"/>
      <c r="AC269" s="193"/>
      <c r="AD269" s="193"/>
      <c r="AE269" s="193"/>
      <c r="AF269" s="193"/>
      <c r="AG269" s="193"/>
      <c r="AH269" s="193"/>
      <c r="AI269" s="193"/>
      <c r="AJ269" s="193"/>
      <c r="AK269" s="193"/>
      <c r="AL269" s="193"/>
      <c r="AM269" s="193"/>
      <c r="AN269" s="193"/>
      <c r="AO269" s="193"/>
      <c r="AP269" s="193"/>
      <c r="AQ269" s="193"/>
      <c r="AR269" s="193"/>
      <c r="AS269" s="193"/>
      <c r="AT269" s="193"/>
      <c r="AU269" s="193"/>
      <c r="AV269" s="193"/>
      <c r="AW269" s="193"/>
      <c r="AX269" s="193"/>
      <c r="AY269" s="193"/>
      <c r="AZ269" s="193"/>
      <c r="BA269" s="193"/>
      <c r="BB269" s="193"/>
      <c r="BC269" s="193"/>
      <c r="BD269" s="193"/>
      <c r="BE269" s="193"/>
      <c r="BF269" s="193"/>
      <c r="BG269" s="193"/>
      <c r="BH269" s="193"/>
      <c r="BI269" s="193"/>
      <c r="BJ269" s="193"/>
      <c r="BK269" s="193"/>
      <c r="BL269" s="193"/>
      <c r="BM269" s="193"/>
      <c r="BN269" s="193"/>
      <c r="BO269" s="193"/>
      <c r="BP269" s="193"/>
      <c r="BQ269" s="193"/>
      <c r="BR269" s="193"/>
      <c r="BS269" s="193"/>
      <c r="BT269" s="193"/>
      <c r="BU269" s="193"/>
      <c r="BV269" s="193"/>
      <c r="BW269" s="193"/>
      <c r="BX269" s="193"/>
      <c r="BY269" s="193"/>
      <c r="BZ269" s="193"/>
      <c r="CA269" s="193"/>
      <c r="CB269" s="963"/>
      <c r="CC269" s="193"/>
      <c r="CD269" s="193"/>
      <c r="CE269" s="193"/>
      <c r="CL269" s="334"/>
      <c r="CS269" s="158"/>
      <c r="CT269" s="158"/>
      <c r="CU269" s="158"/>
      <c r="CV269" s="316"/>
      <c r="DC269" s="334"/>
      <c r="DI269" s="158"/>
      <c r="DJ269" s="316"/>
      <c r="DQ269" s="334"/>
      <c r="DW269" s="158"/>
      <c r="EE269" s="334"/>
      <c r="EK269" s="158"/>
      <c r="EY269" s="158"/>
      <c r="FF269" s="816"/>
    </row>
    <row r="270" spans="2:162" s="192" customFormat="1" ht="18" customHeight="1">
      <c r="B270" s="193"/>
      <c r="C270" s="193"/>
      <c r="D270" s="193"/>
      <c r="E270" s="194"/>
      <c r="F270" s="193"/>
      <c r="G270" s="193"/>
      <c r="H270" s="193"/>
      <c r="I270" s="193"/>
      <c r="J270" s="193"/>
      <c r="K270" s="193"/>
      <c r="L270" s="193"/>
      <c r="M270" s="193"/>
      <c r="N270" s="193"/>
      <c r="O270" s="193"/>
      <c r="P270" s="193"/>
      <c r="Q270" s="193"/>
      <c r="R270" s="193"/>
      <c r="S270" s="193"/>
      <c r="T270" s="193"/>
      <c r="U270" s="193"/>
      <c r="V270" s="193"/>
      <c r="W270" s="193"/>
      <c r="X270" s="193"/>
      <c r="Y270" s="193"/>
      <c r="Z270" s="193"/>
      <c r="AA270" s="193"/>
      <c r="AB270" s="193"/>
      <c r="AC270" s="193"/>
      <c r="AD270" s="193"/>
      <c r="AE270" s="193"/>
      <c r="AF270" s="193"/>
      <c r="AG270" s="193"/>
      <c r="AH270" s="193"/>
      <c r="AI270" s="193"/>
      <c r="AJ270" s="193"/>
      <c r="AK270" s="193"/>
      <c r="AL270" s="193"/>
      <c r="AM270" s="193"/>
      <c r="AN270" s="193"/>
      <c r="AO270" s="193"/>
      <c r="AP270" s="193"/>
      <c r="AQ270" s="193"/>
      <c r="AR270" s="193"/>
      <c r="AS270" s="193"/>
      <c r="AT270" s="193"/>
      <c r="AU270" s="193"/>
      <c r="AV270" s="193"/>
      <c r="AW270" s="193"/>
      <c r="AX270" s="193"/>
      <c r="AY270" s="193"/>
      <c r="AZ270" s="193"/>
      <c r="BA270" s="193"/>
      <c r="BB270" s="193"/>
      <c r="BC270" s="193"/>
      <c r="BD270" s="193"/>
      <c r="BE270" s="193"/>
      <c r="BF270" s="193"/>
      <c r="BG270" s="193"/>
      <c r="BH270" s="193"/>
      <c r="BI270" s="193"/>
      <c r="BJ270" s="193"/>
      <c r="BK270" s="193"/>
      <c r="BL270" s="193"/>
      <c r="BM270" s="193"/>
      <c r="BN270" s="193"/>
      <c r="BO270" s="193"/>
      <c r="BP270" s="193"/>
      <c r="BQ270" s="193"/>
      <c r="BR270" s="193"/>
      <c r="BS270" s="193"/>
      <c r="BT270" s="193"/>
      <c r="BU270" s="193"/>
      <c r="BV270" s="193"/>
      <c r="BW270" s="193"/>
      <c r="BX270" s="193"/>
      <c r="BY270" s="193"/>
      <c r="BZ270" s="193"/>
      <c r="CA270" s="193"/>
      <c r="CB270" s="963"/>
      <c r="CC270" s="193"/>
      <c r="CD270" s="193"/>
      <c r="CE270" s="193"/>
      <c r="CL270" s="334"/>
      <c r="CS270" s="158"/>
      <c r="CT270" s="158"/>
      <c r="CU270" s="158"/>
      <c r="CV270" s="316"/>
      <c r="DC270" s="334"/>
      <c r="DI270" s="158"/>
      <c r="DJ270" s="316"/>
      <c r="DQ270" s="334"/>
      <c r="DW270" s="158"/>
      <c r="EE270" s="334"/>
      <c r="EK270" s="158"/>
      <c r="EY270" s="158"/>
      <c r="FF270" s="816"/>
    </row>
    <row r="271" spans="2:162" s="192" customFormat="1" ht="18" customHeight="1">
      <c r="B271" s="193"/>
      <c r="C271" s="193"/>
      <c r="D271" s="193"/>
      <c r="E271" s="194"/>
      <c r="F271" s="193"/>
      <c r="G271" s="193"/>
      <c r="H271" s="193"/>
      <c r="I271" s="193"/>
      <c r="J271" s="193"/>
      <c r="K271" s="193"/>
      <c r="L271" s="193"/>
      <c r="M271" s="193"/>
      <c r="N271" s="193"/>
      <c r="O271" s="193"/>
      <c r="P271" s="193"/>
      <c r="Q271" s="193"/>
      <c r="R271" s="193"/>
      <c r="S271" s="193"/>
      <c r="T271" s="193"/>
      <c r="U271" s="193"/>
      <c r="V271" s="193"/>
      <c r="W271" s="193"/>
      <c r="X271" s="193"/>
      <c r="Y271" s="193"/>
      <c r="Z271" s="193"/>
      <c r="AA271" s="193"/>
      <c r="AB271" s="193"/>
      <c r="AC271" s="193"/>
      <c r="AD271" s="193"/>
      <c r="AE271" s="193"/>
      <c r="AF271" s="193"/>
      <c r="AG271" s="193"/>
      <c r="AH271" s="193"/>
      <c r="AI271" s="193"/>
      <c r="AJ271" s="193"/>
      <c r="AK271" s="193"/>
      <c r="AL271" s="193"/>
      <c r="AM271" s="193"/>
      <c r="AN271" s="193"/>
      <c r="AO271" s="193"/>
      <c r="AP271" s="193"/>
      <c r="AQ271" s="193"/>
      <c r="AR271" s="193"/>
      <c r="AS271" s="193"/>
      <c r="AT271" s="193"/>
      <c r="AU271" s="193"/>
      <c r="AV271" s="193"/>
      <c r="AW271" s="193"/>
      <c r="AX271" s="193"/>
      <c r="AY271" s="193"/>
      <c r="AZ271" s="193"/>
      <c r="BA271" s="193"/>
      <c r="BB271" s="193"/>
      <c r="BC271" s="193"/>
      <c r="BD271" s="193"/>
      <c r="BE271" s="193"/>
      <c r="BF271" s="193"/>
      <c r="BG271" s="193"/>
      <c r="BH271" s="193"/>
      <c r="BI271" s="193"/>
      <c r="BJ271" s="193"/>
      <c r="BK271" s="193"/>
      <c r="BL271" s="193"/>
      <c r="BM271" s="193"/>
      <c r="BN271" s="193"/>
      <c r="BO271" s="193"/>
      <c r="BP271" s="193"/>
      <c r="BQ271" s="193"/>
      <c r="BR271" s="193"/>
      <c r="BS271" s="193"/>
      <c r="BT271" s="193"/>
      <c r="BU271" s="193"/>
      <c r="BV271" s="193"/>
      <c r="BW271" s="193"/>
      <c r="BX271" s="193"/>
      <c r="BY271" s="193"/>
      <c r="BZ271" s="193"/>
      <c r="CA271" s="193"/>
      <c r="CB271" s="963"/>
      <c r="CC271" s="193"/>
      <c r="CD271" s="193"/>
      <c r="CE271" s="193"/>
      <c r="CL271" s="334"/>
      <c r="CS271" s="158"/>
      <c r="CT271" s="158"/>
      <c r="CU271" s="158"/>
      <c r="CV271" s="316"/>
      <c r="DC271" s="334"/>
      <c r="DI271" s="158"/>
      <c r="DJ271" s="316"/>
      <c r="DQ271" s="334"/>
      <c r="DW271" s="158"/>
      <c r="EE271" s="334"/>
      <c r="EK271" s="158"/>
      <c r="EY271" s="158"/>
      <c r="FF271" s="816"/>
    </row>
    <row r="272" spans="2:162" s="192" customFormat="1" ht="18" customHeight="1">
      <c r="B272" s="193"/>
      <c r="C272" s="193"/>
      <c r="D272" s="193"/>
      <c r="E272" s="194"/>
      <c r="F272" s="193"/>
      <c r="G272" s="193"/>
      <c r="H272" s="193"/>
      <c r="I272" s="193"/>
      <c r="J272" s="193"/>
      <c r="K272" s="193"/>
      <c r="L272" s="193"/>
      <c r="M272" s="193"/>
      <c r="N272" s="193"/>
      <c r="O272" s="193"/>
      <c r="P272" s="193"/>
      <c r="Q272" s="193"/>
      <c r="R272" s="193"/>
      <c r="S272" s="193"/>
      <c r="T272" s="193"/>
      <c r="U272" s="193"/>
      <c r="V272" s="193"/>
      <c r="W272" s="193"/>
      <c r="X272" s="193"/>
      <c r="Y272" s="193"/>
      <c r="Z272" s="193"/>
      <c r="AA272" s="193"/>
      <c r="AB272" s="193"/>
      <c r="AC272" s="193"/>
      <c r="AD272" s="193"/>
      <c r="AE272" s="193"/>
      <c r="AF272" s="193"/>
      <c r="AG272" s="193"/>
      <c r="AH272" s="193"/>
      <c r="AI272" s="193"/>
      <c r="AJ272" s="193"/>
      <c r="AK272" s="193"/>
      <c r="AL272" s="193"/>
      <c r="AM272" s="193"/>
      <c r="AN272" s="193"/>
      <c r="AO272" s="193"/>
      <c r="AP272" s="193"/>
      <c r="AQ272" s="193"/>
      <c r="AR272" s="193"/>
      <c r="AS272" s="193"/>
      <c r="AT272" s="193"/>
      <c r="AU272" s="193"/>
      <c r="AV272" s="193"/>
      <c r="AW272" s="193"/>
      <c r="AX272" s="193"/>
      <c r="AY272" s="193"/>
      <c r="AZ272" s="193"/>
      <c r="BA272" s="193"/>
      <c r="BB272" s="193"/>
      <c r="BC272" s="193"/>
      <c r="BD272" s="193"/>
      <c r="BE272" s="193"/>
      <c r="BF272" s="193"/>
      <c r="BG272" s="193"/>
      <c r="BH272" s="193"/>
      <c r="BI272" s="193"/>
      <c r="BJ272" s="193"/>
      <c r="BK272" s="193"/>
      <c r="BL272" s="193"/>
      <c r="BM272" s="193"/>
      <c r="BN272" s="193"/>
      <c r="BO272" s="193"/>
      <c r="BP272" s="193"/>
      <c r="BQ272" s="193"/>
      <c r="BR272" s="193"/>
      <c r="BS272" s="193"/>
      <c r="BT272" s="193"/>
      <c r="BU272" s="193"/>
      <c r="BV272" s="193"/>
      <c r="BW272" s="193"/>
      <c r="BX272" s="193"/>
      <c r="BY272" s="193"/>
      <c r="BZ272" s="193"/>
      <c r="CA272" s="193"/>
      <c r="CB272" s="963"/>
      <c r="CC272" s="193"/>
      <c r="CD272" s="193"/>
      <c r="CE272" s="193"/>
      <c r="CL272" s="334"/>
      <c r="CS272" s="158"/>
      <c r="CT272" s="158"/>
      <c r="CU272" s="158"/>
      <c r="CV272" s="316"/>
      <c r="DC272" s="334"/>
      <c r="DI272" s="158"/>
      <c r="DJ272" s="316"/>
      <c r="DQ272" s="334"/>
      <c r="DW272" s="158"/>
      <c r="EE272" s="334"/>
      <c r="EK272" s="158"/>
      <c r="EY272" s="158"/>
      <c r="FF272" s="816"/>
    </row>
    <row r="273" spans="2:162" s="192" customFormat="1" ht="18" customHeight="1">
      <c r="B273" s="193"/>
      <c r="C273" s="193"/>
      <c r="D273" s="193"/>
      <c r="E273" s="194"/>
      <c r="F273" s="193"/>
      <c r="G273" s="193"/>
      <c r="H273" s="193"/>
      <c r="I273" s="193"/>
      <c r="J273" s="193"/>
      <c r="K273" s="193"/>
      <c r="L273" s="193"/>
      <c r="M273" s="193"/>
      <c r="N273" s="193"/>
      <c r="O273" s="193"/>
      <c r="P273" s="193"/>
      <c r="Q273" s="193"/>
      <c r="R273" s="193"/>
      <c r="S273" s="193"/>
      <c r="T273" s="193"/>
      <c r="U273" s="193"/>
      <c r="V273" s="193"/>
      <c r="W273" s="193"/>
      <c r="X273" s="193"/>
      <c r="Y273" s="193"/>
      <c r="Z273" s="193"/>
      <c r="AA273" s="193"/>
      <c r="AB273" s="193"/>
      <c r="AC273" s="193"/>
      <c r="AD273" s="193"/>
      <c r="AE273" s="193"/>
      <c r="AF273" s="193"/>
      <c r="AG273" s="193"/>
      <c r="AH273" s="193"/>
      <c r="AI273" s="193"/>
      <c r="AJ273" s="193"/>
      <c r="AK273" s="193"/>
      <c r="AL273" s="193"/>
      <c r="AM273" s="193"/>
      <c r="AN273" s="193"/>
      <c r="AO273" s="193"/>
      <c r="AP273" s="193"/>
      <c r="AQ273" s="193"/>
      <c r="AR273" s="193"/>
      <c r="AS273" s="193"/>
      <c r="AT273" s="193"/>
      <c r="AU273" s="193"/>
      <c r="AV273" s="193"/>
      <c r="AW273" s="193"/>
      <c r="AX273" s="193"/>
      <c r="AY273" s="193"/>
      <c r="AZ273" s="193"/>
      <c r="BA273" s="193"/>
      <c r="BB273" s="193"/>
      <c r="BC273" s="193"/>
      <c r="BD273" s="193"/>
      <c r="BE273" s="193"/>
      <c r="BF273" s="193"/>
      <c r="BG273" s="193"/>
      <c r="BH273" s="193"/>
      <c r="BI273" s="193"/>
      <c r="BJ273" s="193"/>
      <c r="BK273" s="193"/>
      <c r="BL273" s="193"/>
      <c r="BM273" s="193"/>
      <c r="BN273" s="193"/>
      <c r="BO273" s="193"/>
      <c r="BP273" s="193"/>
      <c r="BQ273" s="193"/>
      <c r="BR273" s="193"/>
      <c r="BS273" s="193"/>
      <c r="BT273" s="193"/>
      <c r="BU273" s="193"/>
      <c r="BV273" s="193"/>
      <c r="BW273" s="193"/>
      <c r="BX273" s="193"/>
      <c r="BY273" s="193"/>
      <c r="BZ273" s="193"/>
      <c r="CA273" s="193"/>
      <c r="CB273" s="963"/>
      <c r="CC273" s="193"/>
      <c r="CD273" s="193"/>
      <c r="CE273" s="193"/>
      <c r="CL273" s="334"/>
      <c r="CS273" s="158"/>
      <c r="CT273" s="158"/>
      <c r="CU273" s="158"/>
      <c r="CV273" s="316"/>
      <c r="DC273" s="334"/>
      <c r="DI273" s="158"/>
      <c r="DJ273" s="316"/>
      <c r="DQ273" s="334"/>
      <c r="DW273" s="158"/>
      <c r="EE273" s="334"/>
      <c r="EK273" s="158"/>
      <c r="EY273" s="158"/>
      <c r="FF273" s="816"/>
    </row>
    <row r="274" spans="2:162" s="192" customFormat="1" ht="18" customHeight="1">
      <c r="B274" s="193"/>
      <c r="C274" s="193"/>
      <c r="D274" s="193"/>
      <c r="E274" s="194"/>
      <c r="F274" s="193"/>
      <c r="G274" s="193"/>
      <c r="H274" s="193"/>
      <c r="I274" s="193"/>
      <c r="J274" s="193"/>
      <c r="K274" s="193"/>
      <c r="L274" s="193"/>
      <c r="M274" s="193"/>
      <c r="N274" s="193"/>
      <c r="O274" s="193"/>
      <c r="P274" s="193"/>
      <c r="Q274" s="193"/>
      <c r="R274" s="193"/>
      <c r="S274" s="193"/>
      <c r="T274" s="193"/>
      <c r="U274" s="193"/>
      <c r="V274" s="193"/>
      <c r="W274" s="193"/>
      <c r="X274" s="193"/>
      <c r="Y274" s="193"/>
      <c r="Z274" s="193"/>
      <c r="AA274" s="193"/>
      <c r="AB274" s="193"/>
      <c r="AC274" s="193"/>
      <c r="AD274" s="193"/>
      <c r="AE274" s="193"/>
      <c r="AF274" s="193"/>
      <c r="AG274" s="193"/>
      <c r="AH274" s="193"/>
      <c r="AI274" s="193"/>
      <c r="AJ274" s="193"/>
      <c r="AK274" s="193"/>
      <c r="AL274" s="193"/>
      <c r="AM274" s="193"/>
      <c r="AN274" s="193"/>
      <c r="AO274" s="193"/>
      <c r="AP274" s="193"/>
      <c r="AQ274" s="193"/>
      <c r="AR274" s="193"/>
      <c r="AS274" s="193"/>
      <c r="AT274" s="193"/>
      <c r="AU274" s="193"/>
      <c r="AV274" s="193"/>
      <c r="AW274" s="193"/>
      <c r="AX274" s="193"/>
      <c r="AY274" s="193"/>
      <c r="AZ274" s="193"/>
      <c r="BA274" s="193"/>
      <c r="BB274" s="193"/>
      <c r="BC274" s="193"/>
      <c r="BD274" s="193"/>
      <c r="BE274" s="193"/>
      <c r="BF274" s="193"/>
      <c r="BG274" s="193"/>
      <c r="BH274" s="193"/>
      <c r="BI274" s="193"/>
      <c r="BJ274" s="193"/>
      <c r="BK274" s="193"/>
      <c r="BL274" s="193"/>
      <c r="BM274" s="193"/>
      <c r="BN274" s="193"/>
      <c r="BO274" s="193"/>
      <c r="BP274" s="193"/>
      <c r="BQ274" s="193"/>
      <c r="BR274" s="193"/>
      <c r="BS274" s="193"/>
      <c r="BT274" s="193"/>
      <c r="BU274" s="193"/>
      <c r="BV274" s="193"/>
      <c r="BW274" s="193"/>
      <c r="BX274" s="193"/>
      <c r="BY274" s="193"/>
      <c r="BZ274" s="193"/>
      <c r="CA274" s="193"/>
      <c r="CB274" s="963"/>
      <c r="CC274" s="193"/>
      <c r="CD274" s="193"/>
      <c r="CE274" s="193"/>
      <c r="CL274" s="334"/>
      <c r="CS274" s="158"/>
      <c r="CT274" s="158"/>
      <c r="CU274" s="158"/>
      <c r="CV274" s="316"/>
      <c r="DC274" s="334"/>
      <c r="DI274" s="158"/>
      <c r="DJ274" s="316"/>
      <c r="DQ274" s="334"/>
      <c r="DW274" s="158"/>
      <c r="EE274" s="334"/>
      <c r="EK274" s="158"/>
      <c r="EY274" s="158"/>
      <c r="FF274" s="816"/>
    </row>
    <row r="275" spans="2:162" s="192" customFormat="1" ht="18" customHeight="1">
      <c r="B275" s="193"/>
      <c r="C275" s="193"/>
      <c r="D275" s="193"/>
      <c r="E275" s="194"/>
      <c r="F275" s="193"/>
      <c r="G275" s="193"/>
      <c r="H275" s="193"/>
      <c r="I275" s="193"/>
      <c r="J275" s="193"/>
      <c r="K275" s="193"/>
      <c r="L275" s="193"/>
      <c r="M275" s="193"/>
      <c r="N275" s="193"/>
      <c r="O275" s="193"/>
      <c r="P275" s="193"/>
      <c r="Q275" s="193"/>
      <c r="R275" s="193"/>
      <c r="S275" s="193"/>
      <c r="T275" s="193"/>
      <c r="U275" s="193"/>
      <c r="V275" s="193"/>
      <c r="W275" s="193"/>
      <c r="X275" s="193"/>
      <c r="Y275" s="193"/>
      <c r="Z275" s="193"/>
      <c r="AA275" s="193"/>
      <c r="AB275" s="193"/>
      <c r="AC275" s="193"/>
      <c r="AD275" s="193"/>
      <c r="AE275" s="193"/>
      <c r="AF275" s="193"/>
      <c r="AG275" s="193"/>
      <c r="AH275" s="193"/>
      <c r="AI275" s="193"/>
      <c r="AJ275" s="193"/>
      <c r="AK275" s="193"/>
      <c r="AL275" s="193"/>
      <c r="AM275" s="193"/>
      <c r="AN275" s="193"/>
      <c r="AO275" s="193"/>
      <c r="AP275" s="193"/>
      <c r="AQ275" s="193"/>
      <c r="AR275" s="193"/>
      <c r="AS275" s="193"/>
      <c r="AT275" s="193"/>
      <c r="AU275" s="193"/>
      <c r="AV275" s="193"/>
      <c r="AW275" s="193"/>
      <c r="AX275" s="193"/>
      <c r="AY275" s="193"/>
      <c r="AZ275" s="193"/>
      <c r="BA275" s="193"/>
      <c r="BB275" s="193"/>
      <c r="BC275" s="193"/>
      <c r="BD275" s="193"/>
      <c r="BE275" s="193"/>
      <c r="BF275" s="193"/>
      <c r="BG275" s="193"/>
      <c r="BH275" s="193"/>
      <c r="BI275" s="193"/>
      <c r="BJ275" s="193"/>
      <c r="BK275" s="193"/>
      <c r="BL275" s="193"/>
      <c r="BM275" s="193"/>
      <c r="BN275" s="193"/>
      <c r="BO275" s="193"/>
      <c r="BP275" s="193"/>
      <c r="BQ275" s="193"/>
      <c r="BR275" s="193"/>
      <c r="BS275" s="193"/>
      <c r="BT275" s="193"/>
      <c r="BU275" s="193"/>
      <c r="BV275" s="193"/>
      <c r="BW275" s="193"/>
      <c r="BX275" s="193"/>
      <c r="BY275" s="193"/>
      <c r="BZ275" s="193"/>
      <c r="CA275" s="193"/>
      <c r="CB275" s="963"/>
      <c r="CC275" s="193"/>
      <c r="CD275" s="193"/>
      <c r="CE275" s="193"/>
      <c r="CL275" s="334"/>
      <c r="CS275" s="158"/>
      <c r="CT275" s="158"/>
      <c r="CU275" s="158"/>
      <c r="CV275" s="316"/>
      <c r="DC275" s="334"/>
      <c r="DI275" s="158"/>
      <c r="DJ275" s="316"/>
      <c r="DQ275" s="334"/>
      <c r="DW275" s="158"/>
      <c r="EE275" s="334"/>
      <c r="EK275" s="158"/>
      <c r="EY275" s="158"/>
      <c r="FF275" s="816"/>
    </row>
    <row r="276" spans="2:162" ht="18" customHeight="1"/>
    <row r="277" spans="2:162" ht="18" customHeight="1"/>
    <row r="278" spans="2:162" ht="18" customHeight="1"/>
    <row r="279" spans="2:162" ht="18" customHeight="1"/>
    <row r="280" spans="2:162" ht="18" customHeight="1"/>
    <row r="281" spans="2:162" ht="18" customHeight="1"/>
  </sheetData>
  <phoneticPr fontId="301" type="noConversion"/>
  <printOptions horizontalCentered="1"/>
  <pageMargins left="0.511811023622047" right="0.511811023622047" top="0.55118110236220497" bottom="0.55118110236220497" header="0.31496062992126" footer="0.31496062992126"/>
  <pageSetup paperSize="9" scale="1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tabColor rgb="FF92D050"/>
  </sheetPr>
  <dimension ref="A1:U232"/>
  <sheetViews>
    <sheetView workbookViewId="0">
      <pane xSplit="5" ySplit="3" topLeftCell="H151" activePane="bottomRight" state="frozen"/>
      <selection pane="topRight" activeCell="F1" sqref="F1"/>
      <selection pane="bottomLeft" activeCell="A4" sqref="A4"/>
      <selection pane="bottomRight" activeCell="J152" activeCellId="2" sqref="J156 J154 J152"/>
    </sheetView>
  </sheetViews>
  <sheetFormatPr defaultColWidth="9.42578125" defaultRowHeight="15" outlineLevelRow="1"/>
  <cols>
    <col min="1" max="1" width="21.42578125" style="432" customWidth="1"/>
    <col min="2" max="2" width="22.42578125" style="432" customWidth="1"/>
    <col min="3" max="3" width="16.42578125" style="433" customWidth="1"/>
    <col min="4" max="4" width="37.42578125" style="432" customWidth="1"/>
    <col min="5" max="5" width="21.42578125" style="433" customWidth="1"/>
    <col min="6" max="6" width="15.42578125" style="432" bestFit="1" customWidth="1"/>
    <col min="7" max="16" width="14" style="432" customWidth="1"/>
    <col min="17" max="17" width="9.42578125" style="432"/>
    <col min="18" max="19" width="12.5703125" style="432" bestFit="1" customWidth="1"/>
    <col min="20" max="20" width="9.42578125" style="432"/>
    <col min="21" max="21" width="14.42578125" style="491" bestFit="1" customWidth="1"/>
    <col min="22" max="16384" width="9.42578125" style="432"/>
  </cols>
  <sheetData>
    <row r="1" spans="1:21">
      <c r="A1" s="431" t="s">
        <v>724</v>
      </c>
      <c r="E1" s="458"/>
      <c r="F1" s="434">
        <v>0.05</v>
      </c>
      <c r="G1" s="434">
        <v>0.05</v>
      </c>
      <c r="H1" s="434">
        <v>0.05</v>
      </c>
      <c r="I1" s="434">
        <v>0.05</v>
      </c>
      <c r="J1" s="434">
        <v>0.05</v>
      </c>
      <c r="K1" s="434">
        <v>0.05</v>
      </c>
      <c r="L1" s="434">
        <v>0.05</v>
      </c>
      <c r="M1" s="434">
        <v>0.05</v>
      </c>
      <c r="N1" s="434">
        <v>0.05</v>
      </c>
      <c r="O1" s="434">
        <v>0.05</v>
      </c>
      <c r="P1" s="434">
        <v>0.05</v>
      </c>
    </row>
    <row r="2" spans="1:21" s="435" customFormat="1">
      <c r="F2" s="435" t="s">
        <v>725</v>
      </c>
      <c r="G2" s="436" t="s">
        <v>726</v>
      </c>
      <c r="H2" s="436" t="s">
        <v>727</v>
      </c>
      <c r="I2" s="436" t="s">
        <v>728</v>
      </c>
      <c r="J2" s="436" t="s">
        <v>729</v>
      </c>
      <c r="K2" s="436" t="s">
        <v>730</v>
      </c>
      <c r="L2" s="436" t="s">
        <v>731</v>
      </c>
      <c r="M2" s="436" t="s">
        <v>732</v>
      </c>
      <c r="N2" s="436" t="s">
        <v>733</v>
      </c>
      <c r="O2" s="436" t="s">
        <v>734</v>
      </c>
      <c r="P2" s="436" t="s">
        <v>735</v>
      </c>
      <c r="U2" s="635"/>
    </row>
    <row r="3" spans="1:21" s="437" customFormat="1">
      <c r="A3" s="437" t="s">
        <v>736</v>
      </c>
      <c r="B3" s="437" t="s">
        <v>737</v>
      </c>
      <c r="C3" s="435" t="s">
        <v>738</v>
      </c>
      <c r="D3" s="437" t="s">
        <v>739</v>
      </c>
      <c r="E3" s="435" t="s">
        <v>740</v>
      </c>
      <c r="F3" s="435" t="s">
        <v>51</v>
      </c>
      <c r="G3" s="435" t="s">
        <v>51</v>
      </c>
      <c r="H3" s="435" t="s">
        <v>51</v>
      </c>
      <c r="I3" s="435" t="s">
        <v>52</v>
      </c>
      <c r="J3" s="435" t="s">
        <v>53</v>
      </c>
      <c r="K3" s="435" t="s">
        <v>53</v>
      </c>
      <c r="L3" s="435" t="s">
        <v>53</v>
      </c>
      <c r="M3" s="435" t="s">
        <v>53</v>
      </c>
      <c r="N3" s="435" t="s">
        <v>53</v>
      </c>
      <c r="O3" s="435" t="s">
        <v>53</v>
      </c>
      <c r="P3" s="435" t="s">
        <v>53</v>
      </c>
      <c r="R3" s="437" t="s">
        <v>843</v>
      </c>
      <c r="S3" s="437" t="s">
        <v>844</v>
      </c>
      <c r="U3" s="636" t="s">
        <v>845</v>
      </c>
    </row>
    <row r="4" spans="1:21">
      <c r="A4" s="438" t="s">
        <v>595</v>
      </c>
      <c r="B4" s="439" t="s">
        <v>374</v>
      </c>
      <c r="C4" s="440">
        <v>60101000</v>
      </c>
      <c r="D4" s="320" t="s">
        <v>624</v>
      </c>
      <c r="E4" s="441" t="s">
        <v>741</v>
      </c>
      <c r="F4" s="442">
        <v>48549262.550000004</v>
      </c>
      <c r="G4" s="442">
        <f>SUMIF('Core P&amp;L'!$D:$D,'Core Opex Proj.'!$C4,'Core P&amp;L'!BN:BN)</f>
        <v>37951303.729999997</v>
      </c>
      <c r="H4" s="442">
        <f>SUMIF('Core P&amp;L'!$D:$D,'Core Opex Proj.'!$C4,'Core P&amp;L'!AJ:AJ)</f>
        <v>36565740.309999995</v>
      </c>
      <c r="I4" s="442">
        <f>SUMIF('Core P&amp;L'!$D:$D,'Core Opex Proj.'!$C4,'Core P&amp;L'!T:T)</f>
        <v>39997817.921452649</v>
      </c>
      <c r="J4" s="558">
        <v>49407944</v>
      </c>
      <c r="K4" s="558">
        <v>50727764</v>
      </c>
      <c r="L4" s="558">
        <v>51864408</v>
      </c>
      <c r="M4" s="558">
        <v>53360700</v>
      </c>
      <c r="N4" s="558">
        <v>54901881</v>
      </c>
      <c r="O4" s="558">
        <v>56489298</v>
      </c>
      <c r="P4" s="558">
        <v>58124336</v>
      </c>
      <c r="R4" s="454">
        <v>177025998.603073</v>
      </c>
      <c r="S4" s="454">
        <v>430132409.45498139</v>
      </c>
      <c r="U4" s="491">
        <f>R4-SUM(H4:K4)</f>
        <v>326732.37162035704</v>
      </c>
    </row>
    <row r="5" spans="1:21" outlineLevel="1">
      <c r="A5" s="438" t="s">
        <v>595</v>
      </c>
      <c r="B5" s="439" t="s">
        <v>374</v>
      </c>
      <c r="C5" s="440">
        <v>60101100</v>
      </c>
      <c r="D5" s="320" t="s">
        <v>336</v>
      </c>
      <c r="E5" s="441" t="s">
        <v>741</v>
      </c>
      <c r="F5" s="442">
        <v>0</v>
      </c>
      <c r="G5" s="442">
        <f>SUMIF('Core P&amp;L'!$D:$D,'Core Opex Proj.'!$C5,'Core P&amp;L'!BN:BN)</f>
        <v>0</v>
      </c>
      <c r="H5" s="442">
        <f>SUMIF('Core P&amp;L'!$D:$D,'Core Opex Proj.'!$C5,'Core P&amp;L'!AJ:AJ)</f>
        <v>0</v>
      </c>
      <c r="I5" s="442">
        <f>SUMIF('Core P&amp;L'!$D:$D,'Core Opex Proj.'!$C5,'Core P&amp;L'!T:T)</f>
        <v>0</v>
      </c>
      <c r="J5" s="910"/>
      <c r="K5" s="910"/>
      <c r="L5" s="910"/>
      <c r="M5" s="910"/>
      <c r="N5" s="910"/>
      <c r="O5" s="910"/>
      <c r="P5" s="910"/>
    </row>
    <row r="6" spans="1:21" outlineLevel="1">
      <c r="A6" s="438" t="s">
        <v>595</v>
      </c>
      <c r="B6" s="439" t="s">
        <v>374</v>
      </c>
      <c r="C6" s="440">
        <v>60101200</v>
      </c>
      <c r="D6" s="320" t="s">
        <v>337</v>
      </c>
      <c r="E6" s="441" t="s">
        <v>741</v>
      </c>
      <c r="F6" s="442">
        <v>0</v>
      </c>
      <c r="G6" s="1054">
        <f>SUMIF('Core P&amp;L'!$D:$D,'Core Opex Proj.'!$C6,'Core P&amp;L'!BN:BN)</f>
        <v>6903.660000000149</v>
      </c>
      <c r="H6" s="463">
        <f>SUMIF('Core P&amp;L'!$D:$D,'Core Opex Proj.'!$C6,'Core P&amp;L'!AJ:AJ)</f>
        <v>0</v>
      </c>
      <c r="I6" s="463">
        <f>SUMIF('Core P&amp;L'!$D:$D,'Core Opex Proj.'!$C6,'Core P&amp;L'!T:T)</f>
        <v>0</v>
      </c>
      <c r="J6" s="463"/>
      <c r="K6" s="463"/>
      <c r="L6" s="463"/>
      <c r="M6" s="463"/>
      <c r="N6" s="463"/>
      <c r="O6" s="463"/>
      <c r="P6" s="442"/>
    </row>
    <row r="7" spans="1:21" outlineLevel="1">
      <c r="A7" s="438" t="s">
        <v>595</v>
      </c>
      <c r="B7" s="439" t="s">
        <v>374</v>
      </c>
      <c r="C7" s="440">
        <v>60101300</v>
      </c>
      <c r="D7" s="320" t="s">
        <v>625</v>
      </c>
      <c r="E7" s="441" t="s">
        <v>741</v>
      </c>
      <c r="F7" s="442">
        <v>43150.000000000015</v>
      </c>
      <c r="G7" s="442">
        <f>SUMIF('Core P&amp;L'!$D:$D,'Core Opex Proj.'!$C7,'Core P&amp;L'!BN:BN)</f>
        <v>12716.216216216213</v>
      </c>
      <c r="H7" s="442">
        <f>SUMIF('Core P&amp;L'!$D:$D,'Core Opex Proj.'!$C7,'Core P&amp;L'!AJ:AJ)</f>
        <v>0</v>
      </c>
      <c r="I7" s="442">
        <f>SUMIF('Core P&amp;L'!$D:$D,'Core Opex Proj.'!$C7,'Core P&amp;L'!T:T)</f>
        <v>61500</v>
      </c>
      <c r="J7" s="442"/>
      <c r="K7" s="442"/>
      <c r="L7" s="442"/>
      <c r="M7" s="442"/>
      <c r="N7" s="442"/>
      <c r="O7" s="442"/>
      <c r="P7" s="442"/>
    </row>
    <row r="8" spans="1:21">
      <c r="A8" s="438" t="s">
        <v>103</v>
      </c>
      <c r="B8" s="439" t="s">
        <v>103</v>
      </c>
      <c r="C8" s="440">
        <v>60102000</v>
      </c>
      <c r="D8" s="320" t="s">
        <v>626</v>
      </c>
      <c r="E8" s="513">
        <v>3.15E-2</v>
      </c>
      <c r="F8" s="442">
        <v>1542845.28</v>
      </c>
      <c r="G8" s="464">
        <f>SUMIF('Core P&amp;L'!$D:$D,'Core Opex Proj.'!$C8,'Core P&amp;L'!BN:BN)</f>
        <v>1277609.7335837057</v>
      </c>
      <c r="H8" s="464">
        <f>SUMIF('Core P&amp;L'!$D:$D,'Core Opex Proj.'!$C8,'Core P&amp;L'!AJ:AJ)</f>
        <v>1236158.33</v>
      </c>
      <c r="I8" s="464">
        <f>SUMIF('Core P&amp;L'!$D:$D,'Core Opex Proj.'!$C8,'Core P&amp;L'!T:T)</f>
        <v>1349951.2404999998</v>
      </c>
      <c r="J8" s="1289">
        <v>1648032.12</v>
      </c>
      <c r="K8" s="1289">
        <v>1658258.6778499999</v>
      </c>
      <c r="L8" s="464">
        <v>1662117.4909659999</v>
      </c>
      <c r="M8" s="464">
        <v>1679888.5882949799</v>
      </c>
      <c r="N8" s="464">
        <v>1696319.3149438296</v>
      </c>
      <c r="O8" s="464">
        <v>1711528.0115921446</v>
      </c>
      <c r="P8" s="464">
        <v>1726057.3500399087</v>
      </c>
      <c r="R8" s="454">
        <v>5576318.9559968002</v>
      </c>
      <c r="S8" s="454">
        <v>13549170.897831915</v>
      </c>
      <c r="U8" s="491">
        <f>R8-SUM(H8:K8)</f>
        <v>-316081.41235319991</v>
      </c>
    </row>
    <row r="9" spans="1:21" outlineLevel="1">
      <c r="A9" s="438" t="s">
        <v>329</v>
      </c>
      <c r="B9" s="439" t="s">
        <v>109</v>
      </c>
      <c r="C9" s="440">
        <v>60103000</v>
      </c>
      <c r="D9" s="320" t="s">
        <v>627</v>
      </c>
      <c r="E9" s="441"/>
      <c r="F9" s="442">
        <v>40033.660000000003</v>
      </c>
      <c r="G9" s="442">
        <f>SUMIF('Core P&amp;L'!$D:$D,'Core Opex Proj.'!$C9,'Core P&amp;L'!BN:BN)</f>
        <v>91115.63</v>
      </c>
      <c r="H9" s="442">
        <f>SUMIF('Core P&amp;L'!$D:$D,'Core Opex Proj.'!$C9,'Core P&amp;L'!AJ:AJ)</f>
        <v>-294124.76</v>
      </c>
      <c r="I9" s="442">
        <f>SUMIF('Core P&amp;L'!$D:$D,'Core Opex Proj.'!$C9,'Core P&amp;L'!T:T)</f>
        <v>0</v>
      </c>
      <c r="J9" s="442"/>
      <c r="K9" s="442"/>
      <c r="L9" s="442"/>
      <c r="M9" s="442"/>
      <c r="N9" s="442"/>
      <c r="O9" s="442"/>
      <c r="P9" s="442"/>
    </row>
    <row r="10" spans="1:21">
      <c r="A10" s="438" t="s">
        <v>598</v>
      </c>
      <c r="B10" s="439" t="s">
        <v>104</v>
      </c>
      <c r="C10" s="440">
        <v>60104000</v>
      </c>
      <c r="D10" s="320" t="s">
        <v>628</v>
      </c>
      <c r="E10" s="512">
        <v>0.15</v>
      </c>
      <c r="F10" s="442">
        <v>-268529.57999999914</v>
      </c>
      <c r="G10" s="559">
        <f>SUMIF('Core P&amp;L'!$D:$D,'Core Opex Proj.'!$C10,'Core P&amp;L'!BN:BN)</f>
        <v>1594388</v>
      </c>
      <c r="H10" s="559">
        <f>SUMIF('Core P&amp;L'!$D:$D,'Core Opex Proj.'!$C10,'Core P&amp;L'!AJ:AJ)</f>
        <v>3188775.9600000004</v>
      </c>
      <c r="I10" s="559">
        <f>SUMIF('Core P&amp;L'!$D:$D,'Core Opex Proj.'!$C10,'Core P&amp;L'!T:T)</f>
        <v>6190296</v>
      </c>
      <c r="J10" s="1807">
        <v>7000000</v>
      </c>
      <c r="K10" s="1807">
        <v>7500000</v>
      </c>
      <c r="L10" s="443">
        <v>7779661.1999999993</v>
      </c>
      <c r="M10" s="443">
        <v>8004105</v>
      </c>
      <c r="N10" s="443">
        <v>8235282.1499999994</v>
      </c>
      <c r="O10" s="443">
        <v>8473394.6999999993</v>
      </c>
      <c r="P10" s="443">
        <v>8718650.4000000004</v>
      </c>
      <c r="R10" s="454">
        <v>30979549.755537774</v>
      </c>
      <c r="S10" s="454">
        <v>75273171.65462175</v>
      </c>
      <c r="U10" s="491">
        <f>R10-SUM(H10:K10)</f>
        <v>7100477.7955377735</v>
      </c>
    </row>
    <row r="11" spans="1:21" outlineLevel="1">
      <c r="A11" s="438" t="s">
        <v>599</v>
      </c>
      <c r="B11" s="439" t="s">
        <v>109</v>
      </c>
      <c r="C11" s="440">
        <v>60104100</v>
      </c>
      <c r="D11" s="320" t="s">
        <v>629</v>
      </c>
      <c r="E11" s="441"/>
      <c r="F11" s="442">
        <v>0</v>
      </c>
      <c r="G11" s="442">
        <f>SUMIF('Core P&amp;L'!$D:$D,'Core Opex Proj.'!$C11,'Core P&amp;L'!BN:BN)</f>
        <v>0</v>
      </c>
      <c r="H11" s="442">
        <f>SUMIF('Core P&amp;L'!$D:$D,'Core Opex Proj.'!$C11,'Core P&amp;L'!AJ:AJ)</f>
        <v>0</v>
      </c>
      <c r="I11" s="442">
        <f>SUMIF('Core P&amp;L'!$D:$D,'Core Opex Proj.'!$C11,'Core P&amp;L'!T:T)</f>
        <v>0</v>
      </c>
      <c r="J11" s="442"/>
      <c r="K11" s="442"/>
      <c r="L11" s="442"/>
      <c r="M11" s="442"/>
      <c r="N11" s="442"/>
      <c r="O11" s="442"/>
      <c r="P11" s="442"/>
    </row>
    <row r="12" spans="1:21">
      <c r="A12" s="438" t="s">
        <v>596</v>
      </c>
      <c r="B12" s="439" t="s">
        <v>374</v>
      </c>
      <c r="C12" s="440">
        <v>60104200</v>
      </c>
      <c r="D12" s="320" t="s">
        <v>597</v>
      </c>
      <c r="E12" s="512">
        <v>8.2600000000000007E-2</v>
      </c>
      <c r="F12" s="442">
        <v>1570021.31</v>
      </c>
      <c r="G12" s="443">
        <f>SUMIF('Core P&amp;L'!$D:$D,'Core Opex Proj.'!$C12,'Core P&amp;L'!BN:BN)</f>
        <v>3387188.6358333309</v>
      </c>
      <c r="H12" s="443">
        <f>SUMIF('Core P&amp;L'!$D:$D,'Core Opex Proj.'!$C12,'Core P&amp;L'!AJ:AJ)</f>
        <v>3017737.45</v>
      </c>
      <c r="I12" s="443">
        <f>SUMIF('Core P&amp;L'!$D:$D,'Core Opex Proj.'!$C12,'Core P&amp;L'!T:T)</f>
        <v>3250989.8929166663</v>
      </c>
      <c r="J12" s="558">
        <v>4027496.7566666664</v>
      </c>
      <c r="K12" s="558">
        <v>4135431.7513666665</v>
      </c>
      <c r="L12" s="443">
        <v>4228018.1286676666</v>
      </c>
      <c r="M12" s="443">
        <v>4349738.6725276979</v>
      </c>
      <c r="N12" s="443">
        <v>4475110.832703528</v>
      </c>
      <c r="O12" s="443">
        <v>4604244.1576846335</v>
      </c>
      <c r="P12" s="443">
        <v>4737251.4824151741</v>
      </c>
      <c r="R12" s="454">
        <v>14622347.484613832</v>
      </c>
      <c r="S12" s="454">
        <v>35528937.020981468</v>
      </c>
      <c r="U12" s="491">
        <f>R12-SUM(H12:K12)</f>
        <v>190691.63366383314</v>
      </c>
    </row>
    <row r="13" spans="1:21">
      <c r="A13" s="438" t="s">
        <v>329</v>
      </c>
      <c r="B13" s="439" t="s">
        <v>109</v>
      </c>
      <c r="C13" s="440">
        <v>60105000</v>
      </c>
      <c r="D13" s="320" t="s">
        <v>630</v>
      </c>
      <c r="E13" s="441"/>
      <c r="F13" s="442">
        <v>303207.5</v>
      </c>
      <c r="G13" s="442">
        <f>SUMIF('Core P&amp;L'!$D:$D,'Core Opex Proj.'!$C13,'Core P&amp;L'!BN:BN)</f>
        <v>0</v>
      </c>
      <c r="H13" s="442">
        <f>SUMIF('Core P&amp;L'!$D:$D,'Core Opex Proj.'!$C13,'Core P&amp;L'!AJ:AJ)</f>
        <v>0</v>
      </c>
      <c r="I13" s="442">
        <f>SUMIF('Core P&amp;L'!$D:$D,'Core Opex Proj.'!$C13,'Core P&amp;L'!T:T)</f>
        <v>0</v>
      </c>
      <c r="J13" s="442"/>
      <c r="K13" s="442"/>
      <c r="L13" s="442"/>
      <c r="M13" s="442"/>
      <c r="N13" s="442"/>
      <c r="O13" s="442"/>
      <c r="P13" s="442"/>
    </row>
    <row r="14" spans="1:21">
      <c r="A14" s="438" t="s">
        <v>600</v>
      </c>
      <c r="B14" s="439" t="s">
        <v>109</v>
      </c>
      <c r="C14" s="440">
        <v>60106000</v>
      </c>
      <c r="D14" s="320" t="s">
        <v>631</v>
      </c>
      <c r="E14" s="444" t="s">
        <v>743</v>
      </c>
      <c r="F14" s="442">
        <v>164925</v>
      </c>
      <c r="G14" s="445">
        <f>SUMIF('Core P&amp;L'!$D:$D,'Core Opex Proj.'!$C14,'Core P&amp;L'!BN:BN)</f>
        <v>275944.5367636868</v>
      </c>
      <c r="H14" s="445">
        <f>SUMIF('Core P&amp;L'!$D:$D,'Core Opex Proj.'!$C14,'Core P&amp;L'!AJ:AJ)</f>
        <v>740839.26</v>
      </c>
      <c r="I14" s="445">
        <f>SUMIF('Core P&amp;L'!$D:$D,'Core Opex Proj.'!$C14,'Core P&amp;L'!T:T)</f>
        <v>2556549</v>
      </c>
      <c r="J14" s="445">
        <f t="shared" ref="J14:P14" si="0">I14*(1+J$1)</f>
        <v>2684376.45</v>
      </c>
      <c r="K14" s="445">
        <f t="shared" si="0"/>
        <v>2818595.2725000004</v>
      </c>
      <c r="L14" s="445">
        <f t="shared" si="0"/>
        <v>2959525.0361250006</v>
      </c>
      <c r="M14" s="445">
        <f t="shared" si="0"/>
        <v>3107501.2879312509</v>
      </c>
      <c r="N14" s="445">
        <f t="shared" si="0"/>
        <v>3262876.3523278134</v>
      </c>
      <c r="O14" s="445">
        <f t="shared" si="0"/>
        <v>3426020.1699442044</v>
      </c>
      <c r="P14" s="445">
        <f t="shared" si="0"/>
        <v>3597321.1784414146</v>
      </c>
    </row>
    <row r="15" spans="1:21">
      <c r="A15" s="438" t="s">
        <v>329</v>
      </c>
      <c r="B15" s="439" t="s">
        <v>109</v>
      </c>
      <c r="C15" s="440">
        <v>60107000</v>
      </c>
      <c r="D15" s="320" t="s">
        <v>632</v>
      </c>
      <c r="E15" s="444" t="s">
        <v>742</v>
      </c>
      <c r="F15" s="461">
        <v>593846.6100000001</v>
      </c>
      <c r="G15" s="445">
        <f>SUMIF('Core P&amp;L'!$D:$D,'Core Opex Proj.'!$C15,'Core P&amp;L'!BN:BN)</f>
        <v>749052.78999999992</v>
      </c>
      <c r="H15" s="445">
        <f>SUMIF('Core P&amp;L'!$D:$D,'Core Opex Proj.'!$C15,'Core P&amp;L'!AJ:AJ)</f>
        <v>635244.34</v>
      </c>
      <c r="I15" s="445">
        <f>SUMIF('Core P&amp;L'!$D:$D,'Core Opex Proj.'!$C15,'Core P&amp;L'!T:T)</f>
        <v>913930</v>
      </c>
      <c r="J15" s="445">
        <f t="shared" ref="J15:P43" si="1">I15*(1+J$1)</f>
        <v>959626.5</v>
      </c>
      <c r="K15" s="445">
        <f t="shared" si="1"/>
        <v>1007607.8250000001</v>
      </c>
      <c r="L15" s="445">
        <f t="shared" si="1"/>
        <v>1057988.2162500001</v>
      </c>
      <c r="M15" s="445">
        <f t="shared" si="1"/>
        <v>1110887.6270625002</v>
      </c>
      <c r="N15" s="445">
        <f t="shared" si="1"/>
        <v>1166432.0084156252</v>
      </c>
      <c r="O15" s="445">
        <f t="shared" si="1"/>
        <v>1224753.6088364066</v>
      </c>
      <c r="P15" s="445">
        <f t="shared" si="1"/>
        <v>1285991.2892782269</v>
      </c>
    </row>
    <row r="16" spans="1:21">
      <c r="A16" s="438" t="s">
        <v>338</v>
      </c>
      <c r="B16" s="439" t="s">
        <v>109</v>
      </c>
      <c r="C16" s="440">
        <v>60108000</v>
      </c>
      <c r="D16" s="320" t="s">
        <v>603</v>
      </c>
      <c r="E16" s="444" t="s">
        <v>742</v>
      </c>
      <c r="F16" s="461">
        <v>1634742.5399999998</v>
      </c>
      <c r="G16" s="445">
        <f>SUMIF('Core P&amp;L'!$D:$D,'Core Opex Proj.'!$C16,'Core P&amp;L'!BN:BN)</f>
        <v>4270163.3199999994</v>
      </c>
      <c r="H16" s="445">
        <f>SUMIF('Core P&amp;L'!$D:$D,'Core Opex Proj.'!$C16,'Core P&amp;L'!AJ:AJ)</f>
        <v>6330860.7399999993</v>
      </c>
      <c r="I16" s="445">
        <f>SUMIF('Core P&amp;L'!$D:$D,'Core Opex Proj.'!$C16,'Core P&amp;L'!T:T)</f>
        <v>6676810</v>
      </c>
      <c r="J16" s="445">
        <f t="shared" si="1"/>
        <v>7010650.5</v>
      </c>
      <c r="K16" s="445">
        <f t="shared" si="1"/>
        <v>7361183.0250000004</v>
      </c>
      <c r="L16" s="445">
        <f t="shared" si="1"/>
        <v>7729242.1762500005</v>
      </c>
      <c r="M16" s="445">
        <f t="shared" si="1"/>
        <v>8115704.2850625012</v>
      </c>
      <c r="N16" s="445">
        <f t="shared" si="1"/>
        <v>8521489.4993156269</v>
      </c>
      <c r="O16" s="445">
        <f t="shared" si="1"/>
        <v>8947563.9742814079</v>
      </c>
      <c r="P16" s="445">
        <f t="shared" si="1"/>
        <v>9394942.1729954779</v>
      </c>
    </row>
    <row r="17" spans="1:16">
      <c r="A17" s="438" t="s">
        <v>604</v>
      </c>
      <c r="B17" s="439" t="s">
        <v>109</v>
      </c>
      <c r="C17" s="440">
        <v>60109000</v>
      </c>
      <c r="D17" s="320" t="s">
        <v>633</v>
      </c>
      <c r="E17" s="444" t="s">
        <v>742</v>
      </c>
      <c r="F17" s="461">
        <v>77751.599999999962</v>
      </c>
      <c r="G17" s="445">
        <f>SUMIF('Core P&amp;L'!$D:$D,'Core Opex Proj.'!$C17,'Core P&amp;L'!BN:BN)</f>
        <v>1478527.9400000002</v>
      </c>
      <c r="H17" s="445">
        <f>SUMIF('Core P&amp;L'!$D:$D,'Core Opex Proj.'!$C17,'Core P&amp;L'!AJ:AJ)</f>
        <v>1725166.1299999997</v>
      </c>
      <c r="I17" s="445">
        <f>SUMIF('Core P&amp;L'!$D:$D,'Core Opex Proj.'!$C17,'Core P&amp;L'!T:T)</f>
        <v>1809920</v>
      </c>
      <c r="J17" s="445">
        <f t="shared" si="1"/>
        <v>1900416</v>
      </c>
      <c r="K17" s="445">
        <f t="shared" si="1"/>
        <v>1995436.8</v>
      </c>
      <c r="L17" s="445">
        <f t="shared" si="1"/>
        <v>2095208.6400000001</v>
      </c>
      <c r="M17" s="445">
        <f t="shared" si="1"/>
        <v>2199969.0720000002</v>
      </c>
      <c r="N17" s="445">
        <f t="shared" si="1"/>
        <v>2309967.5256000003</v>
      </c>
      <c r="O17" s="445">
        <f t="shared" si="1"/>
        <v>2425465.9018800003</v>
      </c>
      <c r="P17" s="445">
        <f t="shared" si="1"/>
        <v>2546739.1969740004</v>
      </c>
    </row>
    <row r="18" spans="1:16">
      <c r="A18" s="438" t="s">
        <v>317</v>
      </c>
      <c r="B18" s="439" t="s">
        <v>109</v>
      </c>
      <c r="C18" s="440">
        <v>60110000</v>
      </c>
      <c r="D18" s="320" t="s">
        <v>634</v>
      </c>
      <c r="E18" s="444" t="s">
        <v>742</v>
      </c>
      <c r="F18" s="461">
        <v>1127989.83</v>
      </c>
      <c r="G18" s="445">
        <f>SUMIF('Core P&amp;L'!$D:$D,'Core Opex Proj.'!$C18,'Core P&amp;L'!BN:BN)</f>
        <v>-3777.6000000000004</v>
      </c>
      <c r="H18" s="445">
        <f>SUMIF('Core P&amp;L'!$D:$D,'Core Opex Proj.'!$C18,'Core P&amp;L'!AJ:AJ)</f>
        <v>0</v>
      </c>
      <c r="I18" s="445">
        <f>SUMIF('Core P&amp;L'!$D:$D,'Core Opex Proj.'!$C18,'Core P&amp;L'!T:T)</f>
        <v>320000</v>
      </c>
      <c r="J18" s="1807">
        <v>1200000</v>
      </c>
      <c r="K18" s="445">
        <f t="shared" si="1"/>
        <v>1260000</v>
      </c>
      <c r="L18" s="445">
        <f t="shared" si="1"/>
        <v>1323000</v>
      </c>
      <c r="M18" s="445">
        <f t="shared" si="1"/>
        <v>1389150</v>
      </c>
      <c r="N18" s="445">
        <f t="shared" si="1"/>
        <v>1458607.5</v>
      </c>
      <c r="O18" s="445">
        <f t="shared" si="1"/>
        <v>1531537.875</v>
      </c>
      <c r="P18" s="445">
        <f t="shared" si="1"/>
        <v>1608114.76875</v>
      </c>
    </row>
    <row r="19" spans="1:16">
      <c r="A19" s="438" t="s">
        <v>329</v>
      </c>
      <c r="B19" s="439" t="s">
        <v>109</v>
      </c>
      <c r="C19" s="440">
        <v>60111000</v>
      </c>
      <c r="D19" s="320" t="s">
        <v>635</v>
      </c>
      <c r="E19" s="444" t="s">
        <v>742</v>
      </c>
      <c r="F19" s="461">
        <v>0</v>
      </c>
      <c r="G19" s="445">
        <f>SUMIF('Core P&amp;L'!$D:$D,'Core Opex Proj.'!$C19,'Core P&amp;L'!BN:BN)</f>
        <v>0</v>
      </c>
      <c r="H19" s="445">
        <f>SUMIF('Core P&amp;L'!$D:$D,'Core Opex Proj.'!$C19,'Core P&amp;L'!AJ:AJ)</f>
        <v>0</v>
      </c>
      <c r="I19" s="445">
        <f>SUMIF('Core P&amp;L'!$D:$D,'Core Opex Proj.'!$C19,'Core P&amp;L'!T:T)</f>
        <v>0</v>
      </c>
      <c r="J19" s="445">
        <f t="shared" si="1"/>
        <v>0</v>
      </c>
      <c r="K19" s="445">
        <f t="shared" si="1"/>
        <v>0</v>
      </c>
      <c r="L19" s="445">
        <f t="shared" si="1"/>
        <v>0</v>
      </c>
      <c r="M19" s="445">
        <f t="shared" si="1"/>
        <v>0</v>
      </c>
      <c r="N19" s="445">
        <f t="shared" si="1"/>
        <v>0</v>
      </c>
      <c r="O19" s="445">
        <f t="shared" si="1"/>
        <v>0</v>
      </c>
      <c r="P19" s="445">
        <f t="shared" si="1"/>
        <v>0</v>
      </c>
    </row>
    <row r="20" spans="1:16">
      <c r="A20" s="438" t="s">
        <v>329</v>
      </c>
      <c r="B20" s="439" t="s">
        <v>109</v>
      </c>
      <c r="C20" s="440">
        <v>60112000</v>
      </c>
      <c r="D20" s="320" t="s">
        <v>636</v>
      </c>
      <c r="E20" s="444" t="s">
        <v>742</v>
      </c>
      <c r="F20" s="461">
        <v>134898.01999999999</v>
      </c>
      <c r="G20" s="445">
        <f>SUMIF('Core P&amp;L'!$D:$D,'Core Opex Proj.'!$C20,'Core P&amp;L'!BN:BN)</f>
        <v>120278.87</v>
      </c>
      <c r="H20" s="445">
        <f>SUMIF('Core P&amp;L'!$D:$D,'Core Opex Proj.'!$C20,'Core P&amp;L'!AJ:AJ)</f>
        <v>161022.11000000002</v>
      </c>
      <c r="I20" s="445">
        <f>SUMIF('Core P&amp;L'!$D:$D,'Core Opex Proj.'!$C20,'Core P&amp;L'!T:T)</f>
        <v>160000</v>
      </c>
      <c r="J20" s="445">
        <f t="shared" si="1"/>
        <v>168000</v>
      </c>
      <c r="K20" s="445">
        <f t="shared" si="1"/>
        <v>176400</v>
      </c>
      <c r="L20" s="445">
        <f t="shared" si="1"/>
        <v>185220</v>
      </c>
      <c r="M20" s="445">
        <f t="shared" si="1"/>
        <v>194481</v>
      </c>
      <c r="N20" s="445">
        <f t="shared" si="1"/>
        <v>204205.05000000002</v>
      </c>
      <c r="O20" s="445">
        <f t="shared" si="1"/>
        <v>214415.30250000002</v>
      </c>
      <c r="P20" s="445">
        <f t="shared" si="1"/>
        <v>225136.06762500003</v>
      </c>
    </row>
    <row r="21" spans="1:16">
      <c r="A21" s="438" t="s">
        <v>601</v>
      </c>
      <c r="B21" s="439" t="s">
        <v>109</v>
      </c>
      <c r="C21" s="440">
        <v>60113000</v>
      </c>
      <c r="D21" s="320" t="s">
        <v>602</v>
      </c>
      <c r="E21" s="444" t="s">
        <v>742</v>
      </c>
      <c r="F21" s="461">
        <v>489013.47999999992</v>
      </c>
      <c r="G21" s="445">
        <f>SUMIF('Core P&amp;L'!$D:$D,'Core Opex Proj.'!$C21,'Core P&amp;L'!BN:BN)</f>
        <v>436628.01000000013</v>
      </c>
      <c r="H21" s="445">
        <f>SUMIF('Core P&amp;L'!$D:$D,'Core Opex Proj.'!$C21,'Core P&amp;L'!AJ:AJ)</f>
        <v>344381.87999999995</v>
      </c>
      <c r="I21" s="445">
        <f>SUMIF('Core P&amp;L'!$D:$D,'Core Opex Proj.'!$C21,'Core P&amp;L'!T:T)</f>
        <v>813593.06623362261</v>
      </c>
      <c r="J21" s="445">
        <f t="shared" si="1"/>
        <v>854272.71954530373</v>
      </c>
      <c r="K21" s="445">
        <f t="shared" si="1"/>
        <v>896986.35552256892</v>
      </c>
      <c r="L21" s="445">
        <f t="shared" si="1"/>
        <v>941835.67329869745</v>
      </c>
      <c r="M21" s="445">
        <f t="shared" si="1"/>
        <v>988927.45696363237</v>
      </c>
      <c r="N21" s="445">
        <f t="shared" si="1"/>
        <v>1038373.829811814</v>
      </c>
      <c r="O21" s="445">
        <f t="shared" si="1"/>
        <v>1090292.5213024048</v>
      </c>
      <c r="P21" s="445">
        <f t="shared" si="1"/>
        <v>1144807.1473675251</v>
      </c>
    </row>
    <row r="22" spans="1:16">
      <c r="A22" s="438" t="s">
        <v>329</v>
      </c>
      <c r="B22" s="439" t="s">
        <v>109</v>
      </c>
      <c r="C22" s="440">
        <v>60113100</v>
      </c>
      <c r="D22" s="320" t="s">
        <v>637</v>
      </c>
      <c r="E22" s="444" t="s">
        <v>742</v>
      </c>
      <c r="F22" s="461">
        <v>210771.96000000002</v>
      </c>
      <c r="G22" s="445">
        <f>SUMIF('Core P&amp;L'!$D:$D,'Core Opex Proj.'!$C22,'Core P&amp;L'!BN:BN)</f>
        <v>120502.18</v>
      </c>
      <c r="H22" s="445">
        <f>SUMIF('Core P&amp;L'!$D:$D,'Core Opex Proj.'!$C22,'Core P&amp;L'!AJ:AJ)</f>
        <v>157711.57999999996</v>
      </c>
      <c r="I22" s="445">
        <f>SUMIF('Core P&amp;L'!$D:$D,'Core Opex Proj.'!$C22,'Core P&amp;L'!T:T)</f>
        <v>441672.94151657901</v>
      </c>
      <c r="J22" s="445">
        <f t="shared" si="1"/>
        <v>463756.58859240799</v>
      </c>
      <c r="K22" s="445">
        <f t="shared" si="1"/>
        <v>486944.4180220284</v>
      </c>
      <c r="L22" s="445">
        <f t="shared" si="1"/>
        <v>511291.63892312982</v>
      </c>
      <c r="M22" s="445">
        <f t="shared" si="1"/>
        <v>536856.22086928634</v>
      </c>
      <c r="N22" s="445">
        <f t="shared" si="1"/>
        <v>563699.03191275068</v>
      </c>
      <c r="O22" s="445">
        <f t="shared" si="1"/>
        <v>591883.98350838828</v>
      </c>
      <c r="P22" s="445">
        <f t="shared" si="1"/>
        <v>621478.18268380768</v>
      </c>
    </row>
    <row r="23" spans="1:16">
      <c r="A23" s="438" t="s">
        <v>318</v>
      </c>
      <c r="B23" s="439" t="s">
        <v>109</v>
      </c>
      <c r="C23" s="440">
        <v>60114000</v>
      </c>
      <c r="D23" s="320" t="s">
        <v>638</v>
      </c>
      <c r="E23" s="444" t="s">
        <v>742</v>
      </c>
      <c r="F23" s="461">
        <v>83625</v>
      </c>
      <c r="G23" s="445">
        <f>SUMIF('Core P&amp;L'!$D:$D,'Core Opex Proj.'!$C23,'Core P&amp;L'!BN:BN)</f>
        <v>-22200</v>
      </c>
      <c r="H23" s="445">
        <f>SUMIF('Core P&amp;L'!$D:$D,'Core Opex Proj.'!$C23,'Core P&amp;L'!AJ:AJ)</f>
        <v>12462.3</v>
      </c>
      <c r="I23" s="445">
        <f>SUMIF('Core P&amp;L'!$D:$D,'Core Opex Proj.'!$C23,'Core P&amp;L'!T:T)</f>
        <v>370700</v>
      </c>
      <c r="J23" s="445">
        <f t="shared" si="1"/>
        <v>389235</v>
      </c>
      <c r="K23" s="445">
        <f t="shared" si="1"/>
        <v>408696.75</v>
      </c>
      <c r="L23" s="445">
        <f t="shared" si="1"/>
        <v>429131.58750000002</v>
      </c>
      <c r="M23" s="445">
        <f t="shared" si="1"/>
        <v>450588.16687500005</v>
      </c>
      <c r="N23" s="445">
        <f t="shared" si="1"/>
        <v>473117.57521875005</v>
      </c>
      <c r="O23" s="445">
        <f t="shared" si="1"/>
        <v>496773.45397968759</v>
      </c>
      <c r="P23" s="445">
        <f t="shared" si="1"/>
        <v>521612.12667867198</v>
      </c>
    </row>
    <row r="24" spans="1:16">
      <c r="A24" s="438" t="s">
        <v>319</v>
      </c>
      <c r="B24" s="439" t="s">
        <v>109</v>
      </c>
      <c r="C24" s="440">
        <v>60115000</v>
      </c>
      <c r="D24" s="320" t="s">
        <v>639</v>
      </c>
      <c r="E24" s="444" t="s">
        <v>743</v>
      </c>
      <c r="F24" s="461">
        <v>354873.3</v>
      </c>
      <c r="G24" s="445">
        <f>SUMIF('Core P&amp;L'!$D:$D,'Core Opex Proj.'!$C24,'Core P&amp;L'!BN:BN)</f>
        <v>4114</v>
      </c>
      <c r="H24" s="445">
        <f>SUMIF('Core P&amp;L'!$D:$D,'Core Opex Proj.'!$C24,'Core P&amp;L'!AJ:AJ)</f>
        <v>6220.3</v>
      </c>
      <c r="I24" s="445">
        <f>SUMIF('Core P&amp;L'!$D:$D,'Core Opex Proj.'!$C24,'Core P&amp;L'!T:T)</f>
        <v>50000</v>
      </c>
      <c r="J24" s="445">
        <v>200000</v>
      </c>
      <c r="K24" s="445">
        <f>J24*1.05</f>
        <v>210000</v>
      </c>
      <c r="L24" s="445">
        <f t="shared" si="1"/>
        <v>220500</v>
      </c>
      <c r="M24" s="445">
        <f t="shared" si="1"/>
        <v>231525</v>
      </c>
      <c r="N24" s="445">
        <f t="shared" si="1"/>
        <v>243101.25</v>
      </c>
      <c r="O24" s="445">
        <f t="shared" si="1"/>
        <v>255256.3125</v>
      </c>
      <c r="P24" s="445">
        <f t="shared" si="1"/>
        <v>268019.12812499999</v>
      </c>
    </row>
    <row r="25" spans="1:16">
      <c r="A25" s="438" t="s">
        <v>323</v>
      </c>
      <c r="B25" s="439" t="s">
        <v>375</v>
      </c>
      <c r="C25" s="440">
        <v>60116000</v>
      </c>
      <c r="D25" s="320" t="s">
        <v>640</v>
      </c>
      <c r="E25" s="444" t="s">
        <v>742</v>
      </c>
      <c r="F25" s="461">
        <v>1522140.0999999999</v>
      </c>
      <c r="G25" s="445">
        <f>SUMIF('Core P&amp;L'!$D:$D,'Core Opex Proj.'!$C25,'Core P&amp;L'!BN:BN)</f>
        <v>1678072.52</v>
      </c>
      <c r="H25" s="445">
        <f>SUMIF('Core P&amp;L'!$D:$D,'Core Opex Proj.'!$C25,'Core P&amp;L'!AJ:AJ)</f>
        <v>1649343</v>
      </c>
      <c r="I25" s="445">
        <f>SUMIF('Core P&amp;L'!$D:$D,'Core Opex Proj.'!$C25,'Core P&amp;L'!T:T)</f>
        <v>1648788</v>
      </c>
      <c r="J25" s="445">
        <f t="shared" si="1"/>
        <v>1731227.4000000001</v>
      </c>
      <c r="K25" s="445">
        <f t="shared" si="1"/>
        <v>1817788.7700000003</v>
      </c>
      <c r="L25" s="445">
        <f t="shared" si="1"/>
        <v>1908678.2085000004</v>
      </c>
      <c r="M25" s="445">
        <f t="shared" si="1"/>
        <v>2004112.1189250005</v>
      </c>
      <c r="N25" s="445">
        <f t="shared" si="1"/>
        <v>2104317.7248712508</v>
      </c>
      <c r="O25" s="445">
        <f t="shared" si="1"/>
        <v>2209533.6111148135</v>
      </c>
      <c r="P25" s="445">
        <f t="shared" si="1"/>
        <v>2320010.2916705543</v>
      </c>
    </row>
    <row r="26" spans="1:16">
      <c r="A26" s="438" t="s">
        <v>322</v>
      </c>
      <c r="B26" s="439" t="s">
        <v>375</v>
      </c>
      <c r="C26" s="440">
        <v>60117000</v>
      </c>
      <c r="D26" s="320" t="s">
        <v>350</v>
      </c>
      <c r="E26" s="444" t="s">
        <v>742</v>
      </c>
      <c r="F26" s="461">
        <v>5376096</v>
      </c>
      <c r="G26" s="445">
        <f>SUMIF('Core P&amp;L'!$D:$D,'Core Opex Proj.'!$C26,'Core P&amp;L'!BN:BN)</f>
        <v>5376096</v>
      </c>
      <c r="H26" s="445">
        <f>SUMIF('Core P&amp;L'!$D:$D,'Core Opex Proj.'!$C26,'Core P&amp;L'!AJ:AJ)</f>
        <v>5376096</v>
      </c>
      <c r="I26" s="445">
        <f>SUMIF('Core P&amp;L'!$D:$D,'Core Opex Proj.'!$C26,'Core P&amp;L'!T:T)</f>
        <v>5376096</v>
      </c>
      <c r="J26" s="445">
        <f t="shared" si="1"/>
        <v>5644900.7999999998</v>
      </c>
      <c r="K26" s="445">
        <f t="shared" si="1"/>
        <v>5927145.8399999999</v>
      </c>
      <c r="L26" s="445">
        <f t="shared" si="1"/>
        <v>6223503.1320000002</v>
      </c>
      <c r="M26" s="445">
        <f t="shared" si="1"/>
        <v>6534678.2886000006</v>
      </c>
      <c r="N26" s="445">
        <f t="shared" si="1"/>
        <v>6861412.2030300004</v>
      </c>
      <c r="O26" s="445">
        <f t="shared" si="1"/>
        <v>7204482.8131815009</v>
      </c>
      <c r="P26" s="445">
        <f t="shared" si="1"/>
        <v>7564706.9538405761</v>
      </c>
    </row>
    <row r="27" spans="1:16">
      <c r="A27" s="438" t="s">
        <v>605</v>
      </c>
      <c r="B27" s="1052" t="s">
        <v>376</v>
      </c>
      <c r="C27" s="440">
        <v>60201000</v>
      </c>
      <c r="D27" s="320" t="s">
        <v>641</v>
      </c>
      <c r="E27" s="547" t="s">
        <v>743</v>
      </c>
      <c r="F27" s="461">
        <v>702370</v>
      </c>
      <c r="G27" s="509">
        <f>SUMIF('Core P&amp;L'!$D:$D,'Core Opex Proj.'!$C27,'Core P&amp;L'!BN:BN)</f>
        <v>664759.6</v>
      </c>
      <c r="H27" s="509">
        <f>SUMIF('Core P&amp;L'!$D:$D,'Core Opex Proj.'!$C27,'Core P&amp;L'!AJ:AJ)</f>
        <v>653592</v>
      </c>
      <c r="I27" s="509">
        <f>SUMIF('Core P&amp;L'!$D:$D,'Core Opex Proj.'!$C27,'Core P&amp;L'!T:T)</f>
        <v>797940</v>
      </c>
      <c r="J27" s="445">
        <f t="shared" ref="J27" si="2">I27*(1+J$1)</f>
        <v>837837</v>
      </c>
      <c r="K27" s="445">
        <f t="shared" ref="K27:K29" si="3">J27*(1+K$1)</f>
        <v>879728.85000000009</v>
      </c>
      <c r="L27" s="445">
        <f t="shared" ref="L27:L29" si="4">K27*(1+L$1)</f>
        <v>923715.2925000001</v>
      </c>
      <c r="M27" s="445">
        <f t="shared" ref="M27:M29" si="5">L27*(1+M$1)</f>
        <v>969901.05712500017</v>
      </c>
      <c r="N27" s="445">
        <f t="shared" ref="N27:N29" si="6">M27*(1+N$1)</f>
        <v>1018396.1099812503</v>
      </c>
      <c r="O27" s="445">
        <f t="shared" ref="O27:O29" si="7">N27*(1+O$1)</f>
        <v>1069315.9154803129</v>
      </c>
      <c r="P27" s="445">
        <f t="shared" ref="P27:P29" si="8">O27*(1+P$1)</f>
        <v>1122781.7112543285</v>
      </c>
    </row>
    <row r="28" spans="1:16">
      <c r="A28" s="438" t="s">
        <v>606</v>
      </c>
      <c r="B28" s="439" t="s">
        <v>376</v>
      </c>
      <c r="C28" s="440">
        <v>60205000</v>
      </c>
      <c r="D28" s="320" t="s">
        <v>607</v>
      </c>
      <c r="E28" s="547" t="s">
        <v>744</v>
      </c>
      <c r="F28" s="461">
        <v>17405193.550000001</v>
      </c>
      <c r="G28" s="509">
        <f>SUMIF('Core P&amp;L'!$D:$D,'Core Opex Proj.'!$C28,'Core P&amp;L'!BN:BN)</f>
        <v>9127238.2800000012</v>
      </c>
      <c r="H28" s="509">
        <f>SUMIF('Core P&amp;L'!$D:$D,'Core Opex Proj.'!$C28,'Core P&amp;L'!AJ:AJ)</f>
        <v>3997588.43</v>
      </c>
      <c r="I28" s="509">
        <f>SUMIF('Core P&amp;L'!$D:$D,'Core Opex Proj.'!$C28,'Core P&amp;L'!T:T)</f>
        <v>4328320</v>
      </c>
      <c r="J28" s="446">
        <v>2800000</v>
      </c>
      <c r="K28" s="445">
        <f t="shared" si="3"/>
        <v>2940000</v>
      </c>
      <c r="L28" s="445">
        <f t="shared" si="4"/>
        <v>3087000</v>
      </c>
      <c r="M28" s="445">
        <f t="shared" si="5"/>
        <v>3241350</v>
      </c>
      <c r="N28" s="445">
        <f t="shared" si="6"/>
        <v>3403417.5</v>
      </c>
      <c r="O28" s="445">
        <f t="shared" si="7"/>
        <v>3573588.375</v>
      </c>
      <c r="P28" s="445">
        <f t="shared" si="8"/>
        <v>3752267.7937500002</v>
      </c>
    </row>
    <row r="29" spans="1:16">
      <c r="A29" s="438" t="s">
        <v>442</v>
      </c>
      <c r="B29" s="1052" t="s">
        <v>1304</v>
      </c>
      <c r="C29" s="440">
        <v>60211000</v>
      </c>
      <c r="D29" s="320" t="s">
        <v>642</v>
      </c>
      <c r="E29" s="547" t="s">
        <v>743</v>
      </c>
      <c r="F29" s="461">
        <v>1612689.3000000003</v>
      </c>
      <c r="G29" s="509">
        <f>SUMIF('Core P&amp;L'!$D:$D,'Core Opex Proj.'!$C29,'Core P&amp;L'!BN:BN)</f>
        <v>1408791.4299999997</v>
      </c>
      <c r="H29" s="509">
        <f>SUMIF('Core P&amp;L'!$D:$D,'Core Opex Proj.'!$C29,'Core P&amp;L'!AJ:AJ)</f>
        <v>1289502.02</v>
      </c>
      <c r="I29" s="509">
        <f>SUMIF('Core P&amp;L'!$D:$D,'Core Opex Proj.'!$C29,'Core P&amp;L'!T:T)</f>
        <v>4364120</v>
      </c>
      <c r="J29" s="445">
        <f t="shared" ref="J29" si="9">I29*(1+J$1)</f>
        <v>4582326</v>
      </c>
      <c r="K29" s="445">
        <f t="shared" si="3"/>
        <v>4811442.3</v>
      </c>
      <c r="L29" s="445">
        <f t="shared" si="4"/>
        <v>5052014.415</v>
      </c>
      <c r="M29" s="445">
        <f t="shared" si="5"/>
        <v>5304615.1357500004</v>
      </c>
      <c r="N29" s="445">
        <f t="shared" si="6"/>
        <v>5569845.8925375007</v>
      </c>
      <c r="O29" s="445">
        <f t="shared" si="7"/>
        <v>5848338.1871643756</v>
      </c>
      <c r="P29" s="445">
        <f t="shared" si="8"/>
        <v>6140755.0965225948</v>
      </c>
    </row>
    <row r="30" spans="1:16">
      <c r="A30" s="438" t="s">
        <v>442</v>
      </c>
      <c r="B30" s="1052" t="s">
        <v>1304</v>
      </c>
      <c r="C30" s="440">
        <v>60215000</v>
      </c>
      <c r="D30" s="320" t="s">
        <v>643</v>
      </c>
      <c r="E30" s="444" t="s">
        <v>742</v>
      </c>
      <c r="F30" s="461">
        <v>31901.1</v>
      </c>
      <c r="G30" s="445">
        <f>SUMIF('Core P&amp;L'!$D:$D,'Core Opex Proj.'!$C30,'Core P&amp;L'!BN:BN)</f>
        <v>2544.4199999999946</v>
      </c>
      <c r="H30" s="445">
        <f>SUMIF('Core P&amp;L'!$D:$D,'Core Opex Proj.'!$C30,'Core P&amp;L'!AJ:AJ)</f>
        <v>10713.089999999997</v>
      </c>
      <c r="I30" s="445">
        <f>SUMIF('Core P&amp;L'!$D:$D,'Core Opex Proj.'!$C30,'Core P&amp;L'!T:T)</f>
        <v>10996</v>
      </c>
      <c r="J30" s="445">
        <f t="shared" si="1"/>
        <v>11545.800000000001</v>
      </c>
      <c r="K30" s="445">
        <f t="shared" si="1"/>
        <v>12123.090000000002</v>
      </c>
      <c r="L30" s="445">
        <f t="shared" si="1"/>
        <v>12729.244500000003</v>
      </c>
      <c r="M30" s="445">
        <f t="shared" si="1"/>
        <v>13365.706725000004</v>
      </c>
      <c r="N30" s="445">
        <f t="shared" si="1"/>
        <v>14033.992061250005</v>
      </c>
      <c r="O30" s="445">
        <f t="shared" si="1"/>
        <v>14735.691664312506</v>
      </c>
      <c r="P30" s="445">
        <f t="shared" si="1"/>
        <v>15472.476247528131</v>
      </c>
    </row>
    <row r="31" spans="1:16">
      <c r="A31" s="438" t="s">
        <v>329</v>
      </c>
      <c r="B31" s="439" t="s">
        <v>109</v>
      </c>
      <c r="C31" s="440">
        <v>60301000</v>
      </c>
      <c r="D31" s="320" t="s">
        <v>333</v>
      </c>
      <c r="E31" s="444" t="s">
        <v>742</v>
      </c>
      <c r="F31" s="461">
        <v>0</v>
      </c>
      <c r="G31" s="445">
        <f>SUMIF('Core P&amp;L'!$D:$D,'Core Opex Proj.'!$C31,'Core P&amp;L'!BN:BN)</f>
        <v>121347.9</v>
      </c>
      <c r="H31" s="445">
        <f>SUMIF('Core P&amp;L'!$D:$D,'Core Opex Proj.'!$C31,'Core P&amp;L'!AJ:AJ)</f>
        <v>569931.35000000009</v>
      </c>
      <c r="I31" s="445">
        <f>SUMIF('Core P&amp;L'!$D:$D,'Core Opex Proj.'!$C31,'Core P&amp;L'!T:T)</f>
        <v>299267</v>
      </c>
      <c r="J31" s="445">
        <f t="shared" si="1"/>
        <v>314230.35000000003</v>
      </c>
      <c r="K31" s="445">
        <f t="shared" si="1"/>
        <v>329941.86750000005</v>
      </c>
      <c r="L31" s="445">
        <f t="shared" si="1"/>
        <v>346438.96087500005</v>
      </c>
      <c r="M31" s="445">
        <f t="shared" si="1"/>
        <v>363760.90891875006</v>
      </c>
      <c r="N31" s="445">
        <f t="shared" si="1"/>
        <v>381948.95436468761</v>
      </c>
      <c r="O31" s="445">
        <f t="shared" si="1"/>
        <v>401046.402082922</v>
      </c>
      <c r="P31" s="445">
        <f t="shared" si="1"/>
        <v>421098.72218706814</v>
      </c>
    </row>
    <row r="32" spans="1:16">
      <c r="A32" s="438" t="s">
        <v>329</v>
      </c>
      <c r="B32" s="439" t="s">
        <v>109</v>
      </c>
      <c r="C32" s="440">
        <v>60302000</v>
      </c>
      <c r="D32" s="320" t="s">
        <v>644</v>
      </c>
      <c r="E32" s="444" t="s">
        <v>742</v>
      </c>
      <c r="F32" s="461">
        <v>1528377.7100000002</v>
      </c>
      <c r="G32" s="445">
        <f>SUMIF('Core P&amp;L'!$D:$D,'Core Opex Proj.'!$C32,'Core P&amp;L'!BN:BN)</f>
        <v>715273.43</v>
      </c>
      <c r="H32" s="445">
        <f>SUMIF('Core P&amp;L'!$D:$D,'Core Opex Proj.'!$C32,'Core P&amp;L'!AJ:AJ)</f>
        <v>1281818.8400000001</v>
      </c>
      <c r="I32" s="445">
        <f>SUMIF('Core P&amp;L'!$D:$D,'Core Opex Proj.'!$C32,'Core P&amp;L'!T:T)</f>
        <v>1010740</v>
      </c>
      <c r="J32" s="445">
        <f t="shared" si="1"/>
        <v>1061277</v>
      </c>
      <c r="K32" s="445">
        <f t="shared" si="1"/>
        <v>1114340.8500000001</v>
      </c>
      <c r="L32" s="445">
        <f t="shared" si="1"/>
        <v>1170057.8925000001</v>
      </c>
      <c r="M32" s="445">
        <f t="shared" si="1"/>
        <v>1228560.787125</v>
      </c>
      <c r="N32" s="445">
        <f t="shared" si="1"/>
        <v>1289988.8264812501</v>
      </c>
      <c r="O32" s="445">
        <f t="shared" si="1"/>
        <v>1354488.2678053128</v>
      </c>
      <c r="P32" s="445">
        <f t="shared" si="1"/>
        <v>1422212.6811955785</v>
      </c>
    </row>
    <row r="33" spans="1:16">
      <c r="A33" s="438" t="s">
        <v>608</v>
      </c>
      <c r="B33" s="439" t="s">
        <v>109</v>
      </c>
      <c r="C33" s="440">
        <v>60302100</v>
      </c>
      <c r="D33" s="320" t="s">
        <v>645</v>
      </c>
      <c r="E33" s="444" t="s">
        <v>742</v>
      </c>
      <c r="F33" s="461">
        <v>816.6</v>
      </c>
      <c r="G33" s="445">
        <f>SUMIF('Core P&amp;L'!$D:$D,'Core Opex Proj.'!$C33,'Core P&amp;L'!BN:BN)</f>
        <v>0</v>
      </c>
      <c r="H33" s="445">
        <f>SUMIF('Core P&amp;L'!$D:$D,'Core Opex Proj.'!$C33,'Core P&amp;L'!AJ:AJ)</f>
        <v>0</v>
      </c>
      <c r="I33" s="445">
        <f>SUMIF('Core P&amp;L'!$D:$D,'Core Opex Proj.'!$C33,'Core P&amp;L'!T:T)</f>
        <v>12000</v>
      </c>
      <c r="J33" s="445">
        <f t="shared" si="1"/>
        <v>12600</v>
      </c>
      <c r="K33" s="445">
        <f t="shared" si="1"/>
        <v>13230</v>
      </c>
      <c r="L33" s="445">
        <f t="shared" si="1"/>
        <v>13891.5</v>
      </c>
      <c r="M33" s="445">
        <f t="shared" si="1"/>
        <v>14586.075000000001</v>
      </c>
      <c r="N33" s="445">
        <f t="shared" si="1"/>
        <v>15315.378750000002</v>
      </c>
      <c r="O33" s="445">
        <f t="shared" si="1"/>
        <v>16081.147687500003</v>
      </c>
      <c r="P33" s="445">
        <f t="shared" si="1"/>
        <v>16885.205071875003</v>
      </c>
    </row>
    <row r="34" spans="1:16">
      <c r="A34" s="438" t="s">
        <v>329</v>
      </c>
      <c r="B34" s="439" t="s">
        <v>109</v>
      </c>
      <c r="C34" s="440">
        <v>60303000</v>
      </c>
      <c r="D34" s="320" t="s">
        <v>334</v>
      </c>
      <c r="E34" s="444" t="s">
        <v>742</v>
      </c>
      <c r="F34" s="461">
        <v>554351.65</v>
      </c>
      <c r="G34" s="445">
        <f>SUMIF('Core P&amp;L'!$D:$D,'Core Opex Proj.'!$C34,'Core P&amp;L'!BN:BN)</f>
        <v>641858.15</v>
      </c>
      <c r="H34" s="445">
        <f>SUMIF('Core P&amp;L'!$D:$D,'Core Opex Proj.'!$C34,'Core P&amp;L'!AJ:AJ)</f>
        <v>711746.3600000001</v>
      </c>
      <c r="I34" s="445">
        <f>SUMIF('Core P&amp;L'!$D:$D,'Core Opex Proj.'!$C34,'Core P&amp;L'!T:T)</f>
        <v>699030</v>
      </c>
      <c r="J34" s="445">
        <f t="shared" si="1"/>
        <v>733981.5</v>
      </c>
      <c r="K34" s="445">
        <f t="shared" si="1"/>
        <v>770680.57500000007</v>
      </c>
      <c r="L34" s="445">
        <f t="shared" si="1"/>
        <v>809214.60375000013</v>
      </c>
      <c r="M34" s="445">
        <f t="shared" si="1"/>
        <v>849675.33393750014</v>
      </c>
      <c r="N34" s="445">
        <f t="shared" si="1"/>
        <v>892159.10063437524</v>
      </c>
      <c r="O34" s="445">
        <f t="shared" si="1"/>
        <v>936767.05566609406</v>
      </c>
      <c r="P34" s="445">
        <f t="shared" si="1"/>
        <v>983605.40844939882</v>
      </c>
    </row>
    <row r="35" spans="1:16">
      <c r="A35" s="438" t="s">
        <v>609</v>
      </c>
      <c r="B35" s="439" t="s">
        <v>109</v>
      </c>
      <c r="C35" s="440">
        <v>60304000</v>
      </c>
      <c r="D35" s="320" t="s">
        <v>339</v>
      </c>
      <c r="E35" s="444" t="s">
        <v>742</v>
      </c>
      <c r="F35" s="461">
        <v>1846157.0299999998</v>
      </c>
      <c r="G35" s="445">
        <f>SUMIF('Core P&amp;L'!$D:$D,'Core Opex Proj.'!$C35,'Core P&amp;L'!BN:BN)</f>
        <v>1244004.3399999999</v>
      </c>
      <c r="H35" s="445">
        <f>SUMIF('Core P&amp;L'!$D:$D,'Core Opex Proj.'!$C35,'Core P&amp;L'!AJ:AJ)</f>
        <v>1413283.76</v>
      </c>
      <c r="I35" s="445">
        <f>SUMIF('Core P&amp;L'!$D:$D,'Core Opex Proj.'!$C35,'Core P&amp;L'!T:T)</f>
        <v>1265324</v>
      </c>
      <c r="J35" s="445">
        <f t="shared" si="1"/>
        <v>1328590.2</v>
      </c>
      <c r="K35" s="445">
        <f t="shared" si="1"/>
        <v>1395019.71</v>
      </c>
      <c r="L35" s="445">
        <f t="shared" si="1"/>
        <v>1464770.6954999999</v>
      </c>
      <c r="M35" s="445">
        <f t="shared" si="1"/>
        <v>1538009.230275</v>
      </c>
      <c r="N35" s="445">
        <f t="shared" si="1"/>
        <v>1614909.69178875</v>
      </c>
      <c r="O35" s="445">
        <f t="shared" si="1"/>
        <v>1695655.1763781875</v>
      </c>
      <c r="P35" s="445">
        <f t="shared" si="1"/>
        <v>1780437.935197097</v>
      </c>
    </row>
    <row r="36" spans="1:16">
      <c r="A36" s="438" t="s">
        <v>329</v>
      </c>
      <c r="B36" s="439" t="s">
        <v>109</v>
      </c>
      <c r="C36" s="440">
        <v>60305000</v>
      </c>
      <c r="D36" s="320" t="s">
        <v>340</v>
      </c>
      <c r="E36" s="444" t="s">
        <v>742</v>
      </c>
      <c r="F36" s="461">
        <v>288407.44</v>
      </c>
      <c r="G36" s="445">
        <f>SUMIF('Core P&amp;L'!$D:$D,'Core Opex Proj.'!$C36,'Core P&amp;L'!BN:BN)</f>
        <v>318599.35000000003</v>
      </c>
      <c r="H36" s="445">
        <f>SUMIF('Core P&amp;L'!$D:$D,'Core Opex Proj.'!$C36,'Core P&amp;L'!AJ:AJ)</f>
        <v>283623.2</v>
      </c>
      <c r="I36" s="445">
        <f>SUMIF('Core P&amp;L'!$D:$D,'Core Opex Proj.'!$C36,'Core P&amp;L'!T:T)</f>
        <v>414610</v>
      </c>
      <c r="J36" s="445">
        <f t="shared" si="1"/>
        <v>435340.5</v>
      </c>
      <c r="K36" s="445">
        <f t="shared" si="1"/>
        <v>457107.52500000002</v>
      </c>
      <c r="L36" s="445">
        <f t="shared" si="1"/>
        <v>479962.90125000005</v>
      </c>
      <c r="M36" s="445">
        <f t="shared" si="1"/>
        <v>503961.04631250008</v>
      </c>
      <c r="N36" s="445">
        <f t="shared" si="1"/>
        <v>529159.09862812515</v>
      </c>
      <c r="O36" s="445">
        <f t="shared" si="1"/>
        <v>555617.05355953146</v>
      </c>
      <c r="P36" s="445">
        <f t="shared" si="1"/>
        <v>583397.90623750805</v>
      </c>
    </row>
    <row r="37" spans="1:16">
      <c r="A37" s="438" t="s">
        <v>610</v>
      </c>
      <c r="B37" s="439" t="s">
        <v>109</v>
      </c>
      <c r="C37" s="440">
        <v>60306000</v>
      </c>
      <c r="D37" s="320" t="s">
        <v>579</v>
      </c>
      <c r="E37" s="444" t="s">
        <v>742</v>
      </c>
      <c r="F37" s="461">
        <v>18393.36</v>
      </c>
      <c r="G37" s="445">
        <f>SUMIF('Core P&amp;L'!$D:$D,'Core Opex Proj.'!$C37,'Core P&amp;L'!BN:BN)</f>
        <v>4800</v>
      </c>
      <c r="H37" s="445">
        <f>SUMIF('Core P&amp;L'!$D:$D,'Core Opex Proj.'!$C37,'Core P&amp;L'!AJ:AJ)</f>
        <v>1604</v>
      </c>
      <c r="I37" s="445">
        <f>SUMIF('Core P&amp;L'!$D:$D,'Core Opex Proj.'!$C37,'Core P&amp;L'!T:T)</f>
        <v>80120</v>
      </c>
      <c r="J37" s="445">
        <f t="shared" si="1"/>
        <v>84126</v>
      </c>
      <c r="K37" s="445">
        <f t="shared" si="1"/>
        <v>88332.3</v>
      </c>
      <c r="L37" s="445">
        <f t="shared" si="1"/>
        <v>92748.915000000008</v>
      </c>
      <c r="M37" s="445">
        <f t="shared" si="1"/>
        <v>97386.360750000007</v>
      </c>
      <c r="N37" s="445">
        <f t="shared" si="1"/>
        <v>102255.67878750002</v>
      </c>
      <c r="O37" s="445">
        <f t="shared" si="1"/>
        <v>107368.46272687502</v>
      </c>
      <c r="P37" s="445">
        <f t="shared" si="1"/>
        <v>112736.88586321878</v>
      </c>
    </row>
    <row r="38" spans="1:16">
      <c r="A38" s="438" t="s">
        <v>329</v>
      </c>
      <c r="B38" s="439" t="s">
        <v>109</v>
      </c>
      <c r="C38" s="440">
        <v>60307000</v>
      </c>
      <c r="D38" s="320" t="s">
        <v>646</v>
      </c>
      <c r="E38" s="444" t="s">
        <v>742</v>
      </c>
      <c r="F38" s="461">
        <v>481326.61</v>
      </c>
      <c r="G38" s="445">
        <f>SUMIF('Core P&amp;L'!$D:$D,'Core Opex Proj.'!$C38,'Core P&amp;L'!BN:BN)</f>
        <v>619564.71000000008</v>
      </c>
      <c r="H38" s="445">
        <f>SUMIF('Core P&amp;L'!$D:$D,'Core Opex Proj.'!$C38,'Core P&amp;L'!AJ:AJ)</f>
        <v>452555.32</v>
      </c>
      <c r="I38" s="445">
        <f>SUMIF('Core P&amp;L'!$D:$D,'Core Opex Proj.'!$C38,'Core P&amp;L'!T:T)</f>
        <v>364420</v>
      </c>
      <c r="J38" s="445">
        <f t="shared" si="1"/>
        <v>382641</v>
      </c>
      <c r="K38" s="445">
        <f t="shared" si="1"/>
        <v>401773.05</v>
      </c>
      <c r="L38" s="445">
        <f t="shared" si="1"/>
        <v>421861.70250000001</v>
      </c>
      <c r="M38" s="445">
        <f t="shared" si="1"/>
        <v>442954.78762500006</v>
      </c>
      <c r="N38" s="445">
        <f t="shared" si="1"/>
        <v>465102.52700625005</v>
      </c>
      <c r="O38" s="445">
        <f t="shared" si="1"/>
        <v>488357.6533565626</v>
      </c>
      <c r="P38" s="445">
        <f t="shared" si="1"/>
        <v>512775.53602439078</v>
      </c>
    </row>
    <row r="39" spans="1:16">
      <c r="A39" s="438" t="s">
        <v>325</v>
      </c>
      <c r="B39" s="1052" t="s">
        <v>126</v>
      </c>
      <c r="C39" s="440">
        <v>60308000</v>
      </c>
      <c r="D39" s="320" t="s">
        <v>647</v>
      </c>
      <c r="E39" s="444" t="s">
        <v>742</v>
      </c>
      <c r="F39" s="442">
        <v>2953491.8000000003</v>
      </c>
      <c r="G39" s="445">
        <f>SUMIF('Core P&amp;L'!$D:$D,'Core Opex Proj.'!$C39,'Core P&amp;L'!BN:BN)</f>
        <v>2545958.13</v>
      </c>
      <c r="H39" s="445">
        <f>SUMIF('Core P&amp;L'!$D:$D,'Core Opex Proj.'!$C39,'Core P&amp;L'!AJ:AJ)</f>
        <v>2612221.88</v>
      </c>
      <c r="I39" s="445">
        <f>SUMIF('Core P&amp;L'!$D:$D,'Core Opex Proj.'!$C39,'Core P&amp;L'!T:T)</f>
        <v>3994037.92</v>
      </c>
      <c r="J39" s="445">
        <f t="shared" si="1"/>
        <v>4193739.8160000001</v>
      </c>
      <c r="K39" s="445">
        <f t="shared" si="1"/>
        <v>4403426.8068000004</v>
      </c>
      <c r="L39" s="445">
        <f t="shared" si="1"/>
        <v>4623598.1471400009</v>
      </c>
      <c r="M39" s="445">
        <f t="shared" si="1"/>
        <v>4854778.0544970008</v>
      </c>
      <c r="N39" s="445">
        <f t="shared" si="1"/>
        <v>5097516.9572218508</v>
      </c>
      <c r="O39" s="445">
        <f t="shared" si="1"/>
        <v>5352392.8050829433</v>
      </c>
      <c r="P39" s="445">
        <f t="shared" si="1"/>
        <v>5620012.4453370906</v>
      </c>
    </row>
    <row r="40" spans="1:16">
      <c r="A40" s="438" t="s">
        <v>329</v>
      </c>
      <c r="B40" s="439" t="s">
        <v>109</v>
      </c>
      <c r="C40" s="440">
        <v>60309000</v>
      </c>
      <c r="D40" s="320" t="s">
        <v>344</v>
      </c>
      <c r="E40" s="444" t="s">
        <v>742</v>
      </c>
      <c r="F40" s="442">
        <v>151987.9</v>
      </c>
      <c r="G40" s="445">
        <f>SUMIF('Core P&amp;L'!$D:$D,'Core Opex Proj.'!$C40,'Core P&amp;L'!BN:BN)</f>
        <v>160843.35</v>
      </c>
      <c r="H40" s="445">
        <f>SUMIF('Core P&amp;L'!$D:$D,'Core Opex Proj.'!$C40,'Core P&amp;L'!AJ:AJ)</f>
        <v>118050.35</v>
      </c>
      <c r="I40" s="445">
        <f>SUMIF('Core P&amp;L'!$D:$D,'Core Opex Proj.'!$C40,'Core P&amp;L'!T:T)</f>
        <v>75234</v>
      </c>
      <c r="J40" s="445">
        <f t="shared" si="1"/>
        <v>78995.7</v>
      </c>
      <c r="K40" s="445">
        <f t="shared" si="1"/>
        <v>82945.485000000001</v>
      </c>
      <c r="L40" s="445">
        <f t="shared" si="1"/>
        <v>87092.759250000003</v>
      </c>
      <c r="M40" s="445">
        <f t="shared" si="1"/>
        <v>91447.3972125</v>
      </c>
      <c r="N40" s="445">
        <f t="shared" si="1"/>
        <v>96019.767073125011</v>
      </c>
      <c r="O40" s="445">
        <f t="shared" si="1"/>
        <v>100820.75542678127</v>
      </c>
      <c r="P40" s="445">
        <f t="shared" si="1"/>
        <v>105861.79319812033</v>
      </c>
    </row>
    <row r="41" spans="1:16">
      <c r="A41" s="438" t="s">
        <v>329</v>
      </c>
      <c r="B41" s="439" t="s">
        <v>109</v>
      </c>
      <c r="C41" s="440">
        <v>60310000</v>
      </c>
      <c r="D41" s="320" t="s">
        <v>341</v>
      </c>
      <c r="E41" s="444" t="s">
        <v>742</v>
      </c>
      <c r="F41" s="442">
        <v>491975.7</v>
      </c>
      <c r="G41" s="445">
        <f>SUMIF('Core P&amp;L'!$D:$D,'Core Opex Proj.'!$C41,'Core P&amp;L'!BN:BN)</f>
        <v>529407.15</v>
      </c>
      <c r="H41" s="445">
        <f>SUMIF('Core P&amp;L'!$D:$D,'Core Opex Proj.'!$C41,'Core P&amp;L'!AJ:AJ)</f>
        <v>550048.98</v>
      </c>
      <c r="I41" s="445">
        <f>SUMIF('Core P&amp;L'!$D:$D,'Core Opex Proj.'!$C41,'Core P&amp;L'!T:T)</f>
        <v>648693.52</v>
      </c>
      <c r="J41" s="445">
        <f t="shared" si="1"/>
        <v>681128.196</v>
      </c>
      <c r="K41" s="445">
        <f t="shared" si="1"/>
        <v>715184.60580000002</v>
      </c>
      <c r="L41" s="445">
        <f t="shared" si="1"/>
        <v>750943.83609</v>
      </c>
      <c r="M41" s="445">
        <f t="shared" si="1"/>
        <v>788491.02789450006</v>
      </c>
      <c r="N41" s="445">
        <f t="shared" si="1"/>
        <v>827915.57928922505</v>
      </c>
      <c r="O41" s="445">
        <f t="shared" si="1"/>
        <v>869311.35825368634</v>
      </c>
      <c r="P41" s="445">
        <f t="shared" si="1"/>
        <v>912776.92616637074</v>
      </c>
    </row>
    <row r="42" spans="1:16">
      <c r="A42" s="438" t="s">
        <v>329</v>
      </c>
      <c r="B42" s="439" t="s">
        <v>109</v>
      </c>
      <c r="C42" s="440">
        <v>60311000</v>
      </c>
      <c r="D42" s="320" t="s">
        <v>342</v>
      </c>
      <c r="E42" s="444" t="s">
        <v>742</v>
      </c>
      <c r="F42" s="442">
        <v>361678.98</v>
      </c>
      <c r="G42" s="445">
        <f>SUMIF('Core P&amp;L'!$D:$D,'Core Opex Proj.'!$C42,'Core P&amp;L'!BN:BN)</f>
        <v>352013.70999999996</v>
      </c>
      <c r="H42" s="445">
        <f>SUMIF('Core P&amp;L'!$D:$D,'Core Opex Proj.'!$C42,'Core P&amp;L'!AJ:AJ)</f>
        <v>288050.80000000005</v>
      </c>
      <c r="I42" s="445">
        <f>SUMIF('Core P&amp;L'!$D:$D,'Core Opex Proj.'!$C42,'Core P&amp;L'!T:T)</f>
        <v>257385</v>
      </c>
      <c r="J42" s="445">
        <f t="shared" si="1"/>
        <v>270254.25</v>
      </c>
      <c r="K42" s="445">
        <f t="shared" si="1"/>
        <v>283766.96250000002</v>
      </c>
      <c r="L42" s="445">
        <f t="shared" si="1"/>
        <v>297955.31062500004</v>
      </c>
      <c r="M42" s="445">
        <f t="shared" si="1"/>
        <v>312853.07615625008</v>
      </c>
      <c r="N42" s="445">
        <f t="shared" si="1"/>
        <v>328495.72996406263</v>
      </c>
      <c r="O42" s="445">
        <f t="shared" si="1"/>
        <v>344920.5164622658</v>
      </c>
      <c r="P42" s="445">
        <f t="shared" si="1"/>
        <v>362166.54228537914</v>
      </c>
    </row>
    <row r="43" spans="1:16">
      <c r="A43" s="438" t="s">
        <v>329</v>
      </c>
      <c r="B43" s="439" t="s">
        <v>109</v>
      </c>
      <c r="C43" s="440">
        <v>60312000</v>
      </c>
      <c r="D43" s="320" t="s">
        <v>343</v>
      </c>
      <c r="E43" s="444" t="s">
        <v>742</v>
      </c>
      <c r="F43" s="442">
        <v>156149.86000000002</v>
      </c>
      <c r="G43" s="445">
        <f>SUMIF('Core P&amp;L'!$D:$D,'Core Opex Proj.'!$C43,'Core P&amp;L'!BN:BN)</f>
        <v>116160.48000000001</v>
      </c>
      <c r="H43" s="445">
        <f>SUMIF('Core P&amp;L'!$D:$D,'Core Opex Proj.'!$C43,'Core P&amp;L'!AJ:AJ)</f>
        <v>82383.12999999999</v>
      </c>
      <c r="I43" s="445">
        <f>SUMIF('Core P&amp;L'!$D:$D,'Core Opex Proj.'!$C43,'Core P&amp;L'!T:T)</f>
        <v>81000</v>
      </c>
      <c r="J43" s="445">
        <f t="shared" si="1"/>
        <v>85050</v>
      </c>
      <c r="K43" s="445">
        <f t="shared" si="1"/>
        <v>89302.5</v>
      </c>
      <c r="L43" s="445">
        <f t="shared" si="1"/>
        <v>93767.625</v>
      </c>
      <c r="M43" s="445">
        <f t="shared" si="1"/>
        <v>98456.006250000006</v>
      </c>
      <c r="N43" s="445">
        <f t="shared" si="1"/>
        <v>103378.80656250002</v>
      </c>
      <c r="O43" s="445">
        <f t="shared" si="1"/>
        <v>108547.74689062503</v>
      </c>
      <c r="P43" s="445">
        <f t="shared" si="1"/>
        <v>113975.13423515628</v>
      </c>
    </row>
    <row r="44" spans="1:16">
      <c r="A44" s="438" t="s">
        <v>329</v>
      </c>
      <c r="B44" s="439" t="s">
        <v>109</v>
      </c>
      <c r="C44" s="440">
        <v>60313000</v>
      </c>
      <c r="D44" s="320" t="s">
        <v>348</v>
      </c>
      <c r="E44" s="444" t="s">
        <v>742</v>
      </c>
      <c r="F44" s="442">
        <v>561116.61</v>
      </c>
      <c r="G44" s="445">
        <f>SUMIF('Core P&amp;L'!$D:$D,'Core Opex Proj.'!$C44,'Core P&amp;L'!BN:BN)</f>
        <v>540625.48</v>
      </c>
      <c r="H44" s="445">
        <f>SUMIF('Core P&amp;L'!$D:$D,'Core Opex Proj.'!$C44,'Core P&amp;L'!AJ:AJ)</f>
        <v>0</v>
      </c>
      <c r="I44" s="445">
        <f>SUMIF('Core P&amp;L'!$D:$D,'Core Opex Proj.'!$C44,'Core P&amp;L'!T:T)</f>
        <v>0</v>
      </c>
      <c r="J44" s="445">
        <f t="shared" ref="J44:P56" si="10">I44*(1+J$1)</f>
        <v>0</v>
      </c>
      <c r="K44" s="445">
        <f t="shared" si="10"/>
        <v>0</v>
      </c>
      <c r="L44" s="445">
        <f t="shared" si="10"/>
        <v>0</v>
      </c>
      <c r="M44" s="445">
        <f t="shared" si="10"/>
        <v>0</v>
      </c>
      <c r="N44" s="445">
        <f t="shared" si="10"/>
        <v>0</v>
      </c>
      <c r="O44" s="445">
        <f t="shared" si="10"/>
        <v>0</v>
      </c>
      <c r="P44" s="445">
        <f t="shared" si="10"/>
        <v>0</v>
      </c>
    </row>
    <row r="45" spans="1:16">
      <c r="A45" s="438" t="s">
        <v>349</v>
      </c>
      <c r="B45" s="1052" t="s">
        <v>324</v>
      </c>
      <c r="C45" s="440">
        <v>60314000</v>
      </c>
      <c r="D45" s="320" t="s">
        <v>349</v>
      </c>
      <c r="E45" s="444" t="s">
        <v>742</v>
      </c>
      <c r="F45" s="442">
        <v>0</v>
      </c>
      <c r="G45" s="445">
        <f>SUMIF('Core P&amp;L'!$D:$D,'Core Opex Proj.'!$C45,'Core P&amp;L'!BN:BN)</f>
        <v>-180000</v>
      </c>
      <c r="H45" s="445">
        <f>SUMIF('Core P&amp;L'!$D:$D,'Core Opex Proj.'!$C45,'Core P&amp;L'!AJ:AJ)</f>
        <v>0</v>
      </c>
      <c r="I45" s="445">
        <f>SUMIF('Core P&amp;L'!$D:$D,'Core Opex Proj.'!$C45,'Core P&amp;L'!T:T)</f>
        <v>50000</v>
      </c>
      <c r="J45" s="445">
        <f t="shared" si="10"/>
        <v>52500</v>
      </c>
      <c r="K45" s="445">
        <f t="shared" si="10"/>
        <v>55125</v>
      </c>
      <c r="L45" s="445">
        <f t="shared" si="10"/>
        <v>57881.25</v>
      </c>
      <c r="M45" s="445">
        <f t="shared" si="10"/>
        <v>60775.3125</v>
      </c>
      <c r="N45" s="445">
        <f t="shared" si="10"/>
        <v>63814.078125</v>
      </c>
      <c r="O45" s="445">
        <f t="shared" si="10"/>
        <v>67004.782031249997</v>
      </c>
      <c r="P45" s="445">
        <f t="shared" si="10"/>
        <v>70355.021132812501</v>
      </c>
    </row>
    <row r="46" spans="1:16">
      <c r="A46" s="438" t="s">
        <v>329</v>
      </c>
      <c r="B46" s="439" t="s">
        <v>109</v>
      </c>
      <c r="C46" s="440">
        <v>60315000</v>
      </c>
      <c r="D46" s="320" t="s">
        <v>648</v>
      </c>
      <c r="E46" s="444" t="s">
        <v>742</v>
      </c>
      <c r="F46" s="442">
        <v>51801.869999999995</v>
      </c>
      <c r="G46" s="445">
        <f>SUMIF('Core P&amp;L'!$D:$D,'Core Opex Proj.'!$C46,'Core P&amp;L'!BN:BN)</f>
        <v>60039.899999999994</v>
      </c>
      <c r="H46" s="445">
        <f>SUMIF('Core P&amp;L'!$D:$D,'Core Opex Proj.'!$C46,'Core P&amp;L'!AJ:AJ)</f>
        <v>45586.6</v>
      </c>
      <c r="I46" s="445">
        <f>SUMIF('Core P&amp;L'!$D:$D,'Core Opex Proj.'!$C46,'Core P&amp;L'!T:T)</f>
        <v>26345.279999999995</v>
      </c>
      <c r="J46" s="445">
        <f t="shared" si="10"/>
        <v>27662.543999999994</v>
      </c>
      <c r="K46" s="445">
        <f t="shared" si="10"/>
        <v>29045.671199999997</v>
      </c>
      <c r="L46" s="445">
        <f t="shared" si="10"/>
        <v>30497.954759999997</v>
      </c>
      <c r="M46" s="445">
        <f t="shared" si="10"/>
        <v>32022.852497999997</v>
      </c>
      <c r="N46" s="445">
        <f t="shared" si="10"/>
        <v>33623.9951229</v>
      </c>
      <c r="O46" s="445">
        <f t="shared" si="10"/>
        <v>35305.194879045004</v>
      </c>
      <c r="P46" s="445">
        <f t="shared" si="10"/>
        <v>37070.454622997255</v>
      </c>
    </row>
    <row r="47" spans="1:16">
      <c r="A47" s="438" t="s">
        <v>329</v>
      </c>
      <c r="B47" s="439" t="s">
        <v>109</v>
      </c>
      <c r="C47" s="440">
        <v>60316000</v>
      </c>
      <c r="D47" s="320" t="s">
        <v>649</v>
      </c>
      <c r="E47" s="444" t="s">
        <v>742</v>
      </c>
      <c r="F47" s="442">
        <v>133032</v>
      </c>
      <c r="G47" s="445">
        <f>SUMIF('Core P&amp;L'!$D:$D,'Core Opex Proj.'!$C47,'Core P&amp;L'!BN:BN)</f>
        <v>147040.02000000002</v>
      </c>
      <c r="H47" s="445">
        <f>SUMIF('Core P&amp;L'!$D:$D,'Core Opex Proj.'!$C47,'Core P&amp;L'!AJ:AJ)</f>
        <v>147740.26</v>
      </c>
      <c r="I47" s="445">
        <f>SUMIF('Core P&amp;L'!$D:$D,'Core Opex Proj.'!$C47,'Core P&amp;L'!T:T)</f>
        <v>176599.14</v>
      </c>
      <c r="J47" s="445">
        <f t="shared" si="10"/>
        <v>185429.09700000001</v>
      </c>
      <c r="K47" s="445">
        <f t="shared" si="10"/>
        <v>194700.55185000002</v>
      </c>
      <c r="L47" s="445">
        <f t="shared" si="10"/>
        <v>204435.57944250002</v>
      </c>
      <c r="M47" s="445">
        <f t="shared" si="10"/>
        <v>214657.35841462502</v>
      </c>
      <c r="N47" s="445">
        <f t="shared" si="10"/>
        <v>225390.22633535627</v>
      </c>
      <c r="O47" s="445">
        <f t="shared" si="10"/>
        <v>236659.73765212411</v>
      </c>
      <c r="P47" s="445">
        <f t="shared" si="10"/>
        <v>248492.72453473034</v>
      </c>
    </row>
    <row r="48" spans="1:16">
      <c r="A48" s="438" t="s">
        <v>329</v>
      </c>
      <c r="B48" s="439" t="s">
        <v>109</v>
      </c>
      <c r="C48" s="440">
        <v>60317000</v>
      </c>
      <c r="D48" s="320" t="s">
        <v>650</v>
      </c>
      <c r="E48" s="444" t="s">
        <v>742</v>
      </c>
      <c r="F48" s="442">
        <v>326364.52</v>
      </c>
      <c r="G48" s="445">
        <f>SUMIF('Core P&amp;L'!$D:$D,'Core Opex Proj.'!$C48,'Core P&amp;L'!BN:BN)</f>
        <v>360300.86999999994</v>
      </c>
      <c r="H48" s="445">
        <f>SUMIF('Core P&amp;L'!$D:$D,'Core Opex Proj.'!$C48,'Core P&amp;L'!AJ:AJ)</f>
        <v>211926.82</v>
      </c>
      <c r="I48" s="445">
        <f>SUMIF('Core P&amp;L'!$D:$D,'Core Opex Proj.'!$C48,'Core P&amp;L'!T:T)</f>
        <v>671120</v>
      </c>
      <c r="J48" s="445">
        <f t="shared" si="10"/>
        <v>704676</v>
      </c>
      <c r="K48" s="445">
        <f t="shared" si="10"/>
        <v>739909.8</v>
      </c>
      <c r="L48" s="445">
        <f t="shared" si="10"/>
        <v>776905.29</v>
      </c>
      <c r="M48" s="445">
        <f t="shared" si="10"/>
        <v>815750.55450000009</v>
      </c>
      <c r="N48" s="445">
        <f t="shared" si="10"/>
        <v>856538.08222500014</v>
      </c>
      <c r="O48" s="445">
        <f t="shared" si="10"/>
        <v>899364.98633625021</v>
      </c>
      <c r="P48" s="445">
        <f t="shared" si="10"/>
        <v>944333.2356530627</v>
      </c>
    </row>
    <row r="49" spans="1:16">
      <c r="A49" s="438" t="s">
        <v>329</v>
      </c>
      <c r="B49" s="439" t="s">
        <v>109</v>
      </c>
      <c r="C49" s="440">
        <v>60318000</v>
      </c>
      <c r="D49" s="320" t="s">
        <v>771</v>
      </c>
      <c r="E49" s="444" t="s">
        <v>742</v>
      </c>
      <c r="F49" s="442">
        <v>559055.40999999992</v>
      </c>
      <c r="G49" s="445">
        <f>SUMIF('Core P&amp;L'!$D:$D,'Core Opex Proj.'!$C49,'Core P&amp;L'!BN:BN)</f>
        <v>174053.30000000002</v>
      </c>
      <c r="H49" s="445">
        <f>SUMIF('Core P&amp;L'!$D:$D,'Core Opex Proj.'!$C49,'Core P&amp;L'!AJ:AJ)</f>
        <v>179794.2</v>
      </c>
      <c r="I49" s="445">
        <f>SUMIF('Core P&amp;L'!$D:$D,'Core Opex Proj.'!$C49,'Core P&amp;L'!T:T)</f>
        <v>50000</v>
      </c>
      <c r="J49" s="445">
        <f t="shared" ref="J49:P51" si="11">I49*(1+J$1)</f>
        <v>52500</v>
      </c>
      <c r="K49" s="445">
        <f t="shared" si="11"/>
        <v>55125</v>
      </c>
      <c r="L49" s="445">
        <f t="shared" si="11"/>
        <v>57881.25</v>
      </c>
      <c r="M49" s="445">
        <f t="shared" si="11"/>
        <v>60775.3125</v>
      </c>
      <c r="N49" s="445">
        <f t="shared" si="11"/>
        <v>63814.078125</v>
      </c>
      <c r="O49" s="445">
        <f t="shared" si="11"/>
        <v>67004.782031249997</v>
      </c>
      <c r="P49" s="445">
        <f t="shared" si="11"/>
        <v>70355.021132812501</v>
      </c>
    </row>
    <row r="50" spans="1:16">
      <c r="A50" s="438" t="s">
        <v>329</v>
      </c>
      <c r="B50" s="439" t="s">
        <v>109</v>
      </c>
      <c r="C50" s="440">
        <v>60319000</v>
      </c>
      <c r="D50" s="320" t="s">
        <v>772</v>
      </c>
      <c r="E50" s="444" t="s">
        <v>742</v>
      </c>
      <c r="F50" s="442">
        <v>146469.77999999997</v>
      </c>
      <c r="G50" s="445">
        <f>SUMIF('Core P&amp;L'!$D:$D,'Core Opex Proj.'!$C50,'Core P&amp;L'!BN:BN)</f>
        <v>92896.639999999985</v>
      </c>
      <c r="H50" s="445">
        <f>SUMIF('Core P&amp;L'!$D:$D,'Core Opex Proj.'!$C50,'Core P&amp;L'!AJ:AJ)</f>
        <v>124079.81999999999</v>
      </c>
      <c r="I50" s="445">
        <f>SUMIF('Core P&amp;L'!$D:$D,'Core Opex Proj.'!$C50,'Core P&amp;L'!T:T)</f>
        <v>617640</v>
      </c>
      <c r="J50" s="445">
        <f t="shared" si="11"/>
        <v>648522</v>
      </c>
      <c r="K50" s="445">
        <f t="shared" si="11"/>
        <v>680948.1</v>
      </c>
      <c r="L50" s="445">
        <f t="shared" si="11"/>
        <v>714995.505</v>
      </c>
      <c r="M50" s="445">
        <f t="shared" si="11"/>
        <v>750745.28025000007</v>
      </c>
      <c r="N50" s="445">
        <f t="shared" si="11"/>
        <v>788282.54426250013</v>
      </c>
      <c r="O50" s="445">
        <f t="shared" si="11"/>
        <v>827696.67147562513</v>
      </c>
      <c r="P50" s="445">
        <f t="shared" si="11"/>
        <v>869081.50504940643</v>
      </c>
    </row>
    <row r="51" spans="1:16">
      <c r="A51" s="438" t="s">
        <v>329</v>
      </c>
      <c r="B51" s="439" t="s">
        <v>109</v>
      </c>
      <c r="C51" s="440">
        <v>60320000</v>
      </c>
      <c r="D51" s="320" t="s">
        <v>773</v>
      </c>
      <c r="E51" s="444" t="s">
        <v>742</v>
      </c>
      <c r="F51" s="442">
        <v>78091.600000000006</v>
      </c>
      <c r="G51" s="445">
        <f>SUMIF('Core P&amp;L'!$D:$D,'Core Opex Proj.'!$C51,'Core P&amp;L'!BN:BN)</f>
        <v>1200546.17</v>
      </c>
      <c r="H51" s="445">
        <f>SUMIF('Core P&amp;L'!$D:$D,'Core Opex Proj.'!$C51,'Core P&amp;L'!AJ:AJ)</f>
        <v>302509.39</v>
      </c>
      <c r="I51" s="445">
        <f>SUMIF('Core P&amp;L'!$D:$D,'Core Opex Proj.'!$C51,'Core P&amp;L'!T:T)</f>
        <v>1150180</v>
      </c>
      <c r="J51" s="445">
        <f t="shared" si="11"/>
        <v>1207689</v>
      </c>
      <c r="K51" s="445">
        <f t="shared" si="11"/>
        <v>1268073.45</v>
      </c>
      <c r="L51" s="445">
        <f t="shared" si="11"/>
        <v>1331477.1225000001</v>
      </c>
      <c r="M51" s="445">
        <f t="shared" si="11"/>
        <v>1398050.9786250002</v>
      </c>
      <c r="N51" s="445">
        <f t="shared" si="11"/>
        <v>1467953.5275562503</v>
      </c>
      <c r="O51" s="445">
        <f t="shared" si="11"/>
        <v>1541351.203934063</v>
      </c>
      <c r="P51" s="445">
        <f t="shared" si="11"/>
        <v>1618418.7641307663</v>
      </c>
    </row>
    <row r="52" spans="1:16">
      <c r="A52" s="438" t="s">
        <v>329</v>
      </c>
      <c r="B52" s="439" t="s">
        <v>109</v>
      </c>
      <c r="C52" s="440">
        <v>60399999</v>
      </c>
      <c r="D52" s="320" t="s">
        <v>651</v>
      </c>
      <c r="E52" s="444" t="s">
        <v>742</v>
      </c>
      <c r="F52" s="442">
        <v>0</v>
      </c>
      <c r="G52" s="445">
        <f>SUMIF('Core P&amp;L'!$D:$D,'Core Opex Proj.'!$C52,'Core P&amp;L'!BN:BN)</f>
        <v>0</v>
      </c>
      <c r="H52" s="445">
        <f>SUMIF('Core P&amp;L'!$D:$D,'Core Opex Proj.'!$C52,'Core P&amp;L'!AJ:AJ)</f>
        <v>0</v>
      </c>
      <c r="I52" s="445">
        <f>SUMIF('Core P&amp;L'!$D:$D,'Core Opex Proj.'!$C52,'Core P&amp;L'!T:T)</f>
        <v>0</v>
      </c>
      <c r="J52" s="445">
        <f t="shared" si="10"/>
        <v>0</v>
      </c>
      <c r="K52" s="445">
        <f t="shared" si="10"/>
        <v>0</v>
      </c>
      <c r="L52" s="445">
        <f t="shared" si="10"/>
        <v>0</v>
      </c>
      <c r="M52" s="445">
        <f t="shared" si="10"/>
        <v>0</v>
      </c>
      <c r="N52" s="445">
        <f t="shared" si="10"/>
        <v>0</v>
      </c>
      <c r="O52" s="445">
        <f t="shared" si="10"/>
        <v>0</v>
      </c>
      <c r="P52" s="445">
        <f t="shared" si="10"/>
        <v>0</v>
      </c>
    </row>
    <row r="53" spans="1:16">
      <c r="A53" s="438" t="s">
        <v>329</v>
      </c>
      <c r="B53" s="439" t="s">
        <v>109</v>
      </c>
      <c r="C53" s="440">
        <v>60401000</v>
      </c>
      <c r="D53" s="320" t="s">
        <v>352</v>
      </c>
      <c r="E53" s="444" t="s">
        <v>742</v>
      </c>
      <c r="F53" s="442">
        <v>2640000</v>
      </c>
      <c r="G53" s="445">
        <f>SUMIF('Core P&amp;L'!$D:$D,'Core Opex Proj.'!$C53,'Core P&amp;L'!BN:BN)</f>
        <v>2640000</v>
      </c>
      <c r="H53" s="445">
        <f>SUMIF('Core P&amp;L'!$D:$D,'Core Opex Proj.'!$C53,'Core P&amp;L'!AJ:AJ)</f>
        <v>2640000</v>
      </c>
      <c r="I53" s="445">
        <f>SUMIF('Core P&amp;L'!$D:$D,'Core Opex Proj.'!$C53,'Core P&amp;L'!T:T)</f>
        <v>2640000</v>
      </c>
      <c r="J53" s="445">
        <f t="shared" ref="J53:P53" si="12">I53</f>
        <v>2640000</v>
      </c>
      <c r="K53" s="445">
        <f t="shared" si="12"/>
        <v>2640000</v>
      </c>
      <c r="L53" s="445">
        <f t="shared" si="12"/>
        <v>2640000</v>
      </c>
      <c r="M53" s="445">
        <f t="shared" si="12"/>
        <v>2640000</v>
      </c>
      <c r="N53" s="445">
        <f t="shared" si="12"/>
        <v>2640000</v>
      </c>
      <c r="O53" s="445">
        <f t="shared" si="12"/>
        <v>2640000</v>
      </c>
      <c r="P53" s="445">
        <f t="shared" si="12"/>
        <v>2640000</v>
      </c>
    </row>
    <row r="54" spans="1:16">
      <c r="A54" s="438" t="s">
        <v>329</v>
      </c>
      <c r="B54" s="439" t="s">
        <v>109</v>
      </c>
      <c r="C54" s="440">
        <v>60402000</v>
      </c>
      <c r="D54" s="320" t="s">
        <v>351</v>
      </c>
      <c r="E54" s="444" t="s">
        <v>742</v>
      </c>
      <c r="F54" s="442">
        <v>337540.15</v>
      </c>
      <c r="G54" s="445">
        <f>SUMIF('Core P&amp;L'!$D:$D,'Core Opex Proj.'!$C54,'Core P&amp;L'!BN:BN)</f>
        <v>86899.549999999988</v>
      </c>
      <c r="H54" s="445">
        <f>SUMIF('Core P&amp;L'!$D:$D,'Core Opex Proj.'!$C54,'Core P&amp;L'!AJ:AJ)</f>
        <v>59677.919999999998</v>
      </c>
      <c r="I54" s="445">
        <f>SUMIF('Core P&amp;L'!$D:$D,'Core Opex Proj.'!$C54,'Core P&amp;L'!T:T)</f>
        <v>105000</v>
      </c>
      <c r="J54" s="445">
        <f t="shared" si="10"/>
        <v>110250</v>
      </c>
      <c r="K54" s="445">
        <f t="shared" si="10"/>
        <v>115762.5</v>
      </c>
      <c r="L54" s="445">
        <f t="shared" si="10"/>
        <v>121550.625</v>
      </c>
      <c r="M54" s="445">
        <f t="shared" si="10"/>
        <v>127628.15625</v>
      </c>
      <c r="N54" s="445">
        <f t="shared" si="10"/>
        <v>134009.56406249999</v>
      </c>
      <c r="O54" s="445">
        <f t="shared" si="10"/>
        <v>140710.042265625</v>
      </c>
      <c r="P54" s="445">
        <f t="shared" si="10"/>
        <v>147745.54437890626</v>
      </c>
    </row>
    <row r="55" spans="1:16">
      <c r="A55" s="438" t="s">
        <v>329</v>
      </c>
      <c r="B55" s="439" t="s">
        <v>109</v>
      </c>
      <c r="C55" s="440">
        <v>60403000</v>
      </c>
      <c r="D55" s="320" t="s">
        <v>353</v>
      </c>
      <c r="E55" s="444" t="s">
        <v>742</v>
      </c>
      <c r="F55" s="442">
        <v>697220</v>
      </c>
      <c r="G55" s="445">
        <f>SUMIF('Core P&amp;L'!$D:$D,'Core Opex Proj.'!$C55,'Core P&amp;L'!BN:BN)</f>
        <v>51300</v>
      </c>
      <c r="H55" s="445">
        <f>SUMIF('Core P&amp;L'!$D:$D,'Core Opex Proj.'!$C55,'Core P&amp;L'!AJ:AJ)</f>
        <v>87655</v>
      </c>
      <c r="I55" s="445">
        <f>SUMIF('Core P&amp;L'!$D:$D,'Core Opex Proj.'!$C55,'Core P&amp;L'!T:T)</f>
        <v>200000</v>
      </c>
      <c r="J55" s="445">
        <f t="shared" si="10"/>
        <v>210000</v>
      </c>
      <c r="K55" s="445">
        <f t="shared" si="10"/>
        <v>220500</v>
      </c>
      <c r="L55" s="445">
        <f t="shared" si="10"/>
        <v>231525</v>
      </c>
      <c r="M55" s="445">
        <f t="shared" si="10"/>
        <v>243101.25</v>
      </c>
      <c r="N55" s="445">
        <f t="shared" si="10"/>
        <v>255256.3125</v>
      </c>
      <c r="O55" s="445">
        <f t="shared" si="10"/>
        <v>268019.12812499999</v>
      </c>
      <c r="P55" s="445">
        <f t="shared" si="10"/>
        <v>281420.08453125</v>
      </c>
    </row>
    <row r="56" spans="1:16">
      <c r="A56" s="438" t="s">
        <v>611</v>
      </c>
      <c r="B56" s="439" t="s">
        <v>109</v>
      </c>
      <c r="C56" s="440">
        <v>60404000</v>
      </c>
      <c r="D56" s="320" t="s">
        <v>357</v>
      </c>
      <c r="E56" s="441" t="s">
        <v>745</v>
      </c>
      <c r="F56" s="442">
        <v>570546.38</v>
      </c>
      <c r="G56" s="442">
        <f>SUMIF('Core P&amp;L'!$D:$D,'Core Opex Proj.'!$C56,'Core P&amp;L'!BN:BN)</f>
        <v>309101.12</v>
      </c>
      <c r="H56" s="442">
        <f>SUMIF('Core P&amp;L'!$D:$D,'Core Opex Proj.'!$C56,'Core P&amp;L'!AJ:AJ)</f>
        <v>446352.05</v>
      </c>
      <c r="I56" s="442">
        <f>SUMIF('Core P&amp;L'!$D:$D,'Core Opex Proj.'!$C56,'Core P&amp;L'!T:T)</f>
        <v>1173200</v>
      </c>
      <c r="J56" s="442">
        <f t="shared" si="10"/>
        <v>1231860</v>
      </c>
      <c r="K56" s="442">
        <f t="shared" si="10"/>
        <v>1293453</v>
      </c>
      <c r="L56" s="442">
        <f t="shared" si="10"/>
        <v>1358125.6500000001</v>
      </c>
      <c r="M56" s="442">
        <f t="shared" si="10"/>
        <v>1426031.9325000001</v>
      </c>
      <c r="N56" s="442">
        <f t="shared" si="10"/>
        <v>1497333.5291250001</v>
      </c>
      <c r="O56" s="442">
        <f t="shared" si="10"/>
        <v>1572200.2055812501</v>
      </c>
      <c r="P56" s="442">
        <f t="shared" si="10"/>
        <v>1650810.2158603128</v>
      </c>
    </row>
    <row r="57" spans="1:16">
      <c r="A57" s="438" t="s">
        <v>329</v>
      </c>
      <c r="B57" s="439" t="s">
        <v>109</v>
      </c>
      <c r="C57" s="440">
        <v>60404300</v>
      </c>
      <c r="D57" s="320" t="s">
        <v>1671</v>
      </c>
      <c r="E57" s="441" t="s">
        <v>1682</v>
      </c>
      <c r="F57" s="442"/>
      <c r="G57" s="442"/>
      <c r="H57" s="442">
        <f>SUMIF('Core P&amp;L'!$D:$D,'Core Opex Proj.'!$C57,'Core P&amp;L'!AJ:AJ)</f>
        <v>1252655.29</v>
      </c>
      <c r="I57" s="442">
        <f>SUMIF('Core P&amp;L'!$D:$D,'Core Opex Proj.'!$C57,'Core P&amp;L'!T:T)</f>
        <v>0</v>
      </c>
      <c r="J57" s="442"/>
      <c r="K57" s="442"/>
      <c r="L57" s="442"/>
      <c r="M57" s="442"/>
      <c r="N57" s="442"/>
      <c r="O57" s="442"/>
      <c r="P57" s="442"/>
    </row>
    <row r="58" spans="1:16" outlineLevel="1">
      <c r="A58" s="438" t="s">
        <v>329</v>
      </c>
      <c r="B58" s="439" t="s">
        <v>109</v>
      </c>
      <c r="C58" s="440">
        <v>60404500</v>
      </c>
      <c r="D58" s="320" t="s">
        <v>652</v>
      </c>
      <c r="E58" s="441"/>
      <c r="F58" s="442">
        <v>7091.8000000000175</v>
      </c>
      <c r="G58" s="442">
        <f>SUMIF('Core P&amp;L'!$D:$D,'Core Opex Proj.'!$C58,'Core P&amp;L'!BN:BN)</f>
        <v>-77693.97</v>
      </c>
      <c r="H58" s="442">
        <f>SUMIF('Core P&amp;L'!$D:$D,'Core Opex Proj.'!$C58,'Core P&amp;L'!AJ:AJ)</f>
        <v>67928.840000000026</v>
      </c>
      <c r="I58" s="442">
        <f>SUMIF('Core P&amp;L'!$D:$D,'Core Opex Proj.'!$C58,'Core P&amp;L'!T:T)</f>
        <v>1367200</v>
      </c>
      <c r="J58" s="445">
        <v>150000</v>
      </c>
      <c r="K58" s="445">
        <f t="shared" ref="K58" si="13">J58*(1+K$1)</f>
        <v>157500</v>
      </c>
      <c r="L58" s="445">
        <f t="shared" ref="L58" si="14">K58*(1+L$1)</f>
        <v>165375</v>
      </c>
      <c r="M58" s="445">
        <f t="shared" ref="M58" si="15">L58*(1+M$1)</f>
        <v>173643.75</v>
      </c>
      <c r="N58" s="445">
        <f t="shared" ref="N58" si="16">M58*(1+N$1)</f>
        <v>182325.9375</v>
      </c>
      <c r="O58" s="445">
        <f t="shared" ref="O58" si="17">N58*(1+O$1)</f>
        <v>191442.234375</v>
      </c>
      <c r="P58" s="445">
        <f t="shared" ref="P58" si="18">O58*(1+P$1)</f>
        <v>201014.34609375001</v>
      </c>
    </row>
    <row r="59" spans="1:16">
      <c r="A59" s="438" t="s">
        <v>611</v>
      </c>
      <c r="B59" s="439" t="s">
        <v>109</v>
      </c>
      <c r="C59" s="440">
        <v>60405000</v>
      </c>
      <c r="D59" s="320" t="s">
        <v>653</v>
      </c>
      <c r="E59" s="441" t="s">
        <v>745</v>
      </c>
      <c r="F59" s="459">
        <v>1662641</v>
      </c>
      <c r="G59" s="459">
        <f>SUMIF('Core P&amp;L'!$D:$D,'Core Opex Proj.'!$C59,'Core P&amp;L'!BN:BN)</f>
        <v>750999.71</v>
      </c>
      <c r="H59" s="459">
        <f>SUMIF('Core P&amp;L'!$D:$D,'Core Opex Proj.'!$C59,'Core P&amp;L'!AJ:AJ)</f>
        <v>64282.66</v>
      </c>
      <c r="I59" s="459">
        <f>SUMIF('Core P&amp;L'!$D:$D,'Core Opex Proj.'!$C59,'Core P&amp;L'!T:T)</f>
        <v>314000</v>
      </c>
      <c r="J59" s="442">
        <f>I59*(1+J$1)</f>
        <v>329700</v>
      </c>
      <c r="K59" s="1808">
        <v>100000</v>
      </c>
      <c r="L59" s="442">
        <f>K59*(1+L$1)</f>
        <v>105000</v>
      </c>
      <c r="M59" s="442">
        <f>L59*(1+M$1)</f>
        <v>110250</v>
      </c>
      <c r="N59" s="442">
        <f>M59*(1+N$1)</f>
        <v>115762.5</v>
      </c>
      <c r="O59" s="442">
        <f>N59*(1+O$1)</f>
        <v>121550.625</v>
      </c>
      <c r="P59" s="442">
        <f>O59*(1+P$1)</f>
        <v>127628.15625</v>
      </c>
    </row>
    <row r="60" spans="1:16" outlineLevel="1">
      <c r="A60" s="438" t="s">
        <v>329</v>
      </c>
      <c r="B60" s="439" t="s">
        <v>109</v>
      </c>
      <c r="C60" s="440">
        <v>60406000</v>
      </c>
      <c r="D60" s="320" t="s">
        <v>654</v>
      </c>
      <c r="E60" s="441"/>
      <c r="F60" s="442">
        <v>63500.000000000007</v>
      </c>
      <c r="G60" s="442">
        <f>SUMIF('Core P&amp;L'!$D:$D,'Core Opex Proj.'!$C60,'Core P&amp;L'!BN:BN)</f>
        <v>-15348</v>
      </c>
      <c r="H60" s="442">
        <f>SUMIF('Core P&amp;L'!$D:$D,'Core Opex Proj.'!$C60,'Core P&amp;L'!AJ:AJ)</f>
        <v>17154</v>
      </c>
      <c r="I60" s="442">
        <f>SUMIF('Core P&amp;L'!$D:$D,'Core Opex Proj.'!$C60,'Core P&amp;L'!T:T)</f>
        <v>168200</v>
      </c>
      <c r="J60" s="445">
        <f t="shared" ref="J60" si="19">I60*(1+J$1)</f>
        <v>176610</v>
      </c>
      <c r="K60" s="445">
        <f t="shared" ref="K60" si="20">J60*(1+K$1)</f>
        <v>185440.5</v>
      </c>
      <c r="L60" s="445">
        <f t="shared" ref="L60" si="21">K60*(1+L$1)</f>
        <v>194712.52499999999</v>
      </c>
      <c r="M60" s="445">
        <f t="shared" ref="M60" si="22">L60*(1+M$1)</f>
        <v>204448.15125</v>
      </c>
      <c r="N60" s="445">
        <f t="shared" ref="N60" si="23">M60*(1+N$1)</f>
        <v>214670.55881250001</v>
      </c>
      <c r="O60" s="445">
        <f t="shared" ref="O60" si="24">N60*(1+O$1)</f>
        <v>225404.08675312501</v>
      </c>
      <c r="P60" s="445">
        <f t="shared" ref="P60" si="25">O60*(1+P$1)</f>
        <v>236674.29109078128</v>
      </c>
    </row>
    <row r="61" spans="1:16">
      <c r="A61" s="438" t="s">
        <v>329</v>
      </c>
      <c r="B61" s="439" t="s">
        <v>109</v>
      </c>
      <c r="C61" s="440">
        <v>60407000</v>
      </c>
      <c r="D61" s="320" t="s">
        <v>356</v>
      </c>
      <c r="E61" s="444" t="s">
        <v>742</v>
      </c>
      <c r="F61" s="442">
        <v>84679.360000000001</v>
      </c>
      <c r="G61" s="445">
        <f>SUMIF('Core P&amp;L'!$D:$D,'Core Opex Proj.'!$C61,'Core P&amp;L'!BN:BN)</f>
        <v>56729.51</v>
      </c>
      <c r="H61" s="445">
        <f>SUMIF('Core P&amp;L'!$D:$D,'Core Opex Proj.'!$C61,'Core P&amp;L'!AJ:AJ)</f>
        <v>53470.73</v>
      </c>
      <c r="I61" s="445">
        <f>SUMIF('Core P&amp;L'!$D:$D,'Core Opex Proj.'!$C61,'Core P&amp;L'!T:T)</f>
        <v>175900</v>
      </c>
      <c r="J61" s="1807">
        <v>80000</v>
      </c>
      <c r="K61" s="445">
        <f t="shared" ref="J61:P70" si="26">J61*(1+K$1)</f>
        <v>84000</v>
      </c>
      <c r="L61" s="445">
        <f t="shared" si="26"/>
        <v>88200</v>
      </c>
      <c r="M61" s="445">
        <f t="shared" si="26"/>
        <v>92610</v>
      </c>
      <c r="N61" s="445">
        <f t="shared" si="26"/>
        <v>97240.5</v>
      </c>
      <c r="O61" s="445">
        <f t="shared" si="26"/>
        <v>102102.52500000001</v>
      </c>
      <c r="P61" s="445">
        <f t="shared" si="26"/>
        <v>107207.65125000001</v>
      </c>
    </row>
    <row r="62" spans="1:16">
      <c r="A62" s="438" t="s">
        <v>329</v>
      </c>
      <c r="B62" s="439" t="s">
        <v>109</v>
      </c>
      <c r="C62" s="440">
        <v>60408000</v>
      </c>
      <c r="D62" s="320" t="s">
        <v>359</v>
      </c>
      <c r="E62" s="444" t="s">
        <v>742</v>
      </c>
      <c r="F62" s="442">
        <v>421207</v>
      </c>
      <c r="G62" s="445">
        <f>SUMIF('Core P&amp;L'!$D:$D,'Core Opex Proj.'!$C62,'Core P&amp;L'!BN:BN)</f>
        <v>314869</v>
      </c>
      <c r="H62" s="445">
        <f>SUMIF('Core P&amp;L'!$D:$D,'Core Opex Proj.'!$C62,'Core P&amp;L'!AJ:AJ)</f>
        <v>159605</v>
      </c>
      <c r="I62" s="445">
        <f>SUMIF('Core P&amp;L'!$D:$D,'Core Opex Proj.'!$C62,'Core P&amp;L'!T:T)</f>
        <v>159605</v>
      </c>
      <c r="J62" s="445">
        <f t="shared" si="26"/>
        <v>167585.25</v>
      </c>
      <c r="K62" s="445">
        <f t="shared" si="26"/>
        <v>175964.51250000001</v>
      </c>
      <c r="L62" s="445">
        <f t="shared" si="26"/>
        <v>184762.73812500003</v>
      </c>
      <c r="M62" s="445">
        <f t="shared" si="26"/>
        <v>194000.87503125003</v>
      </c>
      <c r="N62" s="445">
        <f t="shared" si="26"/>
        <v>203700.91878281254</v>
      </c>
      <c r="O62" s="445">
        <f t="shared" si="26"/>
        <v>213885.96472195318</v>
      </c>
      <c r="P62" s="445">
        <f t="shared" si="26"/>
        <v>224580.26295805085</v>
      </c>
    </row>
    <row r="63" spans="1:16">
      <c r="A63" s="438" t="s">
        <v>329</v>
      </c>
      <c r="B63" s="439" t="s">
        <v>109</v>
      </c>
      <c r="C63" s="440">
        <v>60409000</v>
      </c>
      <c r="D63" s="320" t="s">
        <v>358</v>
      </c>
      <c r="E63" s="444" t="s">
        <v>742</v>
      </c>
      <c r="F63" s="461">
        <v>824877.4</v>
      </c>
      <c r="G63" s="445">
        <f>SUMIF('Core P&amp;L'!$D:$D,'Core Opex Proj.'!$C63,'Core P&amp;L'!BN:BN)</f>
        <v>21868.71</v>
      </c>
      <c r="H63" s="445">
        <f>SUMIF('Core P&amp;L'!$D:$D,'Core Opex Proj.'!$C63,'Core P&amp;L'!AJ:AJ)</f>
        <v>980216.89</v>
      </c>
      <c r="I63" s="445">
        <f>SUMIF('Core P&amp;L'!$D:$D,'Core Opex Proj.'!$C63,'Core P&amp;L'!T:T)</f>
        <v>565707</v>
      </c>
      <c r="J63" s="445">
        <v>1000000</v>
      </c>
      <c r="K63" s="445"/>
      <c r="L63" s="445"/>
      <c r="M63" s="445"/>
      <c r="N63" s="445"/>
      <c r="O63" s="445"/>
      <c r="P63" s="445"/>
    </row>
    <row r="64" spans="1:16">
      <c r="A64" s="438" t="s">
        <v>329</v>
      </c>
      <c r="B64" s="439" t="s">
        <v>109</v>
      </c>
      <c r="C64" s="440">
        <v>60410000</v>
      </c>
      <c r="D64" s="320" t="s">
        <v>1173</v>
      </c>
      <c r="E64" s="444"/>
      <c r="F64" s="461"/>
      <c r="G64" s="445">
        <f>SUMIF('Core P&amp;L'!$D:$D,'Core Opex Proj.'!$C64,'Core P&amp;L'!BN:BN)</f>
        <v>331833.42</v>
      </c>
      <c r="H64" s="445">
        <f>SUMIF('Core P&amp;L'!$D:$D,'Core Opex Proj.'!$C64,'Core P&amp;L'!AJ:AJ)</f>
        <v>1053483.8700000001</v>
      </c>
      <c r="I64" s="445">
        <f>SUMIF('Core P&amp;L'!$D:$D,'Core Opex Proj.'!$C64,'Core P&amp;L'!T:T)</f>
        <v>1053483.8700000001</v>
      </c>
      <c r="J64" s="559">
        <f>$I$64/'Sales &amp; AnP Forecast'!$M$13*'Sales &amp; AnP Forecast'!N13</f>
        <v>1097846.0003638854</v>
      </c>
      <c r="K64" s="559">
        <f>$I$64/'Sales &amp; AnP Forecast'!$M$13*'Sales &amp; AnP Forecast'!O13</f>
        <v>1339934.4703719183</v>
      </c>
      <c r="L64" s="559">
        <f>$I$64/'Sales &amp; AnP Forecast'!$M$13*'Sales &amp; AnP Forecast'!P13</f>
        <v>1517375.1252222906</v>
      </c>
      <c r="M64" s="559">
        <f>$I$64/'Sales &amp; AnP Forecast'!$M$13*'Sales &amp; AnP Forecast'!Q13</f>
        <v>1618539.6542222258</v>
      </c>
      <c r="N64" s="559">
        <f>$I$64/'Sales &amp; AnP Forecast'!$M$13*'Sales &amp; AnP Forecast'!R13</f>
        <v>1708353.8977531558</v>
      </c>
      <c r="O64" s="559">
        <f>$I$64/'Sales &amp; AnP Forecast'!$M$13*'Sales &amp; AnP Forecast'!S13</f>
        <v>1813739.345353842</v>
      </c>
      <c r="P64" s="559">
        <f>$I$64/'Sales &amp; AnP Forecast'!$M$13*'Sales &amp; AnP Forecast'!T13</f>
        <v>1839358.5884520311</v>
      </c>
    </row>
    <row r="65" spans="1:17">
      <c r="A65" s="438" t="s">
        <v>320</v>
      </c>
      <c r="B65" s="439" t="s">
        <v>109</v>
      </c>
      <c r="C65" s="440">
        <v>60501000</v>
      </c>
      <c r="D65" s="320" t="s">
        <v>321</v>
      </c>
      <c r="E65" s="441" t="s">
        <v>743</v>
      </c>
      <c r="F65" s="442">
        <v>897125.61</v>
      </c>
      <c r="G65" s="442">
        <f>SUMIF('Core P&amp;L'!$D:$D,'Core Opex Proj.'!$C65,'Core P&amp;L'!BN:BN)</f>
        <v>243239.88</v>
      </c>
      <c r="H65" s="442">
        <f>SUMIF('Core P&amp;L'!$D:$D,'Core Opex Proj.'!$C65,'Core P&amp;L'!AJ:AJ)</f>
        <v>617610.77</v>
      </c>
      <c r="I65" s="442">
        <f>SUMIF('Core P&amp;L'!$D:$D,'Core Opex Proj.'!$C65,'Core P&amp;L'!T:T)</f>
        <v>1098875.02</v>
      </c>
      <c r="J65" s="442">
        <f t="shared" ref="J65:P65" si="27">I65*(1+J$1)</f>
        <v>1153818.7710000002</v>
      </c>
      <c r="K65" s="442">
        <f t="shared" si="27"/>
        <v>1211509.7095500003</v>
      </c>
      <c r="L65" s="446">
        <v>600000</v>
      </c>
      <c r="M65" s="442">
        <f t="shared" si="27"/>
        <v>630000</v>
      </c>
      <c r="N65" s="442">
        <f t="shared" si="27"/>
        <v>661500</v>
      </c>
      <c r="O65" s="442">
        <f t="shared" si="27"/>
        <v>694575</v>
      </c>
      <c r="P65" s="442">
        <f t="shared" si="27"/>
        <v>729303.75</v>
      </c>
    </row>
    <row r="66" spans="1:17">
      <c r="A66" s="438" t="s">
        <v>329</v>
      </c>
      <c r="B66" s="439" t="s">
        <v>109</v>
      </c>
      <c r="C66" s="440">
        <v>60502000</v>
      </c>
      <c r="D66" s="320" t="s">
        <v>345</v>
      </c>
      <c r="E66" s="444" t="s">
        <v>742</v>
      </c>
      <c r="F66" s="442">
        <v>291800</v>
      </c>
      <c r="G66" s="445">
        <f>SUMIF('Core P&amp;L'!$D:$D,'Core Opex Proj.'!$C66,'Core P&amp;L'!BN:BN)</f>
        <v>299200</v>
      </c>
      <c r="H66" s="445">
        <f>SUMIF('Core P&amp;L'!$D:$D,'Core Opex Proj.'!$C66,'Core P&amp;L'!AJ:AJ)</f>
        <v>336800</v>
      </c>
      <c r="I66" s="445">
        <f>SUMIF('Core P&amp;L'!$D:$D,'Core Opex Proj.'!$C66,'Core P&amp;L'!T:T)</f>
        <v>336800</v>
      </c>
      <c r="J66" s="445">
        <f t="shared" si="26"/>
        <v>353640</v>
      </c>
      <c r="K66" s="445">
        <f t="shared" si="26"/>
        <v>371322</v>
      </c>
      <c r="L66" s="445">
        <f t="shared" si="26"/>
        <v>389888.10000000003</v>
      </c>
      <c r="M66" s="445">
        <f t="shared" si="26"/>
        <v>409382.50500000006</v>
      </c>
      <c r="N66" s="445">
        <f t="shared" si="26"/>
        <v>429851.6302500001</v>
      </c>
      <c r="O66" s="445">
        <f t="shared" si="26"/>
        <v>451344.21176250011</v>
      </c>
      <c r="P66" s="445">
        <f t="shared" si="26"/>
        <v>473911.42235062516</v>
      </c>
    </row>
    <row r="67" spans="1:17">
      <c r="A67" s="438" t="s">
        <v>614</v>
      </c>
      <c r="B67" s="439" t="s">
        <v>370</v>
      </c>
      <c r="C67" s="440">
        <v>60503000</v>
      </c>
      <c r="D67" s="320" t="s">
        <v>346</v>
      </c>
      <c r="E67" s="444" t="s">
        <v>742</v>
      </c>
      <c r="F67" s="442">
        <v>79732.600000000006</v>
      </c>
      <c r="G67" s="445">
        <f>SUMIF('Core P&amp;L'!$D:$D,'Core Opex Proj.'!$C67,'Core P&amp;L'!BN:BN)</f>
        <v>18450</v>
      </c>
      <c r="H67" s="445">
        <f>SUMIF('Core P&amp;L'!$D:$D,'Core Opex Proj.'!$C67,'Core P&amp;L'!AJ:AJ)</f>
        <v>43955</v>
      </c>
      <c r="I67" s="445">
        <f>SUMIF('Core P&amp;L'!$D:$D,'Core Opex Proj.'!$C67,'Core P&amp;L'!T:T)</f>
        <v>5235816</v>
      </c>
      <c r="J67" s="1807">
        <v>4000000</v>
      </c>
      <c r="K67" s="1807">
        <v>1000000</v>
      </c>
      <c r="L67" s="445">
        <f t="shared" si="26"/>
        <v>1050000</v>
      </c>
      <c r="M67" s="445">
        <f t="shared" si="26"/>
        <v>1102500</v>
      </c>
      <c r="N67" s="445">
        <f t="shared" si="26"/>
        <v>1157625</v>
      </c>
      <c r="O67" s="445">
        <f t="shared" si="26"/>
        <v>1215506.25</v>
      </c>
      <c r="P67" s="445">
        <f t="shared" si="26"/>
        <v>1276281.5625</v>
      </c>
    </row>
    <row r="68" spans="1:17">
      <c r="A68" s="438" t="s">
        <v>615</v>
      </c>
      <c r="B68" s="439" t="s">
        <v>370</v>
      </c>
      <c r="C68" s="440">
        <v>60504000</v>
      </c>
      <c r="D68" s="320" t="s">
        <v>347</v>
      </c>
      <c r="E68" s="444" t="s">
        <v>742</v>
      </c>
      <c r="F68" s="442">
        <v>96225</v>
      </c>
      <c r="G68" s="445">
        <f>SUMIF('Core P&amp;L'!$D:$D,'Core Opex Proj.'!$C68,'Core P&amp;L'!BN:BN)</f>
        <v>-699619</v>
      </c>
      <c r="H68" s="445">
        <f>SUMIF('Core P&amp;L'!$D:$D,'Core Opex Proj.'!$C68,'Core P&amp;L'!AJ:AJ)</f>
        <v>51900</v>
      </c>
      <c r="I68" s="445">
        <f>SUMIF('Core P&amp;L'!$D:$D,'Core Opex Proj.'!$C68,'Core P&amp;L'!T:T)</f>
        <v>3025000</v>
      </c>
      <c r="J68" s="1807">
        <f t="shared" si="26"/>
        <v>3176250</v>
      </c>
      <c r="K68" s="1807">
        <f t="shared" si="26"/>
        <v>3335062.5</v>
      </c>
      <c r="L68" s="1807">
        <v>500000</v>
      </c>
      <c r="M68" s="445">
        <f t="shared" si="26"/>
        <v>525000</v>
      </c>
      <c r="N68" s="445">
        <f t="shared" si="26"/>
        <v>551250</v>
      </c>
      <c r="O68" s="445">
        <f t="shared" si="26"/>
        <v>578812.5</v>
      </c>
      <c r="P68" s="445">
        <f t="shared" si="26"/>
        <v>607753.125</v>
      </c>
    </row>
    <row r="69" spans="1:17">
      <c r="A69" s="438" t="s">
        <v>616</v>
      </c>
      <c r="B69" s="439" t="s">
        <v>370</v>
      </c>
      <c r="C69" s="440">
        <v>60505000</v>
      </c>
      <c r="D69" s="320" t="s">
        <v>354</v>
      </c>
      <c r="E69" s="441" t="s">
        <v>746</v>
      </c>
      <c r="F69" s="461">
        <v>671194.65</v>
      </c>
      <c r="G69" s="442">
        <f>SUMIF('Core P&amp;L'!$D:$D,'Core Opex Proj.'!$C69,'Core P&amp;L'!BN:BN)</f>
        <v>1840085.28</v>
      </c>
      <c r="H69" s="442">
        <f>SUMIF('Core P&amp;L'!$D:$D,'Core Opex Proj.'!$C69,'Core P&amp;L'!AJ:AJ)</f>
        <v>687182.52999999991</v>
      </c>
      <c r="I69" s="442">
        <f>SUMIF('Core P&amp;L'!$D:$D,'Core Opex Proj.'!$C69,'Core P&amp;L'!T:T)</f>
        <v>5181367.59</v>
      </c>
      <c r="J69" s="1807">
        <v>3000000</v>
      </c>
      <c r="K69" s="1807">
        <v>2500000</v>
      </c>
      <c r="L69" s="445">
        <f t="shared" ref="L69" si="28">K69*(1+L$1)</f>
        <v>2625000</v>
      </c>
      <c r="M69" s="445">
        <f t="shared" ref="M69" si="29">L69*(1+M$1)</f>
        <v>2756250</v>
      </c>
      <c r="N69" s="445">
        <f t="shared" ref="N69" si="30">M69*(1+N$1)</f>
        <v>2894062.5</v>
      </c>
      <c r="O69" s="445">
        <f t="shared" ref="O69" si="31">N69*(1+O$1)</f>
        <v>3038765.625</v>
      </c>
      <c r="P69" s="445">
        <f t="shared" ref="P69" si="32">O69*(1+P$1)</f>
        <v>3190703.90625</v>
      </c>
    </row>
    <row r="70" spans="1:17" outlineLevel="1">
      <c r="A70" s="438" t="s">
        <v>329</v>
      </c>
      <c r="B70" s="439" t="s">
        <v>109</v>
      </c>
      <c r="C70" s="440">
        <v>60506000</v>
      </c>
      <c r="D70" s="320" t="s">
        <v>355</v>
      </c>
      <c r="E70" s="444" t="s">
        <v>742</v>
      </c>
      <c r="F70" s="442">
        <v>0</v>
      </c>
      <c r="G70" s="445">
        <f>SUMIF('Core P&amp;L'!$D:$D,'Core Opex Proj.'!$C70,'Core P&amp;L'!BN:BN)</f>
        <v>0</v>
      </c>
      <c r="H70" s="445">
        <f>SUMIF('Core P&amp;L'!$D:$D,'Core Opex Proj.'!$C70,'Core P&amp;L'!AJ:AJ)</f>
        <v>0</v>
      </c>
      <c r="I70" s="445">
        <f>SUMIF('Core P&amp;L'!$D:$D,'Core Opex Proj.'!$C70,'Core P&amp;L'!T:T)</f>
        <v>0</v>
      </c>
      <c r="J70" s="445">
        <f t="shared" si="26"/>
        <v>0</v>
      </c>
      <c r="K70" s="445">
        <f t="shared" si="26"/>
        <v>0</v>
      </c>
      <c r="L70" s="445">
        <f t="shared" si="26"/>
        <v>0</v>
      </c>
      <c r="M70" s="445">
        <f t="shared" si="26"/>
        <v>0</v>
      </c>
      <c r="N70" s="445">
        <f t="shared" si="26"/>
        <v>0</v>
      </c>
      <c r="O70" s="445">
        <f t="shared" si="26"/>
        <v>0</v>
      </c>
      <c r="P70" s="445">
        <f t="shared" si="26"/>
        <v>0</v>
      </c>
    </row>
    <row r="71" spans="1:17" outlineLevel="1">
      <c r="A71" s="438" t="s">
        <v>329</v>
      </c>
      <c r="B71" s="439" t="s">
        <v>1315</v>
      </c>
      <c r="C71" s="440">
        <v>60601000</v>
      </c>
      <c r="D71" s="320" t="s">
        <v>655</v>
      </c>
      <c r="E71" s="444" t="s">
        <v>742</v>
      </c>
      <c r="F71" s="442">
        <v>0</v>
      </c>
      <c r="G71" s="445">
        <f>SUMIF('Core P&amp;L'!$D:$D,'Core Opex Proj.'!$C71,'Core P&amp;L'!BN:BN)</f>
        <v>15</v>
      </c>
      <c r="H71" s="445">
        <f>SUMIF('Core P&amp;L'!$D:$D,'Core Opex Proj.'!$C71,'Core P&amp;L'!AJ:AJ)</f>
        <v>0</v>
      </c>
      <c r="I71" s="445">
        <f>SUMIF('Core P&amp;L'!$D:$D,'Core Opex Proj.'!$C71,'Core P&amp;L'!T:T)</f>
        <v>11163722.732315069</v>
      </c>
      <c r="J71" s="1807">
        <f>-('Cashflow forecast'!Q66+'Cashflow forecast'!Q69+'Cashflow forecast'!Q72+'Cashflow forecast'!Q75+'Cashflow forecast'!Q78)</f>
        <v>14281796.571352741</v>
      </c>
      <c r="K71" s="1807">
        <f>-('Cashflow forecast'!R66+'Cashflow forecast'!R69+'Cashflow forecast'!R72+'Cashflow forecast'!R75+'Cashflow forecast'!R78)</f>
        <v>7846421.4940068489</v>
      </c>
      <c r="L71" s="1807">
        <f>-('Cashflow forecast'!S66+'Cashflow forecast'!S69+'Cashflow forecast'!S72+'Cashflow forecast'!S75+'Cashflow forecast'!S78)</f>
        <v>1486239.6041609589</v>
      </c>
      <c r="M71" s="1807">
        <f>-('Cashflow forecast'!T66+'Cashflow forecast'!T69+'Cashflow forecast'!T72+'Cashflow forecast'!T75+'Cashflow forecast'!T78)</f>
        <v>97224.322191780826</v>
      </c>
      <c r="N71" s="1807">
        <f>-('Cashflow forecast'!U66+'Cashflow forecast'!U69+'Cashflow forecast'!U72+'Cashflow forecast'!U75+'Cashflow forecast'!U78)</f>
        <v>14767.683287671234</v>
      </c>
      <c r="O71" s="1807">
        <f>-('Cashflow forecast'!V66+'Cashflow forecast'!V69+'Cashflow forecast'!V72+'Cashflow forecast'!V75+'Cashflow forecast'!V78)</f>
        <v>0</v>
      </c>
      <c r="P71" s="1807">
        <f>-('Cashflow forecast'!W66+'Cashflow forecast'!W69+'Cashflow forecast'!W72+'Cashflow forecast'!W75+'Cashflow forecast'!W78)</f>
        <v>0</v>
      </c>
    </row>
    <row r="72" spans="1:17">
      <c r="A72" s="438" t="s">
        <v>617</v>
      </c>
      <c r="B72" s="439" t="s">
        <v>326</v>
      </c>
      <c r="C72" s="440">
        <v>61012000</v>
      </c>
      <c r="D72" s="320" t="s">
        <v>656</v>
      </c>
      <c r="E72" s="444" t="s">
        <v>742</v>
      </c>
      <c r="F72" s="442">
        <v>44.400000000000006</v>
      </c>
      <c r="G72" s="445">
        <f>SUMIF('Core P&amp;L'!$D:$D,'Core Opex Proj.'!$C72,'Core P&amp;L'!BN:BN)</f>
        <v>44.400000000000006</v>
      </c>
      <c r="H72" s="445">
        <f>SUMIF('Core P&amp;L'!$D:$D,'Core Opex Proj.'!$C72,'Core P&amp;L'!AJ:AJ)</f>
        <v>44.399999999254945</v>
      </c>
      <c r="I72" s="445">
        <f>SUMIF('Core P&amp;L'!$D:$D,'Core Opex Proj.'!$C72,'Core P&amp;L'!T:T)</f>
        <v>0</v>
      </c>
      <c r="J72" s="445">
        <f>I72</f>
        <v>0</v>
      </c>
      <c r="K72" s="445">
        <f t="shared" ref="K72:P72" si="33">J72</f>
        <v>0</v>
      </c>
      <c r="L72" s="445">
        <f t="shared" si="33"/>
        <v>0</v>
      </c>
      <c r="M72" s="445">
        <f t="shared" si="33"/>
        <v>0</v>
      </c>
      <c r="N72" s="445">
        <f t="shared" si="33"/>
        <v>0</v>
      </c>
      <c r="O72" s="445">
        <f t="shared" si="33"/>
        <v>0</v>
      </c>
      <c r="P72" s="445">
        <f t="shared" si="33"/>
        <v>0</v>
      </c>
    </row>
    <row r="73" spans="1:17" outlineLevel="1">
      <c r="A73" s="438" t="s">
        <v>617</v>
      </c>
      <c r="B73" s="439" t="s">
        <v>326</v>
      </c>
      <c r="C73" s="440">
        <v>61013100</v>
      </c>
      <c r="D73" s="320" t="s">
        <v>657</v>
      </c>
      <c r="E73" s="444" t="s">
        <v>742</v>
      </c>
      <c r="F73" s="442">
        <v>0</v>
      </c>
      <c r="G73" s="445">
        <f>SUMIF('Core P&amp;L'!$D:$D,'Core Opex Proj.'!$C73,'Core P&amp;L'!BN:BN)</f>
        <v>0</v>
      </c>
      <c r="H73" s="445">
        <f>SUMIF('Core P&amp;L'!$D:$D,'Core Opex Proj.'!$C73,'Core P&amp;L'!AJ:AJ)</f>
        <v>0</v>
      </c>
      <c r="I73" s="445">
        <f>SUMIF('Core P&amp;L'!$D:$D,'Core Opex Proj.'!$C73,'Core P&amp;L'!T:T)</f>
        <v>15354177.84</v>
      </c>
      <c r="J73" s="445">
        <f>I73</f>
        <v>15354177.84</v>
      </c>
      <c r="K73" s="445">
        <f t="shared" ref="K73:P73" si="34">J73</f>
        <v>15354177.84</v>
      </c>
      <c r="L73" s="445">
        <f t="shared" si="34"/>
        <v>15354177.84</v>
      </c>
      <c r="M73" s="445">
        <f t="shared" si="34"/>
        <v>15354177.84</v>
      </c>
      <c r="N73" s="445">
        <f t="shared" si="34"/>
        <v>15354177.84</v>
      </c>
      <c r="O73" s="445">
        <f t="shared" si="34"/>
        <v>15354177.84</v>
      </c>
      <c r="P73" s="445">
        <f t="shared" si="34"/>
        <v>15354177.84</v>
      </c>
    </row>
    <row r="74" spans="1:17">
      <c r="A74" s="438" t="s">
        <v>617</v>
      </c>
      <c r="B74" s="439" t="s">
        <v>326</v>
      </c>
      <c r="C74" s="440">
        <v>61013200</v>
      </c>
      <c r="D74" s="320" t="s">
        <v>658</v>
      </c>
      <c r="E74" s="444" t="s">
        <v>742</v>
      </c>
      <c r="F74" s="442">
        <v>1965714.2599999998</v>
      </c>
      <c r="G74" s="713">
        <f>SUMIF('Core P&amp;L'!$D:$D,'Core Opex Proj.'!$C74,'Core P&amp;L'!BN:BN)</f>
        <v>2240790.3800000004</v>
      </c>
      <c r="H74" s="445">
        <f>SUMIF('Core P&amp;L'!$D:$D,'Core Opex Proj.'!$C74,'Core P&amp;L'!AJ:AJ)</f>
        <v>2251281.3600000003</v>
      </c>
      <c r="I74" s="445">
        <f>SUMIF('Core P&amp;L'!$D:$D,'Core Opex Proj.'!$C74,'Core P&amp;L'!T:T)</f>
        <v>2246258.5599999996</v>
      </c>
      <c r="J74" s="445">
        <f t="shared" ref="J74:P74" si="35">I74</f>
        <v>2246258.5599999996</v>
      </c>
      <c r="K74" s="445">
        <f t="shared" si="35"/>
        <v>2246258.5599999996</v>
      </c>
      <c r="L74" s="445">
        <f t="shared" si="35"/>
        <v>2246258.5599999996</v>
      </c>
      <c r="M74" s="445">
        <f t="shared" si="35"/>
        <v>2246258.5599999996</v>
      </c>
      <c r="N74" s="445">
        <f t="shared" si="35"/>
        <v>2246258.5599999996</v>
      </c>
      <c r="O74" s="445">
        <f t="shared" si="35"/>
        <v>2246258.5599999996</v>
      </c>
      <c r="P74" s="445">
        <f t="shared" si="35"/>
        <v>2246258.5599999996</v>
      </c>
      <c r="Q74" s="1128"/>
    </row>
    <row r="75" spans="1:17">
      <c r="A75" s="438" t="s">
        <v>617</v>
      </c>
      <c r="B75" s="439" t="s">
        <v>326</v>
      </c>
      <c r="C75" s="440">
        <v>61013300</v>
      </c>
      <c r="D75" s="320" t="s">
        <v>659</v>
      </c>
      <c r="E75" s="444" t="s">
        <v>742</v>
      </c>
      <c r="F75" s="442">
        <v>2279381.4</v>
      </c>
      <c r="G75" s="445">
        <f>SUMIF('Core P&amp;L'!$D:$D,'Core Opex Proj.'!$C75,'Core P&amp;L'!BN:BN)</f>
        <v>2285444.6933333334</v>
      </c>
      <c r="H75" s="445">
        <f>SUMIF('Core P&amp;L'!$D:$D,'Core Opex Proj.'!$C75,'Core P&amp;L'!AJ:AJ)</f>
        <v>2334914.17</v>
      </c>
      <c r="I75" s="445">
        <f>SUMIF('Core P&amp;L'!$D:$D,'Core Opex Proj.'!$C75,'Core P&amp;L'!T:T)</f>
        <v>2473697.0099999998</v>
      </c>
      <c r="J75" s="445">
        <f t="shared" ref="J75:P75" si="36">I75</f>
        <v>2473697.0099999998</v>
      </c>
      <c r="K75" s="445">
        <f t="shared" si="36"/>
        <v>2473697.0099999998</v>
      </c>
      <c r="L75" s="445">
        <f t="shared" si="36"/>
        <v>2473697.0099999998</v>
      </c>
      <c r="M75" s="445">
        <f t="shared" si="36"/>
        <v>2473697.0099999998</v>
      </c>
      <c r="N75" s="445">
        <f t="shared" si="36"/>
        <v>2473697.0099999998</v>
      </c>
      <c r="O75" s="445">
        <f t="shared" si="36"/>
        <v>2473697.0099999998</v>
      </c>
      <c r="P75" s="445">
        <f t="shared" si="36"/>
        <v>2473697.0099999998</v>
      </c>
    </row>
    <row r="76" spans="1:17">
      <c r="A76" s="438" t="s">
        <v>617</v>
      </c>
      <c r="B76" s="439" t="s">
        <v>326</v>
      </c>
      <c r="C76" s="440">
        <v>61013400</v>
      </c>
      <c r="D76" s="320" t="s">
        <v>660</v>
      </c>
      <c r="E76" s="444" t="s">
        <v>742</v>
      </c>
      <c r="F76" s="442">
        <v>5003044.2200000007</v>
      </c>
      <c r="G76" s="445">
        <f>SUMIF('Core P&amp;L'!$D:$D,'Core Opex Proj.'!$C76,'Core P&amp;L'!BN:BN)</f>
        <v>4965875.5</v>
      </c>
      <c r="H76" s="445">
        <f>SUMIF('Core P&amp;L'!$D:$D,'Core Opex Proj.'!$C76,'Core P&amp;L'!AJ:AJ)</f>
        <v>4547849.47</v>
      </c>
      <c r="I76" s="445">
        <f>SUMIF('Core P&amp;L'!$D:$D,'Core Opex Proj.'!$C76,'Core P&amp;L'!T:T)</f>
        <v>4297798.8000000007</v>
      </c>
      <c r="J76" s="445">
        <f>I76</f>
        <v>4297798.8000000007</v>
      </c>
      <c r="K76" s="445">
        <f t="shared" ref="K76:P76" si="37">J76</f>
        <v>4297798.8000000007</v>
      </c>
      <c r="L76" s="445">
        <f t="shared" si="37"/>
        <v>4297798.8000000007</v>
      </c>
      <c r="M76" s="445">
        <f t="shared" si="37"/>
        <v>4297798.8000000007</v>
      </c>
      <c r="N76" s="445">
        <f t="shared" si="37"/>
        <v>4297798.8000000007</v>
      </c>
      <c r="O76" s="445">
        <f t="shared" si="37"/>
        <v>4297798.8000000007</v>
      </c>
      <c r="P76" s="445">
        <f t="shared" si="37"/>
        <v>4297798.8000000007</v>
      </c>
    </row>
    <row r="77" spans="1:17">
      <c r="A77" s="438" t="s">
        <v>617</v>
      </c>
      <c r="B77" s="439" t="s">
        <v>326</v>
      </c>
      <c r="C77" s="440">
        <v>61013500</v>
      </c>
      <c r="D77" s="320" t="s">
        <v>661</v>
      </c>
      <c r="E77" s="444" t="s">
        <v>742</v>
      </c>
      <c r="F77" s="442">
        <v>159981.33000000002</v>
      </c>
      <c r="G77" s="445">
        <f>SUMIF('Core P&amp;L'!$D:$D,'Core Opex Proj.'!$C77,'Core P&amp;L'!BN:BN)</f>
        <v>191977.60000000003</v>
      </c>
      <c r="H77" s="445">
        <f>SUMIF('Core P&amp;L'!$D:$D,'Core Opex Proj.'!$C77,'Core P&amp;L'!AJ:AJ)</f>
        <v>233270.12999999998</v>
      </c>
      <c r="I77" s="445">
        <f>SUMIF('Core P&amp;L'!$D:$D,'Core Opex Proj.'!$C77,'Core P&amp;L'!T:T)</f>
        <v>315855.27999999997</v>
      </c>
      <c r="J77" s="445">
        <f t="shared" ref="J77:P77" si="38">I77</f>
        <v>315855.27999999997</v>
      </c>
      <c r="K77" s="445">
        <f t="shared" si="38"/>
        <v>315855.27999999997</v>
      </c>
      <c r="L77" s="445">
        <f t="shared" si="38"/>
        <v>315855.27999999997</v>
      </c>
      <c r="M77" s="445">
        <f t="shared" si="38"/>
        <v>315855.27999999997</v>
      </c>
      <c r="N77" s="445">
        <f t="shared" si="38"/>
        <v>315855.27999999997</v>
      </c>
      <c r="O77" s="445">
        <f t="shared" si="38"/>
        <v>315855.27999999997</v>
      </c>
      <c r="P77" s="445">
        <f t="shared" si="38"/>
        <v>315855.27999999997</v>
      </c>
    </row>
    <row r="78" spans="1:17" outlineLevel="1">
      <c r="A78" s="438" t="s">
        <v>617</v>
      </c>
      <c r="B78" s="439" t="s">
        <v>326</v>
      </c>
      <c r="C78" s="440">
        <v>61024000</v>
      </c>
      <c r="D78" s="320" t="s">
        <v>662</v>
      </c>
      <c r="E78" s="441"/>
      <c r="F78" s="442">
        <v>0</v>
      </c>
      <c r="G78" s="442">
        <f>SUMIF('Core P&amp;L'!$D:$D,'Core Opex Proj.'!$C78,'Core P&amp;L'!BN:BN)</f>
        <v>0</v>
      </c>
      <c r="H78" s="442">
        <f>SUMIF('Core P&amp;L'!$D:$D,'Core Opex Proj.'!$C78,'Core P&amp;L'!AJ:AJ)</f>
        <v>0</v>
      </c>
      <c r="I78" s="442">
        <f>SUMIF('Core P&amp;L'!$D:$D,'Core Opex Proj.'!$C78,'Core P&amp;L'!T:T)</f>
        <v>0</v>
      </c>
      <c r="J78" s="442"/>
      <c r="K78" s="442"/>
      <c r="L78" s="442"/>
      <c r="M78" s="442"/>
      <c r="N78" s="442"/>
      <c r="O78" s="442"/>
      <c r="P78" s="442"/>
    </row>
    <row r="79" spans="1:17" outlineLevel="1">
      <c r="A79" s="438" t="s">
        <v>617</v>
      </c>
      <c r="B79" s="439" t="s">
        <v>326</v>
      </c>
      <c r="C79" s="440">
        <v>61032000</v>
      </c>
      <c r="D79" s="320" t="s">
        <v>663</v>
      </c>
      <c r="E79" s="441"/>
      <c r="F79" s="442">
        <v>0</v>
      </c>
      <c r="G79" s="442">
        <f>SUMIF('Core P&amp;L'!$D:$D,'Core Opex Proj.'!$C79,'Core P&amp;L'!BN:BN)</f>
        <v>0</v>
      </c>
      <c r="H79" s="442">
        <f>SUMIF('Core P&amp;L'!$D:$D,'Core Opex Proj.'!$C79,'Core P&amp;L'!AJ:AJ)</f>
        <v>0</v>
      </c>
      <c r="I79" s="442">
        <f>SUMIF('Core P&amp;L'!$D:$D,'Core Opex Proj.'!$C79,'Core P&amp;L'!T:T)</f>
        <v>0</v>
      </c>
      <c r="J79" s="442"/>
      <c r="K79" s="442"/>
      <c r="L79" s="442"/>
      <c r="M79" s="442"/>
      <c r="N79" s="442"/>
      <c r="O79" s="442"/>
      <c r="P79" s="442"/>
    </row>
    <row r="80" spans="1:17" outlineLevel="1">
      <c r="A80" s="438" t="s">
        <v>617</v>
      </c>
      <c r="B80" s="439" t="s">
        <v>326</v>
      </c>
      <c r="C80" s="440">
        <v>61033100</v>
      </c>
      <c r="D80" s="320" t="s">
        <v>664</v>
      </c>
      <c r="E80" s="441"/>
      <c r="F80" s="442">
        <v>0</v>
      </c>
      <c r="G80" s="442">
        <f>SUMIF('Core P&amp;L'!$D:$D,'Core Opex Proj.'!$C80,'Core P&amp;L'!BN:BN)</f>
        <v>0</v>
      </c>
      <c r="H80" s="442">
        <f>SUMIF('Core P&amp;L'!$D:$D,'Core Opex Proj.'!$C80,'Core P&amp;L'!AJ:AJ)</f>
        <v>0</v>
      </c>
      <c r="I80" s="442">
        <f>SUMIF('Core P&amp;L'!$D:$D,'Core Opex Proj.'!$C80,'Core P&amp;L'!T:T)</f>
        <v>0</v>
      </c>
      <c r="J80" s="442"/>
      <c r="K80" s="442"/>
      <c r="L80" s="442"/>
      <c r="M80" s="442"/>
      <c r="N80" s="442"/>
      <c r="O80" s="442"/>
      <c r="P80" s="442"/>
    </row>
    <row r="81" spans="1:16" outlineLevel="1">
      <c r="A81" s="438" t="s">
        <v>617</v>
      </c>
      <c r="B81" s="439" t="s">
        <v>326</v>
      </c>
      <c r="C81" s="440">
        <v>61033200</v>
      </c>
      <c r="D81" s="320" t="s">
        <v>665</v>
      </c>
      <c r="E81" s="441"/>
      <c r="F81" s="442">
        <v>0</v>
      </c>
      <c r="G81" s="442">
        <f>SUMIF('Core P&amp;L'!$D:$D,'Core Opex Proj.'!$C81,'Core P&amp;L'!BN:BN)</f>
        <v>0</v>
      </c>
      <c r="H81" s="442">
        <f>SUMIF('Core P&amp;L'!$D:$D,'Core Opex Proj.'!$C81,'Core P&amp;L'!AJ:AJ)</f>
        <v>0</v>
      </c>
      <c r="I81" s="442">
        <f>SUMIF('Core P&amp;L'!$D:$D,'Core Opex Proj.'!$C81,'Core P&amp;L'!T:T)</f>
        <v>0</v>
      </c>
      <c r="J81" s="442"/>
      <c r="K81" s="442"/>
      <c r="L81" s="442"/>
      <c r="M81" s="442"/>
      <c r="N81" s="442"/>
      <c r="O81" s="442"/>
      <c r="P81" s="442"/>
    </row>
    <row r="82" spans="1:16" outlineLevel="1">
      <c r="A82" s="438" t="s">
        <v>617</v>
      </c>
      <c r="B82" s="439" t="s">
        <v>326</v>
      </c>
      <c r="C82" s="440">
        <v>61033300</v>
      </c>
      <c r="D82" s="320" t="s">
        <v>666</v>
      </c>
      <c r="E82" s="441"/>
      <c r="F82" s="442">
        <v>0</v>
      </c>
      <c r="G82" s="442">
        <f>SUMIF('Core P&amp;L'!$D:$D,'Core Opex Proj.'!$C82,'Core P&amp;L'!BN:BN)</f>
        <v>0</v>
      </c>
      <c r="H82" s="442">
        <f>SUMIF('Core P&amp;L'!$D:$D,'Core Opex Proj.'!$C82,'Core P&amp;L'!AJ:AJ)</f>
        <v>0</v>
      </c>
      <c r="I82" s="442">
        <f>SUMIF('Core P&amp;L'!$D:$D,'Core Opex Proj.'!$C82,'Core P&amp;L'!T:T)</f>
        <v>0</v>
      </c>
      <c r="J82" s="442"/>
      <c r="K82" s="442"/>
      <c r="L82" s="442"/>
      <c r="M82" s="442"/>
      <c r="N82" s="442"/>
      <c r="O82" s="442"/>
      <c r="P82" s="442"/>
    </row>
    <row r="83" spans="1:16" outlineLevel="1">
      <c r="A83" s="438" t="s">
        <v>617</v>
      </c>
      <c r="B83" s="439" t="s">
        <v>326</v>
      </c>
      <c r="C83" s="440">
        <v>61033400</v>
      </c>
      <c r="D83" s="320" t="s">
        <v>667</v>
      </c>
      <c r="E83" s="441"/>
      <c r="F83" s="442">
        <v>0</v>
      </c>
      <c r="G83" s="442">
        <f>SUMIF('Core P&amp;L'!$D:$D,'Core Opex Proj.'!$C83,'Core P&amp;L'!BN:BN)</f>
        <v>0</v>
      </c>
      <c r="H83" s="442">
        <f>SUMIF('Core P&amp;L'!$D:$D,'Core Opex Proj.'!$C83,'Core P&amp;L'!AJ:AJ)</f>
        <v>0</v>
      </c>
      <c r="I83" s="442">
        <f>SUMIF('Core P&amp;L'!$D:$D,'Core Opex Proj.'!$C83,'Core P&amp;L'!T:T)</f>
        <v>0</v>
      </c>
      <c r="J83" s="442"/>
      <c r="K83" s="442"/>
      <c r="L83" s="442"/>
      <c r="M83" s="442"/>
      <c r="N83" s="442"/>
      <c r="O83" s="442"/>
      <c r="P83" s="442"/>
    </row>
    <row r="84" spans="1:16" outlineLevel="1">
      <c r="A84" s="438" t="s">
        <v>617</v>
      </c>
      <c r="B84" s="439" t="s">
        <v>326</v>
      </c>
      <c r="C84" s="440">
        <v>61033500</v>
      </c>
      <c r="D84" s="320" t="s">
        <v>668</v>
      </c>
      <c r="E84" s="441"/>
      <c r="F84" s="442">
        <v>0</v>
      </c>
      <c r="G84" s="442">
        <f>SUMIF('Core P&amp;L'!$D:$D,'Core Opex Proj.'!$C84,'Core P&amp;L'!BN:BN)</f>
        <v>0</v>
      </c>
      <c r="H84" s="442">
        <f>SUMIF('Core P&amp;L'!$D:$D,'Core Opex Proj.'!$C84,'Core P&amp;L'!AJ:AJ)</f>
        <v>0</v>
      </c>
      <c r="I84" s="442">
        <f>SUMIF('Core P&amp;L'!$D:$D,'Core Opex Proj.'!$C84,'Core P&amp;L'!T:T)</f>
        <v>0</v>
      </c>
      <c r="J84" s="442"/>
      <c r="K84" s="442"/>
      <c r="L84" s="442"/>
      <c r="M84" s="442"/>
      <c r="N84" s="442"/>
      <c r="O84" s="442"/>
      <c r="P84" s="442"/>
    </row>
    <row r="85" spans="1:16" outlineLevel="1">
      <c r="A85" s="438" t="s">
        <v>617</v>
      </c>
      <c r="B85" s="439" t="s">
        <v>326</v>
      </c>
      <c r="C85" s="440">
        <v>61034000</v>
      </c>
      <c r="D85" s="320" t="s">
        <v>669</v>
      </c>
      <c r="E85" s="441"/>
      <c r="F85" s="442">
        <v>0</v>
      </c>
      <c r="G85" s="442">
        <f>SUMIF('Core P&amp;L'!$D:$D,'Core Opex Proj.'!$C85,'Core P&amp;L'!BN:BN)</f>
        <v>0</v>
      </c>
      <c r="H85" s="442">
        <f>SUMIF('Core P&amp;L'!$D:$D,'Core Opex Proj.'!$C85,'Core P&amp;L'!AJ:AJ)</f>
        <v>0</v>
      </c>
      <c r="I85" s="442">
        <f>SUMIF('Core P&amp;L'!$D:$D,'Core Opex Proj.'!$C85,'Core P&amp;L'!T:T)</f>
        <v>0</v>
      </c>
      <c r="J85" s="442"/>
      <c r="K85" s="442"/>
      <c r="L85" s="442"/>
      <c r="M85" s="442"/>
      <c r="N85" s="442"/>
      <c r="O85" s="442"/>
      <c r="P85" s="442"/>
    </row>
    <row r="86" spans="1:16" outlineLevel="1">
      <c r="A86" s="438" t="s">
        <v>617</v>
      </c>
      <c r="B86" s="439" t="s">
        <v>326</v>
      </c>
      <c r="C86" s="440">
        <v>61070000</v>
      </c>
      <c r="D86" s="320" t="s">
        <v>670</v>
      </c>
      <c r="E86" s="441"/>
      <c r="F86" s="442">
        <v>0</v>
      </c>
      <c r="G86" s="442">
        <f>SUMIF('Core P&amp;L'!$D:$D,'Core Opex Proj.'!$C86,'Core P&amp;L'!BN:BN)</f>
        <v>0</v>
      </c>
      <c r="H86" s="442">
        <f>SUMIF('Core P&amp;L'!$D:$D,'Core Opex Proj.'!$C86,'Core P&amp;L'!AJ:AJ)</f>
        <v>0</v>
      </c>
      <c r="I86" s="442">
        <f>SUMIF('Core P&amp;L'!$D:$D,'Core Opex Proj.'!$C86,'Core P&amp;L'!T:T)</f>
        <v>0</v>
      </c>
      <c r="J86" s="442"/>
      <c r="K86" s="442"/>
      <c r="L86" s="442"/>
      <c r="M86" s="442"/>
      <c r="N86" s="442"/>
      <c r="O86" s="442"/>
      <c r="P86" s="442"/>
    </row>
    <row r="87" spans="1:16" outlineLevel="1">
      <c r="A87" s="438" t="s">
        <v>617</v>
      </c>
      <c r="B87" s="439" t="s">
        <v>326</v>
      </c>
      <c r="C87" s="440">
        <v>61080000</v>
      </c>
      <c r="D87" s="320" t="s">
        <v>671</v>
      </c>
      <c r="E87" s="441"/>
      <c r="F87" s="442">
        <v>0</v>
      </c>
      <c r="G87" s="442">
        <f>SUMIF('Core P&amp;L'!$D:$D,'Core Opex Proj.'!$C87,'Core P&amp;L'!BN:BN)</f>
        <v>0</v>
      </c>
      <c r="H87" s="442">
        <f>SUMIF('Core P&amp;L'!$D:$D,'Core Opex Proj.'!$C87,'Core P&amp;L'!AJ:AJ)</f>
        <v>0</v>
      </c>
      <c r="I87" s="442">
        <f>SUMIF('Core P&amp;L'!$D:$D,'Core Opex Proj.'!$C87,'Core P&amp;L'!T:T)</f>
        <v>0</v>
      </c>
      <c r="J87" s="442"/>
      <c r="K87" s="442"/>
      <c r="L87" s="442"/>
      <c r="M87" s="442"/>
      <c r="N87" s="442"/>
      <c r="O87" s="442"/>
      <c r="P87" s="442"/>
    </row>
    <row r="88" spans="1:16" outlineLevel="1">
      <c r="A88" s="438" t="s">
        <v>617</v>
      </c>
      <c r="B88" s="439" t="s">
        <v>326</v>
      </c>
      <c r="C88" s="440">
        <v>61400000</v>
      </c>
      <c r="D88" s="320" t="s">
        <v>672</v>
      </c>
      <c r="E88" s="441"/>
      <c r="F88" s="442">
        <v>0</v>
      </c>
      <c r="G88" s="442">
        <f>SUMIF('Core P&amp;L'!$D:$D,'Core Opex Proj.'!$C88,'Core P&amp;L'!BN:BN)</f>
        <v>0</v>
      </c>
      <c r="H88" s="442">
        <f>SUMIF('Core P&amp;L'!$D:$D,'Core Opex Proj.'!$C88,'Core P&amp;L'!AJ:AJ)</f>
        <v>0</v>
      </c>
      <c r="I88" s="442">
        <f>SUMIF('Core P&amp;L'!$D:$D,'Core Opex Proj.'!$C88,'Core P&amp;L'!T:T)</f>
        <v>0</v>
      </c>
      <c r="J88" s="442"/>
      <c r="K88" s="442"/>
      <c r="L88" s="442"/>
      <c r="M88" s="442"/>
      <c r="N88" s="442"/>
      <c r="O88" s="442"/>
      <c r="P88" s="442"/>
    </row>
    <row r="89" spans="1:16" outlineLevel="1">
      <c r="A89" s="438" t="s">
        <v>617</v>
      </c>
      <c r="B89" s="439" t="s">
        <v>326</v>
      </c>
      <c r="C89" s="440">
        <v>61410000</v>
      </c>
      <c r="D89" s="320" t="s">
        <v>673</v>
      </c>
      <c r="E89" s="441"/>
      <c r="F89" s="442">
        <v>-23463.149999999998</v>
      </c>
      <c r="G89" s="442">
        <f>SUMIF('Core P&amp;L'!$D:$D,'Core Opex Proj.'!$C89,'Core P&amp;L'!BN:BN)</f>
        <v>137883.6</v>
      </c>
      <c r="H89" s="442">
        <f>SUMIF('Core P&amp;L'!$D:$D,'Core Opex Proj.'!$C89,'Core P&amp;L'!AJ:AJ)</f>
        <v>-18576.919999999998</v>
      </c>
      <c r="I89" s="442">
        <f>SUMIF('Core P&amp;L'!$D:$D,'Core Opex Proj.'!$C89,'Core P&amp;L'!T:T)</f>
        <v>0</v>
      </c>
      <c r="J89" s="442"/>
      <c r="K89" s="442"/>
      <c r="L89" s="442"/>
      <c r="M89" s="442"/>
      <c r="N89" s="442"/>
      <c r="O89" s="442"/>
      <c r="P89" s="442"/>
    </row>
    <row r="90" spans="1:16">
      <c r="A90" s="438" t="s">
        <v>327</v>
      </c>
      <c r="B90" s="439" t="s">
        <v>747</v>
      </c>
      <c r="C90" s="440">
        <v>63101000</v>
      </c>
      <c r="D90" s="320" t="s">
        <v>674</v>
      </c>
      <c r="E90" s="447" t="s">
        <v>748</v>
      </c>
      <c r="F90" s="442">
        <v>1060834.48</v>
      </c>
      <c r="G90" s="448">
        <f>SUMIF('Core P&amp;L'!$D:$D,'Core Opex Proj.'!$C90,'Core P&amp;L'!BN:BN)</f>
        <v>380833.33</v>
      </c>
      <c r="H90" s="448">
        <f>SUMIF('Core P&amp;L'!$D:$D,'Core Opex Proj.'!$C90,'Core P&amp;L'!AJ:AJ)</f>
        <v>372857.97</v>
      </c>
      <c r="I90" s="448">
        <f>SUMIF('Core P&amp;L'!$D:$D,'Core Opex Proj.'!$C90,'Core P&amp;L'!T:T)</f>
        <v>676580.77759007434</v>
      </c>
      <c r="J90" s="448"/>
      <c r="K90" s="448"/>
      <c r="L90" s="448"/>
      <c r="M90" s="448"/>
      <c r="N90" s="448"/>
      <c r="O90" s="448"/>
      <c r="P90" s="448"/>
    </row>
    <row r="91" spans="1:16">
      <c r="A91" s="438" t="s">
        <v>327</v>
      </c>
      <c r="B91" s="439" t="s">
        <v>747</v>
      </c>
      <c r="C91" s="440">
        <v>63102000</v>
      </c>
      <c r="D91" s="320" t="s">
        <v>675</v>
      </c>
      <c r="E91" s="447" t="s">
        <v>748</v>
      </c>
      <c r="F91" s="442">
        <v>19420253.150000002</v>
      </c>
      <c r="G91" s="448">
        <f>SUMIF('Core P&amp;L'!$D:$D,'Core Opex Proj.'!$C91,'Core P&amp;L'!BN:BN)</f>
        <v>5686767.0899999999</v>
      </c>
      <c r="H91" s="448">
        <f>SUMIF('Core P&amp;L'!$D:$D,'Core Opex Proj.'!$C91,'Core P&amp;L'!AJ:AJ)</f>
        <v>12949991.779999999</v>
      </c>
      <c r="I91" s="448">
        <f>SUMIF('Core P&amp;L'!$D:$D,'Core Opex Proj.'!$C91,'Core P&amp;L'!T:T)</f>
        <v>10855034.774211399</v>
      </c>
      <c r="J91" s="448"/>
      <c r="K91" s="448"/>
      <c r="L91" s="448"/>
      <c r="M91" s="448"/>
      <c r="N91" s="448"/>
      <c r="O91" s="448"/>
      <c r="P91" s="448"/>
    </row>
    <row r="92" spans="1:16" outlineLevel="1">
      <c r="A92" s="438" t="s">
        <v>327</v>
      </c>
      <c r="B92" s="439" t="s">
        <v>747</v>
      </c>
      <c r="C92" s="440">
        <v>63103000</v>
      </c>
      <c r="D92" s="320" t="s">
        <v>676</v>
      </c>
      <c r="E92" s="447" t="s">
        <v>748</v>
      </c>
      <c r="F92" s="442">
        <v>100400</v>
      </c>
      <c r="G92" s="448">
        <f>SUMIF('Core P&amp;L'!$D:$D,'Core Opex Proj.'!$C92,'Core P&amp;L'!BN:BN)</f>
        <v>18750</v>
      </c>
      <c r="H92" s="448">
        <f>SUMIF('Core P&amp;L'!$D:$D,'Core Opex Proj.'!$C92,'Core P&amp;L'!AJ:AJ)</f>
        <v>0</v>
      </c>
      <c r="I92" s="448">
        <f>SUMIF('Core P&amp;L'!$D:$D,'Core Opex Proj.'!$C92,'Core P&amp;L'!T:T)</f>
        <v>-1328000</v>
      </c>
      <c r="J92" s="448"/>
      <c r="K92" s="448"/>
      <c r="L92" s="448"/>
      <c r="M92" s="448"/>
      <c r="N92" s="448"/>
      <c r="O92" s="448"/>
      <c r="P92" s="448"/>
    </row>
    <row r="93" spans="1:16" outlineLevel="1">
      <c r="A93" s="438" t="s">
        <v>327</v>
      </c>
      <c r="B93" s="439" t="s">
        <v>747</v>
      </c>
      <c r="C93" s="440">
        <v>63190000</v>
      </c>
      <c r="D93" s="320" t="s">
        <v>677</v>
      </c>
      <c r="E93" s="447" t="s">
        <v>748</v>
      </c>
      <c r="F93" s="442">
        <v>4135831</v>
      </c>
      <c r="G93" s="448">
        <f>SUMIF('Core P&amp;L'!$D:$D,'Core Opex Proj.'!$C93,'Core P&amp;L'!BN:BN)</f>
        <v>1354493</v>
      </c>
      <c r="H93" s="448">
        <f>SUMIF('Core P&amp;L'!$D:$D,'Core Opex Proj.'!$C93,'Core P&amp;L'!AJ:AJ)</f>
        <v>3729800</v>
      </c>
      <c r="I93" s="448">
        <f>SUMIF('Core P&amp;L'!$D:$D,'Core Opex Proj.'!$C93,'Core P&amp;L'!T:T)</f>
        <v>4129576.9172780691</v>
      </c>
      <c r="J93" s="448"/>
      <c r="K93" s="448"/>
      <c r="L93" s="448"/>
      <c r="M93" s="448"/>
      <c r="N93" s="448"/>
      <c r="O93" s="448"/>
      <c r="P93" s="448"/>
    </row>
    <row r="94" spans="1:16" outlineLevel="1">
      <c r="A94" s="438" t="s">
        <v>327</v>
      </c>
      <c r="B94" s="439" t="s">
        <v>747</v>
      </c>
      <c r="C94" s="440">
        <v>63201000</v>
      </c>
      <c r="D94" s="320" t="s">
        <v>678</v>
      </c>
      <c r="E94" s="447" t="s">
        <v>748</v>
      </c>
      <c r="F94" s="442">
        <v>2345670</v>
      </c>
      <c r="G94" s="448">
        <f>SUMIF('Core P&amp;L'!$D:$D,'Core Opex Proj.'!$C94,'Core P&amp;L'!BN:BN)</f>
        <v>95430</v>
      </c>
      <c r="H94" s="448">
        <f>SUMIF('Core P&amp;L'!$D:$D,'Core Opex Proj.'!$C94,'Core P&amp;L'!AJ:AJ)</f>
        <v>-10000</v>
      </c>
      <c r="I94" s="448">
        <f>SUMIF('Core P&amp;L'!$D:$D,'Core Opex Proj.'!$C94,'Core P&amp;L'!T:T)</f>
        <v>0</v>
      </c>
      <c r="J94" s="448"/>
      <c r="K94" s="448"/>
      <c r="L94" s="448"/>
      <c r="M94" s="448"/>
      <c r="N94" s="448"/>
      <c r="O94" s="448"/>
      <c r="P94" s="448"/>
    </row>
    <row r="95" spans="1:16" outlineLevel="1">
      <c r="A95" s="438" t="s">
        <v>327</v>
      </c>
      <c r="B95" s="439" t="s">
        <v>747</v>
      </c>
      <c r="C95" s="440">
        <v>63290000</v>
      </c>
      <c r="D95" s="320" t="s">
        <v>679</v>
      </c>
      <c r="E95" s="447" t="s">
        <v>748</v>
      </c>
      <c r="F95" s="442">
        <v>28851</v>
      </c>
      <c r="G95" s="448">
        <f>SUMIF('Core P&amp;L'!$D:$D,'Core Opex Proj.'!$C95,'Core P&amp;L'!BN:BN)</f>
        <v>9040</v>
      </c>
      <c r="H95" s="448">
        <f>SUMIF('Core P&amp;L'!$D:$D,'Core Opex Proj.'!$C95,'Core P&amp;L'!AJ:AJ)</f>
        <v>0</v>
      </c>
      <c r="I95" s="448">
        <f>SUMIF('Core P&amp;L'!$D:$D,'Core Opex Proj.'!$C95,'Core P&amp;L'!T:T)</f>
        <v>0</v>
      </c>
      <c r="J95" s="448"/>
      <c r="K95" s="448"/>
      <c r="L95" s="448"/>
      <c r="M95" s="448"/>
      <c r="N95" s="448"/>
      <c r="O95" s="448"/>
      <c r="P95" s="448"/>
    </row>
    <row r="96" spans="1:16" outlineLevel="1">
      <c r="A96" s="438" t="s">
        <v>327</v>
      </c>
      <c r="B96" s="439" t="s">
        <v>747</v>
      </c>
      <c r="C96" s="440">
        <v>63301000</v>
      </c>
      <c r="D96" s="320" t="s">
        <v>680</v>
      </c>
      <c r="E96" s="447" t="s">
        <v>748</v>
      </c>
      <c r="F96" s="442">
        <v>672600</v>
      </c>
      <c r="G96" s="448">
        <f>SUMIF('Core P&amp;L'!$D:$D,'Core Opex Proj.'!$C96,'Core P&amp;L'!BN:BN)</f>
        <v>77433.399999999994</v>
      </c>
      <c r="H96" s="448">
        <f>SUMIF('Core P&amp;L'!$D:$D,'Core Opex Proj.'!$C96,'Core P&amp;L'!AJ:AJ)</f>
        <v>139120</v>
      </c>
      <c r="I96" s="448">
        <f>SUMIF('Core P&amp;L'!$D:$D,'Core Opex Proj.'!$C96,'Core P&amp;L'!T:T)</f>
        <v>142530.44462917172</v>
      </c>
      <c r="J96" s="448"/>
      <c r="K96" s="448"/>
      <c r="L96" s="448"/>
      <c r="M96" s="448"/>
      <c r="N96" s="448"/>
      <c r="O96" s="448"/>
      <c r="P96" s="448"/>
    </row>
    <row r="97" spans="1:16" outlineLevel="1">
      <c r="A97" s="438" t="s">
        <v>327</v>
      </c>
      <c r="B97" s="439" t="s">
        <v>747</v>
      </c>
      <c r="C97" s="440">
        <v>63390000</v>
      </c>
      <c r="D97" s="320" t="s">
        <v>681</v>
      </c>
      <c r="E97" s="447" t="s">
        <v>748</v>
      </c>
      <c r="F97" s="442">
        <v>99900</v>
      </c>
      <c r="G97" s="448">
        <f>SUMIF('Core P&amp;L'!$D:$D,'Core Opex Proj.'!$C97,'Core P&amp;L'!BN:BN)</f>
        <v>-13700</v>
      </c>
      <c r="H97" s="448">
        <f>SUMIF('Core P&amp;L'!$D:$D,'Core Opex Proj.'!$C97,'Core P&amp;L'!AJ:AJ)</f>
        <v>3000</v>
      </c>
      <c r="I97" s="448">
        <f>SUMIF('Core P&amp;L'!$D:$D,'Core Opex Proj.'!$C97,'Core P&amp;L'!T:T)</f>
        <v>0</v>
      </c>
      <c r="J97" s="448"/>
      <c r="K97" s="448"/>
      <c r="L97" s="448"/>
      <c r="M97" s="448"/>
      <c r="N97" s="448"/>
      <c r="O97" s="448"/>
      <c r="P97" s="448"/>
    </row>
    <row r="98" spans="1:16" outlineLevel="1">
      <c r="A98" s="438" t="s">
        <v>327</v>
      </c>
      <c r="B98" s="439" t="s">
        <v>747</v>
      </c>
      <c r="C98" s="440">
        <v>63401000</v>
      </c>
      <c r="D98" s="320" t="s">
        <v>682</v>
      </c>
      <c r="E98" s="447" t="s">
        <v>748</v>
      </c>
      <c r="F98" s="442">
        <v>0</v>
      </c>
      <c r="G98" s="448">
        <f>SUMIF('Core P&amp;L'!$D:$D,'Core Opex Proj.'!$C98,'Core P&amp;L'!BN:BN)</f>
        <v>0</v>
      </c>
      <c r="H98" s="448">
        <f>SUMIF('Core P&amp;L'!$D:$D,'Core Opex Proj.'!$C98,'Core P&amp;L'!AJ:AJ)</f>
        <v>0</v>
      </c>
      <c r="I98" s="448">
        <f>SUMIF('Core P&amp;L'!$D:$D,'Core Opex Proj.'!$C98,'Core P&amp;L'!T:T)</f>
        <v>0</v>
      </c>
      <c r="J98" s="448"/>
      <c r="K98" s="448"/>
      <c r="L98" s="448"/>
      <c r="M98" s="448"/>
      <c r="N98" s="448"/>
      <c r="O98" s="448"/>
      <c r="P98" s="448"/>
    </row>
    <row r="99" spans="1:16" outlineLevel="1">
      <c r="A99" s="438" t="s">
        <v>327</v>
      </c>
      <c r="B99" s="439" t="s">
        <v>747</v>
      </c>
      <c r="C99" s="440">
        <v>63490000</v>
      </c>
      <c r="D99" s="320" t="s">
        <v>683</v>
      </c>
      <c r="E99" s="447" t="s">
        <v>748</v>
      </c>
      <c r="F99" s="442">
        <v>800</v>
      </c>
      <c r="G99" s="448">
        <f>SUMIF('Core P&amp;L'!$D:$D,'Core Opex Proj.'!$C99,'Core P&amp;L'!BN:BN)</f>
        <v>0</v>
      </c>
      <c r="H99" s="448">
        <f>SUMIF('Core P&amp;L'!$D:$D,'Core Opex Proj.'!$C99,'Core P&amp;L'!AJ:AJ)</f>
        <v>0</v>
      </c>
      <c r="I99" s="448">
        <f>SUMIF('Core P&amp;L'!$D:$D,'Core Opex Proj.'!$C99,'Core P&amp;L'!T:T)</f>
        <v>0</v>
      </c>
      <c r="J99" s="448"/>
      <c r="K99" s="448"/>
      <c r="L99" s="448"/>
      <c r="M99" s="448"/>
      <c r="N99" s="448"/>
      <c r="O99" s="448"/>
      <c r="P99" s="448"/>
    </row>
    <row r="100" spans="1:16" outlineLevel="1">
      <c r="A100" s="438" t="s">
        <v>327</v>
      </c>
      <c r="B100" s="439" t="s">
        <v>747</v>
      </c>
      <c r="C100" s="440">
        <v>63501000</v>
      </c>
      <c r="D100" s="320" t="s">
        <v>684</v>
      </c>
      <c r="E100" s="447" t="s">
        <v>748</v>
      </c>
      <c r="F100" s="442">
        <v>9079951.209999999</v>
      </c>
      <c r="G100" s="448">
        <f>SUMIF('Core P&amp;L'!$D:$D,'Core Opex Proj.'!$C100,'Core P&amp;L'!BN:BN)</f>
        <v>2020292.6500000001</v>
      </c>
      <c r="H100" s="448">
        <f>SUMIF('Core P&amp;L'!$D:$D,'Core Opex Proj.'!$C100,'Core P&amp;L'!AJ:AJ)</f>
        <v>6299240</v>
      </c>
      <c r="I100" s="448">
        <f>SUMIF('Core P&amp;L'!$D:$D,'Core Opex Proj.'!$C100,'Core P&amp;L'!T:T)</f>
        <v>7469932.2903815396</v>
      </c>
      <c r="J100" s="448"/>
      <c r="K100" s="448"/>
      <c r="L100" s="448"/>
      <c r="M100" s="448"/>
      <c r="N100" s="448"/>
      <c r="O100" s="448"/>
      <c r="P100" s="448"/>
    </row>
    <row r="101" spans="1:16" outlineLevel="1">
      <c r="A101" s="438" t="s">
        <v>327</v>
      </c>
      <c r="B101" s="439" t="s">
        <v>747</v>
      </c>
      <c r="C101" s="440">
        <v>63590000</v>
      </c>
      <c r="D101" s="320" t="s">
        <v>685</v>
      </c>
      <c r="E101" s="447" t="s">
        <v>748</v>
      </c>
      <c r="F101" s="442">
        <v>1134980</v>
      </c>
      <c r="G101" s="448">
        <f>SUMIF('Core P&amp;L'!$D:$D,'Core Opex Proj.'!$C101,'Core P&amp;L'!BN:BN)</f>
        <v>708915</v>
      </c>
      <c r="H101" s="448">
        <f>SUMIF('Core P&amp;L'!$D:$D,'Core Opex Proj.'!$C101,'Core P&amp;L'!AJ:AJ)</f>
        <v>1070440</v>
      </c>
      <c r="I101" s="448">
        <f>SUMIF('Core P&amp;L'!$D:$D,'Core Opex Proj.'!$C101,'Core P&amp;L'!T:T)</f>
        <v>1012612.5985603451</v>
      </c>
      <c r="J101" s="448"/>
      <c r="K101" s="448"/>
      <c r="L101" s="448"/>
      <c r="M101" s="448"/>
      <c r="N101" s="448"/>
      <c r="O101" s="448"/>
      <c r="P101" s="448"/>
    </row>
    <row r="102" spans="1:16" outlineLevel="1">
      <c r="A102" s="438" t="s">
        <v>327</v>
      </c>
      <c r="B102" s="439" t="s">
        <v>747</v>
      </c>
      <c r="C102" s="440">
        <v>63601000</v>
      </c>
      <c r="D102" s="320" t="s">
        <v>686</v>
      </c>
      <c r="E102" s="447" t="s">
        <v>748</v>
      </c>
      <c r="F102" s="442">
        <v>1649256.5</v>
      </c>
      <c r="G102" s="448">
        <f>SUMIF('Core P&amp;L'!$D:$D,'Core Opex Proj.'!$C102,'Core P&amp;L'!BN:BN)</f>
        <v>0</v>
      </c>
      <c r="H102" s="448">
        <f>SUMIF('Core P&amp;L'!$D:$D,'Core Opex Proj.'!$C102,'Core P&amp;L'!AJ:AJ)</f>
        <v>0</v>
      </c>
      <c r="I102" s="448">
        <f>SUMIF('Core P&amp;L'!$D:$D,'Core Opex Proj.'!$C102,'Core P&amp;L'!T:T)</f>
        <v>0</v>
      </c>
      <c r="J102" s="448"/>
      <c r="K102" s="448"/>
      <c r="L102" s="448"/>
      <c r="M102" s="448"/>
      <c r="N102" s="448"/>
      <c r="O102" s="448"/>
      <c r="P102" s="448"/>
    </row>
    <row r="103" spans="1:16" outlineLevel="1">
      <c r="A103" s="438" t="s">
        <v>327</v>
      </c>
      <c r="B103" s="439" t="s">
        <v>747</v>
      </c>
      <c r="C103" s="440">
        <v>63690000</v>
      </c>
      <c r="D103" s="320" t="s">
        <v>687</v>
      </c>
      <c r="E103" s="447" t="s">
        <v>748</v>
      </c>
      <c r="F103" s="442">
        <v>0</v>
      </c>
      <c r="G103" s="448">
        <f>SUMIF('Core P&amp;L'!$D:$D,'Core Opex Proj.'!$C103,'Core P&amp;L'!BN:BN)</f>
        <v>0</v>
      </c>
      <c r="H103" s="448">
        <f>SUMIF('Core P&amp;L'!$D:$D,'Core Opex Proj.'!$C103,'Core P&amp;L'!AJ:AJ)</f>
        <v>0</v>
      </c>
      <c r="I103" s="448">
        <f>SUMIF('Core P&amp;L'!$D:$D,'Core Opex Proj.'!$C103,'Core P&amp;L'!T:T)</f>
        <v>0</v>
      </c>
      <c r="J103" s="448"/>
      <c r="K103" s="448"/>
      <c r="L103" s="448"/>
      <c r="M103" s="448"/>
      <c r="N103" s="448"/>
      <c r="O103" s="448"/>
      <c r="P103" s="448"/>
    </row>
    <row r="104" spans="1:16" outlineLevel="1">
      <c r="A104" s="438" t="s">
        <v>327</v>
      </c>
      <c r="B104" s="439" t="s">
        <v>747</v>
      </c>
      <c r="C104" s="440">
        <v>63701000</v>
      </c>
      <c r="D104" s="320" t="s">
        <v>688</v>
      </c>
      <c r="E104" s="447" t="s">
        <v>748</v>
      </c>
      <c r="F104" s="442">
        <v>1241295.8700000003</v>
      </c>
      <c r="G104" s="448">
        <f>SUMIF('Core P&amp;L'!$D:$D,'Core Opex Proj.'!$C104,'Core P&amp;L'!BN:BN)</f>
        <v>305906.03999999998</v>
      </c>
      <c r="H104" s="448">
        <f>SUMIF('Core P&amp;L'!$D:$D,'Core Opex Proj.'!$C104,'Core P&amp;L'!AJ:AJ)</f>
        <v>569563.16999999993</v>
      </c>
      <c r="I104" s="448">
        <f>SUMIF('Core P&amp;L'!$D:$D,'Core Opex Proj.'!$C104,'Core P&amp;L'!T:T)</f>
        <v>631812.56025932683</v>
      </c>
      <c r="J104" s="448"/>
      <c r="K104" s="448"/>
      <c r="L104" s="448"/>
      <c r="M104" s="448"/>
      <c r="N104" s="448"/>
      <c r="O104" s="448"/>
      <c r="P104" s="448"/>
    </row>
    <row r="105" spans="1:16" outlineLevel="1">
      <c r="A105" s="438" t="s">
        <v>327</v>
      </c>
      <c r="B105" s="439" t="s">
        <v>747</v>
      </c>
      <c r="C105" s="440">
        <v>63801000</v>
      </c>
      <c r="D105" s="320" t="s">
        <v>689</v>
      </c>
      <c r="E105" s="447" t="s">
        <v>748</v>
      </c>
      <c r="F105" s="442">
        <v>1212185</v>
      </c>
      <c r="G105" s="448">
        <f>SUMIF('Core P&amp;L'!$D:$D,'Core Opex Proj.'!$C105,'Core P&amp;L'!BN:BN)</f>
        <v>900679</v>
      </c>
      <c r="H105" s="448">
        <f>SUMIF('Core P&amp;L'!$D:$D,'Core Opex Proj.'!$C105,'Core P&amp;L'!AJ:AJ)</f>
        <v>979879</v>
      </c>
      <c r="I105" s="448">
        <f>SUMIF('Core P&amp;L'!$D:$D,'Core Opex Proj.'!$C105,'Core P&amp;L'!T:T)</f>
        <v>769430.59030460182</v>
      </c>
      <c r="J105" s="448"/>
      <c r="K105" s="448"/>
      <c r="L105" s="448"/>
      <c r="M105" s="448"/>
      <c r="N105" s="448"/>
      <c r="O105" s="448"/>
      <c r="P105" s="448"/>
    </row>
    <row r="106" spans="1:16" outlineLevel="1">
      <c r="A106" s="438" t="s">
        <v>327</v>
      </c>
      <c r="B106" s="439" t="s">
        <v>747</v>
      </c>
      <c r="C106" s="440">
        <v>63901000</v>
      </c>
      <c r="D106" s="320" t="s">
        <v>690</v>
      </c>
      <c r="E106" s="447" t="s">
        <v>748</v>
      </c>
      <c r="F106" s="442">
        <v>178452.54000000004</v>
      </c>
      <c r="G106" s="448">
        <f>SUMIF('Core P&amp;L'!$D:$D,'Core Opex Proj.'!$C106,'Core P&amp;L'!BN:BN)</f>
        <v>168148</v>
      </c>
      <c r="H106" s="448">
        <f>SUMIF('Core P&amp;L'!$D:$D,'Core Opex Proj.'!$C106,'Core P&amp;L'!AJ:AJ)</f>
        <v>1406711</v>
      </c>
      <c r="I106" s="448">
        <f>SUMIF('Core P&amp;L'!$D:$D,'Core Opex Proj.'!$C106,'Core P&amp;L'!T:T)</f>
        <v>537479.03134463436</v>
      </c>
      <c r="J106" s="448"/>
      <c r="K106" s="448"/>
      <c r="L106" s="448"/>
      <c r="M106" s="448"/>
      <c r="N106" s="448"/>
      <c r="O106" s="448"/>
      <c r="P106" s="448"/>
    </row>
    <row r="107" spans="1:16">
      <c r="A107" s="438" t="s">
        <v>327</v>
      </c>
      <c r="B107" s="439" t="s">
        <v>747</v>
      </c>
      <c r="C107" s="440">
        <v>65001000</v>
      </c>
      <c r="D107" s="320" t="s">
        <v>691</v>
      </c>
      <c r="E107" s="447" t="s">
        <v>748</v>
      </c>
      <c r="F107" s="442">
        <v>240831.43000000002</v>
      </c>
      <c r="G107" s="448">
        <f>SUMIF('Core P&amp;L'!$D:$D,'Core Opex Proj.'!$C107,'Core P&amp;L'!BN:BN)</f>
        <v>576500.33000000007</v>
      </c>
      <c r="H107" s="448">
        <f>SUMIF('Core P&amp;L'!$D:$D,'Core Opex Proj.'!$C107,'Core P&amp;L'!AJ:AJ)</f>
        <v>415124.95999999996</v>
      </c>
      <c r="I107" s="448">
        <f>SUMIF('Core P&amp;L'!$D:$D,'Core Opex Proj.'!$C107,'Core P&amp;L'!T:T)</f>
        <v>735444.84650828026</v>
      </c>
      <c r="J107" s="448"/>
      <c r="K107" s="448"/>
      <c r="L107" s="448"/>
      <c r="M107" s="448"/>
      <c r="N107" s="448"/>
      <c r="O107" s="448"/>
      <c r="P107" s="448"/>
    </row>
    <row r="108" spans="1:16" outlineLevel="1">
      <c r="A108" s="438" t="s">
        <v>327</v>
      </c>
      <c r="B108" s="439" t="s">
        <v>747</v>
      </c>
      <c r="C108" s="440">
        <v>65002000</v>
      </c>
      <c r="D108" s="320" t="s">
        <v>692</v>
      </c>
      <c r="E108" s="447" t="s">
        <v>748</v>
      </c>
      <c r="F108" s="442">
        <v>222450</v>
      </c>
      <c r="G108" s="448">
        <f>SUMIF('Core P&amp;L'!$D:$D,'Core Opex Proj.'!$C108,'Core P&amp;L'!BN:BN)</f>
        <v>9480</v>
      </c>
      <c r="H108" s="448">
        <f>SUMIF('Core P&amp;L'!$D:$D,'Core Opex Proj.'!$C108,'Core P&amp;L'!AJ:AJ)</f>
        <v>0</v>
      </c>
      <c r="I108" s="448">
        <f>SUMIF('Core P&amp;L'!$D:$D,'Core Opex Proj.'!$C108,'Core P&amp;L'!T:T)</f>
        <v>0</v>
      </c>
      <c r="J108" s="448"/>
      <c r="K108" s="448"/>
      <c r="L108" s="448"/>
      <c r="M108" s="448"/>
      <c r="N108" s="448"/>
      <c r="O108" s="448"/>
      <c r="P108" s="448"/>
    </row>
    <row r="109" spans="1:16">
      <c r="A109" s="438" t="s">
        <v>327</v>
      </c>
      <c r="B109" s="439" t="s">
        <v>747</v>
      </c>
      <c r="C109" s="440">
        <v>65101000</v>
      </c>
      <c r="D109" s="320" t="s">
        <v>693</v>
      </c>
      <c r="E109" s="447" t="s">
        <v>748</v>
      </c>
      <c r="F109" s="442">
        <v>896102</v>
      </c>
      <c r="G109" s="448">
        <f>SUMIF('Core P&amp;L'!$D:$D,'Core Opex Proj.'!$C109,'Core P&amp;L'!BN:BN)</f>
        <v>331734</v>
      </c>
      <c r="H109" s="448">
        <f>SUMIF('Core P&amp;L'!$D:$D,'Core Opex Proj.'!$C109,'Core P&amp;L'!AJ:AJ)</f>
        <v>1736464.84</v>
      </c>
      <c r="I109" s="448">
        <f>SUMIF('Core P&amp;L'!$D:$D,'Core Opex Proj.'!$C109,'Core P&amp;L'!T:T)</f>
        <v>1711909.1283894042</v>
      </c>
      <c r="J109" s="448"/>
      <c r="K109" s="448"/>
      <c r="L109" s="448"/>
      <c r="M109" s="448"/>
      <c r="N109" s="448"/>
      <c r="O109" s="448"/>
      <c r="P109" s="448"/>
    </row>
    <row r="110" spans="1:16">
      <c r="A110" s="438" t="s">
        <v>327</v>
      </c>
      <c r="B110" s="439" t="s">
        <v>747</v>
      </c>
      <c r="C110" s="440">
        <v>65102000</v>
      </c>
      <c r="D110" s="320" t="s">
        <v>694</v>
      </c>
      <c r="E110" s="447" t="s">
        <v>748</v>
      </c>
      <c r="F110" s="442">
        <v>2063231.67</v>
      </c>
      <c r="G110" s="448">
        <f>SUMIF('Core P&amp;L'!$D:$D,'Core Opex Proj.'!$C110,'Core P&amp;L'!BN:BN)</f>
        <v>970374.46</v>
      </c>
      <c r="H110" s="448">
        <f>SUMIF('Core P&amp;L'!$D:$D,'Core Opex Proj.'!$C110,'Core P&amp;L'!AJ:AJ)</f>
        <v>313392.75</v>
      </c>
      <c r="I110" s="448">
        <f>SUMIF('Core P&amp;L'!$D:$D,'Core Opex Proj.'!$C110,'Core P&amp;L'!T:T)</f>
        <v>538228.22648833354</v>
      </c>
      <c r="J110" s="448"/>
      <c r="K110" s="448"/>
      <c r="L110" s="448"/>
      <c r="M110" s="448"/>
      <c r="N110" s="448"/>
      <c r="O110" s="448"/>
      <c r="P110" s="448"/>
    </row>
    <row r="111" spans="1:16" outlineLevel="1">
      <c r="A111" s="438" t="s">
        <v>327</v>
      </c>
      <c r="B111" s="439" t="s">
        <v>747</v>
      </c>
      <c r="C111" s="440">
        <v>65103000</v>
      </c>
      <c r="D111" s="320" t="s">
        <v>695</v>
      </c>
      <c r="E111" s="447" t="s">
        <v>748</v>
      </c>
      <c r="F111" s="442">
        <v>5359478.0500000007</v>
      </c>
      <c r="G111" s="448">
        <f>SUMIF('Core P&amp;L'!$D:$D,'Core Opex Proj.'!$C111,'Core P&amp;L'!BN:BN)</f>
        <v>3740564.67</v>
      </c>
      <c r="H111" s="448">
        <f>SUMIF('Core P&amp;L'!$D:$D,'Core Opex Proj.'!$C111,'Core P&amp;L'!AJ:AJ)</f>
        <v>5411281.1299999999</v>
      </c>
      <c r="I111" s="448">
        <f>SUMIF('Core P&amp;L'!$D:$D,'Core Opex Proj.'!$C111,'Core P&amp;L'!T:T)</f>
        <v>3659693.7531700442</v>
      </c>
      <c r="J111" s="448"/>
      <c r="K111" s="448"/>
      <c r="L111" s="448"/>
      <c r="M111" s="448"/>
      <c r="N111" s="448"/>
      <c r="O111" s="448"/>
      <c r="P111" s="448"/>
    </row>
    <row r="112" spans="1:16" outlineLevel="1">
      <c r="A112" s="438" t="s">
        <v>327</v>
      </c>
      <c r="B112" s="439" t="s">
        <v>747</v>
      </c>
      <c r="C112" s="440">
        <v>65104000</v>
      </c>
      <c r="D112" s="320" t="s">
        <v>696</v>
      </c>
      <c r="E112" s="447" t="s">
        <v>748</v>
      </c>
      <c r="F112" s="442">
        <v>1185895.5999999999</v>
      </c>
      <c r="G112" s="448">
        <f>SUMIF('Core P&amp;L'!$D:$D,'Core Opex Proj.'!$C112,'Core P&amp;L'!BN:BN)</f>
        <v>153091</v>
      </c>
      <c r="H112" s="448">
        <f>SUMIF('Core P&amp;L'!$D:$D,'Core Opex Proj.'!$C112,'Core P&amp;L'!AJ:AJ)</f>
        <v>312885</v>
      </c>
      <c r="I112" s="448">
        <f>SUMIF('Core P&amp;L'!$D:$D,'Core Opex Proj.'!$C112,'Core P&amp;L'!T:T)</f>
        <v>350190.93370661291</v>
      </c>
      <c r="J112" s="448"/>
      <c r="K112" s="448"/>
      <c r="L112" s="448"/>
      <c r="M112" s="448"/>
      <c r="N112" s="448"/>
      <c r="O112" s="448"/>
      <c r="P112" s="448"/>
    </row>
    <row r="113" spans="1:16" outlineLevel="1">
      <c r="A113" s="438" t="s">
        <v>327</v>
      </c>
      <c r="B113" s="439" t="s">
        <v>747</v>
      </c>
      <c r="C113" s="440">
        <v>65201000</v>
      </c>
      <c r="D113" s="320" t="s">
        <v>697</v>
      </c>
      <c r="E113" s="447" t="s">
        <v>748</v>
      </c>
      <c r="F113" s="442">
        <v>2264980</v>
      </c>
      <c r="G113" s="448">
        <f>SUMIF('Core P&amp;L'!$D:$D,'Core Opex Proj.'!$C113,'Core P&amp;L'!BN:BN)</f>
        <v>2835535.1</v>
      </c>
      <c r="H113" s="448">
        <f>SUMIF('Core P&amp;L'!$D:$D,'Core Opex Proj.'!$C113,'Core P&amp;L'!AJ:AJ)</f>
        <v>2174007.92</v>
      </c>
      <c r="I113" s="448">
        <f>SUMIF('Core P&amp;L'!$D:$D,'Core Opex Proj.'!$C113,'Core P&amp;L'!T:T)</f>
        <v>2478941.4716653642</v>
      </c>
      <c r="J113" s="448"/>
      <c r="K113" s="448"/>
      <c r="L113" s="448"/>
      <c r="M113" s="448"/>
      <c r="N113" s="448"/>
      <c r="O113" s="448"/>
      <c r="P113" s="448"/>
    </row>
    <row r="114" spans="1:16" outlineLevel="1">
      <c r="A114" s="438" t="s">
        <v>327</v>
      </c>
      <c r="B114" s="439" t="s">
        <v>747</v>
      </c>
      <c r="C114" s="440">
        <v>65202000</v>
      </c>
      <c r="D114" s="320" t="s">
        <v>698</v>
      </c>
      <c r="E114" s="447" t="s">
        <v>748</v>
      </c>
      <c r="F114" s="442">
        <v>913133.5</v>
      </c>
      <c r="G114" s="448">
        <f>SUMIF('Core P&amp;L'!$D:$D,'Core Opex Proj.'!$C114,'Core P&amp;L'!BN:BN)</f>
        <v>301071</v>
      </c>
      <c r="H114" s="448">
        <f>SUMIF('Core P&amp;L'!$D:$D,'Core Opex Proj.'!$C114,'Core P&amp;L'!AJ:AJ)</f>
        <v>882000</v>
      </c>
      <c r="I114" s="448">
        <f>SUMIF('Core P&amp;L'!$D:$D,'Core Opex Proj.'!$C114,'Core P&amp;L'!T:T)</f>
        <v>987162.70683871873</v>
      </c>
      <c r="J114" s="448"/>
      <c r="K114" s="448"/>
      <c r="L114" s="448"/>
      <c r="M114" s="448"/>
      <c r="N114" s="448"/>
      <c r="O114" s="448"/>
      <c r="P114" s="448"/>
    </row>
    <row r="115" spans="1:16" outlineLevel="1">
      <c r="A115" s="438" t="s">
        <v>327</v>
      </c>
      <c r="B115" s="439" t="s">
        <v>747</v>
      </c>
      <c r="C115" s="440">
        <v>65211000</v>
      </c>
      <c r="D115" s="320" t="s">
        <v>699</v>
      </c>
      <c r="E115" s="447" t="s">
        <v>748</v>
      </c>
      <c r="F115" s="442">
        <v>233499</v>
      </c>
      <c r="G115" s="448">
        <f>SUMIF('Core P&amp;L'!$D:$D,'Core Opex Proj.'!$C115,'Core P&amp;L'!BN:BN)</f>
        <v>337031</v>
      </c>
      <c r="H115" s="448">
        <f>SUMIF('Core P&amp;L'!$D:$D,'Core Opex Proj.'!$C115,'Core P&amp;L'!AJ:AJ)</f>
        <v>157741</v>
      </c>
      <c r="I115" s="448">
        <f>SUMIF('Core P&amp;L'!$D:$D,'Core Opex Proj.'!$C115,'Core P&amp;L'!T:T)</f>
        <v>134626.37908727315</v>
      </c>
      <c r="J115" s="448"/>
      <c r="K115" s="448"/>
      <c r="L115" s="448"/>
      <c r="M115" s="448"/>
      <c r="N115" s="448"/>
      <c r="O115" s="448"/>
      <c r="P115" s="448"/>
    </row>
    <row r="116" spans="1:16" outlineLevel="1">
      <c r="A116" s="438" t="s">
        <v>327</v>
      </c>
      <c r="B116" s="439" t="s">
        <v>747</v>
      </c>
      <c r="C116" s="440">
        <v>65212000</v>
      </c>
      <c r="D116" s="320" t="s">
        <v>700</v>
      </c>
      <c r="E116" s="447" t="s">
        <v>748</v>
      </c>
      <c r="F116" s="442">
        <v>5878558.6699999999</v>
      </c>
      <c r="G116" s="448">
        <f>SUMIF('Core P&amp;L'!$D:$D,'Core Opex Proj.'!$C116,'Core P&amp;L'!BN:BN)</f>
        <v>4163286.6100000003</v>
      </c>
      <c r="H116" s="448">
        <f>SUMIF('Core P&amp;L'!$D:$D,'Core Opex Proj.'!$C116,'Core P&amp;L'!AJ:AJ)</f>
        <v>2926330.4</v>
      </c>
      <c r="I116" s="448">
        <f>SUMIF('Core P&amp;L'!$D:$D,'Core Opex Proj.'!$C116,'Core P&amp;L'!T:T)</f>
        <v>2780355.8664897811</v>
      </c>
      <c r="J116" s="448"/>
      <c r="K116" s="448"/>
      <c r="L116" s="448"/>
      <c r="M116" s="448"/>
      <c r="N116" s="448"/>
      <c r="O116" s="448"/>
      <c r="P116" s="448"/>
    </row>
    <row r="117" spans="1:16" outlineLevel="1">
      <c r="A117" s="438" t="s">
        <v>327</v>
      </c>
      <c r="B117" s="439" t="s">
        <v>747</v>
      </c>
      <c r="C117" s="440">
        <v>65213000</v>
      </c>
      <c r="D117" s="320" t="s">
        <v>701</v>
      </c>
      <c r="E117" s="447" t="s">
        <v>748</v>
      </c>
      <c r="F117" s="442">
        <v>334665</v>
      </c>
      <c r="G117" s="448">
        <f>SUMIF('Core P&amp;L'!$D:$D,'Core Opex Proj.'!$C117,'Core P&amp;L'!BN:BN)</f>
        <v>157238.00000000003</v>
      </c>
      <c r="H117" s="448">
        <f>SUMIF('Core P&amp;L'!$D:$D,'Core Opex Proj.'!$C117,'Core P&amp;L'!AJ:AJ)</f>
        <v>38550</v>
      </c>
      <c r="I117" s="448">
        <f>SUMIF('Core P&amp;L'!$D:$D,'Core Opex Proj.'!$C117,'Core P&amp;L'!T:T)</f>
        <v>43146.39722067189</v>
      </c>
      <c r="J117" s="448"/>
      <c r="K117" s="448"/>
      <c r="L117" s="448"/>
      <c r="M117" s="448"/>
      <c r="N117" s="448"/>
      <c r="O117" s="448"/>
      <c r="P117" s="448"/>
    </row>
    <row r="118" spans="1:16" outlineLevel="1">
      <c r="A118" s="438" t="s">
        <v>327</v>
      </c>
      <c r="B118" s="439" t="s">
        <v>747</v>
      </c>
      <c r="C118" s="440">
        <v>65214000</v>
      </c>
      <c r="D118" s="320" t="s">
        <v>702</v>
      </c>
      <c r="E118" s="447" t="s">
        <v>748</v>
      </c>
      <c r="F118" s="442">
        <v>2050731</v>
      </c>
      <c r="G118" s="448">
        <f>SUMIF('Core P&amp;L'!$D:$D,'Core Opex Proj.'!$C118,'Core P&amp;L'!BN:BN)</f>
        <v>959643.7</v>
      </c>
      <c r="H118" s="448">
        <f>SUMIF('Core P&amp;L'!$D:$D,'Core Opex Proj.'!$C118,'Core P&amp;L'!AJ:AJ)</f>
        <v>1251006.02</v>
      </c>
      <c r="I118" s="448">
        <f>SUMIF('Core P&amp;L'!$D:$D,'Core Opex Proj.'!$C118,'Core P&amp;L'!T:T)</f>
        <v>1015326.128879857</v>
      </c>
      <c r="J118" s="448"/>
      <c r="K118" s="448"/>
      <c r="L118" s="448"/>
      <c r="M118" s="448"/>
      <c r="N118" s="448"/>
      <c r="O118" s="448"/>
      <c r="P118" s="448"/>
    </row>
    <row r="119" spans="1:16" outlineLevel="1">
      <c r="A119" s="438" t="s">
        <v>327</v>
      </c>
      <c r="B119" s="439" t="s">
        <v>747</v>
      </c>
      <c r="C119" s="440">
        <v>65215000</v>
      </c>
      <c r="D119" s="320" t="s">
        <v>703</v>
      </c>
      <c r="E119" s="447" t="s">
        <v>748</v>
      </c>
      <c r="F119" s="442">
        <v>588593</v>
      </c>
      <c r="G119" s="448">
        <f>SUMIF('Core P&amp;L'!$D:$D,'Core Opex Proj.'!$C119,'Core P&amp;L'!BN:BN)</f>
        <v>119323</v>
      </c>
      <c r="H119" s="448">
        <f>SUMIF('Core P&amp;L'!$D:$D,'Core Opex Proj.'!$C119,'Core P&amp;L'!AJ:AJ)</f>
        <v>103560</v>
      </c>
      <c r="I119" s="448">
        <f>SUMIF('Core P&amp;L'!$D:$D,'Core Opex Proj.'!$C119,'Core P&amp;L'!T:T)</f>
        <v>107027.91635822246</v>
      </c>
      <c r="J119" s="448"/>
      <c r="K119" s="448"/>
      <c r="L119" s="448"/>
      <c r="M119" s="448"/>
      <c r="N119" s="448"/>
      <c r="O119" s="448"/>
      <c r="P119" s="448"/>
    </row>
    <row r="120" spans="1:16" outlineLevel="1">
      <c r="A120" s="438" t="s">
        <v>327</v>
      </c>
      <c r="B120" s="439" t="s">
        <v>747</v>
      </c>
      <c r="C120" s="440">
        <v>65216000</v>
      </c>
      <c r="D120" s="320" t="s">
        <v>704</v>
      </c>
      <c r="E120" s="447" t="s">
        <v>748</v>
      </c>
      <c r="F120" s="442">
        <v>631192.28</v>
      </c>
      <c r="G120" s="448">
        <f>SUMIF('Core P&amp;L'!$D:$D,'Core Opex Proj.'!$C120,'Core P&amp;L'!BN:BN)</f>
        <v>794786</v>
      </c>
      <c r="H120" s="448">
        <f>SUMIF('Core P&amp;L'!$D:$D,'Core Opex Proj.'!$C120,'Core P&amp;L'!AJ:AJ)</f>
        <v>223634</v>
      </c>
      <c r="I120" s="448">
        <f>SUMIF('Core P&amp;L'!$D:$D,'Core Opex Proj.'!$C120,'Core P&amp;L'!T:T)</f>
        <v>227331.34943130543</v>
      </c>
      <c r="J120" s="448"/>
      <c r="K120" s="448"/>
      <c r="L120" s="448"/>
      <c r="M120" s="448"/>
      <c r="N120" s="448"/>
      <c r="O120" s="448"/>
      <c r="P120" s="448"/>
    </row>
    <row r="121" spans="1:16" outlineLevel="1">
      <c r="A121" s="438" t="s">
        <v>327</v>
      </c>
      <c r="B121" s="439" t="s">
        <v>747</v>
      </c>
      <c r="C121" s="440">
        <v>65217000</v>
      </c>
      <c r="D121" s="320" t="s">
        <v>705</v>
      </c>
      <c r="E121" s="447" t="s">
        <v>748</v>
      </c>
      <c r="F121" s="442">
        <v>-69645</v>
      </c>
      <c r="G121" s="448">
        <f>SUMIF('Core P&amp;L'!$D:$D,'Core Opex Proj.'!$C121,'Core P&amp;L'!BN:BN)</f>
        <v>143405</v>
      </c>
      <c r="H121" s="448">
        <f>SUMIF('Core P&amp;L'!$D:$D,'Core Opex Proj.'!$C121,'Core P&amp;L'!AJ:AJ)</f>
        <v>102060</v>
      </c>
      <c r="I121" s="448">
        <f>SUMIF('Core P&amp;L'!$D:$D,'Core Opex Proj.'!$C121,'Core P&amp;L'!T:T)</f>
        <v>117340.29272672477</v>
      </c>
      <c r="J121" s="448"/>
      <c r="K121" s="448"/>
      <c r="L121" s="448"/>
      <c r="M121" s="448"/>
      <c r="N121" s="448"/>
      <c r="O121" s="448"/>
      <c r="P121" s="448"/>
    </row>
    <row r="122" spans="1:16" outlineLevel="1">
      <c r="A122" s="438" t="s">
        <v>327</v>
      </c>
      <c r="B122" s="439" t="s">
        <v>747</v>
      </c>
      <c r="C122" s="440">
        <v>65301000</v>
      </c>
      <c r="D122" s="320" t="s">
        <v>944</v>
      </c>
      <c r="E122" s="447"/>
      <c r="F122" s="442"/>
      <c r="G122" s="448">
        <f>SUMIF('Core P&amp;L'!$D:$D,'Core Opex Proj.'!$C122,'Core P&amp;L'!BN:BN)</f>
        <v>0</v>
      </c>
      <c r="H122" s="448">
        <f>SUMIF('Core P&amp;L'!$D:$D,'Core Opex Proj.'!$C122,'Core P&amp;L'!AJ:AJ)</f>
        <v>0</v>
      </c>
      <c r="I122" s="448">
        <f>SUMIF('Core P&amp;L'!$D:$D,'Core Opex Proj.'!$C122,'Core P&amp;L'!T:T)</f>
        <v>30000</v>
      </c>
      <c r="J122" s="448"/>
      <c r="K122" s="448"/>
      <c r="L122" s="448"/>
      <c r="M122" s="448"/>
      <c r="N122" s="448"/>
      <c r="O122" s="448"/>
      <c r="P122" s="448"/>
    </row>
    <row r="123" spans="1:16" outlineLevel="1">
      <c r="A123" s="438" t="s">
        <v>327</v>
      </c>
      <c r="B123" s="439" t="s">
        <v>747</v>
      </c>
      <c r="C123" s="440">
        <v>65302000</v>
      </c>
      <c r="D123" s="320" t="s">
        <v>942</v>
      </c>
      <c r="E123" s="447"/>
      <c r="F123" s="442"/>
      <c r="G123" s="448">
        <f>SUMIF('Core P&amp;L'!$D:$D,'Core Opex Proj.'!$C123,'Core P&amp;L'!BN:BN)</f>
        <v>67000</v>
      </c>
      <c r="H123" s="448">
        <f>SUMIF('Core P&amp;L'!$D:$D,'Core Opex Proj.'!$C123,'Core P&amp;L'!AJ:AJ)</f>
        <v>55000</v>
      </c>
      <c r="I123" s="448">
        <f>SUMIF('Core P&amp;L'!$D:$D,'Core Opex Proj.'!$C123,'Core P&amp;L'!T:T)</f>
        <v>10000</v>
      </c>
      <c r="J123" s="448"/>
      <c r="K123" s="448"/>
      <c r="L123" s="448"/>
      <c r="M123" s="448"/>
      <c r="N123" s="448"/>
      <c r="O123" s="448"/>
      <c r="P123" s="448"/>
    </row>
    <row r="124" spans="1:16" outlineLevel="1">
      <c r="A124" s="438" t="s">
        <v>327</v>
      </c>
      <c r="B124" s="439" t="s">
        <v>747</v>
      </c>
      <c r="C124" s="440">
        <v>65311000</v>
      </c>
      <c r="D124" s="320" t="s">
        <v>940</v>
      </c>
      <c r="E124" s="447"/>
      <c r="F124" s="442"/>
      <c r="G124" s="448">
        <f>SUMIF('Core P&amp;L'!$D:$D,'Core Opex Proj.'!$C124,'Core P&amp;L'!BN:BN)</f>
        <v>439801</v>
      </c>
      <c r="H124" s="448">
        <f>SUMIF('Core P&amp;L'!$D:$D,'Core Opex Proj.'!$C124,'Core P&amp;L'!AJ:AJ)</f>
        <v>0</v>
      </c>
      <c r="I124" s="448">
        <f>SUMIF('Core P&amp;L'!$D:$D,'Core Opex Proj.'!$C124,'Core P&amp;L'!T:T)</f>
        <v>0</v>
      </c>
      <c r="J124" s="448"/>
      <c r="K124" s="448"/>
      <c r="L124" s="448"/>
      <c r="M124" s="448"/>
      <c r="N124" s="448"/>
      <c r="O124" s="448"/>
      <c r="P124" s="448"/>
    </row>
    <row r="125" spans="1:16" outlineLevel="1">
      <c r="A125" s="438" t="s">
        <v>327</v>
      </c>
      <c r="B125" s="439" t="s">
        <v>747</v>
      </c>
      <c r="C125" s="440">
        <v>65312000</v>
      </c>
      <c r="D125" s="320" t="s">
        <v>938</v>
      </c>
      <c r="E125" s="447"/>
      <c r="F125" s="442"/>
      <c r="G125" s="448">
        <f>SUMIF('Core P&amp;L'!$D:$D,'Core Opex Proj.'!$C125,'Core P&amp;L'!BN:BN)</f>
        <v>2639159.91</v>
      </c>
      <c r="H125" s="448">
        <f>SUMIF('Core P&amp;L'!$D:$D,'Core Opex Proj.'!$C125,'Core P&amp;L'!AJ:AJ)</f>
        <v>8119847.9900000002</v>
      </c>
      <c r="I125" s="448">
        <f>SUMIF('Core P&amp;L'!$D:$D,'Core Opex Proj.'!$C125,'Core P&amp;L'!T:T)</f>
        <v>6854481.143995041</v>
      </c>
      <c r="J125" s="448"/>
      <c r="K125" s="448"/>
      <c r="L125" s="448"/>
      <c r="M125" s="448"/>
      <c r="N125" s="448"/>
      <c r="O125" s="448"/>
      <c r="P125" s="448"/>
    </row>
    <row r="126" spans="1:16">
      <c r="A126" s="438" t="s">
        <v>618</v>
      </c>
      <c r="B126" s="439" t="s">
        <v>747</v>
      </c>
      <c r="C126" s="440">
        <v>66001000</v>
      </c>
      <c r="D126" s="320" t="s">
        <v>360</v>
      </c>
      <c r="E126" s="447" t="s">
        <v>748</v>
      </c>
      <c r="F126" s="442">
        <v>143098439.54000002</v>
      </c>
      <c r="G126" s="448">
        <f>SUMIF('Core P&amp;L'!$D:$D,'Core Opex Proj.'!$C126,'Core P&amp;L'!BN:BN)</f>
        <v>100076517.38000001</v>
      </c>
      <c r="H126" s="448">
        <f>SUMIF('Core P&amp;L'!$D:$D,'Core Opex Proj.'!$C126,'Core P&amp;L'!AJ:AJ)</f>
        <v>95979372.350000009</v>
      </c>
      <c r="I126" s="448">
        <f>SUMIF('Core P&amp;L'!$D:$D,'Core Opex Proj.'!$C126,'Core P&amp;L'!T:T)</f>
        <v>143875988.06660345</v>
      </c>
      <c r="J126" s="448"/>
      <c r="K126" s="448"/>
      <c r="L126" s="448"/>
      <c r="M126" s="448"/>
      <c r="N126" s="448"/>
      <c r="O126" s="448"/>
      <c r="P126" s="448"/>
    </row>
    <row r="127" spans="1:16" outlineLevel="1">
      <c r="A127" s="438" t="s">
        <v>618</v>
      </c>
      <c r="B127" s="439" t="s">
        <v>747</v>
      </c>
      <c r="C127" s="440">
        <v>66002000</v>
      </c>
      <c r="D127" s="320" t="s">
        <v>706</v>
      </c>
      <c r="E127" s="447" t="s">
        <v>748</v>
      </c>
      <c r="F127" s="442">
        <v>65386.740000000005</v>
      </c>
      <c r="G127" s="448">
        <f>SUMIF('Core P&amp;L'!$D:$D,'Core Opex Proj.'!$C127,'Core P&amp;L'!BN:BN)</f>
        <v>9449.5600000000013</v>
      </c>
      <c r="H127" s="448">
        <f>SUMIF('Core P&amp;L'!$D:$D,'Core Opex Proj.'!$C127,'Core P&amp;L'!AJ:AJ)</f>
        <v>0</v>
      </c>
      <c r="I127" s="448">
        <f>SUMIF('Core P&amp;L'!$D:$D,'Core Opex Proj.'!$C127,'Core P&amp;L'!T:T)</f>
        <v>0</v>
      </c>
      <c r="J127" s="448"/>
      <c r="K127" s="448"/>
      <c r="L127" s="448"/>
      <c r="M127" s="448"/>
      <c r="N127" s="448"/>
      <c r="O127" s="448"/>
      <c r="P127" s="448"/>
    </row>
    <row r="128" spans="1:16" outlineLevel="1">
      <c r="A128" s="438" t="s">
        <v>618</v>
      </c>
      <c r="B128" s="439" t="s">
        <v>747</v>
      </c>
      <c r="C128" s="440">
        <v>66003000</v>
      </c>
      <c r="D128" s="320" t="s">
        <v>707</v>
      </c>
      <c r="E128" s="447" t="s">
        <v>748</v>
      </c>
      <c r="F128" s="442">
        <v>0</v>
      </c>
      <c r="G128" s="448">
        <f>SUMIF('Core P&amp;L'!$D:$D,'Core Opex Proj.'!$C128,'Core P&amp;L'!BN:BN)</f>
        <v>0</v>
      </c>
      <c r="H128" s="448">
        <f>SUMIF('Core P&amp;L'!$D:$D,'Core Opex Proj.'!$C128,'Core P&amp;L'!AJ:AJ)</f>
        <v>0</v>
      </c>
      <c r="I128" s="448">
        <f>SUMIF('Core P&amp;L'!$D:$D,'Core Opex Proj.'!$C128,'Core P&amp;L'!T:T)</f>
        <v>0</v>
      </c>
      <c r="J128" s="448"/>
      <c r="K128" s="448"/>
      <c r="L128" s="448"/>
      <c r="M128" s="448"/>
      <c r="N128" s="448"/>
      <c r="O128" s="448"/>
      <c r="P128" s="448"/>
    </row>
    <row r="129" spans="1:21">
      <c r="A129" s="438" t="s">
        <v>328</v>
      </c>
      <c r="B129" s="439" t="s">
        <v>747</v>
      </c>
      <c r="C129" s="440">
        <v>67001000</v>
      </c>
      <c r="D129" s="320" t="s">
        <v>361</v>
      </c>
      <c r="E129" s="447" t="s">
        <v>748</v>
      </c>
      <c r="F129" s="442">
        <v>163799.12</v>
      </c>
      <c r="G129" s="448">
        <f>SUMIF('Core P&amp;L'!$D:$D,'Core Opex Proj.'!$C129,'Core P&amp;L'!BN:BN)</f>
        <v>161017.87</v>
      </c>
      <c r="H129" s="448">
        <f>SUMIF('Core P&amp;L'!$D:$D,'Core Opex Proj.'!$C129,'Core P&amp;L'!AJ:AJ)</f>
        <v>123353</v>
      </c>
      <c r="I129" s="448">
        <f>SUMIF('Core P&amp;L'!$D:$D,'Core Opex Proj.'!$C129,'Core P&amp;L'!T:T)</f>
        <v>100000</v>
      </c>
      <c r="J129" s="448"/>
      <c r="K129" s="448"/>
      <c r="L129" s="448"/>
      <c r="M129" s="448"/>
      <c r="N129" s="448"/>
      <c r="O129" s="448"/>
      <c r="P129" s="448"/>
    </row>
    <row r="130" spans="1:21">
      <c r="A130" s="438" t="s">
        <v>328</v>
      </c>
      <c r="B130" s="439" t="s">
        <v>747</v>
      </c>
      <c r="C130" s="440">
        <v>67002000</v>
      </c>
      <c r="D130" s="320" t="s">
        <v>708</v>
      </c>
      <c r="E130" s="447" t="s">
        <v>748</v>
      </c>
      <c r="F130" s="442">
        <v>590282.62</v>
      </c>
      <c r="G130" s="448">
        <f>SUMIF('Core P&amp;L'!$D:$D,'Core Opex Proj.'!$C130,'Core P&amp;L'!BN:BN)</f>
        <v>404533.56</v>
      </c>
      <c r="H130" s="448">
        <f>SUMIF('Core P&amp;L'!$D:$D,'Core Opex Proj.'!$C130,'Core P&amp;L'!AJ:AJ)</f>
        <v>0</v>
      </c>
      <c r="I130" s="448">
        <f>SUMIF('Core P&amp;L'!$D:$D,'Core Opex Proj.'!$C130,'Core P&amp;L'!T:T)</f>
        <v>0</v>
      </c>
      <c r="J130" s="448"/>
      <c r="K130" s="448"/>
      <c r="L130" s="448"/>
      <c r="M130" s="448"/>
      <c r="N130" s="448"/>
      <c r="O130" s="448"/>
      <c r="P130" s="448"/>
    </row>
    <row r="131" spans="1:21" outlineLevel="1">
      <c r="A131" s="438" t="s">
        <v>619</v>
      </c>
      <c r="B131" s="439" t="s">
        <v>109</v>
      </c>
      <c r="C131" s="440">
        <v>60206000</v>
      </c>
      <c r="D131" s="320" t="s">
        <v>709</v>
      </c>
      <c r="E131" s="441"/>
      <c r="F131" s="442">
        <v>0</v>
      </c>
      <c r="G131" s="442">
        <f>SUMIF('Core P&amp;L'!$D:$D,'Core Opex Proj.'!$C131,'Core P&amp;L'!BN:BN)</f>
        <v>31170</v>
      </c>
      <c r="H131" s="442">
        <f>SUMIF('Core P&amp;L'!$D:$D,'Core Opex Proj.'!$C131,'Core P&amp;L'!AJ:AJ)</f>
        <v>0</v>
      </c>
      <c r="I131" s="442">
        <f>SUMIF('Core P&amp;L'!$D:$D,'Core Opex Proj.'!$C131,'Core P&amp;L'!T:T)</f>
        <v>181599</v>
      </c>
      <c r="J131" s="442"/>
      <c r="K131" s="442"/>
      <c r="L131" s="442"/>
      <c r="M131" s="442"/>
      <c r="N131" s="442"/>
      <c r="O131" s="442"/>
      <c r="P131" s="442"/>
    </row>
    <row r="132" spans="1:21">
      <c r="A132" s="449" t="s">
        <v>612</v>
      </c>
      <c r="B132" s="450" t="s">
        <v>749</v>
      </c>
      <c r="C132" s="451">
        <v>60404200</v>
      </c>
      <c r="D132" s="320" t="s">
        <v>613</v>
      </c>
      <c r="E132" s="441" t="s">
        <v>746</v>
      </c>
      <c r="F132" s="442">
        <v>7553588.3599999994</v>
      </c>
      <c r="G132" s="442">
        <f>SUMIF('Core P&amp;L'!$D:$D,'Core Opex Proj.'!$C132,'Core P&amp;L'!BN:BN)</f>
        <v>2792722.7300000004</v>
      </c>
      <c r="H132" s="442">
        <f>SUMIF('Core P&amp;L'!$D:$D,'Core Opex Proj.'!$C132,'Core P&amp;L'!AJ:AJ)</f>
        <v>0</v>
      </c>
      <c r="I132" s="442">
        <f>SUMIF('Core P&amp;L'!$D:$D,'Core Opex Proj.'!$C132,'Core P&amp;L'!T:T)</f>
        <v>850000</v>
      </c>
      <c r="J132" s="442"/>
      <c r="K132" s="442"/>
      <c r="L132" s="442"/>
      <c r="M132" s="442"/>
      <c r="N132" s="442"/>
      <c r="O132" s="442"/>
      <c r="P132" s="442"/>
    </row>
    <row r="133" spans="1:21">
      <c r="A133" s="449" t="s">
        <v>810</v>
      </c>
      <c r="B133" s="439" t="s">
        <v>109</v>
      </c>
      <c r="C133" s="439">
        <v>60221000</v>
      </c>
      <c r="D133" s="320" t="s">
        <v>811</v>
      </c>
      <c r="E133" s="444" t="s">
        <v>742</v>
      </c>
      <c r="F133" s="442">
        <v>0</v>
      </c>
      <c r="G133" s="442">
        <f>SUMIF('Core P&amp;L'!$D:$D,'Core Opex Proj.'!$C133,'Core P&amp;L'!BN:BN)</f>
        <v>1488563.3900000001</v>
      </c>
      <c r="H133" s="442">
        <f>SUMIF('Core P&amp;L'!$D:$D,'Core Opex Proj.'!$C133,'Core P&amp;L'!AJ:AJ)</f>
        <v>1455780</v>
      </c>
      <c r="I133" s="442">
        <f>SUMIF('Core P&amp;L'!$D:$D,'Core Opex Proj.'!$C133,'Core P&amp;L'!T:T)</f>
        <v>1462465</v>
      </c>
      <c r="J133" s="445">
        <f t="shared" ref="J133:P133" si="39">I133*(1+J$1)</f>
        <v>1535588.25</v>
      </c>
      <c r="K133" s="445">
        <f t="shared" si="39"/>
        <v>1612367.6625000001</v>
      </c>
      <c r="L133" s="445">
        <f t="shared" si="39"/>
        <v>1692986.0456250003</v>
      </c>
      <c r="M133" s="445">
        <f t="shared" si="39"/>
        <v>1777635.3479062503</v>
      </c>
      <c r="N133" s="445">
        <f t="shared" si="39"/>
        <v>1866517.1153015629</v>
      </c>
      <c r="O133" s="445">
        <f t="shared" si="39"/>
        <v>1959842.9710666412</v>
      </c>
      <c r="P133" s="445">
        <f t="shared" si="39"/>
        <v>2057835.1196199732</v>
      </c>
    </row>
    <row r="134" spans="1:21">
      <c r="A134" s="186" t="s">
        <v>1675</v>
      </c>
      <c r="B134" s="329" t="s">
        <v>1676</v>
      </c>
      <c r="C134" s="186" t="s">
        <v>1675</v>
      </c>
      <c r="D134" s="329" t="s">
        <v>1676</v>
      </c>
      <c r="E134" s="444"/>
      <c r="F134" s="442"/>
      <c r="G134" s="442"/>
      <c r="H134" s="442">
        <f>SUMIF('Core P&amp;L'!$D:$D,'Core Opex Proj.'!$C134,'Core P&amp;L'!AJ:AJ)</f>
        <v>0</v>
      </c>
      <c r="I134" s="461">
        <f>SUMIF('Core P&amp;L'!$D:$D,'Core Opex Proj.'!$C134,'Core P&amp;L'!T:T)-I135</f>
        <v>29368342.810333572</v>
      </c>
      <c r="J134" s="445">
        <f>'Manufacturing cost analysis'!BA58-J135</f>
        <v>35075474.028347671</v>
      </c>
      <c r="K134" s="445">
        <f>'Manufacturing cost analysis'!BE58-K135</f>
        <v>36112220.661623605</v>
      </c>
      <c r="L134" s="445">
        <f>'Manufacturing cost analysis'!BI58-L135</f>
        <v>7386108.4030528627</v>
      </c>
      <c r="M134" s="445">
        <f>'Manufacturing cost analysis'!BM58-M135</f>
        <v>0</v>
      </c>
      <c r="N134" s="445">
        <f>'Manufacturing cost analysis'!BQ58-N135</f>
        <v>0</v>
      </c>
      <c r="O134" s="445">
        <f>'Manufacturing cost analysis'!BU58-O135</f>
        <v>0</v>
      </c>
      <c r="P134" s="445">
        <f>'Manufacturing cost analysis'!BY58-P135</f>
        <v>0</v>
      </c>
    </row>
    <row r="135" spans="1:21">
      <c r="A135" s="210" t="s">
        <v>1352</v>
      </c>
      <c r="B135" s="329" t="s">
        <v>1779</v>
      </c>
      <c r="C135" s="176" t="s">
        <v>1352</v>
      </c>
      <c r="D135" s="329" t="s">
        <v>1779</v>
      </c>
      <c r="E135" s="444"/>
      <c r="F135" s="442"/>
      <c r="G135" s="442"/>
      <c r="H135" s="442"/>
      <c r="I135" s="445">
        <f>SUM('Manufacturing cost analysis'!AW35:AW36)</f>
        <v>59874633.760387592</v>
      </c>
      <c r="J135" s="445">
        <f>SUM('Manufacturing cost analysis'!BA35:BA36)</f>
        <v>64227940.344371438</v>
      </c>
      <c r="K135" s="445">
        <f>SUM('Manufacturing cost analysis'!BE35:BE36)</f>
        <v>59078924.463697962</v>
      </c>
      <c r="L135" s="445">
        <f>SUM('Manufacturing cost analysis'!BI35:BI36)</f>
        <v>10674775.955813691</v>
      </c>
      <c r="M135" s="445">
        <f>SUM('Manufacturing cost analysis'!BM35:BM36)</f>
        <v>0</v>
      </c>
      <c r="N135" s="445">
        <f>SUM('Manufacturing cost analysis'!BQ35:BQ36)</f>
        <v>0</v>
      </c>
      <c r="O135" s="445">
        <f>SUM('Manufacturing cost analysis'!BU35:BU36)</f>
        <v>0</v>
      </c>
      <c r="P135" s="445">
        <f>SUM('Manufacturing cost analysis'!BY35:BY36)</f>
        <v>0</v>
      </c>
    </row>
    <row r="136" spans="1:21" s="1871" customFormat="1">
      <c r="A136" s="312" t="s">
        <v>1677</v>
      </c>
      <c r="B136" s="329" t="s">
        <v>1747</v>
      </c>
      <c r="C136" s="312" t="s">
        <v>1677</v>
      </c>
      <c r="D136" s="329" t="s">
        <v>1748</v>
      </c>
      <c r="E136" s="441"/>
      <c r="F136" s="461"/>
      <c r="G136" s="461"/>
      <c r="H136" s="461">
        <f>SUMIF('Core P&amp;L'!$D:$D,'Core Opex Proj.'!$C136,'Core P&amp;L'!AJ:AJ)</f>
        <v>0</v>
      </c>
      <c r="I136" s="446">
        <f>SUM('Manufacturing cost analysis'!AV76:AW76)-I137</f>
        <v>18587254.847209089</v>
      </c>
      <c r="J136" s="1806">
        <f>SUM('Manufacturing cost analysis'!AZ76:BA76)-J137</f>
        <v>13716881.207097314</v>
      </c>
      <c r="K136" s="1806">
        <f>SUM('Manufacturing cost analysis'!BD76:BE76)-K137</f>
        <v>3075283.7223858349</v>
      </c>
      <c r="L136" s="1806">
        <f>SUM('Manufacturing cost analysis'!BH76:BI76)-L137</f>
        <v>0</v>
      </c>
      <c r="M136" s="1806">
        <f>SUM('Manufacturing cost analysis'!BL76:BM76)-M137</f>
        <v>0</v>
      </c>
      <c r="N136" s="1806">
        <f>SUM('Manufacturing cost analysis'!BP76:BQ76)-N137</f>
        <v>0</v>
      </c>
      <c r="O136" s="1806">
        <f>SUM('Manufacturing cost analysis'!BT76:BU76)-O137</f>
        <v>0</v>
      </c>
      <c r="P136" s="1806">
        <f>SUM('Manufacturing cost analysis'!BX76:BY76)-P137</f>
        <v>0</v>
      </c>
      <c r="U136" s="1872"/>
    </row>
    <row r="137" spans="1:21" s="1871" customFormat="1">
      <c r="A137" s="312" t="s">
        <v>1677</v>
      </c>
      <c r="B137" s="329" t="s">
        <v>1847</v>
      </c>
      <c r="C137" s="312" t="s">
        <v>1677</v>
      </c>
      <c r="D137" s="329" t="s">
        <v>1848</v>
      </c>
      <c r="E137" s="441"/>
      <c r="F137" s="461"/>
      <c r="G137" s="461"/>
      <c r="H137" s="461"/>
      <c r="I137" s="446">
        <f>SUM('Manufacturing cost analysis'!AV84:AW84)</f>
        <v>18812945.619116001</v>
      </c>
      <c r="J137" s="1806">
        <f>SUM('Manufacturing cost analysis'!AZ84:BA84)</f>
        <v>11111224.447597999</v>
      </c>
      <c r="K137" s="1806">
        <f>SUM('Manufacturing cost analysis'!BD84:BE84)</f>
        <v>2443284.7205535993</v>
      </c>
      <c r="L137" s="1806">
        <f>SUM('Manufacturing cost analysis'!BH84:BI84)</f>
        <v>0</v>
      </c>
      <c r="M137" s="1806">
        <f>SUM('Manufacturing cost analysis'!BL84:BM84)</f>
        <v>0</v>
      </c>
      <c r="N137" s="1806">
        <f>SUM('Manufacturing cost analysis'!BP84:BQ84)</f>
        <v>0</v>
      </c>
      <c r="O137" s="1806">
        <f>SUM('Manufacturing cost analysis'!BT84:BU84)</f>
        <v>0</v>
      </c>
      <c r="P137" s="1806">
        <f>SUM('Manufacturing cost analysis'!BX84:BY84)</f>
        <v>0</v>
      </c>
      <c r="U137" s="1872"/>
    </row>
    <row r="138" spans="1:21">
      <c r="A138" s="186" t="s">
        <v>329</v>
      </c>
      <c r="B138" s="439" t="s">
        <v>109</v>
      </c>
      <c r="C138" s="327" t="s">
        <v>1727</v>
      </c>
      <c r="D138" s="329" t="s">
        <v>1678</v>
      </c>
      <c r="E138" s="444"/>
      <c r="F138" s="442"/>
      <c r="G138" s="442"/>
      <c r="H138" s="442">
        <f>SUMIF('Core P&amp;L'!$D:$D,'Core Opex Proj.'!$C138,'Core P&amp;L'!AJ:AJ)</f>
        <v>0</v>
      </c>
      <c r="I138" s="442">
        <f>SUMIF('Core P&amp;L'!$D:$D,'Core Opex Proj.'!$C138,'Core P&amp;L'!T:T)</f>
        <v>571400</v>
      </c>
      <c r="J138" s="445"/>
      <c r="K138" s="445"/>
      <c r="L138" s="445"/>
      <c r="M138" s="445"/>
      <c r="N138" s="445"/>
      <c r="O138" s="445"/>
      <c r="P138" s="445"/>
    </row>
    <row r="139" spans="1:21">
      <c r="F139" s="432">
        <v>0</v>
      </c>
      <c r="G139" s="442"/>
      <c r="H139" s="442"/>
      <c r="I139" s="442"/>
      <c r="J139" s="442"/>
      <c r="K139" s="442"/>
      <c r="L139" s="442"/>
      <c r="M139" s="442"/>
      <c r="N139" s="442"/>
      <c r="O139" s="442"/>
      <c r="P139" s="442"/>
    </row>
    <row r="140" spans="1:21" s="437" customFormat="1">
      <c r="C140" s="435"/>
      <c r="E140" s="435"/>
      <c r="F140" s="452">
        <f>SUM(F4:F139)</f>
        <v>329348401.28000009</v>
      </c>
      <c r="G140" s="453">
        <f>SUM(G4:G139)</f>
        <v>231183228.14573026</v>
      </c>
      <c r="H140" s="453">
        <f>SUM(H4:H139)</f>
        <v>243442692.97000003</v>
      </c>
      <c r="I140" s="1529">
        <f>SUM(I4:I139)</f>
        <v>472448226.25409907</v>
      </c>
      <c r="J140" s="453">
        <f>SUM(J4:J139)</f>
        <v>289576829.14793539</v>
      </c>
      <c r="K140" s="453">
        <f>SUM(K4:K139)</f>
        <v>259786252.94310102</v>
      </c>
      <c r="L140" s="453">
        <f>SUM(L4:L139)</f>
        <v>171720579.14366287</v>
      </c>
      <c r="M140" s="453">
        <f>SUM(M4:M139)</f>
        <v>157121775.86030498</v>
      </c>
      <c r="N140" s="453">
        <f>SUM(N4:N139)</f>
        <v>162077484.10840991</v>
      </c>
      <c r="O140" s="453">
        <f>SUM(O4:O139)</f>
        <v>167323872.53133842</v>
      </c>
      <c r="P140" s="453">
        <f>SUM(P4:P139)</f>
        <v>172722516.17895034</v>
      </c>
      <c r="U140" s="636"/>
    </row>
    <row r="141" spans="1:21">
      <c r="G141" s="442"/>
      <c r="H141" s="442"/>
      <c r="I141" s="442"/>
      <c r="J141" s="442"/>
      <c r="K141" s="442"/>
      <c r="L141" s="442"/>
      <c r="M141" s="442"/>
      <c r="N141" s="442"/>
      <c r="O141" s="442"/>
      <c r="P141" s="442"/>
    </row>
    <row r="142" spans="1:21">
      <c r="G142" s="442">
        <f>G140-'Core P&amp;L'!$BN$236</f>
        <v>0</v>
      </c>
      <c r="H142" s="442">
        <f>H140-'Core P&amp;L'!$AX$236</f>
        <v>-58761160.079999983</v>
      </c>
      <c r="I142" s="442"/>
      <c r="J142" s="442"/>
      <c r="K142" s="442"/>
      <c r="L142" s="442"/>
      <c r="M142" s="442"/>
      <c r="N142" s="442"/>
      <c r="O142" s="442"/>
      <c r="P142" s="442"/>
    </row>
    <row r="143" spans="1:21">
      <c r="B143" s="432" t="s">
        <v>750</v>
      </c>
      <c r="G143" s="442"/>
      <c r="H143" s="442"/>
      <c r="I143" s="442"/>
      <c r="J143" s="442"/>
      <c r="K143" s="442"/>
      <c r="L143" s="442"/>
      <c r="M143" s="442"/>
      <c r="N143" s="442"/>
      <c r="O143" s="442"/>
      <c r="P143" s="442"/>
    </row>
    <row r="144" spans="1:21">
      <c r="B144" s="450" t="s">
        <v>102</v>
      </c>
      <c r="F144" s="518">
        <f>SUMIF($B$4:$B$139,$B144,F$4:F$139)+2460623</f>
        <v>52623056.860000007</v>
      </c>
      <c r="G144" s="442">
        <f>SUMIF($B$4:$B$139,$B144,G$4:G$139)</f>
        <v>41358112.242049545</v>
      </c>
      <c r="H144" s="442">
        <f>SUMIF($B$4:$B$139,$B144,H$4:H$139)</f>
        <v>39583477.759999998</v>
      </c>
      <c r="I144" s="442">
        <f>SUMIF($B$4:$B$139,$B144,I$4:I$139)</f>
        <v>43310307.814369313</v>
      </c>
      <c r="J144" s="442">
        <f>SUMIF($B$4:$B$139,$B144,J$4:J$139)</f>
        <v>53435440.756666668</v>
      </c>
      <c r="K144" s="442">
        <f>SUMIF($B$4:$B$139,$B144,K$4:K$139)</f>
        <v>54863195.751366667</v>
      </c>
      <c r="L144" s="442">
        <f>SUMIF($B$4:$B$139,$B144,L$4:L$139)</f>
        <v>56092426.128667668</v>
      </c>
      <c r="M144" s="442">
        <f>SUMIF($B$4:$B$139,$B144,M$4:M$139)</f>
        <v>57710438.672527701</v>
      </c>
      <c r="N144" s="442">
        <f>SUMIF($B$4:$B$139,$B144,N$4:N$139)</f>
        <v>59376991.832703531</v>
      </c>
      <c r="O144" s="442">
        <f>SUMIF($B$4:$B$139,$B144,O$4:O$139)</f>
        <v>61093542.157684632</v>
      </c>
      <c r="P144" s="442">
        <f>SUMIF($B$4:$B$139,$B144,P$4:P$139)</f>
        <v>62861587.482415177</v>
      </c>
    </row>
    <row r="145" spans="2:16">
      <c r="B145" s="450" t="s">
        <v>103</v>
      </c>
      <c r="F145" s="442">
        <f>SUMIF($B$4:$B$139,$B145,F$4:F$139)</f>
        <v>1542845.28</v>
      </c>
      <c r="G145" s="442">
        <f>SUMIF($B$4:$B$139,$B145,G$4:G$139)</f>
        <v>1277609.7335837057</v>
      </c>
      <c r="H145" s="442">
        <f>SUMIF($B$4:$B$139,$B145,H$4:H$139)</f>
        <v>1236158.33</v>
      </c>
      <c r="I145" s="442">
        <f>SUMIF($B$4:$B$139,$B145,I$4:I$139)</f>
        <v>1349951.2404999998</v>
      </c>
      <c r="J145" s="442">
        <f>SUMIF($B$4:$B$139,$B145,J$4:J$139)</f>
        <v>1648032.12</v>
      </c>
      <c r="K145" s="442">
        <f>SUMIF($B$4:$B$139,$B145,K$4:K$139)</f>
        <v>1658258.6778499999</v>
      </c>
      <c r="L145" s="442">
        <f>SUMIF($B$4:$B$139,$B145,L$4:L$139)</f>
        <v>1662117.4909659999</v>
      </c>
      <c r="M145" s="442">
        <f>SUMIF($B$4:$B$139,$B145,M$4:M$139)</f>
        <v>1679888.5882949799</v>
      </c>
      <c r="N145" s="442">
        <f>SUMIF($B$4:$B$139,$B145,N$4:N$139)</f>
        <v>1696319.3149438296</v>
      </c>
      <c r="O145" s="442">
        <f>SUMIF($B$4:$B$139,$B145,O$4:O$139)</f>
        <v>1711528.0115921446</v>
      </c>
      <c r="P145" s="442">
        <f>SUMIF($B$4:$B$139,$B145,P$4:P$139)</f>
        <v>1726057.3500399087</v>
      </c>
    </row>
    <row r="146" spans="2:16">
      <c r="B146" s="450" t="s">
        <v>104</v>
      </c>
      <c r="F146" s="518">
        <f>SUMIF($B$4:$B$139,$B146,F$4:F$139)+3978689</f>
        <v>3710159.4200000009</v>
      </c>
      <c r="G146" s="442">
        <f>SUMIF($B$4:$B$139,$B146,G$4:G$139)</f>
        <v>1594388</v>
      </c>
      <c r="H146" s="442">
        <f>SUMIF($B$4:$B$139,$B146,H$4:H$139)</f>
        <v>3188775.9600000004</v>
      </c>
      <c r="I146" s="442">
        <f>SUMIF($B$4:$B$139,$B146,I$4:I$139)</f>
        <v>6190296</v>
      </c>
      <c r="J146" s="442">
        <f>SUMIF($B$4:$B$139,$B146,J$4:J$139)</f>
        <v>7000000</v>
      </c>
      <c r="K146" s="442">
        <f>SUMIF($B$4:$B$139,$B146,K$4:K$139)</f>
        <v>7500000</v>
      </c>
      <c r="L146" s="442">
        <f>SUMIF($B$4:$B$139,$B146,L$4:L$139)</f>
        <v>7779661.1999999993</v>
      </c>
      <c r="M146" s="442">
        <f>SUMIF($B$4:$B$139,$B146,M$4:M$139)</f>
        <v>8004105</v>
      </c>
      <c r="N146" s="442">
        <f>SUMIF($B$4:$B$139,$B146,N$4:N$139)</f>
        <v>8235282.1499999994</v>
      </c>
      <c r="O146" s="442">
        <f>SUMIF($B$4:$B$139,$B146,O$4:O$139)</f>
        <v>8473394.6999999993</v>
      </c>
      <c r="P146" s="442">
        <f>SUMIF($B$4:$B$139,$B146,P$4:P$139)</f>
        <v>8718650.4000000004</v>
      </c>
    </row>
    <row r="147" spans="2:16">
      <c r="B147" s="450" t="s">
        <v>751</v>
      </c>
      <c r="F147" s="442">
        <f>SUMIF($B$4:$B$139,$B147,F$4:F$139)</f>
        <v>6898236.0999999996</v>
      </c>
      <c r="G147" s="442">
        <f>SUMIF($B$4:$B$139,$B147,G$4:G$139)</f>
        <v>7054168.5199999996</v>
      </c>
      <c r="H147" s="442">
        <f>SUMIF($B$4:$B$139,$B147,H$4:H$139)</f>
        <v>7025439</v>
      </c>
      <c r="I147" s="442">
        <f>SUMIF($B$4:$B$139,$B147,I$4:I$139)</f>
        <v>7024884</v>
      </c>
      <c r="J147" s="442">
        <f>SUMIF($B$4:$B$139,$B147,J$4:J$139)</f>
        <v>7376128.2000000002</v>
      </c>
      <c r="K147" s="442">
        <f>SUMIF($B$4:$B$139,$B147,K$4:K$139)</f>
        <v>7744934.6100000003</v>
      </c>
      <c r="L147" s="442">
        <f>SUMIF($B$4:$B$139,$B147,L$4:L$139)</f>
        <v>8132181.3405000009</v>
      </c>
      <c r="M147" s="442">
        <f>SUMIF($B$4:$B$139,$B147,M$4:M$139)</f>
        <v>8538790.4075250011</v>
      </c>
      <c r="N147" s="442">
        <f>SUMIF($B$4:$B$139,$B147,N$4:N$139)</f>
        <v>8965729.9279012512</v>
      </c>
      <c r="O147" s="442">
        <f>SUMIF($B$4:$B$139,$B147,O$4:O$139)</f>
        <v>9414016.4242963139</v>
      </c>
      <c r="P147" s="442">
        <f>SUMIF($B$4:$B$139,$B147,P$4:P$139)</f>
        <v>9884717.2455111295</v>
      </c>
    </row>
    <row r="148" spans="2:16">
      <c r="B148" s="450" t="s">
        <v>752</v>
      </c>
      <c r="F148" s="442">
        <f>SUMIF($B$4:$B$139,$B148,F$4:F$139)-F160</f>
        <v>14439974.510000002</v>
      </c>
      <c r="G148" s="442">
        <f>SUMIF($B$4:$B$139,$B148,G$4:G$139)-G160</f>
        <v>8829997.8800000008</v>
      </c>
      <c r="H148" s="442">
        <f>SUMIF($B$4:$B$139,$B148,H$4:H$139)-H160</f>
        <v>4051180.4299999997</v>
      </c>
      <c r="I148" s="442">
        <f>SUMIF($B$4:$B$139,$B148,I$4:I$139)-I160</f>
        <v>5126260</v>
      </c>
      <c r="J148" s="442">
        <f>SUMIF($B$4:$B$139,$B148,J$4:J$139)-J160</f>
        <v>3637837</v>
      </c>
      <c r="K148" s="442">
        <f>SUMIF($B$4:$B$139,$B148,K$4:K$139)-K160</f>
        <v>3819728.85</v>
      </c>
      <c r="L148" s="442">
        <f>SUMIF($B$4:$B$139,$B148,L$4:L$139)-L160</f>
        <v>4010715.2925</v>
      </c>
      <c r="M148" s="442">
        <f>SUMIF($B$4:$B$139,$B148,M$4:M$139)-M160</f>
        <v>4211251.0571250003</v>
      </c>
      <c r="N148" s="442">
        <f>SUMIF($B$4:$B$139,$B148,N$4:N$139)-N160</f>
        <v>4421813.60998125</v>
      </c>
      <c r="O148" s="442">
        <f>SUMIF($B$4:$B$139,$B148,O$4:O$139)-O160</f>
        <v>4642904.2904803129</v>
      </c>
      <c r="P148" s="442">
        <f>SUMIF($B$4:$B$139,$B148,P$4:P$139)-P160</f>
        <v>4875049.5050043287</v>
      </c>
    </row>
    <row r="149" spans="2:16">
      <c r="B149" s="1053" t="s">
        <v>1306</v>
      </c>
      <c r="F149" s="442">
        <f>SUMIF($B$4:$B$139,$B149,F$4:F$139)</f>
        <v>1644590.4000000004</v>
      </c>
      <c r="G149" s="442">
        <f>SUMIF($B$4:$B$139,$B149,G$4:G$139)</f>
        <v>1411335.8499999996</v>
      </c>
      <c r="H149" s="442">
        <f>SUMIF($B$4:$B$139,$B149,H$4:H$139)</f>
        <v>1300215.1100000001</v>
      </c>
      <c r="I149" s="442">
        <f>SUMIF($B$4:$B$139,$B149,I$4:I$139)</f>
        <v>4375116</v>
      </c>
      <c r="J149" s="442">
        <f>SUMIF($B$4:$B$139,$B149,J$4:J$139)</f>
        <v>4593871.8</v>
      </c>
      <c r="K149" s="442">
        <f>SUMIF($B$4:$B$139,$B149,K$4:K$139)</f>
        <v>4823565.3899999997</v>
      </c>
      <c r="L149" s="442">
        <f>SUMIF($B$4:$B$139,$B149,L$4:L$139)</f>
        <v>5064743.6595000001</v>
      </c>
      <c r="M149" s="442">
        <f>SUMIF($B$4:$B$139,$B149,M$4:M$139)</f>
        <v>5317980.8424750008</v>
      </c>
      <c r="N149" s="442">
        <f>SUMIF($B$4:$B$139,$B149,N$4:N$139)</f>
        <v>5583879.8845987506</v>
      </c>
      <c r="O149" s="442">
        <f>SUMIF($B$4:$B$139,$B149,O$4:O$139)</f>
        <v>5863073.8788286885</v>
      </c>
      <c r="P149" s="442">
        <f>SUMIF($B$4:$B$139,$B149,P$4:P$139)</f>
        <v>6156227.5727701234</v>
      </c>
    </row>
    <row r="150" spans="2:16">
      <c r="B150" s="1053" t="s">
        <v>1307</v>
      </c>
      <c r="F150" s="442">
        <f>SUMIF($B$4:$B$139,$B150,F$4:F$139)</f>
        <v>2953491.8000000003</v>
      </c>
      <c r="G150" s="442">
        <f>SUMIF($B$4:$B$139,$B150,G$4:G$139)</f>
        <v>2545958.13</v>
      </c>
      <c r="H150" s="442">
        <f>SUMIF($B$4:$B$139,$B150,H$4:H$139)</f>
        <v>2612221.88</v>
      </c>
      <c r="I150" s="442">
        <f>SUMIF($B$4:$B$139,$B150,I$4:I$139)</f>
        <v>3994037.92</v>
      </c>
      <c r="J150" s="442">
        <f>SUMIF($B$4:$B$139,$B150,J$4:J$139)</f>
        <v>4193739.8160000001</v>
      </c>
      <c r="K150" s="442">
        <f>SUMIF($B$4:$B$139,$B150,K$4:K$139)</f>
        <v>4403426.8068000004</v>
      </c>
      <c r="L150" s="442">
        <f>SUMIF($B$4:$B$139,$B150,L$4:L$139)</f>
        <v>4623598.1471400009</v>
      </c>
      <c r="M150" s="442">
        <f>SUMIF($B$4:$B$139,$B150,M$4:M$139)</f>
        <v>4854778.0544970008</v>
      </c>
      <c r="N150" s="442">
        <f>SUMIF($B$4:$B$139,$B150,N$4:N$139)</f>
        <v>5097516.9572218508</v>
      </c>
      <c r="O150" s="442">
        <f>SUMIF($B$4:$B$139,$B150,O$4:O$139)</f>
        <v>5352392.8050829433</v>
      </c>
      <c r="P150" s="442">
        <f>SUMIF($B$4:$B$139,$B150,P$4:P$139)</f>
        <v>5620012.4453370906</v>
      </c>
    </row>
    <row r="151" spans="2:16">
      <c r="B151" s="450" t="s">
        <v>753</v>
      </c>
      <c r="F151" s="442">
        <f>SUMIF($B$4:$B$139,$B151,F$4:F$139)-F159</f>
        <v>99550.25</v>
      </c>
      <c r="G151" s="442">
        <f>SUMIF($B$4:$B$139,$B151,G$4:G$139)-G159</f>
        <v>1158916.28</v>
      </c>
      <c r="H151" s="442">
        <f>SUMIF($B$4:$B$139,$B151,H$4:H$139)</f>
        <v>783037.52999999991</v>
      </c>
      <c r="I151" s="442">
        <f>SUMIF($B$4:$B$139,$B151,I$4:I$139)</f>
        <v>13442183.59</v>
      </c>
      <c r="J151" s="442">
        <f>SUMIF($B$4:$B$139,$B151,J$4:J$139)</f>
        <v>10176250</v>
      </c>
      <c r="K151" s="442">
        <f>SUMIF($B$4:$B$139,$B151,K$4:K$139)</f>
        <v>6835062.5</v>
      </c>
      <c r="L151" s="442">
        <f>SUMIF($B$4:$B$139,$B151,L$4:L$139)</f>
        <v>4175000</v>
      </c>
      <c r="M151" s="442">
        <f>SUMIF($B$4:$B$139,$B151,M$4:M$139)</f>
        <v>4383750</v>
      </c>
      <c r="N151" s="442">
        <f>SUMIF($B$4:$B$139,$B151,N$4:N$139)</f>
        <v>4602937.5</v>
      </c>
      <c r="O151" s="442">
        <f>SUMIF($B$4:$B$139,$B151,O$4:O$139)</f>
        <v>4833084.375</v>
      </c>
      <c r="P151" s="442">
        <f>SUMIF($B$4:$B$139,$B151,P$4:P$139)</f>
        <v>5074738.59375</v>
      </c>
    </row>
    <row r="152" spans="2:16">
      <c r="B152" s="450" t="s">
        <v>754</v>
      </c>
      <c r="F152" s="442">
        <f>SUMIF($B$4:$B$139,$B152,F$4:F$139)</f>
        <v>9384702.4600000009</v>
      </c>
      <c r="G152" s="442">
        <f>SUMIF($B$4:$B$139,$B152,G$4:G$139)</f>
        <v>9822016.1733333319</v>
      </c>
      <c r="H152" s="442">
        <f>SUMIF($B$4:$B$139,$B152,H$4:H$139)</f>
        <v>9348782.6099999994</v>
      </c>
      <c r="I152" s="442">
        <f>SUMIF($B$4:$B$139,$B152,I$4:I$139)</f>
        <v>24687787.489999998</v>
      </c>
      <c r="J152" s="442">
        <f>SUMIF($B$4:$B$139,$B152,J$4:J$139)</f>
        <v>24687787.489999998</v>
      </c>
      <c r="K152" s="442">
        <f>SUMIF($B$4:$B$139,$B152,K$4:K$139)</f>
        <v>24687787.489999998</v>
      </c>
      <c r="L152" s="442">
        <f>SUMIF($B$4:$B$139,$B152,L$4:L$139)</f>
        <v>24687787.489999998</v>
      </c>
      <c r="M152" s="442">
        <f>SUMIF($B$4:$B$139,$B152,M$4:M$139)</f>
        <v>24687787.489999998</v>
      </c>
      <c r="N152" s="442">
        <f>SUMIF($B$4:$B$139,$B152,N$4:N$139)</f>
        <v>24687787.489999998</v>
      </c>
      <c r="O152" s="442">
        <f>SUMIF($B$4:$B$139,$B152,O$4:O$139)</f>
        <v>24687787.489999998</v>
      </c>
      <c r="P152" s="442">
        <f>SUMIF($B$4:$B$139,$B152,P$4:P$139)</f>
        <v>24687787.489999998</v>
      </c>
    </row>
    <row r="153" spans="2:16">
      <c r="B153" s="329" t="s">
        <v>1676</v>
      </c>
      <c r="F153" s="442">
        <f>SUMIF($B$4:$B$139,$B153,F$4:F$139)</f>
        <v>0</v>
      </c>
      <c r="G153" s="442">
        <f>SUMIF($B$4:$B$139,$B153,G$4:G$139)</f>
        <v>0</v>
      </c>
      <c r="H153" s="442">
        <f>SUMIF($B$4:$B$139,$B153,H$4:H$139)</f>
        <v>0</v>
      </c>
      <c r="I153" s="442">
        <f>SUMIF($B$4:$B$139,$B153,I$4:I$139)</f>
        <v>29368342.810333572</v>
      </c>
      <c r="J153" s="442">
        <f>SUMIF($B$4:$B$139,$B153,J$4:J$139)</f>
        <v>35075474.028347671</v>
      </c>
      <c r="K153" s="442">
        <f>SUMIF($B$4:$B$139,$B153,K$4:K$139)</f>
        <v>36112220.661623605</v>
      </c>
      <c r="L153" s="442">
        <f>SUMIF($B$4:$B$139,$B153,L$4:L$139)</f>
        <v>7386108.4030528627</v>
      </c>
      <c r="M153" s="442">
        <f>SUMIF($B$4:$B$139,$B153,M$4:M$139)</f>
        <v>0</v>
      </c>
      <c r="N153" s="442">
        <f>SUMIF($B$4:$B$139,$B153,N$4:N$139)</f>
        <v>0</v>
      </c>
      <c r="O153" s="442">
        <f>SUMIF($B$4:$B$139,$B153,O$4:O$139)</f>
        <v>0</v>
      </c>
      <c r="P153" s="442">
        <f>SUMIF($B$4:$B$139,$B153,P$4:P$139)</f>
        <v>0</v>
      </c>
    </row>
    <row r="154" spans="2:16">
      <c r="B154" s="329" t="s">
        <v>1779</v>
      </c>
      <c r="F154" s="442">
        <f>SUMIF($B$4:$B$139,$B154,F$4:F$139)</f>
        <v>0</v>
      </c>
      <c r="G154" s="442">
        <f>SUMIF($B$4:$B$139,$B154,G$4:G$139)</f>
        <v>0</v>
      </c>
      <c r="H154" s="442">
        <f>SUMIF($B$4:$B$139,$B154,H$4:H$139)</f>
        <v>0</v>
      </c>
      <c r="I154" s="442">
        <f>SUMIF($B$4:$B$139,$B154,I$4:I$139)</f>
        <v>59874633.760387592</v>
      </c>
      <c r="J154" s="442">
        <f>SUMIF($B$4:$B$139,$B154,J$4:J$139)</f>
        <v>64227940.344371438</v>
      </c>
      <c r="K154" s="442">
        <f>SUMIF($B$4:$B$139,$B154,K$4:K$139)</f>
        <v>59078924.463697962</v>
      </c>
      <c r="L154" s="442">
        <f>SUMIF($B$4:$B$139,$B154,L$4:L$139)</f>
        <v>10674775.955813691</v>
      </c>
      <c r="M154" s="442">
        <f>SUMIF($B$4:$B$139,$B154,M$4:M$139)</f>
        <v>0</v>
      </c>
      <c r="N154" s="442">
        <f>SUMIF($B$4:$B$139,$B154,N$4:N$139)</f>
        <v>0</v>
      </c>
      <c r="O154" s="442">
        <f>SUMIF($B$4:$B$139,$B154,O$4:O$139)</f>
        <v>0</v>
      </c>
      <c r="P154" s="442">
        <f>SUMIF($B$4:$B$139,$B154,P$4:P$139)</f>
        <v>0</v>
      </c>
    </row>
    <row r="155" spans="2:16">
      <c r="B155" s="329" t="s">
        <v>1747</v>
      </c>
      <c r="F155" s="442">
        <f>SUMIF($B$4:$B$139,$B155,F$4:F$139)</f>
        <v>0</v>
      </c>
      <c r="G155" s="442">
        <f>SUMIF($B$4:$B$139,$B155,G$4:G$139)</f>
        <v>0</v>
      </c>
      <c r="H155" s="442">
        <f>SUMIF($B$4:$B$139,$B155,H$4:H$139)</f>
        <v>0</v>
      </c>
      <c r="I155" s="442">
        <f>SUMIF($B$4:$B$139,$B155,I$4:I$139)</f>
        <v>18587254.847209089</v>
      </c>
      <c r="J155" s="442">
        <f>SUMIF($B$4:$B$139,$B155,J$4:J$139)</f>
        <v>13716881.207097314</v>
      </c>
      <c r="K155" s="442">
        <f>SUMIF($B$4:$B$139,$B155,K$4:K$139)</f>
        <v>3075283.7223858349</v>
      </c>
      <c r="L155" s="442">
        <f>SUMIF($B$4:$B$139,$B155,L$4:L$139)</f>
        <v>0</v>
      </c>
      <c r="M155" s="442">
        <f>SUMIF($B$4:$B$139,$B155,M$4:M$139)</f>
        <v>0</v>
      </c>
      <c r="N155" s="442">
        <f>SUMIF($B$4:$B$139,$B155,N$4:N$139)</f>
        <v>0</v>
      </c>
      <c r="O155" s="442">
        <f>SUMIF($B$4:$B$139,$B155,O$4:O$139)</f>
        <v>0</v>
      </c>
      <c r="P155" s="442">
        <f>SUMIF($B$4:$B$139,$B155,P$4:P$139)</f>
        <v>0</v>
      </c>
    </row>
    <row r="156" spans="2:16">
      <c r="B156" s="329" t="s">
        <v>1847</v>
      </c>
      <c r="F156" s="442"/>
      <c r="G156" s="442">
        <f>SUMIF($B$4:$B$139,$B156,G$4:G$139)</f>
        <v>0</v>
      </c>
      <c r="H156" s="442">
        <f>SUMIF($B$4:$B$139,$B156,H$4:H$139)</f>
        <v>0</v>
      </c>
      <c r="I156" s="442">
        <f>SUMIF($B$4:$B$139,$B156,I$4:I$139)</f>
        <v>18812945.619116001</v>
      </c>
      <c r="J156" s="442">
        <f>SUMIF($B$4:$B$139,$B156,J$4:J$139)</f>
        <v>11111224.447597999</v>
      </c>
      <c r="K156" s="442">
        <f>SUMIF($B$4:$B$139,$B156,K$4:K$139)</f>
        <v>2443284.7205535993</v>
      </c>
      <c r="L156" s="442">
        <f>SUMIF($B$4:$B$139,$B156,L$4:L$139)</f>
        <v>0</v>
      </c>
      <c r="M156" s="442">
        <f>SUMIF($B$4:$B$139,$B156,M$4:M$139)</f>
        <v>0</v>
      </c>
      <c r="N156" s="442">
        <f>SUMIF($B$4:$B$139,$B156,N$4:N$139)</f>
        <v>0</v>
      </c>
      <c r="O156" s="442">
        <f>SUMIF($B$4:$B$139,$B156,O$4:O$139)</f>
        <v>0</v>
      </c>
      <c r="P156" s="442">
        <f>SUMIF($B$4:$B$139,$B156,P$4:P$139)</f>
        <v>0</v>
      </c>
    </row>
    <row r="157" spans="2:16">
      <c r="B157" s="329" t="s">
        <v>1315</v>
      </c>
      <c r="F157" s="442">
        <f>SUMIF($B$4:$B$139,$B157,F$4:F$139)</f>
        <v>0</v>
      </c>
      <c r="G157" s="442">
        <f>SUMIF($B$4:$B$139,$B157,G$4:G$139)</f>
        <v>15</v>
      </c>
      <c r="H157" s="442">
        <f>SUMIF($B$4:$B$139,$B157,H$4:H$139)</f>
        <v>0</v>
      </c>
      <c r="I157" s="442">
        <f>SUMIF($B$4:$B$139,$B157,I$4:I$139)</f>
        <v>11163722.732315069</v>
      </c>
      <c r="J157" s="442">
        <f>SUMIF($B$4:$B$139,$B157,J$4:J$139)</f>
        <v>14281796.571352741</v>
      </c>
      <c r="K157" s="442">
        <f>SUMIF($B$4:$B$139,$B157,K$4:K$139)</f>
        <v>7846421.4940068489</v>
      </c>
      <c r="L157" s="442">
        <f>SUMIF($B$4:$B$139,$B157,L$4:L$139)</f>
        <v>1486239.6041609589</v>
      </c>
      <c r="M157" s="442">
        <f>SUMIF($B$4:$B$139,$B157,M$4:M$139)</f>
        <v>97224.322191780826</v>
      </c>
      <c r="N157" s="442">
        <f>SUMIF($B$4:$B$139,$B157,N$4:N$139)</f>
        <v>14767.683287671234</v>
      </c>
      <c r="O157" s="442">
        <f>SUMIF($B$4:$B$139,$B157,O$4:O$139)</f>
        <v>0</v>
      </c>
      <c r="P157" s="442">
        <f>SUMIF($B$4:$B$139,$B157,P$4:P$139)</f>
        <v>0</v>
      </c>
    </row>
    <row r="158" spans="2:16">
      <c r="B158" s="329" t="s">
        <v>796</v>
      </c>
      <c r="F158" s="519">
        <v>-6439312</v>
      </c>
      <c r="G158" s="442"/>
      <c r="H158" s="442"/>
      <c r="I158" s="442"/>
      <c r="J158" s="442"/>
      <c r="K158" s="442"/>
      <c r="L158" s="442"/>
      <c r="M158" s="442"/>
      <c r="N158" s="442"/>
      <c r="O158" s="442"/>
      <c r="P158" s="442"/>
    </row>
    <row r="159" spans="2:16">
      <c r="B159" s="329" t="s">
        <v>719</v>
      </c>
      <c r="F159" s="442">
        <v>747602</v>
      </c>
      <c r="G159" s="442"/>
      <c r="H159" s="442">
        <f>SUMIF($B$4:$B$139,$B159,H$4:H$139)</f>
        <v>0</v>
      </c>
      <c r="I159" s="442">
        <f>SUMIF($B$4:$B$139,$B159,I$4:I$139)</f>
        <v>0</v>
      </c>
      <c r="J159" s="442">
        <f>SUMIF($B$4:$B$139,$B159,J$4:J$139)</f>
        <v>0</v>
      </c>
      <c r="K159" s="442">
        <f>SUMIF($B$4:$B$139,$B159,K$4:K$139)</f>
        <v>0</v>
      </c>
      <c r="L159" s="442">
        <f>SUMIF($B$4:$B$139,$B159,L$4:L$139)</f>
        <v>0</v>
      </c>
      <c r="M159" s="442">
        <f>SUMIF($B$4:$B$139,$B159,M$4:M$139)</f>
        <v>0</v>
      </c>
      <c r="N159" s="442">
        <f>SUMIF($B$4:$B$139,$B159,N$4:N$139)</f>
        <v>0</v>
      </c>
      <c r="O159" s="442">
        <f>SUMIF($B$4:$B$139,$B159,O$4:O$139)</f>
        <v>0</v>
      </c>
      <c r="P159" s="442">
        <f>SUMIF($B$4:$B$139,$B159,P$4:P$139)</f>
        <v>0</v>
      </c>
    </row>
    <row r="160" spans="2:16">
      <c r="B160" s="329" t="s">
        <v>717</v>
      </c>
      <c r="F160" s="509">
        <f>1404738.04+425273+1837578</f>
        <v>3667589.04</v>
      </c>
      <c r="G160" s="442">
        <f>G202+G203+G204</f>
        <v>962000</v>
      </c>
      <c r="H160" s="442">
        <f t="shared" ref="H160:P160" si="40">H202+H203+H204</f>
        <v>600000</v>
      </c>
      <c r="I160" s="442">
        <f t="shared" si="40"/>
        <v>0</v>
      </c>
      <c r="J160" s="442">
        <f t="shared" si="40"/>
        <v>0</v>
      </c>
      <c r="K160" s="442">
        <f t="shared" si="40"/>
        <v>0</v>
      </c>
      <c r="L160" s="442">
        <f t="shared" si="40"/>
        <v>0</v>
      </c>
      <c r="M160" s="442">
        <f t="shared" si="40"/>
        <v>0</v>
      </c>
      <c r="N160" s="442">
        <f t="shared" si="40"/>
        <v>0</v>
      </c>
      <c r="O160" s="442">
        <f t="shared" si="40"/>
        <v>0</v>
      </c>
      <c r="P160" s="442">
        <f t="shared" si="40"/>
        <v>0</v>
      </c>
    </row>
    <row r="161" spans="2:21">
      <c r="B161" s="329" t="s">
        <v>745</v>
      </c>
      <c r="F161" s="442">
        <v>2335191.7854545452</v>
      </c>
      <c r="G161" s="442">
        <f>2400000</f>
        <v>2400000</v>
      </c>
      <c r="H161" s="442">
        <v>0</v>
      </c>
      <c r="I161" s="442">
        <f>SUMIF($B$4:$B$139,$B161,I$4:I$139)</f>
        <v>0</v>
      </c>
      <c r="J161" s="442">
        <f>SUMIF($B$4:$B$139,$B161,J$4:J$139)</f>
        <v>0</v>
      </c>
      <c r="K161" s="442">
        <f>SUMIF($B$4:$B$139,$B161,K$4:K$139)</f>
        <v>0</v>
      </c>
      <c r="L161" s="442">
        <f>SUMIF($B$4:$B$139,$B161,L$4:L$139)</f>
        <v>0</v>
      </c>
      <c r="M161" s="442">
        <f>SUMIF($B$4:$B$139,$B161,M$4:M$139)</f>
        <v>0</v>
      </c>
      <c r="N161" s="442">
        <f>SUMIF($B$4:$B$139,$B161,N$4:N$139)</f>
        <v>0</v>
      </c>
      <c r="O161" s="442">
        <f>SUMIF($B$4:$B$139,$B161,O$4:O$139)</f>
        <v>0</v>
      </c>
      <c r="P161" s="442">
        <f>SUMIF($B$4:$B$139,$B161,P$4:P$139)</f>
        <v>0</v>
      </c>
    </row>
    <row r="162" spans="2:21">
      <c r="B162" s="329" t="s">
        <v>718</v>
      </c>
      <c r="F162" s="442">
        <v>846970</v>
      </c>
      <c r="G162" s="442">
        <f>SUMIF($B$4:$B$139,$B162,G$4:G$139)</f>
        <v>0</v>
      </c>
      <c r="H162" s="442">
        <f>SUMIF($B$4:$B$139,$B162,H$4:H$139)</f>
        <v>0</v>
      </c>
      <c r="I162" s="442">
        <f>SUMIF($B$4:$B$139,$B162,I$4:I$139)</f>
        <v>0</v>
      </c>
      <c r="J162" s="442">
        <f>SUMIF($B$4:$B$139,$B162,J$4:J$139)</f>
        <v>0</v>
      </c>
      <c r="K162" s="442">
        <f>SUMIF($B$4:$B$139,$B162,K$4:K$139)</f>
        <v>0</v>
      </c>
      <c r="L162" s="442">
        <f>SUMIF($B$4:$B$139,$B162,L$4:L$139)</f>
        <v>0</v>
      </c>
      <c r="M162" s="442">
        <f>SUMIF($B$4:$B$139,$B162,M$4:M$139)</f>
        <v>0</v>
      </c>
      <c r="N162" s="442">
        <f>SUMIF($B$4:$B$139,$B162,N$4:N$139)</f>
        <v>0</v>
      </c>
      <c r="O162" s="442">
        <f>SUMIF($B$4:$B$139,$B162,O$4:O$139)</f>
        <v>0</v>
      </c>
      <c r="P162" s="442">
        <f>SUMIF($B$4:$B$139,$B162,P$4:P$139)</f>
        <v>0</v>
      </c>
    </row>
    <row r="163" spans="2:21">
      <c r="B163" s="329" t="s">
        <v>749</v>
      </c>
      <c r="F163" s="442">
        <f>SUMIF($B$4:$B$139,$B163,F$4:F$139)</f>
        <v>7553588.3599999994</v>
      </c>
      <c r="G163" s="442">
        <f>SUMIF($B$4:$B$139,$B163,G$4:G$139)</f>
        <v>2792722.7300000004</v>
      </c>
      <c r="H163" s="442">
        <f>SUMIF($B$4:$B$139,$B163,H$4:H$139)</f>
        <v>0</v>
      </c>
      <c r="I163" s="442">
        <f>SUMIF($B$4:$B$139,$B163,I$4:I$139)</f>
        <v>850000</v>
      </c>
      <c r="J163" s="442">
        <f>SUMIF($B$4:$B$139,$B163,J$4:J$139)</f>
        <v>0</v>
      </c>
      <c r="K163" s="442">
        <f>SUMIF($B$4:$B$139,$B163,K$4:K$139)</f>
        <v>0</v>
      </c>
      <c r="L163" s="442">
        <f>SUMIF($B$4:$B$139,$B163,L$4:L$139)</f>
        <v>0</v>
      </c>
      <c r="M163" s="442">
        <f>SUMIF($B$4:$B$139,$B163,M$4:M$139)</f>
        <v>0</v>
      </c>
      <c r="N163" s="442">
        <f>SUMIF($B$4:$B$139,$B163,N$4:N$139)</f>
        <v>0</v>
      </c>
      <c r="O163" s="442">
        <f>SUMIF($B$4:$B$139,$B163,O$4:O$139)</f>
        <v>0</v>
      </c>
      <c r="P163" s="442">
        <f>SUMIF($B$4:$B$139,$B163,P$4:P$139)</f>
        <v>0</v>
      </c>
    </row>
    <row r="165" spans="2:21">
      <c r="B165" s="329" t="s">
        <v>109</v>
      </c>
      <c r="F165" s="442">
        <f>SUMIF($B$4:$B$139,$B165,F$4:F$139)-F162-F161</f>
        <v>18267300.044545446</v>
      </c>
      <c r="G165" s="442">
        <f>SUMIF($B$4:$B$139,$B165,G$4:G$139)-G162-G161</f>
        <v>19052456.946763694</v>
      </c>
      <c r="H165" s="442">
        <f>SUMIF($B$4:$B$139,$B165,H$4:H$139)-H162-H161</f>
        <v>25877190.080000006</v>
      </c>
      <c r="I165" s="442">
        <f>SUMIF($B$4:$B$139,$B165,I$4:I$139)-I162-I161</f>
        <v>33586317.837750196</v>
      </c>
      <c r="J165" s="442">
        <f>SUMIF($B$4:$B$139,$B165,J$4:J$139)-J162-J161</f>
        <v>34361925.3665016</v>
      </c>
      <c r="K165" s="442">
        <f>SUMIF($B$4:$B$139,$B165,K$4:K$139)-K162-K161</f>
        <v>34839032.804816514</v>
      </c>
      <c r="L165" s="442">
        <f>SUMIF($B$4:$B$139,$B165,L$4:L$139)-L162-L161</f>
        <v>35887343.181361623</v>
      </c>
      <c r="M165" s="442">
        <f>SUMIF($B$4:$B$139,$B165,M$4:M$139)-M162-M161</f>
        <v>37575006.11316853</v>
      </c>
      <c r="N165" s="442">
        <f>SUMIF($B$4:$B$139,$B165,N$4:N$139)-N162-N161</f>
        <v>39330643.679646768</v>
      </c>
      <c r="O165" s="442">
        <f>SUMIF($B$4:$B$139,$B165,O$4:O$139)-O162-O161</f>
        <v>41185143.616342135</v>
      </c>
      <c r="P165" s="442">
        <f>SUMIF($B$4:$B$139,$B165,P$4:P$139)-P162-P161</f>
        <v>43047333.072989739</v>
      </c>
    </row>
    <row r="166" spans="2:21" ht="6" customHeight="1">
      <c r="G166" s="442"/>
      <c r="H166" s="442"/>
      <c r="I166" s="442"/>
      <c r="J166" s="442"/>
      <c r="K166" s="442"/>
      <c r="L166" s="442"/>
      <c r="M166" s="442"/>
      <c r="N166" s="442"/>
      <c r="O166" s="442"/>
      <c r="P166" s="442"/>
    </row>
    <row r="167" spans="2:21" s="437" customFormat="1">
      <c r="C167" s="435"/>
      <c r="E167" s="435"/>
      <c r="F167" s="452">
        <f t="shared" ref="F167:P167" si="41">SUM(F144:F166)</f>
        <v>120275536.31</v>
      </c>
      <c r="G167" s="453">
        <f t="shared" si="41"/>
        <v>100259697.48573028</v>
      </c>
      <c r="H167" s="453">
        <f t="shared" si="41"/>
        <v>95606478.689999998</v>
      </c>
      <c r="I167" s="453">
        <f t="shared" si="41"/>
        <v>281744041.66198087</v>
      </c>
      <c r="J167" s="453">
        <f t="shared" si="41"/>
        <v>289524329.14793545</v>
      </c>
      <c r="K167" s="453">
        <f t="shared" si="41"/>
        <v>259731127.94310102</v>
      </c>
      <c r="L167" s="453">
        <f t="shared" si="41"/>
        <v>171662697.89366281</v>
      </c>
      <c r="M167" s="453">
        <f t="shared" si="41"/>
        <v>157061000.54780498</v>
      </c>
      <c r="N167" s="453">
        <f t="shared" si="41"/>
        <v>162013670.03028488</v>
      </c>
      <c r="O167" s="453">
        <f t="shared" si="41"/>
        <v>167256867.74930719</v>
      </c>
      <c r="P167" s="453">
        <f t="shared" si="41"/>
        <v>172652161.15781748</v>
      </c>
      <c r="U167" s="636"/>
    </row>
    <row r="168" spans="2:21">
      <c r="G168" s="442"/>
      <c r="H168" s="442"/>
      <c r="I168" s="442"/>
      <c r="J168" s="442"/>
      <c r="K168" s="442"/>
      <c r="L168" s="442"/>
      <c r="M168" s="442"/>
      <c r="N168" s="442"/>
      <c r="O168" s="442"/>
      <c r="P168" s="442"/>
    </row>
    <row r="169" spans="2:21">
      <c r="B169" s="432" t="s">
        <v>747</v>
      </c>
      <c r="F169" s="442">
        <f>SUMIF($B$4:$B$139,$B169,F$4:F$139)</f>
        <v>209072864.97000006</v>
      </c>
      <c r="G169" s="442">
        <f>SUMIF($B$4:$B$139,$B169,G$4:G$139)</f>
        <v>131103530.66000003</v>
      </c>
      <c r="H169" s="442">
        <f>SUMIF($B$4:$B$139,$B169,H$4:H$139)</f>
        <v>147836214.28000003</v>
      </c>
      <c r="I169" s="442">
        <f>SUMIF($B$4:$B$139,$B169,I$4:I$139)</f>
        <v>190654184.59211826</v>
      </c>
      <c r="J169" s="442">
        <f>SUMIF($B$4:$B$139,$B169,J$4:J$139)</f>
        <v>0</v>
      </c>
      <c r="K169" s="442">
        <f>SUMIF($B$4:$B$139,$B169,K$4:K$139)</f>
        <v>0</v>
      </c>
      <c r="L169" s="442">
        <f>SUMIF($B$4:$B$139,$B169,L$4:L$139)</f>
        <v>0</v>
      </c>
      <c r="M169" s="442">
        <f>SUMIF($B$4:$B$139,$B169,M$4:M$139)</f>
        <v>0</v>
      </c>
      <c r="N169" s="442">
        <f>SUMIF($B$4:$B$139,$B169,N$4:N$139)</f>
        <v>0</v>
      </c>
      <c r="O169" s="442">
        <f>SUMIF($B$4:$B$139,$B169,O$4:O$139)</f>
        <v>0</v>
      </c>
      <c r="P169" s="442">
        <f>SUMIF($B$4:$B$139,$B169,P$4:P$139)</f>
        <v>0</v>
      </c>
    </row>
    <row r="170" spans="2:21">
      <c r="B170" s="1087" t="s">
        <v>324</v>
      </c>
      <c r="F170" s="442">
        <f>SUMIF($B$4:$B$139,$B170,F$4:F$139)</f>
        <v>0</v>
      </c>
      <c r="G170" s="442">
        <f>SUMIF($B$4:$B$139,$B170,G$4:G$139)</f>
        <v>-180000</v>
      </c>
      <c r="H170" s="442">
        <f>SUMIF($B$4:$B$139,$B170,H$4:H$139)</f>
        <v>0</v>
      </c>
      <c r="I170" s="442">
        <f>SUMIF($B$4:$B$139,$B170,I$4:I$139)</f>
        <v>50000</v>
      </c>
      <c r="J170" s="442">
        <f>SUMIF($B$4:$B$139,$B170,J$4:J$139)</f>
        <v>52500</v>
      </c>
      <c r="K170" s="442">
        <f>SUMIF($B$4:$B$139,$B170,K$4:K$139)</f>
        <v>55125</v>
      </c>
      <c r="L170" s="442">
        <f>SUMIF($B$4:$B$139,$B170,L$4:L$139)</f>
        <v>57881.25</v>
      </c>
      <c r="M170" s="442">
        <f>SUMIF($B$4:$B$139,$B170,M$4:M$139)</f>
        <v>60775.3125</v>
      </c>
      <c r="N170" s="442">
        <f>SUMIF($B$4:$B$139,$B170,N$4:N$139)</f>
        <v>63814.078125</v>
      </c>
      <c r="O170" s="442">
        <f>SUMIF($B$4:$B$139,$B170,O$4:O$139)</f>
        <v>67004.782031249997</v>
      </c>
      <c r="P170" s="442">
        <f>SUMIF($B$4:$B$139,$B170,P$4:P$139)</f>
        <v>70355.021132812501</v>
      </c>
    </row>
    <row r="171" spans="2:21" ht="9" customHeight="1">
      <c r="G171" s="442"/>
      <c r="H171" s="442"/>
      <c r="I171" s="442"/>
      <c r="J171" s="442"/>
      <c r="K171" s="442"/>
      <c r="L171" s="442"/>
      <c r="M171" s="442"/>
      <c r="N171" s="442"/>
      <c r="O171" s="442"/>
      <c r="P171" s="442"/>
    </row>
    <row r="172" spans="2:21" s="437" customFormat="1">
      <c r="B172" s="437" t="s">
        <v>54</v>
      </c>
      <c r="C172" s="435"/>
      <c r="E172" s="435"/>
      <c r="F172" s="452">
        <f>F167+SUM(F169:F170)</f>
        <v>329348401.28000009</v>
      </c>
      <c r="G172" s="452">
        <f>G167+SUM(G169:G170)</f>
        <v>231183228.14573032</v>
      </c>
      <c r="H172" s="452">
        <f>H167+SUM(H169:H170)</f>
        <v>243442692.97000003</v>
      </c>
      <c r="I172" s="1528">
        <f>I167+SUM(I169:I170)</f>
        <v>472448226.25409913</v>
      </c>
      <c r="J172" s="452">
        <f>J167+SUM(J169:J170)</f>
        <v>289576829.14793545</v>
      </c>
      <c r="K172" s="452">
        <f>K167+SUM(K169:K170)</f>
        <v>259786252.94310102</v>
      </c>
      <c r="L172" s="452">
        <f>L167+SUM(L169:L170)</f>
        <v>171720579.14366281</v>
      </c>
      <c r="M172" s="452">
        <f>M167+SUM(M169:M170)</f>
        <v>157121775.86030498</v>
      </c>
      <c r="N172" s="452">
        <f>N167+SUM(N169:N170)</f>
        <v>162077484.10840988</v>
      </c>
      <c r="O172" s="452">
        <f>O167+SUM(O169:O170)</f>
        <v>167323872.53133842</v>
      </c>
      <c r="P172" s="452">
        <f>P167+SUM(P169:P170)</f>
        <v>172722516.17895031</v>
      </c>
      <c r="U172" s="636"/>
    </row>
    <row r="173" spans="2:21">
      <c r="F173" s="454">
        <f>F172-F140</f>
        <v>0</v>
      </c>
      <c r="G173" s="442">
        <f>G172-G140</f>
        <v>0</v>
      </c>
      <c r="H173" s="442">
        <f>H172-H140</f>
        <v>0</v>
      </c>
      <c r="I173" s="442">
        <f>I172-I140</f>
        <v>0</v>
      </c>
      <c r="J173" s="442">
        <f>J172-J140</f>
        <v>0</v>
      </c>
      <c r="K173" s="442">
        <f>K172-K140</f>
        <v>0</v>
      </c>
      <c r="L173" s="442">
        <f>L172-L140</f>
        <v>0</v>
      </c>
      <c r="M173" s="442">
        <f>M172-M140</f>
        <v>0</v>
      </c>
      <c r="N173" s="442">
        <f>N172-N140</f>
        <v>0</v>
      </c>
      <c r="O173" s="442">
        <f>O172-O140</f>
        <v>0</v>
      </c>
      <c r="P173" s="442">
        <f>P172-P140</f>
        <v>0</v>
      </c>
    </row>
    <row r="175" spans="2:21">
      <c r="B175" s="432" t="s">
        <v>1790</v>
      </c>
      <c r="F175" s="442"/>
      <c r="G175" s="442"/>
      <c r="H175" s="442"/>
      <c r="J175" s="442"/>
      <c r="K175" s="442"/>
      <c r="L175" s="442"/>
      <c r="M175" s="442"/>
      <c r="N175" s="442"/>
      <c r="O175" s="442"/>
      <c r="P175" s="442"/>
    </row>
    <row r="176" spans="2:21">
      <c r="B176" s="432" t="s">
        <v>1789</v>
      </c>
      <c r="F176" s="442"/>
      <c r="G176" s="442"/>
      <c r="H176" s="442"/>
      <c r="I176" s="442"/>
      <c r="J176" s="442"/>
      <c r="K176" s="442"/>
      <c r="L176" s="442"/>
      <c r="M176" s="442"/>
      <c r="N176" s="442"/>
      <c r="O176" s="442"/>
      <c r="P176" s="442"/>
    </row>
    <row r="177" spans="2:21">
      <c r="F177" s="442"/>
      <c r="G177" s="442"/>
      <c r="H177" s="442"/>
      <c r="I177" s="442"/>
      <c r="J177" s="442"/>
      <c r="K177" s="442"/>
      <c r="L177" s="442"/>
      <c r="M177" s="442"/>
      <c r="N177" s="442"/>
      <c r="O177" s="442"/>
      <c r="P177" s="442"/>
    </row>
    <row r="178" spans="2:21">
      <c r="F178" s="442"/>
      <c r="G178" s="442"/>
      <c r="H178" s="442"/>
      <c r="I178" s="442"/>
      <c r="J178" s="442"/>
      <c r="K178" s="442"/>
      <c r="L178" s="442"/>
      <c r="M178" s="442"/>
      <c r="N178" s="442"/>
      <c r="O178" s="442"/>
      <c r="P178" s="442"/>
    </row>
    <row r="179" spans="2:21">
      <c r="B179" s="489" t="s">
        <v>785</v>
      </c>
      <c r="F179" s="442"/>
      <c r="G179" s="490">
        <f>'Production Plan'!E44</f>
        <v>121094554</v>
      </c>
      <c r="H179" s="490">
        <f>'Production Plan'!F44</f>
        <v>120371742</v>
      </c>
      <c r="I179" s="490">
        <f>'Production Plan'!G44</f>
        <v>213772250.25994921</v>
      </c>
      <c r="J179" s="490">
        <f>'Production Plan'!H44</f>
        <v>210000000</v>
      </c>
      <c r="K179" s="490">
        <f>'Production Plan'!I44</f>
        <v>140000000</v>
      </c>
      <c r="L179" s="490">
        <f>'Production Plan'!J44</f>
        <v>0</v>
      </c>
      <c r="M179" s="490">
        <f>'Production Plan'!K44</f>
        <v>0</v>
      </c>
      <c r="N179" s="490">
        <f>'Production Plan'!L44</f>
        <v>0</v>
      </c>
      <c r="O179" s="490">
        <f>'Production Plan'!M44</f>
        <v>0</v>
      </c>
      <c r="P179" s="490">
        <f>'Production Plan'!N44</f>
        <v>0</v>
      </c>
    </row>
    <row r="180" spans="2:21">
      <c r="B180" s="489" t="s">
        <v>786</v>
      </c>
      <c r="G180" s="491"/>
      <c r="H180" s="491">
        <f>'Production Plan'!F75</f>
        <v>0</v>
      </c>
      <c r="I180" s="491">
        <f>'Production Plan'!G75</f>
        <v>96128517</v>
      </c>
      <c r="J180" s="491">
        <f>'Production Plan'!H75</f>
        <v>80628564.259949207</v>
      </c>
      <c r="K180" s="491">
        <f>'Production Plan'!I75</f>
        <v>95581269</v>
      </c>
      <c r="L180" s="491">
        <f>'Production Plan'!J75</f>
        <v>263055511</v>
      </c>
      <c r="M180" s="491">
        <f>'Production Plan'!K75</f>
        <v>294265120.50631487</v>
      </c>
      <c r="N180" s="491">
        <f>'Production Plan'!L75</f>
        <v>294813804.62953103</v>
      </c>
      <c r="O180" s="491">
        <f>'Production Plan'!M75</f>
        <v>334546017.87985861</v>
      </c>
      <c r="P180" s="491">
        <f>'Production Plan'!N75</f>
        <v>371053354.56351984</v>
      </c>
    </row>
    <row r="181" spans="2:21">
      <c r="B181" s="489"/>
    </row>
    <row r="182" spans="2:21">
      <c r="B182" s="489" t="s">
        <v>784</v>
      </c>
      <c r="F182" s="454"/>
      <c r="G182" s="454">
        <v>20838429</v>
      </c>
      <c r="H182" s="633">
        <v>18369832.891113337</v>
      </c>
      <c r="I182" s="633">
        <v>18920927.877846733</v>
      </c>
      <c r="J182" s="633">
        <v>19488555.714182142</v>
      </c>
      <c r="K182" s="454"/>
      <c r="L182" s="454"/>
      <c r="M182" s="454"/>
      <c r="N182" s="454"/>
      <c r="O182" s="454"/>
      <c r="P182" s="454"/>
      <c r="R182" s="454">
        <v>57920721.533369541</v>
      </c>
      <c r="S182" s="454">
        <v>57920721.533369541</v>
      </c>
      <c r="U182" s="491">
        <f>R182-SUM(H182:K182)</f>
        <v>1141405.0502273291</v>
      </c>
    </row>
    <row r="183" spans="2:21">
      <c r="B183" s="489" t="s">
        <v>787</v>
      </c>
      <c r="H183" s="634">
        <v>30042760.956965342</v>
      </c>
      <c r="I183" s="634">
        <v>30657039.845674306</v>
      </c>
      <c r="J183" s="634">
        <v>31576751.041044533</v>
      </c>
      <c r="K183" s="634">
        <v>32524053.57227587</v>
      </c>
      <c r="L183" s="634">
        <v>33499775.179444142</v>
      </c>
      <c r="M183" s="634">
        <v>34504768.434827469</v>
      </c>
      <c r="N183" s="634">
        <v>35539911.487872295</v>
      </c>
      <c r="O183" s="634">
        <v>36606108.832508467</v>
      </c>
      <c r="P183" s="634">
        <v>37704292.097483724</v>
      </c>
      <c r="R183" s="454">
        <v>143653475.42800015</v>
      </c>
      <c r="S183" s="454">
        <v>348559378.58232045</v>
      </c>
      <c r="U183" s="491">
        <f>R183-SUM(H183:K183)</f>
        <v>18852870.012040108</v>
      </c>
    </row>
    <row r="184" spans="2:21">
      <c r="B184" s="489"/>
    </row>
    <row r="185" spans="2:21">
      <c r="B185" s="489" t="s">
        <v>788</v>
      </c>
      <c r="G185" s="491">
        <f>G182*1.14</f>
        <v>23755809.059999999</v>
      </c>
      <c r="H185" s="491">
        <f>H182*1.14</f>
        <v>20941609.495869201</v>
      </c>
      <c r="I185" s="491">
        <f t="shared" ref="I185:P185" si="42">I182*1.14</f>
        <v>21569857.780745275</v>
      </c>
      <c r="J185" s="491">
        <f t="shared" si="42"/>
        <v>22216953.51416764</v>
      </c>
      <c r="K185" s="491">
        <f t="shared" si="42"/>
        <v>0</v>
      </c>
      <c r="L185" s="491">
        <f t="shared" si="42"/>
        <v>0</v>
      </c>
      <c r="M185" s="491">
        <f t="shared" si="42"/>
        <v>0</v>
      </c>
      <c r="N185" s="491">
        <f t="shared" si="42"/>
        <v>0</v>
      </c>
      <c r="O185" s="491">
        <f t="shared" si="42"/>
        <v>0</v>
      </c>
      <c r="P185" s="491">
        <f t="shared" si="42"/>
        <v>0</v>
      </c>
      <c r="R185" s="454">
        <v>66029622.548041269</v>
      </c>
      <c r="S185" s="454">
        <v>66029622.548041269</v>
      </c>
      <c r="U185" s="491">
        <f>R185-SUM(H185:K185)</f>
        <v>1301201.7572591603</v>
      </c>
    </row>
    <row r="186" spans="2:21">
      <c r="B186" s="489" t="s">
        <v>789</v>
      </c>
      <c r="G186" s="491">
        <f t="shared" ref="G186:P186" si="43">G183*1.14</f>
        <v>0</v>
      </c>
      <c r="H186" s="491">
        <f t="shared" si="43"/>
        <v>34248747.490940489</v>
      </c>
      <c r="I186" s="491">
        <f t="shared" si="43"/>
        <v>34949025.424068704</v>
      </c>
      <c r="J186" s="491">
        <f t="shared" si="43"/>
        <v>35997496.186790764</v>
      </c>
      <c r="K186" s="491">
        <f t="shared" si="43"/>
        <v>37077421.07239449</v>
      </c>
      <c r="L186" s="491">
        <f t="shared" si="43"/>
        <v>38189743.704566315</v>
      </c>
      <c r="M186" s="491">
        <f t="shared" si="43"/>
        <v>39335436.015703313</v>
      </c>
      <c r="N186" s="491">
        <f t="shared" si="43"/>
        <v>40515499.096174411</v>
      </c>
      <c r="O186" s="491">
        <f t="shared" si="43"/>
        <v>41730964.069059648</v>
      </c>
      <c r="P186" s="491">
        <f t="shared" si="43"/>
        <v>42982892.99113144</v>
      </c>
      <c r="R186" s="454">
        <v>163764961.98792017</v>
      </c>
      <c r="S186" s="454">
        <v>397357691.58384532</v>
      </c>
      <c r="U186" s="491">
        <f>R186-SUM(H186:K186)</f>
        <v>21492271.81372571</v>
      </c>
    </row>
    <row r="187" spans="2:21" ht="14.1" customHeight="1"/>
    <row r="189" spans="2:21">
      <c r="H189" s="546"/>
      <c r="I189" s="546"/>
      <c r="J189" s="546"/>
      <c r="K189" s="546"/>
      <c r="L189" s="546"/>
      <c r="M189" s="546"/>
      <c r="N189" s="546"/>
      <c r="O189" s="546"/>
      <c r="P189" s="546"/>
    </row>
    <row r="193" spans="2:17">
      <c r="B193" s="432" t="s">
        <v>755</v>
      </c>
    </row>
    <row r="194" spans="2:17">
      <c r="F194" s="442"/>
      <c r="G194" s="442"/>
      <c r="H194" s="442"/>
      <c r="I194" s="442"/>
      <c r="J194" s="442"/>
      <c r="K194" s="442"/>
      <c r="L194" s="442"/>
      <c r="M194" s="442"/>
      <c r="N194" s="442"/>
      <c r="O194" s="442"/>
      <c r="P194" s="442"/>
      <c r="Q194" s="442"/>
    </row>
    <row r="195" spans="2:17">
      <c r="B195" s="455" t="s">
        <v>756</v>
      </c>
      <c r="F195" s="510" t="s">
        <v>52</v>
      </c>
      <c r="G195" s="442"/>
      <c r="H195" s="442"/>
      <c r="I195" s="442"/>
      <c r="J195" s="442"/>
      <c r="K195" s="442"/>
      <c r="L195" s="442"/>
      <c r="M195" s="442"/>
      <c r="N195" s="442"/>
      <c r="O195" s="442"/>
      <c r="P195" s="442"/>
      <c r="Q195" s="442"/>
    </row>
    <row r="196" spans="2:17">
      <c r="B196" s="432" t="s">
        <v>757</v>
      </c>
      <c r="F196" s="509">
        <v>2873620</v>
      </c>
      <c r="G196" s="459">
        <v>494856</v>
      </c>
      <c r="H196" s="442">
        <v>109476</v>
      </c>
      <c r="I196" s="442">
        <v>0</v>
      </c>
      <c r="J196" s="442">
        <v>0</v>
      </c>
      <c r="K196" s="442">
        <v>0</v>
      </c>
      <c r="L196" s="442">
        <v>0</v>
      </c>
      <c r="M196" s="442">
        <v>0</v>
      </c>
      <c r="N196" s="442">
        <v>0</v>
      </c>
      <c r="O196" s="442">
        <v>0</v>
      </c>
      <c r="P196" s="442">
        <v>0</v>
      </c>
      <c r="Q196" s="442"/>
    </row>
    <row r="197" spans="2:17">
      <c r="B197" s="432" t="s">
        <v>758</v>
      </c>
      <c r="F197" s="509">
        <v>573340</v>
      </c>
      <c r="G197" s="559"/>
      <c r="H197" s="559"/>
      <c r="I197" s="559"/>
      <c r="J197" s="559"/>
      <c r="K197" s="559"/>
      <c r="L197" s="559"/>
      <c r="M197" s="559"/>
      <c r="N197" s="559"/>
      <c r="O197" s="559"/>
      <c r="P197" s="559"/>
      <c r="Q197" s="442"/>
    </row>
    <row r="198" spans="2:17">
      <c r="B198" s="511" t="s">
        <v>795</v>
      </c>
      <c r="F198" s="509"/>
      <c r="G198" s="559"/>
      <c r="H198" s="559"/>
      <c r="I198" s="559"/>
      <c r="J198" s="559"/>
      <c r="K198" s="559"/>
      <c r="L198" s="559"/>
      <c r="M198" s="559"/>
      <c r="N198" s="559"/>
      <c r="O198" s="559"/>
      <c r="P198" s="559"/>
      <c r="Q198" s="442"/>
    </row>
    <row r="199" spans="2:17">
      <c r="B199" s="432" t="s">
        <v>759</v>
      </c>
      <c r="F199" s="509">
        <v>7253563</v>
      </c>
      <c r="G199" s="459">
        <f>3654000*1.05/12*10</f>
        <v>3197250</v>
      </c>
      <c r="H199" s="459"/>
      <c r="I199" s="459"/>
      <c r="J199" s="442">
        <v>0</v>
      </c>
      <c r="K199" s="442">
        <v>0</v>
      </c>
      <c r="L199" s="442">
        <v>0</v>
      </c>
      <c r="M199" s="442">
        <v>0</v>
      </c>
      <c r="N199" s="442">
        <v>0</v>
      </c>
      <c r="O199" s="442">
        <v>0</v>
      </c>
      <c r="P199" s="442">
        <v>0</v>
      </c>
      <c r="Q199" s="442"/>
    </row>
    <row r="200" spans="2:17">
      <c r="B200" s="470" t="s">
        <v>782</v>
      </c>
      <c r="D200" s="560" t="s">
        <v>818</v>
      </c>
      <c r="F200" s="509"/>
      <c r="G200" s="559"/>
      <c r="H200" s="559"/>
      <c r="I200" s="559"/>
      <c r="J200" s="442"/>
      <c r="K200" s="442"/>
      <c r="L200" s="442"/>
      <c r="M200" s="442"/>
      <c r="N200" s="442"/>
      <c r="O200" s="442"/>
      <c r="P200" s="442"/>
      <c r="Q200" s="442"/>
    </row>
    <row r="201" spans="2:17">
      <c r="B201" s="432" t="s">
        <v>760</v>
      </c>
      <c r="F201" s="509">
        <v>2937600</v>
      </c>
      <c r="G201" s="442">
        <f>F201-24000*6</f>
        <v>2793600</v>
      </c>
      <c r="H201" s="559">
        <f>220320*12</f>
        <v>2643840</v>
      </c>
      <c r="I201" s="559">
        <f>H201/2</f>
        <v>1321920</v>
      </c>
      <c r="J201" s="465"/>
      <c r="K201" s="465"/>
      <c r="L201" s="465"/>
      <c r="M201" s="465"/>
      <c r="N201" s="442">
        <v>0</v>
      </c>
      <c r="O201" s="442">
        <v>0</v>
      </c>
      <c r="P201" s="442">
        <v>0</v>
      </c>
      <c r="Q201" s="442"/>
    </row>
    <row r="202" spans="2:17">
      <c r="B202" s="432" t="s">
        <v>761</v>
      </c>
      <c r="F202" s="509">
        <v>1554765</v>
      </c>
      <c r="G202" s="446">
        <v>162000</v>
      </c>
      <c r="H202" s="442"/>
      <c r="I202" s="442"/>
      <c r="J202" s="442">
        <v>0</v>
      </c>
      <c r="K202" s="442">
        <v>0</v>
      </c>
      <c r="L202" s="442">
        <v>0</v>
      </c>
      <c r="M202" s="442">
        <v>0</v>
      </c>
      <c r="N202" s="442">
        <v>0</v>
      </c>
      <c r="O202" s="442">
        <v>0</v>
      </c>
      <c r="P202" s="442">
        <v>0</v>
      </c>
      <c r="Q202" s="442"/>
    </row>
    <row r="203" spans="2:17">
      <c r="B203" s="432" t="s">
        <v>762</v>
      </c>
      <c r="F203" s="509">
        <v>374727</v>
      </c>
      <c r="G203" s="446"/>
      <c r="H203" s="461"/>
      <c r="I203" s="461"/>
      <c r="J203" s="442">
        <v>0</v>
      </c>
      <c r="K203" s="442">
        <v>0</v>
      </c>
      <c r="L203" s="442">
        <v>0</v>
      </c>
      <c r="M203" s="442">
        <v>0</v>
      </c>
      <c r="N203" s="442">
        <v>0</v>
      </c>
      <c r="O203" s="442">
        <v>0</v>
      </c>
      <c r="P203" s="442">
        <v>0</v>
      </c>
      <c r="Q203" s="442"/>
    </row>
    <row r="204" spans="2:17">
      <c r="B204" s="432" t="s">
        <v>763</v>
      </c>
      <c r="F204" s="509">
        <v>1837578</v>
      </c>
      <c r="G204" s="446">
        <v>800000</v>
      </c>
      <c r="H204" s="446">
        <v>600000</v>
      </c>
      <c r="I204" s="442"/>
      <c r="J204" s="442">
        <v>0</v>
      </c>
      <c r="K204" s="442">
        <v>0</v>
      </c>
      <c r="L204" s="442">
        <v>0</v>
      </c>
      <c r="M204" s="442">
        <v>0</v>
      </c>
      <c r="N204" s="442">
        <v>0</v>
      </c>
      <c r="O204" s="442">
        <v>0</v>
      </c>
      <c r="P204" s="442">
        <v>0</v>
      </c>
      <c r="Q204" s="442"/>
    </row>
    <row r="205" spans="2:17" ht="4.5" customHeight="1">
      <c r="F205" s="442"/>
      <c r="G205" s="442"/>
      <c r="H205" s="442"/>
      <c r="I205" s="442"/>
      <c r="J205" s="442"/>
      <c r="K205" s="442"/>
      <c r="L205" s="442"/>
      <c r="M205" s="442"/>
      <c r="N205" s="442"/>
      <c r="O205" s="442"/>
      <c r="P205" s="442"/>
      <c r="Q205" s="442"/>
    </row>
    <row r="206" spans="2:17">
      <c r="F206" s="456">
        <f>SUM(F196:F205)</f>
        <v>17405193</v>
      </c>
      <c r="G206" s="456">
        <f>SUM(G196:G205)</f>
        <v>7447706</v>
      </c>
      <c r="H206" s="456">
        <f t="shared" ref="H206:P206" si="44">SUM(H196:H205)</f>
        <v>3353316</v>
      </c>
      <c r="I206" s="456">
        <f t="shared" si="44"/>
        <v>1321920</v>
      </c>
      <c r="J206" s="456">
        <f t="shared" si="44"/>
        <v>0</v>
      </c>
      <c r="K206" s="456">
        <f t="shared" si="44"/>
        <v>0</v>
      </c>
      <c r="L206" s="456">
        <f t="shared" si="44"/>
        <v>0</v>
      </c>
      <c r="M206" s="456">
        <f t="shared" si="44"/>
        <v>0</v>
      </c>
      <c r="N206" s="456">
        <f t="shared" si="44"/>
        <v>0</v>
      </c>
      <c r="O206" s="456">
        <f t="shared" si="44"/>
        <v>0</v>
      </c>
      <c r="P206" s="456">
        <f t="shared" si="44"/>
        <v>0</v>
      </c>
      <c r="Q206" s="442"/>
    </row>
    <row r="207" spans="2:17">
      <c r="F207" s="442"/>
      <c r="G207" s="442"/>
      <c r="H207" s="442"/>
      <c r="I207" s="442"/>
      <c r="J207" s="442"/>
      <c r="K207" s="442"/>
      <c r="L207" s="442"/>
      <c r="M207" s="442"/>
      <c r="N207" s="442"/>
      <c r="O207" s="442"/>
      <c r="P207" s="442"/>
      <c r="Q207" s="442"/>
    </row>
    <row r="208" spans="2:17">
      <c r="F208" s="442"/>
      <c r="G208" s="442"/>
      <c r="H208" s="442">
        <f>3353316-H206</f>
        <v>0</v>
      </c>
      <c r="I208" s="442"/>
      <c r="J208" s="442"/>
      <c r="K208" s="442"/>
      <c r="L208" s="442"/>
      <c r="M208" s="442"/>
      <c r="N208" s="442"/>
      <c r="O208" s="442"/>
      <c r="P208" s="442"/>
      <c r="Q208" s="442"/>
    </row>
    <row r="209" spans="2:17">
      <c r="B209" s="455" t="s">
        <v>764</v>
      </c>
      <c r="F209" s="442"/>
      <c r="G209" s="442"/>
      <c r="H209" s="442"/>
      <c r="I209" s="442"/>
      <c r="J209" s="442"/>
      <c r="K209" s="442"/>
      <c r="L209" s="442"/>
      <c r="M209" s="442"/>
      <c r="N209" s="442"/>
      <c r="O209" s="442"/>
      <c r="P209" s="442"/>
      <c r="Q209" s="442"/>
    </row>
    <row r="210" spans="2:17">
      <c r="B210" s="442" t="s">
        <v>765</v>
      </c>
      <c r="F210" s="442">
        <v>65931</v>
      </c>
      <c r="G210" s="442">
        <f>6092+12260</f>
        <v>18352</v>
      </c>
      <c r="H210" s="442">
        <v>12000</v>
      </c>
      <c r="I210" s="442">
        <v>0</v>
      </c>
      <c r="J210" s="442">
        <v>0</v>
      </c>
      <c r="K210" s="442">
        <v>0</v>
      </c>
      <c r="L210" s="442">
        <v>0</v>
      </c>
      <c r="M210" s="442">
        <v>0</v>
      </c>
      <c r="N210" s="442">
        <v>0</v>
      </c>
      <c r="O210" s="442">
        <v>0</v>
      </c>
      <c r="P210" s="442">
        <v>0</v>
      </c>
      <c r="Q210" s="442"/>
    </row>
    <row r="211" spans="2:17">
      <c r="B211" s="442" t="s">
        <v>766</v>
      </c>
      <c r="F211" s="442">
        <v>11336</v>
      </c>
      <c r="G211" s="442">
        <v>511</v>
      </c>
      <c r="H211" s="442">
        <v>0</v>
      </c>
      <c r="I211" s="442">
        <v>0</v>
      </c>
      <c r="J211" s="442">
        <v>0</v>
      </c>
      <c r="K211" s="442">
        <v>0</v>
      </c>
      <c r="L211" s="442">
        <v>0</v>
      </c>
      <c r="M211" s="442">
        <v>0</v>
      </c>
      <c r="N211" s="442">
        <v>0</v>
      </c>
      <c r="O211" s="442">
        <v>0</v>
      </c>
      <c r="P211" s="442">
        <v>0</v>
      </c>
      <c r="Q211" s="442"/>
    </row>
    <row r="212" spans="2:17">
      <c r="B212" s="442" t="s">
        <v>767</v>
      </c>
      <c r="F212" s="442">
        <v>999762</v>
      </c>
      <c r="G212" s="442">
        <v>990011</v>
      </c>
      <c r="H212" s="442">
        <v>0</v>
      </c>
      <c r="I212" s="442">
        <f>H212*1.05</f>
        <v>0</v>
      </c>
      <c r="J212" s="442">
        <v>0</v>
      </c>
      <c r="K212" s="442">
        <v>0</v>
      </c>
      <c r="L212" s="442">
        <v>0</v>
      </c>
      <c r="M212" s="442">
        <v>0</v>
      </c>
      <c r="N212" s="442">
        <v>0</v>
      </c>
      <c r="O212" s="442">
        <v>0</v>
      </c>
      <c r="P212" s="442">
        <v>0</v>
      </c>
      <c r="Q212" s="442"/>
    </row>
    <row r="213" spans="2:17">
      <c r="B213" s="432" t="s">
        <v>768</v>
      </c>
      <c r="F213" s="442">
        <v>150057</v>
      </c>
      <c r="G213" s="442">
        <v>0</v>
      </c>
      <c r="H213" s="442">
        <f>G213*1.05</f>
        <v>0</v>
      </c>
      <c r="I213" s="442">
        <f>H213*1.05</f>
        <v>0</v>
      </c>
      <c r="J213" s="442">
        <v>0</v>
      </c>
      <c r="K213" s="442">
        <v>0</v>
      </c>
      <c r="L213" s="442">
        <v>0</v>
      </c>
      <c r="M213" s="442">
        <v>0</v>
      </c>
      <c r="N213" s="442">
        <v>0</v>
      </c>
      <c r="O213" s="442">
        <v>0</v>
      </c>
      <c r="P213" s="442">
        <v>0</v>
      </c>
    </row>
    <row r="214" spans="2:17">
      <c r="B214" s="432" t="s">
        <v>769</v>
      </c>
      <c r="F214" s="442">
        <v>85103</v>
      </c>
      <c r="G214" s="442"/>
      <c r="H214" s="442"/>
      <c r="I214" s="442"/>
      <c r="J214" s="442">
        <v>0</v>
      </c>
      <c r="K214" s="442">
        <v>0</v>
      </c>
      <c r="L214" s="442">
        <v>0</v>
      </c>
      <c r="M214" s="442">
        <v>0</v>
      </c>
      <c r="N214" s="442">
        <v>0</v>
      </c>
      <c r="O214" s="442">
        <v>0</v>
      </c>
      <c r="P214" s="442">
        <v>0</v>
      </c>
    </row>
    <row r="215" spans="2:17">
      <c r="B215" s="548" t="s">
        <v>812</v>
      </c>
      <c r="F215" s="442">
        <v>300500</v>
      </c>
      <c r="G215" s="442">
        <v>262502</v>
      </c>
      <c r="H215" s="559">
        <v>262502</v>
      </c>
      <c r="I215" s="442"/>
      <c r="J215" s="442"/>
      <c r="K215" s="442"/>
      <c r="L215" s="442"/>
      <c r="M215" s="442"/>
      <c r="N215" s="442"/>
      <c r="O215" s="442"/>
      <c r="P215" s="442"/>
    </row>
    <row r="216" spans="2:17">
      <c r="B216" s="442" t="s">
        <v>770</v>
      </c>
      <c r="F216" s="442"/>
      <c r="G216" s="442">
        <v>0</v>
      </c>
      <c r="H216" s="442"/>
      <c r="I216" s="442">
        <v>200000</v>
      </c>
      <c r="J216" s="442">
        <f t="shared" ref="J216:P216" si="45">I216*1.05</f>
        <v>210000</v>
      </c>
      <c r="K216" s="442">
        <f t="shared" si="45"/>
        <v>220500</v>
      </c>
      <c r="L216" s="442">
        <f t="shared" si="45"/>
        <v>231525</v>
      </c>
      <c r="M216" s="442">
        <f t="shared" si="45"/>
        <v>243101.25</v>
      </c>
      <c r="N216" s="442">
        <f t="shared" si="45"/>
        <v>255256.3125</v>
      </c>
      <c r="O216" s="442">
        <f t="shared" si="45"/>
        <v>268019.12812499999</v>
      </c>
      <c r="P216" s="442">
        <f t="shared" si="45"/>
        <v>281420.08453125</v>
      </c>
    </row>
    <row r="217" spans="2:17" ht="5.25" customHeight="1">
      <c r="F217" s="442"/>
      <c r="G217" s="442"/>
      <c r="H217" s="442"/>
      <c r="I217" s="442"/>
      <c r="J217" s="442"/>
    </row>
    <row r="218" spans="2:17">
      <c r="F218" s="456">
        <f t="shared" ref="F218:P218" si="46">SUM(F210:F217)</f>
        <v>1612689</v>
      </c>
      <c r="G218" s="456">
        <f t="shared" si="46"/>
        <v>1271376</v>
      </c>
      <c r="H218" s="456">
        <f t="shared" si="46"/>
        <v>274502</v>
      </c>
      <c r="I218" s="456">
        <f t="shared" si="46"/>
        <v>200000</v>
      </c>
      <c r="J218" s="456">
        <f t="shared" si="46"/>
        <v>210000</v>
      </c>
      <c r="K218" s="457">
        <f t="shared" si="46"/>
        <v>220500</v>
      </c>
      <c r="L218" s="457">
        <f t="shared" si="46"/>
        <v>231525</v>
      </c>
      <c r="M218" s="457">
        <f t="shared" si="46"/>
        <v>243101.25</v>
      </c>
      <c r="N218" s="457">
        <f t="shared" si="46"/>
        <v>255256.3125</v>
      </c>
      <c r="O218" s="457">
        <f t="shared" si="46"/>
        <v>268019.12812499999</v>
      </c>
      <c r="P218" s="457">
        <f t="shared" si="46"/>
        <v>281420.08453125</v>
      </c>
    </row>
    <row r="220" spans="2:17">
      <c r="B220" s="822" t="s">
        <v>1111</v>
      </c>
    </row>
    <row r="221" spans="2:17">
      <c r="B221" s="433" t="s">
        <v>765</v>
      </c>
      <c r="F221" s="442">
        <v>411414</v>
      </c>
      <c r="G221" s="442">
        <f>359000+71800</f>
        <v>430800</v>
      </c>
      <c r="H221" s="442">
        <v>430800</v>
      </c>
      <c r="I221" s="442"/>
      <c r="J221" s="442"/>
      <c r="K221" s="442"/>
      <c r="L221" s="442"/>
      <c r="M221" s="442"/>
      <c r="N221" s="442"/>
      <c r="O221" s="442"/>
      <c r="P221" s="442"/>
    </row>
    <row r="222" spans="2:17">
      <c r="B222" s="433" t="s">
        <v>766</v>
      </c>
      <c r="F222" s="442">
        <v>90534</v>
      </c>
      <c r="G222" s="442">
        <v>12487</v>
      </c>
      <c r="H222" s="442"/>
      <c r="I222" s="442"/>
      <c r="J222" s="442"/>
      <c r="K222" s="442"/>
      <c r="L222" s="442"/>
      <c r="M222" s="442"/>
      <c r="N222" s="442"/>
      <c r="O222" s="442"/>
      <c r="P222" s="442"/>
    </row>
    <row r="223" spans="2:17">
      <c r="B223" s="433" t="s">
        <v>767</v>
      </c>
      <c r="F223" s="442">
        <v>169668</v>
      </c>
      <c r="G223" s="442">
        <v>222792</v>
      </c>
      <c r="H223" s="442">
        <v>222792</v>
      </c>
      <c r="I223" s="442">
        <f>H223</f>
        <v>222792</v>
      </c>
      <c r="J223" s="442"/>
      <c r="K223" s="442"/>
      <c r="L223" s="442"/>
      <c r="M223" s="442"/>
      <c r="N223" s="442"/>
      <c r="O223" s="442"/>
      <c r="P223" s="442"/>
    </row>
    <row r="224" spans="2:17" ht="6" customHeight="1">
      <c r="F224" s="442"/>
      <c r="G224" s="442"/>
      <c r="H224" s="442"/>
      <c r="I224" s="442"/>
      <c r="J224" s="442"/>
      <c r="K224" s="442"/>
      <c r="L224" s="442"/>
      <c r="M224" s="442"/>
      <c r="N224" s="442"/>
      <c r="O224" s="442"/>
      <c r="P224" s="442"/>
    </row>
    <row r="225" spans="6:16">
      <c r="F225" s="456">
        <f t="shared" ref="F225:P225" si="47">SUM(F221:F224)</f>
        <v>671616</v>
      </c>
      <c r="G225" s="456">
        <f t="shared" si="47"/>
        <v>666079</v>
      </c>
      <c r="H225" s="456">
        <f t="shared" si="47"/>
        <v>653592</v>
      </c>
      <c r="I225" s="456">
        <f t="shared" si="47"/>
        <v>222792</v>
      </c>
      <c r="J225" s="456">
        <f t="shared" si="47"/>
        <v>0</v>
      </c>
      <c r="K225" s="456">
        <f t="shared" si="47"/>
        <v>0</v>
      </c>
      <c r="L225" s="456">
        <f t="shared" si="47"/>
        <v>0</v>
      </c>
      <c r="M225" s="456">
        <f t="shared" si="47"/>
        <v>0</v>
      </c>
      <c r="N225" s="456">
        <f t="shared" si="47"/>
        <v>0</v>
      </c>
      <c r="O225" s="456">
        <f t="shared" si="47"/>
        <v>0</v>
      </c>
      <c r="P225" s="456">
        <f t="shared" si="47"/>
        <v>0</v>
      </c>
    </row>
    <row r="226" spans="6:16">
      <c r="F226" s="442"/>
      <c r="G226" s="442"/>
      <c r="H226" s="442"/>
      <c r="I226" s="442"/>
      <c r="J226" s="442"/>
      <c r="K226" s="442"/>
      <c r="L226" s="442"/>
      <c r="M226" s="442"/>
      <c r="N226" s="442"/>
      <c r="O226" s="442"/>
      <c r="P226" s="442"/>
    </row>
    <row r="227" spans="6:16">
      <c r="F227" s="442"/>
      <c r="G227" s="442"/>
      <c r="H227" s="442"/>
      <c r="I227" s="442"/>
      <c r="J227" s="442"/>
      <c r="K227" s="442"/>
      <c r="L227" s="442"/>
      <c r="M227" s="442"/>
      <c r="N227" s="442"/>
      <c r="O227" s="442"/>
      <c r="P227" s="442"/>
    </row>
    <row r="228" spans="6:16"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</row>
    <row r="229" spans="6:16">
      <c r="F229" s="442"/>
      <c r="G229" s="442"/>
      <c r="H229" s="442"/>
      <c r="I229" s="442"/>
      <c r="J229" s="442"/>
      <c r="K229" s="442"/>
      <c r="L229" s="442"/>
      <c r="M229" s="442"/>
      <c r="N229" s="442"/>
      <c r="O229" s="442"/>
      <c r="P229" s="442"/>
    </row>
    <row r="230" spans="6:16">
      <c r="F230" s="442"/>
      <c r="G230" s="442"/>
      <c r="H230" s="442"/>
      <c r="I230" s="442"/>
      <c r="J230" s="442"/>
      <c r="K230" s="442"/>
      <c r="L230" s="442"/>
      <c r="M230" s="442"/>
      <c r="N230" s="442"/>
      <c r="O230" s="442"/>
      <c r="P230" s="442"/>
    </row>
    <row r="231" spans="6:16">
      <c r="F231" s="442"/>
      <c r="G231" s="442"/>
      <c r="H231" s="442"/>
      <c r="I231" s="442"/>
      <c r="J231" s="442"/>
      <c r="K231" s="442"/>
      <c r="L231" s="442"/>
      <c r="M231" s="442"/>
      <c r="N231" s="442"/>
      <c r="O231" s="442"/>
      <c r="P231" s="442"/>
    </row>
    <row r="232" spans="6:16">
      <c r="F232" s="442"/>
      <c r="G232" s="442"/>
      <c r="H232" s="442"/>
      <c r="I232" s="442"/>
      <c r="J232" s="442"/>
      <c r="K232" s="442"/>
      <c r="L232" s="442"/>
      <c r="M232" s="442"/>
      <c r="N232" s="442"/>
      <c r="O232" s="442"/>
      <c r="P232" s="442"/>
    </row>
  </sheetData>
  <autoFilter ref="A3:P140"/>
  <phoneticPr fontId="301" type="noConversion"/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tabColor rgb="FF92D050"/>
  </sheetPr>
  <dimension ref="A1:U272"/>
  <sheetViews>
    <sheetView workbookViewId="0">
      <pane xSplit="5" ySplit="3" topLeftCell="F145" activePane="bottomRight" state="frozen"/>
      <selection pane="topRight" activeCell="F1" sqref="F1"/>
      <selection pane="bottomLeft" activeCell="A4" sqref="A4"/>
      <selection pane="bottomRight" activeCell="G169" sqref="F169:G169"/>
    </sheetView>
  </sheetViews>
  <sheetFormatPr defaultColWidth="9.42578125" defaultRowHeight="15" outlineLevelRow="1"/>
  <cols>
    <col min="1" max="1" width="21.42578125" style="432" customWidth="1"/>
    <col min="2" max="2" width="22.42578125" style="432" customWidth="1"/>
    <col min="3" max="3" width="16.42578125" style="433" customWidth="1"/>
    <col min="4" max="4" width="37.42578125" style="432" customWidth="1"/>
    <col min="5" max="5" width="21.42578125" style="433" customWidth="1"/>
    <col min="6" max="6" width="15.42578125" style="432" bestFit="1" customWidth="1"/>
    <col min="7" max="8" width="14" style="432" customWidth="1"/>
    <col min="9" max="9" width="15.140625" style="432" customWidth="1"/>
    <col min="10" max="16" width="14" style="432" customWidth="1"/>
    <col min="17" max="17" width="9.42578125" style="432"/>
    <col min="18" max="19" width="12.5703125" style="432" bestFit="1" customWidth="1"/>
    <col min="20" max="20" width="9.42578125" style="432"/>
    <col min="21" max="21" width="14.42578125" style="491" bestFit="1" customWidth="1"/>
    <col min="22" max="16384" width="9.42578125" style="432"/>
  </cols>
  <sheetData>
    <row r="1" spans="1:21">
      <c r="A1" s="431" t="s">
        <v>724</v>
      </c>
      <c r="E1" s="458"/>
      <c r="F1" s="434">
        <v>0.05</v>
      </c>
      <c r="G1" s="434">
        <v>0.05</v>
      </c>
      <c r="H1" s="434">
        <v>0.05</v>
      </c>
      <c r="I1" s="434">
        <v>0.05</v>
      </c>
      <c r="J1" s="434">
        <v>0.05</v>
      </c>
      <c r="K1" s="434">
        <v>0.05</v>
      </c>
      <c r="L1" s="434">
        <v>0.05</v>
      </c>
      <c r="M1" s="434">
        <v>0.05</v>
      </c>
      <c r="N1" s="434">
        <v>0.05</v>
      </c>
      <c r="O1" s="434">
        <v>0.05</v>
      </c>
      <c r="P1" s="434">
        <v>0.05</v>
      </c>
    </row>
    <row r="2" spans="1:21" s="435" customFormat="1">
      <c r="F2" s="435" t="s">
        <v>725</v>
      </c>
      <c r="G2" s="436" t="s">
        <v>726</v>
      </c>
      <c r="H2" s="436" t="s">
        <v>727</v>
      </c>
      <c r="I2" s="436" t="s">
        <v>728</v>
      </c>
      <c r="J2" s="436" t="s">
        <v>729</v>
      </c>
      <c r="K2" s="436" t="s">
        <v>730</v>
      </c>
      <c r="L2" s="436" t="s">
        <v>731</v>
      </c>
      <c r="M2" s="436" t="s">
        <v>732</v>
      </c>
      <c r="N2" s="436" t="s">
        <v>733</v>
      </c>
      <c r="O2" s="436" t="s">
        <v>734</v>
      </c>
      <c r="P2" s="436" t="s">
        <v>735</v>
      </c>
      <c r="U2" s="635"/>
    </row>
    <row r="3" spans="1:21" s="437" customFormat="1">
      <c r="A3" s="437" t="s">
        <v>736</v>
      </c>
      <c r="B3" s="437" t="s">
        <v>737</v>
      </c>
      <c r="C3" s="435" t="s">
        <v>738</v>
      </c>
      <c r="D3" s="437" t="s">
        <v>739</v>
      </c>
      <c r="E3" s="435" t="s">
        <v>740</v>
      </c>
      <c r="F3" s="435" t="s">
        <v>51</v>
      </c>
      <c r="G3" s="435" t="s">
        <v>51</v>
      </c>
      <c r="H3" s="435" t="s">
        <v>51</v>
      </c>
      <c r="I3" s="435" t="s">
        <v>52</v>
      </c>
      <c r="J3" s="435" t="s">
        <v>53</v>
      </c>
      <c r="K3" s="435" t="s">
        <v>53</v>
      </c>
      <c r="L3" s="435" t="s">
        <v>53</v>
      </c>
      <c r="M3" s="435" t="s">
        <v>53</v>
      </c>
      <c r="N3" s="435" t="s">
        <v>53</v>
      </c>
      <c r="O3" s="435" t="s">
        <v>53</v>
      </c>
      <c r="P3" s="435" t="s">
        <v>53</v>
      </c>
      <c r="R3" s="437" t="s">
        <v>843</v>
      </c>
      <c r="S3" s="437" t="s">
        <v>844</v>
      </c>
      <c r="U3" s="636" t="s">
        <v>845</v>
      </c>
    </row>
    <row r="4" spans="1:21">
      <c r="A4" s="438" t="s">
        <v>595</v>
      </c>
      <c r="B4" s="1052" t="s">
        <v>1294</v>
      </c>
      <c r="C4" s="440">
        <v>60101000</v>
      </c>
      <c r="D4" s="320" t="s">
        <v>624</v>
      </c>
      <c r="E4" s="441" t="s">
        <v>741</v>
      </c>
      <c r="F4" s="442">
        <f>SUMIF('Non-Core P&amp;L'!$B:$B,'Non-Core Opex Proj.'!$C4,'Non-Core P&amp;L'!$CS:$CS)</f>
        <v>1572246.4900000002</v>
      </c>
      <c r="G4" s="442">
        <f>SUMIF('Non-Core P&amp;L'!$B:$B,'Non-Core Opex Proj.'!$C4,'Non-Core P&amp;L'!$BN:$BN)</f>
        <v>1088634.99</v>
      </c>
      <c r="H4" s="442">
        <f>SUMIF('Non-Core P&amp;L'!$B:$B,'Non-Core Opex Proj.'!$C4,'Non-Core P&amp;L'!AJ:AJ)</f>
        <v>0</v>
      </c>
      <c r="I4" s="442">
        <f>SUMIF('Non-Core P&amp;L'!$B:$B,'Non-Core Opex Proj.'!$C4,'Non-Core P&amp;L'!T:T)</f>
        <v>0</v>
      </c>
      <c r="J4" s="442"/>
      <c r="K4" s="558"/>
      <c r="L4" s="558"/>
      <c r="M4" s="558"/>
      <c r="N4" s="558"/>
      <c r="O4" s="558"/>
      <c r="P4" s="558"/>
      <c r="R4" s="454">
        <v>177025998.603073</v>
      </c>
      <c r="S4" s="454">
        <v>430132409.45498139</v>
      </c>
      <c r="U4" s="491">
        <f>R4-SUM(H4:K4)</f>
        <v>177025998.603073</v>
      </c>
    </row>
    <row r="5" spans="1:21" outlineLevel="1">
      <c r="A5" s="438" t="s">
        <v>595</v>
      </c>
      <c r="B5" s="1052" t="s">
        <v>1294</v>
      </c>
      <c r="C5" s="440">
        <v>60101100</v>
      </c>
      <c r="D5" s="320" t="s">
        <v>336</v>
      </c>
      <c r="E5" s="441" t="s">
        <v>741</v>
      </c>
      <c r="F5" s="442">
        <f>SUMIF('Non-Core P&amp;L'!$B:$B,'Non-Core Opex Proj.'!$C5,'Non-Core P&amp;L'!$CS:$CS)</f>
        <v>0</v>
      </c>
      <c r="G5" s="442">
        <f>SUMIF('Non-Core P&amp;L'!$B:$B,'Non-Core Opex Proj.'!$C5,'Non-Core P&amp;L'!$BN:$BN)</f>
        <v>0</v>
      </c>
      <c r="H5" s="442">
        <f>SUMIF('Non-Core P&amp;L'!$B:$B,'Non-Core Opex Proj.'!$C5,'Non-Core P&amp;L'!AJ:AJ)</f>
        <v>0</v>
      </c>
      <c r="I5" s="442">
        <f>SUMIF('Non-Core P&amp;L'!$B:$B,'Non-Core Opex Proj.'!$C5,'Non-Core P&amp;L'!T:T)</f>
        <v>0</v>
      </c>
      <c r="J5" s="442"/>
      <c r="K5" s="910"/>
      <c r="L5" s="910"/>
      <c r="M5" s="910"/>
      <c r="N5" s="910"/>
      <c r="O5" s="910"/>
      <c r="P5" s="910"/>
    </row>
    <row r="6" spans="1:21" outlineLevel="1">
      <c r="A6" s="438" t="s">
        <v>595</v>
      </c>
      <c r="B6" s="1052" t="s">
        <v>1301</v>
      </c>
      <c r="C6" s="440">
        <v>60101200</v>
      </c>
      <c r="D6" s="320" t="s">
        <v>337</v>
      </c>
      <c r="E6" s="441" t="s">
        <v>741</v>
      </c>
      <c r="F6" s="442">
        <f>SUMIF('Non-Core P&amp;L'!$B:$B,'Non-Core Opex Proj.'!$C6,'Non-Core P&amp;L'!$CS:$CS)</f>
        <v>32791983.949999999</v>
      </c>
      <c r="G6" s="1054">
        <f>SUMIF('Non-Core P&amp;L'!$B:$B,'Non-Core Opex Proj.'!$C6,'Non-Core P&amp;L'!$BN:$BN)</f>
        <v>32531099.32</v>
      </c>
      <c r="H6" s="1054">
        <f>SUMIF('Non-Core P&amp;L'!$B:$B,'Non-Core Opex Proj.'!$C6,'Non-Core P&amp;L'!AJ:AJ)</f>
        <v>26503545.280000001</v>
      </c>
      <c r="I6" s="1054">
        <f>SUMIF('Non-Core P&amp;L'!$B:$B,'Non-Core Opex Proj.'!$C6,'Non-Core P&amp;L'!T:T)</f>
        <v>0</v>
      </c>
      <c r="J6" s="1054"/>
      <c r="K6" s="463"/>
      <c r="L6" s="463"/>
      <c r="M6" s="463"/>
      <c r="N6" s="463"/>
      <c r="O6" s="463"/>
      <c r="P6" s="442"/>
    </row>
    <row r="7" spans="1:21" outlineLevel="1">
      <c r="A7" s="438" t="s">
        <v>595</v>
      </c>
      <c r="B7" s="1052" t="s">
        <v>1294</v>
      </c>
      <c r="C7" s="440">
        <v>60101300</v>
      </c>
      <c r="D7" s="320" t="s">
        <v>625</v>
      </c>
      <c r="E7" s="441" t="s">
        <v>741</v>
      </c>
      <c r="F7" s="442">
        <f>SUMIF('Non-Core P&amp;L'!$B:$B,'Non-Core Opex Proj.'!$C7,'Non-Core P&amp;L'!$CS:$CS)</f>
        <v>0</v>
      </c>
      <c r="G7" s="442">
        <f>SUMIF('Non-Core P&amp;L'!$B:$B,'Non-Core Opex Proj.'!$C7,'Non-Core P&amp;L'!$BN:$BN)</f>
        <v>3033.7837837837869</v>
      </c>
      <c r="H7" s="442">
        <f>SUMIF('Non-Core P&amp;L'!$B:$B,'Non-Core Opex Proj.'!$C7,'Non-Core P&amp;L'!AJ:AJ)</f>
        <v>0</v>
      </c>
      <c r="I7" s="442">
        <f>SUMIF('Non-Core P&amp;L'!$B:$B,'Non-Core Opex Proj.'!$C7,'Non-Core P&amp;L'!T:T)</f>
        <v>0</v>
      </c>
      <c r="J7" s="442"/>
      <c r="K7" s="442"/>
      <c r="L7" s="442"/>
      <c r="M7" s="442"/>
      <c r="N7" s="442"/>
      <c r="O7" s="442"/>
      <c r="P7" s="442"/>
    </row>
    <row r="8" spans="1:21">
      <c r="A8" s="438" t="s">
        <v>103</v>
      </c>
      <c r="B8" s="1071" t="s">
        <v>103</v>
      </c>
      <c r="C8" s="440">
        <v>60102000</v>
      </c>
      <c r="D8" s="320" t="s">
        <v>626</v>
      </c>
      <c r="E8" s="513">
        <v>3.15E-2</v>
      </c>
      <c r="F8" s="442">
        <f>SUMIF('Non-Core P&amp;L'!$B:$B,'Non-Core Opex Proj.'!$C8,'Non-Core P&amp;L'!$CS:$CS)</f>
        <v>1285903.31</v>
      </c>
      <c r="G8" s="464">
        <f>SUMIF('Non-Core P&amp;L'!$B:$B,'Non-Core Opex Proj.'!$C8,'Non-Core P&amp;L'!$BN:$BN)</f>
        <v>1281426.1664162946</v>
      </c>
      <c r="H8" s="464">
        <f>SUMIF('Non-Core P&amp;L'!$B:$B,'Non-Core Opex Proj.'!$C8,'Non-Core P&amp;L'!AJ:AJ)</f>
        <v>1108211.6000000001</v>
      </c>
      <c r="I8" s="464">
        <f>SUMIF('Non-Core P&amp;L'!$B:$B,'Non-Core Opex Proj.'!$C8,'Non-Core P&amp;L'!T:T)</f>
        <v>0</v>
      </c>
      <c r="J8" s="464"/>
      <c r="K8" s="464"/>
      <c r="L8" s="464"/>
      <c r="M8" s="464"/>
      <c r="N8" s="464"/>
      <c r="O8" s="464"/>
      <c r="P8" s="464"/>
      <c r="R8" s="454">
        <v>5576318.9559968002</v>
      </c>
      <c r="S8" s="454">
        <v>13549170.897831915</v>
      </c>
      <c r="U8" s="491">
        <f>R8-SUM(H8:K8)</f>
        <v>4468107.3559968006</v>
      </c>
    </row>
    <row r="9" spans="1:21" outlineLevel="1">
      <c r="A9" s="438" t="s">
        <v>329</v>
      </c>
      <c r="B9" s="1052" t="s">
        <v>1294</v>
      </c>
      <c r="C9" s="440">
        <v>60103000</v>
      </c>
      <c r="D9" s="320" t="s">
        <v>627</v>
      </c>
      <c r="E9" s="441"/>
      <c r="F9" s="442">
        <f>SUMIF('Non-Core P&amp;L'!$B:$B,'Non-Core Opex Proj.'!$C9,'Non-Core P&amp;L'!$CS:$CS)</f>
        <v>110700</v>
      </c>
      <c r="G9" s="442">
        <f>SUMIF('Non-Core P&amp;L'!$B:$B,'Non-Core Opex Proj.'!$C9,'Non-Core P&amp;L'!$BN:$BN)</f>
        <v>225450</v>
      </c>
      <c r="H9" s="442">
        <f>SUMIF('Non-Core P&amp;L'!$B:$B,'Non-Core Opex Proj.'!$C9,'Non-Core P&amp;L'!AJ:AJ)</f>
        <v>0</v>
      </c>
      <c r="I9" s="442">
        <f>SUMIF('Non-Core P&amp;L'!$B:$B,'Non-Core Opex Proj.'!$C9,'Non-Core P&amp;L'!T:T)</f>
        <v>0</v>
      </c>
      <c r="J9" s="442"/>
      <c r="K9" s="442"/>
      <c r="L9" s="442"/>
      <c r="M9" s="442"/>
      <c r="N9" s="442"/>
      <c r="O9" s="442"/>
      <c r="P9" s="442"/>
    </row>
    <row r="10" spans="1:21">
      <c r="A10" s="438" t="s">
        <v>598</v>
      </c>
      <c r="B10" s="1071" t="s">
        <v>104</v>
      </c>
      <c r="C10" s="440">
        <v>60104000</v>
      </c>
      <c r="D10" s="320" t="s">
        <v>628</v>
      </c>
      <c r="E10" s="512">
        <v>0.17499999999999999</v>
      </c>
      <c r="F10" s="442">
        <f>SUMIF('Non-Core P&amp;L'!$B:$B,'Non-Core Opex Proj.'!$C10,'Non-Core P&amp;L'!$CS:$CS)</f>
        <v>1193525.1199999996</v>
      </c>
      <c r="G10" s="559">
        <f>SUMIF('Non-Core P&amp;L'!$B:$B,'Non-Core Opex Proj.'!$C10,'Non-Core P&amp;L'!$BN:$BN)</f>
        <v>500759</v>
      </c>
      <c r="H10" s="559">
        <f>SUMIF('Non-Core P&amp;L'!$B:$B,'Non-Core Opex Proj.'!$C10,'Non-Core P&amp;L'!AJ:AJ)</f>
        <v>1001520</v>
      </c>
      <c r="I10" s="559">
        <f>SUMIF('Non-Core P&amp;L'!$B:$B,'Non-Core Opex Proj.'!$C10,'Non-Core P&amp;L'!T:T)</f>
        <v>0</v>
      </c>
      <c r="J10" s="559"/>
      <c r="K10" s="446"/>
      <c r="L10" s="443"/>
      <c r="M10" s="443"/>
      <c r="N10" s="443"/>
      <c r="O10" s="443"/>
      <c r="P10" s="443"/>
      <c r="R10" s="454">
        <v>30979549.755537774</v>
      </c>
      <c r="S10" s="454">
        <v>75273171.65462175</v>
      </c>
      <c r="U10" s="491">
        <f>R10-SUM(H10:K10)</f>
        <v>29978029.755537774</v>
      </c>
    </row>
    <row r="11" spans="1:21" outlineLevel="1">
      <c r="A11" s="438" t="s">
        <v>599</v>
      </c>
      <c r="B11" s="1052" t="s">
        <v>1300</v>
      </c>
      <c r="C11" s="440">
        <v>60104100</v>
      </c>
      <c r="D11" s="320" t="s">
        <v>629</v>
      </c>
      <c r="E11" s="441"/>
      <c r="F11" s="442">
        <f>SUMIF('Non-Core P&amp;L'!$B:$B,'Non-Core Opex Proj.'!$C11,'Non-Core P&amp;L'!$CS:$CS)</f>
        <v>5700000</v>
      </c>
      <c r="G11" s="442">
        <f>SUMIF('Non-Core P&amp;L'!$B:$B,'Non-Core Opex Proj.'!$C11,'Non-Core P&amp;L'!$BN:$BN)</f>
        <v>0</v>
      </c>
      <c r="H11" s="442">
        <f>SUMIF('Non-Core P&amp;L'!$B:$B,'Non-Core Opex Proj.'!$C11,'Non-Core P&amp;L'!AJ:AJ)</f>
        <v>5700000</v>
      </c>
      <c r="I11" s="442">
        <f>SUMIF('Non-Core P&amp;L'!$B:$B,'Non-Core Opex Proj.'!$C11,'Non-Core P&amp;L'!T:T)</f>
        <v>0</v>
      </c>
      <c r="J11" s="442"/>
      <c r="K11" s="442"/>
      <c r="L11" s="442"/>
      <c r="M11" s="442"/>
      <c r="N11" s="442"/>
      <c r="O11" s="442"/>
      <c r="P11" s="442"/>
    </row>
    <row r="12" spans="1:21">
      <c r="A12" s="438" t="s">
        <v>596</v>
      </c>
      <c r="B12" s="1052" t="s">
        <v>1453</v>
      </c>
      <c r="C12" s="440">
        <v>60104200</v>
      </c>
      <c r="D12" s="320" t="s">
        <v>597</v>
      </c>
      <c r="E12" s="512">
        <v>8.2600000000000007E-2</v>
      </c>
      <c r="F12" s="442">
        <f>SUMIF('Non-Core P&amp;L'!$B:$B,'Non-Core Opex Proj.'!$C12,'Non-Core P&amp;L'!$CS:$CS)</f>
        <v>2728355.6900000004</v>
      </c>
      <c r="G12" s="443">
        <f>SUMIF('Non-Core P&amp;L'!$B:$B,'Non-Core Opex Proj.'!$C12,'Non-Core P&amp;L'!$BN:$BN)</f>
        <v>2482143.1541666696</v>
      </c>
      <c r="H12" s="443">
        <f>SUMIF('Non-Core P&amp;L'!$B:$B,'Non-Core Opex Proj.'!$C12,'Non-Core P&amp;L'!AJ:AJ)</f>
        <v>2208643.6500000004</v>
      </c>
      <c r="I12" s="443">
        <f>SUMIF('Non-Core P&amp;L'!$B:$B,'Non-Core Opex Proj.'!$C12,'Non-Core P&amp;L'!T:T)</f>
        <v>0</v>
      </c>
      <c r="J12" s="443"/>
      <c r="K12" s="443"/>
      <c r="L12" s="443"/>
      <c r="M12" s="443"/>
      <c r="N12" s="443"/>
      <c r="O12" s="443"/>
      <c r="P12" s="443"/>
      <c r="R12" s="454">
        <v>14622347.484613832</v>
      </c>
      <c r="S12" s="454">
        <v>35528937.020981468</v>
      </c>
      <c r="U12" s="491">
        <f>R12-SUM(H12:K12)</f>
        <v>12413703.834613832</v>
      </c>
    </row>
    <row r="13" spans="1:21">
      <c r="A13" s="438" t="s">
        <v>329</v>
      </c>
      <c r="B13" s="1071" t="s">
        <v>109</v>
      </c>
      <c r="C13" s="440">
        <v>60105000</v>
      </c>
      <c r="D13" s="320" t="s">
        <v>630</v>
      </c>
      <c r="E13" s="441"/>
      <c r="F13" s="442">
        <f>SUMIF('Non-Core P&amp;L'!$B:$B,'Non-Core Opex Proj.'!$C13,'Non-Core P&amp;L'!$CS:$CS)</f>
        <v>0</v>
      </c>
      <c r="G13" s="442">
        <f>SUMIF('Non-Core P&amp;L'!$B:$B,'Non-Core Opex Proj.'!$C13,'Non-Core P&amp;L'!$BN:$BN)</f>
        <v>0</v>
      </c>
      <c r="H13" s="442">
        <f>SUMIF('Non-Core P&amp;L'!$B:$B,'Non-Core Opex Proj.'!$C13,'Non-Core P&amp;L'!AJ:AJ)</f>
        <v>0</v>
      </c>
      <c r="I13" s="442">
        <f>SUMIF('Non-Core P&amp;L'!$B:$B,'Non-Core Opex Proj.'!$C13,'Non-Core P&amp;L'!T:T)</f>
        <v>0</v>
      </c>
      <c r="J13" s="442"/>
      <c r="K13" s="442"/>
      <c r="L13" s="442"/>
      <c r="M13" s="442"/>
      <c r="N13" s="442"/>
      <c r="O13" s="442"/>
      <c r="P13" s="442"/>
    </row>
    <row r="14" spans="1:21">
      <c r="A14" s="438" t="s">
        <v>600</v>
      </c>
      <c r="B14" s="1071" t="s">
        <v>109</v>
      </c>
      <c r="C14" s="440">
        <v>60106000</v>
      </c>
      <c r="D14" s="320" t="s">
        <v>631</v>
      </c>
      <c r="E14" s="444" t="s">
        <v>743</v>
      </c>
      <c r="F14" s="442">
        <f>SUMIF('Non-Core P&amp;L'!$B:$B,'Non-Core Opex Proj.'!$C14,'Non-Core P&amp;L'!$CS:$CS)</f>
        <v>44827</v>
      </c>
      <c r="G14" s="445">
        <f>SUMIF('Non-Core P&amp;L'!$B:$B,'Non-Core Opex Proj.'!$C14,'Non-Core P&amp;L'!$BN:$BN)</f>
        <v>117595.46323631323</v>
      </c>
      <c r="H14" s="445">
        <f>SUMIF('Non-Core P&amp;L'!$B:$B,'Non-Core Opex Proj.'!$C14,'Non-Core P&amp;L'!AJ:AJ)</f>
        <v>498047.46</v>
      </c>
      <c r="I14" s="445">
        <f>SUMIF('Non-Core P&amp;L'!$B:$B,'Non-Core Opex Proj.'!$C14,'Non-Core P&amp;L'!T:T)</f>
        <v>0</v>
      </c>
      <c r="J14" s="445"/>
      <c r="K14" s="445"/>
      <c r="L14" s="445"/>
      <c r="M14" s="445"/>
      <c r="N14" s="445"/>
      <c r="O14" s="445"/>
      <c r="P14" s="445"/>
    </row>
    <row r="15" spans="1:21">
      <c r="A15" s="438" t="s">
        <v>329</v>
      </c>
      <c r="B15" s="1071" t="s">
        <v>109</v>
      </c>
      <c r="C15" s="440">
        <v>60107000</v>
      </c>
      <c r="D15" s="320" t="s">
        <v>632</v>
      </c>
      <c r="E15" s="444" t="s">
        <v>742</v>
      </c>
      <c r="F15" s="461">
        <f>SUMIF('Non-Core P&amp;L'!$B:$B,'Non-Core Opex Proj.'!$C15,'Non-Core P&amp;L'!$CS:$CS)</f>
        <v>68147.72</v>
      </c>
      <c r="G15" s="445">
        <f>SUMIF('Non-Core P&amp;L'!$B:$B,'Non-Core Opex Proj.'!$C15,'Non-Core P&amp;L'!$BN:$BN)</f>
        <v>18505.400000000001</v>
      </c>
      <c r="H15" s="445">
        <f>SUMIF('Non-Core P&amp;L'!$B:$B,'Non-Core Opex Proj.'!$C15,'Non-Core P&amp;L'!AJ:AJ)</f>
        <v>0</v>
      </c>
      <c r="I15" s="445">
        <f>SUMIF('Non-Core P&amp;L'!$B:$B,'Non-Core Opex Proj.'!$C15,'Non-Core P&amp;L'!T:T)</f>
        <v>0</v>
      </c>
      <c r="J15" s="445"/>
      <c r="K15" s="445"/>
      <c r="L15" s="445"/>
      <c r="M15" s="445"/>
      <c r="N15" s="445"/>
      <c r="O15" s="445"/>
      <c r="P15" s="445"/>
    </row>
    <row r="16" spans="1:21">
      <c r="A16" s="438" t="s">
        <v>338</v>
      </c>
      <c r="B16" s="1071" t="s">
        <v>109</v>
      </c>
      <c r="C16" s="440">
        <v>60108000</v>
      </c>
      <c r="D16" s="320" t="s">
        <v>603</v>
      </c>
      <c r="E16" s="444" t="s">
        <v>742</v>
      </c>
      <c r="F16" s="461">
        <f>SUMIF('Non-Core P&amp;L'!$B:$B,'Non-Core Opex Proj.'!$C16,'Non-Core P&amp;L'!$CS:$CS)</f>
        <v>0</v>
      </c>
      <c r="G16" s="445">
        <f>SUMIF('Non-Core P&amp;L'!$B:$B,'Non-Core Opex Proj.'!$C16,'Non-Core P&amp;L'!$BN:$BN)</f>
        <v>500</v>
      </c>
      <c r="H16" s="445">
        <f>SUMIF('Non-Core P&amp;L'!$B:$B,'Non-Core Opex Proj.'!$C16,'Non-Core P&amp;L'!AJ:AJ)</f>
        <v>0</v>
      </c>
      <c r="I16" s="445">
        <f>SUMIF('Non-Core P&amp;L'!$B:$B,'Non-Core Opex Proj.'!$C16,'Non-Core P&amp;L'!T:T)</f>
        <v>0</v>
      </c>
      <c r="J16" s="445"/>
      <c r="K16" s="445"/>
      <c r="L16" s="445"/>
      <c r="M16" s="445"/>
      <c r="N16" s="445"/>
      <c r="O16" s="445"/>
      <c r="P16" s="445"/>
    </row>
    <row r="17" spans="1:16">
      <c r="A17" s="438" t="s">
        <v>604</v>
      </c>
      <c r="B17" s="1071" t="s">
        <v>109</v>
      </c>
      <c r="C17" s="440">
        <v>60109000</v>
      </c>
      <c r="D17" s="320" t="s">
        <v>633</v>
      </c>
      <c r="E17" s="444" t="s">
        <v>742</v>
      </c>
      <c r="F17" s="461">
        <f>SUMIF('Non-Core P&amp;L'!$B:$B,'Non-Core Opex Proj.'!$C17,'Non-Core P&amp;L'!$CS:$CS)</f>
        <v>978835.71</v>
      </c>
      <c r="G17" s="445">
        <f>SUMIF('Non-Core P&amp;L'!$B:$B,'Non-Core Opex Proj.'!$C17,'Non-Core P&amp;L'!$BN:$BN)</f>
        <v>83865.8</v>
      </c>
      <c r="H17" s="445">
        <f>SUMIF('Non-Core P&amp;L'!$B:$B,'Non-Core Opex Proj.'!$C17,'Non-Core P&amp;L'!AJ:AJ)</f>
        <v>7294</v>
      </c>
      <c r="I17" s="445">
        <f>SUMIF('Non-Core P&amp;L'!$B:$B,'Non-Core Opex Proj.'!$C17,'Non-Core P&amp;L'!T:T)</f>
        <v>0</v>
      </c>
      <c r="J17" s="445"/>
      <c r="K17" s="445"/>
      <c r="L17" s="445"/>
      <c r="M17" s="445"/>
      <c r="N17" s="445"/>
      <c r="O17" s="445"/>
      <c r="P17" s="445"/>
    </row>
    <row r="18" spans="1:16">
      <c r="A18" s="438" t="s">
        <v>317</v>
      </c>
      <c r="B18" s="1071" t="s">
        <v>109</v>
      </c>
      <c r="C18" s="440">
        <v>60110000</v>
      </c>
      <c r="D18" s="320" t="s">
        <v>634</v>
      </c>
      <c r="E18" s="444" t="s">
        <v>742</v>
      </c>
      <c r="F18" s="461">
        <f>SUMIF('Non-Core P&amp;L'!$B:$B,'Non-Core Opex Proj.'!$C18,'Non-Core P&amp;L'!$CS:$CS)</f>
        <v>149956.93</v>
      </c>
      <c r="G18" s="445">
        <f>SUMIF('Non-Core P&amp;L'!$B:$B,'Non-Core Opex Proj.'!$C18,'Non-Core P&amp;L'!$BN:$BN)</f>
        <v>3913</v>
      </c>
      <c r="H18" s="445">
        <f>SUMIF('Non-Core P&amp;L'!$B:$B,'Non-Core Opex Proj.'!$C18,'Non-Core P&amp;L'!AJ:AJ)</f>
        <v>0</v>
      </c>
      <c r="I18" s="445">
        <f>SUMIF('Non-Core P&amp;L'!$B:$B,'Non-Core Opex Proj.'!$C18,'Non-Core P&amp;L'!T:T)</f>
        <v>0</v>
      </c>
      <c r="J18" s="445"/>
      <c r="K18" s="445"/>
      <c r="L18" s="445"/>
      <c r="M18" s="445"/>
      <c r="N18" s="445"/>
      <c r="O18" s="445"/>
      <c r="P18" s="445"/>
    </row>
    <row r="19" spans="1:16">
      <c r="A19" s="438" t="s">
        <v>329</v>
      </c>
      <c r="B19" s="1071" t="s">
        <v>109</v>
      </c>
      <c r="C19" s="440">
        <v>60111000</v>
      </c>
      <c r="D19" s="320" t="s">
        <v>635</v>
      </c>
      <c r="E19" s="444" t="s">
        <v>742</v>
      </c>
      <c r="F19" s="461">
        <f>SUMIF('Non-Core P&amp;L'!$B:$B,'Non-Core Opex Proj.'!$C19,'Non-Core P&amp;L'!$CS:$CS)</f>
        <v>0</v>
      </c>
      <c r="G19" s="445">
        <f>SUMIF('Non-Core P&amp;L'!$B:$B,'Non-Core Opex Proj.'!$C19,'Non-Core P&amp;L'!$BN:$BN)</f>
        <v>0</v>
      </c>
      <c r="H19" s="445">
        <f>SUMIF('Non-Core P&amp;L'!$B:$B,'Non-Core Opex Proj.'!$C19,'Non-Core P&amp;L'!AJ:AJ)</f>
        <v>0</v>
      </c>
      <c r="I19" s="445">
        <f>SUMIF('Non-Core P&amp;L'!$B:$B,'Non-Core Opex Proj.'!$C19,'Non-Core P&amp;L'!T:T)</f>
        <v>0</v>
      </c>
      <c r="J19" s="445"/>
      <c r="K19" s="445"/>
      <c r="L19" s="445"/>
      <c r="M19" s="445"/>
      <c r="N19" s="445"/>
      <c r="O19" s="445"/>
      <c r="P19" s="445"/>
    </row>
    <row r="20" spans="1:16">
      <c r="A20" s="438" t="s">
        <v>329</v>
      </c>
      <c r="B20" s="1071" t="s">
        <v>109</v>
      </c>
      <c r="C20" s="440">
        <v>60112000</v>
      </c>
      <c r="D20" s="320" t="s">
        <v>636</v>
      </c>
      <c r="E20" s="444" t="s">
        <v>742</v>
      </c>
      <c r="F20" s="461">
        <f>SUMIF('Non-Core P&amp;L'!$B:$B,'Non-Core Opex Proj.'!$C20,'Non-Core P&amp;L'!$CS:$CS)</f>
        <v>0</v>
      </c>
      <c r="G20" s="445">
        <f>SUMIF('Non-Core P&amp;L'!$B:$B,'Non-Core Opex Proj.'!$C20,'Non-Core P&amp;L'!$BN:$BN)</f>
        <v>0</v>
      </c>
      <c r="H20" s="445">
        <f>SUMIF('Non-Core P&amp;L'!$B:$B,'Non-Core Opex Proj.'!$C20,'Non-Core P&amp;L'!AJ:AJ)</f>
        <v>0</v>
      </c>
      <c r="I20" s="445">
        <f>SUMIF('Non-Core P&amp;L'!$B:$B,'Non-Core Opex Proj.'!$C20,'Non-Core P&amp;L'!T:T)</f>
        <v>0</v>
      </c>
      <c r="J20" s="445"/>
      <c r="K20" s="445"/>
      <c r="L20" s="445"/>
      <c r="M20" s="445"/>
      <c r="N20" s="445"/>
      <c r="O20" s="445"/>
      <c r="P20" s="445"/>
    </row>
    <row r="21" spans="1:16">
      <c r="A21" s="438" t="s">
        <v>601</v>
      </c>
      <c r="B21" s="1052" t="s">
        <v>1294</v>
      </c>
      <c r="C21" s="440">
        <v>60113000</v>
      </c>
      <c r="D21" s="320" t="s">
        <v>602</v>
      </c>
      <c r="E21" s="444" t="s">
        <v>742</v>
      </c>
      <c r="F21" s="461">
        <f>SUMIF('Non-Core P&amp;L'!$B:$B,'Non-Core Opex Proj.'!$C21,'Non-Core P&amp;L'!$CS:$CS)</f>
        <v>274454.42000000004</v>
      </c>
      <c r="G21" s="445">
        <f>SUMIF('Non-Core P&amp;L'!$B:$B,'Non-Core Opex Proj.'!$C21,'Non-Core P&amp;L'!$BN:$BN)</f>
        <v>293722.73000000004</v>
      </c>
      <c r="H21" s="445">
        <f>SUMIF('Non-Core P&amp;L'!$B:$B,'Non-Core Opex Proj.'!$C21,'Non-Core P&amp;L'!AJ:AJ)</f>
        <v>248244.95000000007</v>
      </c>
      <c r="I21" s="445">
        <f>SUMIF('Non-Core P&amp;L'!$B:$B,'Non-Core Opex Proj.'!$C21,'Non-Core P&amp;L'!T:T)</f>
        <v>0</v>
      </c>
      <c r="J21" s="445"/>
      <c r="K21" s="445"/>
      <c r="L21" s="445"/>
      <c r="M21" s="445"/>
      <c r="N21" s="445"/>
      <c r="O21" s="445"/>
      <c r="P21" s="445"/>
    </row>
    <row r="22" spans="1:16">
      <c r="A22" s="438" t="s">
        <v>329</v>
      </c>
      <c r="B22" s="1052" t="s">
        <v>1294</v>
      </c>
      <c r="C22" s="440">
        <v>60113100</v>
      </c>
      <c r="D22" s="320" t="s">
        <v>637</v>
      </c>
      <c r="E22" s="444" t="s">
        <v>742</v>
      </c>
      <c r="F22" s="461">
        <f>SUMIF('Non-Core P&amp;L'!$B:$B,'Non-Core Opex Proj.'!$C22,'Non-Core P&amp;L'!$CS:$CS)</f>
        <v>305935.32</v>
      </c>
      <c r="G22" s="445">
        <f>SUMIF('Non-Core P&amp;L'!$B:$B,'Non-Core Opex Proj.'!$C22,'Non-Core P&amp;L'!$BN:$BN)</f>
        <v>279590.49000000005</v>
      </c>
      <c r="H22" s="445">
        <f>SUMIF('Non-Core P&amp;L'!$B:$B,'Non-Core Opex Proj.'!$C22,'Non-Core P&amp;L'!AJ:AJ)</f>
        <v>238180.41000000009</v>
      </c>
      <c r="I22" s="445">
        <f>SUMIF('Non-Core P&amp;L'!$B:$B,'Non-Core Opex Proj.'!$C22,'Non-Core P&amp;L'!T:T)</f>
        <v>0</v>
      </c>
      <c r="J22" s="445"/>
      <c r="K22" s="445"/>
      <c r="L22" s="445"/>
      <c r="M22" s="445"/>
      <c r="N22" s="445"/>
      <c r="O22" s="445"/>
      <c r="P22" s="445"/>
    </row>
    <row r="23" spans="1:16">
      <c r="A23" s="438" t="s">
        <v>318</v>
      </c>
      <c r="B23" s="1052" t="s">
        <v>1294</v>
      </c>
      <c r="C23" s="440">
        <v>60114000</v>
      </c>
      <c r="D23" s="320" t="s">
        <v>638</v>
      </c>
      <c r="E23" s="444" t="s">
        <v>742</v>
      </c>
      <c r="F23" s="461">
        <f>SUMIF('Non-Core P&amp;L'!$B:$B,'Non-Core Opex Proj.'!$C23,'Non-Core P&amp;L'!$CS:$CS)</f>
        <v>32150</v>
      </c>
      <c r="G23" s="445">
        <f>SUMIF('Non-Core P&amp;L'!$B:$B,'Non-Core Opex Proj.'!$C23,'Non-Core P&amp;L'!$BN:$BN)</f>
        <v>18538</v>
      </c>
      <c r="H23" s="445">
        <f>SUMIF('Non-Core P&amp;L'!$B:$B,'Non-Core Opex Proj.'!$C23,'Non-Core P&amp;L'!AJ:AJ)</f>
        <v>1804</v>
      </c>
      <c r="I23" s="445">
        <f>SUMIF('Non-Core P&amp;L'!$B:$B,'Non-Core Opex Proj.'!$C23,'Non-Core P&amp;L'!T:T)</f>
        <v>0</v>
      </c>
      <c r="J23" s="445"/>
      <c r="K23" s="445"/>
      <c r="L23" s="445"/>
      <c r="M23" s="445"/>
      <c r="N23" s="445"/>
      <c r="O23" s="445"/>
      <c r="P23" s="445"/>
    </row>
    <row r="24" spans="1:16">
      <c r="A24" s="438" t="s">
        <v>319</v>
      </c>
      <c r="B24" s="1052" t="s">
        <v>1294</v>
      </c>
      <c r="C24" s="440">
        <v>60115000</v>
      </c>
      <c r="D24" s="320" t="s">
        <v>639</v>
      </c>
      <c r="E24" s="444" t="s">
        <v>743</v>
      </c>
      <c r="F24" s="461">
        <f>SUMIF('Non-Core P&amp;L'!$B:$B,'Non-Core Opex Proj.'!$C24,'Non-Core P&amp;L'!$CS:$CS)</f>
        <v>0</v>
      </c>
      <c r="G24" s="445">
        <f>SUMIF('Non-Core P&amp;L'!$B:$B,'Non-Core Opex Proj.'!$C24,'Non-Core P&amp;L'!$BN:$BN)</f>
        <v>0</v>
      </c>
      <c r="H24" s="445">
        <f>SUMIF('Non-Core P&amp;L'!$B:$B,'Non-Core Opex Proj.'!$C24,'Non-Core P&amp;L'!AJ:AJ)</f>
        <v>0</v>
      </c>
      <c r="I24" s="445">
        <f>SUMIF('Non-Core P&amp;L'!$B:$B,'Non-Core Opex Proj.'!$C24,'Non-Core P&amp;L'!T:T)</f>
        <v>0</v>
      </c>
      <c r="J24" s="445"/>
      <c r="K24" s="445"/>
      <c r="L24" s="445"/>
      <c r="M24" s="445"/>
      <c r="N24" s="445"/>
      <c r="O24" s="445"/>
      <c r="P24" s="445"/>
    </row>
    <row r="25" spans="1:16">
      <c r="A25" s="438" t="s">
        <v>323</v>
      </c>
      <c r="B25" s="1071" t="s">
        <v>375</v>
      </c>
      <c r="C25" s="440">
        <v>60116000</v>
      </c>
      <c r="D25" s="320" t="s">
        <v>640</v>
      </c>
      <c r="E25" s="444" t="s">
        <v>742</v>
      </c>
      <c r="F25" s="461">
        <f>SUMIF('Non-Core P&amp;L'!$B:$B,'Non-Core Opex Proj.'!$C25,'Non-Core P&amp;L'!$CS:$CS)</f>
        <v>0</v>
      </c>
      <c r="G25" s="445">
        <f>SUMIF('Non-Core P&amp;L'!$B:$B,'Non-Core Opex Proj.'!$C25,'Non-Core P&amp;L'!$BN:$BN)</f>
        <v>0</v>
      </c>
      <c r="H25" s="445">
        <f>SUMIF('Non-Core P&amp;L'!$B:$B,'Non-Core Opex Proj.'!$C25,'Non-Core P&amp;L'!AJ:AJ)</f>
        <v>0</v>
      </c>
      <c r="I25" s="445">
        <f>SUMIF('Non-Core P&amp;L'!$B:$B,'Non-Core Opex Proj.'!$C25,'Non-Core P&amp;L'!T:T)</f>
        <v>0</v>
      </c>
      <c r="J25" s="445"/>
      <c r="K25" s="445"/>
      <c r="L25" s="445"/>
      <c r="M25" s="445"/>
      <c r="N25" s="445"/>
      <c r="O25" s="445"/>
      <c r="P25" s="445"/>
    </row>
    <row r="26" spans="1:16">
      <c r="A26" s="438" t="s">
        <v>322</v>
      </c>
      <c r="B26" s="1071" t="s">
        <v>375</v>
      </c>
      <c r="C26" s="440">
        <v>60117000</v>
      </c>
      <c r="D26" s="320" t="s">
        <v>350</v>
      </c>
      <c r="E26" s="444" t="s">
        <v>742</v>
      </c>
      <c r="F26" s="461">
        <f>SUMIF('Non-Core P&amp;L'!$B:$B,'Non-Core Opex Proj.'!$C26,'Non-Core P&amp;L'!$CS:$CS)</f>
        <v>0</v>
      </c>
      <c r="G26" s="445">
        <f>SUMIF('Non-Core P&amp;L'!$B:$B,'Non-Core Opex Proj.'!$C26,'Non-Core P&amp;L'!$BN:$BN)</f>
        <v>0</v>
      </c>
      <c r="H26" s="445">
        <f>SUMIF('Non-Core P&amp;L'!$B:$B,'Non-Core Opex Proj.'!$C26,'Non-Core P&amp;L'!AJ:AJ)</f>
        <v>0</v>
      </c>
      <c r="I26" s="445">
        <f>SUMIF('Non-Core P&amp;L'!$B:$B,'Non-Core Opex Proj.'!$C26,'Non-Core P&amp;L'!T:T)</f>
        <v>0</v>
      </c>
      <c r="J26" s="445"/>
      <c r="K26" s="445"/>
      <c r="L26" s="445"/>
      <c r="M26" s="445"/>
      <c r="N26" s="445"/>
      <c r="O26" s="445"/>
      <c r="P26" s="445"/>
    </row>
    <row r="27" spans="1:16">
      <c r="A27" s="438" t="s">
        <v>605</v>
      </c>
      <c r="B27" s="1052" t="s">
        <v>376</v>
      </c>
      <c r="C27" s="440">
        <v>60201000</v>
      </c>
      <c r="D27" s="320" t="s">
        <v>641</v>
      </c>
      <c r="E27" s="547" t="s">
        <v>743</v>
      </c>
      <c r="F27" s="461">
        <f>SUMIF('Non-Core P&amp;L'!$B:$B,'Non-Core Opex Proj.'!$C27,'Non-Core P&amp;L'!$CS:$CS)</f>
        <v>131924</v>
      </c>
      <c r="G27" s="509">
        <f>SUMIF('Non-Core P&amp;L'!$B:$B,'Non-Core Opex Proj.'!$C27,'Non-Core P&amp;L'!$BN:$BN)</f>
        <v>133243.34</v>
      </c>
      <c r="H27" s="509">
        <f>SUMIF('Non-Core P&amp;L'!$B:$B,'Non-Core Opex Proj.'!$C27,'Non-Core P&amp;L'!AJ:AJ)</f>
        <v>131924</v>
      </c>
      <c r="I27" s="509">
        <f>SUMIF('Non-Core P&amp;L'!$B:$B,'Non-Core Opex Proj.'!$C27,'Non-Core P&amp;L'!T:T)</f>
        <v>0</v>
      </c>
      <c r="J27" s="509"/>
      <c r="K27" s="509"/>
      <c r="L27" s="509"/>
      <c r="M27" s="509"/>
      <c r="N27" s="509"/>
      <c r="O27" s="509"/>
      <c r="P27" s="509"/>
    </row>
    <row r="28" spans="1:16">
      <c r="A28" s="438" t="s">
        <v>606</v>
      </c>
      <c r="B28" s="1071" t="s">
        <v>376</v>
      </c>
      <c r="C28" s="440">
        <v>60205000</v>
      </c>
      <c r="D28" s="320" t="s">
        <v>607</v>
      </c>
      <c r="E28" s="547" t="s">
        <v>744</v>
      </c>
      <c r="F28" s="461">
        <f>SUMIF('Non-Core P&amp;L'!$B:$B,'Non-Core Opex Proj.'!$C28,'Non-Core P&amp;L'!$CS:$CS)</f>
        <v>2587300</v>
      </c>
      <c r="G28" s="509">
        <f>SUMIF('Non-Core P&amp;L'!$B:$B,'Non-Core Opex Proj.'!$C28,'Non-Core P&amp;L'!$BN:$BN)</f>
        <v>2223249.66</v>
      </c>
      <c r="H28" s="509">
        <f>SUMIF('Non-Core P&amp;L'!$B:$B,'Non-Core Opex Proj.'!$C28,'Non-Core P&amp;L'!AJ:AJ)</f>
        <v>-2213327.3099999996</v>
      </c>
      <c r="I28" s="509">
        <f>SUMIF('Non-Core P&amp;L'!$B:$B,'Non-Core Opex Proj.'!$C28,'Non-Core P&amp;L'!T:T)</f>
        <v>0</v>
      </c>
      <c r="J28" s="509"/>
      <c r="K28" s="509"/>
      <c r="L28" s="509"/>
      <c r="M28" s="509"/>
      <c r="N28" s="509"/>
      <c r="O28" s="509"/>
      <c r="P28" s="509"/>
    </row>
    <row r="29" spans="1:16">
      <c r="A29" s="438" t="s">
        <v>442</v>
      </c>
      <c r="B29" s="1052" t="s">
        <v>1304</v>
      </c>
      <c r="C29" s="440">
        <v>60211000</v>
      </c>
      <c r="D29" s="320" t="s">
        <v>642</v>
      </c>
      <c r="E29" s="547" t="s">
        <v>743</v>
      </c>
      <c r="F29" s="461">
        <f>SUMIF('Non-Core P&amp;L'!$B:$B,'Non-Core Opex Proj.'!$C29,'Non-Core P&amp;L'!$CS:$CS)</f>
        <v>9325982</v>
      </c>
      <c r="G29" s="509">
        <f>SUMIF('Non-Core P&amp;L'!$B:$B,'Non-Core Opex Proj.'!$C29,'Non-Core P&amp;L'!$BN:$BN)</f>
        <v>15045156</v>
      </c>
      <c r="H29" s="509">
        <f>SUMIF('Non-Core P&amp;L'!$B:$B,'Non-Core Opex Proj.'!$C29,'Non-Core P&amp;L'!AJ:AJ)</f>
        <v>16413074</v>
      </c>
      <c r="I29" s="509">
        <f>SUMIF('Non-Core P&amp;L'!$B:$B,'Non-Core Opex Proj.'!$C29,'Non-Core P&amp;L'!T:T)</f>
        <v>0</v>
      </c>
      <c r="J29" s="509"/>
      <c r="K29" s="509"/>
      <c r="L29" s="509"/>
      <c r="M29" s="509"/>
      <c r="N29" s="509"/>
      <c r="O29" s="509"/>
      <c r="P29" s="509"/>
    </row>
    <row r="30" spans="1:16">
      <c r="A30" s="438" t="s">
        <v>442</v>
      </c>
      <c r="B30" s="1052" t="s">
        <v>1304</v>
      </c>
      <c r="C30" s="440">
        <v>60215000</v>
      </c>
      <c r="D30" s="320" t="s">
        <v>643</v>
      </c>
      <c r="E30" s="444" t="s">
        <v>742</v>
      </c>
      <c r="F30" s="461">
        <f>SUMIF('Non-Core P&amp;L'!$B:$B,'Non-Core Opex Proj.'!$C30,'Non-Core P&amp;L'!$CS:$CS)</f>
        <v>75152.2</v>
      </c>
      <c r="G30" s="445">
        <f>SUMIF('Non-Core P&amp;L'!$B:$B,'Non-Core Opex Proj.'!$C30,'Non-Core P&amp;L'!$BN:$BN)</f>
        <v>158991.90000000002</v>
      </c>
      <c r="H30" s="445">
        <f>SUMIF('Non-Core P&amp;L'!$B:$B,'Non-Core Opex Proj.'!$C30,'Non-Core P&amp;L'!AJ:AJ)</f>
        <v>116099.45</v>
      </c>
      <c r="I30" s="445">
        <f>SUMIF('Non-Core P&amp;L'!$B:$B,'Non-Core Opex Proj.'!$C30,'Non-Core P&amp;L'!T:T)</f>
        <v>0</v>
      </c>
      <c r="J30" s="445"/>
      <c r="K30" s="445"/>
      <c r="L30" s="445"/>
      <c r="M30" s="445"/>
      <c r="N30" s="445"/>
      <c r="O30" s="445"/>
      <c r="P30" s="445"/>
    </row>
    <row r="31" spans="1:16">
      <c r="A31" s="438" t="s">
        <v>329</v>
      </c>
      <c r="B31" s="1071" t="s">
        <v>109</v>
      </c>
      <c r="C31" s="440">
        <v>60301000</v>
      </c>
      <c r="D31" s="320" t="s">
        <v>333</v>
      </c>
      <c r="E31" s="444" t="s">
        <v>742</v>
      </c>
      <c r="F31" s="461">
        <f>SUMIF('Non-Core P&amp;L'!$B:$B,'Non-Core Opex Proj.'!$C31,'Non-Core P&amp;L'!$CS:$CS)</f>
        <v>0</v>
      </c>
      <c r="G31" s="445">
        <f>SUMIF('Non-Core P&amp;L'!$B:$B,'Non-Core Opex Proj.'!$C31,'Non-Core P&amp;L'!$BN:$BN)</f>
        <v>0</v>
      </c>
      <c r="H31" s="445">
        <f>SUMIF('Non-Core P&amp;L'!$B:$B,'Non-Core Opex Proj.'!$C31,'Non-Core P&amp;L'!AJ:AJ)</f>
        <v>0</v>
      </c>
      <c r="I31" s="445">
        <f>SUMIF('Non-Core P&amp;L'!$B:$B,'Non-Core Opex Proj.'!$C31,'Non-Core P&amp;L'!T:T)</f>
        <v>0</v>
      </c>
      <c r="J31" s="445"/>
      <c r="K31" s="445"/>
      <c r="L31" s="445"/>
      <c r="M31" s="445"/>
      <c r="N31" s="445"/>
      <c r="O31" s="445"/>
      <c r="P31" s="445"/>
    </row>
    <row r="32" spans="1:16">
      <c r="A32" s="438" t="s">
        <v>329</v>
      </c>
      <c r="B32" s="1071" t="s">
        <v>109</v>
      </c>
      <c r="C32" s="440">
        <v>60302000</v>
      </c>
      <c r="D32" s="320" t="s">
        <v>644</v>
      </c>
      <c r="E32" s="444" t="s">
        <v>742</v>
      </c>
      <c r="F32" s="461">
        <f>SUMIF('Non-Core P&amp;L'!$B:$B,'Non-Core Opex Proj.'!$C32,'Non-Core P&amp;L'!$CS:$CS)</f>
        <v>85476.21</v>
      </c>
      <c r="G32" s="445">
        <f>SUMIF('Non-Core P&amp;L'!$B:$B,'Non-Core Opex Proj.'!$C32,'Non-Core P&amp;L'!$BN:$BN)</f>
        <v>150501.63999999998</v>
      </c>
      <c r="H32" s="445">
        <f>SUMIF('Non-Core P&amp;L'!$B:$B,'Non-Core Opex Proj.'!$C32,'Non-Core P&amp;L'!AJ:AJ)</f>
        <v>43384.030000000006</v>
      </c>
      <c r="I32" s="445">
        <f>SUMIF('Non-Core P&amp;L'!$B:$B,'Non-Core Opex Proj.'!$C32,'Non-Core P&amp;L'!T:T)</f>
        <v>0</v>
      </c>
      <c r="J32" s="445"/>
      <c r="K32" s="445"/>
      <c r="L32" s="445"/>
      <c r="M32" s="445"/>
      <c r="N32" s="445"/>
      <c r="O32" s="445"/>
      <c r="P32" s="445"/>
    </row>
    <row r="33" spans="1:16">
      <c r="A33" s="438" t="s">
        <v>608</v>
      </c>
      <c r="B33" s="1071" t="s">
        <v>109</v>
      </c>
      <c r="C33" s="440">
        <v>60302100</v>
      </c>
      <c r="D33" s="320" t="s">
        <v>645</v>
      </c>
      <c r="E33" s="444" t="s">
        <v>742</v>
      </c>
      <c r="F33" s="461">
        <f>SUMIF('Non-Core P&amp;L'!$B:$B,'Non-Core Opex Proj.'!$C33,'Non-Core P&amp;L'!$CS:$CS)</f>
        <v>0</v>
      </c>
      <c r="G33" s="445">
        <f>SUMIF('Non-Core P&amp;L'!$B:$B,'Non-Core Opex Proj.'!$C33,'Non-Core P&amp;L'!$BN:$BN)</f>
        <v>0</v>
      </c>
      <c r="H33" s="445">
        <f>SUMIF('Non-Core P&amp;L'!$B:$B,'Non-Core Opex Proj.'!$C33,'Non-Core P&amp;L'!AJ:AJ)</f>
        <v>0</v>
      </c>
      <c r="I33" s="445">
        <f>SUMIF('Non-Core P&amp;L'!$B:$B,'Non-Core Opex Proj.'!$C33,'Non-Core P&amp;L'!T:T)</f>
        <v>0</v>
      </c>
      <c r="J33" s="445"/>
      <c r="K33" s="445"/>
      <c r="L33" s="445"/>
      <c r="M33" s="445"/>
      <c r="N33" s="445"/>
      <c r="O33" s="445"/>
      <c r="P33" s="445"/>
    </row>
    <row r="34" spans="1:16">
      <c r="A34" s="438" t="s">
        <v>329</v>
      </c>
      <c r="B34" s="1071" t="s">
        <v>109</v>
      </c>
      <c r="C34" s="440">
        <v>60303000</v>
      </c>
      <c r="D34" s="320" t="s">
        <v>334</v>
      </c>
      <c r="E34" s="444" t="s">
        <v>742</v>
      </c>
      <c r="F34" s="461">
        <f>SUMIF('Non-Core P&amp;L'!$B:$B,'Non-Core Opex Proj.'!$C34,'Non-Core P&amp;L'!$CS:$CS)</f>
        <v>250</v>
      </c>
      <c r="G34" s="445">
        <f>SUMIF('Non-Core P&amp;L'!$B:$B,'Non-Core Opex Proj.'!$C34,'Non-Core P&amp;L'!$BN:$BN)</f>
        <v>100</v>
      </c>
      <c r="H34" s="445">
        <f>SUMIF('Non-Core P&amp;L'!$B:$B,'Non-Core Opex Proj.'!$C34,'Non-Core P&amp;L'!AJ:AJ)</f>
        <v>0</v>
      </c>
      <c r="I34" s="445">
        <f>SUMIF('Non-Core P&amp;L'!$B:$B,'Non-Core Opex Proj.'!$C34,'Non-Core P&amp;L'!T:T)</f>
        <v>0</v>
      </c>
      <c r="J34" s="445"/>
      <c r="K34" s="445"/>
      <c r="L34" s="445"/>
      <c r="M34" s="445"/>
      <c r="N34" s="445"/>
      <c r="O34" s="445"/>
      <c r="P34" s="445"/>
    </row>
    <row r="35" spans="1:16">
      <c r="A35" s="438" t="s">
        <v>609</v>
      </c>
      <c r="B35" s="1071" t="s">
        <v>109</v>
      </c>
      <c r="C35" s="440">
        <v>60304000</v>
      </c>
      <c r="D35" s="320" t="s">
        <v>339</v>
      </c>
      <c r="E35" s="444" t="s">
        <v>742</v>
      </c>
      <c r="F35" s="461">
        <f>SUMIF('Non-Core P&amp;L'!$B:$B,'Non-Core Opex Proj.'!$C35,'Non-Core P&amp;L'!$CS:$CS)</f>
        <v>20966</v>
      </c>
      <c r="G35" s="445">
        <f>SUMIF('Non-Core P&amp;L'!$B:$B,'Non-Core Opex Proj.'!$C35,'Non-Core P&amp;L'!$BN:$BN)</f>
        <v>3530</v>
      </c>
      <c r="H35" s="445">
        <f>SUMIF('Non-Core P&amp;L'!$B:$B,'Non-Core Opex Proj.'!$C35,'Non-Core P&amp;L'!AJ:AJ)</f>
        <v>0</v>
      </c>
      <c r="I35" s="445">
        <f>SUMIF('Non-Core P&amp;L'!$B:$B,'Non-Core Opex Proj.'!$C35,'Non-Core P&amp;L'!T:T)</f>
        <v>0</v>
      </c>
      <c r="J35" s="445"/>
      <c r="K35" s="445"/>
      <c r="L35" s="445"/>
      <c r="M35" s="445"/>
      <c r="N35" s="445"/>
      <c r="O35" s="445"/>
      <c r="P35" s="445"/>
    </row>
    <row r="36" spans="1:16">
      <c r="A36" s="438" t="s">
        <v>329</v>
      </c>
      <c r="B36" s="1071" t="s">
        <v>109</v>
      </c>
      <c r="C36" s="440">
        <v>60305000</v>
      </c>
      <c r="D36" s="320" t="s">
        <v>340</v>
      </c>
      <c r="E36" s="444" t="s">
        <v>742</v>
      </c>
      <c r="F36" s="461">
        <f>SUMIF('Non-Core P&amp;L'!$B:$B,'Non-Core Opex Proj.'!$C36,'Non-Core P&amp;L'!$CS:$CS)</f>
        <v>164772.07</v>
      </c>
      <c r="G36" s="445">
        <f>SUMIF('Non-Core P&amp;L'!$B:$B,'Non-Core Opex Proj.'!$C36,'Non-Core P&amp;L'!$BN:$BN)</f>
        <v>79941.42</v>
      </c>
      <c r="H36" s="445">
        <f>SUMIF('Non-Core P&amp;L'!$B:$B,'Non-Core Opex Proj.'!$C36,'Non-Core P&amp;L'!AJ:AJ)</f>
        <v>38357.629999999997</v>
      </c>
      <c r="I36" s="445">
        <f>SUMIF('Non-Core P&amp;L'!$B:$B,'Non-Core Opex Proj.'!$C36,'Non-Core P&amp;L'!T:T)</f>
        <v>0</v>
      </c>
      <c r="J36" s="445"/>
      <c r="K36" s="445"/>
      <c r="L36" s="445"/>
      <c r="M36" s="445"/>
      <c r="N36" s="445"/>
      <c r="O36" s="445"/>
      <c r="P36" s="445"/>
    </row>
    <row r="37" spans="1:16">
      <c r="A37" s="438" t="s">
        <v>610</v>
      </c>
      <c r="B37" s="1071" t="s">
        <v>109</v>
      </c>
      <c r="C37" s="440">
        <v>60306000</v>
      </c>
      <c r="D37" s="320" t="s">
        <v>579</v>
      </c>
      <c r="E37" s="444" t="s">
        <v>742</v>
      </c>
      <c r="F37" s="461">
        <f>SUMIF('Non-Core P&amp;L'!$B:$B,'Non-Core Opex Proj.'!$C37,'Non-Core P&amp;L'!$CS:$CS)</f>
        <v>831.94</v>
      </c>
      <c r="G37" s="445">
        <f>SUMIF('Non-Core P&amp;L'!$B:$B,'Non-Core Opex Proj.'!$C37,'Non-Core P&amp;L'!$BN:$BN)</f>
        <v>6000</v>
      </c>
      <c r="H37" s="445">
        <f>SUMIF('Non-Core P&amp;L'!$B:$B,'Non-Core Opex Proj.'!$C37,'Non-Core P&amp;L'!AJ:AJ)</f>
        <v>900</v>
      </c>
      <c r="I37" s="445">
        <f>SUMIF('Non-Core P&amp;L'!$B:$B,'Non-Core Opex Proj.'!$C37,'Non-Core P&amp;L'!T:T)</f>
        <v>0</v>
      </c>
      <c r="J37" s="445"/>
      <c r="K37" s="445"/>
      <c r="L37" s="445"/>
      <c r="M37" s="445"/>
      <c r="N37" s="445"/>
      <c r="O37" s="445"/>
      <c r="P37" s="445"/>
    </row>
    <row r="38" spans="1:16">
      <c r="A38" s="438" t="s">
        <v>329</v>
      </c>
      <c r="B38" s="1071" t="s">
        <v>109</v>
      </c>
      <c r="C38" s="440">
        <v>60307000</v>
      </c>
      <c r="D38" s="320" t="s">
        <v>646</v>
      </c>
      <c r="E38" s="444" t="s">
        <v>742</v>
      </c>
      <c r="F38" s="461">
        <f>SUMIF('Non-Core P&amp;L'!$B:$B,'Non-Core Opex Proj.'!$C38,'Non-Core P&amp;L'!$CS:$CS)</f>
        <v>72700.78</v>
      </c>
      <c r="G38" s="445">
        <f>SUMIF('Non-Core P&amp;L'!$B:$B,'Non-Core Opex Proj.'!$C38,'Non-Core P&amp;L'!$BN:$BN)</f>
        <v>627889.39</v>
      </c>
      <c r="H38" s="445">
        <f>SUMIF('Non-Core P&amp;L'!$B:$B,'Non-Core Opex Proj.'!$C38,'Non-Core P&amp;L'!AJ:AJ)</f>
        <v>128825.66</v>
      </c>
      <c r="I38" s="445">
        <f>SUMIF('Non-Core P&amp;L'!$B:$B,'Non-Core Opex Proj.'!$C38,'Non-Core P&amp;L'!T:T)</f>
        <v>0</v>
      </c>
      <c r="J38" s="445"/>
      <c r="K38" s="445"/>
      <c r="L38" s="445"/>
      <c r="M38" s="445"/>
      <c r="N38" s="445"/>
      <c r="O38" s="445"/>
      <c r="P38" s="445"/>
    </row>
    <row r="39" spans="1:16">
      <c r="A39" s="438" t="s">
        <v>325</v>
      </c>
      <c r="B39" s="1052" t="s">
        <v>126</v>
      </c>
      <c r="C39" s="440">
        <v>60308000</v>
      </c>
      <c r="D39" s="320" t="s">
        <v>647</v>
      </c>
      <c r="E39" s="444" t="s">
        <v>742</v>
      </c>
      <c r="F39" s="442">
        <f>SUMIF('Non-Core P&amp;L'!$B:$B,'Non-Core Opex Proj.'!$C39,'Non-Core P&amp;L'!$CS:$CS)</f>
        <v>1099947.9100000001</v>
      </c>
      <c r="G39" s="445">
        <f>SUMIF('Non-Core P&amp;L'!$B:$B,'Non-Core Opex Proj.'!$C39,'Non-Core P&amp;L'!$BN:$BN)</f>
        <v>1779195.44</v>
      </c>
      <c r="H39" s="445">
        <f>SUMIF('Non-Core P&amp;L'!$B:$B,'Non-Core Opex Proj.'!$C39,'Non-Core P&amp;L'!AJ:AJ)</f>
        <v>4815530.8899999997</v>
      </c>
      <c r="I39" s="445">
        <f>SUMIF('Non-Core P&amp;L'!$B:$B,'Non-Core Opex Proj.'!$C39,'Non-Core P&amp;L'!T:T)</f>
        <v>0</v>
      </c>
      <c r="J39" s="445"/>
      <c r="K39" s="445"/>
      <c r="L39" s="445"/>
      <c r="M39" s="445"/>
      <c r="N39" s="445"/>
      <c r="O39" s="445"/>
      <c r="P39" s="445"/>
    </row>
    <row r="40" spans="1:16">
      <c r="A40" s="438" t="s">
        <v>329</v>
      </c>
      <c r="B40" s="1071" t="s">
        <v>109</v>
      </c>
      <c r="C40" s="440">
        <v>60309000</v>
      </c>
      <c r="D40" s="320" t="s">
        <v>344</v>
      </c>
      <c r="E40" s="444" t="s">
        <v>742</v>
      </c>
      <c r="F40" s="442">
        <f>SUMIF('Non-Core P&amp;L'!$B:$B,'Non-Core Opex Proj.'!$C40,'Non-Core P&amp;L'!$CS:$CS)</f>
        <v>17976.600000000002</v>
      </c>
      <c r="G40" s="445">
        <f>SUMIF('Non-Core P&amp;L'!$B:$B,'Non-Core Opex Proj.'!$C40,'Non-Core P&amp;L'!$BN:$BN)</f>
        <v>3253.9</v>
      </c>
      <c r="H40" s="445">
        <f>SUMIF('Non-Core P&amp;L'!$B:$B,'Non-Core Opex Proj.'!$C40,'Non-Core P&amp;L'!AJ:AJ)</f>
        <v>1066.5999999999999</v>
      </c>
      <c r="I40" s="445">
        <f>SUMIF('Non-Core P&amp;L'!$B:$B,'Non-Core Opex Proj.'!$C40,'Non-Core P&amp;L'!T:T)</f>
        <v>0</v>
      </c>
      <c r="J40" s="445"/>
      <c r="K40" s="445"/>
      <c r="L40" s="445"/>
      <c r="M40" s="445"/>
      <c r="N40" s="445"/>
      <c r="O40" s="445"/>
      <c r="P40" s="445"/>
    </row>
    <row r="41" spans="1:16">
      <c r="A41" s="438" t="s">
        <v>329</v>
      </c>
      <c r="B41" s="1071" t="s">
        <v>109</v>
      </c>
      <c r="C41" s="440">
        <v>60310000</v>
      </c>
      <c r="D41" s="320" t="s">
        <v>341</v>
      </c>
      <c r="E41" s="444" t="s">
        <v>742</v>
      </c>
      <c r="F41" s="442">
        <f>SUMIF('Non-Core P&amp;L'!$B:$B,'Non-Core Opex Proj.'!$C41,'Non-Core P&amp;L'!$CS:$CS)</f>
        <v>147123.5</v>
      </c>
      <c r="G41" s="445">
        <f>SUMIF('Non-Core P&amp;L'!$B:$B,'Non-Core Opex Proj.'!$C41,'Non-Core P&amp;L'!$BN:$BN)</f>
        <v>129248.72</v>
      </c>
      <c r="H41" s="445">
        <f>SUMIF('Non-Core P&amp;L'!$B:$B,'Non-Core Opex Proj.'!$C41,'Non-Core P&amp;L'!AJ:AJ)</f>
        <v>90009.319999999992</v>
      </c>
      <c r="I41" s="445">
        <f>SUMIF('Non-Core P&amp;L'!$B:$B,'Non-Core Opex Proj.'!$C41,'Non-Core P&amp;L'!T:T)</f>
        <v>0</v>
      </c>
      <c r="J41" s="445"/>
      <c r="K41" s="445"/>
      <c r="L41" s="445"/>
      <c r="M41" s="445"/>
      <c r="N41" s="445"/>
      <c r="O41" s="445"/>
      <c r="P41" s="445"/>
    </row>
    <row r="42" spans="1:16">
      <c r="A42" s="438" t="s">
        <v>329</v>
      </c>
      <c r="B42" s="1071" t="s">
        <v>109</v>
      </c>
      <c r="C42" s="440">
        <v>60311000</v>
      </c>
      <c r="D42" s="320" t="s">
        <v>342</v>
      </c>
      <c r="E42" s="444" t="s">
        <v>742</v>
      </c>
      <c r="F42" s="442">
        <f>SUMIF('Non-Core P&amp;L'!$B:$B,'Non-Core Opex Proj.'!$C42,'Non-Core P&amp;L'!$CS:$CS)</f>
        <v>0</v>
      </c>
      <c r="G42" s="445">
        <f>SUMIF('Non-Core P&amp;L'!$B:$B,'Non-Core Opex Proj.'!$C42,'Non-Core P&amp;L'!$BN:$BN)</f>
        <v>0</v>
      </c>
      <c r="H42" s="445">
        <f>SUMIF('Non-Core P&amp;L'!$B:$B,'Non-Core Opex Proj.'!$C42,'Non-Core P&amp;L'!AJ:AJ)</f>
        <v>0</v>
      </c>
      <c r="I42" s="445">
        <f>SUMIF('Non-Core P&amp;L'!$B:$B,'Non-Core Opex Proj.'!$C42,'Non-Core P&amp;L'!T:T)</f>
        <v>0</v>
      </c>
      <c r="J42" s="445"/>
      <c r="K42" s="445"/>
      <c r="L42" s="445"/>
      <c r="M42" s="445"/>
      <c r="N42" s="445"/>
      <c r="O42" s="445"/>
      <c r="P42" s="445"/>
    </row>
    <row r="43" spans="1:16">
      <c r="A43" s="438" t="s">
        <v>329</v>
      </c>
      <c r="B43" s="1071" t="s">
        <v>109</v>
      </c>
      <c r="C43" s="440">
        <v>60312000</v>
      </c>
      <c r="D43" s="320" t="s">
        <v>343</v>
      </c>
      <c r="E43" s="444" t="s">
        <v>742</v>
      </c>
      <c r="F43" s="442">
        <f>SUMIF('Non-Core P&amp;L'!$B:$B,'Non-Core Opex Proj.'!$C43,'Non-Core P&amp;L'!$CS:$CS)</f>
        <v>4834.63</v>
      </c>
      <c r="G43" s="445">
        <f>SUMIF('Non-Core P&amp;L'!$B:$B,'Non-Core Opex Proj.'!$C43,'Non-Core P&amp;L'!$BN:$BN)</f>
        <v>0</v>
      </c>
      <c r="H43" s="445">
        <f>SUMIF('Non-Core P&amp;L'!$B:$B,'Non-Core Opex Proj.'!$C43,'Non-Core P&amp;L'!AJ:AJ)</f>
        <v>0</v>
      </c>
      <c r="I43" s="445">
        <f>SUMIF('Non-Core P&amp;L'!$B:$B,'Non-Core Opex Proj.'!$C43,'Non-Core P&amp;L'!T:T)</f>
        <v>0</v>
      </c>
      <c r="J43" s="445"/>
      <c r="K43" s="445"/>
      <c r="L43" s="445"/>
      <c r="M43" s="445"/>
      <c r="N43" s="445"/>
      <c r="O43" s="445"/>
      <c r="P43" s="445"/>
    </row>
    <row r="44" spans="1:16">
      <c r="A44" s="438" t="s">
        <v>329</v>
      </c>
      <c r="B44" s="1071" t="s">
        <v>109</v>
      </c>
      <c r="C44" s="440">
        <v>60313000</v>
      </c>
      <c r="D44" s="320" t="s">
        <v>348</v>
      </c>
      <c r="E44" s="444" t="s">
        <v>742</v>
      </c>
      <c r="F44" s="442">
        <f>SUMIF('Non-Core P&amp;L'!$B:$B,'Non-Core Opex Proj.'!$C44,'Non-Core P&amp;L'!$CS:$CS)</f>
        <v>0</v>
      </c>
      <c r="G44" s="445">
        <f>SUMIF('Non-Core P&amp;L'!$B:$B,'Non-Core Opex Proj.'!$C44,'Non-Core P&amp;L'!$BN:$BN)</f>
        <v>0</v>
      </c>
      <c r="H44" s="445">
        <f>SUMIF('Non-Core P&amp;L'!$B:$B,'Non-Core Opex Proj.'!$C44,'Non-Core P&amp;L'!AJ:AJ)</f>
        <v>0</v>
      </c>
      <c r="I44" s="445">
        <f>SUMIF('Non-Core P&amp;L'!$B:$B,'Non-Core Opex Proj.'!$C44,'Non-Core P&amp;L'!T:T)</f>
        <v>0</v>
      </c>
      <c r="J44" s="445"/>
      <c r="K44" s="445"/>
      <c r="L44" s="445"/>
      <c r="M44" s="445"/>
      <c r="N44" s="445"/>
      <c r="O44" s="445"/>
      <c r="P44" s="445"/>
    </row>
    <row r="45" spans="1:16">
      <c r="A45" s="438" t="s">
        <v>349</v>
      </c>
      <c r="B45" s="1052" t="s">
        <v>324</v>
      </c>
      <c r="C45" s="440">
        <v>60314000</v>
      </c>
      <c r="D45" s="320" t="s">
        <v>349</v>
      </c>
      <c r="E45" s="444" t="s">
        <v>742</v>
      </c>
      <c r="F45" s="442">
        <f>SUMIF('Non-Core P&amp;L'!$B:$B,'Non-Core Opex Proj.'!$C45,'Non-Core P&amp;L'!$CS:$CS)</f>
        <v>1778369.09</v>
      </c>
      <c r="G45" s="445">
        <f>SUMIF('Non-Core P&amp;L'!$B:$B,'Non-Core Opex Proj.'!$C45,'Non-Core P&amp;L'!$BN:$BN)</f>
        <v>200000</v>
      </c>
      <c r="H45" s="445">
        <f>SUMIF('Non-Core P&amp;L'!$B:$B,'Non-Core Opex Proj.'!$C45,'Non-Core P&amp;L'!AJ:AJ)</f>
        <v>0</v>
      </c>
      <c r="I45" s="445">
        <f>SUMIF('Non-Core P&amp;L'!$B:$B,'Non-Core Opex Proj.'!$C45,'Non-Core P&amp;L'!T:T)</f>
        <v>0</v>
      </c>
      <c r="J45" s="445"/>
      <c r="K45" s="445"/>
      <c r="L45" s="445"/>
      <c r="M45" s="445"/>
      <c r="N45" s="445"/>
      <c r="O45" s="445"/>
      <c r="P45" s="445"/>
    </row>
    <row r="46" spans="1:16">
      <c r="A46" s="438" t="s">
        <v>329</v>
      </c>
      <c r="B46" s="1071" t="s">
        <v>109</v>
      </c>
      <c r="C46" s="440">
        <v>60315000</v>
      </c>
      <c r="D46" s="320" t="s">
        <v>648</v>
      </c>
      <c r="E46" s="444" t="s">
        <v>742</v>
      </c>
      <c r="F46" s="442">
        <f>SUMIF('Non-Core P&amp;L'!$B:$B,'Non-Core Opex Proj.'!$C46,'Non-Core P&amp;L'!$CS:$CS)</f>
        <v>1766.17</v>
      </c>
      <c r="G46" s="445">
        <f>SUMIF('Non-Core P&amp;L'!$B:$B,'Non-Core Opex Proj.'!$C46,'Non-Core P&amp;L'!$BN:$BN)</f>
        <v>15265</v>
      </c>
      <c r="H46" s="445">
        <f>SUMIF('Non-Core P&amp;L'!$B:$B,'Non-Core Opex Proj.'!$C46,'Non-Core P&amp;L'!AJ:AJ)</f>
        <v>2935</v>
      </c>
      <c r="I46" s="445">
        <f>SUMIF('Non-Core P&amp;L'!$B:$B,'Non-Core Opex Proj.'!$C46,'Non-Core P&amp;L'!T:T)</f>
        <v>0</v>
      </c>
      <c r="J46" s="445"/>
      <c r="K46" s="445"/>
      <c r="L46" s="445"/>
      <c r="M46" s="445"/>
      <c r="N46" s="445"/>
      <c r="O46" s="445"/>
      <c r="P46" s="445"/>
    </row>
    <row r="47" spans="1:16">
      <c r="A47" s="438" t="s">
        <v>329</v>
      </c>
      <c r="B47" s="1071" t="s">
        <v>109</v>
      </c>
      <c r="C47" s="440">
        <v>60316000</v>
      </c>
      <c r="D47" s="320" t="s">
        <v>649</v>
      </c>
      <c r="E47" s="444" t="s">
        <v>742</v>
      </c>
      <c r="F47" s="442">
        <f>SUMIF('Non-Core P&amp;L'!$B:$B,'Non-Core Opex Proj.'!$C47,'Non-Core P&amp;L'!$CS:$CS)</f>
        <v>0</v>
      </c>
      <c r="G47" s="445">
        <f>SUMIF('Non-Core P&amp;L'!$B:$B,'Non-Core Opex Proj.'!$C47,'Non-Core P&amp;L'!$BN:$BN)</f>
        <v>0</v>
      </c>
      <c r="H47" s="445">
        <f>SUMIF('Non-Core P&amp;L'!$B:$B,'Non-Core Opex Proj.'!$C47,'Non-Core P&amp;L'!AJ:AJ)</f>
        <v>0</v>
      </c>
      <c r="I47" s="445">
        <f>SUMIF('Non-Core P&amp;L'!$B:$B,'Non-Core Opex Proj.'!$C47,'Non-Core P&amp;L'!T:T)</f>
        <v>0</v>
      </c>
      <c r="J47" s="445"/>
      <c r="K47" s="445"/>
      <c r="L47" s="445"/>
      <c r="M47" s="445"/>
      <c r="N47" s="445"/>
      <c r="O47" s="445"/>
      <c r="P47" s="445"/>
    </row>
    <row r="48" spans="1:16">
      <c r="A48" s="438" t="s">
        <v>329</v>
      </c>
      <c r="B48" s="1071" t="s">
        <v>109</v>
      </c>
      <c r="C48" s="440">
        <v>60317000</v>
      </c>
      <c r="D48" s="320" t="s">
        <v>650</v>
      </c>
      <c r="E48" s="444" t="s">
        <v>742</v>
      </c>
      <c r="F48" s="442">
        <f>SUMIF('Non-Core P&amp;L'!$B:$B,'Non-Core Opex Proj.'!$C48,'Non-Core P&amp;L'!$CS:$CS)</f>
        <v>69626.09</v>
      </c>
      <c r="G48" s="445">
        <f>SUMIF('Non-Core P&amp;L'!$B:$B,'Non-Core Opex Proj.'!$C48,'Non-Core P&amp;L'!$BN:$BN)</f>
        <v>217059.52999999997</v>
      </c>
      <c r="H48" s="445">
        <f>SUMIF('Non-Core P&amp;L'!$B:$B,'Non-Core Opex Proj.'!$C48,'Non-Core P&amp;L'!AJ:AJ)</f>
        <v>247273.55000000002</v>
      </c>
      <c r="I48" s="445">
        <f>SUMIF('Non-Core P&amp;L'!$B:$B,'Non-Core Opex Proj.'!$C48,'Non-Core P&amp;L'!T:T)</f>
        <v>0</v>
      </c>
      <c r="J48" s="445"/>
      <c r="K48" s="445"/>
      <c r="L48" s="445"/>
      <c r="M48" s="445"/>
      <c r="N48" s="445"/>
      <c r="O48" s="445"/>
      <c r="P48" s="445"/>
    </row>
    <row r="49" spans="1:16">
      <c r="A49" s="438" t="s">
        <v>329</v>
      </c>
      <c r="B49" s="1071" t="s">
        <v>109</v>
      </c>
      <c r="C49" s="440">
        <v>60318000</v>
      </c>
      <c r="D49" s="320" t="s">
        <v>771</v>
      </c>
      <c r="E49" s="444" t="s">
        <v>742</v>
      </c>
      <c r="F49" s="442">
        <f>SUMIF('Non-Core P&amp;L'!$B:$B,'Non-Core Opex Proj.'!$C49,'Non-Core P&amp;L'!$CS:$CS)</f>
        <v>11392</v>
      </c>
      <c r="G49" s="445">
        <f>SUMIF('Non-Core P&amp;L'!$B:$B,'Non-Core Opex Proj.'!$C49,'Non-Core P&amp;L'!$BN:$BN)</f>
        <v>81829.64</v>
      </c>
      <c r="H49" s="445">
        <f>SUMIF('Non-Core P&amp;L'!$B:$B,'Non-Core Opex Proj.'!$C49,'Non-Core P&amp;L'!AJ:AJ)</f>
        <v>1560</v>
      </c>
      <c r="I49" s="445">
        <f>SUMIF('Non-Core P&amp;L'!$B:$B,'Non-Core Opex Proj.'!$C49,'Non-Core P&amp;L'!T:T)</f>
        <v>0</v>
      </c>
      <c r="J49" s="445"/>
      <c r="K49" s="445"/>
      <c r="L49" s="445"/>
      <c r="M49" s="445"/>
      <c r="N49" s="445"/>
      <c r="O49" s="445"/>
      <c r="P49" s="445"/>
    </row>
    <row r="50" spans="1:16">
      <c r="A50" s="438" t="s">
        <v>329</v>
      </c>
      <c r="B50" s="1071" t="s">
        <v>109</v>
      </c>
      <c r="C50" s="440">
        <v>60319000</v>
      </c>
      <c r="D50" s="320" t="s">
        <v>772</v>
      </c>
      <c r="E50" s="444" t="s">
        <v>742</v>
      </c>
      <c r="F50" s="442">
        <f>SUMIF('Non-Core P&amp;L'!$B:$B,'Non-Core Opex Proj.'!$C50,'Non-Core P&amp;L'!$CS:$CS)</f>
        <v>336559.09</v>
      </c>
      <c r="G50" s="445">
        <f>SUMIF('Non-Core P&amp;L'!$B:$B,'Non-Core Opex Proj.'!$C50,'Non-Core P&amp;L'!$BN:$BN)</f>
        <v>264290.81999999995</v>
      </c>
      <c r="H50" s="445">
        <f>SUMIF('Non-Core P&amp;L'!$B:$B,'Non-Core Opex Proj.'!$C50,'Non-Core P&amp;L'!AJ:AJ)</f>
        <v>350425.87</v>
      </c>
      <c r="I50" s="445">
        <f>SUMIF('Non-Core P&amp;L'!$B:$B,'Non-Core Opex Proj.'!$C50,'Non-Core P&amp;L'!T:T)</f>
        <v>0</v>
      </c>
      <c r="J50" s="445"/>
      <c r="K50" s="445"/>
      <c r="L50" s="445"/>
      <c r="M50" s="445"/>
      <c r="N50" s="445"/>
      <c r="O50" s="445"/>
      <c r="P50" s="445"/>
    </row>
    <row r="51" spans="1:16">
      <c r="A51" s="438" t="s">
        <v>329</v>
      </c>
      <c r="B51" s="1071" t="s">
        <v>109</v>
      </c>
      <c r="C51" s="440">
        <v>60320000</v>
      </c>
      <c r="D51" s="320" t="s">
        <v>773</v>
      </c>
      <c r="E51" s="444" t="s">
        <v>742</v>
      </c>
      <c r="F51" s="442">
        <f>SUMIF('Non-Core P&amp;L'!$B:$B,'Non-Core Opex Proj.'!$C51,'Non-Core P&amp;L'!$CS:$CS)</f>
        <v>298541.48</v>
      </c>
      <c r="G51" s="445">
        <f>SUMIF('Non-Core P&amp;L'!$B:$B,'Non-Core Opex Proj.'!$C51,'Non-Core P&amp;L'!$BN:$BN)</f>
        <v>72308.850000000006</v>
      </c>
      <c r="H51" s="445">
        <f>SUMIF('Non-Core P&amp;L'!$B:$B,'Non-Core Opex Proj.'!$C51,'Non-Core P&amp;L'!AJ:AJ)</f>
        <v>547492.64</v>
      </c>
      <c r="I51" s="445">
        <f>SUMIF('Non-Core P&amp;L'!$B:$B,'Non-Core Opex Proj.'!$C51,'Non-Core P&amp;L'!T:T)</f>
        <v>0</v>
      </c>
      <c r="J51" s="445"/>
      <c r="K51" s="445"/>
      <c r="L51" s="445"/>
      <c r="M51" s="445"/>
      <c r="N51" s="445"/>
      <c r="O51" s="445"/>
      <c r="P51" s="445"/>
    </row>
    <row r="52" spans="1:16">
      <c r="A52" s="438" t="s">
        <v>329</v>
      </c>
      <c r="B52" s="1071" t="s">
        <v>109</v>
      </c>
      <c r="C52" s="440">
        <v>60399999</v>
      </c>
      <c r="D52" s="320" t="s">
        <v>651</v>
      </c>
      <c r="E52" s="444" t="s">
        <v>742</v>
      </c>
      <c r="F52" s="442">
        <f>SUMIF('Non-Core P&amp;L'!$B:$B,'Non-Core Opex Proj.'!$C52,'Non-Core P&amp;L'!$CS:$CS)</f>
        <v>0</v>
      </c>
      <c r="G52" s="445">
        <f>SUMIF('Non-Core P&amp;L'!$B:$B,'Non-Core Opex Proj.'!$C52,'Non-Core P&amp;L'!$BN:$BN)</f>
        <v>0</v>
      </c>
      <c r="H52" s="445">
        <f>SUMIF('Non-Core P&amp;L'!$B:$B,'Non-Core Opex Proj.'!$C52,'Non-Core P&amp;L'!AJ:AJ)</f>
        <v>0</v>
      </c>
      <c r="I52" s="445">
        <f>SUMIF('Non-Core P&amp;L'!$B:$B,'Non-Core Opex Proj.'!$C52,'Non-Core P&amp;L'!T:T)</f>
        <v>0</v>
      </c>
      <c r="J52" s="445"/>
      <c r="K52" s="445"/>
      <c r="L52" s="445"/>
      <c r="M52" s="445"/>
      <c r="N52" s="445"/>
      <c r="O52" s="445"/>
      <c r="P52" s="445"/>
    </row>
    <row r="53" spans="1:16">
      <c r="A53" s="438" t="s">
        <v>329</v>
      </c>
      <c r="B53" s="1071" t="s">
        <v>109</v>
      </c>
      <c r="C53" s="440">
        <v>60401000</v>
      </c>
      <c r="D53" s="320" t="s">
        <v>352</v>
      </c>
      <c r="E53" s="444" t="s">
        <v>742</v>
      </c>
      <c r="F53" s="442">
        <f>SUMIF('Non-Core P&amp;L'!$B:$B,'Non-Core Opex Proj.'!$C53,'Non-Core P&amp;L'!$CS:$CS)</f>
        <v>0</v>
      </c>
      <c r="G53" s="445">
        <f>SUMIF('Non-Core P&amp;L'!$B:$B,'Non-Core Opex Proj.'!$C53,'Non-Core P&amp;L'!$BN:$BN)</f>
        <v>0</v>
      </c>
      <c r="H53" s="445">
        <f>SUMIF('Non-Core P&amp;L'!$B:$B,'Non-Core Opex Proj.'!$C53,'Non-Core P&amp;L'!AJ:AJ)</f>
        <v>0</v>
      </c>
      <c r="I53" s="445">
        <f>SUMIF('Non-Core P&amp;L'!$B:$B,'Non-Core Opex Proj.'!$C53,'Non-Core P&amp;L'!T:T)</f>
        <v>0</v>
      </c>
      <c r="J53" s="445"/>
      <c r="K53" s="445"/>
      <c r="L53" s="445"/>
      <c r="M53" s="445"/>
      <c r="N53" s="445"/>
      <c r="O53" s="445"/>
      <c r="P53" s="445"/>
    </row>
    <row r="54" spans="1:16">
      <c r="A54" s="438" t="s">
        <v>329</v>
      </c>
      <c r="B54" s="1071" t="s">
        <v>109</v>
      </c>
      <c r="C54" s="440">
        <v>60402000</v>
      </c>
      <c r="D54" s="320" t="s">
        <v>351</v>
      </c>
      <c r="E54" s="444" t="s">
        <v>742</v>
      </c>
      <c r="F54" s="442">
        <f>SUMIF('Non-Core P&amp;L'!$B:$B,'Non-Core Opex Proj.'!$C54,'Non-Core P&amp;L'!$CS:$CS)</f>
        <v>0</v>
      </c>
      <c r="G54" s="445">
        <f>SUMIF('Non-Core P&amp;L'!$B:$B,'Non-Core Opex Proj.'!$C54,'Non-Core P&amp;L'!$BN:$BN)</f>
        <v>0</v>
      </c>
      <c r="H54" s="445">
        <f>SUMIF('Non-Core P&amp;L'!$B:$B,'Non-Core Opex Proj.'!$C54,'Non-Core P&amp;L'!AJ:AJ)</f>
        <v>0</v>
      </c>
      <c r="I54" s="445">
        <f>SUMIF('Non-Core P&amp;L'!$B:$B,'Non-Core Opex Proj.'!$C54,'Non-Core P&amp;L'!T:T)</f>
        <v>0</v>
      </c>
      <c r="J54" s="445"/>
      <c r="K54" s="445"/>
      <c r="L54" s="445"/>
      <c r="M54" s="445"/>
      <c r="N54" s="445"/>
      <c r="O54" s="445"/>
      <c r="P54" s="445"/>
    </row>
    <row r="55" spans="1:16">
      <c r="A55" s="438" t="s">
        <v>329</v>
      </c>
      <c r="B55" s="1071" t="s">
        <v>109</v>
      </c>
      <c r="C55" s="440">
        <v>60403000</v>
      </c>
      <c r="D55" s="320" t="s">
        <v>353</v>
      </c>
      <c r="E55" s="444" t="s">
        <v>742</v>
      </c>
      <c r="F55" s="442">
        <f>SUMIF('Non-Core P&amp;L'!$B:$B,'Non-Core Opex Proj.'!$C55,'Non-Core P&amp;L'!$CS:$CS)</f>
        <v>0</v>
      </c>
      <c r="G55" s="445">
        <f>SUMIF('Non-Core P&amp;L'!$B:$B,'Non-Core Opex Proj.'!$C55,'Non-Core P&amp;L'!$BN:$BN)</f>
        <v>83525.600000000006</v>
      </c>
      <c r="H55" s="445">
        <f>SUMIF('Non-Core P&amp;L'!$B:$B,'Non-Core Opex Proj.'!$C55,'Non-Core P&amp;L'!AJ:AJ)</f>
        <v>132500</v>
      </c>
      <c r="I55" s="445">
        <f>SUMIF('Non-Core P&amp;L'!$B:$B,'Non-Core Opex Proj.'!$C55,'Non-Core P&amp;L'!T:T)</f>
        <v>0</v>
      </c>
      <c r="J55" s="445"/>
      <c r="K55" s="445"/>
      <c r="L55" s="445"/>
      <c r="M55" s="445"/>
      <c r="N55" s="445"/>
      <c r="O55" s="445"/>
      <c r="P55" s="445"/>
    </row>
    <row r="56" spans="1:16">
      <c r="A56" s="438" t="s">
        <v>611</v>
      </c>
      <c r="B56" s="1071" t="s">
        <v>109</v>
      </c>
      <c r="C56" s="440">
        <v>60404000</v>
      </c>
      <c r="D56" s="320" t="s">
        <v>357</v>
      </c>
      <c r="E56" s="441" t="s">
        <v>745</v>
      </c>
      <c r="F56" s="442">
        <f>SUMIF('Non-Core P&amp;L'!$B:$B,'Non-Core Opex Proj.'!$C56,'Non-Core P&amp;L'!$CS:$CS)</f>
        <v>696527.2</v>
      </c>
      <c r="G56" s="442">
        <f>SUMIF('Non-Core P&amp;L'!$B:$B,'Non-Core Opex Proj.'!$C56,'Non-Core P&amp;L'!$BN:$BN)</f>
        <v>362618.79</v>
      </c>
      <c r="H56" s="442">
        <f>SUMIF('Non-Core P&amp;L'!$B:$B,'Non-Core Opex Proj.'!$C56,'Non-Core P&amp;L'!AJ:AJ)</f>
        <v>178197.9</v>
      </c>
      <c r="I56" s="442">
        <f>SUMIF('Non-Core P&amp;L'!$B:$B,'Non-Core Opex Proj.'!$C56,'Non-Core P&amp;L'!T:T)</f>
        <v>0</v>
      </c>
      <c r="J56" s="442"/>
      <c r="K56" s="442"/>
      <c r="L56" s="442"/>
      <c r="M56" s="442"/>
      <c r="N56" s="442"/>
      <c r="O56" s="442"/>
      <c r="P56" s="442"/>
    </row>
    <row r="57" spans="1:16" outlineLevel="1">
      <c r="A57" s="438" t="s">
        <v>329</v>
      </c>
      <c r="B57" s="1071" t="s">
        <v>109</v>
      </c>
      <c r="C57" s="440">
        <v>60404500</v>
      </c>
      <c r="D57" s="320" t="s">
        <v>652</v>
      </c>
      <c r="E57" s="441"/>
      <c r="F57" s="442">
        <f>SUMIF('Non-Core P&amp;L'!$B:$B,'Non-Core Opex Proj.'!$C57,'Non-Core P&amp;L'!$CS:$CS)</f>
        <v>1951295.75</v>
      </c>
      <c r="G57" s="442">
        <f>SUMIF('Non-Core P&amp;L'!$B:$B,'Non-Core Opex Proj.'!$C57,'Non-Core P&amp;L'!$BN:$BN)</f>
        <v>1605144.7299999997</v>
      </c>
      <c r="H57" s="442">
        <f>SUMIF('Non-Core P&amp;L'!$B:$B,'Non-Core Opex Proj.'!$C57,'Non-Core P&amp;L'!AJ:AJ)</f>
        <v>1033305.0900000001</v>
      </c>
      <c r="I57" s="442">
        <f>SUMIF('Non-Core P&amp;L'!$B:$B,'Non-Core Opex Proj.'!$C57,'Non-Core P&amp;L'!T:T)</f>
        <v>0</v>
      </c>
      <c r="J57" s="442"/>
      <c r="K57" s="442"/>
      <c r="L57" s="442"/>
      <c r="M57" s="442"/>
      <c r="N57" s="442"/>
      <c r="O57" s="442"/>
      <c r="P57" s="442"/>
    </row>
    <row r="58" spans="1:16">
      <c r="A58" s="438" t="s">
        <v>611</v>
      </c>
      <c r="B58" s="1052" t="s">
        <v>1314</v>
      </c>
      <c r="C58" s="440">
        <v>60405000</v>
      </c>
      <c r="D58" s="320" t="s">
        <v>653</v>
      </c>
      <c r="E58" s="441" t="s">
        <v>745</v>
      </c>
      <c r="F58" s="459">
        <f>SUMIF('Non-Core P&amp;L'!$B:$B,'Non-Core Opex Proj.'!$C58,'Non-Core P&amp;L'!$CS:$CS)</f>
        <v>1097105.3399999999</v>
      </c>
      <c r="G58" s="459">
        <f>SUMIF('Non-Core P&amp;L'!$B:$B,'Non-Core Opex Proj.'!$C58,'Non-Core P&amp;L'!$BN:$BN)</f>
        <v>1059065.1700000002</v>
      </c>
      <c r="H58" s="459">
        <f>SUMIF('Non-Core P&amp;L'!$B:$B,'Non-Core Opex Proj.'!$C58,'Non-Core P&amp;L'!AJ:AJ)</f>
        <v>513996.9200000001</v>
      </c>
      <c r="I58" s="459">
        <f>SUMIF('Non-Core P&amp;L'!$B:$B,'Non-Core Opex Proj.'!$C58,'Non-Core P&amp;L'!T:T)</f>
        <v>0</v>
      </c>
      <c r="J58" s="459"/>
      <c r="K58" s="460"/>
      <c r="L58" s="442"/>
      <c r="M58" s="442"/>
      <c r="N58" s="442"/>
      <c r="O58" s="442"/>
      <c r="P58" s="442"/>
    </row>
    <row r="59" spans="1:16" outlineLevel="1">
      <c r="A59" s="438" t="s">
        <v>329</v>
      </c>
      <c r="B59" s="1071" t="s">
        <v>109</v>
      </c>
      <c r="C59" s="440">
        <v>60406000</v>
      </c>
      <c r="D59" s="320" t="s">
        <v>654</v>
      </c>
      <c r="E59" s="441"/>
      <c r="F59" s="442">
        <f>SUMIF('Non-Core P&amp;L'!$B:$B,'Non-Core Opex Proj.'!$C59,'Non-Core P&amp;L'!$CS:$CS)</f>
        <v>178938.54</v>
      </c>
      <c r="G59" s="442">
        <f>SUMIF('Non-Core P&amp;L'!$B:$B,'Non-Core Opex Proj.'!$C59,'Non-Core P&amp;L'!$BN:$BN)</f>
        <v>68043.62</v>
      </c>
      <c r="H59" s="442">
        <f>SUMIF('Non-Core P&amp;L'!$B:$B,'Non-Core Opex Proj.'!$C59,'Non-Core P&amp;L'!AJ:AJ)</f>
        <v>30705.22</v>
      </c>
      <c r="I59" s="442">
        <f>SUMIF('Non-Core P&amp;L'!$B:$B,'Non-Core Opex Proj.'!$C59,'Non-Core P&amp;L'!T:T)</f>
        <v>0</v>
      </c>
      <c r="J59" s="442"/>
      <c r="K59" s="442"/>
      <c r="L59" s="442"/>
      <c r="M59" s="442"/>
      <c r="N59" s="442"/>
      <c r="O59" s="442"/>
      <c r="P59" s="442"/>
    </row>
    <row r="60" spans="1:16">
      <c r="A60" s="438" t="s">
        <v>329</v>
      </c>
      <c r="B60" s="1071" t="s">
        <v>109</v>
      </c>
      <c r="C60" s="440">
        <v>60407000</v>
      </c>
      <c r="D60" s="320" t="s">
        <v>356</v>
      </c>
      <c r="E60" s="444" t="s">
        <v>742</v>
      </c>
      <c r="F60" s="442">
        <f>SUMIF('Non-Core P&amp;L'!$B:$B,'Non-Core Opex Proj.'!$C60,'Non-Core P&amp;L'!$CS:$CS)</f>
        <v>101009.9</v>
      </c>
      <c r="G60" s="445">
        <f>SUMIF('Non-Core P&amp;L'!$B:$B,'Non-Core Opex Proj.'!$C60,'Non-Core P&amp;L'!$BN:$BN)</f>
        <v>33888.61</v>
      </c>
      <c r="H60" s="445">
        <f>SUMIF('Non-Core P&amp;L'!$B:$B,'Non-Core Opex Proj.'!$C60,'Non-Core P&amp;L'!AJ:AJ)</f>
        <v>0</v>
      </c>
      <c r="I60" s="445">
        <f>SUMIF('Non-Core P&amp;L'!$B:$B,'Non-Core Opex Proj.'!$C60,'Non-Core P&amp;L'!T:T)</f>
        <v>0</v>
      </c>
      <c r="J60" s="445"/>
      <c r="K60" s="445"/>
      <c r="L60" s="445"/>
      <c r="M60" s="445"/>
      <c r="N60" s="445"/>
      <c r="O60" s="445"/>
      <c r="P60" s="445"/>
    </row>
    <row r="61" spans="1:16">
      <c r="A61" s="438" t="s">
        <v>329</v>
      </c>
      <c r="B61" s="1071" t="s">
        <v>109</v>
      </c>
      <c r="C61" s="440">
        <v>60408000</v>
      </c>
      <c r="D61" s="320" t="s">
        <v>359</v>
      </c>
      <c r="E61" s="444" t="s">
        <v>742</v>
      </c>
      <c r="F61" s="442">
        <f>SUMIF('Non-Core P&amp;L'!$B:$B,'Non-Core Opex Proj.'!$C61,'Non-Core P&amp;L'!$CS:$CS)</f>
        <v>0</v>
      </c>
      <c r="G61" s="445">
        <f>SUMIF('Non-Core P&amp;L'!$B:$B,'Non-Core Opex Proj.'!$C61,'Non-Core P&amp;L'!$BN:$BN)</f>
        <v>0</v>
      </c>
      <c r="H61" s="445">
        <f>SUMIF('Non-Core P&amp;L'!$B:$B,'Non-Core Opex Proj.'!$C61,'Non-Core P&amp;L'!AJ:AJ)</f>
        <v>0</v>
      </c>
      <c r="I61" s="445">
        <f>SUMIF('Non-Core P&amp;L'!$B:$B,'Non-Core Opex Proj.'!$C61,'Non-Core P&amp;L'!T:T)</f>
        <v>0</v>
      </c>
      <c r="J61" s="445"/>
      <c r="K61" s="445"/>
      <c r="L61" s="445"/>
      <c r="M61" s="445"/>
      <c r="N61" s="445"/>
      <c r="O61" s="445"/>
      <c r="P61" s="445"/>
    </row>
    <row r="62" spans="1:16">
      <c r="A62" s="438" t="s">
        <v>329</v>
      </c>
      <c r="B62" s="1071" t="s">
        <v>109</v>
      </c>
      <c r="C62" s="440">
        <v>60409000</v>
      </c>
      <c r="D62" s="320" t="s">
        <v>358</v>
      </c>
      <c r="E62" s="444" t="s">
        <v>742</v>
      </c>
      <c r="F62" s="446">
        <f>SUMIF('Non-Core P&amp;L'!$B:$B,'Non-Core Opex Proj.'!$C62,'Non-Core P&amp;L'!$CS:$CS)</f>
        <v>0</v>
      </c>
      <c r="G62" s="445">
        <f>SUMIF('Non-Core P&amp;L'!$B:$B,'Non-Core Opex Proj.'!$C62,'Non-Core P&amp;L'!$BN:$BN)</f>
        <v>0</v>
      </c>
      <c r="H62" s="445">
        <f>SUMIF('Non-Core P&amp;L'!$B:$B,'Non-Core Opex Proj.'!$C62,'Non-Core P&amp;L'!AJ:AJ)</f>
        <v>0</v>
      </c>
      <c r="I62" s="445">
        <f>SUMIF('Non-Core P&amp;L'!$B:$B,'Non-Core Opex Proj.'!$C62,'Non-Core P&amp;L'!T:T)</f>
        <v>0</v>
      </c>
      <c r="J62" s="445"/>
      <c r="K62" s="445"/>
      <c r="L62" s="445"/>
      <c r="M62" s="445"/>
      <c r="N62" s="445"/>
      <c r="O62" s="445"/>
      <c r="P62" s="445"/>
    </row>
    <row r="63" spans="1:16">
      <c r="A63" s="438" t="s">
        <v>329</v>
      </c>
      <c r="B63" s="1071" t="s">
        <v>109</v>
      </c>
      <c r="C63" s="440">
        <v>60410000</v>
      </c>
      <c r="D63" s="320" t="s">
        <v>1173</v>
      </c>
      <c r="E63" s="444"/>
      <c r="F63" s="446">
        <f>SUMIF('Non-Core P&amp;L'!$B:$B,'Non-Core Opex Proj.'!$C63,'Non-Core P&amp;L'!$CS:$CS)</f>
        <v>0</v>
      </c>
      <c r="G63" s="445">
        <f>SUMIF('Non-Core P&amp;L'!$B:$B,'Non-Core Opex Proj.'!$C63,'Non-Core P&amp;L'!$BN:$BN)</f>
        <v>0</v>
      </c>
      <c r="H63" s="445">
        <f>SUMIF('Non-Core P&amp;L'!$B:$B,'Non-Core Opex Proj.'!$C63,'Non-Core P&amp;L'!AJ:AJ)</f>
        <v>0</v>
      </c>
      <c r="I63" s="445">
        <f>SUMIF('Non-Core P&amp;L'!$B:$B,'Non-Core Opex Proj.'!$C63,'Non-Core P&amp;L'!T:T)</f>
        <v>0</v>
      </c>
      <c r="J63" s="445"/>
      <c r="K63" s="445"/>
      <c r="L63" s="445"/>
      <c r="M63" s="445"/>
      <c r="N63" s="445"/>
      <c r="O63" s="445"/>
      <c r="P63" s="445"/>
    </row>
    <row r="64" spans="1:16">
      <c r="A64" s="438" t="s">
        <v>320</v>
      </c>
      <c r="B64" s="1071" t="s">
        <v>109</v>
      </c>
      <c r="C64" s="440">
        <v>60501000</v>
      </c>
      <c r="D64" s="320" t="s">
        <v>321</v>
      </c>
      <c r="E64" s="441" t="s">
        <v>743</v>
      </c>
      <c r="F64" s="442">
        <f>SUMIF('Non-Core P&amp;L'!$B:$B,'Non-Core Opex Proj.'!$C64,'Non-Core P&amp;L'!$CS:$CS)</f>
        <v>18714.999999999971</v>
      </c>
      <c r="G64" s="442">
        <f>SUMIF('Non-Core P&amp;L'!$B:$B,'Non-Core Opex Proj.'!$C64,'Non-Core P&amp;L'!$BN:$BN)</f>
        <v>136370</v>
      </c>
      <c r="H64" s="442">
        <f>SUMIF('Non-Core P&amp;L'!$B:$B,'Non-Core Opex Proj.'!$C64,'Non-Core P&amp;L'!AJ:AJ)</f>
        <v>15225</v>
      </c>
      <c r="I64" s="442">
        <f>SUMIF('Non-Core P&amp;L'!$B:$B,'Non-Core Opex Proj.'!$C64,'Non-Core P&amp;L'!T:T)</f>
        <v>0</v>
      </c>
      <c r="J64" s="442"/>
      <c r="K64" s="442"/>
      <c r="L64" s="442"/>
      <c r="M64" s="442"/>
      <c r="N64" s="442"/>
      <c r="O64" s="442"/>
      <c r="P64" s="442"/>
    </row>
    <row r="65" spans="1:17">
      <c r="A65" s="438" t="s">
        <v>329</v>
      </c>
      <c r="B65" s="1071" t="s">
        <v>109</v>
      </c>
      <c r="C65" s="440">
        <v>60502000</v>
      </c>
      <c r="D65" s="320" t="s">
        <v>345</v>
      </c>
      <c r="E65" s="444" t="s">
        <v>742</v>
      </c>
      <c r="F65" s="442">
        <f>SUMIF('Non-Core P&amp;L'!$B:$B,'Non-Core Opex Proj.'!$C65,'Non-Core P&amp;L'!$CS:$CS)</f>
        <v>0</v>
      </c>
      <c r="G65" s="445">
        <f>SUMIF('Non-Core P&amp;L'!$B:$B,'Non-Core Opex Proj.'!$C65,'Non-Core P&amp;L'!$BN:$BN)</f>
        <v>0</v>
      </c>
      <c r="H65" s="445">
        <f>SUMIF('Non-Core P&amp;L'!$B:$B,'Non-Core Opex Proj.'!$C65,'Non-Core P&amp;L'!AJ:AJ)</f>
        <v>0</v>
      </c>
      <c r="I65" s="445">
        <f>SUMIF('Non-Core P&amp;L'!$B:$B,'Non-Core Opex Proj.'!$C65,'Non-Core P&amp;L'!T:T)</f>
        <v>0</v>
      </c>
      <c r="J65" s="445"/>
      <c r="K65" s="445"/>
      <c r="L65" s="445"/>
      <c r="M65" s="445"/>
      <c r="N65" s="445"/>
      <c r="O65" s="445"/>
      <c r="P65" s="445"/>
    </row>
    <row r="66" spans="1:17">
      <c r="A66" s="438" t="s">
        <v>614</v>
      </c>
      <c r="B66" s="1071" t="s">
        <v>370</v>
      </c>
      <c r="C66" s="440">
        <v>60503000</v>
      </c>
      <c r="D66" s="320" t="s">
        <v>346</v>
      </c>
      <c r="E66" s="444" t="s">
        <v>742</v>
      </c>
      <c r="F66" s="442">
        <f>SUMIF('Non-Core P&amp;L'!$B:$B,'Non-Core Opex Proj.'!$C66,'Non-Core P&amp;L'!$CS:$CS)</f>
        <v>34611</v>
      </c>
      <c r="G66" s="445">
        <f>SUMIF('Non-Core P&amp;L'!$B:$B,'Non-Core Opex Proj.'!$C66,'Non-Core P&amp;L'!$BN:$BN)</f>
        <v>239250</v>
      </c>
      <c r="H66" s="445">
        <f>SUMIF('Non-Core P&amp;L'!$B:$B,'Non-Core Opex Proj.'!$C66,'Non-Core P&amp;L'!AJ:AJ)</f>
        <v>253192</v>
      </c>
      <c r="I66" s="445">
        <f>SUMIF('Non-Core P&amp;L'!$B:$B,'Non-Core Opex Proj.'!$C66,'Non-Core P&amp;L'!T:T)</f>
        <v>0</v>
      </c>
      <c r="J66" s="445"/>
      <c r="K66" s="445"/>
      <c r="L66" s="445"/>
      <c r="M66" s="445"/>
      <c r="N66" s="445"/>
      <c r="O66" s="445"/>
      <c r="P66" s="445"/>
    </row>
    <row r="67" spans="1:17">
      <c r="A67" s="438" t="s">
        <v>615</v>
      </c>
      <c r="B67" s="1071" t="s">
        <v>370</v>
      </c>
      <c r="C67" s="440">
        <v>60504000</v>
      </c>
      <c r="D67" s="320" t="s">
        <v>347</v>
      </c>
      <c r="E67" s="444" t="s">
        <v>742</v>
      </c>
      <c r="F67" s="442">
        <f>SUMIF('Non-Core P&amp;L'!$B:$B,'Non-Core Opex Proj.'!$C67,'Non-Core P&amp;L'!$CS:$CS)</f>
        <v>0</v>
      </c>
      <c r="G67" s="445">
        <f>SUMIF('Non-Core P&amp;L'!$B:$B,'Non-Core Opex Proj.'!$C67,'Non-Core P&amp;L'!$BN:$BN)</f>
        <v>2588401.7999999998</v>
      </c>
      <c r="H67" s="445">
        <f>SUMIF('Non-Core P&amp;L'!$B:$B,'Non-Core Opex Proj.'!$C67,'Non-Core P&amp;L'!AJ:AJ)</f>
        <v>2020404</v>
      </c>
      <c r="I67" s="445">
        <f>SUMIF('Non-Core P&amp;L'!$B:$B,'Non-Core Opex Proj.'!$C67,'Non-Core P&amp;L'!T:T)</f>
        <v>0</v>
      </c>
      <c r="J67" s="445"/>
      <c r="K67" s="445"/>
      <c r="L67" s="445"/>
      <c r="M67" s="445"/>
      <c r="N67" s="445"/>
      <c r="O67" s="445"/>
      <c r="P67" s="445"/>
    </row>
    <row r="68" spans="1:17">
      <c r="A68" s="438" t="s">
        <v>616</v>
      </c>
      <c r="B68" s="1052" t="s">
        <v>1310</v>
      </c>
      <c r="C68" s="440">
        <v>60505000</v>
      </c>
      <c r="D68" s="320" t="s">
        <v>354</v>
      </c>
      <c r="E68" s="441" t="s">
        <v>746</v>
      </c>
      <c r="F68" s="446">
        <f>SUMIF('Non-Core P&amp;L'!$B:$B,'Non-Core Opex Proj.'!$C68,'Non-Core P&amp;L'!$CS:$CS)</f>
        <v>2242331.0099999998</v>
      </c>
      <c r="G68" s="442">
        <f>SUMIF('Non-Core P&amp;L'!$B:$B,'Non-Core Opex Proj.'!$C68,'Non-Core P&amp;L'!$BN:$BN)</f>
        <v>119333</v>
      </c>
      <c r="H68" s="442">
        <f>SUMIF('Non-Core P&amp;L'!$B:$B,'Non-Core Opex Proj.'!$C68,'Non-Core P&amp;L'!AJ:AJ)</f>
        <v>660528.69000000006</v>
      </c>
      <c r="I68" s="442">
        <f>SUMIF('Non-Core P&amp;L'!$B:$B,'Non-Core Opex Proj.'!$C68,'Non-Core P&amp;L'!T:T)</f>
        <v>0</v>
      </c>
      <c r="J68" s="442"/>
      <c r="K68" s="445"/>
      <c r="L68" s="445"/>
      <c r="M68" s="445"/>
      <c r="N68" s="445"/>
      <c r="O68" s="445"/>
      <c r="P68" s="445"/>
    </row>
    <row r="69" spans="1:17" outlineLevel="1">
      <c r="A69" s="438" t="s">
        <v>329</v>
      </c>
      <c r="B69" s="1071" t="s">
        <v>109</v>
      </c>
      <c r="C69" s="440">
        <v>60506000</v>
      </c>
      <c r="D69" s="320" t="s">
        <v>355</v>
      </c>
      <c r="E69" s="444" t="s">
        <v>742</v>
      </c>
      <c r="F69" s="442">
        <f>SUMIF('Non-Core P&amp;L'!$B:$B,'Non-Core Opex Proj.'!$C69,'Non-Core P&amp;L'!$CS:$CS)</f>
        <v>0</v>
      </c>
      <c r="G69" s="445">
        <f>SUMIF('Non-Core P&amp;L'!$B:$B,'Non-Core Opex Proj.'!$C69,'Non-Core P&amp;L'!$BN:$BN)</f>
        <v>0</v>
      </c>
      <c r="H69" s="445">
        <f>SUMIF('Non-Core P&amp;L'!$B:$B,'Non-Core Opex Proj.'!$C69,'Non-Core P&amp;L'!AJ:AJ)</f>
        <v>0</v>
      </c>
      <c r="I69" s="445">
        <f>SUMIF('Non-Core P&amp;L'!$B:$B,'Non-Core Opex Proj.'!$C69,'Non-Core P&amp;L'!T:T)</f>
        <v>0</v>
      </c>
      <c r="J69" s="445"/>
      <c r="K69" s="445"/>
      <c r="L69" s="445"/>
      <c r="M69" s="445"/>
      <c r="N69" s="445"/>
      <c r="O69" s="445"/>
      <c r="P69" s="445"/>
    </row>
    <row r="70" spans="1:17" outlineLevel="1">
      <c r="A70" s="438" t="s">
        <v>329</v>
      </c>
      <c r="B70" s="1052" t="s">
        <v>1316</v>
      </c>
      <c r="C70" s="440">
        <v>60601000</v>
      </c>
      <c r="D70" s="320" t="s">
        <v>655</v>
      </c>
      <c r="E70" s="444" t="s">
        <v>742</v>
      </c>
      <c r="F70" s="442">
        <f>SUMIF('Non-Core P&amp;L'!$B:$B,'Non-Core Opex Proj.'!$C70,'Non-Core P&amp;L'!$CS:$CS)</f>
        <v>0</v>
      </c>
      <c r="G70" s="445">
        <f>SUMIF('Non-Core P&amp;L'!$B:$B,'Non-Core Opex Proj.'!$C70,'Non-Core P&amp;L'!$BN:$BN)</f>
        <v>0</v>
      </c>
      <c r="H70" s="445">
        <f>SUMIF('Non-Core P&amp;L'!$B:$B,'Non-Core Opex Proj.'!$C70,'Non-Core P&amp;L'!AJ:AJ)</f>
        <v>1948970.54</v>
      </c>
      <c r="I70" s="445">
        <f>SUMIF('Non-Core P&amp;L'!$B:$B,'Non-Core Opex Proj.'!$C70,'Non-Core P&amp;L'!AK:AK)</f>
        <v>0</v>
      </c>
      <c r="J70" s="445"/>
      <c r="K70" s="445"/>
      <c r="L70" s="445"/>
      <c r="M70" s="445"/>
      <c r="N70" s="445"/>
      <c r="O70" s="445"/>
      <c r="P70" s="445"/>
    </row>
    <row r="71" spans="1:17">
      <c r="A71" s="438" t="s">
        <v>617</v>
      </c>
      <c r="B71" s="1071" t="s">
        <v>326</v>
      </c>
      <c r="C71" s="440">
        <v>61012000</v>
      </c>
      <c r="D71" s="320" t="s">
        <v>656</v>
      </c>
      <c r="E71" s="444" t="s">
        <v>742</v>
      </c>
      <c r="F71" s="442">
        <f>SUMIF('Non-Core P&amp;L'!$B:$B,'Non-Core Opex Proj.'!$C71,'Non-Core P&amp;L'!$CS:$CS)</f>
        <v>0</v>
      </c>
      <c r="G71" s="445">
        <f>SUMIF('Non-Core P&amp;L'!$B:$B,'Non-Core Opex Proj.'!$C71,'Non-Core P&amp;L'!$BN:$BN)</f>
        <v>0</v>
      </c>
      <c r="H71" s="445">
        <f>SUMIF('Non-Core P&amp;L'!$B:$B,'Non-Core Opex Proj.'!$C71,'Non-Core P&amp;L'!AJ:AJ)</f>
        <v>14455206</v>
      </c>
      <c r="I71" s="445">
        <f>SUMIF('Non-Core P&amp;L'!$B:$B,'Non-Core Opex Proj.'!$C71,'Non-Core P&amp;L'!T:T)</f>
        <v>0</v>
      </c>
      <c r="J71" s="445"/>
      <c r="K71" s="445"/>
      <c r="L71" s="445"/>
      <c r="M71" s="445"/>
      <c r="N71" s="445"/>
      <c r="O71" s="445"/>
      <c r="P71" s="445"/>
    </row>
    <row r="72" spans="1:17" outlineLevel="1">
      <c r="A72" s="438" t="s">
        <v>617</v>
      </c>
      <c r="B72" s="1071" t="s">
        <v>326</v>
      </c>
      <c r="C72" s="440">
        <v>61013100</v>
      </c>
      <c r="D72" s="320" t="s">
        <v>657</v>
      </c>
      <c r="E72" s="444" t="s">
        <v>742</v>
      </c>
      <c r="F72" s="442">
        <f>SUMIF('Non-Core P&amp;L'!$B:$B,'Non-Core Opex Proj.'!$C72,'Non-Core P&amp;L'!$CS:$CS)</f>
        <v>0</v>
      </c>
      <c r="G72" s="445">
        <f>SUMIF('Non-Core P&amp;L'!$B:$B,'Non-Core Opex Proj.'!$C72,'Non-Core P&amp;L'!$BN:$BN)</f>
        <v>0</v>
      </c>
      <c r="H72" s="445">
        <f>SUMIF('Non-Core P&amp;L'!$B:$B,'Non-Core Opex Proj.'!$C72,'Non-Core P&amp;L'!AJ:AJ)</f>
        <v>2550872</v>
      </c>
      <c r="I72" s="445">
        <f>SUMIF('Non-Core P&amp;L'!$B:$B,'Non-Core Opex Proj.'!$C72,'Non-Core P&amp;L'!T:T)</f>
        <v>0</v>
      </c>
      <c r="J72" s="445"/>
      <c r="K72" s="445"/>
      <c r="L72" s="445"/>
      <c r="M72" s="445"/>
      <c r="N72" s="445"/>
      <c r="O72" s="445"/>
      <c r="P72" s="445"/>
    </row>
    <row r="73" spans="1:17">
      <c r="A73" s="438" t="s">
        <v>617</v>
      </c>
      <c r="B73" s="1071" t="s">
        <v>326</v>
      </c>
      <c r="C73" s="440">
        <v>61013200</v>
      </c>
      <c r="D73" s="320" t="s">
        <v>658</v>
      </c>
      <c r="E73" s="444" t="s">
        <v>742</v>
      </c>
      <c r="F73" s="442">
        <f>SUMIF('Non-Core P&amp;L'!$B:$B,'Non-Core Opex Proj.'!$C73,'Non-Core P&amp;L'!$CS:$CS)</f>
        <v>0</v>
      </c>
      <c r="G73" s="713">
        <f>SUMIF('Non-Core P&amp;L'!$B:$B,'Non-Core Opex Proj.'!$C73,'Non-Core P&amp;L'!$BN:$BN)</f>
        <v>0</v>
      </c>
      <c r="H73" s="713">
        <f>SUMIF('Non-Core P&amp;L'!$B:$B,'Non-Core Opex Proj.'!$C73,'Non-Core P&amp;L'!AJ:AJ)</f>
        <v>0</v>
      </c>
      <c r="I73" s="713">
        <f>SUMIF('Non-Core P&amp;L'!$B:$B,'Non-Core Opex Proj.'!$C73,'Non-Core P&amp;L'!T:T)</f>
        <v>0</v>
      </c>
      <c r="J73" s="713"/>
      <c r="K73" s="713"/>
      <c r="L73" s="713"/>
      <c r="M73" s="713"/>
      <c r="N73" s="713"/>
      <c r="O73" s="713"/>
      <c r="P73" s="713"/>
      <c r="Q73" s="712" t="s">
        <v>909</v>
      </c>
    </row>
    <row r="74" spans="1:17">
      <c r="A74" s="438" t="s">
        <v>617</v>
      </c>
      <c r="B74" s="1071" t="s">
        <v>326</v>
      </c>
      <c r="C74" s="440">
        <v>61013300</v>
      </c>
      <c r="D74" s="320" t="s">
        <v>659</v>
      </c>
      <c r="E74" s="444" t="s">
        <v>742</v>
      </c>
      <c r="F74" s="442">
        <f>SUMIF('Non-Core P&amp;L'!$B:$B,'Non-Core Opex Proj.'!$C74,'Non-Core P&amp;L'!$CS:$CS)</f>
        <v>4826.329999999999</v>
      </c>
      <c r="G74" s="445">
        <f>SUMIF('Non-Core P&amp;L'!$B:$B,'Non-Core Opex Proj.'!$C74,'Non-Core P&amp;L'!$BN:$BN)</f>
        <v>5788.6766666666672</v>
      </c>
      <c r="H74" s="445">
        <f>SUMIF('Non-Core P&amp;L'!$B:$B,'Non-Core Opex Proj.'!$C74,'Non-Core P&amp;L'!AJ:AJ)</f>
        <v>9910</v>
      </c>
      <c r="I74" s="445">
        <f>SUMIF('Non-Core P&amp;L'!$B:$B,'Non-Core Opex Proj.'!$C74,'Non-Core P&amp;L'!T:T)</f>
        <v>0</v>
      </c>
      <c r="J74" s="445"/>
      <c r="K74" s="445"/>
      <c r="L74" s="445"/>
      <c r="M74" s="445"/>
      <c r="N74" s="445"/>
      <c r="O74" s="445"/>
      <c r="P74" s="445"/>
    </row>
    <row r="75" spans="1:17">
      <c r="A75" s="438" t="s">
        <v>617</v>
      </c>
      <c r="B75" s="1071" t="s">
        <v>326</v>
      </c>
      <c r="C75" s="440">
        <v>61013400</v>
      </c>
      <c r="D75" s="320" t="s">
        <v>660</v>
      </c>
      <c r="E75" s="444" t="s">
        <v>742</v>
      </c>
      <c r="F75" s="442">
        <f>SUMIF('Non-Core P&amp;L'!$B:$B,'Non-Core Opex Proj.'!$C75,'Non-Core P&amp;L'!$CS:$CS)</f>
        <v>0</v>
      </c>
      <c r="G75" s="445">
        <f>SUMIF('Non-Core P&amp;L'!$B:$B,'Non-Core Opex Proj.'!$C75,'Non-Core P&amp;L'!$BN:$BN)</f>
        <v>0</v>
      </c>
      <c r="H75" s="445">
        <f>SUMIF('Non-Core P&amp;L'!$B:$B,'Non-Core Opex Proj.'!$C75,'Non-Core P&amp;L'!AJ:AJ)</f>
        <v>4199.4500000000007</v>
      </c>
      <c r="I75" s="445">
        <f>SUMIF('Non-Core P&amp;L'!$B:$B,'Non-Core Opex Proj.'!$C75,'Non-Core P&amp;L'!T:T)</f>
        <v>0</v>
      </c>
      <c r="J75" s="445"/>
      <c r="K75" s="445"/>
      <c r="L75" s="445"/>
      <c r="M75" s="445"/>
      <c r="N75" s="445"/>
      <c r="O75" s="445"/>
      <c r="P75" s="445"/>
    </row>
    <row r="76" spans="1:17">
      <c r="A76" s="438" t="s">
        <v>617</v>
      </c>
      <c r="B76" s="1071" t="s">
        <v>326</v>
      </c>
      <c r="C76" s="440">
        <v>61013500</v>
      </c>
      <c r="D76" s="320" t="s">
        <v>661</v>
      </c>
      <c r="E76" s="444" t="s">
        <v>742</v>
      </c>
      <c r="F76" s="442">
        <f>SUMIF('Non-Core P&amp;L'!$B:$B,'Non-Core Opex Proj.'!$C76,'Non-Core P&amp;L'!$CS:$CS)</f>
        <v>0</v>
      </c>
      <c r="G76" s="445">
        <f>SUMIF('Non-Core P&amp;L'!$B:$B,'Non-Core Opex Proj.'!$C76,'Non-Core P&amp;L'!$BN:$BN)</f>
        <v>0</v>
      </c>
      <c r="H76" s="445">
        <f>SUMIF('Non-Core P&amp;L'!$B:$B,'Non-Core Opex Proj.'!$C76,'Non-Core P&amp;L'!AJ:AJ)</f>
        <v>0</v>
      </c>
      <c r="I76" s="445">
        <f>SUMIF('Non-Core P&amp;L'!$B:$B,'Non-Core Opex Proj.'!$C76,'Non-Core P&amp;L'!T:T)</f>
        <v>0</v>
      </c>
      <c r="J76" s="445"/>
      <c r="K76" s="445"/>
      <c r="L76" s="445"/>
      <c r="M76" s="445"/>
      <c r="N76" s="445"/>
      <c r="O76" s="445"/>
      <c r="P76" s="445"/>
    </row>
    <row r="77" spans="1:17" outlineLevel="1">
      <c r="A77" s="438" t="s">
        <v>617</v>
      </c>
      <c r="B77" s="1071" t="s">
        <v>326</v>
      </c>
      <c r="C77" s="440">
        <v>61024000</v>
      </c>
      <c r="D77" s="320" t="s">
        <v>662</v>
      </c>
      <c r="E77" s="441"/>
      <c r="F77" s="442">
        <f>SUMIF('Non-Core P&amp;L'!$B:$B,'Non-Core Opex Proj.'!$C77,'Non-Core P&amp;L'!$CS:$CS)</f>
        <v>0</v>
      </c>
      <c r="G77" s="442">
        <f>SUMIF('Non-Core P&amp;L'!$B:$B,'Non-Core Opex Proj.'!$C77,'Non-Core P&amp;L'!$BN:$BN)</f>
        <v>0</v>
      </c>
      <c r="H77" s="442">
        <f>SUMIF('Non-Core P&amp;L'!$B:$B,'Non-Core Opex Proj.'!$C77,'Non-Core P&amp;L'!AJ:AJ)</f>
        <v>0</v>
      </c>
      <c r="I77" s="442">
        <f>SUMIF('Non-Core P&amp;L'!$B:$B,'Non-Core Opex Proj.'!$C77,'Non-Core P&amp;L'!T:T)</f>
        <v>0</v>
      </c>
      <c r="J77" s="442"/>
      <c r="K77" s="442"/>
      <c r="L77" s="442"/>
      <c r="M77" s="442"/>
      <c r="N77" s="442"/>
      <c r="O77" s="442"/>
      <c r="P77" s="442"/>
    </row>
    <row r="78" spans="1:17" outlineLevel="1">
      <c r="A78" s="438" t="s">
        <v>617</v>
      </c>
      <c r="B78" s="1071" t="s">
        <v>326</v>
      </c>
      <c r="C78" s="440">
        <v>61032000</v>
      </c>
      <c r="D78" s="320" t="s">
        <v>663</v>
      </c>
      <c r="E78" s="441"/>
      <c r="F78" s="442">
        <f>SUMIF('Non-Core P&amp;L'!$B:$B,'Non-Core Opex Proj.'!$C78,'Non-Core P&amp;L'!$CS:$CS)</f>
        <v>0</v>
      </c>
      <c r="G78" s="442">
        <f>SUMIF('Non-Core P&amp;L'!$B:$B,'Non-Core Opex Proj.'!$C78,'Non-Core P&amp;L'!$BN:$BN)</f>
        <v>0</v>
      </c>
      <c r="H78" s="442">
        <f>SUMIF('Non-Core P&amp;L'!$B:$B,'Non-Core Opex Proj.'!$C78,'Non-Core P&amp;L'!AJ:AJ)</f>
        <v>0</v>
      </c>
      <c r="I78" s="442">
        <f>SUMIF('Non-Core P&amp;L'!$B:$B,'Non-Core Opex Proj.'!$C78,'Non-Core P&amp;L'!T:T)</f>
        <v>0</v>
      </c>
      <c r="J78" s="442"/>
      <c r="K78" s="442"/>
      <c r="L78" s="442"/>
      <c r="M78" s="442"/>
      <c r="N78" s="442"/>
      <c r="O78" s="442"/>
      <c r="P78" s="442"/>
    </row>
    <row r="79" spans="1:17" outlineLevel="1">
      <c r="A79" s="438" t="s">
        <v>617</v>
      </c>
      <c r="B79" s="1071" t="s">
        <v>326</v>
      </c>
      <c r="C79" s="440">
        <v>61033100</v>
      </c>
      <c r="D79" s="320" t="s">
        <v>664</v>
      </c>
      <c r="E79" s="441"/>
      <c r="F79" s="442">
        <f>SUMIF('Non-Core P&amp;L'!$B:$B,'Non-Core Opex Proj.'!$C79,'Non-Core P&amp;L'!$CS:$CS)</f>
        <v>0</v>
      </c>
      <c r="G79" s="442">
        <f>SUMIF('Non-Core P&amp;L'!$B:$B,'Non-Core Opex Proj.'!$C79,'Non-Core P&amp;L'!$BN:$BN)</f>
        <v>0</v>
      </c>
      <c r="H79" s="442">
        <f>SUMIF('Non-Core P&amp;L'!$B:$B,'Non-Core Opex Proj.'!$C79,'Non-Core P&amp;L'!AJ:AJ)</f>
        <v>0</v>
      </c>
      <c r="I79" s="442">
        <f>SUMIF('Non-Core P&amp;L'!$B:$B,'Non-Core Opex Proj.'!$C79,'Non-Core P&amp;L'!T:T)</f>
        <v>0</v>
      </c>
      <c r="J79" s="442"/>
      <c r="K79" s="442"/>
      <c r="L79" s="442"/>
      <c r="M79" s="442"/>
      <c r="N79" s="442"/>
      <c r="O79" s="442"/>
      <c r="P79" s="442"/>
    </row>
    <row r="80" spans="1:17" outlineLevel="1">
      <c r="A80" s="438" t="s">
        <v>617</v>
      </c>
      <c r="B80" s="1071" t="s">
        <v>326</v>
      </c>
      <c r="C80" s="440">
        <v>61033200</v>
      </c>
      <c r="D80" s="320" t="s">
        <v>665</v>
      </c>
      <c r="E80" s="441"/>
      <c r="F80" s="442">
        <f>SUMIF('Non-Core P&amp;L'!$B:$B,'Non-Core Opex Proj.'!$C80,'Non-Core P&amp;L'!$CS:$CS)</f>
        <v>0</v>
      </c>
      <c r="G80" s="442">
        <f>SUMIF('Non-Core P&amp;L'!$B:$B,'Non-Core Opex Proj.'!$C80,'Non-Core P&amp;L'!$BN:$BN)</f>
        <v>0</v>
      </c>
      <c r="H80" s="442">
        <f>SUMIF('Non-Core P&amp;L'!$B:$B,'Non-Core Opex Proj.'!$C80,'Non-Core P&amp;L'!AJ:AJ)</f>
        <v>0</v>
      </c>
      <c r="I80" s="442">
        <f>SUMIF('Non-Core P&amp;L'!$B:$B,'Non-Core Opex Proj.'!$C80,'Non-Core P&amp;L'!T:T)</f>
        <v>0</v>
      </c>
      <c r="J80" s="442"/>
      <c r="K80" s="442"/>
      <c r="L80" s="442"/>
      <c r="M80" s="442"/>
      <c r="N80" s="442"/>
      <c r="O80" s="442"/>
      <c r="P80" s="442"/>
    </row>
    <row r="81" spans="1:16" outlineLevel="1">
      <c r="A81" s="438" t="s">
        <v>617</v>
      </c>
      <c r="B81" s="1071" t="s">
        <v>326</v>
      </c>
      <c r="C81" s="440">
        <v>61033300</v>
      </c>
      <c r="D81" s="320" t="s">
        <v>666</v>
      </c>
      <c r="E81" s="441"/>
      <c r="F81" s="442">
        <f>SUMIF('Non-Core P&amp;L'!$B:$B,'Non-Core Opex Proj.'!$C81,'Non-Core P&amp;L'!$CS:$CS)</f>
        <v>0</v>
      </c>
      <c r="G81" s="442">
        <f>SUMIF('Non-Core P&amp;L'!$B:$B,'Non-Core Opex Proj.'!$C81,'Non-Core P&amp;L'!$BN:$BN)</f>
        <v>0</v>
      </c>
      <c r="H81" s="442">
        <f>SUMIF('Non-Core P&amp;L'!$B:$B,'Non-Core Opex Proj.'!$C81,'Non-Core P&amp;L'!AJ:AJ)</f>
        <v>0</v>
      </c>
      <c r="I81" s="442">
        <f>SUMIF('Non-Core P&amp;L'!$B:$B,'Non-Core Opex Proj.'!$C81,'Non-Core P&amp;L'!T:T)</f>
        <v>0</v>
      </c>
      <c r="J81" s="442"/>
      <c r="K81" s="442"/>
      <c r="L81" s="442"/>
      <c r="M81" s="442"/>
      <c r="N81" s="442"/>
      <c r="O81" s="442"/>
      <c r="P81" s="442"/>
    </row>
    <row r="82" spans="1:16" outlineLevel="1">
      <c r="A82" s="438" t="s">
        <v>617</v>
      </c>
      <c r="B82" s="1071" t="s">
        <v>326</v>
      </c>
      <c r="C82" s="440">
        <v>61033400</v>
      </c>
      <c r="D82" s="320" t="s">
        <v>667</v>
      </c>
      <c r="E82" s="441"/>
      <c r="F82" s="442">
        <f>SUMIF('Non-Core P&amp;L'!$B:$B,'Non-Core Opex Proj.'!$C82,'Non-Core P&amp;L'!$CS:$CS)</f>
        <v>0</v>
      </c>
      <c r="G82" s="442">
        <f>SUMIF('Non-Core P&amp;L'!$B:$B,'Non-Core Opex Proj.'!$C82,'Non-Core P&amp;L'!$BN:$BN)</f>
        <v>0</v>
      </c>
      <c r="H82" s="442">
        <f>SUMIF('Non-Core P&amp;L'!$B:$B,'Non-Core Opex Proj.'!$C82,'Non-Core P&amp;L'!AJ:AJ)</f>
        <v>0</v>
      </c>
      <c r="I82" s="442">
        <f>SUMIF('Non-Core P&amp;L'!$B:$B,'Non-Core Opex Proj.'!$C82,'Non-Core P&amp;L'!T:T)</f>
        <v>0</v>
      </c>
      <c r="J82" s="442"/>
      <c r="K82" s="442"/>
      <c r="L82" s="442"/>
      <c r="M82" s="442"/>
      <c r="N82" s="442"/>
      <c r="O82" s="442"/>
      <c r="P82" s="442"/>
    </row>
    <row r="83" spans="1:16" outlineLevel="1">
      <c r="A83" s="438" t="s">
        <v>617</v>
      </c>
      <c r="B83" s="1071" t="s">
        <v>326</v>
      </c>
      <c r="C83" s="440">
        <v>61033500</v>
      </c>
      <c r="D83" s="320" t="s">
        <v>668</v>
      </c>
      <c r="E83" s="441"/>
      <c r="F83" s="442">
        <f>SUMIF('Non-Core P&amp;L'!$B:$B,'Non-Core Opex Proj.'!$C83,'Non-Core P&amp;L'!$CS:$CS)</f>
        <v>0</v>
      </c>
      <c r="G83" s="442">
        <f>SUMIF('Non-Core P&amp;L'!$B:$B,'Non-Core Opex Proj.'!$C83,'Non-Core P&amp;L'!$BN:$BN)</f>
        <v>0</v>
      </c>
      <c r="H83" s="442">
        <f>SUMIF('Non-Core P&amp;L'!$B:$B,'Non-Core Opex Proj.'!$C83,'Non-Core P&amp;L'!AJ:AJ)</f>
        <v>0</v>
      </c>
      <c r="I83" s="442">
        <f>SUMIF('Non-Core P&amp;L'!$B:$B,'Non-Core Opex Proj.'!$C83,'Non-Core P&amp;L'!T:T)</f>
        <v>0</v>
      </c>
      <c r="J83" s="442"/>
      <c r="K83" s="442"/>
      <c r="L83" s="442"/>
      <c r="M83" s="442"/>
      <c r="N83" s="442"/>
      <c r="O83" s="442"/>
      <c r="P83" s="442"/>
    </row>
    <row r="84" spans="1:16" outlineLevel="1">
      <c r="A84" s="438" t="s">
        <v>617</v>
      </c>
      <c r="B84" s="1071" t="s">
        <v>326</v>
      </c>
      <c r="C84" s="440">
        <v>61034000</v>
      </c>
      <c r="D84" s="320" t="s">
        <v>669</v>
      </c>
      <c r="E84" s="441"/>
      <c r="F84" s="442">
        <f>SUMIF('Non-Core P&amp;L'!$B:$B,'Non-Core Opex Proj.'!$C84,'Non-Core P&amp;L'!$CS:$CS)</f>
        <v>0</v>
      </c>
      <c r="G84" s="442">
        <f>SUMIF('Non-Core P&amp;L'!$B:$B,'Non-Core Opex Proj.'!$C84,'Non-Core P&amp;L'!$BN:$BN)</f>
        <v>0</v>
      </c>
      <c r="H84" s="442">
        <f>SUMIF('Non-Core P&amp;L'!$B:$B,'Non-Core Opex Proj.'!$C84,'Non-Core P&amp;L'!AJ:AJ)</f>
        <v>0</v>
      </c>
      <c r="I84" s="442">
        <f>SUMIF('Non-Core P&amp;L'!$B:$B,'Non-Core Opex Proj.'!$C84,'Non-Core P&amp;L'!T:T)</f>
        <v>0</v>
      </c>
      <c r="J84" s="442"/>
      <c r="K84" s="442"/>
      <c r="L84" s="442"/>
      <c r="M84" s="442"/>
      <c r="N84" s="442"/>
      <c r="O84" s="442"/>
      <c r="P84" s="442"/>
    </row>
    <row r="85" spans="1:16" outlineLevel="1">
      <c r="A85" s="438" t="s">
        <v>617</v>
      </c>
      <c r="B85" s="1071" t="s">
        <v>326</v>
      </c>
      <c r="C85" s="440">
        <v>61070000</v>
      </c>
      <c r="D85" s="320" t="s">
        <v>670</v>
      </c>
      <c r="E85" s="441"/>
      <c r="F85" s="442">
        <f>SUMIF('Non-Core P&amp;L'!$B:$B,'Non-Core Opex Proj.'!$C85,'Non-Core P&amp;L'!$CS:$CS)</f>
        <v>0</v>
      </c>
      <c r="G85" s="442">
        <f>SUMIF('Non-Core P&amp;L'!$B:$B,'Non-Core Opex Proj.'!$C85,'Non-Core P&amp;L'!$BN:$BN)</f>
        <v>0</v>
      </c>
      <c r="H85" s="442">
        <f>SUMIF('Non-Core P&amp;L'!$B:$B,'Non-Core Opex Proj.'!$C85,'Non-Core P&amp;L'!AJ:AJ)</f>
        <v>0</v>
      </c>
      <c r="I85" s="442">
        <f>SUMIF('Non-Core P&amp;L'!$B:$B,'Non-Core Opex Proj.'!$C85,'Non-Core P&amp;L'!T:T)</f>
        <v>0</v>
      </c>
      <c r="J85" s="442"/>
      <c r="K85" s="442"/>
      <c r="L85" s="442"/>
      <c r="M85" s="442"/>
      <c r="N85" s="442"/>
      <c r="O85" s="442"/>
      <c r="P85" s="442"/>
    </row>
    <row r="86" spans="1:16" outlineLevel="1">
      <c r="A86" s="438" t="s">
        <v>617</v>
      </c>
      <c r="B86" s="1071" t="s">
        <v>326</v>
      </c>
      <c r="C86" s="440">
        <v>61080000</v>
      </c>
      <c r="D86" s="320" t="s">
        <v>671</v>
      </c>
      <c r="E86" s="441"/>
      <c r="F86" s="442">
        <f>SUMIF('Non-Core P&amp;L'!$B:$B,'Non-Core Opex Proj.'!$C86,'Non-Core P&amp;L'!$CS:$CS)</f>
        <v>0</v>
      </c>
      <c r="G86" s="442">
        <f>SUMIF('Non-Core P&amp;L'!$B:$B,'Non-Core Opex Proj.'!$C86,'Non-Core P&amp;L'!$BN:$BN)</f>
        <v>0</v>
      </c>
      <c r="H86" s="442">
        <f>SUMIF('Non-Core P&amp;L'!$B:$B,'Non-Core Opex Proj.'!$C86,'Non-Core P&amp;L'!AJ:AJ)</f>
        <v>0</v>
      </c>
      <c r="I86" s="442">
        <f>SUMIF('Non-Core P&amp;L'!$B:$B,'Non-Core Opex Proj.'!$C86,'Non-Core P&amp;L'!T:T)</f>
        <v>0</v>
      </c>
      <c r="J86" s="442"/>
      <c r="K86" s="442"/>
      <c r="L86" s="442"/>
      <c r="M86" s="442"/>
      <c r="N86" s="442"/>
      <c r="O86" s="442"/>
      <c r="P86" s="442"/>
    </row>
    <row r="87" spans="1:16" outlineLevel="1">
      <c r="A87" s="438" t="s">
        <v>617</v>
      </c>
      <c r="B87" s="1071" t="s">
        <v>326</v>
      </c>
      <c r="C87" s="440">
        <v>61400000</v>
      </c>
      <c r="D87" s="320" t="s">
        <v>672</v>
      </c>
      <c r="E87" s="441"/>
      <c r="F87" s="442">
        <f>SUMIF('Non-Core P&amp;L'!$B:$B,'Non-Core Opex Proj.'!$C87,'Non-Core P&amp;L'!$CS:$CS)</f>
        <v>0</v>
      </c>
      <c r="G87" s="442">
        <f>SUMIF('Non-Core P&amp;L'!$B:$B,'Non-Core Opex Proj.'!$C87,'Non-Core P&amp;L'!$BN:$BN)</f>
        <v>0</v>
      </c>
      <c r="H87" s="442">
        <f>SUMIF('Non-Core P&amp;L'!$B:$B,'Non-Core Opex Proj.'!$C87,'Non-Core P&amp;L'!AJ:AJ)</f>
        <v>0</v>
      </c>
      <c r="I87" s="442">
        <f>SUMIF('Non-Core P&amp;L'!$B:$B,'Non-Core Opex Proj.'!$C87,'Non-Core P&amp;L'!T:T)</f>
        <v>0</v>
      </c>
      <c r="J87" s="442"/>
      <c r="K87" s="442"/>
      <c r="L87" s="442"/>
      <c r="M87" s="442"/>
      <c r="N87" s="442"/>
      <c r="O87" s="442"/>
      <c r="P87" s="442"/>
    </row>
    <row r="88" spans="1:16" outlineLevel="1">
      <c r="A88" s="438" t="s">
        <v>617</v>
      </c>
      <c r="B88" s="1071" t="s">
        <v>326</v>
      </c>
      <c r="C88" s="440">
        <v>61410000</v>
      </c>
      <c r="D88" s="320" t="s">
        <v>673</v>
      </c>
      <c r="E88" s="441"/>
      <c r="F88" s="442">
        <f>SUMIF('Non-Core P&amp;L'!$B:$B,'Non-Core Opex Proj.'!$C88,'Non-Core P&amp;L'!$CS:$CS)</f>
        <v>0</v>
      </c>
      <c r="G88" s="442">
        <f>SUMIF('Non-Core P&amp;L'!$B:$B,'Non-Core Opex Proj.'!$C88,'Non-Core P&amp;L'!$BN:$BN)</f>
        <v>0</v>
      </c>
      <c r="H88" s="442">
        <f>SUMIF('Non-Core P&amp;L'!$B:$B,'Non-Core Opex Proj.'!$C88,'Non-Core P&amp;L'!AJ:AJ)</f>
        <v>0</v>
      </c>
      <c r="I88" s="442">
        <f>SUMIF('Non-Core P&amp;L'!$B:$B,'Non-Core Opex Proj.'!$C88,'Non-Core P&amp;L'!T:T)</f>
        <v>0</v>
      </c>
      <c r="J88" s="442"/>
      <c r="K88" s="442"/>
      <c r="L88" s="442"/>
      <c r="M88" s="442"/>
      <c r="N88" s="442"/>
      <c r="O88" s="442"/>
      <c r="P88" s="442"/>
    </row>
    <row r="89" spans="1:16">
      <c r="A89" s="438" t="s">
        <v>327</v>
      </c>
      <c r="B89" s="1071" t="s">
        <v>747</v>
      </c>
      <c r="C89" s="440">
        <v>63101000</v>
      </c>
      <c r="D89" s="320" t="s">
        <v>674</v>
      </c>
      <c r="E89" s="447" t="s">
        <v>748</v>
      </c>
      <c r="F89" s="442">
        <f>SUMIF('Non-Core P&amp;L'!$B:$B,'Non-Core Opex Proj.'!$C89,'Non-Core P&amp;L'!$CS:$CS)</f>
        <v>0</v>
      </c>
      <c r="G89" s="448">
        <f>SUMIF('Non-Core P&amp;L'!$B:$B,'Non-Core Opex Proj.'!$C89,'Non-Core P&amp;L'!$BN:$BN)</f>
        <v>0</v>
      </c>
      <c r="H89" s="448">
        <f>SUMIF('Non-Core P&amp;L'!$B:$B,'Non-Core Opex Proj.'!$C89,'Non-Core P&amp;L'!AJ:AJ)</f>
        <v>0</v>
      </c>
      <c r="I89" s="448">
        <f>SUMIF('Non-Core P&amp;L'!$B:$B,'Non-Core Opex Proj.'!$C89,'Non-Core P&amp;L'!T:T)</f>
        <v>0</v>
      </c>
      <c r="J89" s="448"/>
      <c r="K89" s="448"/>
      <c r="L89" s="448"/>
      <c r="M89" s="448"/>
      <c r="N89" s="448"/>
      <c r="O89" s="448"/>
      <c r="P89" s="448"/>
    </row>
    <row r="90" spans="1:16">
      <c r="A90" s="438" t="s">
        <v>327</v>
      </c>
      <c r="B90" s="1071" t="s">
        <v>747</v>
      </c>
      <c r="C90" s="440">
        <v>63102000</v>
      </c>
      <c r="D90" s="320" t="s">
        <v>675</v>
      </c>
      <c r="E90" s="447" t="s">
        <v>748</v>
      </c>
      <c r="F90" s="442">
        <f>SUMIF('Non-Core P&amp;L'!$B:$B,'Non-Core Opex Proj.'!$C90,'Non-Core P&amp;L'!$CS:$CS)</f>
        <v>0</v>
      </c>
      <c r="G90" s="448">
        <f>SUMIF('Non-Core P&amp;L'!$B:$B,'Non-Core Opex Proj.'!$C90,'Non-Core P&amp;L'!$BN:$BN)</f>
        <v>0</v>
      </c>
      <c r="H90" s="448">
        <f>SUMIF('Non-Core P&amp;L'!$B:$B,'Non-Core Opex Proj.'!$C90,'Non-Core P&amp;L'!AJ:AJ)</f>
        <v>0</v>
      </c>
      <c r="I90" s="448">
        <f>SUMIF('Non-Core P&amp;L'!$B:$B,'Non-Core Opex Proj.'!$C90,'Non-Core P&amp;L'!T:T)</f>
        <v>0</v>
      </c>
      <c r="J90" s="448"/>
      <c r="K90" s="448"/>
      <c r="L90" s="448"/>
      <c r="M90" s="448"/>
      <c r="N90" s="448"/>
      <c r="O90" s="448"/>
      <c r="P90" s="448"/>
    </row>
    <row r="91" spans="1:16" outlineLevel="1">
      <c r="A91" s="438" t="s">
        <v>327</v>
      </c>
      <c r="B91" s="1071" t="s">
        <v>747</v>
      </c>
      <c r="C91" s="440">
        <v>63103000</v>
      </c>
      <c r="D91" s="320" t="s">
        <v>676</v>
      </c>
      <c r="E91" s="447" t="s">
        <v>748</v>
      </c>
      <c r="F91" s="442">
        <f>SUMIF('Non-Core P&amp;L'!$B:$B,'Non-Core Opex Proj.'!$C91,'Non-Core P&amp;L'!$CS:$CS)</f>
        <v>0</v>
      </c>
      <c r="G91" s="448">
        <f>SUMIF('Non-Core P&amp;L'!$B:$B,'Non-Core Opex Proj.'!$C91,'Non-Core P&amp;L'!$BN:$BN)</f>
        <v>0</v>
      </c>
      <c r="H91" s="448">
        <f>SUMIF('Non-Core P&amp;L'!$B:$B,'Non-Core Opex Proj.'!$C91,'Non-Core P&amp;L'!AJ:AJ)</f>
        <v>0</v>
      </c>
      <c r="I91" s="448">
        <f>SUMIF('Non-Core P&amp;L'!$B:$B,'Non-Core Opex Proj.'!$C91,'Non-Core P&amp;L'!T:T)</f>
        <v>0</v>
      </c>
      <c r="J91" s="448"/>
      <c r="K91" s="448"/>
      <c r="L91" s="448"/>
      <c r="M91" s="448"/>
      <c r="N91" s="448"/>
      <c r="O91" s="448"/>
      <c r="P91" s="448"/>
    </row>
    <row r="92" spans="1:16" outlineLevel="1">
      <c r="A92" s="438" t="s">
        <v>327</v>
      </c>
      <c r="B92" s="1071" t="s">
        <v>747</v>
      </c>
      <c r="C92" s="440">
        <v>63190000</v>
      </c>
      <c r="D92" s="320" t="s">
        <v>677</v>
      </c>
      <c r="E92" s="447" t="s">
        <v>748</v>
      </c>
      <c r="F92" s="442">
        <f>SUMIF('Non-Core P&amp;L'!$B:$B,'Non-Core Opex Proj.'!$C92,'Non-Core P&amp;L'!$CS:$CS)</f>
        <v>0</v>
      </c>
      <c r="G92" s="448">
        <f>SUMIF('Non-Core P&amp;L'!$B:$B,'Non-Core Opex Proj.'!$C92,'Non-Core P&amp;L'!$BN:$BN)</f>
        <v>0</v>
      </c>
      <c r="H92" s="448">
        <f>SUMIF('Non-Core P&amp;L'!$B:$B,'Non-Core Opex Proj.'!$C92,'Non-Core P&amp;L'!AJ:AJ)</f>
        <v>0</v>
      </c>
      <c r="I92" s="448">
        <f>SUMIF('Non-Core P&amp;L'!$B:$B,'Non-Core Opex Proj.'!$C92,'Non-Core P&amp;L'!T:T)</f>
        <v>0</v>
      </c>
      <c r="J92" s="448"/>
      <c r="K92" s="448"/>
      <c r="L92" s="448"/>
      <c r="M92" s="448"/>
      <c r="N92" s="448"/>
      <c r="O92" s="448"/>
      <c r="P92" s="448"/>
    </row>
    <row r="93" spans="1:16" outlineLevel="1">
      <c r="A93" s="438" t="s">
        <v>327</v>
      </c>
      <c r="B93" s="1071" t="s">
        <v>747</v>
      </c>
      <c r="C93" s="440">
        <v>63201000</v>
      </c>
      <c r="D93" s="320" t="s">
        <v>678</v>
      </c>
      <c r="E93" s="447" t="s">
        <v>748</v>
      </c>
      <c r="F93" s="442">
        <f>SUMIF('Non-Core P&amp;L'!$B:$B,'Non-Core Opex Proj.'!$C93,'Non-Core P&amp;L'!$CS:$CS)</f>
        <v>0</v>
      </c>
      <c r="G93" s="448">
        <f>SUMIF('Non-Core P&amp;L'!$B:$B,'Non-Core Opex Proj.'!$C93,'Non-Core P&amp;L'!$BN:$BN)</f>
        <v>0</v>
      </c>
      <c r="H93" s="448">
        <f>SUMIF('Non-Core P&amp;L'!$B:$B,'Non-Core Opex Proj.'!$C93,'Non-Core P&amp;L'!AJ:AJ)</f>
        <v>0</v>
      </c>
      <c r="I93" s="448">
        <f>SUMIF('Non-Core P&amp;L'!$B:$B,'Non-Core Opex Proj.'!$C93,'Non-Core P&amp;L'!T:T)</f>
        <v>0</v>
      </c>
      <c r="J93" s="448"/>
      <c r="K93" s="448"/>
      <c r="L93" s="448"/>
      <c r="M93" s="448"/>
      <c r="N93" s="448"/>
      <c r="O93" s="448"/>
      <c r="P93" s="448"/>
    </row>
    <row r="94" spans="1:16" outlineLevel="1">
      <c r="A94" s="438" t="s">
        <v>327</v>
      </c>
      <c r="B94" s="1071" t="s">
        <v>747</v>
      </c>
      <c r="C94" s="440">
        <v>63290000</v>
      </c>
      <c r="D94" s="320" t="s">
        <v>679</v>
      </c>
      <c r="E94" s="447" t="s">
        <v>748</v>
      </c>
      <c r="F94" s="442">
        <f>SUMIF('Non-Core P&amp;L'!$B:$B,'Non-Core Opex Proj.'!$C94,'Non-Core P&amp;L'!$CS:$CS)</f>
        <v>0</v>
      </c>
      <c r="G94" s="448">
        <f>SUMIF('Non-Core P&amp;L'!$B:$B,'Non-Core Opex Proj.'!$C94,'Non-Core P&amp;L'!$BN:$BN)</f>
        <v>0</v>
      </c>
      <c r="H94" s="448">
        <f>SUMIF('Non-Core P&amp;L'!$B:$B,'Non-Core Opex Proj.'!$C94,'Non-Core P&amp;L'!AJ:AJ)</f>
        <v>0</v>
      </c>
      <c r="I94" s="448">
        <f>SUMIF('Non-Core P&amp;L'!$B:$B,'Non-Core Opex Proj.'!$C94,'Non-Core P&amp;L'!T:T)</f>
        <v>0</v>
      </c>
      <c r="J94" s="448"/>
      <c r="K94" s="448"/>
      <c r="L94" s="448"/>
      <c r="M94" s="448"/>
      <c r="N94" s="448"/>
      <c r="O94" s="448"/>
      <c r="P94" s="448"/>
    </row>
    <row r="95" spans="1:16" outlineLevel="1">
      <c r="A95" s="438" t="s">
        <v>327</v>
      </c>
      <c r="B95" s="1071" t="s">
        <v>747</v>
      </c>
      <c r="C95" s="440">
        <v>63301000</v>
      </c>
      <c r="D95" s="320" t="s">
        <v>680</v>
      </c>
      <c r="E95" s="447" t="s">
        <v>748</v>
      </c>
      <c r="F95" s="442">
        <f>SUMIF('Non-Core P&amp;L'!$B:$B,'Non-Core Opex Proj.'!$C95,'Non-Core P&amp;L'!$CS:$CS)</f>
        <v>0</v>
      </c>
      <c r="G95" s="448">
        <f>SUMIF('Non-Core P&amp;L'!$B:$B,'Non-Core Opex Proj.'!$C95,'Non-Core P&amp;L'!$BN:$BN)</f>
        <v>0</v>
      </c>
      <c r="H95" s="448">
        <f>SUMIF('Non-Core P&amp;L'!$B:$B,'Non-Core Opex Proj.'!$C95,'Non-Core P&amp;L'!AJ:AJ)</f>
        <v>0</v>
      </c>
      <c r="I95" s="448">
        <f>SUMIF('Non-Core P&amp;L'!$B:$B,'Non-Core Opex Proj.'!$C95,'Non-Core P&amp;L'!T:T)</f>
        <v>0</v>
      </c>
      <c r="J95" s="448"/>
      <c r="K95" s="448"/>
      <c r="L95" s="448"/>
      <c r="M95" s="448"/>
      <c r="N95" s="448"/>
      <c r="O95" s="448"/>
      <c r="P95" s="448"/>
    </row>
    <row r="96" spans="1:16" outlineLevel="1">
      <c r="A96" s="438" t="s">
        <v>327</v>
      </c>
      <c r="B96" s="1071" t="s">
        <v>747</v>
      </c>
      <c r="C96" s="440">
        <v>63390000</v>
      </c>
      <c r="D96" s="320" t="s">
        <v>681</v>
      </c>
      <c r="E96" s="447" t="s">
        <v>748</v>
      </c>
      <c r="F96" s="442">
        <f>SUMIF('Non-Core P&amp;L'!$B:$B,'Non-Core Opex Proj.'!$C96,'Non-Core P&amp;L'!$CS:$CS)</f>
        <v>0</v>
      </c>
      <c r="G96" s="448">
        <f>SUMIF('Non-Core P&amp;L'!$B:$B,'Non-Core Opex Proj.'!$C96,'Non-Core P&amp;L'!$BN:$BN)</f>
        <v>0</v>
      </c>
      <c r="H96" s="448">
        <f>SUMIF('Non-Core P&amp;L'!$B:$B,'Non-Core Opex Proj.'!$C96,'Non-Core P&amp;L'!AJ:AJ)</f>
        <v>0</v>
      </c>
      <c r="I96" s="448">
        <f>SUMIF('Non-Core P&amp;L'!$B:$B,'Non-Core Opex Proj.'!$C96,'Non-Core P&amp;L'!T:T)</f>
        <v>0</v>
      </c>
      <c r="J96" s="448"/>
      <c r="K96" s="448"/>
      <c r="L96" s="448"/>
      <c r="M96" s="448"/>
      <c r="N96" s="448"/>
      <c r="O96" s="448"/>
      <c r="P96" s="448"/>
    </row>
    <row r="97" spans="1:16" outlineLevel="1">
      <c r="A97" s="438" t="s">
        <v>327</v>
      </c>
      <c r="B97" s="1071" t="s">
        <v>747</v>
      </c>
      <c r="C97" s="440">
        <v>63401000</v>
      </c>
      <c r="D97" s="320" t="s">
        <v>682</v>
      </c>
      <c r="E97" s="447" t="s">
        <v>748</v>
      </c>
      <c r="F97" s="442">
        <f>SUMIF('Non-Core P&amp;L'!$B:$B,'Non-Core Opex Proj.'!$C97,'Non-Core P&amp;L'!$CS:$CS)</f>
        <v>0</v>
      </c>
      <c r="G97" s="448">
        <f>SUMIF('Non-Core P&amp;L'!$B:$B,'Non-Core Opex Proj.'!$C97,'Non-Core P&amp;L'!$BN:$BN)</f>
        <v>0</v>
      </c>
      <c r="H97" s="448">
        <f>SUMIF('Non-Core P&amp;L'!$B:$B,'Non-Core Opex Proj.'!$C97,'Non-Core P&amp;L'!AJ:AJ)</f>
        <v>0</v>
      </c>
      <c r="I97" s="448">
        <f>SUMIF('Non-Core P&amp;L'!$B:$B,'Non-Core Opex Proj.'!$C97,'Non-Core P&amp;L'!T:T)</f>
        <v>0</v>
      </c>
      <c r="J97" s="448"/>
      <c r="K97" s="448"/>
      <c r="L97" s="448"/>
      <c r="M97" s="448"/>
      <c r="N97" s="448"/>
      <c r="O97" s="448"/>
      <c r="P97" s="448"/>
    </row>
    <row r="98" spans="1:16" outlineLevel="1">
      <c r="A98" s="438" t="s">
        <v>327</v>
      </c>
      <c r="B98" s="1071" t="s">
        <v>747</v>
      </c>
      <c r="C98" s="440">
        <v>63490000</v>
      </c>
      <c r="D98" s="320" t="s">
        <v>683</v>
      </c>
      <c r="E98" s="447" t="s">
        <v>748</v>
      </c>
      <c r="F98" s="442">
        <f>SUMIF('Non-Core P&amp;L'!$B:$B,'Non-Core Opex Proj.'!$C98,'Non-Core P&amp;L'!$CS:$CS)</f>
        <v>0</v>
      </c>
      <c r="G98" s="448">
        <f>SUMIF('Non-Core P&amp;L'!$B:$B,'Non-Core Opex Proj.'!$C98,'Non-Core P&amp;L'!$BN:$BN)</f>
        <v>0</v>
      </c>
      <c r="H98" s="448">
        <f>SUMIF('Non-Core P&amp;L'!$B:$B,'Non-Core Opex Proj.'!$C98,'Non-Core P&amp;L'!AJ:AJ)</f>
        <v>0</v>
      </c>
      <c r="I98" s="448">
        <f>SUMIF('Non-Core P&amp;L'!$B:$B,'Non-Core Opex Proj.'!$C98,'Non-Core P&amp;L'!T:T)</f>
        <v>0</v>
      </c>
      <c r="J98" s="448"/>
      <c r="K98" s="448"/>
      <c r="L98" s="448"/>
      <c r="M98" s="448"/>
      <c r="N98" s="448"/>
      <c r="O98" s="448"/>
      <c r="P98" s="448"/>
    </row>
    <row r="99" spans="1:16" outlineLevel="1">
      <c r="A99" s="438" t="s">
        <v>327</v>
      </c>
      <c r="B99" s="1071" t="s">
        <v>747</v>
      </c>
      <c r="C99" s="440">
        <v>63501000</v>
      </c>
      <c r="D99" s="320" t="s">
        <v>684</v>
      </c>
      <c r="E99" s="447" t="s">
        <v>748</v>
      </c>
      <c r="F99" s="442">
        <f>SUMIF('Non-Core P&amp;L'!$B:$B,'Non-Core Opex Proj.'!$C99,'Non-Core P&amp;L'!$CS:$CS)</f>
        <v>0</v>
      </c>
      <c r="G99" s="448">
        <f>SUMIF('Non-Core P&amp;L'!$B:$B,'Non-Core Opex Proj.'!$C99,'Non-Core P&amp;L'!$BN:$BN)</f>
        <v>0</v>
      </c>
      <c r="H99" s="448">
        <f>SUMIF('Non-Core P&amp;L'!$B:$B,'Non-Core Opex Proj.'!$C99,'Non-Core P&amp;L'!AJ:AJ)</f>
        <v>0</v>
      </c>
      <c r="I99" s="448">
        <f>SUMIF('Non-Core P&amp;L'!$B:$B,'Non-Core Opex Proj.'!$C99,'Non-Core P&amp;L'!T:T)</f>
        <v>0</v>
      </c>
      <c r="J99" s="448"/>
      <c r="K99" s="448"/>
      <c r="L99" s="448"/>
      <c r="M99" s="448"/>
      <c r="N99" s="448"/>
      <c r="O99" s="448"/>
      <c r="P99" s="448"/>
    </row>
    <row r="100" spans="1:16" outlineLevel="1">
      <c r="A100" s="438" t="s">
        <v>327</v>
      </c>
      <c r="B100" s="1071" t="s">
        <v>747</v>
      </c>
      <c r="C100" s="440">
        <v>63590000</v>
      </c>
      <c r="D100" s="320" t="s">
        <v>685</v>
      </c>
      <c r="E100" s="447" t="s">
        <v>748</v>
      </c>
      <c r="F100" s="442">
        <f>SUMIF('Non-Core P&amp;L'!$B:$B,'Non-Core Opex Proj.'!$C100,'Non-Core P&amp;L'!$CS:$CS)</f>
        <v>0</v>
      </c>
      <c r="G100" s="448">
        <f>SUMIF('Non-Core P&amp;L'!$B:$B,'Non-Core Opex Proj.'!$C100,'Non-Core P&amp;L'!$BN:$BN)</f>
        <v>0</v>
      </c>
      <c r="H100" s="448">
        <f>SUMIF('Non-Core P&amp;L'!$B:$B,'Non-Core Opex Proj.'!$C100,'Non-Core P&amp;L'!AJ:AJ)</f>
        <v>0</v>
      </c>
      <c r="I100" s="448">
        <f>SUMIF('Non-Core P&amp;L'!$B:$B,'Non-Core Opex Proj.'!$C100,'Non-Core P&amp;L'!T:T)</f>
        <v>0</v>
      </c>
      <c r="J100" s="448"/>
      <c r="K100" s="448"/>
      <c r="L100" s="448"/>
      <c r="M100" s="448"/>
      <c r="N100" s="448"/>
      <c r="O100" s="448"/>
      <c r="P100" s="448"/>
    </row>
    <row r="101" spans="1:16" outlineLevel="1">
      <c r="A101" s="438" t="s">
        <v>327</v>
      </c>
      <c r="B101" s="1071" t="s">
        <v>747</v>
      </c>
      <c r="C101" s="440">
        <v>63601000</v>
      </c>
      <c r="D101" s="320" t="s">
        <v>686</v>
      </c>
      <c r="E101" s="447" t="s">
        <v>748</v>
      </c>
      <c r="F101" s="442">
        <f>SUMIF('Non-Core P&amp;L'!$B:$B,'Non-Core Opex Proj.'!$C101,'Non-Core P&amp;L'!$CS:$CS)</f>
        <v>0</v>
      </c>
      <c r="G101" s="448">
        <f>SUMIF('Non-Core P&amp;L'!$B:$B,'Non-Core Opex Proj.'!$C101,'Non-Core P&amp;L'!$BN:$BN)</f>
        <v>0</v>
      </c>
      <c r="H101" s="448">
        <f>SUMIF('Non-Core P&amp;L'!$B:$B,'Non-Core Opex Proj.'!$C101,'Non-Core P&amp;L'!AJ:AJ)</f>
        <v>0</v>
      </c>
      <c r="I101" s="448">
        <f>SUMIF('Non-Core P&amp;L'!$B:$B,'Non-Core Opex Proj.'!$C101,'Non-Core P&amp;L'!T:T)</f>
        <v>0</v>
      </c>
      <c r="J101" s="448"/>
      <c r="K101" s="448"/>
      <c r="L101" s="448"/>
      <c r="M101" s="448"/>
      <c r="N101" s="448"/>
      <c r="O101" s="448"/>
      <c r="P101" s="448"/>
    </row>
    <row r="102" spans="1:16" outlineLevel="1">
      <c r="A102" s="438" t="s">
        <v>327</v>
      </c>
      <c r="B102" s="1071" t="s">
        <v>747</v>
      </c>
      <c r="C102" s="440">
        <v>63690000</v>
      </c>
      <c r="D102" s="320" t="s">
        <v>687</v>
      </c>
      <c r="E102" s="447" t="s">
        <v>748</v>
      </c>
      <c r="F102" s="442">
        <f>SUMIF('Non-Core P&amp;L'!$B:$B,'Non-Core Opex Proj.'!$C102,'Non-Core P&amp;L'!$CS:$CS)</f>
        <v>0</v>
      </c>
      <c r="G102" s="448">
        <f>SUMIF('Non-Core P&amp;L'!$B:$B,'Non-Core Opex Proj.'!$C102,'Non-Core P&amp;L'!$BN:$BN)</f>
        <v>0</v>
      </c>
      <c r="H102" s="448">
        <f>SUMIF('Non-Core P&amp;L'!$B:$B,'Non-Core Opex Proj.'!$C102,'Non-Core P&amp;L'!AJ:AJ)</f>
        <v>0</v>
      </c>
      <c r="I102" s="448">
        <f>SUMIF('Non-Core P&amp;L'!$B:$B,'Non-Core Opex Proj.'!$C102,'Non-Core P&amp;L'!T:T)</f>
        <v>0</v>
      </c>
      <c r="J102" s="448"/>
      <c r="K102" s="448"/>
      <c r="L102" s="448"/>
      <c r="M102" s="448"/>
      <c r="N102" s="448"/>
      <c r="O102" s="448"/>
      <c r="P102" s="448"/>
    </row>
    <row r="103" spans="1:16" outlineLevel="1">
      <c r="A103" s="438" t="s">
        <v>327</v>
      </c>
      <c r="B103" s="1071" t="s">
        <v>747</v>
      </c>
      <c r="C103" s="440">
        <v>63701000</v>
      </c>
      <c r="D103" s="320" t="s">
        <v>688</v>
      </c>
      <c r="E103" s="447" t="s">
        <v>748</v>
      </c>
      <c r="F103" s="442">
        <f>SUMIF('Non-Core P&amp;L'!$B:$B,'Non-Core Opex Proj.'!$C103,'Non-Core P&amp;L'!$CS:$CS)</f>
        <v>0</v>
      </c>
      <c r="G103" s="448">
        <f>SUMIF('Non-Core P&amp;L'!$B:$B,'Non-Core Opex Proj.'!$C103,'Non-Core P&amp;L'!$BN:$BN)</f>
        <v>0</v>
      </c>
      <c r="H103" s="448">
        <f>SUMIF('Non-Core P&amp;L'!$B:$B,'Non-Core Opex Proj.'!$C103,'Non-Core P&amp;L'!AJ:AJ)</f>
        <v>0</v>
      </c>
      <c r="I103" s="448">
        <f>SUMIF('Non-Core P&amp;L'!$B:$B,'Non-Core Opex Proj.'!$C103,'Non-Core P&amp;L'!T:T)</f>
        <v>0</v>
      </c>
      <c r="J103" s="448"/>
      <c r="K103" s="448"/>
      <c r="L103" s="448"/>
      <c r="M103" s="448"/>
      <c r="N103" s="448"/>
      <c r="O103" s="448"/>
      <c r="P103" s="448"/>
    </row>
    <row r="104" spans="1:16" outlineLevel="1">
      <c r="A104" s="438" t="s">
        <v>327</v>
      </c>
      <c r="B104" s="1071" t="s">
        <v>747</v>
      </c>
      <c r="C104" s="440">
        <v>63801000</v>
      </c>
      <c r="D104" s="320" t="s">
        <v>689</v>
      </c>
      <c r="E104" s="447" t="s">
        <v>748</v>
      </c>
      <c r="F104" s="442">
        <f>SUMIF('Non-Core P&amp;L'!$B:$B,'Non-Core Opex Proj.'!$C104,'Non-Core P&amp;L'!$CS:$CS)</f>
        <v>0</v>
      </c>
      <c r="G104" s="448">
        <f>SUMIF('Non-Core P&amp;L'!$B:$B,'Non-Core Opex Proj.'!$C104,'Non-Core P&amp;L'!$BN:$BN)</f>
        <v>0</v>
      </c>
      <c r="H104" s="448">
        <f>SUMIF('Non-Core P&amp;L'!$B:$B,'Non-Core Opex Proj.'!$C104,'Non-Core P&amp;L'!AJ:AJ)</f>
        <v>0</v>
      </c>
      <c r="I104" s="448">
        <f>SUMIF('Non-Core P&amp;L'!$B:$B,'Non-Core Opex Proj.'!$C104,'Non-Core P&amp;L'!T:T)</f>
        <v>0</v>
      </c>
      <c r="J104" s="448"/>
      <c r="K104" s="448"/>
      <c r="L104" s="448"/>
      <c r="M104" s="448"/>
      <c r="N104" s="448"/>
      <c r="O104" s="448"/>
      <c r="P104" s="448"/>
    </row>
    <row r="105" spans="1:16" outlineLevel="1">
      <c r="A105" s="438" t="s">
        <v>327</v>
      </c>
      <c r="B105" s="1071" t="s">
        <v>747</v>
      </c>
      <c r="C105" s="440">
        <v>63901000</v>
      </c>
      <c r="D105" s="320" t="s">
        <v>690</v>
      </c>
      <c r="E105" s="447" t="s">
        <v>748</v>
      </c>
      <c r="F105" s="442">
        <f>SUMIF('Non-Core P&amp;L'!$B:$B,'Non-Core Opex Proj.'!$C105,'Non-Core P&amp;L'!$CS:$CS)</f>
        <v>0</v>
      </c>
      <c r="G105" s="448">
        <f>SUMIF('Non-Core P&amp;L'!$B:$B,'Non-Core Opex Proj.'!$C105,'Non-Core P&amp;L'!$BN:$BN)</f>
        <v>0</v>
      </c>
      <c r="H105" s="448">
        <f>SUMIF('Non-Core P&amp;L'!$B:$B,'Non-Core Opex Proj.'!$C105,'Non-Core P&amp;L'!AJ:AJ)</f>
        <v>0</v>
      </c>
      <c r="I105" s="448">
        <f>SUMIF('Non-Core P&amp;L'!$B:$B,'Non-Core Opex Proj.'!$C105,'Non-Core P&amp;L'!T:T)</f>
        <v>0</v>
      </c>
      <c r="J105" s="448"/>
      <c r="K105" s="448"/>
      <c r="L105" s="448"/>
      <c r="M105" s="448"/>
      <c r="N105" s="448"/>
      <c r="O105" s="448"/>
      <c r="P105" s="448"/>
    </row>
    <row r="106" spans="1:16">
      <c r="A106" s="438" t="s">
        <v>327</v>
      </c>
      <c r="B106" s="1071" t="s">
        <v>747</v>
      </c>
      <c r="C106" s="440">
        <v>65001000</v>
      </c>
      <c r="D106" s="320" t="s">
        <v>691</v>
      </c>
      <c r="E106" s="447" t="s">
        <v>748</v>
      </c>
      <c r="F106" s="442">
        <f>SUMIF('Non-Core P&amp;L'!$B:$B,'Non-Core Opex Proj.'!$C106,'Non-Core P&amp;L'!$CS:$CS)</f>
        <v>0</v>
      </c>
      <c r="G106" s="448">
        <f>SUMIF('Non-Core P&amp;L'!$B:$B,'Non-Core Opex Proj.'!$C106,'Non-Core P&amp;L'!$BN:$BN)</f>
        <v>0</v>
      </c>
      <c r="H106" s="448">
        <f>SUMIF('Non-Core P&amp;L'!$B:$B,'Non-Core Opex Proj.'!$C106,'Non-Core P&amp;L'!AJ:AJ)</f>
        <v>0</v>
      </c>
      <c r="I106" s="448">
        <f>SUMIF('Non-Core P&amp;L'!$B:$B,'Non-Core Opex Proj.'!$C106,'Non-Core P&amp;L'!T:T)</f>
        <v>0</v>
      </c>
      <c r="J106" s="448"/>
      <c r="K106" s="448"/>
      <c r="L106" s="448"/>
      <c r="M106" s="448"/>
      <c r="N106" s="448"/>
      <c r="O106" s="448"/>
      <c r="P106" s="448"/>
    </row>
    <row r="107" spans="1:16" outlineLevel="1">
      <c r="A107" s="438" t="s">
        <v>327</v>
      </c>
      <c r="B107" s="1071" t="s">
        <v>747</v>
      </c>
      <c r="C107" s="440">
        <v>65002000</v>
      </c>
      <c r="D107" s="320" t="s">
        <v>692</v>
      </c>
      <c r="E107" s="447" t="s">
        <v>748</v>
      </c>
      <c r="F107" s="442">
        <f>SUMIF('Non-Core P&amp;L'!$B:$B,'Non-Core Opex Proj.'!$C107,'Non-Core P&amp;L'!$CS:$CS)</f>
        <v>0</v>
      </c>
      <c r="G107" s="448">
        <f>SUMIF('Non-Core P&amp;L'!$B:$B,'Non-Core Opex Proj.'!$C107,'Non-Core P&amp;L'!$BN:$BN)</f>
        <v>0</v>
      </c>
      <c r="H107" s="448">
        <f>SUMIF('Non-Core P&amp;L'!$B:$B,'Non-Core Opex Proj.'!$C107,'Non-Core P&amp;L'!AJ:AJ)</f>
        <v>0</v>
      </c>
      <c r="I107" s="448">
        <f>SUMIF('Non-Core P&amp;L'!$B:$B,'Non-Core Opex Proj.'!$C107,'Non-Core P&amp;L'!T:T)</f>
        <v>0</v>
      </c>
      <c r="J107" s="448"/>
      <c r="K107" s="448"/>
      <c r="L107" s="448"/>
      <c r="M107" s="448"/>
      <c r="N107" s="448"/>
      <c r="O107" s="448"/>
      <c r="P107" s="448"/>
    </row>
    <row r="108" spans="1:16">
      <c r="A108" s="438" t="s">
        <v>327</v>
      </c>
      <c r="B108" s="1071" t="s">
        <v>747</v>
      </c>
      <c r="C108" s="440">
        <v>65101000</v>
      </c>
      <c r="D108" s="320" t="s">
        <v>693</v>
      </c>
      <c r="E108" s="447" t="s">
        <v>748</v>
      </c>
      <c r="F108" s="442">
        <f>SUMIF('Non-Core P&amp;L'!$B:$B,'Non-Core Opex Proj.'!$C108,'Non-Core P&amp;L'!$CS:$CS)</f>
        <v>0</v>
      </c>
      <c r="G108" s="448">
        <f>SUMIF('Non-Core P&amp;L'!$B:$B,'Non-Core Opex Proj.'!$C108,'Non-Core P&amp;L'!$BN:$BN)</f>
        <v>0</v>
      </c>
      <c r="H108" s="448">
        <f>SUMIF('Non-Core P&amp;L'!$B:$B,'Non-Core Opex Proj.'!$C108,'Non-Core P&amp;L'!AJ:AJ)</f>
        <v>0</v>
      </c>
      <c r="I108" s="448">
        <f>SUMIF('Non-Core P&amp;L'!$B:$B,'Non-Core Opex Proj.'!$C108,'Non-Core P&amp;L'!T:T)</f>
        <v>0</v>
      </c>
      <c r="J108" s="448"/>
      <c r="K108" s="448"/>
      <c r="L108" s="448"/>
      <c r="M108" s="448"/>
      <c r="N108" s="448"/>
      <c r="O108" s="448"/>
      <c r="P108" s="448"/>
    </row>
    <row r="109" spans="1:16">
      <c r="A109" s="438" t="s">
        <v>327</v>
      </c>
      <c r="B109" s="1071" t="s">
        <v>747</v>
      </c>
      <c r="C109" s="440">
        <v>65102000</v>
      </c>
      <c r="D109" s="320" t="s">
        <v>694</v>
      </c>
      <c r="E109" s="447" t="s">
        <v>748</v>
      </c>
      <c r="F109" s="442">
        <f>SUMIF('Non-Core P&amp;L'!$B:$B,'Non-Core Opex Proj.'!$C109,'Non-Core P&amp;L'!$CS:$CS)</f>
        <v>0</v>
      </c>
      <c r="G109" s="448">
        <f>SUMIF('Non-Core P&amp;L'!$B:$B,'Non-Core Opex Proj.'!$C109,'Non-Core P&amp;L'!$BN:$BN)</f>
        <v>0</v>
      </c>
      <c r="H109" s="448">
        <f>SUMIF('Non-Core P&amp;L'!$B:$B,'Non-Core Opex Proj.'!$C109,'Non-Core P&amp;L'!AJ:AJ)</f>
        <v>0</v>
      </c>
      <c r="I109" s="448">
        <f>SUMIF('Non-Core P&amp;L'!$B:$B,'Non-Core Opex Proj.'!$C109,'Non-Core P&amp;L'!T:T)</f>
        <v>0</v>
      </c>
      <c r="J109" s="448"/>
      <c r="K109" s="448"/>
      <c r="L109" s="448"/>
      <c r="M109" s="448"/>
      <c r="N109" s="448"/>
      <c r="O109" s="448"/>
      <c r="P109" s="448"/>
    </row>
    <row r="110" spans="1:16" outlineLevel="1">
      <c r="A110" s="438" t="s">
        <v>327</v>
      </c>
      <c r="B110" s="1071" t="s">
        <v>747</v>
      </c>
      <c r="C110" s="440">
        <v>65103000</v>
      </c>
      <c r="D110" s="320" t="s">
        <v>695</v>
      </c>
      <c r="E110" s="447" t="s">
        <v>748</v>
      </c>
      <c r="F110" s="442">
        <f>SUMIF('Non-Core P&amp;L'!$B:$B,'Non-Core Opex Proj.'!$C110,'Non-Core P&amp;L'!$CS:$CS)</f>
        <v>0</v>
      </c>
      <c r="G110" s="448">
        <f>SUMIF('Non-Core P&amp;L'!$B:$B,'Non-Core Opex Proj.'!$C110,'Non-Core P&amp;L'!$BN:$BN)</f>
        <v>0</v>
      </c>
      <c r="H110" s="448">
        <f>SUMIF('Non-Core P&amp;L'!$B:$B,'Non-Core Opex Proj.'!$C110,'Non-Core P&amp;L'!AJ:AJ)</f>
        <v>0</v>
      </c>
      <c r="I110" s="448">
        <f>SUMIF('Non-Core P&amp;L'!$B:$B,'Non-Core Opex Proj.'!$C110,'Non-Core P&amp;L'!T:T)</f>
        <v>0</v>
      </c>
      <c r="J110" s="448"/>
      <c r="K110" s="448"/>
      <c r="L110" s="448"/>
      <c r="M110" s="448"/>
      <c r="N110" s="448"/>
      <c r="O110" s="448"/>
      <c r="P110" s="448"/>
    </row>
    <row r="111" spans="1:16" outlineLevel="1">
      <c r="A111" s="438" t="s">
        <v>327</v>
      </c>
      <c r="B111" s="1071" t="s">
        <v>747</v>
      </c>
      <c r="C111" s="440">
        <v>65104000</v>
      </c>
      <c r="D111" s="320" t="s">
        <v>696</v>
      </c>
      <c r="E111" s="447" t="s">
        <v>748</v>
      </c>
      <c r="F111" s="442">
        <f>SUMIF('Non-Core P&amp;L'!$B:$B,'Non-Core Opex Proj.'!$C111,'Non-Core P&amp;L'!$CS:$CS)</f>
        <v>0</v>
      </c>
      <c r="G111" s="448">
        <f>SUMIF('Non-Core P&amp;L'!$B:$B,'Non-Core Opex Proj.'!$C111,'Non-Core P&amp;L'!$BN:$BN)</f>
        <v>0</v>
      </c>
      <c r="H111" s="448">
        <f>SUMIF('Non-Core P&amp;L'!$B:$B,'Non-Core Opex Proj.'!$C111,'Non-Core P&amp;L'!AJ:AJ)</f>
        <v>0</v>
      </c>
      <c r="I111" s="448">
        <f>SUMIF('Non-Core P&amp;L'!$B:$B,'Non-Core Opex Proj.'!$C111,'Non-Core P&amp;L'!T:T)</f>
        <v>0</v>
      </c>
      <c r="J111" s="448"/>
      <c r="K111" s="448"/>
      <c r="L111" s="448"/>
      <c r="M111" s="448"/>
      <c r="N111" s="448"/>
      <c r="O111" s="448"/>
      <c r="P111" s="448"/>
    </row>
    <row r="112" spans="1:16" outlineLevel="1">
      <c r="A112" s="438" t="s">
        <v>327</v>
      </c>
      <c r="B112" s="1071" t="s">
        <v>747</v>
      </c>
      <c r="C112" s="440">
        <v>65201000</v>
      </c>
      <c r="D112" s="320" t="s">
        <v>697</v>
      </c>
      <c r="E112" s="447" t="s">
        <v>748</v>
      </c>
      <c r="F112" s="442">
        <f>SUMIF('Non-Core P&amp;L'!$B:$B,'Non-Core Opex Proj.'!$C112,'Non-Core P&amp;L'!$CS:$CS)</f>
        <v>0</v>
      </c>
      <c r="G112" s="448">
        <f>SUMIF('Non-Core P&amp;L'!$B:$B,'Non-Core Opex Proj.'!$C112,'Non-Core P&amp;L'!$BN:$BN)</f>
        <v>0</v>
      </c>
      <c r="H112" s="448">
        <f>SUMIF('Non-Core P&amp;L'!$B:$B,'Non-Core Opex Proj.'!$C112,'Non-Core P&amp;L'!AJ:AJ)</f>
        <v>0</v>
      </c>
      <c r="I112" s="448">
        <f>SUMIF('Non-Core P&amp;L'!$B:$B,'Non-Core Opex Proj.'!$C112,'Non-Core P&amp;L'!T:T)</f>
        <v>0</v>
      </c>
      <c r="J112" s="448"/>
      <c r="K112" s="448"/>
      <c r="L112" s="448"/>
      <c r="M112" s="448"/>
      <c r="N112" s="448"/>
      <c r="O112" s="448"/>
      <c r="P112" s="448"/>
    </row>
    <row r="113" spans="1:16" outlineLevel="1">
      <c r="A113" s="438" t="s">
        <v>327</v>
      </c>
      <c r="B113" s="1071" t="s">
        <v>747</v>
      </c>
      <c r="C113" s="440">
        <v>65202000</v>
      </c>
      <c r="D113" s="320" t="s">
        <v>698</v>
      </c>
      <c r="E113" s="447" t="s">
        <v>748</v>
      </c>
      <c r="F113" s="442">
        <f>SUMIF('Non-Core P&amp;L'!$B:$B,'Non-Core Opex Proj.'!$C113,'Non-Core P&amp;L'!$CS:$CS)</f>
        <v>0</v>
      </c>
      <c r="G113" s="448">
        <f>SUMIF('Non-Core P&amp;L'!$B:$B,'Non-Core Opex Proj.'!$C113,'Non-Core P&amp;L'!$BN:$BN)</f>
        <v>0</v>
      </c>
      <c r="H113" s="448">
        <f>SUMIF('Non-Core P&amp;L'!$B:$B,'Non-Core Opex Proj.'!$C113,'Non-Core P&amp;L'!AJ:AJ)</f>
        <v>0</v>
      </c>
      <c r="I113" s="448">
        <f>SUMIF('Non-Core P&amp;L'!$B:$B,'Non-Core Opex Proj.'!$C113,'Non-Core P&amp;L'!T:T)</f>
        <v>0</v>
      </c>
      <c r="J113" s="448"/>
      <c r="K113" s="448"/>
      <c r="L113" s="448"/>
      <c r="M113" s="448"/>
      <c r="N113" s="448"/>
      <c r="O113" s="448"/>
      <c r="P113" s="448"/>
    </row>
    <row r="114" spans="1:16" outlineLevel="1">
      <c r="A114" s="438" t="s">
        <v>327</v>
      </c>
      <c r="B114" s="1071" t="s">
        <v>747</v>
      </c>
      <c r="C114" s="440">
        <v>65211000</v>
      </c>
      <c r="D114" s="320" t="s">
        <v>699</v>
      </c>
      <c r="E114" s="447" t="s">
        <v>748</v>
      </c>
      <c r="F114" s="442">
        <f>SUMIF('Non-Core P&amp;L'!$B:$B,'Non-Core Opex Proj.'!$C114,'Non-Core P&amp;L'!$CS:$CS)</f>
        <v>0</v>
      </c>
      <c r="G114" s="448">
        <f>SUMIF('Non-Core P&amp;L'!$B:$B,'Non-Core Opex Proj.'!$C114,'Non-Core P&amp;L'!$BN:$BN)</f>
        <v>0</v>
      </c>
      <c r="H114" s="448">
        <f>SUMIF('Non-Core P&amp;L'!$B:$B,'Non-Core Opex Proj.'!$C114,'Non-Core P&amp;L'!AJ:AJ)</f>
        <v>0</v>
      </c>
      <c r="I114" s="448">
        <f>SUMIF('Non-Core P&amp;L'!$B:$B,'Non-Core Opex Proj.'!$C114,'Non-Core P&amp;L'!T:T)</f>
        <v>0</v>
      </c>
      <c r="J114" s="448"/>
      <c r="K114" s="448"/>
      <c r="L114" s="448"/>
      <c r="M114" s="448"/>
      <c r="N114" s="448"/>
      <c r="O114" s="448"/>
      <c r="P114" s="448"/>
    </row>
    <row r="115" spans="1:16" outlineLevel="1">
      <c r="A115" s="438" t="s">
        <v>327</v>
      </c>
      <c r="B115" s="1071" t="s">
        <v>747</v>
      </c>
      <c r="C115" s="440">
        <v>65212000</v>
      </c>
      <c r="D115" s="320" t="s">
        <v>700</v>
      </c>
      <c r="E115" s="447" t="s">
        <v>748</v>
      </c>
      <c r="F115" s="442">
        <f>SUMIF('Non-Core P&amp;L'!$B:$B,'Non-Core Opex Proj.'!$C115,'Non-Core P&amp;L'!$CS:$CS)</f>
        <v>0</v>
      </c>
      <c r="G115" s="448">
        <f>SUMIF('Non-Core P&amp;L'!$B:$B,'Non-Core Opex Proj.'!$C115,'Non-Core P&amp;L'!$BN:$BN)</f>
        <v>0</v>
      </c>
      <c r="H115" s="448">
        <f>SUMIF('Non-Core P&amp;L'!$B:$B,'Non-Core Opex Proj.'!$C115,'Non-Core P&amp;L'!AJ:AJ)</f>
        <v>0</v>
      </c>
      <c r="I115" s="448">
        <f>SUMIF('Non-Core P&amp;L'!$B:$B,'Non-Core Opex Proj.'!$C115,'Non-Core P&amp;L'!T:T)</f>
        <v>0</v>
      </c>
      <c r="J115" s="448"/>
      <c r="K115" s="448"/>
      <c r="L115" s="448"/>
      <c r="M115" s="448"/>
      <c r="N115" s="448"/>
      <c r="O115" s="448"/>
      <c r="P115" s="448"/>
    </row>
    <row r="116" spans="1:16" outlineLevel="1">
      <c r="A116" s="438" t="s">
        <v>327</v>
      </c>
      <c r="B116" s="1071" t="s">
        <v>747</v>
      </c>
      <c r="C116" s="440">
        <v>65213000</v>
      </c>
      <c r="D116" s="320" t="s">
        <v>701</v>
      </c>
      <c r="E116" s="447" t="s">
        <v>748</v>
      </c>
      <c r="F116" s="442">
        <f>SUMIF('Non-Core P&amp;L'!$B:$B,'Non-Core Opex Proj.'!$C116,'Non-Core P&amp;L'!$CS:$CS)</f>
        <v>0</v>
      </c>
      <c r="G116" s="448">
        <f>SUMIF('Non-Core P&amp;L'!$B:$B,'Non-Core Opex Proj.'!$C116,'Non-Core P&amp;L'!$BN:$BN)</f>
        <v>0</v>
      </c>
      <c r="H116" s="448">
        <f>SUMIF('Non-Core P&amp;L'!$B:$B,'Non-Core Opex Proj.'!$C116,'Non-Core P&amp;L'!AJ:AJ)</f>
        <v>0</v>
      </c>
      <c r="I116" s="448">
        <f>SUMIF('Non-Core P&amp;L'!$B:$B,'Non-Core Opex Proj.'!$C116,'Non-Core P&amp;L'!T:T)</f>
        <v>0</v>
      </c>
      <c r="J116" s="448"/>
      <c r="K116" s="448"/>
      <c r="L116" s="448"/>
      <c r="M116" s="448"/>
      <c r="N116" s="448"/>
      <c r="O116" s="448"/>
      <c r="P116" s="448"/>
    </row>
    <row r="117" spans="1:16" outlineLevel="1">
      <c r="A117" s="438" t="s">
        <v>327</v>
      </c>
      <c r="B117" s="1071" t="s">
        <v>747</v>
      </c>
      <c r="C117" s="440">
        <v>65214000</v>
      </c>
      <c r="D117" s="320" t="s">
        <v>702</v>
      </c>
      <c r="E117" s="447" t="s">
        <v>748</v>
      </c>
      <c r="F117" s="442">
        <f>SUMIF('Non-Core P&amp;L'!$B:$B,'Non-Core Opex Proj.'!$C117,'Non-Core P&amp;L'!$CS:$CS)</f>
        <v>0</v>
      </c>
      <c r="G117" s="448">
        <f>SUMIF('Non-Core P&amp;L'!$B:$B,'Non-Core Opex Proj.'!$C117,'Non-Core P&amp;L'!$BN:$BN)</f>
        <v>0</v>
      </c>
      <c r="H117" s="448">
        <f>SUMIF('Non-Core P&amp;L'!$B:$B,'Non-Core Opex Proj.'!$C117,'Non-Core P&amp;L'!AJ:AJ)</f>
        <v>0</v>
      </c>
      <c r="I117" s="448">
        <f>SUMIF('Non-Core P&amp;L'!$B:$B,'Non-Core Opex Proj.'!$C117,'Non-Core P&amp;L'!T:T)</f>
        <v>0</v>
      </c>
      <c r="J117" s="448"/>
      <c r="K117" s="448"/>
      <c r="L117" s="448"/>
      <c r="M117" s="448"/>
      <c r="N117" s="448"/>
      <c r="O117" s="448"/>
      <c r="P117" s="448"/>
    </row>
    <row r="118" spans="1:16" outlineLevel="1">
      <c r="A118" s="438" t="s">
        <v>327</v>
      </c>
      <c r="B118" s="1071" t="s">
        <v>747</v>
      </c>
      <c r="C118" s="440">
        <v>65215000</v>
      </c>
      <c r="D118" s="320" t="s">
        <v>703</v>
      </c>
      <c r="E118" s="447" t="s">
        <v>748</v>
      </c>
      <c r="F118" s="442">
        <f>SUMIF('Non-Core P&amp;L'!$B:$B,'Non-Core Opex Proj.'!$C118,'Non-Core P&amp;L'!$CS:$CS)</f>
        <v>0</v>
      </c>
      <c r="G118" s="448">
        <f>SUMIF('Non-Core P&amp;L'!$B:$B,'Non-Core Opex Proj.'!$C118,'Non-Core P&amp;L'!$BN:$BN)</f>
        <v>0</v>
      </c>
      <c r="H118" s="448">
        <f>SUMIF('Non-Core P&amp;L'!$B:$B,'Non-Core Opex Proj.'!$C118,'Non-Core P&amp;L'!AJ:AJ)</f>
        <v>0</v>
      </c>
      <c r="I118" s="448">
        <f>SUMIF('Non-Core P&amp;L'!$B:$B,'Non-Core Opex Proj.'!$C118,'Non-Core P&amp;L'!T:T)</f>
        <v>0</v>
      </c>
      <c r="J118" s="448"/>
      <c r="K118" s="448"/>
      <c r="L118" s="448"/>
      <c r="M118" s="448"/>
      <c r="N118" s="448"/>
      <c r="O118" s="448"/>
      <c r="P118" s="448"/>
    </row>
    <row r="119" spans="1:16" outlineLevel="1">
      <c r="A119" s="438" t="s">
        <v>327</v>
      </c>
      <c r="B119" s="1071" t="s">
        <v>747</v>
      </c>
      <c r="C119" s="440">
        <v>65216000</v>
      </c>
      <c r="D119" s="320" t="s">
        <v>704</v>
      </c>
      <c r="E119" s="447" t="s">
        <v>748</v>
      </c>
      <c r="F119" s="442">
        <f>SUMIF('Non-Core P&amp;L'!$B:$B,'Non-Core Opex Proj.'!$C119,'Non-Core P&amp;L'!$CS:$CS)</f>
        <v>0</v>
      </c>
      <c r="G119" s="448">
        <f>SUMIF('Non-Core P&amp;L'!$B:$B,'Non-Core Opex Proj.'!$C119,'Non-Core P&amp;L'!$BN:$BN)</f>
        <v>0</v>
      </c>
      <c r="H119" s="448">
        <f>SUMIF('Non-Core P&amp;L'!$B:$B,'Non-Core Opex Proj.'!$C119,'Non-Core P&amp;L'!AJ:AJ)</f>
        <v>0</v>
      </c>
      <c r="I119" s="448">
        <f>SUMIF('Non-Core P&amp;L'!$B:$B,'Non-Core Opex Proj.'!$C119,'Non-Core P&amp;L'!T:T)</f>
        <v>0</v>
      </c>
      <c r="J119" s="448"/>
      <c r="K119" s="448"/>
      <c r="L119" s="448"/>
      <c r="M119" s="448"/>
      <c r="N119" s="448"/>
      <c r="O119" s="448"/>
      <c r="P119" s="448"/>
    </row>
    <row r="120" spans="1:16" outlineLevel="1">
      <c r="A120" s="438" t="s">
        <v>327</v>
      </c>
      <c r="B120" s="1071" t="s">
        <v>747</v>
      </c>
      <c r="C120" s="440">
        <v>65217000</v>
      </c>
      <c r="D120" s="320" t="s">
        <v>705</v>
      </c>
      <c r="E120" s="447" t="s">
        <v>748</v>
      </c>
      <c r="F120" s="442">
        <f>SUMIF('Non-Core P&amp;L'!$B:$B,'Non-Core Opex Proj.'!$C120,'Non-Core P&amp;L'!$CS:$CS)</f>
        <v>0</v>
      </c>
      <c r="G120" s="448">
        <f>SUMIF('Non-Core P&amp;L'!$B:$B,'Non-Core Opex Proj.'!$C120,'Non-Core P&amp;L'!$BN:$BN)</f>
        <v>0</v>
      </c>
      <c r="H120" s="448">
        <f>SUMIF('Non-Core P&amp;L'!$B:$B,'Non-Core Opex Proj.'!$C120,'Non-Core P&amp;L'!AJ:AJ)</f>
        <v>0</v>
      </c>
      <c r="I120" s="448">
        <f>SUMIF('Non-Core P&amp;L'!$B:$B,'Non-Core Opex Proj.'!$C120,'Non-Core P&amp;L'!T:T)</f>
        <v>0</v>
      </c>
      <c r="J120" s="448"/>
      <c r="K120" s="448"/>
      <c r="L120" s="448"/>
      <c r="M120" s="448"/>
      <c r="N120" s="448"/>
      <c r="O120" s="448"/>
      <c r="P120" s="448"/>
    </row>
    <row r="121" spans="1:16" outlineLevel="1">
      <c r="A121" s="438" t="s">
        <v>327</v>
      </c>
      <c r="B121" s="1071" t="s">
        <v>747</v>
      </c>
      <c r="C121" s="440">
        <v>65301000</v>
      </c>
      <c r="D121" s="320" t="s">
        <v>944</v>
      </c>
      <c r="E121" s="447"/>
      <c r="F121" s="442">
        <f>SUMIF('Non-Core P&amp;L'!$B:$B,'Non-Core Opex Proj.'!$C121,'Non-Core P&amp;L'!$CS:$CS)</f>
        <v>0</v>
      </c>
      <c r="G121" s="448">
        <f>SUMIF('Non-Core P&amp;L'!$B:$B,'Non-Core Opex Proj.'!$C121,'Non-Core P&amp;L'!$BN:$BN)</f>
        <v>0</v>
      </c>
      <c r="H121" s="448">
        <f>SUMIF('Non-Core P&amp;L'!$B:$B,'Non-Core Opex Proj.'!$C121,'Non-Core P&amp;L'!AJ:AJ)</f>
        <v>0</v>
      </c>
      <c r="I121" s="448">
        <f>SUMIF('Non-Core P&amp;L'!$B:$B,'Non-Core Opex Proj.'!$C121,'Non-Core P&amp;L'!T:T)</f>
        <v>0</v>
      </c>
      <c r="J121" s="448"/>
      <c r="K121" s="448"/>
      <c r="L121" s="448"/>
      <c r="M121" s="448"/>
      <c r="N121" s="448"/>
      <c r="O121" s="448"/>
      <c r="P121" s="448"/>
    </row>
    <row r="122" spans="1:16" outlineLevel="1">
      <c r="A122" s="438" t="s">
        <v>327</v>
      </c>
      <c r="B122" s="1071" t="s">
        <v>747</v>
      </c>
      <c r="C122" s="440">
        <v>65302000</v>
      </c>
      <c r="D122" s="320" t="s">
        <v>942</v>
      </c>
      <c r="E122" s="447"/>
      <c r="F122" s="442">
        <f>SUMIF('Non-Core P&amp;L'!$B:$B,'Non-Core Opex Proj.'!$C122,'Non-Core P&amp;L'!$CS:$CS)</f>
        <v>0</v>
      </c>
      <c r="G122" s="448">
        <f>SUMIF('Non-Core P&amp;L'!$B:$B,'Non-Core Opex Proj.'!$C122,'Non-Core P&amp;L'!$BN:$BN)</f>
        <v>0</v>
      </c>
      <c r="H122" s="448">
        <f>SUMIF('Non-Core P&amp;L'!$B:$B,'Non-Core Opex Proj.'!$C122,'Non-Core P&amp;L'!AJ:AJ)</f>
        <v>0</v>
      </c>
      <c r="I122" s="448">
        <f>SUMIF('Non-Core P&amp;L'!$B:$B,'Non-Core Opex Proj.'!$C122,'Non-Core P&amp;L'!T:T)</f>
        <v>0</v>
      </c>
      <c r="J122" s="448"/>
      <c r="K122" s="448"/>
      <c r="L122" s="448"/>
      <c r="M122" s="448"/>
      <c r="N122" s="448"/>
      <c r="O122" s="448"/>
      <c r="P122" s="448"/>
    </row>
    <row r="123" spans="1:16" outlineLevel="1">
      <c r="A123" s="438" t="s">
        <v>327</v>
      </c>
      <c r="B123" s="1071" t="s">
        <v>747</v>
      </c>
      <c r="C123" s="440">
        <v>65311000</v>
      </c>
      <c r="D123" s="320" t="s">
        <v>940</v>
      </c>
      <c r="E123" s="447"/>
      <c r="F123" s="442">
        <f>SUMIF('Non-Core P&amp;L'!$B:$B,'Non-Core Opex Proj.'!$C123,'Non-Core P&amp;L'!$CS:$CS)</f>
        <v>0</v>
      </c>
      <c r="G123" s="448">
        <f>SUMIF('Non-Core P&amp;L'!$B:$B,'Non-Core Opex Proj.'!$C123,'Non-Core P&amp;L'!$BN:$BN)</f>
        <v>0</v>
      </c>
      <c r="H123" s="448">
        <f>SUMIF('Non-Core P&amp;L'!$B:$B,'Non-Core Opex Proj.'!$C123,'Non-Core P&amp;L'!AJ:AJ)</f>
        <v>0</v>
      </c>
      <c r="I123" s="448">
        <f>SUMIF('Non-Core P&amp;L'!$B:$B,'Non-Core Opex Proj.'!$C123,'Non-Core P&amp;L'!T:T)</f>
        <v>0</v>
      </c>
      <c r="J123" s="448"/>
      <c r="K123" s="448"/>
      <c r="L123" s="448"/>
      <c r="M123" s="448"/>
      <c r="N123" s="448"/>
      <c r="O123" s="448"/>
      <c r="P123" s="448"/>
    </row>
    <row r="124" spans="1:16" outlineLevel="1">
      <c r="A124" s="438" t="s">
        <v>327</v>
      </c>
      <c r="B124" s="1071" t="s">
        <v>747</v>
      </c>
      <c r="C124" s="440">
        <v>65312000</v>
      </c>
      <c r="D124" s="320" t="s">
        <v>938</v>
      </c>
      <c r="E124" s="447"/>
      <c r="F124" s="442">
        <f>SUMIF('Non-Core P&amp;L'!$B:$B,'Non-Core Opex Proj.'!$C124,'Non-Core P&amp;L'!$CS:$CS)</f>
        <v>0</v>
      </c>
      <c r="G124" s="448">
        <f>SUMIF('Non-Core P&amp;L'!$B:$B,'Non-Core Opex Proj.'!$C124,'Non-Core P&amp;L'!$BN:$BN)</f>
        <v>0</v>
      </c>
      <c r="H124" s="448">
        <f>SUMIF('Non-Core P&amp;L'!$B:$B,'Non-Core Opex Proj.'!$C124,'Non-Core P&amp;L'!AJ:AJ)</f>
        <v>0</v>
      </c>
      <c r="I124" s="448">
        <f>SUMIF('Non-Core P&amp;L'!$B:$B,'Non-Core Opex Proj.'!$C124,'Non-Core P&amp;L'!T:T)</f>
        <v>0</v>
      </c>
      <c r="J124" s="448"/>
      <c r="K124" s="448"/>
      <c r="L124" s="448"/>
      <c r="M124" s="448"/>
      <c r="N124" s="448"/>
      <c r="O124" s="448"/>
      <c r="P124" s="448"/>
    </row>
    <row r="125" spans="1:16">
      <c r="A125" s="438" t="s">
        <v>618</v>
      </c>
      <c r="B125" s="1071" t="s">
        <v>747</v>
      </c>
      <c r="C125" s="440">
        <v>66001000</v>
      </c>
      <c r="D125" s="320" t="s">
        <v>360</v>
      </c>
      <c r="E125" s="447" t="s">
        <v>748</v>
      </c>
      <c r="F125" s="442">
        <f>SUMIF('Non-Core P&amp;L'!$B:$B,'Non-Core Opex Proj.'!$C125,'Non-Core P&amp;L'!$CS:$CS)</f>
        <v>0</v>
      </c>
      <c r="G125" s="448">
        <f>SUMIF('Non-Core P&amp;L'!$B:$B,'Non-Core Opex Proj.'!$C125,'Non-Core P&amp;L'!$BN:$BN)</f>
        <v>0</v>
      </c>
      <c r="H125" s="448">
        <f>SUMIF('Non-Core P&amp;L'!$B:$B,'Non-Core Opex Proj.'!$C125,'Non-Core P&amp;L'!AJ:AJ)</f>
        <v>0</v>
      </c>
      <c r="I125" s="448">
        <f>SUMIF('Non-Core P&amp;L'!$B:$B,'Non-Core Opex Proj.'!$C125,'Non-Core P&amp;L'!T:T)</f>
        <v>0</v>
      </c>
      <c r="J125" s="448"/>
      <c r="K125" s="448"/>
      <c r="L125" s="448"/>
      <c r="M125" s="448"/>
      <c r="N125" s="448"/>
      <c r="O125" s="448"/>
      <c r="P125" s="448"/>
    </row>
    <row r="126" spans="1:16" outlineLevel="1">
      <c r="A126" s="438" t="s">
        <v>618</v>
      </c>
      <c r="B126" s="1071" t="s">
        <v>747</v>
      </c>
      <c r="C126" s="440">
        <v>66002000</v>
      </c>
      <c r="D126" s="320" t="s">
        <v>706</v>
      </c>
      <c r="E126" s="447" t="s">
        <v>748</v>
      </c>
      <c r="F126" s="442">
        <f>SUMIF('Non-Core P&amp;L'!$B:$B,'Non-Core Opex Proj.'!$C126,'Non-Core P&amp;L'!$CS:$CS)</f>
        <v>0</v>
      </c>
      <c r="G126" s="448">
        <f>SUMIF('Non-Core P&amp;L'!$B:$B,'Non-Core Opex Proj.'!$C126,'Non-Core P&amp;L'!$BN:$BN)</f>
        <v>0</v>
      </c>
      <c r="H126" s="448">
        <f>SUMIF('Non-Core P&amp;L'!$B:$B,'Non-Core Opex Proj.'!$C126,'Non-Core P&amp;L'!AJ:AJ)</f>
        <v>0</v>
      </c>
      <c r="I126" s="448">
        <f>SUMIF('Non-Core P&amp;L'!$B:$B,'Non-Core Opex Proj.'!$C126,'Non-Core P&amp;L'!T:T)</f>
        <v>0</v>
      </c>
      <c r="J126" s="448"/>
      <c r="K126" s="448"/>
      <c r="L126" s="448"/>
      <c r="M126" s="448"/>
      <c r="N126" s="448"/>
      <c r="O126" s="448"/>
      <c r="P126" s="448"/>
    </row>
    <row r="127" spans="1:16" outlineLevel="1">
      <c r="A127" s="438" t="s">
        <v>618</v>
      </c>
      <c r="B127" s="1071" t="s">
        <v>747</v>
      </c>
      <c r="C127" s="440">
        <v>66003000</v>
      </c>
      <c r="D127" s="320" t="s">
        <v>707</v>
      </c>
      <c r="E127" s="447" t="s">
        <v>748</v>
      </c>
      <c r="F127" s="442">
        <f>SUMIF('Non-Core P&amp;L'!$B:$B,'Non-Core Opex Proj.'!$C127,'Non-Core P&amp;L'!$CS:$CS)</f>
        <v>0</v>
      </c>
      <c r="G127" s="448">
        <f>SUMIF('Non-Core P&amp;L'!$B:$B,'Non-Core Opex Proj.'!$C127,'Non-Core P&amp;L'!$BN:$BN)</f>
        <v>0</v>
      </c>
      <c r="H127" s="448">
        <f>SUMIF('Non-Core P&amp;L'!$B:$B,'Non-Core Opex Proj.'!$C127,'Non-Core P&amp;L'!AJ:AJ)</f>
        <v>0</v>
      </c>
      <c r="I127" s="448">
        <f>SUMIF('Non-Core P&amp;L'!$B:$B,'Non-Core Opex Proj.'!$C127,'Non-Core P&amp;L'!T:T)</f>
        <v>0</v>
      </c>
      <c r="J127" s="448"/>
      <c r="K127" s="448"/>
      <c r="L127" s="448"/>
      <c r="M127" s="448"/>
      <c r="N127" s="448"/>
      <c r="O127" s="448"/>
      <c r="P127" s="448"/>
    </row>
    <row r="128" spans="1:16">
      <c r="A128" s="438" t="s">
        <v>328</v>
      </c>
      <c r="B128" s="1071" t="s">
        <v>747</v>
      </c>
      <c r="C128" s="440">
        <v>67001000</v>
      </c>
      <c r="D128" s="320" t="s">
        <v>361</v>
      </c>
      <c r="E128" s="447" t="s">
        <v>748</v>
      </c>
      <c r="F128" s="442">
        <f>SUMIF('Non-Core P&amp;L'!$B:$B,'Non-Core Opex Proj.'!$C128,'Non-Core P&amp;L'!$CS:$CS)</f>
        <v>0</v>
      </c>
      <c r="G128" s="448">
        <f>SUMIF('Non-Core P&amp;L'!$B:$B,'Non-Core Opex Proj.'!$C128,'Non-Core P&amp;L'!$BN:$BN)</f>
        <v>0</v>
      </c>
      <c r="H128" s="448">
        <f>SUMIF('Non-Core P&amp;L'!$B:$B,'Non-Core Opex Proj.'!$C128,'Non-Core P&amp;L'!AJ:AJ)</f>
        <v>0</v>
      </c>
      <c r="I128" s="448">
        <f>SUMIF('Non-Core P&amp;L'!$B:$B,'Non-Core Opex Proj.'!$C128,'Non-Core P&amp;L'!T:T)</f>
        <v>0</v>
      </c>
      <c r="J128" s="448"/>
      <c r="K128" s="448"/>
      <c r="L128" s="448"/>
      <c r="M128" s="448"/>
      <c r="N128" s="448"/>
      <c r="O128" s="448"/>
      <c r="P128" s="448"/>
    </row>
    <row r="129" spans="1:21">
      <c r="A129" s="438" t="s">
        <v>328</v>
      </c>
      <c r="B129" s="1071" t="s">
        <v>747</v>
      </c>
      <c r="C129" s="440">
        <v>67002000</v>
      </c>
      <c r="D129" s="320" t="s">
        <v>708</v>
      </c>
      <c r="E129" s="447" t="s">
        <v>748</v>
      </c>
      <c r="F129" s="442">
        <f>SUMIF('Non-Core P&amp;L'!$B:$B,'Non-Core Opex Proj.'!$C129,'Non-Core P&amp;L'!$CS:$CS)</f>
        <v>0</v>
      </c>
      <c r="G129" s="448">
        <f>SUMIF('Non-Core P&amp;L'!$B:$B,'Non-Core Opex Proj.'!$C129,'Non-Core P&amp;L'!$BN:$BN)</f>
        <v>0</v>
      </c>
      <c r="H129" s="448">
        <f>SUMIF('Non-Core P&amp;L'!$B:$B,'Non-Core Opex Proj.'!$C129,'Non-Core P&amp;L'!AJ:AJ)</f>
        <v>0</v>
      </c>
      <c r="I129" s="448">
        <f>SUMIF('Non-Core P&amp;L'!$B:$B,'Non-Core Opex Proj.'!$C129,'Non-Core P&amp;L'!T:T)</f>
        <v>0</v>
      </c>
      <c r="J129" s="448"/>
      <c r="K129" s="448"/>
      <c r="L129" s="448"/>
      <c r="M129" s="448"/>
      <c r="N129" s="448"/>
      <c r="O129" s="448"/>
      <c r="P129" s="448"/>
    </row>
    <row r="130" spans="1:21" outlineLevel="1">
      <c r="A130" s="438" t="s">
        <v>619</v>
      </c>
      <c r="B130" s="1071" t="s">
        <v>109</v>
      </c>
      <c r="C130" s="440">
        <v>60206000</v>
      </c>
      <c r="D130" s="320" t="s">
        <v>709</v>
      </c>
      <c r="E130" s="441"/>
      <c r="F130" s="442">
        <f>SUMIF('Non-Core P&amp;L'!$B:$B,'Non-Core Opex Proj.'!$C130,'Non-Core P&amp;L'!$CS:$CS)</f>
        <v>1082129.8599999999</v>
      </c>
      <c r="G130" s="442">
        <f>SUMIF('Non-Core P&amp;L'!$B:$B,'Non-Core Opex Proj.'!$C130,'Non-Core P&amp;L'!$BN:$BN)</f>
        <v>379533.5</v>
      </c>
      <c r="H130" s="442">
        <f>SUMIF('Non-Core P&amp;L'!$B:$B,'Non-Core Opex Proj.'!$C130,'Non-Core P&amp;L'!AJ:AJ)</f>
        <v>260000</v>
      </c>
      <c r="I130" s="442">
        <f>SUMIF('Non-Core P&amp;L'!$B:$B,'Non-Core Opex Proj.'!$C130,'Non-Core P&amp;L'!T:T)</f>
        <v>0</v>
      </c>
      <c r="J130" s="442"/>
      <c r="K130" s="442"/>
      <c r="L130" s="442"/>
      <c r="M130" s="442"/>
      <c r="N130" s="442"/>
      <c r="O130" s="442"/>
      <c r="P130" s="442"/>
    </row>
    <row r="131" spans="1:21">
      <c r="A131" s="449" t="s">
        <v>612</v>
      </c>
      <c r="B131" s="1072" t="s">
        <v>749</v>
      </c>
      <c r="C131" s="451">
        <v>60404200</v>
      </c>
      <c r="D131" s="320" t="s">
        <v>613</v>
      </c>
      <c r="E131" s="441" t="s">
        <v>746</v>
      </c>
      <c r="F131" s="442">
        <f>SUMIF('Non-Core P&amp;L'!$B:$B,'Non-Core Opex Proj.'!$C131,'Non-Core P&amp;L'!$CS:$CS)</f>
        <v>0</v>
      </c>
      <c r="G131" s="442">
        <f>SUMIF('Non-Core P&amp;L'!$B:$B,'Non-Core Opex Proj.'!$C131,'Non-Core P&amp;L'!$BN:$BN)</f>
        <v>6100262.3100000005</v>
      </c>
      <c r="H131" s="442">
        <f>SUMIF('Non-Core P&amp;L'!$B:$B,'Non-Core Opex Proj.'!$C131,'Non-Core P&amp;L'!AJ:AJ)</f>
        <v>1201393.69</v>
      </c>
      <c r="I131" s="442">
        <f>SUMIF('Non-Core P&amp;L'!$B:$B,'Non-Core Opex Proj.'!$C131,'Non-Core P&amp;L'!T:T)</f>
        <v>0</v>
      </c>
      <c r="J131" s="442"/>
      <c r="K131" s="442"/>
      <c r="L131" s="442"/>
      <c r="M131" s="442"/>
      <c r="N131" s="442"/>
      <c r="O131" s="442"/>
      <c r="P131" s="442"/>
    </row>
    <row r="132" spans="1:21">
      <c r="A132" s="449" t="s">
        <v>810</v>
      </c>
      <c r="B132" s="1071" t="s">
        <v>109</v>
      </c>
      <c r="C132" s="439">
        <v>60221000</v>
      </c>
      <c r="D132" s="320" t="s">
        <v>811</v>
      </c>
      <c r="E132" s="444" t="s">
        <v>742</v>
      </c>
      <c r="F132" s="442">
        <f>SUMIF('Non-Core P&amp;L'!$B:$B,'Non-Core Opex Proj.'!$C132,'Non-Core P&amp;L'!$CS:$CS)</f>
        <v>0</v>
      </c>
      <c r="G132" s="442">
        <f>SUMIF('Non-Core P&amp;L'!$B:$B,'Non-Core Opex Proj.'!$C132,'Non-Core P&amp;L'!$BN:$BN)</f>
        <v>0</v>
      </c>
      <c r="H132" s="442">
        <f>SUMIF('Non-Core P&amp;L'!$B:$B,'Non-Core Opex Proj.'!$C132,'Non-Core P&amp;L'!AJ:AJ)</f>
        <v>0</v>
      </c>
      <c r="I132" s="442">
        <f>SUMIF('Non-Core P&amp;L'!$B:$B,'Non-Core Opex Proj.'!$C132,'Non-Core P&amp;L'!T:T)</f>
        <v>0</v>
      </c>
      <c r="J132" s="442"/>
      <c r="K132" s="445"/>
      <c r="L132" s="445"/>
      <c r="M132" s="445"/>
      <c r="N132" s="445"/>
      <c r="O132" s="445"/>
      <c r="P132" s="445"/>
    </row>
    <row r="133" spans="1:21">
      <c r="A133" s="210" t="s">
        <v>619</v>
      </c>
      <c r="B133" s="494" t="s">
        <v>109</v>
      </c>
      <c r="C133" s="176" t="s">
        <v>1101</v>
      </c>
      <c r="D133" s="320" t="s">
        <v>1099</v>
      </c>
      <c r="E133" s="444"/>
      <c r="F133" s="442">
        <f>SUMIF('Non-Core P&amp;L'!$B:$B,'Non-Core Opex Proj.'!$C133,'Non-Core P&amp;L'!$CS:$CS)</f>
        <v>0</v>
      </c>
      <c r="G133" s="442">
        <f>SUMIF('Non-Core P&amp;L'!$B:$B,'Non-Core Opex Proj.'!$C133,'Non-Core P&amp;L'!$BN:$BN)</f>
        <v>0</v>
      </c>
      <c r="H133" s="442">
        <f>SUMIF('Non-Core P&amp;L'!$B:$B,'Non-Core Opex Proj.'!$C133,'Non-Core P&amp;L'!AJ:AJ)</f>
        <v>0</v>
      </c>
      <c r="I133" s="442">
        <f>SUMIF('Non-Core P&amp;L'!$B:$B,'Non-Core Opex Proj.'!$C133,'Non-Core P&amp;L'!T:T)</f>
        <v>0</v>
      </c>
      <c r="J133" s="442"/>
      <c r="K133" s="445"/>
      <c r="L133" s="445"/>
      <c r="M133" s="445"/>
      <c r="N133" s="445"/>
      <c r="O133" s="445"/>
      <c r="P133" s="445"/>
    </row>
    <row r="134" spans="1:21">
      <c r="F134" s="432">
        <v>0</v>
      </c>
      <c r="G134" s="442"/>
      <c r="H134" s="442"/>
      <c r="I134" s="442"/>
      <c r="J134" s="442"/>
      <c r="K134" s="442"/>
      <c r="L134" s="442"/>
      <c r="M134" s="442"/>
      <c r="N134" s="442"/>
      <c r="O134" s="442"/>
      <c r="P134" s="442"/>
    </row>
    <row r="135" spans="1:21" s="437" customFormat="1">
      <c r="C135" s="435"/>
      <c r="E135" s="435"/>
      <c r="F135" s="452">
        <f t="shared" ref="F135:P135" si="0">SUM(F4:F134)</f>
        <v>70876003.350000024</v>
      </c>
      <c r="G135" s="453">
        <f t="shared" si="0"/>
        <v>72901058.354269713</v>
      </c>
      <c r="H135" s="453">
        <f t="shared" si="0"/>
        <v>83499629.179999992</v>
      </c>
      <c r="I135" s="453">
        <f t="shared" si="0"/>
        <v>0</v>
      </c>
      <c r="J135" s="453">
        <f t="shared" si="0"/>
        <v>0</v>
      </c>
      <c r="K135" s="453">
        <f t="shared" si="0"/>
        <v>0</v>
      </c>
      <c r="L135" s="453">
        <f t="shared" si="0"/>
        <v>0</v>
      </c>
      <c r="M135" s="453">
        <f t="shared" si="0"/>
        <v>0</v>
      </c>
      <c r="N135" s="453">
        <f t="shared" si="0"/>
        <v>0</v>
      </c>
      <c r="O135" s="453">
        <f t="shared" si="0"/>
        <v>0</v>
      </c>
      <c r="P135" s="453">
        <f t="shared" si="0"/>
        <v>0</v>
      </c>
      <c r="U135" s="636"/>
    </row>
    <row r="136" spans="1:21">
      <c r="G136" s="442"/>
      <c r="H136" s="442"/>
      <c r="I136" s="442"/>
      <c r="J136" s="442"/>
      <c r="K136" s="442"/>
      <c r="L136" s="442"/>
      <c r="M136" s="442"/>
      <c r="N136" s="442"/>
      <c r="O136" s="442"/>
      <c r="P136" s="442"/>
    </row>
    <row r="137" spans="1:21">
      <c r="F137" s="442">
        <f>F135-'Non-Core P&amp;L'!$CS$160</f>
        <v>0</v>
      </c>
      <c r="G137" s="442">
        <f>G135-'Non-Core P&amp;L'!$BN$160</f>
        <v>0</v>
      </c>
      <c r="H137" s="442">
        <f>H135-'Non-Core P&amp;L'!$AX$160</f>
        <v>-7187633.4276358634</v>
      </c>
      <c r="I137" s="442"/>
      <c r="J137" s="442"/>
      <c r="K137" s="442"/>
      <c r="L137" s="442"/>
      <c r="M137" s="442"/>
      <c r="N137" s="442"/>
      <c r="O137" s="442"/>
      <c r="P137" s="442"/>
    </row>
    <row r="138" spans="1:21">
      <c r="B138" s="432" t="s">
        <v>750</v>
      </c>
      <c r="G138" s="442"/>
      <c r="H138" s="442"/>
      <c r="I138" s="442"/>
      <c r="J138" s="442"/>
      <c r="K138" s="442"/>
      <c r="L138" s="442"/>
      <c r="M138" s="442"/>
      <c r="N138" s="442"/>
      <c r="O138" s="442"/>
      <c r="P138" s="442"/>
    </row>
    <row r="139" spans="1:21">
      <c r="B139" s="450" t="s">
        <v>1297</v>
      </c>
      <c r="F139" s="461">
        <f t="shared" ref="F139:P149" si="1">SUMIF($B$4:$B$134,$B139,F$4:F$134)</f>
        <v>2295486.23</v>
      </c>
      <c r="G139" s="461">
        <f t="shared" si="1"/>
        <v>1908969.9937837839</v>
      </c>
      <c r="H139" s="461">
        <f t="shared" si="1"/>
        <v>488229.36000000016</v>
      </c>
      <c r="I139" s="461">
        <f t="shared" si="1"/>
        <v>0</v>
      </c>
      <c r="J139" s="461">
        <f t="shared" si="1"/>
        <v>0</v>
      </c>
      <c r="K139" s="461">
        <f t="shared" si="1"/>
        <v>0</v>
      </c>
      <c r="L139" s="461">
        <f t="shared" si="1"/>
        <v>0</v>
      </c>
      <c r="M139" s="461">
        <f t="shared" si="1"/>
        <v>0</v>
      </c>
      <c r="N139" s="461">
        <f t="shared" si="1"/>
        <v>0</v>
      </c>
      <c r="O139" s="461">
        <f t="shared" si="1"/>
        <v>0</v>
      </c>
      <c r="P139" s="461">
        <f t="shared" si="1"/>
        <v>0</v>
      </c>
    </row>
    <row r="140" spans="1:21">
      <c r="B140" s="450" t="s">
        <v>1298</v>
      </c>
      <c r="F140" s="461">
        <f t="shared" si="1"/>
        <v>32791983.949999999</v>
      </c>
      <c r="G140" s="461">
        <f t="shared" si="1"/>
        <v>32531099.32</v>
      </c>
      <c r="H140" s="461">
        <f t="shared" si="1"/>
        <v>26503545.280000001</v>
      </c>
      <c r="I140" s="461">
        <f t="shared" si="1"/>
        <v>0</v>
      </c>
      <c r="J140" s="461">
        <f t="shared" si="1"/>
        <v>0</v>
      </c>
      <c r="K140" s="461">
        <f t="shared" si="1"/>
        <v>0</v>
      </c>
      <c r="L140" s="461">
        <f t="shared" si="1"/>
        <v>0</v>
      </c>
      <c r="M140" s="461">
        <f t="shared" si="1"/>
        <v>0</v>
      </c>
      <c r="N140" s="461">
        <f t="shared" si="1"/>
        <v>0</v>
      </c>
      <c r="O140" s="461">
        <f t="shared" si="1"/>
        <v>0</v>
      </c>
      <c r="P140" s="461">
        <f t="shared" si="1"/>
        <v>0</v>
      </c>
    </row>
    <row r="141" spans="1:21">
      <c r="B141" s="450" t="s">
        <v>103</v>
      </c>
      <c r="F141" s="461">
        <f t="shared" si="1"/>
        <v>1285903.31</v>
      </c>
      <c r="G141" s="461">
        <f t="shared" si="1"/>
        <v>1281426.1664162946</v>
      </c>
      <c r="H141" s="461">
        <f t="shared" si="1"/>
        <v>1108211.6000000001</v>
      </c>
      <c r="I141" s="461">
        <f t="shared" si="1"/>
        <v>0</v>
      </c>
      <c r="J141" s="461">
        <f t="shared" si="1"/>
        <v>0</v>
      </c>
      <c r="K141" s="461">
        <f t="shared" si="1"/>
        <v>0</v>
      </c>
      <c r="L141" s="461">
        <f t="shared" si="1"/>
        <v>0</v>
      </c>
      <c r="M141" s="461">
        <f t="shared" si="1"/>
        <v>0</v>
      </c>
      <c r="N141" s="461">
        <f t="shared" si="1"/>
        <v>0</v>
      </c>
      <c r="O141" s="461">
        <f t="shared" si="1"/>
        <v>0</v>
      </c>
      <c r="P141" s="461">
        <f t="shared" si="1"/>
        <v>0</v>
      </c>
    </row>
    <row r="142" spans="1:21">
      <c r="B142" s="450" t="s">
        <v>104</v>
      </c>
      <c r="F142" s="461">
        <f t="shared" si="1"/>
        <v>1193525.1199999996</v>
      </c>
      <c r="G142" s="461">
        <f t="shared" si="1"/>
        <v>500759</v>
      </c>
      <c r="H142" s="461">
        <f t="shared" si="1"/>
        <v>1001520</v>
      </c>
      <c r="I142" s="461">
        <f t="shared" si="1"/>
        <v>0</v>
      </c>
      <c r="J142" s="461">
        <f t="shared" si="1"/>
        <v>0</v>
      </c>
      <c r="K142" s="461">
        <f t="shared" si="1"/>
        <v>0</v>
      </c>
      <c r="L142" s="461">
        <f t="shared" si="1"/>
        <v>0</v>
      </c>
      <c r="M142" s="461">
        <f t="shared" si="1"/>
        <v>0</v>
      </c>
      <c r="N142" s="461">
        <f t="shared" si="1"/>
        <v>0</v>
      </c>
      <c r="O142" s="461">
        <f t="shared" si="1"/>
        <v>0</v>
      </c>
      <c r="P142" s="461">
        <f t="shared" si="1"/>
        <v>0</v>
      </c>
    </row>
    <row r="143" spans="1:21">
      <c r="B143" s="450" t="s">
        <v>1299</v>
      </c>
      <c r="F143" s="461">
        <f t="shared" si="1"/>
        <v>5700000</v>
      </c>
      <c r="G143" s="461">
        <f t="shared" si="1"/>
        <v>0</v>
      </c>
      <c r="H143" s="461">
        <f t="shared" si="1"/>
        <v>5700000</v>
      </c>
      <c r="I143" s="461">
        <f t="shared" si="1"/>
        <v>0</v>
      </c>
      <c r="J143" s="461">
        <f t="shared" si="1"/>
        <v>0</v>
      </c>
      <c r="K143" s="461">
        <f t="shared" si="1"/>
        <v>0</v>
      </c>
      <c r="L143" s="461">
        <f t="shared" si="1"/>
        <v>0</v>
      </c>
      <c r="M143" s="461">
        <f t="shared" si="1"/>
        <v>0</v>
      </c>
      <c r="N143" s="461">
        <f t="shared" si="1"/>
        <v>0</v>
      </c>
      <c r="O143" s="461">
        <f t="shared" si="1"/>
        <v>0</v>
      </c>
      <c r="P143" s="461">
        <f t="shared" si="1"/>
        <v>0</v>
      </c>
    </row>
    <row r="144" spans="1:21">
      <c r="B144" s="450" t="s">
        <v>1453</v>
      </c>
      <c r="F144" s="461">
        <f t="shared" si="1"/>
        <v>2728355.6900000004</v>
      </c>
      <c r="G144" s="461">
        <f t="shared" si="1"/>
        <v>2482143.1541666696</v>
      </c>
      <c r="H144" s="461">
        <f t="shared" si="1"/>
        <v>2208643.6500000004</v>
      </c>
      <c r="I144" s="461">
        <f t="shared" si="1"/>
        <v>0</v>
      </c>
      <c r="J144" s="461">
        <f t="shared" si="1"/>
        <v>0</v>
      </c>
      <c r="K144" s="461">
        <f t="shared" si="1"/>
        <v>0</v>
      </c>
      <c r="L144" s="461">
        <f t="shared" si="1"/>
        <v>0</v>
      </c>
      <c r="M144" s="461">
        <f t="shared" si="1"/>
        <v>0</v>
      </c>
      <c r="N144" s="461">
        <f t="shared" si="1"/>
        <v>0</v>
      </c>
      <c r="O144" s="461">
        <f t="shared" si="1"/>
        <v>0</v>
      </c>
      <c r="P144" s="461">
        <f t="shared" si="1"/>
        <v>0</v>
      </c>
    </row>
    <row r="145" spans="2:21">
      <c r="B145" s="450" t="s">
        <v>105</v>
      </c>
      <c r="F145" s="442">
        <f t="shared" si="1"/>
        <v>0</v>
      </c>
      <c r="G145" s="442">
        <f t="shared" si="1"/>
        <v>0</v>
      </c>
      <c r="H145" s="442">
        <f t="shared" si="1"/>
        <v>0</v>
      </c>
      <c r="I145" s="442">
        <f t="shared" si="1"/>
        <v>0</v>
      </c>
      <c r="J145" s="442">
        <f t="shared" si="1"/>
        <v>0</v>
      </c>
      <c r="K145" s="442">
        <f t="shared" si="1"/>
        <v>0</v>
      </c>
      <c r="L145" s="442">
        <f t="shared" si="1"/>
        <v>0</v>
      </c>
      <c r="M145" s="442">
        <f t="shared" si="1"/>
        <v>0</v>
      </c>
      <c r="N145" s="442">
        <f t="shared" si="1"/>
        <v>0</v>
      </c>
      <c r="O145" s="442">
        <f t="shared" si="1"/>
        <v>0</v>
      </c>
      <c r="P145" s="442">
        <f t="shared" si="1"/>
        <v>0</v>
      </c>
    </row>
    <row r="146" spans="2:21">
      <c r="B146" s="450" t="s">
        <v>106</v>
      </c>
      <c r="F146" s="461">
        <f t="shared" si="1"/>
        <v>2719224</v>
      </c>
      <c r="G146" s="461">
        <f t="shared" si="1"/>
        <v>2356493</v>
      </c>
      <c r="H146" s="461">
        <f t="shared" si="1"/>
        <v>-2081403.3099999996</v>
      </c>
      <c r="I146" s="461">
        <f t="shared" si="1"/>
        <v>0</v>
      </c>
      <c r="J146" s="461">
        <f t="shared" si="1"/>
        <v>0</v>
      </c>
      <c r="K146" s="461">
        <f t="shared" si="1"/>
        <v>0</v>
      </c>
      <c r="L146" s="461">
        <f t="shared" si="1"/>
        <v>0</v>
      </c>
      <c r="M146" s="461">
        <f t="shared" si="1"/>
        <v>0</v>
      </c>
      <c r="N146" s="461">
        <f t="shared" si="1"/>
        <v>0</v>
      </c>
      <c r="O146" s="461">
        <f t="shared" si="1"/>
        <v>0</v>
      </c>
      <c r="P146" s="461">
        <f t="shared" si="1"/>
        <v>0</v>
      </c>
    </row>
    <row r="147" spans="2:21">
      <c r="B147" s="1053" t="s">
        <v>125</v>
      </c>
      <c r="F147" s="442">
        <f t="shared" si="1"/>
        <v>9401134.1999999993</v>
      </c>
      <c r="G147" s="442">
        <f t="shared" si="1"/>
        <v>15204147.9</v>
      </c>
      <c r="H147" s="442">
        <f t="shared" si="1"/>
        <v>16529173.449999999</v>
      </c>
      <c r="I147" s="442">
        <f t="shared" si="1"/>
        <v>0</v>
      </c>
      <c r="J147" s="442">
        <f t="shared" si="1"/>
        <v>0</v>
      </c>
      <c r="K147" s="442">
        <f t="shared" si="1"/>
        <v>0</v>
      </c>
      <c r="L147" s="442">
        <f t="shared" si="1"/>
        <v>0</v>
      </c>
      <c r="M147" s="442">
        <f t="shared" si="1"/>
        <v>0</v>
      </c>
      <c r="N147" s="442">
        <f t="shared" si="1"/>
        <v>0</v>
      </c>
      <c r="O147" s="442">
        <f t="shared" si="1"/>
        <v>0</v>
      </c>
      <c r="P147" s="442">
        <f t="shared" si="1"/>
        <v>0</v>
      </c>
    </row>
    <row r="148" spans="2:21">
      <c r="B148" s="1053" t="s">
        <v>1305</v>
      </c>
      <c r="F148" s="442">
        <f t="shared" si="1"/>
        <v>1099947.9100000001</v>
      </c>
      <c r="G148" s="442">
        <f t="shared" si="1"/>
        <v>1779195.44</v>
      </c>
      <c r="H148" s="442">
        <f t="shared" si="1"/>
        <v>4815530.8899999997</v>
      </c>
      <c r="I148" s="442">
        <f t="shared" si="1"/>
        <v>0</v>
      </c>
      <c r="J148" s="442">
        <f t="shared" si="1"/>
        <v>0</v>
      </c>
      <c r="K148" s="442">
        <f t="shared" si="1"/>
        <v>0</v>
      </c>
      <c r="L148" s="442">
        <f t="shared" si="1"/>
        <v>0</v>
      </c>
      <c r="M148" s="442">
        <f t="shared" si="1"/>
        <v>0</v>
      </c>
      <c r="N148" s="442">
        <f t="shared" si="1"/>
        <v>0</v>
      </c>
      <c r="O148" s="442">
        <f t="shared" si="1"/>
        <v>0</v>
      </c>
      <c r="P148" s="442">
        <f t="shared" si="1"/>
        <v>0</v>
      </c>
    </row>
    <row r="149" spans="2:21">
      <c r="B149" s="450" t="s">
        <v>107</v>
      </c>
      <c r="F149" s="442">
        <f t="shared" si="1"/>
        <v>34611</v>
      </c>
      <c r="G149" s="442">
        <f t="shared" si="1"/>
        <v>2827651.8</v>
      </c>
      <c r="H149" s="442">
        <f t="shared" si="1"/>
        <v>2273596</v>
      </c>
      <c r="I149" s="442">
        <f t="shared" si="1"/>
        <v>0</v>
      </c>
      <c r="J149" s="442">
        <f t="shared" si="1"/>
        <v>0</v>
      </c>
      <c r="K149" s="442">
        <f t="shared" si="1"/>
        <v>0</v>
      </c>
      <c r="L149" s="442">
        <f t="shared" si="1"/>
        <v>0</v>
      </c>
      <c r="M149" s="442">
        <f t="shared" si="1"/>
        <v>0</v>
      </c>
      <c r="N149" s="442">
        <f t="shared" si="1"/>
        <v>0</v>
      </c>
      <c r="O149" s="442">
        <f t="shared" si="1"/>
        <v>0</v>
      </c>
      <c r="P149" s="442">
        <f t="shared" si="1"/>
        <v>0</v>
      </c>
    </row>
    <row r="150" spans="2:21">
      <c r="B150" s="450" t="s">
        <v>108</v>
      </c>
      <c r="F150" s="442">
        <f t="shared" ref="F150:P156" si="2">SUMIF($B$4:$B$134,$B150,F$4:F$134)</f>
        <v>4826.329999999999</v>
      </c>
      <c r="G150" s="442">
        <f t="shared" si="2"/>
        <v>5788.6766666666672</v>
      </c>
      <c r="H150" s="442">
        <f t="shared" si="2"/>
        <v>17020187.449999999</v>
      </c>
      <c r="I150" s="442">
        <f t="shared" si="2"/>
        <v>0</v>
      </c>
      <c r="J150" s="442">
        <f t="shared" si="2"/>
        <v>0</v>
      </c>
      <c r="K150" s="442">
        <f t="shared" si="2"/>
        <v>0</v>
      </c>
      <c r="L150" s="442">
        <f t="shared" si="2"/>
        <v>0</v>
      </c>
      <c r="M150" s="442">
        <f t="shared" si="2"/>
        <v>0</v>
      </c>
      <c r="N150" s="442">
        <f t="shared" si="2"/>
        <v>0</v>
      </c>
      <c r="O150" s="442">
        <f t="shared" si="2"/>
        <v>0</v>
      </c>
      <c r="P150" s="442">
        <f t="shared" si="2"/>
        <v>0</v>
      </c>
    </row>
    <row r="151" spans="2:21">
      <c r="B151" s="1053" t="s">
        <v>1311</v>
      </c>
      <c r="F151" s="442">
        <f t="shared" si="2"/>
        <v>2242331.0099999998</v>
      </c>
      <c r="G151" s="442">
        <f t="shared" si="2"/>
        <v>119333</v>
      </c>
      <c r="H151" s="442">
        <f t="shared" si="2"/>
        <v>660528.69000000006</v>
      </c>
      <c r="I151" s="442">
        <f t="shared" si="2"/>
        <v>0</v>
      </c>
      <c r="J151" s="442">
        <f t="shared" si="2"/>
        <v>0</v>
      </c>
      <c r="K151" s="442">
        <f t="shared" si="2"/>
        <v>0</v>
      </c>
      <c r="L151" s="442">
        <f t="shared" si="2"/>
        <v>0</v>
      </c>
      <c r="M151" s="442">
        <f t="shared" si="2"/>
        <v>0</v>
      </c>
      <c r="N151" s="442">
        <f t="shared" si="2"/>
        <v>0</v>
      </c>
      <c r="O151" s="442">
        <f t="shared" si="2"/>
        <v>0</v>
      </c>
      <c r="P151" s="442">
        <f t="shared" si="2"/>
        <v>0</v>
      </c>
    </row>
    <row r="152" spans="2:21">
      <c r="B152" s="1053" t="s">
        <v>1313</v>
      </c>
      <c r="F152" s="442">
        <f t="shared" si="2"/>
        <v>1097105.3399999999</v>
      </c>
      <c r="G152" s="442">
        <f t="shared" si="2"/>
        <v>1059065.1700000002</v>
      </c>
      <c r="H152" s="442">
        <f t="shared" si="2"/>
        <v>513996.9200000001</v>
      </c>
      <c r="I152" s="442">
        <f t="shared" si="2"/>
        <v>0</v>
      </c>
      <c r="J152" s="442">
        <f t="shared" si="2"/>
        <v>0</v>
      </c>
      <c r="K152" s="442">
        <f t="shared" si="2"/>
        <v>0</v>
      </c>
      <c r="L152" s="442">
        <f t="shared" si="2"/>
        <v>0</v>
      </c>
      <c r="M152" s="442">
        <f t="shared" si="2"/>
        <v>0</v>
      </c>
      <c r="N152" s="442">
        <f t="shared" si="2"/>
        <v>0</v>
      </c>
      <c r="O152" s="442">
        <f t="shared" si="2"/>
        <v>0</v>
      </c>
      <c r="P152" s="442">
        <f t="shared" si="2"/>
        <v>0</v>
      </c>
    </row>
    <row r="153" spans="2:21">
      <c r="B153" s="450" t="s">
        <v>717</v>
      </c>
      <c r="F153" s="442">
        <f t="shared" si="2"/>
        <v>0</v>
      </c>
      <c r="G153" s="442">
        <f t="shared" si="2"/>
        <v>0</v>
      </c>
      <c r="H153" s="442">
        <f t="shared" si="2"/>
        <v>0</v>
      </c>
      <c r="I153" s="442">
        <f t="shared" si="2"/>
        <v>0</v>
      </c>
      <c r="J153" s="442">
        <f t="shared" si="2"/>
        <v>0</v>
      </c>
      <c r="K153" s="442">
        <f t="shared" si="2"/>
        <v>0</v>
      </c>
      <c r="L153" s="442">
        <f t="shared" si="2"/>
        <v>0</v>
      </c>
      <c r="M153" s="442">
        <f t="shared" si="2"/>
        <v>0</v>
      </c>
      <c r="N153" s="442">
        <f t="shared" si="2"/>
        <v>0</v>
      </c>
      <c r="O153" s="442">
        <f t="shared" si="2"/>
        <v>0</v>
      </c>
      <c r="P153" s="442">
        <f t="shared" si="2"/>
        <v>0</v>
      </c>
    </row>
    <row r="154" spans="2:21">
      <c r="B154" s="450" t="s">
        <v>745</v>
      </c>
      <c r="F154" s="442">
        <f t="shared" si="2"/>
        <v>0</v>
      </c>
      <c r="G154" s="442">
        <f t="shared" si="2"/>
        <v>0</v>
      </c>
      <c r="H154" s="442">
        <f t="shared" si="2"/>
        <v>0</v>
      </c>
      <c r="I154" s="442">
        <f t="shared" si="2"/>
        <v>0</v>
      </c>
      <c r="J154" s="442">
        <f t="shared" si="2"/>
        <v>0</v>
      </c>
      <c r="K154" s="442">
        <f t="shared" si="2"/>
        <v>0</v>
      </c>
      <c r="L154" s="442">
        <f t="shared" si="2"/>
        <v>0</v>
      </c>
      <c r="M154" s="442">
        <f t="shared" si="2"/>
        <v>0</v>
      </c>
      <c r="N154" s="442">
        <f t="shared" si="2"/>
        <v>0</v>
      </c>
      <c r="O154" s="442">
        <f t="shared" si="2"/>
        <v>0</v>
      </c>
      <c r="P154" s="442">
        <f t="shared" si="2"/>
        <v>0</v>
      </c>
    </row>
    <row r="155" spans="2:21">
      <c r="B155" s="450" t="s">
        <v>718</v>
      </c>
      <c r="F155" s="442">
        <f t="shared" si="2"/>
        <v>0</v>
      </c>
      <c r="G155" s="442">
        <f t="shared" si="2"/>
        <v>0</v>
      </c>
      <c r="H155" s="442">
        <f t="shared" si="2"/>
        <v>0</v>
      </c>
      <c r="I155" s="442">
        <f t="shared" si="2"/>
        <v>0</v>
      </c>
      <c r="J155" s="442">
        <f t="shared" si="2"/>
        <v>0</v>
      </c>
      <c r="K155" s="442">
        <f t="shared" si="2"/>
        <v>0</v>
      </c>
      <c r="L155" s="442">
        <f t="shared" si="2"/>
        <v>0</v>
      </c>
      <c r="M155" s="442">
        <f t="shared" si="2"/>
        <v>0</v>
      </c>
      <c r="N155" s="442">
        <f t="shared" si="2"/>
        <v>0</v>
      </c>
      <c r="O155" s="442">
        <f t="shared" si="2"/>
        <v>0</v>
      </c>
      <c r="P155" s="442">
        <f t="shared" si="2"/>
        <v>0</v>
      </c>
    </row>
    <row r="156" spans="2:21">
      <c r="B156" s="450" t="s">
        <v>749</v>
      </c>
      <c r="F156" s="442">
        <f t="shared" si="2"/>
        <v>0</v>
      </c>
      <c r="G156" s="442">
        <f t="shared" si="2"/>
        <v>6100262.3100000005</v>
      </c>
      <c r="H156" s="442">
        <f t="shared" si="2"/>
        <v>1201393.69</v>
      </c>
      <c r="I156" s="442">
        <f t="shared" si="2"/>
        <v>0</v>
      </c>
      <c r="J156" s="442">
        <f t="shared" si="2"/>
        <v>0</v>
      </c>
      <c r="K156" s="442">
        <f t="shared" si="2"/>
        <v>0</v>
      </c>
      <c r="L156" s="442">
        <f t="shared" si="2"/>
        <v>0</v>
      </c>
      <c r="M156" s="442">
        <f t="shared" si="2"/>
        <v>0</v>
      </c>
      <c r="N156" s="442">
        <f t="shared" si="2"/>
        <v>0</v>
      </c>
      <c r="O156" s="442">
        <f t="shared" si="2"/>
        <v>0</v>
      </c>
      <c r="P156" s="442">
        <f t="shared" si="2"/>
        <v>0</v>
      </c>
    </row>
    <row r="157" spans="2:21">
      <c r="B157" s="450" t="s">
        <v>109</v>
      </c>
      <c r="F157" s="442">
        <f t="shared" ref="F157:P157" si="3">SUMIF($B$4:$B$134,$B157,F$4:F$134)-F155-F154</f>
        <v>6503200.1699999999</v>
      </c>
      <c r="G157" s="442">
        <f t="shared" si="3"/>
        <v>4544723.4232363123</v>
      </c>
      <c r="H157" s="442">
        <f t="shared" si="3"/>
        <v>3607504.97</v>
      </c>
      <c r="I157" s="442">
        <f t="shared" si="3"/>
        <v>0</v>
      </c>
      <c r="J157" s="442">
        <f t="shared" si="3"/>
        <v>0</v>
      </c>
      <c r="K157" s="442">
        <f t="shared" si="3"/>
        <v>0</v>
      </c>
      <c r="L157" s="442">
        <f t="shared" si="3"/>
        <v>0</v>
      </c>
      <c r="M157" s="442">
        <f t="shared" si="3"/>
        <v>0</v>
      </c>
      <c r="N157" s="442">
        <f t="shared" si="3"/>
        <v>0</v>
      </c>
      <c r="O157" s="442">
        <f t="shared" si="3"/>
        <v>0</v>
      </c>
      <c r="P157" s="442">
        <f t="shared" si="3"/>
        <v>0</v>
      </c>
    </row>
    <row r="158" spans="2:21" ht="6" customHeight="1">
      <c r="G158" s="442"/>
      <c r="H158" s="442"/>
      <c r="I158" s="442"/>
      <c r="J158" s="442"/>
      <c r="K158" s="442"/>
      <c r="L158" s="442"/>
      <c r="M158" s="442"/>
      <c r="N158" s="442"/>
      <c r="O158" s="442"/>
      <c r="P158" s="442"/>
    </row>
    <row r="159" spans="2:21" s="437" customFormat="1">
      <c r="C159" s="435"/>
      <c r="E159" s="435"/>
      <c r="F159" s="452">
        <f>SUM(F139:F158)</f>
        <v>69097634.25999999</v>
      </c>
      <c r="G159" s="453">
        <f>SUM(G139:G158)</f>
        <v>72701058.354269728</v>
      </c>
      <c r="H159" s="453">
        <f t="shared" ref="H159:P159" si="4">SUM(H139:H158)</f>
        <v>81550658.640000001</v>
      </c>
      <c r="I159" s="453">
        <f t="shared" si="4"/>
        <v>0</v>
      </c>
      <c r="J159" s="453">
        <f t="shared" si="4"/>
        <v>0</v>
      </c>
      <c r="K159" s="453">
        <f t="shared" si="4"/>
        <v>0</v>
      </c>
      <c r="L159" s="453">
        <f t="shared" si="4"/>
        <v>0</v>
      </c>
      <c r="M159" s="453">
        <f t="shared" si="4"/>
        <v>0</v>
      </c>
      <c r="N159" s="453">
        <f t="shared" si="4"/>
        <v>0</v>
      </c>
      <c r="O159" s="453">
        <f t="shared" si="4"/>
        <v>0</v>
      </c>
      <c r="P159" s="453">
        <f t="shared" si="4"/>
        <v>0</v>
      </c>
      <c r="U159" s="636"/>
    </row>
    <row r="160" spans="2:21">
      <c r="G160" s="442"/>
      <c r="H160" s="442"/>
      <c r="I160" s="442"/>
      <c r="J160" s="442"/>
      <c r="K160" s="442"/>
      <c r="L160" s="442"/>
      <c r="M160" s="442"/>
      <c r="N160" s="442"/>
      <c r="O160" s="442"/>
      <c r="P160" s="442"/>
    </row>
    <row r="161" spans="2:21">
      <c r="B161" s="1086" t="s">
        <v>1315</v>
      </c>
      <c r="F161" s="442">
        <f t="shared" ref="F161:P163" si="5">SUMIF($B$4:$B$134,$B161,F$4:F$134)</f>
        <v>0</v>
      </c>
      <c r="G161" s="442">
        <f t="shared" si="5"/>
        <v>0</v>
      </c>
      <c r="H161" s="442">
        <f t="shared" si="5"/>
        <v>1948970.54</v>
      </c>
      <c r="I161" s="442">
        <f t="shared" si="5"/>
        <v>0</v>
      </c>
      <c r="J161" s="442">
        <f t="shared" si="5"/>
        <v>0</v>
      </c>
      <c r="K161" s="442">
        <f t="shared" si="5"/>
        <v>0</v>
      </c>
      <c r="L161" s="442">
        <f t="shared" si="5"/>
        <v>0</v>
      </c>
      <c r="M161" s="442">
        <f t="shared" si="5"/>
        <v>0</v>
      </c>
      <c r="N161" s="442">
        <f t="shared" si="5"/>
        <v>0</v>
      </c>
      <c r="O161" s="442">
        <f t="shared" si="5"/>
        <v>0</v>
      </c>
      <c r="P161" s="442">
        <f t="shared" si="5"/>
        <v>0</v>
      </c>
    </row>
    <row r="162" spans="2:21">
      <c r="B162" s="1086" t="s">
        <v>324</v>
      </c>
      <c r="F162" s="442">
        <f t="shared" si="5"/>
        <v>1778369.09</v>
      </c>
      <c r="G162" s="442">
        <f t="shared" si="5"/>
        <v>200000</v>
      </c>
      <c r="H162" s="442">
        <f t="shared" si="5"/>
        <v>0</v>
      </c>
      <c r="I162" s="442">
        <f t="shared" si="5"/>
        <v>0</v>
      </c>
      <c r="J162" s="442">
        <f t="shared" si="5"/>
        <v>0</v>
      </c>
      <c r="K162" s="442">
        <f t="shared" si="5"/>
        <v>0</v>
      </c>
      <c r="L162" s="442">
        <f t="shared" si="5"/>
        <v>0</v>
      </c>
      <c r="M162" s="442">
        <f t="shared" si="5"/>
        <v>0</v>
      </c>
      <c r="N162" s="442">
        <f t="shared" si="5"/>
        <v>0</v>
      </c>
      <c r="O162" s="442">
        <f t="shared" si="5"/>
        <v>0</v>
      </c>
      <c r="P162" s="442">
        <f t="shared" si="5"/>
        <v>0</v>
      </c>
    </row>
    <row r="163" spans="2:21">
      <c r="B163" s="432" t="s">
        <v>747</v>
      </c>
      <c r="F163" s="442">
        <f t="shared" si="5"/>
        <v>0</v>
      </c>
      <c r="G163" s="442">
        <f t="shared" si="5"/>
        <v>0</v>
      </c>
      <c r="H163" s="442">
        <f t="shared" si="5"/>
        <v>0</v>
      </c>
      <c r="I163" s="442">
        <f t="shared" si="5"/>
        <v>0</v>
      </c>
      <c r="J163" s="442">
        <f t="shared" si="5"/>
        <v>0</v>
      </c>
      <c r="K163" s="442">
        <f t="shared" si="5"/>
        <v>0</v>
      </c>
      <c r="L163" s="442">
        <f t="shared" si="5"/>
        <v>0</v>
      </c>
      <c r="M163" s="442">
        <f t="shared" si="5"/>
        <v>0</v>
      </c>
      <c r="N163" s="442">
        <f t="shared" si="5"/>
        <v>0</v>
      </c>
      <c r="O163" s="442">
        <f t="shared" si="5"/>
        <v>0</v>
      </c>
      <c r="P163" s="442">
        <f t="shared" si="5"/>
        <v>0</v>
      </c>
    </row>
    <row r="164" spans="2:21" ht="9" customHeight="1">
      <c r="G164" s="442"/>
      <c r="H164" s="442"/>
      <c r="I164" s="442"/>
      <c r="J164" s="442"/>
      <c r="K164" s="442"/>
      <c r="L164" s="442"/>
      <c r="M164" s="442"/>
      <c r="N164" s="442"/>
      <c r="O164" s="442"/>
      <c r="P164" s="442"/>
    </row>
    <row r="165" spans="2:21" s="437" customFormat="1">
      <c r="B165" s="437" t="s">
        <v>54</v>
      </c>
      <c r="C165" s="435"/>
      <c r="E165" s="435"/>
      <c r="F165" s="452">
        <f>F159+SUM(F161:F163)</f>
        <v>70876003.349999994</v>
      </c>
      <c r="G165" s="452">
        <f t="shared" ref="G165:P165" si="6">G159+SUM(G161:G163)</f>
        <v>72901058.354269728</v>
      </c>
      <c r="H165" s="452">
        <f t="shared" si="6"/>
        <v>83499629.180000007</v>
      </c>
      <c r="I165" s="452">
        <f t="shared" si="6"/>
        <v>0</v>
      </c>
      <c r="J165" s="452">
        <f t="shared" si="6"/>
        <v>0</v>
      </c>
      <c r="K165" s="452">
        <f t="shared" si="6"/>
        <v>0</v>
      </c>
      <c r="L165" s="452">
        <f t="shared" si="6"/>
        <v>0</v>
      </c>
      <c r="M165" s="452">
        <f t="shared" si="6"/>
        <v>0</v>
      </c>
      <c r="N165" s="452">
        <f t="shared" si="6"/>
        <v>0</v>
      </c>
      <c r="O165" s="452">
        <f t="shared" si="6"/>
        <v>0</v>
      </c>
      <c r="P165" s="452">
        <f t="shared" si="6"/>
        <v>0</v>
      </c>
      <c r="U165" s="636"/>
    </row>
    <row r="166" spans="2:21">
      <c r="F166" s="454">
        <f t="shared" ref="F166:P166" si="7">F165-F135</f>
        <v>0</v>
      </c>
      <c r="G166" s="442">
        <f t="shared" si="7"/>
        <v>0</v>
      </c>
      <c r="H166" s="442">
        <f t="shared" si="7"/>
        <v>0</v>
      </c>
      <c r="I166" s="442">
        <f t="shared" si="7"/>
        <v>0</v>
      </c>
      <c r="J166" s="442">
        <f t="shared" si="7"/>
        <v>0</v>
      </c>
      <c r="K166" s="442">
        <f t="shared" si="7"/>
        <v>0</v>
      </c>
      <c r="L166" s="442">
        <f t="shared" si="7"/>
        <v>0</v>
      </c>
      <c r="M166" s="442">
        <f t="shared" si="7"/>
        <v>0</v>
      </c>
      <c r="N166" s="442">
        <f t="shared" si="7"/>
        <v>0</v>
      </c>
      <c r="O166" s="442">
        <f t="shared" si="7"/>
        <v>0</v>
      </c>
      <c r="P166" s="442">
        <f t="shared" si="7"/>
        <v>0</v>
      </c>
    </row>
    <row r="167" spans="2:21">
      <c r="B167" s="1137" t="s">
        <v>1344</v>
      </c>
    </row>
    <row r="168" spans="2:21" s="1130" customFormat="1">
      <c r="B168" s="1130" t="s">
        <v>1341</v>
      </c>
      <c r="C168" s="1131"/>
      <c r="E168" s="1131"/>
      <c r="F168" s="1132">
        <v>1</v>
      </c>
      <c r="G168" s="1132">
        <v>1</v>
      </c>
      <c r="H168" s="1132">
        <v>1</v>
      </c>
      <c r="I168" s="1626"/>
      <c r="J168" s="1626"/>
      <c r="K168" s="1626"/>
      <c r="L168" s="1626"/>
      <c r="M168" s="1626"/>
      <c r="N168" s="1626"/>
      <c r="O168" s="1626"/>
      <c r="P168" s="1626"/>
      <c r="U168" s="634"/>
    </row>
    <row r="169" spans="2:21" s="1130" customFormat="1">
      <c r="B169" s="1130" t="s">
        <v>1342</v>
      </c>
      <c r="C169" s="1131"/>
      <c r="E169" s="1131"/>
      <c r="F169" s="1132">
        <v>0</v>
      </c>
      <c r="G169" s="1132">
        <v>0</v>
      </c>
      <c r="H169" s="1132">
        <v>0</v>
      </c>
      <c r="I169" s="1626"/>
      <c r="J169" s="1626"/>
      <c r="K169" s="1626"/>
      <c r="L169" s="1626"/>
      <c r="M169" s="1626"/>
      <c r="N169" s="1626"/>
      <c r="O169" s="1626"/>
      <c r="P169" s="1626"/>
      <c r="U169" s="634"/>
    </row>
    <row r="171" spans="2:21">
      <c r="B171" s="1136" t="s">
        <v>1343</v>
      </c>
      <c r="D171" s="1135" t="s">
        <v>1337</v>
      </c>
      <c r="G171" s="442"/>
      <c r="H171" s="442"/>
      <c r="I171" s="442"/>
      <c r="J171" s="442"/>
      <c r="K171" s="442"/>
      <c r="L171" s="442"/>
      <c r="M171" s="442"/>
      <c r="N171" s="442"/>
      <c r="O171" s="442"/>
      <c r="P171" s="442"/>
    </row>
    <row r="172" spans="2:21">
      <c r="B172" s="450" t="s">
        <v>1295</v>
      </c>
      <c r="D172" s="1134" t="s">
        <v>1340</v>
      </c>
      <c r="F172" s="1133">
        <f t="shared" ref="F172:G175" si="8">F139*F$168</f>
        <v>2295486.23</v>
      </c>
      <c r="G172" s="1138">
        <f t="shared" si="8"/>
        <v>1908969.9937837839</v>
      </c>
      <c r="H172" s="1138">
        <f>H139*100%</f>
        <v>488229.36000000016</v>
      </c>
      <c r="I172" s="1138">
        <f t="shared" ref="I172:J172" si="9">I139*100%</f>
        <v>0</v>
      </c>
      <c r="J172" s="1138">
        <f t="shared" si="9"/>
        <v>0</v>
      </c>
      <c r="K172" s="1133">
        <f t="shared" ref="K172:P172" si="10">K139*K$168</f>
        <v>0</v>
      </c>
      <c r="L172" s="1133">
        <f t="shared" si="10"/>
        <v>0</v>
      </c>
      <c r="M172" s="1133">
        <f t="shared" si="10"/>
        <v>0</v>
      </c>
      <c r="N172" s="1133">
        <f t="shared" si="10"/>
        <v>0</v>
      </c>
      <c r="O172" s="1133">
        <f t="shared" si="10"/>
        <v>0</v>
      </c>
      <c r="P172" s="1133">
        <f t="shared" si="10"/>
        <v>0</v>
      </c>
    </row>
    <row r="173" spans="2:21">
      <c r="B173" s="450" t="s">
        <v>1298</v>
      </c>
      <c r="D173" s="1134" t="s">
        <v>1340</v>
      </c>
      <c r="F173" s="1133">
        <f t="shared" si="8"/>
        <v>32791983.949999999</v>
      </c>
      <c r="G173" s="1133">
        <f t="shared" si="8"/>
        <v>32531099.32</v>
      </c>
      <c r="H173" s="1133">
        <f>H140*H$168</f>
        <v>26503545.280000001</v>
      </c>
      <c r="I173" s="1133">
        <f>I140*I$168</f>
        <v>0</v>
      </c>
      <c r="J173" s="1133">
        <f>J140*J$168</f>
        <v>0</v>
      </c>
      <c r="K173" s="1133">
        <f t="shared" ref="K173:P173" si="11">K140*K$168</f>
        <v>0</v>
      </c>
      <c r="L173" s="1133">
        <f t="shared" si="11"/>
        <v>0</v>
      </c>
      <c r="M173" s="1133">
        <f t="shared" si="11"/>
        <v>0</v>
      </c>
      <c r="N173" s="1133">
        <f t="shared" si="11"/>
        <v>0</v>
      </c>
      <c r="O173" s="1133">
        <f t="shared" si="11"/>
        <v>0</v>
      </c>
      <c r="P173" s="1133">
        <f t="shared" si="11"/>
        <v>0</v>
      </c>
    </row>
    <row r="174" spans="2:21">
      <c r="B174" s="450" t="s">
        <v>103</v>
      </c>
      <c r="D174" s="1134" t="s">
        <v>1340</v>
      </c>
      <c r="F174" s="1133">
        <f t="shared" si="8"/>
        <v>1285903.31</v>
      </c>
      <c r="G174" s="1133">
        <f t="shared" si="8"/>
        <v>1281426.1664162946</v>
      </c>
      <c r="H174" s="1133">
        <f>H141*H$168</f>
        <v>1108211.6000000001</v>
      </c>
      <c r="I174" s="1290"/>
      <c r="J174" s="1133"/>
      <c r="K174" s="1133">
        <f t="shared" ref="K174:P174" si="12">K141*K$168</f>
        <v>0</v>
      </c>
      <c r="L174" s="1133">
        <f t="shared" si="12"/>
        <v>0</v>
      </c>
      <c r="M174" s="1133">
        <f t="shared" si="12"/>
        <v>0</v>
      </c>
      <c r="N174" s="1133">
        <f t="shared" si="12"/>
        <v>0</v>
      </c>
      <c r="O174" s="1133">
        <f t="shared" si="12"/>
        <v>0</v>
      </c>
      <c r="P174" s="1133">
        <f t="shared" si="12"/>
        <v>0</v>
      </c>
    </row>
    <row r="175" spans="2:21">
      <c r="B175" s="450" t="s">
        <v>104</v>
      </c>
      <c r="D175" s="1134" t="s">
        <v>1340</v>
      </c>
      <c r="F175" s="1133">
        <f t="shared" si="8"/>
        <v>1193525.1199999996</v>
      </c>
      <c r="G175" s="1133">
        <f t="shared" si="8"/>
        <v>500759</v>
      </c>
      <c r="H175" s="1133">
        <f>H142*H$168</f>
        <v>1001520</v>
      </c>
      <c r="I175" s="1133">
        <f>I142*I$168</f>
        <v>0</v>
      </c>
      <c r="J175" s="1133">
        <f>J142*J$168</f>
        <v>0</v>
      </c>
      <c r="K175" s="1133">
        <f t="shared" ref="K175:P175" si="13">K142*K$168</f>
        <v>0</v>
      </c>
      <c r="L175" s="1133">
        <f t="shared" si="13"/>
        <v>0</v>
      </c>
      <c r="M175" s="1133">
        <f t="shared" si="13"/>
        <v>0</v>
      </c>
      <c r="N175" s="1133">
        <f t="shared" si="13"/>
        <v>0</v>
      </c>
      <c r="O175" s="1133">
        <f t="shared" si="13"/>
        <v>0</v>
      </c>
      <c r="P175" s="1133">
        <f t="shared" si="13"/>
        <v>0</v>
      </c>
    </row>
    <row r="176" spans="2:21">
      <c r="B176" s="450" t="s">
        <v>1299</v>
      </c>
      <c r="D176" s="1134" t="s">
        <v>1345</v>
      </c>
      <c r="F176" s="1138">
        <f>F143*100%</f>
        <v>5700000</v>
      </c>
      <c r="G176" s="1138">
        <f>G143*100%</f>
        <v>0</v>
      </c>
      <c r="H176" s="1138">
        <f>H143*100%</f>
        <v>5700000</v>
      </c>
      <c r="I176" s="1138">
        <f>I143*100%</f>
        <v>0</v>
      </c>
      <c r="J176" s="1138">
        <f>J143*100%</f>
        <v>0</v>
      </c>
      <c r="K176" s="1138">
        <f t="shared" ref="K176:P176" si="14">K143*100%</f>
        <v>0</v>
      </c>
      <c r="L176" s="1138">
        <f t="shared" si="14"/>
        <v>0</v>
      </c>
      <c r="M176" s="1138">
        <f t="shared" si="14"/>
        <v>0</v>
      </c>
      <c r="N176" s="1138">
        <f t="shared" si="14"/>
        <v>0</v>
      </c>
      <c r="O176" s="1138">
        <f t="shared" si="14"/>
        <v>0</v>
      </c>
      <c r="P176" s="1138">
        <f t="shared" si="14"/>
        <v>0</v>
      </c>
    </row>
    <row r="177" spans="2:21">
      <c r="B177" s="450" t="s">
        <v>1453</v>
      </c>
      <c r="D177" s="1134" t="s">
        <v>1340</v>
      </c>
      <c r="F177" s="1133">
        <f>F144*F$168</f>
        <v>2728355.6900000004</v>
      </c>
      <c r="G177" s="1133">
        <f>G144*G$168</f>
        <v>2482143.1541666696</v>
      </c>
      <c r="H177" s="1133">
        <f>H144*H$168</f>
        <v>2208643.6500000004</v>
      </c>
      <c r="I177" s="1290"/>
      <c r="J177" s="1133"/>
      <c r="K177" s="1133"/>
      <c r="L177" s="1133"/>
      <c r="M177" s="1133"/>
      <c r="N177" s="1133"/>
      <c r="O177" s="1133"/>
      <c r="P177" s="1133"/>
    </row>
    <row r="178" spans="2:21">
      <c r="B178" s="450" t="s">
        <v>105</v>
      </c>
      <c r="D178" s="1134" t="s">
        <v>1340</v>
      </c>
      <c r="F178" s="1138">
        <f t="shared" ref="F178:J178" si="15">F145*100%</f>
        <v>0</v>
      </c>
      <c r="G178" s="1138">
        <f t="shared" si="15"/>
        <v>0</v>
      </c>
      <c r="H178" s="1138">
        <f t="shared" si="15"/>
        <v>0</v>
      </c>
      <c r="I178" s="1138">
        <f t="shared" si="15"/>
        <v>0</v>
      </c>
      <c r="J178" s="1138">
        <f t="shared" si="15"/>
        <v>0</v>
      </c>
      <c r="K178" s="1138">
        <f t="shared" ref="K178:P178" si="16">K145*100%</f>
        <v>0</v>
      </c>
      <c r="L178" s="1138">
        <f t="shared" si="16"/>
        <v>0</v>
      </c>
      <c r="M178" s="1138">
        <f t="shared" si="16"/>
        <v>0</v>
      </c>
      <c r="N178" s="1138">
        <f t="shared" si="16"/>
        <v>0</v>
      </c>
      <c r="O178" s="1138">
        <f t="shared" si="16"/>
        <v>0</v>
      </c>
      <c r="P178" s="1138">
        <f t="shared" si="16"/>
        <v>0</v>
      </c>
    </row>
    <row r="179" spans="2:21">
      <c r="B179" s="450" t="s">
        <v>106</v>
      </c>
      <c r="D179" s="1134" t="s">
        <v>1338</v>
      </c>
      <c r="F179" s="1133">
        <f t="shared" ref="F179:J181" si="17">F146*F$168</f>
        <v>2719224</v>
      </c>
      <c r="G179" s="1133">
        <f t="shared" si="17"/>
        <v>2356493</v>
      </c>
      <c r="H179" s="1133">
        <f t="shared" si="17"/>
        <v>-2081403.3099999996</v>
      </c>
      <c r="I179" s="1133">
        <f t="shared" si="17"/>
        <v>0</v>
      </c>
      <c r="J179" s="1133">
        <f t="shared" si="17"/>
        <v>0</v>
      </c>
      <c r="K179" s="1133">
        <f t="shared" ref="K179:P179" si="18">K146*K$168</f>
        <v>0</v>
      </c>
      <c r="L179" s="1133">
        <f t="shared" si="18"/>
        <v>0</v>
      </c>
      <c r="M179" s="1133">
        <f t="shared" si="18"/>
        <v>0</v>
      </c>
      <c r="N179" s="1133">
        <f t="shared" si="18"/>
        <v>0</v>
      </c>
      <c r="O179" s="1133">
        <f t="shared" si="18"/>
        <v>0</v>
      </c>
      <c r="P179" s="1133">
        <f t="shared" si="18"/>
        <v>0</v>
      </c>
    </row>
    <row r="180" spans="2:21">
      <c r="B180" s="1053" t="s">
        <v>125</v>
      </c>
      <c r="D180" s="1134" t="s">
        <v>1336</v>
      </c>
      <c r="F180" s="1133">
        <f t="shared" si="17"/>
        <v>9401134.1999999993</v>
      </c>
      <c r="G180" s="1133">
        <f t="shared" si="17"/>
        <v>15204147.9</v>
      </c>
      <c r="H180" s="1133">
        <f t="shared" si="17"/>
        <v>16529173.449999999</v>
      </c>
      <c r="I180" s="1133">
        <f t="shared" si="17"/>
        <v>0</v>
      </c>
      <c r="J180" s="1133">
        <f t="shared" si="17"/>
        <v>0</v>
      </c>
      <c r="K180" s="1133">
        <f t="shared" ref="K180:P180" si="19">K147*K$168</f>
        <v>0</v>
      </c>
      <c r="L180" s="1133">
        <f t="shared" si="19"/>
        <v>0</v>
      </c>
      <c r="M180" s="1133">
        <f t="shared" si="19"/>
        <v>0</v>
      </c>
      <c r="N180" s="1133">
        <f t="shared" si="19"/>
        <v>0</v>
      </c>
      <c r="O180" s="1133">
        <f t="shared" si="19"/>
        <v>0</v>
      </c>
      <c r="P180" s="1133">
        <f t="shared" si="19"/>
        <v>0</v>
      </c>
    </row>
    <row r="181" spans="2:21">
      <c r="B181" s="1053" t="s">
        <v>1305</v>
      </c>
      <c r="D181" s="1134" t="s">
        <v>1336</v>
      </c>
      <c r="F181" s="1133">
        <f t="shared" si="17"/>
        <v>1099947.9100000001</v>
      </c>
      <c r="G181" s="1133">
        <f t="shared" si="17"/>
        <v>1779195.44</v>
      </c>
      <c r="H181" s="1133">
        <f t="shared" si="17"/>
        <v>4815530.8899999997</v>
      </c>
      <c r="I181" s="1133">
        <f t="shared" si="17"/>
        <v>0</v>
      </c>
      <c r="J181" s="1133">
        <f t="shared" si="17"/>
        <v>0</v>
      </c>
      <c r="K181" s="1133">
        <f t="shared" ref="K181:P181" si="20">K148*K$168</f>
        <v>0</v>
      </c>
      <c r="L181" s="1133">
        <f t="shared" si="20"/>
        <v>0</v>
      </c>
      <c r="M181" s="1133">
        <f t="shared" si="20"/>
        <v>0</v>
      </c>
      <c r="N181" s="1133">
        <f t="shared" si="20"/>
        <v>0</v>
      </c>
      <c r="O181" s="1133">
        <f t="shared" si="20"/>
        <v>0</v>
      </c>
      <c r="P181" s="1133">
        <f t="shared" si="20"/>
        <v>0</v>
      </c>
    </row>
    <row r="182" spans="2:21">
      <c r="B182" s="450" t="s">
        <v>107</v>
      </c>
      <c r="D182" s="1134" t="s">
        <v>1338</v>
      </c>
      <c r="F182" s="1138">
        <f>F149*100%</f>
        <v>34611</v>
      </c>
      <c r="G182" s="1138">
        <f>G149*100%</f>
        <v>2827651.8</v>
      </c>
      <c r="H182" s="1138">
        <f>H149*100%</f>
        <v>2273596</v>
      </c>
      <c r="I182" s="1138">
        <f>I149*100%</f>
        <v>0</v>
      </c>
      <c r="J182" s="1138">
        <f>J149*100%</f>
        <v>0</v>
      </c>
      <c r="K182" s="1138">
        <f t="shared" ref="K182:P182" si="21">K149*100%</f>
        <v>0</v>
      </c>
      <c r="L182" s="1138">
        <f t="shared" si="21"/>
        <v>0</v>
      </c>
      <c r="M182" s="1138">
        <f t="shared" si="21"/>
        <v>0</v>
      </c>
      <c r="N182" s="1138">
        <f t="shared" si="21"/>
        <v>0</v>
      </c>
      <c r="O182" s="1138">
        <f t="shared" si="21"/>
        <v>0</v>
      </c>
      <c r="P182" s="1138">
        <f t="shared" si="21"/>
        <v>0</v>
      </c>
    </row>
    <row r="183" spans="2:21">
      <c r="B183" s="450" t="s">
        <v>108</v>
      </c>
      <c r="D183" s="1134" t="s">
        <v>1345</v>
      </c>
      <c r="F183" s="1133">
        <f t="shared" ref="F183:J184" si="22">F150*F$168</f>
        <v>4826.329999999999</v>
      </c>
      <c r="G183" s="1133">
        <f t="shared" si="22"/>
        <v>5788.6766666666672</v>
      </c>
      <c r="H183" s="1133">
        <f t="shared" si="22"/>
        <v>17020187.449999999</v>
      </c>
      <c r="I183" s="1133">
        <f t="shared" si="22"/>
        <v>0</v>
      </c>
      <c r="J183" s="1133">
        <f t="shared" si="22"/>
        <v>0</v>
      </c>
      <c r="K183" s="1133">
        <f t="shared" ref="K183:P183" si="23">K150*K$168</f>
        <v>0</v>
      </c>
      <c r="L183" s="1133">
        <f t="shared" si="23"/>
        <v>0</v>
      </c>
      <c r="M183" s="1133">
        <f t="shared" si="23"/>
        <v>0</v>
      </c>
      <c r="N183" s="1133">
        <f t="shared" si="23"/>
        <v>0</v>
      </c>
      <c r="O183" s="1133">
        <f t="shared" si="23"/>
        <v>0</v>
      </c>
      <c r="P183" s="1133">
        <f t="shared" si="23"/>
        <v>0</v>
      </c>
    </row>
    <row r="184" spans="2:21">
      <c r="B184" s="1053" t="s">
        <v>1310</v>
      </c>
      <c r="D184" s="1134" t="s">
        <v>369</v>
      </c>
      <c r="F184" s="1133">
        <f t="shared" si="22"/>
        <v>2242331.0099999998</v>
      </c>
      <c r="G184" s="1133">
        <f t="shared" si="22"/>
        <v>119333</v>
      </c>
      <c r="H184" s="1133">
        <f t="shared" si="22"/>
        <v>660528.69000000006</v>
      </c>
      <c r="I184" s="1133">
        <f t="shared" si="22"/>
        <v>0</v>
      </c>
      <c r="J184" s="1133">
        <f t="shared" si="22"/>
        <v>0</v>
      </c>
      <c r="K184" s="1133">
        <f t="shared" ref="K184:P184" si="24">K151*K$168</f>
        <v>0</v>
      </c>
      <c r="L184" s="1133">
        <f t="shared" si="24"/>
        <v>0</v>
      </c>
      <c r="M184" s="1133">
        <f t="shared" si="24"/>
        <v>0</v>
      </c>
      <c r="N184" s="1133">
        <f t="shared" si="24"/>
        <v>0</v>
      </c>
      <c r="O184" s="1133">
        <f t="shared" si="24"/>
        <v>0</v>
      </c>
      <c r="P184" s="1133">
        <f t="shared" si="24"/>
        <v>0</v>
      </c>
    </row>
    <row r="185" spans="2:21">
      <c r="B185" s="1053" t="s">
        <v>1313</v>
      </c>
      <c r="D185" s="1134" t="s">
        <v>1336</v>
      </c>
      <c r="F185" s="1138">
        <f t="shared" ref="F185:J189" si="25">F152*100%</f>
        <v>1097105.3399999999</v>
      </c>
      <c r="G185" s="1138">
        <f t="shared" si="25"/>
        <v>1059065.1700000002</v>
      </c>
      <c r="H185" s="1138">
        <f t="shared" si="25"/>
        <v>513996.9200000001</v>
      </c>
      <c r="I185" s="1138">
        <f t="shared" si="25"/>
        <v>0</v>
      </c>
      <c r="J185" s="1138">
        <f t="shared" si="25"/>
        <v>0</v>
      </c>
      <c r="K185" s="1138">
        <f t="shared" ref="K185:P185" si="26">K152*100%</f>
        <v>0</v>
      </c>
      <c r="L185" s="1138">
        <f t="shared" si="26"/>
        <v>0</v>
      </c>
      <c r="M185" s="1138">
        <f t="shared" si="26"/>
        <v>0</v>
      </c>
      <c r="N185" s="1138">
        <f t="shared" si="26"/>
        <v>0</v>
      </c>
      <c r="O185" s="1138">
        <f t="shared" si="26"/>
        <v>0</v>
      </c>
      <c r="P185" s="1138">
        <f t="shared" si="26"/>
        <v>0</v>
      </c>
    </row>
    <row r="186" spans="2:21">
      <c r="B186" s="450" t="s">
        <v>717</v>
      </c>
      <c r="D186" s="1134" t="s">
        <v>1353</v>
      </c>
      <c r="F186" s="1138">
        <f t="shared" si="25"/>
        <v>0</v>
      </c>
      <c r="G186" s="1138">
        <f t="shared" si="25"/>
        <v>0</v>
      </c>
      <c r="H186" s="1138">
        <f t="shared" si="25"/>
        <v>0</v>
      </c>
      <c r="I186" s="1138">
        <f t="shared" si="25"/>
        <v>0</v>
      </c>
      <c r="J186" s="1138">
        <f t="shared" si="25"/>
        <v>0</v>
      </c>
      <c r="K186" s="1138">
        <f t="shared" ref="K186:P186" si="27">K153*100%</f>
        <v>0</v>
      </c>
      <c r="L186" s="1138">
        <f t="shared" si="27"/>
        <v>0</v>
      </c>
      <c r="M186" s="1138">
        <f t="shared" si="27"/>
        <v>0</v>
      </c>
      <c r="N186" s="1138">
        <f t="shared" si="27"/>
        <v>0</v>
      </c>
      <c r="O186" s="1138">
        <f t="shared" si="27"/>
        <v>0</v>
      </c>
      <c r="P186" s="1138">
        <f t="shared" si="27"/>
        <v>0</v>
      </c>
    </row>
    <row r="187" spans="2:21">
      <c r="B187" s="450" t="s">
        <v>745</v>
      </c>
      <c r="D187" s="1134" t="s">
        <v>1338</v>
      </c>
      <c r="F187" s="1138">
        <f t="shared" si="25"/>
        <v>0</v>
      </c>
      <c r="G187" s="1138">
        <f t="shared" si="25"/>
        <v>0</v>
      </c>
      <c r="H187" s="1138">
        <f t="shared" si="25"/>
        <v>0</v>
      </c>
      <c r="I187" s="1138">
        <f t="shared" si="25"/>
        <v>0</v>
      </c>
      <c r="J187" s="1138">
        <f t="shared" si="25"/>
        <v>0</v>
      </c>
      <c r="K187" s="1138">
        <f t="shared" ref="K187:P187" si="28">K154*100%</f>
        <v>0</v>
      </c>
      <c r="L187" s="1138">
        <f t="shared" si="28"/>
        <v>0</v>
      </c>
      <c r="M187" s="1138">
        <f t="shared" si="28"/>
        <v>0</v>
      </c>
      <c r="N187" s="1138">
        <f t="shared" si="28"/>
        <v>0</v>
      </c>
      <c r="O187" s="1138">
        <f t="shared" si="28"/>
        <v>0</v>
      </c>
      <c r="P187" s="1138">
        <f t="shared" si="28"/>
        <v>0</v>
      </c>
    </row>
    <row r="188" spans="2:21">
      <c r="B188" s="450" t="s">
        <v>718</v>
      </c>
      <c r="D188" s="1134" t="s">
        <v>1338</v>
      </c>
      <c r="F188" s="1138">
        <f t="shared" si="25"/>
        <v>0</v>
      </c>
      <c r="G188" s="1138">
        <f t="shared" si="25"/>
        <v>0</v>
      </c>
      <c r="H188" s="1138">
        <f t="shared" si="25"/>
        <v>0</v>
      </c>
      <c r="I188" s="1138">
        <f t="shared" si="25"/>
        <v>0</v>
      </c>
      <c r="J188" s="1138">
        <f t="shared" si="25"/>
        <v>0</v>
      </c>
      <c r="K188" s="1138">
        <f t="shared" ref="K188:P188" si="29">K155*100%</f>
        <v>0</v>
      </c>
      <c r="L188" s="1138">
        <f t="shared" si="29"/>
        <v>0</v>
      </c>
      <c r="M188" s="1138">
        <f t="shared" si="29"/>
        <v>0</v>
      </c>
      <c r="N188" s="1138">
        <f t="shared" si="29"/>
        <v>0</v>
      </c>
      <c r="O188" s="1138">
        <f t="shared" si="29"/>
        <v>0</v>
      </c>
      <c r="P188" s="1138">
        <f t="shared" si="29"/>
        <v>0</v>
      </c>
    </row>
    <row r="189" spans="2:21">
      <c r="B189" s="450" t="s">
        <v>749</v>
      </c>
      <c r="D189" s="1134" t="s">
        <v>1338</v>
      </c>
      <c r="F189" s="1138">
        <f t="shared" si="25"/>
        <v>0</v>
      </c>
      <c r="G189" s="1138">
        <f t="shared" si="25"/>
        <v>6100262.3100000005</v>
      </c>
      <c r="H189" s="1138">
        <f t="shared" si="25"/>
        <v>1201393.69</v>
      </c>
      <c r="I189" s="1138">
        <f t="shared" si="25"/>
        <v>0</v>
      </c>
      <c r="J189" s="1138">
        <f t="shared" si="25"/>
        <v>0</v>
      </c>
      <c r="K189" s="1138">
        <f t="shared" ref="K189:P189" si="30">K156*100%</f>
        <v>0</v>
      </c>
      <c r="L189" s="1138">
        <f t="shared" si="30"/>
        <v>0</v>
      </c>
      <c r="M189" s="1138">
        <f t="shared" si="30"/>
        <v>0</v>
      </c>
      <c r="N189" s="1138">
        <f t="shared" si="30"/>
        <v>0</v>
      </c>
      <c r="O189" s="1138">
        <f t="shared" si="30"/>
        <v>0</v>
      </c>
      <c r="P189" s="1138">
        <f t="shared" si="30"/>
        <v>0</v>
      </c>
    </row>
    <row r="190" spans="2:21">
      <c r="B190" s="450" t="s">
        <v>109</v>
      </c>
      <c r="D190" s="1134" t="s">
        <v>1338</v>
      </c>
      <c r="F190" s="1133">
        <f>F157*F$168</f>
        <v>6503200.1699999999</v>
      </c>
      <c r="G190" s="1133">
        <f>G157*G$168</f>
        <v>4544723.4232363123</v>
      </c>
      <c r="H190" s="1133">
        <f>H157*H$168</f>
        <v>3607504.97</v>
      </c>
      <c r="I190" s="1133">
        <f>I157*I$168</f>
        <v>0</v>
      </c>
      <c r="J190" s="1133">
        <f>J157*J$168</f>
        <v>0</v>
      </c>
      <c r="K190" s="1133">
        <f t="shared" ref="K190:P190" si="31">K157*K$168</f>
        <v>0</v>
      </c>
      <c r="L190" s="1133">
        <f t="shared" si="31"/>
        <v>0</v>
      </c>
      <c r="M190" s="1133">
        <f t="shared" si="31"/>
        <v>0</v>
      </c>
      <c r="N190" s="1133">
        <f t="shared" si="31"/>
        <v>0</v>
      </c>
      <c r="O190" s="1133">
        <f t="shared" si="31"/>
        <v>0</v>
      </c>
      <c r="P190" s="1133">
        <f t="shared" si="31"/>
        <v>0</v>
      </c>
    </row>
    <row r="191" spans="2:21" ht="6" customHeight="1">
      <c r="G191" s="442"/>
      <c r="H191" s="442"/>
      <c r="I191" s="442"/>
      <c r="J191" s="442"/>
      <c r="K191" s="442"/>
      <c r="L191" s="442"/>
      <c r="M191" s="442"/>
      <c r="N191" s="442"/>
      <c r="O191" s="442"/>
      <c r="P191" s="442"/>
    </row>
    <row r="192" spans="2:21" s="437" customFormat="1">
      <c r="C192" s="435"/>
      <c r="E192" s="435"/>
      <c r="F192" s="452">
        <f>SUM(F172:F191)</f>
        <v>69097634.25999999</v>
      </c>
      <c r="G192" s="453">
        <f>SUM(G172:G191)</f>
        <v>72701058.354269728</v>
      </c>
      <c r="H192" s="453">
        <f t="shared" ref="H192:P192" si="32">SUM(H172:H191)</f>
        <v>81550658.640000001</v>
      </c>
      <c r="I192" s="453">
        <f t="shared" si="32"/>
        <v>0</v>
      </c>
      <c r="J192" s="453">
        <f t="shared" si="32"/>
        <v>0</v>
      </c>
      <c r="K192" s="453">
        <f t="shared" si="32"/>
        <v>0</v>
      </c>
      <c r="L192" s="453">
        <f t="shared" si="32"/>
        <v>0</v>
      </c>
      <c r="M192" s="453">
        <f t="shared" si="32"/>
        <v>0</v>
      </c>
      <c r="N192" s="453">
        <f t="shared" si="32"/>
        <v>0</v>
      </c>
      <c r="O192" s="453">
        <f t="shared" si="32"/>
        <v>0</v>
      </c>
      <c r="P192" s="453">
        <f t="shared" si="32"/>
        <v>0</v>
      </c>
      <c r="U192" s="636"/>
    </row>
    <row r="193" spans="2:16">
      <c r="F193" s="442"/>
      <c r="G193" s="442"/>
      <c r="H193" s="442"/>
      <c r="I193" s="442"/>
      <c r="J193" s="442"/>
      <c r="K193" s="442"/>
      <c r="L193" s="442"/>
      <c r="M193" s="442"/>
      <c r="N193" s="442"/>
      <c r="O193" s="442"/>
      <c r="P193" s="442"/>
    </row>
    <row r="194" spans="2:16">
      <c r="B194" s="432" t="s">
        <v>1342</v>
      </c>
      <c r="G194" s="442"/>
      <c r="H194" s="442"/>
      <c r="I194" s="442"/>
      <c r="J194" s="442"/>
      <c r="K194" s="442"/>
      <c r="L194" s="442"/>
      <c r="M194" s="442"/>
      <c r="N194" s="442"/>
      <c r="O194" s="442"/>
      <c r="P194" s="442"/>
    </row>
    <row r="195" spans="2:16">
      <c r="B195" s="450" t="s">
        <v>1295</v>
      </c>
      <c r="F195" s="1138">
        <f t="shared" ref="F195:J195" si="33">F139*0%</f>
        <v>0</v>
      </c>
      <c r="G195" s="1138">
        <f t="shared" si="33"/>
        <v>0</v>
      </c>
      <c r="H195" s="1138">
        <f t="shared" si="33"/>
        <v>0</v>
      </c>
      <c r="I195" s="1138">
        <f t="shared" si="33"/>
        <v>0</v>
      </c>
      <c r="J195" s="1138">
        <f t="shared" si="33"/>
        <v>0</v>
      </c>
      <c r="K195" s="1133">
        <f t="shared" ref="K195:P195" si="34">K139*K$169</f>
        <v>0</v>
      </c>
      <c r="L195" s="1133">
        <f t="shared" si="34"/>
        <v>0</v>
      </c>
      <c r="M195" s="1133">
        <f t="shared" si="34"/>
        <v>0</v>
      </c>
      <c r="N195" s="1133">
        <f t="shared" si="34"/>
        <v>0</v>
      </c>
      <c r="O195" s="1133">
        <f t="shared" si="34"/>
        <v>0</v>
      </c>
      <c r="P195" s="1133">
        <f t="shared" si="34"/>
        <v>0</v>
      </c>
    </row>
    <row r="196" spans="2:16">
      <c r="B196" s="450" t="s">
        <v>1298</v>
      </c>
      <c r="F196" s="1133">
        <f>F140*F$169</f>
        <v>0</v>
      </c>
      <c r="G196" s="1133">
        <f>G140*G$169</f>
        <v>0</v>
      </c>
      <c r="H196" s="1133">
        <f>H140*H$169</f>
        <v>0</v>
      </c>
      <c r="I196" s="1133">
        <f>I140*I$169</f>
        <v>0</v>
      </c>
      <c r="J196" s="1133">
        <f>J140*J$169</f>
        <v>0</v>
      </c>
      <c r="K196" s="1133">
        <f t="shared" ref="K196:P196" si="35">K140*K$169</f>
        <v>0</v>
      </c>
      <c r="L196" s="1133">
        <f t="shared" si="35"/>
        <v>0</v>
      </c>
      <c r="M196" s="1133">
        <f t="shared" si="35"/>
        <v>0</v>
      </c>
      <c r="N196" s="1133">
        <f t="shared" si="35"/>
        <v>0</v>
      </c>
      <c r="O196" s="1133">
        <f t="shared" si="35"/>
        <v>0</v>
      </c>
      <c r="P196" s="1133">
        <f t="shared" si="35"/>
        <v>0</v>
      </c>
    </row>
    <row r="197" spans="2:16">
      <c r="B197" s="450" t="s">
        <v>103</v>
      </c>
      <c r="F197" s="1133">
        <f t="shared" ref="F197:H198" si="36">F141*F$169</f>
        <v>0</v>
      </c>
      <c r="G197" s="1133">
        <f t="shared" si="36"/>
        <v>0</v>
      </c>
      <c r="H197" s="1133">
        <f t="shared" si="36"/>
        <v>0</v>
      </c>
      <c r="I197" s="1290"/>
      <c r="J197" s="1290"/>
      <c r="K197" s="1133">
        <f t="shared" ref="K197:P197" si="37">K141*K$169</f>
        <v>0</v>
      </c>
      <c r="L197" s="1133">
        <f t="shared" si="37"/>
        <v>0</v>
      </c>
      <c r="M197" s="1133">
        <f t="shared" si="37"/>
        <v>0</v>
      </c>
      <c r="N197" s="1133">
        <f t="shared" si="37"/>
        <v>0</v>
      </c>
      <c r="O197" s="1133">
        <f t="shared" si="37"/>
        <v>0</v>
      </c>
      <c r="P197" s="1133">
        <f t="shared" si="37"/>
        <v>0</v>
      </c>
    </row>
    <row r="198" spans="2:16">
      <c r="B198" s="450" t="s">
        <v>104</v>
      </c>
      <c r="F198" s="1133">
        <f t="shared" si="36"/>
        <v>0</v>
      </c>
      <c r="G198" s="1133">
        <f t="shared" si="36"/>
        <v>0</v>
      </c>
      <c r="H198" s="1133">
        <f t="shared" si="36"/>
        <v>0</v>
      </c>
      <c r="I198" s="1133">
        <f>I142*I$169</f>
        <v>0</v>
      </c>
      <c r="J198" s="1133">
        <f>J142*J$169</f>
        <v>0</v>
      </c>
      <c r="K198" s="1133">
        <f t="shared" ref="K198:P198" si="38">K142*K$169</f>
        <v>0</v>
      </c>
      <c r="L198" s="1133">
        <f t="shared" si="38"/>
        <v>0</v>
      </c>
      <c r="M198" s="1133">
        <f t="shared" si="38"/>
        <v>0</v>
      </c>
      <c r="N198" s="1133">
        <f t="shared" si="38"/>
        <v>0</v>
      </c>
      <c r="O198" s="1133">
        <f t="shared" si="38"/>
        <v>0</v>
      </c>
      <c r="P198" s="1133">
        <f t="shared" si="38"/>
        <v>0</v>
      </c>
    </row>
    <row r="199" spans="2:16">
      <c r="B199" s="450" t="s">
        <v>1299</v>
      </c>
      <c r="F199" s="1138">
        <f>F143*0%</f>
        <v>0</v>
      </c>
      <c r="G199" s="1138">
        <f>G143*0%</f>
        <v>0</v>
      </c>
      <c r="H199" s="1138">
        <f>H143*0%</f>
        <v>0</v>
      </c>
      <c r="I199" s="1138">
        <f>I143*0%</f>
        <v>0</v>
      </c>
      <c r="J199" s="1138">
        <f>J143*0%</f>
        <v>0</v>
      </c>
      <c r="K199" s="1138">
        <f t="shared" ref="K199:P199" si="39">K143*0%</f>
        <v>0</v>
      </c>
      <c r="L199" s="1138">
        <f t="shared" si="39"/>
        <v>0</v>
      </c>
      <c r="M199" s="1138">
        <f t="shared" si="39"/>
        <v>0</v>
      </c>
      <c r="N199" s="1138">
        <f t="shared" si="39"/>
        <v>0</v>
      </c>
      <c r="O199" s="1138">
        <f t="shared" si="39"/>
        <v>0</v>
      </c>
      <c r="P199" s="1138">
        <f t="shared" si="39"/>
        <v>0</v>
      </c>
    </row>
    <row r="200" spans="2:16">
      <c r="B200" s="450" t="s">
        <v>1453</v>
      </c>
      <c r="F200" s="1133">
        <f>F144*F$169</f>
        <v>0</v>
      </c>
      <c r="G200" s="1133">
        <f>G144*G$169</f>
        <v>0</v>
      </c>
      <c r="H200" s="1133">
        <f>H144*H$169</f>
        <v>0</v>
      </c>
      <c r="I200" s="1290"/>
      <c r="J200" s="1290"/>
      <c r="K200" s="1138"/>
      <c r="L200" s="1138"/>
      <c r="M200" s="1138"/>
      <c r="N200" s="1138"/>
      <c r="O200" s="1138"/>
      <c r="P200" s="1138"/>
    </row>
    <row r="201" spans="2:16">
      <c r="B201" s="450" t="s">
        <v>105</v>
      </c>
      <c r="F201" s="1138">
        <f t="shared" ref="F201:J201" si="40">F145*0%</f>
        <v>0</v>
      </c>
      <c r="G201" s="1138">
        <f t="shared" si="40"/>
        <v>0</v>
      </c>
      <c r="H201" s="1138">
        <f t="shared" si="40"/>
        <v>0</v>
      </c>
      <c r="I201" s="1138">
        <f t="shared" si="40"/>
        <v>0</v>
      </c>
      <c r="J201" s="1138">
        <f t="shared" si="40"/>
        <v>0</v>
      </c>
      <c r="K201" s="1138">
        <f t="shared" ref="K201:P201" si="41">K145*0%</f>
        <v>0</v>
      </c>
      <c r="L201" s="1138">
        <f t="shared" si="41"/>
        <v>0</v>
      </c>
      <c r="M201" s="1138">
        <f t="shared" si="41"/>
        <v>0</v>
      </c>
      <c r="N201" s="1138">
        <f t="shared" si="41"/>
        <v>0</v>
      </c>
      <c r="O201" s="1138">
        <f t="shared" si="41"/>
        <v>0</v>
      </c>
      <c r="P201" s="1138">
        <f t="shared" si="41"/>
        <v>0</v>
      </c>
    </row>
    <row r="202" spans="2:16">
      <c r="B202" s="450" t="s">
        <v>106</v>
      </c>
      <c r="F202" s="1133">
        <f t="shared" ref="F202:J204" si="42">F146*F$169</f>
        <v>0</v>
      </c>
      <c r="G202" s="1133">
        <f t="shared" si="42"/>
        <v>0</v>
      </c>
      <c r="H202" s="1133">
        <f t="shared" si="42"/>
        <v>0</v>
      </c>
      <c r="I202" s="1133">
        <f t="shared" si="42"/>
        <v>0</v>
      </c>
      <c r="J202" s="1133">
        <f t="shared" si="42"/>
        <v>0</v>
      </c>
      <c r="K202" s="1133">
        <f t="shared" ref="K202:P202" si="43">K146*K$169</f>
        <v>0</v>
      </c>
      <c r="L202" s="1133">
        <f t="shared" si="43"/>
        <v>0</v>
      </c>
      <c r="M202" s="1133">
        <f t="shared" si="43"/>
        <v>0</v>
      </c>
      <c r="N202" s="1133">
        <f t="shared" si="43"/>
        <v>0</v>
      </c>
      <c r="O202" s="1133">
        <f t="shared" si="43"/>
        <v>0</v>
      </c>
      <c r="P202" s="1133">
        <f t="shared" si="43"/>
        <v>0</v>
      </c>
    </row>
    <row r="203" spans="2:16">
      <c r="B203" s="1053" t="s">
        <v>125</v>
      </c>
      <c r="F203" s="1133">
        <f t="shared" si="42"/>
        <v>0</v>
      </c>
      <c r="G203" s="1133">
        <f t="shared" si="42"/>
        <v>0</v>
      </c>
      <c r="H203" s="1133">
        <f t="shared" si="42"/>
        <v>0</v>
      </c>
      <c r="I203" s="1133">
        <f t="shared" si="42"/>
        <v>0</v>
      </c>
      <c r="J203" s="1133">
        <f t="shared" si="42"/>
        <v>0</v>
      </c>
      <c r="K203" s="1133">
        <f t="shared" ref="K203:P203" si="44">K147*K$169</f>
        <v>0</v>
      </c>
      <c r="L203" s="1133">
        <f t="shared" si="44"/>
        <v>0</v>
      </c>
      <c r="M203" s="1133">
        <f t="shared" si="44"/>
        <v>0</v>
      </c>
      <c r="N203" s="1133">
        <f t="shared" si="44"/>
        <v>0</v>
      </c>
      <c r="O203" s="1133">
        <f t="shared" si="44"/>
        <v>0</v>
      </c>
      <c r="P203" s="1133">
        <f t="shared" si="44"/>
        <v>0</v>
      </c>
    </row>
    <row r="204" spans="2:16">
      <c r="B204" s="1053" t="s">
        <v>1305</v>
      </c>
      <c r="F204" s="1133">
        <f t="shared" si="42"/>
        <v>0</v>
      </c>
      <c r="G204" s="1133">
        <f t="shared" si="42"/>
        <v>0</v>
      </c>
      <c r="H204" s="1133">
        <f t="shared" si="42"/>
        <v>0</v>
      </c>
      <c r="I204" s="1133">
        <f t="shared" si="42"/>
        <v>0</v>
      </c>
      <c r="J204" s="1133">
        <f t="shared" si="42"/>
        <v>0</v>
      </c>
      <c r="K204" s="1133">
        <f t="shared" ref="K204:P204" si="45">K148*K$169</f>
        <v>0</v>
      </c>
      <c r="L204" s="1133">
        <f t="shared" si="45"/>
        <v>0</v>
      </c>
      <c r="M204" s="1133">
        <f t="shared" si="45"/>
        <v>0</v>
      </c>
      <c r="N204" s="1133">
        <f t="shared" si="45"/>
        <v>0</v>
      </c>
      <c r="O204" s="1133">
        <f t="shared" si="45"/>
        <v>0</v>
      </c>
      <c r="P204" s="1133">
        <f t="shared" si="45"/>
        <v>0</v>
      </c>
    </row>
    <row r="205" spans="2:16">
      <c r="B205" s="450" t="s">
        <v>107</v>
      </c>
      <c r="F205" s="1138">
        <f>F149*0%</f>
        <v>0</v>
      </c>
      <c r="G205" s="1138">
        <f>G149*0%</f>
        <v>0</v>
      </c>
      <c r="H205" s="1138">
        <f>H149*0%</f>
        <v>0</v>
      </c>
      <c r="I205" s="1138">
        <f>I149*0%</f>
        <v>0</v>
      </c>
      <c r="J205" s="1138">
        <f>J149*0%</f>
        <v>0</v>
      </c>
      <c r="K205" s="1138">
        <f t="shared" ref="K205:P205" si="46">K149*0%</f>
        <v>0</v>
      </c>
      <c r="L205" s="1138">
        <f t="shared" si="46"/>
        <v>0</v>
      </c>
      <c r="M205" s="1138">
        <f t="shared" si="46"/>
        <v>0</v>
      </c>
      <c r="N205" s="1138">
        <f t="shared" si="46"/>
        <v>0</v>
      </c>
      <c r="O205" s="1138">
        <f t="shared" si="46"/>
        <v>0</v>
      </c>
      <c r="P205" s="1138">
        <f t="shared" si="46"/>
        <v>0</v>
      </c>
    </row>
    <row r="206" spans="2:16">
      <c r="B206" s="450" t="s">
        <v>108</v>
      </c>
      <c r="F206" s="1133">
        <f t="shared" ref="F206:J207" si="47">F150*F$169</f>
        <v>0</v>
      </c>
      <c r="G206" s="1133">
        <f t="shared" si="47"/>
        <v>0</v>
      </c>
      <c r="H206" s="1133">
        <f t="shared" si="47"/>
        <v>0</v>
      </c>
      <c r="I206" s="1133">
        <f t="shared" si="47"/>
        <v>0</v>
      </c>
      <c r="J206" s="1133">
        <f t="shared" si="47"/>
        <v>0</v>
      </c>
      <c r="K206" s="1133">
        <f t="shared" ref="K206:P206" si="48">K150*K$169</f>
        <v>0</v>
      </c>
      <c r="L206" s="1133">
        <f t="shared" si="48"/>
        <v>0</v>
      </c>
      <c r="M206" s="1133">
        <f t="shared" si="48"/>
        <v>0</v>
      </c>
      <c r="N206" s="1133">
        <f t="shared" si="48"/>
        <v>0</v>
      </c>
      <c r="O206" s="1133">
        <f t="shared" si="48"/>
        <v>0</v>
      </c>
      <c r="P206" s="1133">
        <f t="shared" si="48"/>
        <v>0</v>
      </c>
    </row>
    <row r="207" spans="2:16">
      <c r="B207" s="1053" t="s">
        <v>1310</v>
      </c>
      <c r="F207" s="1133">
        <f t="shared" si="47"/>
        <v>0</v>
      </c>
      <c r="G207" s="1133">
        <f t="shared" si="47"/>
        <v>0</v>
      </c>
      <c r="H207" s="1133">
        <f t="shared" si="47"/>
        <v>0</v>
      </c>
      <c r="I207" s="1133">
        <f t="shared" si="47"/>
        <v>0</v>
      </c>
      <c r="J207" s="1133">
        <f t="shared" si="47"/>
        <v>0</v>
      </c>
      <c r="K207" s="1133">
        <f t="shared" ref="K207:P207" si="49">K151*K$169</f>
        <v>0</v>
      </c>
      <c r="L207" s="1133">
        <f t="shared" si="49"/>
        <v>0</v>
      </c>
      <c r="M207" s="1133">
        <f t="shared" si="49"/>
        <v>0</v>
      </c>
      <c r="N207" s="1133">
        <f t="shared" si="49"/>
        <v>0</v>
      </c>
      <c r="O207" s="1133">
        <f t="shared" si="49"/>
        <v>0</v>
      </c>
      <c r="P207" s="1133">
        <f t="shared" si="49"/>
        <v>0</v>
      </c>
    </row>
    <row r="208" spans="2:16">
      <c r="B208" s="1053" t="s">
        <v>1313</v>
      </c>
      <c r="F208" s="1138">
        <f t="shared" ref="F208:J212" si="50">F152*0%</f>
        <v>0</v>
      </c>
      <c r="G208" s="1138">
        <f t="shared" si="50"/>
        <v>0</v>
      </c>
      <c r="H208" s="1138">
        <f t="shared" si="50"/>
        <v>0</v>
      </c>
      <c r="I208" s="1138">
        <f t="shared" si="50"/>
        <v>0</v>
      </c>
      <c r="J208" s="1138">
        <f t="shared" si="50"/>
        <v>0</v>
      </c>
      <c r="K208" s="1138">
        <f t="shared" ref="K208:P208" si="51">K152*0%</f>
        <v>0</v>
      </c>
      <c r="L208" s="1138">
        <f t="shared" si="51"/>
        <v>0</v>
      </c>
      <c r="M208" s="1138">
        <f t="shared" si="51"/>
        <v>0</v>
      </c>
      <c r="N208" s="1138">
        <f t="shared" si="51"/>
        <v>0</v>
      </c>
      <c r="O208" s="1138">
        <f t="shared" si="51"/>
        <v>0</v>
      </c>
      <c r="P208" s="1138">
        <f t="shared" si="51"/>
        <v>0</v>
      </c>
    </row>
    <row r="209" spans="2:21">
      <c r="B209" s="450" t="s">
        <v>717</v>
      </c>
      <c r="F209" s="1138">
        <f t="shared" si="50"/>
        <v>0</v>
      </c>
      <c r="G209" s="1138">
        <f t="shared" si="50"/>
        <v>0</v>
      </c>
      <c r="H209" s="1138">
        <f t="shared" si="50"/>
        <v>0</v>
      </c>
      <c r="I209" s="1138">
        <f t="shared" si="50"/>
        <v>0</v>
      </c>
      <c r="J209" s="1138">
        <f t="shared" si="50"/>
        <v>0</v>
      </c>
      <c r="K209" s="1138">
        <f t="shared" ref="K209:P209" si="52">K153*0%</f>
        <v>0</v>
      </c>
      <c r="L209" s="1138">
        <f t="shared" si="52"/>
        <v>0</v>
      </c>
      <c r="M209" s="1138">
        <f t="shared" si="52"/>
        <v>0</v>
      </c>
      <c r="N209" s="1138">
        <f t="shared" si="52"/>
        <v>0</v>
      </c>
      <c r="O209" s="1138">
        <f t="shared" si="52"/>
        <v>0</v>
      </c>
      <c r="P209" s="1138">
        <f t="shared" si="52"/>
        <v>0</v>
      </c>
    </row>
    <row r="210" spans="2:21">
      <c r="B210" s="450" t="s">
        <v>745</v>
      </c>
      <c r="F210" s="1138">
        <f t="shared" si="50"/>
        <v>0</v>
      </c>
      <c r="G210" s="1138">
        <f t="shared" si="50"/>
        <v>0</v>
      </c>
      <c r="H210" s="1138">
        <f t="shared" si="50"/>
        <v>0</v>
      </c>
      <c r="I210" s="1138">
        <f t="shared" si="50"/>
        <v>0</v>
      </c>
      <c r="J210" s="1138">
        <f t="shared" si="50"/>
        <v>0</v>
      </c>
      <c r="K210" s="1138">
        <f t="shared" ref="K210:P210" si="53">K154*0%</f>
        <v>0</v>
      </c>
      <c r="L210" s="1138">
        <f t="shared" si="53"/>
        <v>0</v>
      </c>
      <c r="M210" s="1138">
        <f t="shared" si="53"/>
        <v>0</v>
      </c>
      <c r="N210" s="1138">
        <f t="shared" si="53"/>
        <v>0</v>
      </c>
      <c r="O210" s="1138">
        <f t="shared" si="53"/>
        <v>0</v>
      </c>
      <c r="P210" s="1138">
        <f t="shared" si="53"/>
        <v>0</v>
      </c>
    </row>
    <row r="211" spans="2:21">
      <c r="B211" s="450" t="s">
        <v>718</v>
      </c>
      <c r="F211" s="1138">
        <f t="shared" si="50"/>
        <v>0</v>
      </c>
      <c r="G211" s="1138">
        <f t="shared" si="50"/>
        <v>0</v>
      </c>
      <c r="H211" s="1138">
        <f t="shared" si="50"/>
        <v>0</v>
      </c>
      <c r="I211" s="1138">
        <f t="shared" si="50"/>
        <v>0</v>
      </c>
      <c r="J211" s="1138">
        <f t="shared" si="50"/>
        <v>0</v>
      </c>
      <c r="K211" s="1138">
        <f t="shared" ref="K211:P211" si="54">K155*0%</f>
        <v>0</v>
      </c>
      <c r="L211" s="1138">
        <f t="shared" si="54"/>
        <v>0</v>
      </c>
      <c r="M211" s="1138">
        <f t="shared" si="54"/>
        <v>0</v>
      </c>
      <c r="N211" s="1138">
        <f t="shared" si="54"/>
        <v>0</v>
      </c>
      <c r="O211" s="1138">
        <f t="shared" si="54"/>
        <v>0</v>
      </c>
      <c r="P211" s="1138">
        <f t="shared" si="54"/>
        <v>0</v>
      </c>
    </row>
    <row r="212" spans="2:21">
      <c r="B212" s="450" t="s">
        <v>749</v>
      </c>
      <c r="F212" s="1138">
        <f t="shared" si="50"/>
        <v>0</v>
      </c>
      <c r="G212" s="1138">
        <f t="shared" si="50"/>
        <v>0</v>
      </c>
      <c r="H212" s="1138">
        <f t="shared" si="50"/>
        <v>0</v>
      </c>
      <c r="I212" s="1138">
        <f t="shared" si="50"/>
        <v>0</v>
      </c>
      <c r="J212" s="1138">
        <f t="shared" si="50"/>
        <v>0</v>
      </c>
      <c r="K212" s="1138">
        <f t="shared" ref="K212:P212" si="55">K156*0%</f>
        <v>0</v>
      </c>
      <c r="L212" s="1138">
        <f t="shared" si="55"/>
        <v>0</v>
      </c>
      <c r="M212" s="1138">
        <f t="shared" si="55"/>
        <v>0</v>
      </c>
      <c r="N212" s="1138">
        <f t="shared" si="55"/>
        <v>0</v>
      </c>
      <c r="O212" s="1138">
        <f t="shared" si="55"/>
        <v>0</v>
      </c>
      <c r="P212" s="1138">
        <f t="shared" si="55"/>
        <v>0</v>
      </c>
    </row>
    <row r="213" spans="2:21">
      <c r="B213" s="450" t="s">
        <v>109</v>
      </c>
      <c r="F213" s="1133">
        <f>F157*F$169</f>
        <v>0</v>
      </c>
      <c r="G213" s="1133">
        <f>G157*G$169</f>
        <v>0</v>
      </c>
      <c r="H213" s="1133">
        <f>H157*H$169</f>
        <v>0</v>
      </c>
      <c r="I213" s="1133">
        <f>I157*I$169</f>
        <v>0</v>
      </c>
      <c r="J213" s="1133">
        <f>J157*J$169</f>
        <v>0</v>
      </c>
      <c r="K213" s="1133">
        <f t="shared" ref="K213:P213" si="56">K157*K$169</f>
        <v>0</v>
      </c>
      <c r="L213" s="1133">
        <f t="shared" si="56"/>
        <v>0</v>
      </c>
      <c r="M213" s="1133">
        <f t="shared" si="56"/>
        <v>0</v>
      </c>
      <c r="N213" s="1133">
        <f t="shared" si="56"/>
        <v>0</v>
      </c>
      <c r="O213" s="1133">
        <f t="shared" si="56"/>
        <v>0</v>
      </c>
      <c r="P213" s="1133">
        <f t="shared" si="56"/>
        <v>0</v>
      </c>
    </row>
    <row r="214" spans="2:21" ht="6" customHeight="1">
      <c r="G214" s="442"/>
      <c r="H214" s="442"/>
      <c r="I214" s="442"/>
      <c r="J214" s="442"/>
      <c r="K214" s="442"/>
      <c r="L214" s="442"/>
      <c r="M214" s="442"/>
      <c r="N214" s="442"/>
      <c r="O214" s="442"/>
      <c r="P214" s="442"/>
    </row>
    <row r="215" spans="2:21" s="437" customFormat="1">
      <c r="C215" s="435"/>
      <c r="E215" s="435"/>
      <c r="F215" s="452">
        <f>SUM(F195:F214)</f>
        <v>0</v>
      </c>
      <c r="G215" s="453">
        <f>SUM(G195:G214)</f>
        <v>0</v>
      </c>
      <c r="H215" s="453">
        <f t="shared" ref="H215:P215" si="57">SUM(H195:H214)</f>
        <v>0</v>
      </c>
      <c r="I215" s="453">
        <f t="shared" si="57"/>
        <v>0</v>
      </c>
      <c r="J215" s="453">
        <f t="shared" si="57"/>
        <v>0</v>
      </c>
      <c r="K215" s="453">
        <f t="shared" si="57"/>
        <v>0</v>
      </c>
      <c r="L215" s="453">
        <f t="shared" si="57"/>
        <v>0</v>
      </c>
      <c r="M215" s="453">
        <f t="shared" si="57"/>
        <v>0</v>
      </c>
      <c r="N215" s="453">
        <f t="shared" si="57"/>
        <v>0</v>
      </c>
      <c r="O215" s="453">
        <f t="shared" si="57"/>
        <v>0</v>
      </c>
      <c r="P215" s="453">
        <f t="shared" si="57"/>
        <v>0</v>
      </c>
      <c r="U215" s="636"/>
    </row>
    <row r="216" spans="2:21">
      <c r="F216" s="442"/>
      <c r="G216" s="442"/>
      <c r="H216" s="442"/>
      <c r="I216" s="442"/>
      <c r="J216" s="442"/>
      <c r="K216" s="442"/>
      <c r="L216" s="442"/>
      <c r="M216" s="442"/>
      <c r="N216" s="442"/>
      <c r="O216" s="442"/>
      <c r="P216" s="442"/>
    </row>
    <row r="217" spans="2:21">
      <c r="F217" s="442"/>
      <c r="G217" s="442"/>
      <c r="H217" s="442"/>
      <c r="I217" s="442"/>
      <c r="J217" s="442"/>
      <c r="K217" s="442"/>
      <c r="L217" s="442"/>
      <c r="M217" s="442"/>
      <c r="N217" s="442"/>
      <c r="O217" s="442"/>
      <c r="P217" s="442"/>
    </row>
    <row r="218" spans="2:21">
      <c r="F218" s="442"/>
      <c r="G218" s="442"/>
      <c r="H218" s="442"/>
      <c r="I218" s="442"/>
      <c r="J218" s="442"/>
      <c r="K218" s="442"/>
      <c r="L218" s="442"/>
      <c r="M218" s="442"/>
      <c r="N218" s="442"/>
      <c r="O218" s="442"/>
      <c r="P218" s="442"/>
    </row>
    <row r="219" spans="2:21" s="1057" customFormat="1">
      <c r="B219" s="1055" t="s">
        <v>785</v>
      </c>
      <c r="C219" s="1056"/>
      <c r="E219" s="1056"/>
      <c r="F219" s="1058"/>
      <c r="G219" s="1059">
        <f>'Production Plan'!E44</f>
        <v>121094554</v>
      </c>
      <c r="H219" s="1059">
        <f>'Production Plan'!F44</f>
        <v>120371742</v>
      </c>
      <c r="I219" s="1059">
        <f>'Production Plan'!G44</f>
        <v>213772250.25994921</v>
      </c>
      <c r="J219" s="1059">
        <f>'Production Plan'!H44</f>
        <v>210000000</v>
      </c>
      <c r="K219" s="1059"/>
      <c r="L219" s="1059"/>
      <c r="M219" s="1059"/>
      <c r="N219" s="1059"/>
      <c r="O219" s="1059"/>
      <c r="P219" s="1059"/>
      <c r="U219" s="1060"/>
    </row>
    <row r="220" spans="2:21" s="1057" customFormat="1">
      <c r="B220" s="1055" t="s">
        <v>786</v>
      </c>
      <c r="C220" s="1056"/>
      <c r="E220" s="1056"/>
      <c r="G220" s="1060"/>
      <c r="H220" s="1060">
        <f>'Production Plan'!F75</f>
        <v>0</v>
      </c>
      <c r="I220" s="1060">
        <f>'Production Plan'!G75</f>
        <v>96128517</v>
      </c>
      <c r="J220" s="1060">
        <f>'Production Plan'!H75</f>
        <v>80628564.259949207</v>
      </c>
      <c r="K220" s="1060">
        <f>'Production Plan'!I75</f>
        <v>95581269</v>
      </c>
      <c r="L220" s="1060">
        <f>'Production Plan'!J75</f>
        <v>263055511</v>
      </c>
      <c r="M220" s="1060">
        <f>'Production Plan'!K75</f>
        <v>294265120.50631487</v>
      </c>
      <c r="N220" s="1060">
        <f>'Production Plan'!L75</f>
        <v>294813804.62953103</v>
      </c>
      <c r="O220" s="1060">
        <f>'Production Plan'!M75</f>
        <v>334546017.87985861</v>
      </c>
      <c r="P220" s="1060">
        <f>'Production Plan'!N75</f>
        <v>371053354.56351984</v>
      </c>
      <c r="U220" s="1060"/>
    </row>
    <row r="221" spans="2:21" s="1057" customFormat="1">
      <c r="B221" s="1055"/>
      <c r="C221" s="1056"/>
      <c r="E221" s="1056"/>
      <c r="U221" s="1060"/>
    </row>
    <row r="222" spans="2:21" s="1057" customFormat="1">
      <c r="B222" s="1055" t="s">
        <v>784</v>
      </c>
      <c r="C222" s="1056"/>
      <c r="E222" s="1056"/>
      <c r="F222" s="1061"/>
      <c r="G222" s="1061">
        <v>20838429</v>
      </c>
      <c r="H222" s="1061">
        <v>18369832.891113337</v>
      </c>
      <c r="I222" s="1061">
        <v>18920927.877846733</v>
      </c>
      <c r="J222" s="1061">
        <v>19488555.714182142</v>
      </c>
      <c r="K222" s="1061"/>
      <c r="L222" s="1061"/>
      <c r="M222" s="1061"/>
      <c r="N222" s="1061"/>
      <c r="O222" s="1061"/>
      <c r="P222" s="1061"/>
      <c r="R222" s="1061">
        <v>57920721.533369541</v>
      </c>
      <c r="S222" s="1061">
        <v>57920721.533369541</v>
      </c>
      <c r="U222" s="1060">
        <f>R222-SUM(H222:K222)</f>
        <v>1141405.0502273291</v>
      </c>
    </row>
    <row r="223" spans="2:21" s="1057" customFormat="1">
      <c r="B223" s="1055" t="s">
        <v>787</v>
      </c>
      <c r="C223" s="1056"/>
      <c r="E223" s="1056"/>
      <c r="H223" s="1060">
        <v>30042760.956965342</v>
      </c>
      <c r="I223" s="1060">
        <v>30657039.845674306</v>
      </c>
      <c r="J223" s="1060">
        <v>31576751.041044533</v>
      </c>
      <c r="K223" s="1060">
        <v>32524053.57227587</v>
      </c>
      <c r="L223" s="1060">
        <v>33499775.179444142</v>
      </c>
      <c r="M223" s="1060">
        <v>34504768.434827469</v>
      </c>
      <c r="N223" s="1060">
        <v>35539911.487872295</v>
      </c>
      <c r="O223" s="1060">
        <v>36606108.832508467</v>
      </c>
      <c r="P223" s="1060">
        <v>37704292.097483724</v>
      </c>
      <c r="R223" s="1061">
        <v>143653475.42800015</v>
      </c>
      <c r="S223" s="1061">
        <v>348559378.58232045</v>
      </c>
      <c r="U223" s="1060">
        <f>R223-SUM(H223:K223)</f>
        <v>18852870.012040108</v>
      </c>
    </row>
    <row r="224" spans="2:21" s="1057" customFormat="1">
      <c r="B224" s="1055"/>
      <c r="C224" s="1056"/>
      <c r="E224" s="1056"/>
      <c r="U224" s="1060"/>
    </row>
    <row r="225" spans="2:21" s="1057" customFormat="1">
      <c r="B225" s="1055" t="s">
        <v>788</v>
      </c>
      <c r="C225" s="1056"/>
      <c r="E225" s="1056"/>
      <c r="G225" s="1060">
        <f>G222*1.14</f>
        <v>23755809.059999999</v>
      </c>
      <c r="H225" s="1060">
        <f>H222*1.14</f>
        <v>20941609.495869201</v>
      </c>
      <c r="I225" s="1060">
        <f t="shared" ref="I225:P225" si="58">I222*1.14</f>
        <v>21569857.780745275</v>
      </c>
      <c r="J225" s="1060">
        <f t="shared" si="58"/>
        <v>22216953.51416764</v>
      </c>
      <c r="K225" s="1060">
        <f t="shared" si="58"/>
        <v>0</v>
      </c>
      <c r="L225" s="1060">
        <f t="shared" si="58"/>
        <v>0</v>
      </c>
      <c r="M225" s="1060">
        <f t="shared" si="58"/>
        <v>0</v>
      </c>
      <c r="N225" s="1060">
        <f t="shared" si="58"/>
        <v>0</v>
      </c>
      <c r="O225" s="1060">
        <f t="shared" si="58"/>
        <v>0</v>
      </c>
      <c r="P225" s="1060">
        <f t="shared" si="58"/>
        <v>0</v>
      </c>
      <c r="R225" s="1061">
        <v>66029622.548041269</v>
      </c>
      <c r="S225" s="1061">
        <v>66029622.548041269</v>
      </c>
      <c r="U225" s="1060">
        <f>R225-SUM(H225:K225)</f>
        <v>1301201.7572591603</v>
      </c>
    </row>
    <row r="226" spans="2:21" s="1057" customFormat="1">
      <c r="B226" s="1055" t="s">
        <v>789</v>
      </c>
      <c r="C226" s="1056"/>
      <c r="E226" s="1056"/>
      <c r="G226" s="1060">
        <f t="shared" ref="G226:P226" si="59">G223*1.14</f>
        <v>0</v>
      </c>
      <c r="H226" s="1060">
        <f t="shared" si="59"/>
        <v>34248747.490940489</v>
      </c>
      <c r="I226" s="1060">
        <f t="shared" si="59"/>
        <v>34949025.424068704</v>
      </c>
      <c r="J226" s="1060">
        <f t="shared" si="59"/>
        <v>35997496.186790764</v>
      </c>
      <c r="K226" s="1060">
        <f t="shared" si="59"/>
        <v>37077421.07239449</v>
      </c>
      <c r="L226" s="1060">
        <f t="shared" si="59"/>
        <v>38189743.704566315</v>
      </c>
      <c r="M226" s="1060">
        <f t="shared" si="59"/>
        <v>39335436.015703313</v>
      </c>
      <c r="N226" s="1060">
        <f t="shared" si="59"/>
        <v>40515499.096174411</v>
      </c>
      <c r="O226" s="1060">
        <f t="shared" si="59"/>
        <v>41730964.069059648</v>
      </c>
      <c r="P226" s="1060">
        <f t="shared" si="59"/>
        <v>42982892.99113144</v>
      </c>
      <c r="R226" s="1061">
        <v>163764961.98792017</v>
      </c>
      <c r="S226" s="1061">
        <v>397357691.58384532</v>
      </c>
      <c r="U226" s="1060">
        <f>R226-SUM(H226:K226)</f>
        <v>21492271.81372571</v>
      </c>
    </row>
    <row r="227" spans="2:21" s="1057" customFormat="1" ht="14.1" customHeight="1">
      <c r="C227" s="1056"/>
      <c r="E227" s="1056"/>
      <c r="U227" s="1060"/>
    </row>
    <row r="228" spans="2:21" s="1057" customFormat="1">
      <c r="C228" s="1056"/>
      <c r="E228" s="1056"/>
      <c r="U228" s="1060"/>
    </row>
    <row r="229" spans="2:21" s="1057" customFormat="1">
      <c r="C229" s="1056"/>
      <c r="E229" s="1056"/>
      <c r="H229" s="1062"/>
      <c r="I229" s="1062"/>
      <c r="J229" s="1062"/>
      <c r="K229" s="1062"/>
      <c r="L229" s="1062"/>
      <c r="M229" s="1062"/>
      <c r="N229" s="1062"/>
      <c r="O229" s="1062"/>
      <c r="P229" s="1062"/>
      <c r="U229" s="1060"/>
    </row>
    <row r="230" spans="2:21" s="1057" customFormat="1">
      <c r="C230" s="1056"/>
      <c r="E230" s="1056"/>
      <c r="U230" s="1060"/>
    </row>
    <row r="231" spans="2:21" s="1057" customFormat="1">
      <c r="C231" s="1056"/>
      <c r="E231" s="1056"/>
      <c r="U231" s="1060"/>
    </row>
    <row r="232" spans="2:21" s="1057" customFormat="1">
      <c r="C232" s="1056"/>
      <c r="E232" s="1056"/>
      <c r="U232" s="1060"/>
    </row>
    <row r="233" spans="2:21" s="1057" customFormat="1">
      <c r="B233" s="1057" t="s">
        <v>755</v>
      </c>
      <c r="C233" s="1056"/>
      <c r="E233" s="1056"/>
      <c r="U233" s="1060"/>
    </row>
    <row r="234" spans="2:21" s="1057" customFormat="1">
      <c r="C234" s="1056"/>
      <c r="E234" s="1056"/>
      <c r="F234" s="1058"/>
      <c r="G234" s="1058"/>
      <c r="H234" s="1058"/>
      <c r="I234" s="1058"/>
      <c r="J234" s="1058"/>
      <c r="K234" s="1058"/>
      <c r="L234" s="1058"/>
      <c r="M234" s="1058"/>
      <c r="N234" s="1058"/>
      <c r="O234" s="1058"/>
      <c r="P234" s="1058"/>
      <c r="Q234" s="1058"/>
      <c r="U234" s="1060"/>
    </row>
    <row r="235" spans="2:21" s="1057" customFormat="1">
      <c r="B235" s="1057" t="s">
        <v>756</v>
      </c>
      <c r="C235" s="1056"/>
      <c r="E235" s="1056"/>
      <c r="F235" s="1063" t="s">
        <v>52</v>
      </c>
      <c r="G235" s="1058"/>
      <c r="H235" s="1058"/>
      <c r="I235" s="1058"/>
      <c r="J235" s="1058"/>
      <c r="K235" s="1058"/>
      <c r="L235" s="1058"/>
      <c r="M235" s="1058"/>
      <c r="N235" s="1058"/>
      <c r="O235" s="1058"/>
      <c r="P235" s="1058"/>
      <c r="Q235" s="1058"/>
      <c r="U235" s="1060"/>
    </row>
    <row r="236" spans="2:21" s="1057" customFormat="1">
      <c r="B236" s="1057" t="s">
        <v>757</v>
      </c>
      <c r="C236" s="1056"/>
      <c r="E236" s="1056"/>
      <c r="F236" s="1058">
        <v>2873620</v>
      </c>
      <c r="G236" s="1058">
        <v>494856</v>
      </c>
      <c r="H236" s="1058">
        <v>109476</v>
      </c>
      <c r="I236" s="1058">
        <v>0</v>
      </c>
      <c r="J236" s="1058">
        <v>0</v>
      </c>
      <c r="K236" s="1058">
        <v>0</v>
      </c>
      <c r="L236" s="1058">
        <v>0</v>
      </c>
      <c r="M236" s="1058">
        <v>0</v>
      </c>
      <c r="N236" s="1058">
        <v>0</v>
      </c>
      <c r="O236" s="1058">
        <v>0</v>
      </c>
      <c r="P236" s="1058">
        <v>0</v>
      </c>
      <c r="Q236" s="1058"/>
      <c r="U236" s="1060"/>
    </row>
    <row r="237" spans="2:21" s="1057" customFormat="1">
      <c r="B237" s="1057" t="s">
        <v>758</v>
      </c>
      <c r="C237" s="1056"/>
      <c r="E237" s="1056"/>
      <c r="F237" s="1058">
        <v>573340</v>
      </c>
      <c r="G237" s="1058"/>
      <c r="H237" s="1058"/>
      <c r="I237" s="1058"/>
      <c r="J237" s="1058"/>
      <c r="K237" s="1058"/>
      <c r="L237" s="1058"/>
      <c r="M237" s="1058"/>
      <c r="N237" s="1058"/>
      <c r="O237" s="1058"/>
      <c r="P237" s="1058"/>
      <c r="Q237" s="1058"/>
      <c r="U237" s="1060"/>
    </row>
    <row r="238" spans="2:21" s="1057" customFormat="1">
      <c r="B238" s="1064" t="s">
        <v>795</v>
      </c>
      <c r="C238" s="1056"/>
      <c r="E238" s="1056"/>
      <c r="F238" s="1058"/>
      <c r="G238" s="1058"/>
      <c r="H238" s="1058"/>
      <c r="I238" s="1058"/>
      <c r="J238" s="1058"/>
      <c r="K238" s="1058"/>
      <c r="L238" s="1058"/>
      <c r="M238" s="1058"/>
      <c r="N238" s="1058"/>
      <c r="O238" s="1058"/>
      <c r="P238" s="1058"/>
      <c r="Q238" s="1058"/>
      <c r="U238" s="1060"/>
    </row>
    <row r="239" spans="2:21" s="1057" customFormat="1">
      <c r="B239" s="1057" t="s">
        <v>759</v>
      </c>
      <c r="C239" s="1056"/>
      <c r="E239" s="1056"/>
      <c r="F239" s="1058">
        <v>7253563</v>
      </c>
      <c r="G239" s="1058">
        <f>3654000*1.05/12*10</f>
        <v>3197250</v>
      </c>
      <c r="H239" s="1058"/>
      <c r="I239" s="1058"/>
      <c r="J239" s="1058">
        <v>0</v>
      </c>
      <c r="K239" s="1058">
        <v>0</v>
      </c>
      <c r="L239" s="1058">
        <v>0</v>
      </c>
      <c r="M239" s="1058">
        <v>0</v>
      </c>
      <c r="N239" s="1058">
        <v>0</v>
      </c>
      <c r="O239" s="1058">
        <v>0</v>
      </c>
      <c r="P239" s="1058">
        <v>0</v>
      </c>
      <c r="Q239" s="1058"/>
      <c r="U239" s="1060"/>
    </row>
    <row r="240" spans="2:21" s="1057" customFormat="1">
      <c r="B240" s="1065" t="s">
        <v>782</v>
      </c>
      <c r="C240" s="1056"/>
      <c r="D240" s="1066" t="s">
        <v>818</v>
      </c>
      <c r="E240" s="1056"/>
      <c r="F240" s="1058"/>
      <c r="G240" s="1058"/>
      <c r="H240" s="1058"/>
      <c r="I240" s="1058"/>
      <c r="J240" s="1058"/>
      <c r="K240" s="1058"/>
      <c r="L240" s="1058"/>
      <c r="M240" s="1058"/>
      <c r="N240" s="1058"/>
      <c r="O240" s="1058"/>
      <c r="P240" s="1058"/>
      <c r="Q240" s="1058"/>
      <c r="U240" s="1060"/>
    </row>
    <row r="241" spans="2:21" s="1057" customFormat="1">
      <c r="B241" s="1057" t="s">
        <v>760</v>
      </c>
      <c r="C241" s="1056"/>
      <c r="E241" s="1056"/>
      <c r="F241" s="1058">
        <v>2937600</v>
      </c>
      <c r="G241" s="1058">
        <f>F241-24000*6</f>
        <v>2793600</v>
      </c>
      <c r="H241" s="1058">
        <f>220320*12</f>
        <v>2643840</v>
      </c>
      <c r="I241" s="1058">
        <f>H241/2</f>
        <v>1321920</v>
      </c>
      <c r="J241" s="1058"/>
      <c r="K241" s="1058"/>
      <c r="L241" s="1058"/>
      <c r="M241" s="1058"/>
      <c r="N241" s="1058">
        <v>0</v>
      </c>
      <c r="O241" s="1058">
        <v>0</v>
      </c>
      <c r="P241" s="1058">
        <v>0</v>
      </c>
      <c r="Q241" s="1058"/>
      <c r="U241" s="1060"/>
    </row>
    <row r="242" spans="2:21" s="1057" customFormat="1">
      <c r="B242" s="1057" t="s">
        <v>761</v>
      </c>
      <c r="C242" s="1056"/>
      <c r="E242" s="1056"/>
      <c r="F242" s="1058">
        <v>1554765</v>
      </c>
      <c r="G242" s="1058">
        <v>162000</v>
      </c>
      <c r="H242" s="1058"/>
      <c r="I242" s="1058"/>
      <c r="J242" s="1058">
        <v>0</v>
      </c>
      <c r="K242" s="1058">
        <v>0</v>
      </c>
      <c r="L242" s="1058">
        <v>0</v>
      </c>
      <c r="M242" s="1058">
        <v>0</v>
      </c>
      <c r="N242" s="1058">
        <v>0</v>
      </c>
      <c r="O242" s="1058">
        <v>0</v>
      </c>
      <c r="P242" s="1058">
        <v>0</v>
      </c>
      <c r="Q242" s="1058"/>
      <c r="U242" s="1060"/>
    </row>
    <row r="243" spans="2:21" s="1057" customFormat="1">
      <c r="B243" s="1057" t="s">
        <v>762</v>
      </c>
      <c r="C243" s="1056"/>
      <c r="E243" s="1056"/>
      <c r="F243" s="1058">
        <v>374727</v>
      </c>
      <c r="G243" s="1058"/>
      <c r="H243" s="1058"/>
      <c r="I243" s="1058"/>
      <c r="J243" s="1058">
        <v>0</v>
      </c>
      <c r="K243" s="1058">
        <v>0</v>
      </c>
      <c r="L243" s="1058">
        <v>0</v>
      </c>
      <c r="M243" s="1058">
        <v>0</v>
      </c>
      <c r="N243" s="1058">
        <v>0</v>
      </c>
      <c r="O243" s="1058">
        <v>0</v>
      </c>
      <c r="P243" s="1058">
        <v>0</v>
      </c>
      <c r="Q243" s="1058"/>
      <c r="U243" s="1060"/>
    </row>
    <row r="244" spans="2:21" s="1057" customFormat="1">
      <c r="B244" s="1057" t="s">
        <v>763</v>
      </c>
      <c r="C244" s="1056"/>
      <c r="E244" s="1056"/>
      <c r="F244" s="1058">
        <v>1837578</v>
      </c>
      <c r="G244" s="1058">
        <v>800000</v>
      </c>
      <c r="H244" s="1058">
        <v>600000</v>
      </c>
      <c r="I244" s="1058"/>
      <c r="J244" s="1058">
        <v>0</v>
      </c>
      <c r="K244" s="1058">
        <v>0</v>
      </c>
      <c r="L244" s="1058">
        <v>0</v>
      </c>
      <c r="M244" s="1058">
        <v>0</v>
      </c>
      <c r="N244" s="1058">
        <v>0</v>
      </c>
      <c r="O244" s="1058">
        <v>0</v>
      </c>
      <c r="P244" s="1058">
        <v>0</v>
      </c>
      <c r="Q244" s="1058"/>
      <c r="U244" s="1060"/>
    </row>
    <row r="245" spans="2:21" s="1057" customFormat="1" ht="4.5" customHeight="1">
      <c r="C245" s="1056"/>
      <c r="E245" s="1056"/>
      <c r="F245" s="1058"/>
      <c r="G245" s="1058"/>
      <c r="H245" s="1058"/>
      <c r="I245" s="1058"/>
      <c r="J245" s="1058"/>
      <c r="K245" s="1058"/>
      <c r="L245" s="1058"/>
      <c r="M245" s="1058"/>
      <c r="N245" s="1058"/>
      <c r="O245" s="1058"/>
      <c r="P245" s="1058"/>
      <c r="Q245" s="1058"/>
      <c r="U245" s="1060"/>
    </row>
    <row r="246" spans="2:21" s="1057" customFormat="1">
      <c r="C246" s="1056"/>
      <c r="E246" s="1056"/>
      <c r="F246" s="1067">
        <f>SUM(F236:F245)</f>
        <v>17405193</v>
      </c>
      <c r="G246" s="1067">
        <f>SUM(G236:G245)</f>
        <v>7447706</v>
      </c>
      <c r="H246" s="1067">
        <f t="shared" ref="H246:P246" si="60">SUM(H236:H245)</f>
        <v>3353316</v>
      </c>
      <c r="I246" s="1067">
        <f t="shared" si="60"/>
        <v>1321920</v>
      </c>
      <c r="J246" s="1067">
        <f t="shared" si="60"/>
        <v>0</v>
      </c>
      <c r="K246" s="1067">
        <f t="shared" si="60"/>
        <v>0</v>
      </c>
      <c r="L246" s="1067">
        <f t="shared" si="60"/>
        <v>0</v>
      </c>
      <c r="M246" s="1067">
        <f t="shared" si="60"/>
        <v>0</v>
      </c>
      <c r="N246" s="1067">
        <f t="shared" si="60"/>
        <v>0</v>
      </c>
      <c r="O246" s="1067">
        <f t="shared" si="60"/>
        <v>0</v>
      </c>
      <c r="P246" s="1067">
        <f t="shared" si="60"/>
        <v>0</v>
      </c>
      <c r="Q246" s="1058"/>
      <c r="U246" s="1060"/>
    </row>
    <row r="247" spans="2:21" s="1057" customFormat="1">
      <c r="C247" s="1056"/>
      <c r="E247" s="1056"/>
      <c r="F247" s="1058"/>
      <c r="G247" s="1058"/>
      <c r="H247" s="1058"/>
      <c r="I247" s="1058"/>
      <c r="J247" s="1058"/>
      <c r="K247" s="1058"/>
      <c r="L247" s="1058"/>
      <c r="M247" s="1058"/>
      <c r="N247" s="1058"/>
      <c r="O247" s="1058"/>
      <c r="P247" s="1058"/>
      <c r="Q247" s="1058"/>
      <c r="U247" s="1060"/>
    </row>
    <row r="248" spans="2:21" s="1057" customFormat="1">
      <c r="C248" s="1056"/>
      <c r="E248" s="1056"/>
      <c r="F248" s="1058"/>
      <c r="G248" s="1058"/>
      <c r="H248" s="1058">
        <f>3353316-H246</f>
        <v>0</v>
      </c>
      <c r="I248" s="1058"/>
      <c r="J248" s="1058"/>
      <c r="K248" s="1058"/>
      <c r="L248" s="1058"/>
      <c r="M248" s="1058"/>
      <c r="N248" s="1058"/>
      <c r="O248" s="1058"/>
      <c r="P248" s="1058"/>
      <c r="Q248" s="1058"/>
      <c r="U248" s="1060"/>
    </row>
    <row r="249" spans="2:21" s="1057" customFormat="1">
      <c r="B249" s="1057" t="s">
        <v>764</v>
      </c>
      <c r="C249" s="1056"/>
      <c r="E249" s="1056"/>
      <c r="F249" s="1058"/>
      <c r="G249" s="1058"/>
      <c r="H249" s="1058"/>
      <c r="I249" s="1058"/>
      <c r="J249" s="1058"/>
      <c r="K249" s="1058"/>
      <c r="L249" s="1058"/>
      <c r="M249" s="1058"/>
      <c r="N249" s="1058"/>
      <c r="O249" s="1058"/>
      <c r="P249" s="1058"/>
      <c r="Q249" s="1058"/>
      <c r="U249" s="1060"/>
    </row>
    <row r="250" spans="2:21" s="1057" customFormat="1">
      <c r="B250" s="1058" t="s">
        <v>765</v>
      </c>
      <c r="C250" s="1056"/>
      <c r="E250" s="1056"/>
      <c r="F250" s="1058">
        <v>65931</v>
      </c>
      <c r="G250" s="1058">
        <f>6092+12260</f>
        <v>18352</v>
      </c>
      <c r="H250" s="1058">
        <v>12000</v>
      </c>
      <c r="I250" s="1058">
        <v>0</v>
      </c>
      <c r="J250" s="1058">
        <v>0</v>
      </c>
      <c r="K250" s="1058">
        <v>0</v>
      </c>
      <c r="L250" s="1058">
        <v>0</v>
      </c>
      <c r="M250" s="1058">
        <v>0</v>
      </c>
      <c r="N250" s="1058">
        <v>0</v>
      </c>
      <c r="O250" s="1058">
        <v>0</v>
      </c>
      <c r="P250" s="1058">
        <v>0</v>
      </c>
      <c r="Q250" s="1058"/>
      <c r="U250" s="1060"/>
    </row>
    <row r="251" spans="2:21" s="1057" customFormat="1">
      <c r="B251" s="1058" t="s">
        <v>766</v>
      </c>
      <c r="C251" s="1056"/>
      <c r="E251" s="1056"/>
      <c r="F251" s="1058">
        <v>11336</v>
      </c>
      <c r="G251" s="1058">
        <v>511</v>
      </c>
      <c r="H251" s="1058">
        <v>0</v>
      </c>
      <c r="I251" s="1058">
        <v>0</v>
      </c>
      <c r="J251" s="1058">
        <v>0</v>
      </c>
      <c r="K251" s="1058">
        <v>0</v>
      </c>
      <c r="L251" s="1058">
        <v>0</v>
      </c>
      <c r="M251" s="1058">
        <v>0</v>
      </c>
      <c r="N251" s="1058">
        <v>0</v>
      </c>
      <c r="O251" s="1058">
        <v>0</v>
      </c>
      <c r="P251" s="1058">
        <v>0</v>
      </c>
      <c r="Q251" s="1058"/>
      <c r="U251" s="1060"/>
    </row>
    <row r="252" spans="2:21" s="1057" customFormat="1">
      <c r="B252" s="1058" t="s">
        <v>767</v>
      </c>
      <c r="C252" s="1056"/>
      <c r="E252" s="1056"/>
      <c r="F252" s="1058">
        <v>999762</v>
      </c>
      <c r="G252" s="1058">
        <v>990011</v>
      </c>
      <c r="H252" s="1058">
        <v>0</v>
      </c>
      <c r="I252" s="1058">
        <f>H252*1.05</f>
        <v>0</v>
      </c>
      <c r="J252" s="1058">
        <v>0</v>
      </c>
      <c r="K252" s="1058">
        <v>0</v>
      </c>
      <c r="L252" s="1058">
        <v>0</v>
      </c>
      <c r="M252" s="1058">
        <v>0</v>
      </c>
      <c r="N252" s="1058">
        <v>0</v>
      </c>
      <c r="O252" s="1058">
        <v>0</v>
      </c>
      <c r="P252" s="1058">
        <v>0</v>
      </c>
      <c r="Q252" s="1058"/>
      <c r="U252" s="1060"/>
    </row>
    <row r="253" spans="2:21" s="1057" customFormat="1">
      <c r="B253" s="1057" t="s">
        <v>768</v>
      </c>
      <c r="C253" s="1056"/>
      <c r="E253" s="1056"/>
      <c r="F253" s="1058">
        <v>150057</v>
      </c>
      <c r="G253" s="1058">
        <v>0</v>
      </c>
      <c r="H253" s="1058">
        <f>G253*1.05</f>
        <v>0</v>
      </c>
      <c r="I253" s="1058">
        <f>H253*1.05</f>
        <v>0</v>
      </c>
      <c r="J253" s="1058">
        <v>0</v>
      </c>
      <c r="K253" s="1058">
        <v>0</v>
      </c>
      <c r="L253" s="1058">
        <v>0</v>
      </c>
      <c r="M253" s="1058">
        <v>0</v>
      </c>
      <c r="N253" s="1058">
        <v>0</v>
      </c>
      <c r="O253" s="1058">
        <v>0</v>
      </c>
      <c r="P253" s="1058">
        <v>0</v>
      </c>
      <c r="U253" s="1060"/>
    </row>
    <row r="254" spans="2:21" s="1057" customFormat="1">
      <c r="B254" s="1057" t="s">
        <v>769</v>
      </c>
      <c r="C254" s="1056"/>
      <c r="E254" s="1056"/>
      <c r="F254" s="1058">
        <v>85103</v>
      </c>
      <c r="G254" s="1058"/>
      <c r="H254" s="1058"/>
      <c r="I254" s="1058"/>
      <c r="J254" s="1058">
        <v>0</v>
      </c>
      <c r="K254" s="1058">
        <v>0</v>
      </c>
      <c r="L254" s="1058">
        <v>0</v>
      </c>
      <c r="M254" s="1058">
        <v>0</v>
      </c>
      <c r="N254" s="1058">
        <v>0</v>
      </c>
      <c r="O254" s="1058">
        <v>0</v>
      </c>
      <c r="P254" s="1058">
        <v>0</v>
      </c>
      <c r="U254" s="1060"/>
    </row>
    <row r="255" spans="2:21" s="1057" customFormat="1">
      <c r="B255" s="1068" t="s">
        <v>812</v>
      </c>
      <c r="C255" s="1056"/>
      <c r="E255" s="1056"/>
      <c r="F255" s="1058">
        <v>300500</v>
      </c>
      <c r="G255" s="1058">
        <v>262502</v>
      </c>
      <c r="H255" s="1058">
        <v>262502</v>
      </c>
      <c r="I255" s="1058"/>
      <c r="J255" s="1058"/>
      <c r="K255" s="1058"/>
      <c r="L255" s="1058"/>
      <c r="M255" s="1058"/>
      <c r="N255" s="1058"/>
      <c r="O255" s="1058"/>
      <c r="P255" s="1058"/>
      <c r="U255" s="1060"/>
    </row>
    <row r="256" spans="2:21" s="1057" customFormat="1">
      <c r="B256" s="1058" t="s">
        <v>770</v>
      </c>
      <c r="C256" s="1056"/>
      <c r="E256" s="1056"/>
      <c r="F256" s="1058"/>
      <c r="G256" s="1058">
        <v>0</v>
      </c>
      <c r="H256" s="1058"/>
      <c r="I256" s="1058">
        <v>200000</v>
      </c>
      <c r="J256" s="1058">
        <f t="shared" ref="J256:P256" si="61">I256*1.05</f>
        <v>210000</v>
      </c>
      <c r="K256" s="1058">
        <f t="shared" si="61"/>
        <v>220500</v>
      </c>
      <c r="L256" s="1058">
        <f t="shared" si="61"/>
        <v>231525</v>
      </c>
      <c r="M256" s="1058">
        <f t="shared" si="61"/>
        <v>243101.25</v>
      </c>
      <c r="N256" s="1058">
        <f t="shared" si="61"/>
        <v>255256.3125</v>
      </c>
      <c r="O256" s="1058">
        <f t="shared" si="61"/>
        <v>268019.12812499999</v>
      </c>
      <c r="P256" s="1058">
        <f t="shared" si="61"/>
        <v>281420.08453125</v>
      </c>
      <c r="U256" s="1060"/>
    </row>
    <row r="257" spans="2:21" s="1057" customFormat="1" ht="5.25" customHeight="1">
      <c r="C257" s="1056"/>
      <c r="E257" s="1056"/>
      <c r="F257" s="1058"/>
      <c r="G257" s="1058"/>
      <c r="H257" s="1058"/>
      <c r="I257" s="1058"/>
      <c r="J257" s="1058"/>
      <c r="U257" s="1060"/>
    </row>
    <row r="258" spans="2:21" s="1057" customFormat="1">
      <c r="C258" s="1056"/>
      <c r="E258" s="1056"/>
      <c r="F258" s="1067">
        <f t="shared" ref="F258:P258" si="62">SUM(F250:F257)</f>
        <v>1612689</v>
      </c>
      <c r="G258" s="1067">
        <f t="shared" si="62"/>
        <v>1271376</v>
      </c>
      <c r="H258" s="1067">
        <f t="shared" si="62"/>
        <v>274502</v>
      </c>
      <c r="I258" s="1067">
        <f t="shared" si="62"/>
        <v>200000</v>
      </c>
      <c r="J258" s="1067">
        <f t="shared" si="62"/>
        <v>210000</v>
      </c>
      <c r="K258" s="1069">
        <f t="shared" si="62"/>
        <v>220500</v>
      </c>
      <c r="L258" s="1069">
        <f t="shared" si="62"/>
        <v>231525</v>
      </c>
      <c r="M258" s="1069">
        <f t="shared" si="62"/>
        <v>243101.25</v>
      </c>
      <c r="N258" s="1069">
        <f t="shared" si="62"/>
        <v>255256.3125</v>
      </c>
      <c r="O258" s="1069">
        <f t="shared" si="62"/>
        <v>268019.12812499999</v>
      </c>
      <c r="P258" s="1069">
        <f t="shared" si="62"/>
        <v>281420.08453125</v>
      </c>
      <c r="U258" s="1060"/>
    </row>
    <row r="259" spans="2:21" s="1057" customFormat="1">
      <c r="C259" s="1056"/>
      <c r="E259" s="1056"/>
      <c r="U259" s="1060"/>
    </row>
    <row r="260" spans="2:21" s="1057" customFormat="1">
      <c r="B260" s="1070" t="s">
        <v>1111</v>
      </c>
      <c r="C260" s="1056"/>
      <c r="E260" s="1056"/>
      <c r="U260" s="1060"/>
    </row>
    <row r="261" spans="2:21" s="1057" customFormat="1">
      <c r="B261" s="1056" t="s">
        <v>765</v>
      </c>
      <c r="C261" s="1056"/>
      <c r="E261" s="1056"/>
      <c r="F261" s="1058">
        <v>411414</v>
      </c>
      <c r="G261" s="1058">
        <f>359000+71800</f>
        <v>430800</v>
      </c>
      <c r="H261" s="1058">
        <v>430800</v>
      </c>
      <c r="I261" s="1058"/>
      <c r="J261" s="1058"/>
      <c r="K261" s="1058"/>
      <c r="L261" s="1058"/>
      <c r="M261" s="1058"/>
      <c r="N261" s="1058"/>
      <c r="O261" s="1058"/>
      <c r="P261" s="1058"/>
      <c r="U261" s="1060"/>
    </row>
    <row r="262" spans="2:21" s="1057" customFormat="1">
      <c r="B262" s="1056" t="s">
        <v>766</v>
      </c>
      <c r="C262" s="1056"/>
      <c r="E262" s="1056"/>
      <c r="F262" s="1058">
        <v>90534</v>
      </c>
      <c r="G262" s="1058">
        <v>12487</v>
      </c>
      <c r="H262" s="1058"/>
      <c r="I262" s="1058"/>
      <c r="J262" s="1058"/>
      <c r="K262" s="1058"/>
      <c r="L262" s="1058"/>
      <c r="M262" s="1058"/>
      <c r="N262" s="1058"/>
      <c r="O262" s="1058"/>
      <c r="P262" s="1058"/>
      <c r="U262" s="1060"/>
    </row>
    <row r="263" spans="2:21" s="1057" customFormat="1">
      <c r="B263" s="1056" t="s">
        <v>767</v>
      </c>
      <c r="C263" s="1056"/>
      <c r="E263" s="1056"/>
      <c r="F263" s="1058">
        <v>169668</v>
      </c>
      <c r="G263" s="1058">
        <v>222792</v>
      </c>
      <c r="H263" s="1058">
        <v>222792</v>
      </c>
      <c r="I263" s="1058">
        <f>H263</f>
        <v>222792</v>
      </c>
      <c r="J263" s="1058"/>
      <c r="K263" s="1058"/>
      <c r="L263" s="1058"/>
      <c r="M263" s="1058"/>
      <c r="N263" s="1058"/>
      <c r="O263" s="1058"/>
      <c r="P263" s="1058"/>
      <c r="U263" s="1060"/>
    </row>
    <row r="264" spans="2:21" s="1057" customFormat="1" ht="6" customHeight="1">
      <c r="C264" s="1056"/>
      <c r="E264" s="1056"/>
      <c r="F264" s="1058"/>
      <c r="G264" s="1058"/>
      <c r="H264" s="1058"/>
      <c r="I264" s="1058"/>
      <c r="J264" s="1058"/>
      <c r="K264" s="1058"/>
      <c r="L264" s="1058"/>
      <c r="M264" s="1058"/>
      <c r="N264" s="1058"/>
      <c r="O264" s="1058"/>
      <c r="P264" s="1058"/>
      <c r="U264" s="1060"/>
    </row>
    <row r="265" spans="2:21" s="1057" customFormat="1">
      <c r="C265" s="1056"/>
      <c r="E265" s="1056"/>
      <c r="F265" s="1067">
        <f t="shared" ref="F265:P265" si="63">SUM(F261:F264)</f>
        <v>671616</v>
      </c>
      <c r="G265" s="1067">
        <f t="shared" si="63"/>
        <v>666079</v>
      </c>
      <c r="H265" s="1067">
        <f t="shared" si="63"/>
        <v>653592</v>
      </c>
      <c r="I265" s="1067">
        <f t="shared" si="63"/>
        <v>222792</v>
      </c>
      <c r="J265" s="1067">
        <f t="shared" si="63"/>
        <v>0</v>
      </c>
      <c r="K265" s="1067">
        <f t="shared" si="63"/>
        <v>0</v>
      </c>
      <c r="L265" s="1067">
        <f t="shared" si="63"/>
        <v>0</v>
      </c>
      <c r="M265" s="1067">
        <f t="shared" si="63"/>
        <v>0</v>
      </c>
      <c r="N265" s="1067">
        <f t="shared" si="63"/>
        <v>0</v>
      </c>
      <c r="O265" s="1067">
        <f t="shared" si="63"/>
        <v>0</v>
      </c>
      <c r="P265" s="1067">
        <f t="shared" si="63"/>
        <v>0</v>
      </c>
      <c r="U265" s="1060"/>
    </row>
    <row r="266" spans="2:21" s="1057" customFormat="1">
      <c r="C266" s="1056"/>
      <c r="E266" s="1056"/>
      <c r="F266" s="1058"/>
      <c r="G266" s="1058"/>
      <c r="H266" s="1058"/>
      <c r="I266" s="1058"/>
      <c r="J266" s="1058"/>
      <c r="K266" s="1058"/>
      <c r="L266" s="1058"/>
      <c r="M266" s="1058"/>
      <c r="N266" s="1058"/>
      <c r="O266" s="1058"/>
      <c r="P266" s="1058"/>
      <c r="U266" s="1060"/>
    </row>
    <row r="267" spans="2:21">
      <c r="F267" s="442"/>
      <c r="G267" s="442"/>
      <c r="H267" s="442"/>
      <c r="I267" s="442"/>
      <c r="J267" s="442"/>
      <c r="K267" s="442"/>
      <c r="L267" s="442"/>
      <c r="M267" s="442"/>
      <c r="N267" s="442"/>
      <c r="O267" s="442"/>
      <c r="P267" s="442"/>
    </row>
    <row r="268" spans="2:21">
      <c r="F268" s="442"/>
      <c r="G268" s="442"/>
      <c r="H268" s="442"/>
      <c r="I268" s="442"/>
      <c r="J268" s="442"/>
      <c r="K268" s="442"/>
      <c r="L268" s="442"/>
      <c r="M268" s="442"/>
      <c r="N268" s="442"/>
      <c r="O268" s="442"/>
      <c r="P268" s="442"/>
    </row>
    <row r="269" spans="2:21">
      <c r="F269" s="442"/>
      <c r="G269" s="442"/>
      <c r="H269" s="442"/>
      <c r="I269" s="442"/>
      <c r="J269" s="442"/>
      <c r="K269" s="442"/>
      <c r="L269" s="442"/>
      <c r="M269" s="442"/>
      <c r="N269" s="442"/>
      <c r="O269" s="442"/>
      <c r="P269" s="442"/>
    </row>
    <row r="270" spans="2:21">
      <c r="F270" s="442"/>
      <c r="G270" s="442"/>
      <c r="H270" s="442"/>
      <c r="I270" s="442"/>
      <c r="J270" s="442"/>
      <c r="K270" s="442"/>
      <c r="L270" s="442"/>
      <c r="M270" s="442"/>
      <c r="N270" s="442"/>
      <c r="O270" s="442"/>
      <c r="P270" s="442"/>
    </row>
    <row r="271" spans="2:21">
      <c r="F271" s="442"/>
      <c r="G271" s="442"/>
      <c r="H271" s="442"/>
      <c r="I271" s="442"/>
      <c r="J271" s="442"/>
      <c r="K271" s="442"/>
      <c r="L271" s="442"/>
      <c r="M271" s="442"/>
      <c r="N271" s="442"/>
      <c r="O271" s="442"/>
      <c r="P271" s="442"/>
    </row>
    <row r="272" spans="2:21">
      <c r="F272" s="442"/>
      <c r="G272" s="442"/>
      <c r="H272" s="442"/>
      <c r="I272" s="442"/>
      <c r="J272" s="442"/>
      <c r="K272" s="442"/>
      <c r="L272" s="442"/>
      <c r="M272" s="442"/>
      <c r="N272" s="442"/>
      <c r="O272" s="442"/>
      <c r="P272" s="442"/>
    </row>
  </sheetData>
  <autoFilter ref="A3:P135"/>
  <phoneticPr fontId="301" type="noConversion"/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T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0" sqref="A20"/>
    </sheetView>
  </sheetViews>
  <sheetFormatPr defaultRowHeight="15"/>
  <cols>
    <col min="1" max="1" width="28.7109375" customWidth="1"/>
  </cols>
  <sheetData>
    <row r="1" spans="1:20">
      <c r="A1" s="1291" t="s">
        <v>1496</v>
      </c>
      <c r="B1" s="1291" t="s">
        <v>1454</v>
      </c>
      <c r="C1" s="1291" t="s">
        <v>528</v>
      </c>
      <c r="D1" s="1291" t="s">
        <v>529</v>
      </c>
      <c r="E1" s="1291" t="s">
        <v>530</v>
      </c>
      <c r="F1" s="1291" t="s">
        <v>531</v>
      </c>
      <c r="G1" s="1291" t="s">
        <v>532</v>
      </c>
      <c r="H1" s="1291" t="s">
        <v>533</v>
      </c>
      <c r="I1" s="1291" t="s">
        <v>534</v>
      </c>
      <c r="J1" s="1291" t="s">
        <v>535</v>
      </c>
      <c r="K1" s="1291" t="s">
        <v>536</v>
      </c>
      <c r="L1" s="1291" t="s">
        <v>537</v>
      </c>
      <c r="M1" s="1291" t="s">
        <v>538</v>
      </c>
      <c r="N1" s="1291" t="s">
        <v>27</v>
      </c>
      <c r="O1" s="1291" t="s">
        <v>554</v>
      </c>
      <c r="P1" s="1291" t="s">
        <v>575</v>
      </c>
      <c r="Q1" s="1291" t="s">
        <v>555</v>
      </c>
      <c r="R1" s="1291" t="s">
        <v>1455</v>
      </c>
      <c r="S1" s="1291" t="s">
        <v>574</v>
      </c>
      <c r="T1" s="1291" t="s">
        <v>1456</v>
      </c>
    </row>
    <row r="2" spans="1:20">
      <c r="A2" s="1294" t="s">
        <v>1457</v>
      </c>
      <c r="B2" s="220"/>
      <c r="C2" s="503">
        <v>0</v>
      </c>
      <c r="D2" s="503">
        <v>0</v>
      </c>
      <c r="E2" s="503">
        <v>0</v>
      </c>
      <c r="F2" s="503">
        <v>0</v>
      </c>
      <c r="G2" s="503">
        <v>1229.04</v>
      </c>
      <c r="H2" s="503">
        <v>16200.2672</v>
      </c>
      <c r="I2" s="503">
        <v>24024.473413020831</v>
      </c>
      <c r="J2" s="503">
        <v>55760.343329302654</v>
      </c>
      <c r="K2" s="503">
        <v>73219.185603859936</v>
      </c>
      <c r="L2" s="503">
        <v>92302.853186837354</v>
      </c>
      <c r="M2" s="503">
        <v>108421.08893621725</v>
      </c>
      <c r="N2" s="503">
        <v>122043.65750386343</v>
      </c>
      <c r="O2" s="503">
        <v>135699.57687809732</v>
      </c>
      <c r="P2" s="503">
        <v>159118.65265309406</v>
      </c>
      <c r="Q2" s="503">
        <v>173727.91165682575</v>
      </c>
      <c r="R2" s="220"/>
      <c r="S2" s="220"/>
      <c r="T2" s="220"/>
    </row>
    <row r="3" spans="1:20">
      <c r="A3" s="1291" t="s">
        <v>1458</v>
      </c>
      <c r="B3" s="220"/>
      <c r="C3" s="503">
        <v>0</v>
      </c>
      <c r="D3" s="503">
        <v>0</v>
      </c>
      <c r="E3" s="503">
        <v>0</v>
      </c>
      <c r="F3" s="503">
        <v>0</v>
      </c>
      <c r="G3" s="503">
        <v>1536.3</v>
      </c>
      <c r="H3" s="503">
        <v>20250.333999999999</v>
      </c>
      <c r="I3" s="503">
        <v>29753.533389820826</v>
      </c>
      <c r="J3" s="503">
        <v>64254.194576175498</v>
      </c>
      <c r="K3" s="503">
        <v>83717.934630518736</v>
      </c>
      <c r="L3" s="503">
        <v>104137.74502017183</v>
      </c>
      <c r="M3" s="503">
        <v>122239.29384306117</v>
      </c>
      <c r="N3" s="503">
        <v>137009.86609785445</v>
      </c>
      <c r="O3" s="503">
        <v>151541.76485697823</v>
      </c>
      <c r="P3" s="503">
        <v>175760.28763167968</v>
      </c>
      <c r="Q3" s="503">
        <v>191098.70744575933</v>
      </c>
      <c r="R3" s="220"/>
      <c r="S3" s="220"/>
      <c r="T3" s="220"/>
    </row>
    <row r="4" spans="1:20">
      <c r="A4" s="1291" t="s">
        <v>1459</v>
      </c>
      <c r="B4" s="220"/>
      <c r="C4" s="503">
        <v>0</v>
      </c>
      <c r="D4" s="503">
        <v>0</v>
      </c>
      <c r="E4" s="503">
        <v>0</v>
      </c>
      <c r="F4" s="503">
        <v>0</v>
      </c>
      <c r="G4" s="503">
        <v>307.26</v>
      </c>
      <c r="H4" s="503">
        <v>4050.0668000000001</v>
      </c>
      <c r="I4" s="503">
        <v>5729.0599768000002</v>
      </c>
      <c r="J4" s="503">
        <v>8493.8512468728386</v>
      </c>
      <c r="K4" s="503">
        <v>10498.749026658799</v>
      </c>
      <c r="L4" s="503">
        <v>11834.891833334477</v>
      </c>
      <c r="M4" s="503">
        <v>13818.204906843939</v>
      </c>
      <c r="N4" s="503">
        <v>14966.208593990999</v>
      </c>
      <c r="O4" s="503">
        <v>15842.18797888088</v>
      </c>
      <c r="P4" s="503">
        <v>16641.634978585593</v>
      </c>
      <c r="Q4" s="503">
        <v>17370.795788933607</v>
      </c>
      <c r="R4" s="220"/>
      <c r="S4" s="220"/>
      <c r="T4" s="220"/>
    </row>
    <row r="5" spans="1:20">
      <c r="A5" s="1294" t="s">
        <v>1460</v>
      </c>
      <c r="B5" s="220"/>
      <c r="C5" s="503">
        <v>0</v>
      </c>
      <c r="D5" s="503">
        <v>0</v>
      </c>
      <c r="E5" s="503">
        <v>0</v>
      </c>
      <c r="F5" s="503">
        <v>0</v>
      </c>
      <c r="G5" s="503">
        <v>-576.76912500000003</v>
      </c>
      <c r="H5" s="503">
        <v>-7170.9065325000001</v>
      </c>
      <c r="I5" s="503">
        <v>-10647.25434114706</v>
      </c>
      <c r="J5" s="503">
        <v>-21294.19227954806</v>
      </c>
      <c r="K5" s="503">
        <v>-27565.10212070516</v>
      </c>
      <c r="L5" s="503">
        <v>-32429.922264344794</v>
      </c>
      <c r="M5" s="503">
        <v>-37895.97840884477</v>
      </c>
      <c r="N5" s="503">
        <v>-42053.238645297781</v>
      </c>
      <c r="O5" s="503">
        <v>-45844.3760720516</v>
      </c>
      <c r="P5" s="503">
        <v>-50334.059470440203</v>
      </c>
      <c r="Q5" s="503">
        <v>-54768.453810872576</v>
      </c>
      <c r="R5" s="220"/>
      <c r="S5" s="220"/>
      <c r="T5" s="220"/>
    </row>
    <row r="6" spans="1:20">
      <c r="A6" s="1294" t="s">
        <v>1461</v>
      </c>
      <c r="B6" s="220"/>
      <c r="C6" s="503">
        <v>0</v>
      </c>
      <c r="D6" s="503">
        <v>0</v>
      </c>
      <c r="E6" s="503">
        <v>0</v>
      </c>
      <c r="F6" s="503">
        <v>0</v>
      </c>
      <c r="G6" s="503">
        <v>-4250</v>
      </c>
      <c r="H6" s="503">
        <v>-24212.048000000003</v>
      </c>
      <c r="I6" s="503">
        <v>-21089.191437279998</v>
      </c>
      <c r="J6" s="503">
        <v>-39065.023902194996</v>
      </c>
      <c r="K6" s="503">
        <v>-42622.815551090156</v>
      </c>
      <c r="L6" s="503">
        <v>-48587.558753946163</v>
      </c>
      <c r="M6" s="503">
        <v>-58231.57833401244</v>
      </c>
      <c r="N6" s="503">
        <v>-59630.227134389119</v>
      </c>
      <c r="O6" s="503">
        <v>-66039.159253034042</v>
      </c>
      <c r="P6" s="503">
        <v>-70442.017057651305</v>
      </c>
      <c r="Q6" s="503">
        <v>-78313.697609130206</v>
      </c>
      <c r="R6" s="220"/>
      <c r="S6" s="220"/>
      <c r="T6" s="220"/>
    </row>
    <row r="7" spans="1:20">
      <c r="A7" s="1291" t="s">
        <v>1462</v>
      </c>
      <c r="B7" s="220"/>
      <c r="C7" s="503">
        <v>0</v>
      </c>
      <c r="D7" s="503">
        <v>0</v>
      </c>
      <c r="E7" s="503">
        <v>0</v>
      </c>
      <c r="F7" s="503">
        <v>0</v>
      </c>
      <c r="G7" s="503">
        <v>-2530</v>
      </c>
      <c r="H7" s="503">
        <v>-15900</v>
      </c>
      <c r="I7" s="503">
        <v>-13435</v>
      </c>
      <c r="J7" s="503">
        <v>-30227.49144808729</v>
      </c>
      <c r="K7" s="503">
        <v>-32927.609503472355</v>
      </c>
      <c r="L7" s="503">
        <v>-38931.818412744804</v>
      </c>
      <c r="M7" s="503">
        <v>-47315.467471960255</v>
      </c>
      <c r="N7" s="503">
        <v>-48869.762580387964</v>
      </c>
      <c r="O7" s="503">
        <v>-55351.917164665763</v>
      </c>
      <c r="P7" s="503">
        <v>-59485.320050007962</v>
      </c>
      <c r="Q7" s="503">
        <v>-67260.911006276758</v>
      </c>
      <c r="R7" s="220"/>
      <c r="S7" s="220"/>
      <c r="T7" s="220"/>
    </row>
    <row r="8" spans="1:20">
      <c r="A8" s="1291" t="s">
        <v>1463</v>
      </c>
      <c r="B8" s="220"/>
      <c r="C8" s="503">
        <v>0</v>
      </c>
      <c r="D8" s="503">
        <v>0</v>
      </c>
      <c r="E8" s="503">
        <v>0</v>
      </c>
      <c r="F8" s="503">
        <v>0</v>
      </c>
      <c r="G8" s="503">
        <v>-1220</v>
      </c>
      <c r="H8" s="503">
        <v>-4842.5</v>
      </c>
      <c r="I8" s="503">
        <v>-4352.5</v>
      </c>
      <c r="J8" s="503">
        <v>-3777.5</v>
      </c>
      <c r="K8" s="503">
        <v>-4219.25</v>
      </c>
      <c r="L8" s="503">
        <v>-4449.25</v>
      </c>
      <c r="M8" s="503">
        <v>-4497.5</v>
      </c>
      <c r="N8" s="503">
        <v>-4497.5</v>
      </c>
      <c r="O8" s="503">
        <v>-4327.5</v>
      </c>
      <c r="P8" s="503">
        <v>-4327.5</v>
      </c>
      <c r="Q8" s="503">
        <v>-4227.5</v>
      </c>
      <c r="R8" s="220"/>
      <c r="S8" s="220"/>
      <c r="T8" s="220"/>
    </row>
    <row r="9" spans="1:20">
      <c r="A9" s="1291" t="s">
        <v>1464</v>
      </c>
      <c r="B9" s="220"/>
      <c r="C9" s="503">
        <v>0</v>
      </c>
      <c r="D9" s="503">
        <v>0</v>
      </c>
      <c r="E9" s="503">
        <v>0</v>
      </c>
      <c r="F9" s="503">
        <v>0</v>
      </c>
      <c r="G9" s="503">
        <v>0</v>
      </c>
      <c r="H9" s="503">
        <v>0</v>
      </c>
      <c r="I9" s="503">
        <v>0</v>
      </c>
      <c r="J9" s="503">
        <v>0</v>
      </c>
      <c r="K9" s="503">
        <v>0</v>
      </c>
      <c r="L9" s="503">
        <v>0</v>
      </c>
      <c r="M9" s="503">
        <v>0</v>
      </c>
      <c r="N9" s="503">
        <v>0</v>
      </c>
      <c r="O9" s="503">
        <v>0</v>
      </c>
      <c r="P9" s="503">
        <v>0</v>
      </c>
      <c r="Q9" s="503">
        <v>0</v>
      </c>
      <c r="R9" s="220"/>
      <c r="S9" s="220"/>
      <c r="T9" s="220"/>
    </row>
    <row r="10" spans="1:20">
      <c r="A10" s="1291" t="s">
        <v>1465</v>
      </c>
      <c r="B10" s="220"/>
      <c r="C10" s="503">
        <v>0</v>
      </c>
      <c r="D10" s="503">
        <v>0</v>
      </c>
      <c r="E10" s="503">
        <v>0</v>
      </c>
      <c r="F10" s="503">
        <v>0</v>
      </c>
      <c r="G10" s="503">
        <v>0</v>
      </c>
      <c r="H10" s="503">
        <v>-775.5</v>
      </c>
      <c r="I10" s="503">
        <v>-900</v>
      </c>
      <c r="J10" s="503">
        <v>-900</v>
      </c>
      <c r="K10" s="503">
        <v>-1100</v>
      </c>
      <c r="L10" s="503">
        <v>-1100</v>
      </c>
      <c r="M10" s="503">
        <v>-1421.75</v>
      </c>
      <c r="N10" s="503">
        <v>-1421.75</v>
      </c>
      <c r="O10" s="503">
        <v>-1421.75</v>
      </c>
      <c r="P10" s="503">
        <v>-1421.75</v>
      </c>
      <c r="Q10" s="503">
        <v>-1421.75</v>
      </c>
      <c r="R10" s="220"/>
      <c r="S10" s="220"/>
      <c r="T10" s="220"/>
    </row>
    <row r="11" spans="1:20">
      <c r="A11" s="1291" t="s">
        <v>1466</v>
      </c>
      <c r="B11" s="220"/>
      <c r="C11" s="503">
        <v>0</v>
      </c>
      <c r="D11" s="503">
        <v>0</v>
      </c>
      <c r="E11" s="503">
        <v>0</v>
      </c>
      <c r="F11" s="503">
        <v>0</v>
      </c>
      <c r="G11" s="503">
        <v>0</v>
      </c>
      <c r="H11" s="503">
        <v>-1194.048</v>
      </c>
      <c r="I11" s="503">
        <v>-1751.6914372799993</v>
      </c>
      <c r="J11" s="503">
        <v>-2810.032454107703</v>
      </c>
      <c r="K11" s="503">
        <v>-3425.9560476178031</v>
      </c>
      <c r="L11" s="503">
        <v>-3856.4903412013578</v>
      </c>
      <c r="M11" s="503">
        <v>-4246.8608620521836</v>
      </c>
      <c r="N11" s="503">
        <v>-4591.2145540011561</v>
      </c>
      <c r="O11" s="503">
        <v>-4837.9920883682871</v>
      </c>
      <c r="P11" s="503">
        <v>-5057.4470076433363</v>
      </c>
      <c r="Q11" s="503">
        <v>-5253.5366028534436</v>
      </c>
      <c r="R11" s="220"/>
      <c r="S11" s="220"/>
      <c r="T11" s="220"/>
    </row>
    <row r="12" spans="1:20">
      <c r="A12" s="1291" t="s">
        <v>1467</v>
      </c>
      <c r="B12" s="220"/>
      <c r="C12" s="503">
        <v>0</v>
      </c>
      <c r="D12" s="503">
        <v>0</v>
      </c>
      <c r="E12" s="503">
        <v>0</v>
      </c>
      <c r="F12" s="503">
        <v>0</v>
      </c>
      <c r="G12" s="503">
        <v>-500</v>
      </c>
      <c r="H12" s="503">
        <v>-1500</v>
      </c>
      <c r="I12" s="503">
        <v>-600</v>
      </c>
      <c r="J12" s="503">
        <v>-1250</v>
      </c>
      <c r="K12" s="503">
        <v>-850</v>
      </c>
      <c r="L12" s="503">
        <v>-100</v>
      </c>
      <c r="M12" s="503">
        <v>-550</v>
      </c>
      <c r="N12" s="503">
        <v>-100</v>
      </c>
      <c r="O12" s="503">
        <v>0</v>
      </c>
      <c r="P12" s="503">
        <v>0</v>
      </c>
      <c r="Q12" s="503">
        <v>0</v>
      </c>
      <c r="R12" s="220"/>
      <c r="S12" s="220"/>
      <c r="T12" s="220"/>
    </row>
    <row r="13" spans="1:20">
      <c r="A13" s="1291" t="s">
        <v>1468</v>
      </c>
      <c r="B13" s="220"/>
      <c r="C13" s="503">
        <v>0</v>
      </c>
      <c r="D13" s="503">
        <v>0</v>
      </c>
      <c r="E13" s="503">
        <v>0</v>
      </c>
      <c r="F13" s="503">
        <v>0</v>
      </c>
      <c r="G13" s="503">
        <v>0</v>
      </c>
      <c r="H13" s="503">
        <v>0</v>
      </c>
      <c r="I13" s="503">
        <v>0</v>
      </c>
      <c r="J13" s="503">
        <v>0</v>
      </c>
      <c r="K13" s="503">
        <v>0</v>
      </c>
      <c r="L13" s="503">
        <v>0</v>
      </c>
      <c r="M13" s="503">
        <v>0</v>
      </c>
      <c r="N13" s="503">
        <v>0</v>
      </c>
      <c r="O13" s="503">
        <v>0</v>
      </c>
      <c r="P13" s="503">
        <v>0</v>
      </c>
      <c r="Q13" s="503">
        <v>0</v>
      </c>
      <c r="R13" s="220"/>
      <c r="S13" s="220"/>
      <c r="T13" s="220"/>
    </row>
    <row r="14" spans="1:20">
      <c r="A14" s="1291" t="s">
        <v>1469</v>
      </c>
      <c r="B14" s="220"/>
      <c r="C14" s="503">
        <v>0</v>
      </c>
      <c r="D14" s="503">
        <v>0</v>
      </c>
      <c r="E14" s="503">
        <v>0</v>
      </c>
      <c r="F14" s="503">
        <v>0</v>
      </c>
      <c r="G14" s="503">
        <v>0</v>
      </c>
      <c r="H14" s="503">
        <v>0</v>
      </c>
      <c r="I14" s="503">
        <v>-50</v>
      </c>
      <c r="J14" s="503">
        <v>-100</v>
      </c>
      <c r="K14" s="503">
        <v>-100</v>
      </c>
      <c r="L14" s="503">
        <v>-150</v>
      </c>
      <c r="M14" s="503">
        <v>-200</v>
      </c>
      <c r="N14" s="503">
        <v>-150</v>
      </c>
      <c r="O14" s="503">
        <v>-100</v>
      </c>
      <c r="P14" s="503">
        <v>-150</v>
      </c>
      <c r="Q14" s="503">
        <v>-150</v>
      </c>
      <c r="R14" s="220"/>
      <c r="S14" s="220"/>
      <c r="T14" s="220"/>
    </row>
    <row r="15" spans="1:20">
      <c r="A15" s="1291" t="s">
        <v>1470</v>
      </c>
      <c r="B15" s="220"/>
      <c r="C15" s="503">
        <v>0</v>
      </c>
      <c r="D15" s="503">
        <v>0</v>
      </c>
      <c r="E15" s="503">
        <v>0</v>
      </c>
      <c r="F15" s="503">
        <v>0</v>
      </c>
      <c r="G15" s="503">
        <v>0</v>
      </c>
      <c r="H15" s="503">
        <v>0</v>
      </c>
      <c r="I15" s="503">
        <v>0</v>
      </c>
      <c r="J15" s="503">
        <v>0</v>
      </c>
      <c r="K15" s="503">
        <v>0</v>
      </c>
      <c r="L15" s="503">
        <v>0</v>
      </c>
      <c r="M15" s="503">
        <v>0</v>
      </c>
      <c r="N15" s="503">
        <v>0</v>
      </c>
      <c r="O15" s="503">
        <v>0</v>
      </c>
      <c r="P15" s="503">
        <v>0</v>
      </c>
      <c r="Q15" s="503">
        <v>0</v>
      </c>
      <c r="R15" s="220"/>
      <c r="S15" s="220"/>
      <c r="T15" s="220"/>
    </row>
    <row r="16" spans="1:20">
      <c r="A16" s="1294" t="s">
        <v>1471</v>
      </c>
      <c r="B16" s="220"/>
      <c r="C16" s="503">
        <v>0</v>
      </c>
      <c r="D16" s="503">
        <v>0</v>
      </c>
      <c r="E16" s="503">
        <v>-1672.6738875000001</v>
      </c>
      <c r="F16" s="503">
        <v>-3575.4843272499993</v>
      </c>
      <c r="G16" s="503">
        <v>-1892.96512981875</v>
      </c>
      <c r="H16" s="503">
        <v>-1949.7540837133124</v>
      </c>
      <c r="I16" s="503">
        <v>-2945.4285024629107</v>
      </c>
      <c r="J16" s="503">
        <v>-1930.5945002506899</v>
      </c>
      <c r="K16" s="503">
        <v>-994.2561676291059</v>
      </c>
      <c r="L16" s="503">
        <v>-1024.0838526579785</v>
      </c>
      <c r="M16" s="503">
        <v>-3114.1902300351667</v>
      </c>
      <c r="N16" s="503">
        <v>-2121.1653776513722</v>
      </c>
      <c r="O16" s="503">
        <v>-1065.7562629175188</v>
      </c>
      <c r="P16" s="503">
        <v>-1097.7289508050444</v>
      </c>
      <c r="Q16" s="503">
        <v>-1130.6608193291956</v>
      </c>
      <c r="R16" s="220"/>
      <c r="S16" s="220"/>
      <c r="T16" s="220"/>
    </row>
    <row r="17" spans="1:20">
      <c r="A17" s="1291" t="s">
        <v>1472</v>
      </c>
      <c r="B17" s="220"/>
      <c r="C17" s="503">
        <v>0</v>
      </c>
      <c r="D17" s="503">
        <v>0</v>
      </c>
      <c r="E17" s="503">
        <v>0</v>
      </c>
      <c r="F17" s="503">
        <v>0</v>
      </c>
      <c r="G17" s="503">
        <v>0</v>
      </c>
      <c r="H17" s="503">
        <v>0</v>
      </c>
      <c r="I17" s="503">
        <v>0</v>
      </c>
      <c r="J17" s="503">
        <v>0</v>
      </c>
      <c r="K17" s="503">
        <v>0</v>
      </c>
      <c r="L17" s="503">
        <v>0</v>
      </c>
      <c r="M17" s="503">
        <v>-602.74649613583858</v>
      </c>
      <c r="N17" s="503">
        <v>-620.82889101991373</v>
      </c>
      <c r="O17" s="503">
        <v>-639.45375775051116</v>
      </c>
      <c r="P17" s="503">
        <v>-658.63737048302653</v>
      </c>
      <c r="Q17" s="503">
        <v>-678.3964915975173</v>
      </c>
      <c r="R17" s="220"/>
      <c r="S17" s="220"/>
      <c r="T17" s="220"/>
    </row>
    <row r="18" spans="1:20">
      <c r="A18" s="1291" t="s">
        <v>1473</v>
      </c>
      <c r="B18" s="220"/>
      <c r="C18" s="503">
        <v>0</v>
      </c>
      <c r="D18" s="503">
        <v>0</v>
      </c>
      <c r="E18" s="503">
        <v>0</v>
      </c>
      <c r="F18" s="503">
        <v>0</v>
      </c>
      <c r="G18" s="503">
        <v>0</v>
      </c>
      <c r="H18" s="503">
        <v>0</v>
      </c>
      <c r="I18" s="503">
        <v>0</v>
      </c>
      <c r="J18" s="503">
        <v>0</v>
      </c>
      <c r="K18" s="503">
        <v>0</v>
      </c>
      <c r="L18" s="503">
        <v>0</v>
      </c>
      <c r="M18" s="503">
        <v>-401.83099742389265</v>
      </c>
      <c r="N18" s="503">
        <v>-413.88592734660938</v>
      </c>
      <c r="O18" s="503">
        <v>-426.30250516700767</v>
      </c>
      <c r="P18" s="503">
        <v>-439.09158032201799</v>
      </c>
      <c r="Q18" s="503">
        <v>-452.26432773167846</v>
      </c>
      <c r="R18" s="220"/>
      <c r="S18" s="220"/>
      <c r="T18" s="220"/>
    </row>
    <row r="19" spans="1:20">
      <c r="A19" s="1291" t="s">
        <v>1474</v>
      </c>
      <c r="B19" s="220"/>
      <c r="C19" s="503">
        <v>0</v>
      </c>
      <c r="D19" s="503">
        <v>0</v>
      </c>
      <c r="E19" s="503">
        <v>-398.25568750000002</v>
      </c>
      <c r="F19" s="503">
        <v>-618.40671625000004</v>
      </c>
      <c r="G19" s="503">
        <v>-210.32945886875001</v>
      </c>
      <c r="H19" s="503">
        <v>-216.63934263481252</v>
      </c>
      <c r="I19" s="503">
        <v>-446.27704582771383</v>
      </c>
      <c r="J19" s="503">
        <v>-459.66535720254558</v>
      </c>
      <c r="K19" s="503">
        <v>-236.72765895931099</v>
      </c>
      <c r="L19" s="503">
        <v>-243.82948872809015</v>
      </c>
      <c r="M19" s="503">
        <v>-502.28874677986573</v>
      </c>
      <c r="N19" s="503">
        <v>-258.67870459163083</v>
      </c>
      <c r="O19" s="503">
        <v>0</v>
      </c>
      <c r="P19" s="503">
        <v>0</v>
      </c>
      <c r="Q19" s="503">
        <v>0</v>
      </c>
      <c r="R19" s="220"/>
      <c r="S19" s="220"/>
      <c r="T19" s="220"/>
    </row>
    <row r="20" spans="1:20">
      <c r="A20" s="1291" t="s">
        <v>1475</v>
      </c>
      <c r="B20" s="220"/>
      <c r="C20" s="503">
        <v>0</v>
      </c>
      <c r="D20" s="503">
        <v>0</v>
      </c>
      <c r="E20" s="503">
        <v>-955.81364999999994</v>
      </c>
      <c r="F20" s="503">
        <v>-2460.3522379999995</v>
      </c>
      <c r="G20" s="503">
        <v>-1514.3721038549998</v>
      </c>
      <c r="H20" s="503">
        <v>-1559.8032669706499</v>
      </c>
      <c r="I20" s="503">
        <v>-2142.1298199730259</v>
      </c>
      <c r="J20" s="503">
        <v>-1103.1968572861083</v>
      </c>
      <c r="K20" s="503">
        <v>-568.146381502346</v>
      </c>
      <c r="L20" s="503">
        <v>-585.19077294741612</v>
      </c>
      <c r="M20" s="503">
        <v>-1205.4929922716772</v>
      </c>
      <c r="N20" s="503">
        <v>-620.82889101991373</v>
      </c>
      <c r="O20" s="503">
        <v>0</v>
      </c>
      <c r="P20" s="503">
        <v>0</v>
      </c>
      <c r="Q20" s="503">
        <v>0</v>
      </c>
      <c r="R20" s="220"/>
      <c r="S20" s="220"/>
      <c r="T20" s="220"/>
    </row>
    <row r="21" spans="1:20">
      <c r="A21" s="1291" t="s">
        <v>1476</v>
      </c>
      <c r="B21" s="220"/>
      <c r="C21" s="503">
        <v>0</v>
      </c>
      <c r="D21" s="503">
        <v>0</v>
      </c>
      <c r="E21" s="503">
        <v>-318.60455000000002</v>
      </c>
      <c r="F21" s="503">
        <v>-496.72537299999999</v>
      </c>
      <c r="G21" s="503">
        <v>-168.26356709500004</v>
      </c>
      <c r="H21" s="503">
        <v>-173.31147410785005</v>
      </c>
      <c r="I21" s="503">
        <v>-357.02163666217109</v>
      </c>
      <c r="J21" s="503">
        <v>-367.7322857620361</v>
      </c>
      <c r="K21" s="503">
        <v>-189.382127167449</v>
      </c>
      <c r="L21" s="503">
        <v>-195.06359098247214</v>
      </c>
      <c r="M21" s="503">
        <v>-401.8309974238926</v>
      </c>
      <c r="N21" s="503">
        <v>-206.94296367330469</v>
      </c>
      <c r="O21" s="503">
        <v>0</v>
      </c>
      <c r="P21" s="503">
        <v>0</v>
      </c>
      <c r="Q21" s="503">
        <v>0</v>
      </c>
      <c r="R21" s="220"/>
      <c r="S21" s="220"/>
      <c r="T21" s="220"/>
    </row>
    <row r="22" spans="1:20">
      <c r="A22" s="1291" t="s">
        <v>1477</v>
      </c>
      <c r="B22" s="220"/>
      <c r="C22" s="503">
        <v>0</v>
      </c>
      <c r="D22" s="503">
        <v>0</v>
      </c>
      <c r="E22" s="503">
        <v>0</v>
      </c>
      <c r="F22" s="503">
        <v>0</v>
      </c>
      <c r="G22" s="503">
        <v>0</v>
      </c>
      <c r="H22" s="503">
        <v>0</v>
      </c>
      <c r="I22" s="503">
        <v>0</v>
      </c>
      <c r="J22" s="503">
        <v>0</v>
      </c>
      <c r="K22" s="503">
        <v>0</v>
      </c>
      <c r="L22" s="503">
        <v>0</v>
      </c>
      <c r="M22" s="503">
        <v>0</v>
      </c>
      <c r="N22" s="503">
        <v>0</v>
      </c>
      <c r="O22" s="503">
        <v>0</v>
      </c>
      <c r="P22" s="503">
        <v>0</v>
      </c>
      <c r="Q22" s="503">
        <v>0</v>
      </c>
      <c r="R22" s="220"/>
      <c r="S22" s="220"/>
      <c r="T22" s="220"/>
    </row>
    <row r="23" spans="1:20">
      <c r="A23" s="1291" t="s">
        <v>1478</v>
      </c>
      <c r="B23" s="220"/>
      <c r="C23" s="503">
        <v>0</v>
      </c>
      <c r="D23" s="503">
        <v>0</v>
      </c>
      <c r="E23" s="503">
        <v>0</v>
      </c>
      <c r="F23" s="503">
        <v>0</v>
      </c>
      <c r="G23" s="503">
        <v>0</v>
      </c>
      <c r="H23" s="503">
        <v>0</v>
      </c>
      <c r="I23" s="503">
        <v>0</v>
      </c>
      <c r="J23" s="503">
        <v>0</v>
      </c>
      <c r="K23" s="503">
        <v>0</v>
      </c>
      <c r="L23" s="503">
        <v>0</v>
      </c>
      <c r="M23" s="503">
        <v>0</v>
      </c>
      <c r="N23" s="503">
        <v>0</v>
      </c>
      <c r="O23" s="503">
        <v>0</v>
      </c>
      <c r="P23" s="503">
        <v>0</v>
      </c>
      <c r="Q23" s="503">
        <v>0</v>
      </c>
      <c r="R23" s="220"/>
      <c r="S23" s="220"/>
      <c r="T23" s="220"/>
    </row>
    <row r="24" spans="1:20">
      <c r="A24" s="1294" t="s">
        <v>1479</v>
      </c>
      <c r="B24" s="220"/>
      <c r="C24" s="503">
        <v>0</v>
      </c>
      <c r="D24" s="503">
        <v>0</v>
      </c>
      <c r="E24" s="503">
        <v>0</v>
      </c>
      <c r="F24" s="503">
        <v>0</v>
      </c>
      <c r="G24" s="503">
        <v>0</v>
      </c>
      <c r="H24" s="503">
        <v>0</v>
      </c>
      <c r="I24" s="503">
        <v>0</v>
      </c>
      <c r="J24" s="503">
        <v>0</v>
      </c>
      <c r="K24" s="503">
        <v>0</v>
      </c>
      <c r="L24" s="503">
        <v>0</v>
      </c>
      <c r="M24" s="503">
        <v>-401.83099742389265</v>
      </c>
      <c r="N24" s="503">
        <v>-413.88592734660938</v>
      </c>
      <c r="O24" s="503">
        <v>-426.30250516700767</v>
      </c>
      <c r="P24" s="503">
        <v>-439.09158032201799</v>
      </c>
      <c r="Q24" s="503">
        <v>-452.26432773167846</v>
      </c>
      <c r="R24" s="220"/>
      <c r="S24" s="220"/>
      <c r="T24" s="220"/>
    </row>
    <row r="25" spans="1:20">
      <c r="A25" s="1291" t="s">
        <v>1480</v>
      </c>
      <c r="B25" s="220"/>
      <c r="C25" s="503">
        <v>0</v>
      </c>
      <c r="D25" s="503">
        <v>0</v>
      </c>
      <c r="E25" s="503">
        <v>0</v>
      </c>
      <c r="F25" s="503">
        <v>0</v>
      </c>
      <c r="G25" s="503">
        <v>0</v>
      </c>
      <c r="H25" s="503">
        <v>0</v>
      </c>
      <c r="I25" s="503">
        <v>0</v>
      </c>
      <c r="J25" s="503">
        <v>0</v>
      </c>
      <c r="K25" s="503">
        <v>0</v>
      </c>
      <c r="L25" s="503">
        <v>0</v>
      </c>
      <c r="M25" s="503">
        <v>-401.83099742389265</v>
      </c>
      <c r="N25" s="503">
        <v>-413.88592734660938</v>
      </c>
      <c r="O25" s="503">
        <v>-426.30250516700767</v>
      </c>
      <c r="P25" s="503">
        <v>-439.09158032201799</v>
      </c>
      <c r="Q25" s="503">
        <v>-452.26432773167846</v>
      </c>
      <c r="R25" s="220"/>
      <c r="S25" s="220"/>
      <c r="T25" s="220"/>
    </row>
    <row r="26" spans="1:20">
      <c r="A26" s="1291" t="s">
        <v>1481</v>
      </c>
      <c r="B26" s="220"/>
      <c r="C26" s="503">
        <v>0</v>
      </c>
      <c r="D26" s="503">
        <v>0</v>
      </c>
      <c r="E26" s="503">
        <v>0</v>
      </c>
      <c r="F26" s="503">
        <v>0</v>
      </c>
      <c r="G26" s="503">
        <v>0</v>
      </c>
      <c r="H26" s="503">
        <v>0</v>
      </c>
      <c r="I26" s="503">
        <v>0</v>
      </c>
      <c r="J26" s="503">
        <v>0</v>
      </c>
      <c r="K26" s="503">
        <v>0</v>
      </c>
      <c r="L26" s="503">
        <v>0</v>
      </c>
      <c r="M26" s="503">
        <v>0</v>
      </c>
      <c r="N26" s="503">
        <v>0</v>
      </c>
      <c r="O26" s="503">
        <v>0</v>
      </c>
      <c r="P26" s="503">
        <v>0</v>
      </c>
      <c r="Q26" s="503">
        <v>0</v>
      </c>
      <c r="R26" s="220"/>
      <c r="S26" s="220"/>
      <c r="T26" s="220"/>
    </row>
    <row r="27" spans="1:20">
      <c r="A27" s="1291" t="s">
        <v>1482</v>
      </c>
      <c r="B27" s="220"/>
      <c r="C27" s="503">
        <v>0</v>
      </c>
      <c r="D27" s="503">
        <v>0</v>
      </c>
      <c r="E27" s="503">
        <v>0</v>
      </c>
      <c r="F27" s="503">
        <v>0</v>
      </c>
      <c r="G27" s="503">
        <v>0</v>
      </c>
      <c r="H27" s="503">
        <v>0</v>
      </c>
      <c r="I27" s="503">
        <v>0</v>
      </c>
      <c r="J27" s="503">
        <v>0</v>
      </c>
      <c r="K27" s="503">
        <v>0</v>
      </c>
      <c r="L27" s="503">
        <v>0</v>
      </c>
      <c r="M27" s="503">
        <v>0</v>
      </c>
      <c r="N27" s="503">
        <v>0</v>
      </c>
      <c r="O27" s="503">
        <v>0</v>
      </c>
      <c r="P27" s="503">
        <v>0</v>
      </c>
      <c r="Q27" s="503">
        <v>0</v>
      </c>
      <c r="R27" s="220"/>
      <c r="S27" s="220"/>
      <c r="T27" s="220"/>
    </row>
    <row r="28" spans="1:20">
      <c r="A28" s="1294" t="s">
        <v>1483</v>
      </c>
      <c r="B28" s="220"/>
      <c r="C28" s="503">
        <v>0</v>
      </c>
      <c r="D28" s="503">
        <v>0</v>
      </c>
      <c r="E28" s="503">
        <v>0</v>
      </c>
      <c r="F28" s="503">
        <v>0</v>
      </c>
      <c r="G28" s="503">
        <v>-750</v>
      </c>
      <c r="H28" s="503">
        <v>-1500</v>
      </c>
      <c r="I28" s="503">
        <v>-750</v>
      </c>
      <c r="J28" s="503">
        <v>-750</v>
      </c>
      <c r="K28" s="503">
        <v>-1500</v>
      </c>
      <c r="L28" s="503">
        <v>-750</v>
      </c>
      <c r="M28" s="503">
        <v>0</v>
      </c>
      <c r="N28" s="503">
        <v>-750</v>
      </c>
      <c r="O28" s="503">
        <v>-1500</v>
      </c>
      <c r="P28" s="503">
        <v>-750</v>
      </c>
      <c r="Q28" s="503">
        <v>0</v>
      </c>
      <c r="R28" s="220"/>
      <c r="S28" s="220"/>
      <c r="T28" s="220"/>
    </row>
    <row r="29" spans="1:20">
      <c r="A29" s="1294" t="s">
        <v>1484</v>
      </c>
      <c r="B29" s="220"/>
      <c r="C29" s="503">
        <v>0</v>
      </c>
      <c r="D29" s="503">
        <v>0</v>
      </c>
      <c r="E29" s="503">
        <v>-1352.5</v>
      </c>
      <c r="F29" s="503">
        <v>-2660</v>
      </c>
      <c r="G29" s="503">
        <v>-1072</v>
      </c>
      <c r="H29" s="503">
        <v>-1465</v>
      </c>
      <c r="I29" s="503">
        <v>-1611</v>
      </c>
      <c r="J29" s="503">
        <v>-681</v>
      </c>
      <c r="K29" s="503">
        <v>-165</v>
      </c>
      <c r="L29" s="503">
        <v>-735</v>
      </c>
      <c r="M29" s="503">
        <v>-1715</v>
      </c>
      <c r="N29" s="503">
        <v>-980</v>
      </c>
      <c r="O29" s="503">
        <v>0</v>
      </c>
      <c r="P29" s="503">
        <v>0</v>
      </c>
      <c r="Q29" s="503">
        <v>0</v>
      </c>
      <c r="R29" s="220"/>
      <c r="S29" s="220"/>
      <c r="T29" s="220"/>
    </row>
    <row r="30" spans="1:20">
      <c r="A30" s="1294" t="s">
        <v>1485</v>
      </c>
      <c r="B30" s="220"/>
      <c r="C30" s="503">
        <v>0</v>
      </c>
      <c r="D30" s="503">
        <v>0</v>
      </c>
      <c r="E30" s="503">
        <v>0</v>
      </c>
      <c r="F30" s="503">
        <v>0</v>
      </c>
      <c r="G30" s="503">
        <v>0</v>
      </c>
      <c r="H30" s="503">
        <v>0</v>
      </c>
      <c r="I30" s="503">
        <v>0</v>
      </c>
      <c r="J30" s="503">
        <v>0</v>
      </c>
      <c r="K30" s="503">
        <v>0</v>
      </c>
      <c r="L30" s="503">
        <v>0</v>
      </c>
      <c r="M30" s="503">
        <v>0</v>
      </c>
      <c r="N30" s="503">
        <v>0</v>
      </c>
      <c r="O30" s="503">
        <v>0</v>
      </c>
      <c r="P30" s="503">
        <v>0</v>
      </c>
      <c r="Q30" s="503">
        <v>0</v>
      </c>
      <c r="R30" s="220"/>
      <c r="S30" s="220"/>
      <c r="T30" s="220"/>
    </row>
    <row r="31" spans="1:20">
      <c r="A31" s="1294" t="s">
        <v>1486</v>
      </c>
      <c r="B31" s="220"/>
      <c r="C31" s="503">
        <v>0</v>
      </c>
      <c r="D31" s="503">
        <v>0</v>
      </c>
      <c r="E31" s="503">
        <v>0</v>
      </c>
      <c r="F31" s="503">
        <v>-500</v>
      </c>
      <c r="G31" s="503">
        <v>-1000</v>
      </c>
      <c r="H31" s="503">
        <v>-1000</v>
      </c>
      <c r="I31" s="503">
        <v>-6700</v>
      </c>
      <c r="J31" s="503">
        <v>0</v>
      </c>
      <c r="K31" s="503">
        <v>0</v>
      </c>
      <c r="L31" s="503">
        <v>0</v>
      </c>
      <c r="M31" s="503">
        <v>0</v>
      </c>
      <c r="N31" s="503">
        <v>0</v>
      </c>
      <c r="O31" s="503">
        <v>0</v>
      </c>
      <c r="P31" s="503">
        <v>0</v>
      </c>
      <c r="Q31" s="503">
        <v>0</v>
      </c>
      <c r="R31" s="220"/>
      <c r="S31" s="220"/>
      <c r="T31" s="220"/>
    </row>
    <row r="32" spans="1:20">
      <c r="A32" s="1294" t="s">
        <v>1487</v>
      </c>
      <c r="B32" s="220"/>
      <c r="C32" s="503">
        <v>0</v>
      </c>
      <c r="D32" s="503">
        <v>0</v>
      </c>
      <c r="E32" s="503">
        <v>0</v>
      </c>
      <c r="F32" s="503">
        <v>0</v>
      </c>
      <c r="G32" s="503">
        <v>-300</v>
      </c>
      <c r="H32" s="503">
        <v>0</v>
      </c>
      <c r="I32" s="503">
        <v>-312</v>
      </c>
      <c r="J32" s="503">
        <v>0</v>
      </c>
      <c r="K32" s="503">
        <v>0</v>
      </c>
      <c r="L32" s="503">
        <v>0</v>
      </c>
      <c r="M32" s="503">
        <v>0</v>
      </c>
      <c r="N32" s="503">
        <v>0</v>
      </c>
      <c r="O32" s="503">
        <v>0</v>
      </c>
      <c r="P32" s="503">
        <v>0</v>
      </c>
      <c r="Q32" s="503">
        <v>0</v>
      </c>
      <c r="R32" s="220"/>
      <c r="S32" s="220"/>
      <c r="T32" s="220"/>
    </row>
    <row r="33" spans="1:20">
      <c r="A33" s="1294" t="s">
        <v>1488</v>
      </c>
      <c r="B33" s="220"/>
      <c r="C33" s="503">
        <v>0</v>
      </c>
      <c r="D33" s="503">
        <v>0</v>
      </c>
      <c r="E33" s="503">
        <v>0</v>
      </c>
      <c r="F33" s="503">
        <v>0</v>
      </c>
      <c r="G33" s="503">
        <v>0</v>
      </c>
      <c r="H33" s="503">
        <v>0</v>
      </c>
      <c r="I33" s="503">
        <v>0</v>
      </c>
      <c r="J33" s="503">
        <v>0</v>
      </c>
      <c r="K33" s="503">
        <v>0</v>
      </c>
      <c r="L33" s="503">
        <v>0</v>
      </c>
      <c r="M33" s="503">
        <v>0</v>
      </c>
      <c r="N33" s="503">
        <v>0</v>
      </c>
      <c r="O33" s="503">
        <v>0</v>
      </c>
      <c r="P33" s="503">
        <v>0</v>
      </c>
      <c r="Q33" s="503">
        <v>0</v>
      </c>
      <c r="R33" s="220"/>
      <c r="S33" s="220"/>
      <c r="T33" s="220"/>
    </row>
    <row r="34" spans="1:20">
      <c r="A34" s="1294" t="s">
        <v>1489</v>
      </c>
      <c r="B34" s="220"/>
      <c r="C34" s="503">
        <v>0</v>
      </c>
      <c r="D34" s="503">
        <v>0</v>
      </c>
      <c r="E34" s="503">
        <v>-3025.1738875000001</v>
      </c>
      <c r="F34" s="503">
        <v>-6735.4843272500002</v>
      </c>
      <c r="G34" s="503">
        <v>-8612.6942548187508</v>
      </c>
      <c r="H34" s="503">
        <v>-21097.441416213314</v>
      </c>
      <c r="I34" s="503">
        <v>-20030.400867869143</v>
      </c>
      <c r="J34" s="503">
        <v>-7960.4673526910892</v>
      </c>
      <c r="K34" s="503">
        <v>372.01176443551594</v>
      </c>
      <c r="L34" s="503">
        <v>8776.2883158884215</v>
      </c>
      <c r="M34" s="503">
        <v>7062.5109659009777</v>
      </c>
      <c r="N34" s="503">
        <v>16095.140419178548</v>
      </c>
      <c r="O34" s="503">
        <v>20823.982784927171</v>
      </c>
      <c r="P34" s="503">
        <v>36055.755593875547</v>
      </c>
      <c r="Q34" s="503">
        <v>39062.835089762026</v>
      </c>
      <c r="R34" s="220"/>
      <c r="S34" s="220"/>
      <c r="T34" s="220"/>
    </row>
    <row r="35" spans="1:20">
      <c r="A35" s="1294" t="s">
        <v>1490</v>
      </c>
      <c r="B35" s="220"/>
      <c r="C35" s="1221" t="s">
        <v>1497</v>
      </c>
      <c r="D35" s="1221" t="s">
        <v>1497</v>
      </c>
      <c r="E35" s="1221" t="s">
        <v>1497</v>
      </c>
      <c r="F35" s="1221" t="s">
        <v>1497</v>
      </c>
      <c r="G35" s="1221">
        <v>-7.0076598441212257</v>
      </c>
      <c r="H35" s="1221">
        <v>-1.3022897187901514</v>
      </c>
      <c r="I35" s="1221">
        <v>-0.83374984015312603</v>
      </c>
      <c r="J35" s="1221">
        <v>-0.14276216532023717</v>
      </c>
      <c r="K35" s="1221">
        <v>5.0807962608082381E-3</v>
      </c>
      <c r="L35" s="1221">
        <v>9.5081441286800281E-2</v>
      </c>
      <c r="M35" s="1221">
        <v>6.5139642436682813E-2</v>
      </c>
      <c r="N35" s="1221">
        <v>0.13188018737203969</v>
      </c>
      <c r="O35" s="1221">
        <v>0.15345650490593593</v>
      </c>
      <c r="P35" s="1221">
        <v>0.22659666225607927</v>
      </c>
      <c r="Q35" s="1221">
        <v>0.22485065708338786</v>
      </c>
      <c r="R35" s="220"/>
      <c r="S35" s="220"/>
      <c r="T35" s="220"/>
    </row>
    <row r="36" spans="1:20">
      <c r="A36" s="1294" t="s">
        <v>1491</v>
      </c>
      <c r="B36" s="220"/>
      <c r="C36" s="503">
        <v>0</v>
      </c>
      <c r="D36" s="503">
        <v>0</v>
      </c>
      <c r="E36" s="503">
        <v>-3025.1738875000001</v>
      </c>
      <c r="F36" s="503">
        <v>-9760.6582147499994</v>
      </c>
      <c r="G36" s="503">
        <v>-18373.352469568748</v>
      </c>
      <c r="H36" s="503">
        <v>-39470.793885782063</v>
      </c>
      <c r="I36" s="503">
        <v>-59501.194753651209</v>
      </c>
      <c r="J36" s="503">
        <v>-67461.662106342294</v>
      </c>
      <c r="K36" s="503">
        <v>-67089.650341906774</v>
      </c>
      <c r="L36" s="503">
        <v>-58313.36202601836</v>
      </c>
      <c r="M36" s="503">
        <v>-51250.851060117369</v>
      </c>
      <c r="N36" s="503">
        <v>-35155.710640938836</v>
      </c>
      <c r="O36" s="503">
        <v>-14331.727856011659</v>
      </c>
      <c r="P36" s="503">
        <v>21724.027737863886</v>
      </c>
      <c r="Q36" s="503">
        <v>60786.862827625941</v>
      </c>
      <c r="R36" s="557">
        <v>11.397487935558507</v>
      </c>
      <c r="S36" s="1221">
        <v>9.1500985647689603E-2</v>
      </c>
      <c r="T36" s="1221">
        <v>0.1211858199886181</v>
      </c>
    </row>
    <row r="37" spans="1:20">
      <c r="A37" s="1291" t="s">
        <v>1492</v>
      </c>
      <c r="B37" s="220"/>
      <c r="C37" s="220"/>
      <c r="D37" s="220"/>
      <c r="E37" s="220"/>
      <c r="F37" s="220"/>
      <c r="G37" s="503">
        <v>-6719.7291250000007</v>
      </c>
      <c r="H37" s="503">
        <v>-19147.687332500002</v>
      </c>
      <c r="I37" s="503">
        <v>-17084.972365406233</v>
      </c>
      <c r="J37" s="503">
        <v>-6029.8728524403996</v>
      </c>
      <c r="K37" s="503">
        <v>1366.2679320646218</v>
      </c>
      <c r="L37" s="503">
        <v>9800.3721685464006</v>
      </c>
      <c r="M37" s="503">
        <v>10176.701195936144</v>
      </c>
      <c r="N37" s="503">
        <v>18216.305796829918</v>
      </c>
      <c r="O37" s="503">
        <v>21889.739047844691</v>
      </c>
      <c r="P37" s="503">
        <v>37153.484544680592</v>
      </c>
      <c r="Q37" s="503">
        <v>40193.495909091223</v>
      </c>
      <c r="R37" s="220"/>
      <c r="S37" s="220"/>
      <c r="T37" s="220"/>
    </row>
    <row r="38" spans="1:20">
      <c r="A38" s="1291"/>
      <c r="B38" s="220"/>
      <c r="C38" s="220"/>
      <c r="D38" s="220"/>
      <c r="E38" s="220"/>
      <c r="F38" s="220"/>
      <c r="G38" s="220"/>
      <c r="H38" s="220"/>
      <c r="I38" s="220"/>
      <c r="J38" s="220"/>
      <c r="K38" s="220"/>
      <c r="L38" s="220"/>
      <c r="M38" s="220"/>
      <c r="N38" s="220"/>
      <c r="O38" s="220"/>
      <c r="P38" s="220"/>
      <c r="Q38" s="220"/>
      <c r="R38" s="220"/>
      <c r="S38" s="220"/>
      <c r="T38" s="220"/>
    </row>
    <row r="39" spans="1:20">
      <c r="A39" s="1291" t="s">
        <v>1498</v>
      </c>
      <c r="B39" s="220" t="s">
        <v>1454</v>
      </c>
      <c r="C39" s="220" t="s">
        <v>528</v>
      </c>
      <c r="D39" s="220" t="s">
        <v>529</v>
      </c>
      <c r="E39" s="220" t="s">
        <v>530</v>
      </c>
      <c r="F39" s="220" t="s">
        <v>531</v>
      </c>
      <c r="G39" s="220" t="s">
        <v>532</v>
      </c>
      <c r="H39" s="220" t="s">
        <v>533</v>
      </c>
      <c r="I39" s="220" t="s">
        <v>534</v>
      </c>
      <c r="J39" s="220" t="s">
        <v>535</v>
      </c>
      <c r="K39" s="220" t="s">
        <v>536</v>
      </c>
      <c r="L39" s="220" t="s">
        <v>537</v>
      </c>
      <c r="M39" s="220" t="s">
        <v>538</v>
      </c>
      <c r="N39" s="220" t="s">
        <v>27</v>
      </c>
      <c r="O39" s="220" t="s">
        <v>554</v>
      </c>
      <c r="P39" s="220" t="s">
        <v>575</v>
      </c>
      <c r="Q39" s="220" t="s">
        <v>555</v>
      </c>
      <c r="R39" s="220"/>
      <c r="S39" s="220"/>
      <c r="T39" s="220"/>
    </row>
    <row r="40" spans="1:20">
      <c r="A40" s="1291" t="s">
        <v>1493</v>
      </c>
      <c r="B40" s="220"/>
      <c r="C40" s="503">
        <v>0</v>
      </c>
      <c r="D40" s="503">
        <v>0</v>
      </c>
      <c r="E40" s="503">
        <v>0</v>
      </c>
      <c r="F40" s="503">
        <v>0</v>
      </c>
      <c r="G40" s="503">
        <v>0</v>
      </c>
      <c r="H40" s="503">
        <v>0</v>
      </c>
      <c r="I40" s="503">
        <v>715.29950823000013</v>
      </c>
      <c r="J40" s="503">
        <v>11736.887949329057</v>
      </c>
      <c r="K40" s="503">
        <v>16894.98385703257</v>
      </c>
      <c r="L40" s="503">
        <v>21785.368166385233</v>
      </c>
      <c r="M40" s="503">
        <v>25860.608261435311</v>
      </c>
      <c r="N40" s="503">
        <v>30176.013857515587</v>
      </c>
      <c r="O40" s="503">
        <v>35156.469177784791</v>
      </c>
      <c r="P40" s="503">
        <v>40054.876397252759</v>
      </c>
      <c r="Q40" s="503">
        <v>45333.266063560746</v>
      </c>
      <c r="R40" s="220"/>
      <c r="S40" s="220"/>
      <c r="T40" s="220"/>
    </row>
    <row r="41" spans="1:20">
      <c r="A41" s="1291" t="s">
        <v>1494</v>
      </c>
      <c r="B41" s="220"/>
      <c r="C41" s="503">
        <v>0</v>
      </c>
      <c r="D41" s="503">
        <v>0</v>
      </c>
      <c r="E41" s="503">
        <v>0</v>
      </c>
      <c r="F41" s="503">
        <v>0</v>
      </c>
      <c r="G41" s="503">
        <v>0</v>
      </c>
      <c r="H41" s="503">
        <v>0</v>
      </c>
      <c r="I41" s="503">
        <v>0</v>
      </c>
      <c r="J41" s="503">
        <v>0</v>
      </c>
      <c r="K41" s="503">
        <v>0</v>
      </c>
      <c r="L41" s="503">
        <v>0</v>
      </c>
      <c r="M41" s="503">
        <v>0</v>
      </c>
      <c r="N41" s="503">
        <v>0</v>
      </c>
      <c r="O41" s="503">
        <v>0</v>
      </c>
      <c r="P41" s="503">
        <v>0</v>
      </c>
      <c r="Q41" s="503">
        <v>0</v>
      </c>
      <c r="R41" s="220"/>
      <c r="S41" s="220"/>
      <c r="T41" s="220"/>
    </row>
    <row r="42" spans="1:20">
      <c r="A42" s="1291" t="s">
        <v>1495</v>
      </c>
      <c r="B42" s="220"/>
      <c r="C42" s="503">
        <v>0</v>
      </c>
      <c r="D42" s="503">
        <v>0</v>
      </c>
      <c r="E42" s="503">
        <v>0</v>
      </c>
      <c r="F42" s="503">
        <v>0</v>
      </c>
      <c r="G42" s="503">
        <v>0</v>
      </c>
      <c r="H42" s="503">
        <v>210</v>
      </c>
      <c r="I42" s="503">
        <v>235.20000000000002</v>
      </c>
      <c r="J42" s="503">
        <v>256.36800000000005</v>
      </c>
      <c r="K42" s="503">
        <v>274.31376000000006</v>
      </c>
      <c r="L42" s="503">
        <v>288.02944800000006</v>
      </c>
      <c r="M42" s="503">
        <v>698.90553144</v>
      </c>
      <c r="N42" s="503">
        <v>735.10669944000006</v>
      </c>
      <c r="O42" s="503">
        <v>765.79724520000013</v>
      </c>
      <c r="P42" s="503">
        <v>784.56232175040009</v>
      </c>
      <c r="Q42" s="503">
        <v>799.19908145971203</v>
      </c>
      <c r="R42" s="220"/>
      <c r="S42" s="220"/>
      <c r="T42" s="220"/>
    </row>
  </sheetData>
  <phoneticPr fontId="30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tabColor rgb="FFFFC000"/>
  </sheetPr>
  <dimension ref="A1:AA311"/>
  <sheetViews>
    <sheetView zoomScale="90" zoomScaleNormal="90" workbookViewId="0">
      <pane xSplit="4" ySplit="6" topLeftCell="O246" activePane="bottomRight" state="frozen"/>
      <selection pane="topRight" activeCell="E1" sqref="E1"/>
      <selection pane="bottomLeft" activeCell="A7" sqref="A7"/>
      <selection pane="bottomRight" activeCell="T256" sqref="T256"/>
    </sheetView>
  </sheetViews>
  <sheetFormatPr defaultColWidth="9.42578125" defaultRowHeight="15" outlineLevelRow="1" outlineLevelCol="1"/>
  <cols>
    <col min="1" max="1" width="4.5703125" customWidth="1"/>
    <col min="2" max="2" width="34" customWidth="1"/>
    <col min="3" max="3" width="26" style="220" customWidth="1"/>
    <col min="4" max="4" width="2" customWidth="1"/>
    <col min="5" max="5" width="32.5703125" customWidth="1"/>
    <col min="6" max="6" width="14.5703125" customWidth="1"/>
    <col min="7" max="10" width="14.5703125" customWidth="1" outlineLevel="1"/>
    <col min="11" max="11" width="14.5703125" customWidth="1"/>
    <col min="12" max="12" width="15.5703125" customWidth="1"/>
    <col min="13" max="13" width="16.85546875" customWidth="1"/>
    <col min="14" max="22" width="15.5703125" customWidth="1"/>
    <col min="23" max="23" width="18.5703125" customWidth="1"/>
    <col min="24" max="24" width="14.5703125" customWidth="1"/>
    <col min="26" max="27" width="15.42578125" customWidth="1"/>
  </cols>
  <sheetData>
    <row r="1" spans="1:27" ht="18">
      <c r="A1" s="53" t="s">
        <v>590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462"/>
      <c r="M1" s="497"/>
      <c r="N1" s="497"/>
      <c r="O1" s="462">
        <v>116373442.34879997</v>
      </c>
      <c r="P1" s="462">
        <v>145466802.93599996</v>
      </c>
      <c r="Q1" s="462">
        <v>157104147.17087996</v>
      </c>
      <c r="R1" s="462">
        <v>161817271.58600637</v>
      </c>
      <c r="S1" s="462">
        <v>166671789.73358658</v>
      </c>
      <c r="T1" s="462">
        <v>171671943.42559418</v>
      </c>
      <c r="U1" s="462">
        <v>176822101.72836202</v>
      </c>
      <c r="V1" s="462">
        <v>182126764.78021288</v>
      </c>
      <c r="W1" s="68" t="s">
        <v>1160</v>
      </c>
      <c r="X1" s="549"/>
      <c r="Y1" s="550"/>
      <c r="Z1" s="54"/>
      <c r="AA1" s="54"/>
    </row>
    <row r="2" spans="1:27" ht="15.75" thickBot="1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408">
        <v>157832478.72</v>
      </c>
      <c r="P2" s="408">
        <v>159252971.02847999</v>
      </c>
      <c r="Q2" s="408">
        <v>178681833.49395454</v>
      </c>
      <c r="R2" s="408">
        <v>201553108.18118075</v>
      </c>
      <c r="S2" s="408">
        <v>205584170.34480438</v>
      </c>
      <c r="T2" s="408">
        <v>234571538.3634218</v>
      </c>
      <c r="U2" s="408">
        <v>267411553.73430088</v>
      </c>
      <c r="V2" s="408">
        <v>275433900.34632993</v>
      </c>
      <c r="W2" s="68" t="s">
        <v>1161</v>
      </c>
      <c r="X2" s="54"/>
      <c r="Y2" s="54"/>
      <c r="Z2" s="54"/>
      <c r="AA2" s="54"/>
    </row>
    <row r="3" spans="1:27" ht="16.5" customHeight="1" thickBot="1">
      <c r="A3" s="55" t="s">
        <v>48</v>
      </c>
      <c r="B3" s="55"/>
      <c r="C3" s="55"/>
      <c r="D3" s="55"/>
      <c r="E3" s="56">
        <f>'Cashflow forecast'!B5</f>
        <v>1</v>
      </c>
      <c r="F3" s="54"/>
      <c r="G3" s="1659"/>
      <c r="H3" s="1659"/>
      <c r="I3" s="1659"/>
      <c r="J3" s="1659"/>
      <c r="K3" s="1659"/>
      <c r="L3" s="1659"/>
      <c r="M3" s="1660"/>
      <c r="N3" s="1661" t="s">
        <v>9</v>
      </c>
      <c r="O3" s="1662"/>
      <c r="P3" s="1662"/>
      <c r="Q3" s="1662"/>
      <c r="R3" s="1662"/>
      <c r="S3" s="1662"/>
      <c r="T3" s="1662"/>
      <c r="U3" s="1662"/>
      <c r="V3" s="1663"/>
      <c r="W3" s="54"/>
      <c r="X3" s="54"/>
      <c r="Y3" s="54"/>
      <c r="Z3" s="54"/>
      <c r="AA3" s="54"/>
    </row>
    <row r="4" spans="1:27">
      <c r="A4" s="55" t="s">
        <v>49</v>
      </c>
      <c r="B4" s="55"/>
      <c r="C4" s="55"/>
      <c r="D4" s="55"/>
      <c r="E4" s="56">
        <f>'Cashflow forecast'!B6</f>
        <v>1</v>
      </c>
      <c r="F4" s="54"/>
      <c r="G4" s="54"/>
      <c r="H4" s="54"/>
      <c r="I4" s="54"/>
      <c r="J4" s="54"/>
      <c r="K4" s="54"/>
      <c r="L4" s="54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54"/>
      <c r="X4" s="471"/>
      <c r="Y4" s="471"/>
      <c r="Z4" s="471"/>
      <c r="AA4" s="471"/>
    </row>
    <row r="5" spans="1:27">
      <c r="A5" s="54"/>
      <c r="B5" s="54"/>
      <c r="C5" s="54"/>
      <c r="D5" s="54"/>
      <c r="E5" s="54"/>
      <c r="F5" s="54"/>
      <c r="G5" s="57" t="s">
        <v>50</v>
      </c>
      <c r="H5" s="153" t="s">
        <v>51</v>
      </c>
      <c r="I5" s="153" t="s">
        <v>51</v>
      </c>
      <c r="J5" s="153" t="s">
        <v>51</v>
      </c>
      <c r="K5" s="153" t="s">
        <v>51</v>
      </c>
      <c r="L5" s="153" t="s">
        <v>51</v>
      </c>
      <c r="M5" s="57" t="s">
        <v>51</v>
      </c>
      <c r="N5" s="57" t="s">
        <v>51</v>
      </c>
      <c r="O5" s="57" t="s">
        <v>52</v>
      </c>
      <c r="P5" s="57" t="s">
        <v>53</v>
      </c>
      <c r="Q5" s="57" t="s">
        <v>53</v>
      </c>
      <c r="R5" s="57" t="s">
        <v>53</v>
      </c>
      <c r="S5" s="57" t="s">
        <v>53</v>
      </c>
      <c r="T5" s="57" t="s">
        <v>53</v>
      </c>
      <c r="U5" s="57" t="s">
        <v>53</v>
      </c>
      <c r="V5" s="57" t="s">
        <v>53</v>
      </c>
      <c r="W5" s="57"/>
      <c r="X5" s="474"/>
      <c r="Y5" s="475"/>
      <c r="Z5" s="476"/>
      <c r="AA5" s="471"/>
    </row>
    <row r="6" spans="1:27" s="59" customFormat="1">
      <c r="G6" s="60" t="s">
        <v>55</v>
      </c>
      <c r="H6" s="154" t="s">
        <v>56</v>
      </c>
      <c r="I6" s="154" t="s">
        <v>57</v>
      </c>
      <c r="J6" s="154" t="s">
        <v>58</v>
      </c>
      <c r="K6" s="154" t="s">
        <v>3</v>
      </c>
      <c r="L6" s="154" t="s">
        <v>59</v>
      </c>
      <c r="M6" s="60" t="s">
        <v>5</v>
      </c>
      <c r="N6" s="60" t="s">
        <v>6</v>
      </c>
      <c r="O6" s="60" t="s">
        <v>7</v>
      </c>
      <c r="P6" s="60" t="s">
        <v>13</v>
      </c>
      <c r="Q6" s="60" t="s">
        <v>14</v>
      </c>
      <c r="R6" s="60" t="s">
        <v>15</v>
      </c>
      <c r="S6" s="60" t="s">
        <v>16</v>
      </c>
      <c r="T6" s="60" t="s">
        <v>17</v>
      </c>
      <c r="U6" s="60" t="s">
        <v>18</v>
      </c>
      <c r="V6" s="60" t="s">
        <v>19</v>
      </c>
      <c r="W6" s="60"/>
      <c r="X6" s="477"/>
      <c r="Y6" s="478"/>
      <c r="Z6" s="474"/>
      <c r="AA6" s="478"/>
    </row>
    <row r="7" spans="1:27">
      <c r="A7" s="59" t="s">
        <v>60</v>
      </c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471"/>
      <c r="Y7" s="471"/>
      <c r="Z7" s="471"/>
      <c r="AA7" s="471"/>
    </row>
    <row r="8" spans="1:27">
      <c r="A8" s="54" t="s">
        <v>61</v>
      </c>
      <c r="B8" s="54"/>
      <c r="C8" s="54"/>
      <c r="D8" s="54"/>
      <c r="E8" s="54"/>
      <c r="F8" s="54"/>
      <c r="G8" s="54"/>
      <c r="H8" s="61">
        <f t="shared" ref="H8:I10" si="0">H49/G49-1</f>
        <v>-5.3111608899154561E-3</v>
      </c>
      <c r="I8" s="61">
        <f t="shared" si="0"/>
        <v>3.2874196522008514E-2</v>
      </c>
      <c r="J8" s="61">
        <f t="shared" ref="J8:N10" si="1">J49/I49-1</f>
        <v>3.9768159315618501E-3</v>
      </c>
      <c r="K8" s="347">
        <f t="shared" si="1"/>
        <v>1.3825211886487665E-2</v>
      </c>
      <c r="L8" s="347">
        <f t="shared" si="1"/>
        <v>-0.18506091255108048</v>
      </c>
      <c r="M8" s="347">
        <f>M49/L49-1</f>
        <v>-0.54710312747448364</v>
      </c>
      <c r="N8" s="347">
        <f>N49/M49-1</f>
        <v>0.92135853023500069</v>
      </c>
      <c r="O8" s="347">
        <f t="shared" ref="O8:V10" si="2">O49/N49-1</f>
        <v>-0.18258688761597719</v>
      </c>
      <c r="P8" s="347">
        <f t="shared" si="2"/>
        <v>4.2109928426227627E-2</v>
      </c>
      <c r="Q8" s="347">
        <f t="shared" si="2"/>
        <v>0.22051223024703992</v>
      </c>
      <c r="R8" s="347">
        <f t="shared" si="2"/>
        <v>0.13242487507700385</v>
      </c>
      <c r="S8" s="347">
        <f t="shared" si="2"/>
        <v>6.6670744312560704E-2</v>
      </c>
      <c r="T8" s="347">
        <f t="shared" si="2"/>
        <v>5.5490913241844186E-2</v>
      </c>
      <c r="U8" s="347">
        <f t="shared" si="2"/>
        <v>6.1688299912149525E-2</v>
      </c>
      <c r="V8" s="347">
        <f t="shared" si="2"/>
        <v>1.4125096400327219E-2</v>
      </c>
      <c r="W8" s="61"/>
      <c r="X8" s="480"/>
      <c r="Y8" s="471"/>
      <c r="Z8" s="471"/>
      <c r="AA8" s="471"/>
    </row>
    <row r="9" spans="1:27">
      <c r="A9" s="54" t="s">
        <v>62</v>
      </c>
      <c r="B9" s="54"/>
      <c r="C9" s="54"/>
      <c r="D9" s="54"/>
      <c r="E9" s="54"/>
      <c r="F9" s="54"/>
      <c r="G9" s="54"/>
      <c r="H9" s="61">
        <f t="shared" si="0"/>
        <v>-9.3344558989951976E-2</v>
      </c>
      <c r="I9" s="61">
        <f t="shared" si="0"/>
        <v>1.0615191094138776E-2</v>
      </c>
      <c r="J9" s="61">
        <f t="shared" si="1"/>
        <v>0.15744458389825566</v>
      </c>
      <c r="K9" s="347">
        <f t="shared" si="1"/>
        <v>0.24387652475153021</v>
      </c>
      <c r="L9" s="347">
        <f t="shared" si="1"/>
        <v>0.22219298226793183</v>
      </c>
      <c r="M9" s="347">
        <f t="shared" si="1"/>
        <v>-0.40422971885833614</v>
      </c>
      <c r="N9" s="347">
        <f t="shared" si="1"/>
        <v>-8.4839957097094687E-2</v>
      </c>
      <c r="O9" s="347">
        <f t="shared" si="2"/>
        <v>0.56377385780907474</v>
      </c>
      <c r="P9" s="347">
        <f t="shared" si="2"/>
        <v>2.4027970758396799E-2</v>
      </c>
      <c r="Q9" s="347">
        <f t="shared" si="2"/>
        <v>-2.9060765134634958E-2</v>
      </c>
      <c r="R9" s="347">
        <f t="shared" si="2"/>
        <v>0.18790719383885324</v>
      </c>
      <c r="S9" s="347">
        <f t="shared" si="2"/>
        <v>7.7339587793326725E-2</v>
      </c>
      <c r="T9" s="347">
        <f t="shared" si="2"/>
        <v>-3.5874181878476241E-2</v>
      </c>
      <c r="U9" s="347">
        <f t="shared" si="2"/>
        <v>0.17650862087042496</v>
      </c>
      <c r="V9" s="347">
        <f t="shared" si="2"/>
        <v>0.17886341849744425</v>
      </c>
      <c r="W9" s="61"/>
      <c r="X9" s="480"/>
      <c r="Y9" s="471"/>
      <c r="Z9" s="471"/>
      <c r="AA9" s="471"/>
    </row>
    <row r="10" spans="1:27">
      <c r="A10" s="54" t="s">
        <v>63</v>
      </c>
      <c r="B10" s="54"/>
      <c r="C10" s="54"/>
      <c r="D10" s="54"/>
      <c r="E10" s="54"/>
      <c r="F10" s="54"/>
      <c r="G10" s="54"/>
      <c r="H10" s="61">
        <f t="shared" si="0"/>
        <v>0.65836899147327976</v>
      </c>
      <c r="I10" s="61">
        <f t="shared" si="0"/>
        <v>-2.8617974988699668E-2</v>
      </c>
      <c r="J10" s="61">
        <f t="shared" si="1"/>
        <v>-0.15606914001531702</v>
      </c>
      <c r="K10" s="347">
        <f t="shared" si="1"/>
        <v>1.0497775327191552</v>
      </c>
      <c r="L10" s="347">
        <f t="shared" si="1"/>
        <v>-0.44867033796355105</v>
      </c>
      <c r="M10" s="347">
        <f t="shared" si="1"/>
        <v>-0.29122450362539809</v>
      </c>
      <c r="N10" s="347">
        <f t="shared" si="1"/>
        <v>-1</v>
      </c>
      <c r="O10" s="347" t="e">
        <f t="shared" si="2"/>
        <v>#DIV/0!</v>
      </c>
      <c r="P10" s="347">
        <f t="shared" si="2"/>
        <v>0</v>
      </c>
      <c r="Q10" s="347">
        <f t="shared" si="2"/>
        <v>0.65412072666666665</v>
      </c>
      <c r="R10" s="347">
        <f t="shared" si="2"/>
        <v>0.41088398952138738</v>
      </c>
      <c r="S10" s="347">
        <f t="shared" si="2"/>
        <v>0</v>
      </c>
      <c r="T10" s="347">
        <f t="shared" si="2"/>
        <v>0</v>
      </c>
      <c r="U10" s="347">
        <f t="shared" si="2"/>
        <v>0.8137968421765942</v>
      </c>
      <c r="V10" s="347">
        <f t="shared" si="2"/>
        <v>0</v>
      </c>
      <c r="W10" s="61"/>
      <c r="X10" s="480"/>
      <c r="Y10" s="471"/>
      <c r="Z10" s="471"/>
      <c r="AA10" s="471"/>
    </row>
    <row r="11" spans="1:27">
      <c r="K11" s="219"/>
      <c r="L11" s="219"/>
      <c r="X11" s="473"/>
      <c r="Y11" s="473"/>
      <c r="Z11" s="473"/>
      <c r="AA11" s="473"/>
    </row>
    <row r="12" spans="1:27">
      <c r="A12" s="59" t="s">
        <v>64</v>
      </c>
      <c r="B12" s="54"/>
      <c r="C12" s="54"/>
      <c r="D12" s="54"/>
      <c r="E12" s="54"/>
      <c r="F12" s="54"/>
      <c r="G12" s="54"/>
      <c r="H12" s="61">
        <f t="shared" ref="H12:M12" si="3">H13/G13-1</f>
        <v>-1.1371690416169478E-2</v>
      </c>
      <c r="I12" s="61">
        <f t="shared" si="3"/>
        <v>9.8284000590547205E-3</v>
      </c>
      <c r="J12" s="61">
        <f t="shared" si="3"/>
        <v>6.516454025079077E-2</v>
      </c>
      <c r="K12" s="347">
        <f t="shared" si="3"/>
        <v>-1.48548385534919E-3</v>
      </c>
      <c r="L12" s="347">
        <f t="shared" si="3"/>
        <v>3.1473962882225592E-2</v>
      </c>
      <c r="M12" s="347">
        <f t="shared" si="3"/>
        <v>-6.6720786220647033E-2</v>
      </c>
      <c r="N12" s="347">
        <f t="shared" ref="N12" si="4">N13/M13-1</f>
        <v>2.2445750404358922E-2</v>
      </c>
      <c r="O12" s="347">
        <f t="shared" ref="O12" si="5">O13/N13-1</f>
        <v>2.2979411457312526E-2</v>
      </c>
      <c r="P12" s="347">
        <f t="shared" ref="P12" si="6">P13/O13-1</f>
        <v>1.2999999999999678E-2</v>
      </c>
      <c r="Q12" s="347">
        <f t="shared" ref="Q12" si="7">Q13/P13-1</f>
        <v>1.3000000000000123E-2</v>
      </c>
      <c r="R12" s="347">
        <f t="shared" ref="R12" si="8">R13/Q13-1</f>
        <v>1.2999999999999678E-2</v>
      </c>
      <c r="S12" s="347">
        <f t="shared" ref="S12" si="9">S13/R13-1</f>
        <v>1.2999999999999901E-2</v>
      </c>
      <c r="T12" s="347">
        <f t="shared" ref="T12" si="10">T13/S13-1</f>
        <v>1.2999999999999901E-2</v>
      </c>
      <c r="U12" s="347">
        <f t="shared" ref="U12" si="11">U13/T13-1</f>
        <v>1.2999999999999901E-2</v>
      </c>
      <c r="V12" s="347">
        <f t="shared" ref="V12" si="12">V13/U13-1</f>
        <v>1.2999999999999678E-2</v>
      </c>
      <c r="W12" s="61"/>
      <c r="X12" s="480"/>
      <c r="Y12" s="471"/>
      <c r="Z12" s="471"/>
      <c r="AA12" s="471"/>
    </row>
    <row r="13" spans="1:27">
      <c r="A13" s="54" t="s">
        <v>65</v>
      </c>
      <c r="B13" s="54"/>
      <c r="C13" s="54"/>
      <c r="D13" s="54"/>
      <c r="E13" s="54"/>
      <c r="F13" s="54"/>
      <c r="G13" s="63">
        <f t="shared" ref="G13:K13" si="13">G68/G49</f>
        <v>2.2321896785760247</v>
      </c>
      <c r="H13" s="63">
        <f t="shared" si="13"/>
        <v>2.2068059086010892</v>
      </c>
      <c r="I13" s="63">
        <f t="shared" si="13"/>
        <v>2.2284952799235063</v>
      </c>
      <c r="J13" s="63">
        <f t="shared" si="13"/>
        <v>2.3737141502907786</v>
      </c>
      <c r="K13" s="63">
        <f t="shared" si="13"/>
        <v>2.3701880362433076</v>
      </c>
      <c r="L13" s="63">
        <f>L68/L49</f>
        <v>2.4447872465199247</v>
      </c>
      <c r="M13" s="63">
        <f>'Sales &amp; AnP Forecast'!K37</f>
        <v>2.2816691192899046</v>
      </c>
      <c r="N13" s="63">
        <f>'Sales &amp; AnP Forecast'!L37</f>
        <v>2.332882894846819</v>
      </c>
      <c r="O13" s="63">
        <f>'Sales &amp; AnP Forecast'!M37</f>
        <v>2.3864911707692302</v>
      </c>
      <c r="P13" s="63">
        <f>'Sales &amp; AnP Forecast'!N37</f>
        <v>2.4175155559892296</v>
      </c>
      <c r="Q13" s="63">
        <f>'Sales &amp; AnP Forecast'!O37</f>
        <v>2.4489432582170898</v>
      </c>
      <c r="R13" s="63">
        <f>'Sales &amp; AnP Forecast'!P37</f>
        <v>2.4807795205739112</v>
      </c>
      <c r="S13" s="63">
        <f>'Sales &amp; AnP Forecast'!Q37</f>
        <v>2.5130296543413717</v>
      </c>
      <c r="T13" s="63">
        <f>'Sales &amp; AnP Forecast'!R37</f>
        <v>2.5456990398478094</v>
      </c>
      <c r="U13" s="63">
        <f>'Sales &amp; AnP Forecast'!S37</f>
        <v>2.5787931273658309</v>
      </c>
      <c r="V13" s="63">
        <f>'Sales &amp; AnP Forecast'!T37</f>
        <v>2.6123174380215861</v>
      </c>
      <c r="W13" s="63"/>
      <c r="X13" s="481"/>
      <c r="Y13" s="471"/>
      <c r="Z13" s="471"/>
      <c r="AA13" s="471"/>
    </row>
    <row r="14" spans="1:27" s="219" customFormat="1">
      <c r="A14" s="68" t="s">
        <v>66</v>
      </c>
      <c r="B14" s="68"/>
      <c r="C14" s="68"/>
      <c r="D14" s="68"/>
      <c r="E14" s="68"/>
      <c r="F14" s="68"/>
      <c r="G14" s="218">
        <f t="shared" ref="G14:K15" si="14">G69/G50</f>
        <v>1.4084116481426514</v>
      </c>
      <c r="H14" s="218">
        <f t="shared" si="14"/>
        <v>1.3667200399863861</v>
      </c>
      <c r="I14" s="218">
        <f t="shared" si="14"/>
        <v>1.3655356810371246</v>
      </c>
      <c r="J14" s="218">
        <f t="shared" si="14"/>
        <v>1.4052851831577755</v>
      </c>
      <c r="K14" s="218">
        <f t="shared" si="14"/>
        <v>1.3596022678491966</v>
      </c>
      <c r="L14" s="218">
        <f>L69/L50</f>
        <v>1.3737251598662146</v>
      </c>
      <c r="M14" s="218">
        <f>'Sales &amp; AnP Forecast'!K45</f>
        <v>1.5946940305713093</v>
      </c>
      <c r="N14" s="218">
        <f>'Sales &amp; AnP Forecast'!L45</f>
        <v>1.6805430685434246</v>
      </c>
      <c r="O14" s="218">
        <f>'Sales &amp; AnP Forecast'!M45</f>
        <v>1.6189000541800949</v>
      </c>
      <c r="P14" s="218">
        <f>'Sales &amp; AnP Forecast'!N45</f>
        <v>1.6189000541800946</v>
      </c>
      <c r="Q14" s="218">
        <f>'Sales &amp; AnP Forecast'!O45</f>
        <v>1.8617350623071087</v>
      </c>
      <c r="R14" s="218">
        <f>'Sales &amp; AnP Forecast'!P45</f>
        <v>1.8617350623071087</v>
      </c>
      <c r="S14" s="218">
        <f>'Sales &amp; AnP Forecast'!Q45</f>
        <v>1.8617350623071087</v>
      </c>
      <c r="T14" s="218">
        <f>'Sales &amp; AnP Forecast'!R45</f>
        <v>2.140995321653175</v>
      </c>
      <c r="U14" s="218">
        <f>'Sales &amp; AnP Forecast'!S45</f>
        <v>2.140995321653175</v>
      </c>
      <c r="V14" s="218">
        <f>'Sales &amp; AnP Forecast'!T45</f>
        <v>2.140995321653175</v>
      </c>
      <c r="W14" s="218"/>
      <c r="X14" s="481"/>
      <c r="Y14" s="471"/>
      <c r="Z14" s="471"/>
      <c r="AA14" s="471"/>
    </row>
    <row r="15" spans="1:27">
      <c r="A15" s="54" t="s">
        <v>67</v>
      </c>
      <c r="B15" s="54"/>
      <c r="C15" s="54"/>
      <c r="D15" s="54"/>
      <c r="E15" s="54"/>
      <c r="F15" s="54"/>
      <c r="G15" s="63">
        <f t="shared" si="14"/>
        <v>0.89921973309318315</v>
      </c>
      <c r="H15" s="63">
        <f t="shared" si="14"/>
        <v>0.86262514020725567</v>
      </c>
      <c r="I15" s="63">
        <f t="shared" si="14"/>
        <v>0.99453579203276254</v>
      </c>
      <c r="J15" s="63">
        <f t="shared" si="14"/>
        <v>1.0835101456822456</v>
      </c>
      <c r="K15" s="63">
        <f t="shared" si="14"/>
        <v>0.88550873240629346</v>
      </c>
      <c r="L15" s="63">
        <f>L70/L51</f>
        <v>1.1930534350929503</v>
      </c>
      <c r="M15" s="63">
        <f>'Sales &amp; AnP Forecast'!K44</f>
        <v>0.98841755183535063</v>
      </c>
      <c r="N15" s="63" t="str">
        <f>'Sales &amp; AnP Forecast'!L44</f>
        <v/>
      </c>
      <c r="O15" s="63">
        <f>'Sales &amp; AnP Forecast'!M44</f>
        <v>0.98841755183535063</v>
      </c>
      <c r="P15" s="63">
        <f>'Sales &amp; AnP Forecast'!N44</f>
        <v>1.0081859028720577</v>
      </c>
      <c r="Q15" s="63">
        <f>'Sales &amp; AnP Forecast'!O44</f>
        <v>1.0283496209294991</v>
      </c>
      <c r="R15" s="63">
        <f>'Sales &amp; AnP Forecast'!P44</f>
        <v>1.0489166133480892</v>
      </c>
      <c r="S15" s="63">
        <f>'Sales &amp; AnP Forecast'!Q44</f>
        <v>1.0698949456150511</v>
      </c>
      <c r="T15" s="63">
        <f>'Sales &amp; AnP Forecast'!R44</f>
        <v>1.0912928445273522</v>
      </c>
      <c r="U15" s="63">
        <f>'Sales &amp; AnP Forecast'!S44</f>
        <v>1.1131187014178989</v>
      </c>
      <c r="V15" s="63">
        <f>'Sales &amp; AnP Forecast'!T44</f>
        <v>1.1353810754462568</v>
      </c>
      <c r="W15" s="63"/>
      <c r="X15" s="481"/>
      <c r="Y15" s="471"/>
      <c r="Z15" s="471"/>
      <c r="AA15" s="471"/>
    </row>
    <row r="16" spans="1:27">
      <c r="A16" s="54" t="s">
        <v>377</v>
      </c>
      <c r="B16" s="54"/>
      <c r="C16" s="54"/>
      <c r="D16" s="54"/>
      <c r="E16" s="54"/>
      <c r="F16" s="54"/>
      <c r="G16" s="63"/>
      <c r="H16" s="63"/>
      <c r="I16" s="63"/>
      <c r="J16" s="63"/>
      <c r="K16" s="63"/>
      <c r="L16" s="63">
        <f>14.53/12</f>
        <v>1.2108333333333332</v>
      </c>
      <c r="M16" s="63">
        <f>'Sales &amp; AnP Forecast'!K48</f>
        <v>1.3472604096684249</v>
      </c>
      <c r="N16" s="63">
        <f>'Sales &amp; AnP Forecast'!L48</f>
        <v>1.4181798046779954</v>
      </c>
      <c r="O16" s="63">
        <f>'Sales &amp; AnP Forecast'!M48</f>
        <v>1.3661603832743414</v>
      </c>
      <c r="P16" s="1252">
        <f>'Sales &amp; AnP Forecast'!N48</f>
        <v>1.3661603832743414</v>
      </c>
      <c r="Q16" s="63">
        <f>'Sales &amp; AnP Forecast'!O48</f>
        <v>1.5710844407654925</v>
      </c>
      <c r="R16" s="63">
        <f>'Sales &amp; AnP Forecast'!P48</f>
        <v>1.5710844407654925</v>
      </c>
      <c r="S16" s="1252">
        <f>'Sales &amp; AnP Forecast'!Q48</f>
        <v>1.5710844407654925</v>
      </c>
      <c r="T16" s="63">
        <f>'Sales &amp; AnP Forecast'!R48</f>
        <v>1.8067471068803163</v>
      </c>
      <c r="U16" s="63">
        <f>'Sales &amp; AnP Forecast'!S48</f>
        <v>1.8067471068803163</v>
      </c>
      <c r="V16" s="1252">
        <f>'Sales &amp; AnP Forecast'!T48</f>
        <v>1.8067471068803163</v>
      </c>
      <c r="W16" s="63"/>
      <c r="X16" s="481"/>
      <c r="Y16" s="471"/>
      <c r="Z16" s="471"/>
      <c r="AA16" s="471"/>
    </row>
    <row r="17" spans="1:27">
      <c r="K17" s="220"/>
      <c r="L17" s="220"/>
      <c r="M17" s="220"/>
      <c r="N17" s="220"/>
      <c r="X17" s="473"/>
      <c r="Y17" s="473"/>
      <c r="Z17" s="473"/>
      <c r="AA17" s="473"/>
    </row>
    <row r="18" spans="1:27">
      <c r="A18" s="59" t="s">
        <v>68</v>
      </c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64"/>
      <c r="R18" s="64"/>
      <c r="S18" s="64"/>
      <c r="T18" s="64"/>
      <c r="U18" s="64"/>
      <c r="V18" s="64"/>
      <c r="W18" s="64"/>
      <c r="X18" s="476"/>
      <c r="Y18" s="471"/>
      <c r="Z18" s="471"/>
      <c r="AA18" s="471"/>
    </row>
    <row r="19" spans="1:27">
      <c r="A19" s="54" t="s">
        <v>69</v>
      </c>
      <c r="B19" s="54"/>
      <c r="C19" s="54"/>
      <c r="D19" s="54"/>
      <c r="E19" s="54"/>
      <c r="F19" s="54"/>
      <c r="G19" s="54"/>
      <c r="H19" s="61">
        <f t="shared" ref="H19:K21" si="15">H68/G68-1</f>
        <v>-1.6622454428694255E-2</v>
      </c>
      <c r="I19" s="61">
        <f t="shared" si="15"/>
        <v>4.3025697336101398E-2</v>
      </c>
      <c r="J19" s="61">
        <f t="shared" si="15"/>
        <v>6.9400503564194915E-2</v>
      </c>
      <c r="K19" s="61">
        <f t="shared" si="15"/>
        <v>1.2319190902084332E-2</v>
      </c>
      <c r="L19" s="61">
        <f t="shared" ref="L19:S19" si="16">L68/K68-1</f>
        <v>-0.15941154996143836</v>
      </c>
      <c r="M19" s="61">
        <f t="shared" si="16"/>
        <v>-0.57732076288625822</v>
      </c>
      <c r="N19" s="61">
        <f t="shared" si="16"/>
        <v>0.96448486424194146</v>
      </c>
      <c r="O19" s="61">
        <f t="shared" si="16"/>
        <v>-0.16380321537590237</v>
      </c>
      <c r="P19" s="61">
        <f t="shared" si="16"/>
        <v>5.5657357495768389E-2</v>
      </c>
      <c r="Q19" s="61">
        <f t="shared" si="16"/>
        <v>0.23637888924025141</v>
      </c>
      <c r="R19" s="61">
        <f t="shared" si="16"/>
        <v>0.14714639845300459</v>
      </c>
      <c r="S19" s="61">
        <f t="shared" si="16"/>
        <v>8.0537463988623825E-2</v>
      </c>
      <c r="T19" s="61">
        <f t="shared" ref="R19:V21" si="17">T68/S68-1</f>
        <v>6.9212295113987965E-2</v>
      </c>
      <c r="U19" s="61">
        <f t="shared" si="17"/>
        <v>7.5490247811007327E-2</v>
      </c>
      <c r="V19" s="61">
        <f t="shared" si="17"/>
        <v>2.7308722653531126E-2</v>
      </c>
      <c r="W19" s="61"/>
      <c r="X19" s="480"/>
      <c r="Y19" s="471"/>
      <c r="Z19" s="471"/>
      <c r="AA19" s="471"/>
    </row>
    <row r="20" spans="1:27">
      <c r="A20" s="54" t="s">
        <v>71</v>
      </c>
      <c r="B20" s="54"/>
      <c r="C20" s="54"/>
      <c r="D20" s="54"/>
      <c r="E20" s="54"/>
      <c r="F20" s="54"/>
      <c r="G20" s="54"/>
      <c r="H20" s="61">
        <f t="shared" si="15"/>
        <v>-0.12018324882128473</v>
      </c>
      <c r="I20" s="61">
        <f t="shared" si="15"/>
        <v>9.7394220186783897E-3</v>
      </c>
      <c r="J20" s="61">
        <f t="shared" si="15"/>
        <v>0.19113674337903652</v>
      </c>
      <c r="K20" s="61">
        <f t="shared" si="15"/>
        <v>0.20344067115000986</v>
      </c>
      <c r="L20" s="61">
        <f t="shared" ref="L20:P21" si="18">L69/K69-1</f>
        <v>0.23488853295999768</v>
      </c>
      <c r="M20" s="61">
        <f t="shared" si="18"/>
        <v>-0.30839782317088205</v>
      </c>
      <c r="N20" s="61">
        <f t="shared" si="18"/>
        <v>-3.557307093110873E-2</v>
      </c>
      <c r="O20" s="61">
        <f t="shared" si="18"/>
        <v>0.50641398635902424</v>
      </c>
      <c r="P20" s="61">
        <f t="shared" si="18"/>
        <v>2.4027970758396799E-2</v>
      </c>
      <c r="Q20" s="61">
        <f>Q50/P50-1</f>
        <v>-2.9060765134634958E-2</v>
      </c>
      <c r="R20" s="61">
        <f t="shared" si="17"/>
        <v>0.18790719383885346</v>
      </c>
      <c r="S20" s="61">
        <f t="shared" si="17"/>
        <v>7.7339587793326725E-2</v>
      </c>
      <c r="T20" s="61">
        <f t="shared" si="17"/>
        <v>0.10874469083975224</v>
      </c>
      <c r="U20" s="61">
        <f t="shared" si="17"/>
        <v>0.17650862087042496</v>
      </c>
      <c r="V20" s="61">
        <f t="shared" si="17"/>
        <v>0.17886341849744425</v>
      </c>
      <c r="W20" s="61"/>
      <c r="X20" s="480"/>
      <c r="Y20" s="471"/>
      <c r="Z20" s="471"/>
      <c r="AA20" s="471"/>
    </row>
    <row r="21" spans="1:27">
      <c r="A21" s="54" t="s">
        <v>72</v>
      </c>
      <c r="B21" s="54"/>
      <c r="C21" s="54"/>
      <c r="D21" s="54"/>
      <c r="E21" s="54"/>
      <c r="F21" s="54"/>
      <c r="G21" s="54"/>
      <c r="H21" s="61">
        <f t="shared" si="15"/>
        <v>0.59088010542664549</v>
      </c>
      <c r="I21" s="61">
        <f t="shared" si="15"/>
        <v>0.11992352944743989</v>
      </c>
      <c r="J21" s="61">
        <f t="shared" si="15"/>
        <v>-8.0568385398417375E-2</v>
      </c>
      <c r="K21" s="61">
        <f t="shared" si="15"/>
        <v>0.67519973112032194</v>
      </c>
      <c r="L21" s="61">
        <f t="shared" si="18"/>
        <v>-0.25718886433361399</v>
      </c>
      <c r="M21" s="61">
        <f t="shared" si="18"/>
        <v>-0.41279567174383214</v>
      </c>
      <c r="N21" s="61">
        <f t="shared" si="18"/>
        <v>-1</v>
      </c>
      <c r="O21" s="61" t="e">
        <f t="shared" si="18"/>
        <v>#DIV/0!</v>
      </c>
      <c r="P21" s="61">
        <f t="shared" si="18"/>
        <v>2.0000000000000018E-2</v>
      </c>
      <c r="Q21" s="61">
        <f>Q51/P51-1</f>
        <v>0.65412072666666665</v>
      </c>
      <c r="R21" s="61">
        <f t="shared" si="17"/>
        <v>0.43910166931181549</v>
      </c>
      <c r="S21" s="61">
        <f t="shared" si="17"/>
        <v>2.0000000000000018E-2</v>
      </c>
      <c r="T21" s="61">
        <f t="shared" si="17"/>
        <v>2.0000000000000018E-2</v>
      </c>
      <c r="U21" s="61">
        <f t="shared" si="17"/>
        <v>0.85007277902012546</v>
      </c>
      <c r="V21" s="61">
        <f t="shared" si="17"/>
        <v>2.0000000000000018E-2</v>
      </c>
      <c r="W21" s="61"/>
      <c r="X21" s="480"/>
      <c r="Y21" s="471"/>
      <c r="Z21" s="471"/>
      <c r="AA21" s="471"/>
    </row>
    <row r="22" spans="1:27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64"/>
      <c r="R22" s="64"/>
      <c r="S22" s="64"/>
      <c r="T22" s="64"/>
      <c r="U22" s="64"/>
      <c r="V22" s="64"/>
      <c r="W22" s="64"/>
      <c r="X22" s="476"/>
      <c r="Y22" s="471"/>
      <c r="Z22" s="471"/>
      <c r="AA22" s="471"/>
    </row>
    <row r="23" spans="1:27">
      <c r="X23" s="473"/>
      <c r="Y23" s="473"/>
      <c r="Z23" s="473"/>
      <c r="AA23" s="473"/>
    </row>
    <row r="24" spans="1:27">
      <c r="A24" s="54" t="s">
        <v>73</v>
      </c>
      <c r="B24" s="54"/>
      <c r="C24" s="54"/>
      <c r="D24" s="54"/>
      <c r="E24" s="54"/>
      <c r="F24" s="54"/>
      <c r="G24" s="54"/>
      <c r="H24" s="65">
        <f t="shared" ref="H24:L24" si="19">H25/G25-1</f>
        <v>6.5608454914105829E-2</v>
      </c>
      <c r="I24" s="65">
        <f t="shared" si="19"/>
        <v>0.14716190992001454</v>
      </c>
      <c r="J24" s="65">
        <f t="shared" si="19"/>
        <v>-1.485907490709204E-4</v>
      </c>
      <c r="K24" s="65">
        <f t="shared" si="19"/>
        <v>-9.338616601399119E-2</v>
      </c>
      <c r="L24" s="65">
        <f t="shared" si="19"/>
        <v>0.16995193674196729</v>
      </c>
      <c r="M24" s="65">
        <f>M25/L25-1</f>
        <v>4.7546256484787941E-2</v>
      </c>
      <c r="N24" s="65">
        <f t="shared" ref="N24" si="20">N25/M25-1</f>
        <v>6.1864991891801724E-2</v>
      </c>
      <c r="O24" s="65">
        <f t="shared" ref="O24" si="21">O25/N25-1</f>
        <v>-1.4460309807797334E-2</v>
      </c>
      <c r="P24" s="65">
        <f t="shared" ref="P24" si="22">P25/O25-1</f>
        <v>0.48564178910911449</v>
      </c>
      <c r="Q24" s="65">
        <f t="shared" ref="Q24" si="23">Q25/P25-1</f>
        <v>0.18564939836259819</v>
      </c>
      <c r="R24" s="65">
        <f t="shared" ref="R24:S24" si="24">R25/Q25-1</f>
        <v>-5.3238892921621428E-2</v>
      </c>
      <c r="S24" s="65">
        <f t="shared" si="24"/>
        <v>2.2588196172097064E-2</v>
      </c>
      <c r="T24" s="65">
        <f t="shared" ref="T24" si="25">T25/S25-1</f>
        <v>2.3205092621254586E-2</v>
      </c>
      <c r="U24" s="65">
        <f t="shared" ref="U24" si="26">U25/T25-1</f>
        <v>-5.2874525163769115E-2</v>
      </c>
      <c r="V24" s="65">
        <f t="shared" ref="V24" si="27">V25/U25-1</f>
        <v>-4.8168136396641636E-2</v>
      </c>
      <c r="W24" s="65"/>
      <c r="X24" s="482"/>
      <c r="Y24" s="471"/>
      <c r="Z24" s="471"/>
      <c r="AA24" s="471"/>
    </row>
    <row r="25" spans="1:27">
      <c r="A25" s="54" t="s">
        <v>1785</v>
      </c>
      <c r="B25" s="54"/>
      <c r="C25" s="54"/>
      <c r="D25" s="54"/>
      <c r="E25" s="54"/>
      <c r="F25" s="54"/>
      <c r="G25" s="66">
        <f t="shared" ref="G25:M27" si="28">G76/G49</f>
        <v>0.29264924526583558</v>
      </c>
      <c r="H25" s="66">
        <f t="shared" si="28"/>
        <v>0.31184951007950623</v>
      </c>
      <c r="I25" s="66">
        <f t="shared" si="28"/>
        <v>0.35774187959042719</v>
      </c>
      <c r="J25" s="179">
        <f t="shared" si="28"/>
        <v>0.3576887224565648</v>
      </c>
      <c r="K25" s="179">
        <f t="shared" si="28"/>
        <v>0.32428554403990362</v>
      </c>
      <c r="L25" s="179">
        <f>(L76-'Core P&amp;L'!CS81)/L49</f>
        <v>0.37939850030690775</v>
      </c>
      <c r="M25" s="179">
        <f>(M76-'Core P&amp;L'!$BN81)/M49</f>
        <v>0.39743747871244389</v>
      </c>
      <c r="N25" s="179">
        <f>'Production Plan'!F103</f>
        <v>0.42202494511048738</v>
      </c>
      <c r="O25" s="179">
        <f>'Production Plan'!G103</f>
        <v>0.41592233365757109</v>
      </c>
      <c r="P25" s="179">
        <f>'Production Plan'!H103</f>
        <v>0.61791159990547195</v>
      </c>
      <c r="Q25" s="179">
        <f>'Production Plan'!I103</f>
        <v>0.73262651666919332</v>
      </c>
      <c r="R25" s="179">
        <f>'Production Plan'!J103</f>
        <v>0.69362229199670167</v>
      </c>
      <c r="S25" s="179">
        <f>'Production Plan'!K103</f>
        <v>0.70928996839766278</v>
      </c>
      <c r="T25" s="179">
        <f>'Production Plan'!L103</f>
        <v>0.72574910780965729</v>
      </c>
      <c r="U25" s="179">
        <f>'Production Plan'!M103</f>
        <v>0.68737546834619256</v>
      </c>
      <c r="V25" s="179">
        <f>'Production Plan'!N103</f>
        <v>0.65426587303118777</v>
      </c>
      <c r="W25" s="66"/>
      <c r="X25" s="481"/>
      <c r="Y25" s="471"/>
      <c r="Z25" s="471"/>
      <c r="AA25" s="471"/>
    </row>
    <row r="26" spans="1:27">
      <c r="A26" s="54" t="s">
        <v>1786</v>
      </c>
      <c r="B26" s="54"/>
      <c r="C26" s="54"/>
      <c r="D26" s="54"/>
      <c r="E26" s="54"/>
      <c r="F26" s="54"/>
      <c r="G26" s="66">
        <f t="shared" si="28"/>
        <v>0.26737157932510192</v>
      </c>
      <c r="H26" s="66">
        <f t="shared" si="28"/>
        <v>0.31109066292899257</v>
      </c>
      <c r="I26" s="66">
        <f t="shared" si="28"/>
        <v>0.27029363473359747</v>
      </c>
      <c r="J26" s="179">
        <f t="shared" si="28"/>
        <v>0.28538398255912129</v>
      </c>
      <c r="K26" s="179">
        <f t="shared" si="28"/>
        <v>0.25220853753309241</v>
      </c>
      <c r="L26" s="179">
        <f t="shared" si="28"/>
        <v>0.22349748516336707</v>
      </c>
      <c r="M26" s="179">
        <f t="shared" si="28"/>
        <v>0.23259204518880541</v>
      </c>
      <c r="N26" s="179">
        <f>'Production Plan'!F118</f>
        <v>0.28871480228371521</v>
      </c>
      <c r="O26" s="179">
        <f>'Production Plan'!G118</f>
        <v>0.26272492412205384</v>
      </c>
      <c r="P26" s="179">
        <f>'Production Plan'!H118</f>
        <v>0.31517406941150539</v>
      </c>
      <c r="Q26" s="179">
        <f>'Production Plan'!I118</f>
        <v>0.29435621131096812</v>
      </c>
      <c r="R26" s="179">
        <f>'Production Plan'!J118</f>
        <v>0.57667420473456421</v>
      </c>
      <c r="S26" s="179">
        <f>'Production Plan'!K118</f>
        <v>0.67959817512789367</v>
      </c>
      <c r="T26" s="179">
        <f>'Production Plan'!L118</f>
        <v>0.71205375364578294</v>
      </c>
      <c r="U26" s="179">
        <f>'Production Plan'!M118</f>
        <v>0.67782108398585583</v>
      </c>
      <c r="V26" s="179">
        <f>'Production Plan'!N118</f>
        <v>0.64412605558181868</v>
      </c>
      <c r="W26" s="66"/>
      <c r="X26" s="481"/>
      <c r="Y26" s="471"/>
      <c r="Z26" s="471"/>
      <c r="AA26" s="471"/>
    </row>
    <row r="27" spans="1:27">
      <c r="A27" s="54" t="s">
        <v>1787</v>
      </c>
      <c r="B27" s="54"/>
      <c r="C27" s="54"/>
      <c r="D27" s="54"/>
      <c r="E27" s="54"/>
      <c r="F27" s="54"/>
      <c r="G27" s="66">
        <f t="shared" si="28"/>
        <v>0.26153603727880675</v>
      </c>
      <c r="H27" s="66">
        <f t="shared" si="28"/>
        <v>0.27505848731931837</v>
      </c>
      <c r="I27" s="66">
        <f t="shared" si="28"/>
        <v>0.30585586856071606</v>
      </c>
      <c r="J27" s="179">
        <f t="shared" si="28"/>
        <v>0.34485062447503989</v>
      </c>
      <c r="K27" s="179">
        <f t="shared" si="28"/>
        <v>0.19217425490606313</v>
      </c>
      <c r="L27" s="179">
        <f t="shared" si="28"/>
        <v>0.35326455806284024</v>
      </c>
      <c r="M27" s="179">
        <f t="shared" si="28"/>
        <v>0.63764303322051619</v>
      </c>
      <c r="N27" s="179">
        <f>'Production Plan'!F103</f>
        <v>0.42202494511048738</v>
      </c>
      <c r="O27" s="179">
        <f>'Production Plan'!G103</f>
        <v>0.41592233365757109</v>
      </c>
      <c r="P27" s="179">
        <f>'Production Plan'!H103</f>
        <v>0.61791159990547195</v>
      </c>
      <c r="Q27" s="179">
        <f>'Production Plan'!I103</f>
        <v>0.73262651666919332</v>
      </c>
      <c r="R27" s="179">
        <f>'Production Plan'!J103</f>
        <v>0.69362229199670167</v>
      </c>
      <c r="S27" s="179">
        <f>'Production Plan'!K103</f>
        <v>0.70928996839766278</v>
      </c>
      <c r="T27" s="179">
        <f>'Production Plan'!L103</f>
        <v>0.72574910780965729</v>
      </c>
      <c r="U27" s="179">
        <f>'Production Plan'!M103</f>
        <v>0.68737546834619256</v>
      </c>
      <c r="V27" s="179">
        <f>'Production Plan'!N103</f>
        <v>0.65426587303118777</v>
      </c>
      <c r="W27" s="66"/>
      <c r="X27" s="481"/>
      <c r="Y27" s="471"/>
      <c r="Z27" s="471"/>
      <c r="AA27" s="471"/>
    </row>
    <row r="28" spans="1:27" s="219" customFormat="1">
      <c r="A28" s="68" t="s">
        <v>1788</v>
      </c>
      <c r="B28" s="68"/>
      <c r="C28" s="68"/>
      <c r="D28" s="68"/>
      <c r="E28" s="68"/>
      <c r="F28" s="68"/>
      <c r="G28" s="179">
        <f t="shared" ref="G28:M28" si="29">SUM(G76:G78)/G52</f>
        <v>0.28156450119377519</v>
      </c>
      <c r="H28" s="179">
        <f t="shared" si="29"/>
        <v>0.3109076749071531</v>
      </c>
      <c r="I28" s="179">
        <f t="shared" si="29"/>
        <v>0.32225654095921169</v>
      </c>
      <c r="J28" s="179">
        <f t="shared" si="29"/>
        <v>0.32631671229211257</v>
      </c>
      <c r="K28" s="179">
        <f t="shared" si="29"/>
        <v>0.286799926870629</v>
      </c>
      <c r="L28" s="179">
        <f t="shared" si="29"/>
        <v>0.29907275610592921</v>
      </c>
      <c r="M28" s="179">
        <f t="shared" si="29"/>
        <v>0.35298925421264082</v>
      </c>
      <c r="N28" s="179">
        <f>SUM(N76:N78)/N52</f>
        <v>0.39909582543639893</v>
      </c>
      <c r="O28" s="179">
        <f t="shared" ref="O28:V28" si="30">SUM(O76:O78)/O52</f>
        <v>0.31985962104584742</v>
      </c>
      <c r="P28" s="179">
        <f t="shared" si="30"/>
        <v>0.42926671577786213</v>
      </c>
      <c r="Q28" s="179">
        <f t="shared" si="30"/>
        <v>0.48434262314386545</v>
      </c>
      <c r="R28" s="179">
        <f t="shared" si="30"/>
        <v>0.6261732832094733</v>
      </c>
      <c r="S28" s="179">
        <f t="shared" si="30"/>
        <v>0.69207955133831722</v>
      </c>
      <c r="T28" s="179">
        <f t="shared" si="30"/>
        <v>0.71810981916989713</v>
      </c>
      <c r="U28" s="179">
        <f t="shared" si="30"/>
        <v>0.68184999580853767</v>
      </c>
      <c r="V28" s="179">
        <f t="shared" si="30"/>
        <v>0.64803312103492783</v>
      </c>
      <c r="W28" s="179"/>
      <c r="X28" s="481"/>
      <c r="Y28" s="471"/>
      <c r="Z28" s="471"/>
      <c r="AA28" s="471"/>
    </row>
    <row r="29" spans="1:27" s="219" customFormat="1">
      <c r="A29" s="68"/>
      <c r="B29" s="68"/>
      <c r="C29" s="68"/>
      <c r="D29" s="68"/>
      <c r="E29" s="68"/>
      <c r="F29" s="68"/>
      <c r="G29" s="179"/>
      <c r="H29" s="179"/>
      <c r="I29" s="179"/>
      <c r="J29" s="179"/>
      <c r="K29" s="179"/>
      <c r="L29" s="179"/>
      <c r="M29" s="179"/>
      <c r="N29" s="179"/>
      <c r="O29" s="179"/>
      <c r="P29" s="179"/>
      <c r="Q29" s="179"/>
      <c r="R29" s="179"/>
      <c r="S29" s="179"/>
      <c r="T29" s="179"/>
      <c r="U29" s="179"/>
      <c r="V29" s="179"/>
      <c r="W29" s="179"/>
      <c r="X29" s="481"/>
      <c r="Y29" s="471"/>
      <c r="Z29" s="471"/>
      <c r="AA29" s="471"/>
    </row>
    <row r="30" spans="1:27">
      <c r="L30" s="220"/>
      <c r="M30" s="220"/>
      <c r="N30" s="220"/>
      <c r="O30" s="219"/>
      <c r="P30" s="219"/>
      <c r="Q30" s="219"/>
      <c r="R30" s="220"/>
      <c r="X30" s="473"/>
      <c r="Y30" s="473"/>
      <c r="Z30" s="473"/>
      <c r="AA30" s="473"/>
    </row>
    <row r="31" spans="1:27" s="219" customFormat="1">
      <c r="A31" s="68" t="s">
        <v>1780</v>
      </c>
      <c r="B31" s="68"/>
      <c r="C31" s="68"/>
      <c r="D31" s="68"/>
      <c r="E31" s="68"/>
      <c r="F31" s="68"/>
      <c r="G31" s="179">
        <f>'Manufacturing cost analysis'!H36</f>
        <v>1.908544268617992E-2</v>
      </c>
      <c r="H31" s="179">
        <f>'Manufacturing cost analysis'!K36</f>
        <v>2.3516916083012096E-2</v>
      </c>
      <c r="I31" s="179">
        <f>'Manufacturing cost analysis'!N36</f>
        <v>3.062709079469687E-2</v>
      </c>
      <c r="J31" s="179">
        <f>'Manufacturing cost analysis'!Q36</f>
        <v>3.0203561723527145E-2</v>
      </c>
      <c r="K31" s="179">
        <f>'Manufacturing cost analysis'!W36</f>
        <v>2.0350652833829377E-2</v>
      </c>
      <c r="L31" s="179">
        <f>'Manufacturing cost analysis'!Z36</f>
        <v>2.7413733574773384E-2</v>
      </c>
      <c r="M31" s="179">
        <f>'Manufacturing cost analysis'!AC36</f>
        <v>5.9586610311145788E-2</v>
      </c>
      <c r="N31" s="179">
        <f>'Manufacturing cost analysis'!AF36</f>
        <v>6.0829123748994178E-2</v>
      </c>
      <c r="O31" s="1865">
        <f>'Production Plan'!G136</f>
        <v>0.14839911548542059</v>
      </c>
      <c r="P31" s="1865">
        <f>'Production Plan'!H136</f>
        <v>0.17606652324933911</v>
      </c>
      <c r="Q31" s="1865">
        <f>'Production Plan'!I136</f>
        <v>0.25480378345323251</v>
      </c>
      <c r="R31" s="1865">
        <f>'Production Plan'!J136</f>
        <v>0.28259872252746931</v>
      </c>
      <c r="S31" s="1865">
        <f>'Production Plan'!K136</f>
        <v>0.29245880419020859</v>
      </c>
      <c r="T31" s="1865">
        <f>'Production Plan'!L136</f>
        <v>0.29375935415870991</v>
      </c>
      <c r="U31" s="1865">
        <f>'Production Plan'!M136</f>
        <v>0.26458667355729737</v>
      </c>
      <c r="V31" s="1865">
        <f>'Production Plan'!N136</f>
        <v>0.23845668922463753</v>
      </c>
      <c r="W31" s="179"/>
      <c r="X31" s="481"/>
      <c r="Y31" s="471"/>
      <c r="Z31" s="471"/>
      <c r="AA31" s="471"/>
    </row>
    <row r="32" spans="1:27" s="219" customFormat="1">
      <c r="A32" s="68" t="s">
        <v>1781</v>
      </c>
      <c r="B32" s="68"/>
      <c r="C32" s="68"/>
      <c r="D32" s="68"/>
      <c r="E32" s="68"/>
      <c r="F32" s="68"/>
      <c r="G32" s="179">
        <f t="shared" ref="G32:M32" si="31">G31</f>
        <v>1.908544268617992E-2</v>
      </c>
      <c r="H32" s="179">
        <f t="shared" si="31"/>
        <v>2.3516916083012096E-2</v>
      </c>
      <c r="I32" s="179">
        <f t="shared" si="31"/>
        <v>3.062709079469687E-2</v>
      </c>
      <c r="J32" s="179">
        <f t="shared" si="31"/>
        <v>3.0203561723527145E-2</v>
      </c>
      <c r="K32" s="179">
        <f t="shared" si="31"/>
        <v>2.0350652833829377E-2</v>
      </c>
      <c r="L32" s="179">
        <f t="shared" si="31"/>
        <v>2.7413733574773384E-2</v>
      </c>
      <c r="M32" s="179">
        <f t="shared" si="31"/>
        <v>5.9586610311145788E-2</v>
      </c>
      <c r="N32" s="179">
        <f>N31</f>
        <v>6.0829123748994178E-2</v>
      </c>
      <c r="O32" s="1865">
        <f>'Production Plan'!G141</f>
        <v>8.7127764644153144E-2</v>
      </c>
      <c r="P32" s="1865">
        <f>'Production Plan'!H141</f>
        <v>5.3291508835088298E-2</v>
      </c>
      <c r="Q32" s="1865">
        <f>'Production Plan'!I141</f>
        <v>5.2542629937725002E-2</v>
      </c>
      <c r="R32" s="1865">
        <f>'Production Plan'!J141</f>
        <v>0.22718257630229186</v>
      </c>
      <c r="S32" s="1865">
        <f>'Production Plan'!K141</f>
        <v>0.28164579345715973</v>
      </c>
      <c r="T32" s="1865">
        <f>'Production Plan'!L141</f>
        <v>0.29157865790198256</v>
      </c>
      <c r="U32" s="1865">
        <f>'Production Plan'!M141</f>
        <v>0.26472338081188479</v>
      </c>
      <c r="V32" s="1865">
        <f>'Production Plan'!N141</f>
        <v>0.23830111333761139</v>
      </c>
      <c r="W32" s="179"/>
      <c r="X32" s="481"/>
      <c r="Y32" s="471"/>
      <c r="Z32" s="471"/>
      <c r="AA32" s="471"/>
    </row>
    <row r="33" spans="1:27">
      <c r="A33" s="54"/>
      <c r="X33" s="473"/>
      <c r="Y33" s="473"/>
      <c r="Z33" s="473"/>
      <c r="AA33" s="473"/>
    </row>
    <row r="34" spans="1:27">
      <c r="A34" s="54" t="s">
        <v>74</v>
      </c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67"/>
      <c r="N34" s="67"/>
      <c r="O34" s="67"/>
      <c r="P34" s="67"/>
      <c r="Q34" s="67"/>
      <c r="R34" s="67"/>
      <c r="S34" s="67"/>
      <c r="T34" s="54"/>
      <c r="U34" s="54"/>
      <c r="V34" s="54"/>
      <c r="W34" s="54"/>
      <c r="X34" s="471"/>
      <c r="Y34" s="471"/>
      <c r="Z34" s="471"/>
      <c r="AA34" s="471"/>
    </row>
    <row r="35" spans="1:27">
      <c r="A35" s="54" t="s">
        <v>75</v>
      </c>
      <c r="B35" s="54"/>
      <c r="C35" s="54"/>
      <c r="D35" s="54"/>
      <c r="E35" s="54"/>
      <c r="F35" s="54"/>
      <c r="G35" s="66">
        <f t="shared" ref="G35:M35" si="32">G25-G$31</f>
        <v>0.27356380257965568</v>
      </c>
      <c r="H35" s="66">
        <f t="shared" si="32"/>
        <v>0.28833259399649414</v>
      </c>
      <c r="I35" s="66">
        <f t="shared" si="32"/>
        <v>0.3271147887957303</v>
      </c>
      <c r="J35" s="66">
        <f t="shared" si="32"/>
        <v>0.32748516073303768</v>
      </c>
      <c r="K35" s="66">
        <f t="shared" si="32"/>
        <v>0.30393489120607425</v>
      </c>
      <c r="L35" s="66">
        <f t="shared" si="32"/>
        <v>0.35198476673213436</v>
      </c>
      <c r="M35" s="66">
        <f t="shared" si="32"/>
        <v>0.33785086840129808</v>
      </c>
      <c r="N35" s="66">
        <f>N25-N$31</f>
        <v>0.3611958213614932</v>
      </c>
      <c r="O35" s="66">
        <f t="shared" ref="O35:U35" si="33">O25-O$31</f>
        <v>0.26752321817215052</v>
      </c>
      <c r="P35" s="66">
        <f t="shared" si="33"/>
        <v>0.44184507665613282</v>
      </c>
      <c r="Q35" s="66">
        <f t="shared" si="33"/>
        <v>0.4778227332159608</v>
      </c>
      <c r="R35" s="66">
        <f t="shared" si="33"/>
        <v>0.41102356946923235</v>
      </c>
      <c r="S35" s="66">
        <f t="shared" si="33"/>
        <v>0.4168311642074542</v>
      </c>
      <c r="T35" s="66">
        <f t="shared" si="33"/>
        <v>0.43198975365094738</v>
      </c>
      <c r="U35" s="66">
        <f t="shared" si="33"/>
        <v>0.42278879478889519</v>
      </c>
      <c r="V35" s="66">
        <f>V25-V$31</f>
        <v>0.41580918380655024</v>
      </c>
      <c r="W35" s="66"/>
      <c r="X35" s="481"/>
      <c r="Y35" s="471"/>
      <c r="Z35" s="471"/>
      <c r="AA35" s="471"/>
    </row>
    <row r="36" spans="1:27">
      <c r="A36" s="54" t="s">
        <v>76</v>
      </c>
      <c r="B36" s="54"/>
      <c r="C36" s="54"/>
      <c r="D36" s="54"/>
      <c r="E36" s="54"/>
      <c r="F36" s="54"/>
      <c r="G36" s="66">
        <f t="shared" ref="G36:M36" si="34">G26-G$32</f>
        <v>0.24828613663892199</v>
      </c>
      <c r="H36" s="66">
        <f t="shared" si="34"/>
        <v>0.28757374684598047</v>
      </c>
      <c r="I36" s="66">
        <f t="shared" si="34"/>
        <v>0.23966654393890061</v>
      </c>
      <c r="J36" s="66">
        <f t="shared" si="34"/>
        <v>0.25518042083559411</v>
      </c>
      <c r="K36" s="66">
        <f t="shared" si="34"/>
        <v>0.23185788469926305</v>
      </c>
      <c r="L36" s="66">
        <f t="shared" si="34"/>
        <v>0.19608375158859367</v>
      </c>
      <c r="M36" s="66">
        <f t="shared" si="34"/>
        <v>0.17300543487765963</v>
      </c>
      <c r="N36" s="66">
        <f>N26-N$32</f>
        <v>0.22788567853472103</v>
      </c>
      <c r="O36" s="66">
        <f t="shared" ref="O36:U36" si="35">O26-O$32</f>
        <v>0.17559715947790069</v>
      </c>
      <c r="P36" s="66">
        <f t="shared" si="35"/>
        <v>0.26188256057641707</v>
      </c>
      <c r="Q36" s="66">
        <f t="shared" si="35"/>
        <v>0.2418135813732431</v>
      </c>
      <c r="R36" s="66">
        <f t="shared" si="35"/>
        <v>0.34949162843227233</v>
      </c>
      <c r="S36" s="66">
        <f t="shared" si="35"/>
        <v>0.39795238167073393</v>
      </c>
      <c r="T36" s="66">
        <f t="shared" si="35"/>
        <v>0.42047509574380038</v>
      </c>
      <c r="U36" s="66">
        <f t="shared" si="35"/>
        <v>0.41309770317397104</v>
      </c>
      <c r="V36" s="66">
        <f>V26-V$32</f>
        <v>0.40582494224420729</v>
      </c>
      <c r="W36" s="66"/>
      <c r="X36" s="481"/>
      <c r="Y36" s="471"/>
      <c r="Z36" s="471"/>
      <c r="AA36" s="471"/>
    </row>
    <row r="37" spans="1:27">
      <c r="A37" s="54" t="s">
        <v>77</v>
      </c>
      <c r="B37" s="54"/>
      <c r="C37" s="54"/>
      <c r="D37" s="54"/>
      <c r="E37" s="54"/>
      <c r="F37" s="54"/>
      <c r="G37" s="66">
        <f t="shared" ref="G37:M37" si="36">G27-G$31</f>
        <v>0.24245059459262683</v>
      </c>
      <c r="H37" s="66">
        <f t="shared" si="36"/>
        <v>0.25154157123630627</v>
      </c>
      <c r="I37" s="66">
        <f t="shared" si="36"/>
        <v>0.27522877776601917</v>
      </c>
      <c r="J37" s="66">
        <f t="shared" si="36"/>
        <v>0.31464706275151277</v>
      </c>
      <c r="K37" s="66">
        <f t="shared" si="36"/>
        <v>0.17182360207223374</v>
      </c>
      <c r="L37" s="66">
        <f t="shared" si="36"/>
        <v>0.32585082448806685</v>
      </c>
      <c r="M37" s="66">
        <f t="shared" si="36"/>
        <v>0.57805642290937043</v>
      </c>
      <c r="N37" s="66">
        <f>N27-N$31</f>
        <v>0.3611958213614932</v>
      </c>
      <c r="O37" s="66">
        <f t="shared" ref="O37:U37" si="37">O27-O$31</f>
        <v>0.26752321817215052</v>
      </c>
      <c r="P37" s="66">
        <f t="shared" si="37"/>
        <v>0.44184507665613282</v>
      </c>
      <c r="Q37" s="66">
        <f t="shared" si="37"/>
        <v>0.4778227332159608</v>
      </c>
      <c r="R37" s="66">
        <f t="shared" si="37"/>
        <v>0.41102356946923235</v>
      </c>
      <c r="S37" s="66">
        <f t="shared" si="37"/>
        <v>0.4168311642074542</v>
      </c>
      <c r="T37" s="66">
        <f t="shared" si="37"/>
        <v>0.43198975365094738</v>
      </c>
      <c r="U37" s="66">
        <f t="shared" si="37"/>
        <v>0.42278879478889519</v>
      </c>
      <c r="V37" s="66">
        <f>V27-V$31</f>
        <v>0.41580918380655024</v>
      </c>
      <c r="W37" s="66"/>
      <c r="X37" s="481"/>
      <c r="Y37" s="471"/>
      <c r="Z37" s="471"/>
      <c r="AA37" s="471"/>
    </row>
    <row r="38" spans="1:27">
      <c r="M38" s="4"/>
      <c r="O38" s="220"/>
      <c r="P38" s="220"/>
      <c r="Q38" s="220"/>
      <c r="R38" s="220"/>
      <c r="S38" s="220"/>
      <c r="T38" s="220"/>
      <c r="U38" s="220"/>
      <c r="V38" s="220"/>
      <c r="X38" s="473"/>
      <c r="Y38" s="473"/>
      <c r="Z38" s="473"/>
      <c r="AA38" s="473"/>
    </row>
    <row r="39" spans="1:27">
      <c r="A39" s="54" t="s">
        <v>783</v>
      </c>
      <c r="B39" s="54"/>
      <c r="C39" s="54"/>
      <c r="D39" s="54"/>
      <c r="E39" s="54"/>
      <c r="F39" s="54"/>
      <c r="G39" s="54">
        <f>53709589.93-G40-G41</f>
        <v>52637143.93</v>
      </c>
      <c r="H39" s="68">
        <v>44080036</v>
      </c>
      <c r="I39" s="68">
        <f>55426055-I41-I40</f>
        <v>55349514</v>
      </c>
      <c r="J39" s="68">
        <v>59503665.949999996</v>
      </c>
      <c r="K39" s="68">
        <v>60727598.410000004</v>
      </c>
      <c r="L39" s="68">
        <v>47661720.940000013</v>
      </c>
      <c r="M39" s="68">
        <f>'Sales &amp; AnP Forecast'!K117</f>
        <v>21884992.289999999</v>
      </c>
      <c r="N39" s="68">
        <f>'Sales &amp; AnP Forecast'!L117</f>
        <v>40923082.930000007</v>
      </c>
      <c r="O39" s="68">
        <f>'Sales &amp; AnP Forecast'!M117</f>
        <v>37140962.525514804</v>
      </c>
      <c r="P39" s="68">
        <f>'Sales &amp; AnP Forecast'!N117</f>
        <v>37174342.376166701</v>
      </c>
      <c r="Q39" s="68">
        <f>'Sales &amp; AnP Forecast'!O117</f>
        <v>41162647.148127854</v>
      </c>
      <c r="R39" s="68">
        <f>'Sales &amp; AnP Forecast'!P117</f>
        <v>44335045.500769451</v>
      </c>
      <c r="S39" s="68">
        <f>'Sales &amp; AnP Forecast'!Q117</f>
        <v>46204619.235681735</v>
      </c>
      <c r="T39" s="68">
        <f>'Sales &amp; AnP Forecast'!R117</f>
        <v>49097536.447106197</v>
      </c>
      <c r="U39" s="68">
        <f>'Sales &amp; AnP Forecast'!S117</f>
        <v>51810839.638238132</v>
      </c>
      <c r="V39" s="68">
        <f>'Sales &amp; AnP Forecast'!T117</f>
        <v>46827926.568825021</v>
      </c>
      <c r="W39" s="68"/>
      <c r="X39" s="471"/>
      <c r="Y39" s="471"/>
      <c r="Z39" s="471"/>
      <c r="AA39" s="471"/>
    </row>
    <row r="40" spans="1:27">
      <c r="A40" s="54" t="s">
        <v>79</v>
      </c>
      <c r="B40" s="54"/>
      <c r="C40" s="54"/>
      <c r="D40" s="54"/>
      <c r="E40" s="54"/>
      <c r="F40" s="54"/>
      <c r="G40" s="54">
        <v>1019182</v>
      </c>
      <c r="H40" s="68">
        <v>366658</v>
      </c>
      <c r="I40" s="68">
        <v>5700</v>
      </c>
      <c r="J40" s="68">
        <v>0</v>
      </c>
      <c r="K40" s="68">
        <v>0</v>
      </c>
      <c r="L40" s="68">
        <f>16968400+400000</f>
        <v>17368400</v>
      </c>
      <c r="M40" s="68">
        <f>'Sales &amp; AnP Forecast'!K124</f>
        <v>8544818</v>
      </c>
      <c r="N40" s="68">
        <f>'Sales &amp; AnP Forecast'!L124</f>
        <v>10746798</v>
      </c>
      <c r="O40" s="68">
        <f>'Sales &amp; AnP Forecast'!M124</f>
        <v>9358234</v>
      </c>
      <c r="P40" s="68">
        <f>'Sales &amp; AnP Forecast'!N124</f>
        <v>10550000</v>
      </c>
      <c r="Q40" s="68">
        <f>'Sales &amp; AnP Forecast'!O124</f>
        <v>9800000</v>
      </c>
      <c r="R40" s="68">
        <f>'Sales &amp; AnP Forecast'!P124</f>
        <v>10200000</v>
      </c>
      <c r="S40" s="68">
        <f>'Sales &amp; AnP Forecast'!Q124</f>
        <v>10200000</v>
      </c>
      <c r="T40" s="68">
        <f>'Sales &amp; AnP Forecast'!R124</f>
        <v>10199999.999999998</v>
      </c>
      <c r="U40" s="68">
        <f>'Sales &amp; AnP Forecast'!S124</f>
        <v>10199999.999999998</v>
      </c>
      <c r="V40" s="68">
        <f>'Sales &amp; AnP Forecast'!T124</f>
        <v>10199999.999999998</v>
      </c>
      <c r="W40" s="54"/>
      <c r="X40" s="471"/>
      <c r="Y40" s="471"/>
      <c r="Z40" s="471"/>
      <c r="AA40" s="471"/>
    </row>
    <row r="41" spans="1:27">
      <c r="A41" s="54" t="s">
        <v>80</v>
      </c>
      <c r="B41" s="54"/>
      <c r="C41" s="54"/>
      <c r="D41" s="54"/>
      <c r="E41" s="54"/>
      <c r="F41" s="54"/>
      <c r="G41" s="54">
        <v>53264</v>
      </c>
      <c r="H41" s="68">
        <v>396100</v>
      </c>
      <c r="I41" s="68">
        <v>70841</v>
      </c>
      <c r="J41" s="68">
        <v>0</v>
      </c>
      <c r="K41" s="68"/>
      <c r="L41" s="68">
        <v>124836.01</v>
      </c>
      <c r="M41" s="68">
        <f>'Sales &amp; AnP Forecast'!K125</f>
        <v>22202</v>
      </c>
      <c r="N41" s="68">
        <f>'Sales &amp; AnP Forecast'!L125</f>
        <v>63608</v>
      </c>
      <c r="O41" s="68">
        <f>'Sales &amp; AnP Forecast'!M125</f>
        <v>179000</v>
      </c>
      <c r="P41" s="68">
        <f>'Sales &amp; AnP Forecast'!N125</f>
        <v>180758.47559486236</v>
      </c>
      <c r="Q41" s="68">
        <f>'Sales &amp; AnP Forecast'!O125</f>
        <v>182534.22625351092</v>
      </c>
      <c r="R41" s="68">
        <f>'Sales &amp; AnP Forecast'!P125</f>
        <v>184327.421684203</v>
      </c>
      <c r="S41" s="68">
        <f>'Sales &amp; AnP Forecast'!Q125</f>
        <v>186138.23326239057</v>
      </c>
      <c r="T41" s="68">
        <f>'Sales &amp; AnP Forecast'!R125</f>
        <v>187966.83404709844</v>
      </c>
      <c r="U41" s="68">
        <f>'Sales &amp; AnP Forecast'!S125</f>
        <v>189813.39879746363</v>
      </c>
      <c r="V41" s="68">
        <f>'Sales &amp; AnP Forecast'!T125</f>
        <v>191678.1039894369</v>
      </c>
      <c r="W41" s="54"/>
      <c r="X41" s="471"/>
      <c r="Y41" s="471"/>
      <c r="Z41" s="471"/>
      <c r="AA41" s="471"/>
    </row>
    <row r="42" spans="1:27">
      <c r="A42" s="54" t="s">
        <v>81</v>
      </c>
      <c r="B42" s="54"/>
      <c r="C42" s="54"/>
      <c r="D42" s="54"/>
      <c r="E42" s="54"/>
      <c r="F42" s="54"/>
      <c r="G42" s="54"/>
      <c r="H42" s="68">
        <v>218170</v>
      </c>
      <c r="I42" s="68">
        <v>575798.25</v>
      </c>
      <c r="J42" s="68">
        <v>112675.45999999999</v>
      </c>
      <c r="K42" s="68">
        <v>402192.32999999996</v>
      </c>
      <c r="L42" s="68">
        <v>754081.74</v>
      </c>
      <c r="M42" s="68">
        <f>'Sales &amp; AnP Forecast'!K128</f>
        <v>565551.42999999993</v>
      </c>
      <c r="N42" s="68">
        <f>'Sales &amp; AnP Forecast'!L128</f>
        <v>123353</v>
      </c>
      <c r="O42" s="68">
        <f>'Sales &amp; AnP Forecast'!M128</f>
        <v>100000</v>
      </c>
      <c r="P42" s="68">
        <f>'Sales &amp; AnP Forecast'!N128</f>
        <v>218178.63903212128</v>
      </c>
      <c r="Q42" s="68">
        <f>'Sales &amp; AnP Forecast'!O128</f>
        <v>368111.68511773605</v>
      </c>
      <c r="R42" s="68">
        <f>'Sales &amp; AnP Forecast'!P128</f>
        <v>529750.14054611931</v>
      </c>
      <c r="S42" s="68">
        <f>'Sales &amp; AnP Forecast'!Q128</f>
        <v>540345.14335704176</v>
      </c>
      <c r="T42" s="68">
        <f>'Sales &amp; AnP Forecast'!R128</f>
        <v>551152.04622418259</v>
      </c>
      <c r="U42" s="68">
        <f>'Sales &amp; AnP Forecast'!S128</f>
        <v>1019671.3978206022</v>
      </c>
      <c r="V42" s="68">
        <f>'Sales &amp; AnP Forecast'!T128</f>
        <v>1040064.825777014</v>
      </c>
      <c r="W42" s="68"/>
      <c r="X42" s="471"/>
      <c r="Y42" s="471"/>
      <c r="Z42" s="471"/>
      <c r="AA42" s="471"/>
    </row>
    <row r="43" spans="1:27">
      <c r="A43" s="54" t="s">
        <v>82</v>
      </c>
      <c r="B43" s="54"/>
      <c r="C43" s="54"/>
      <c r="D43" s="54"/>
      <c r="E43" s="54"/>
      <c r="F43" s="54"/>
      <c r="G43" s="54">
        <f>114880742.24-28897208</f>
        <v>85983534.239999995</v>
      </c>
      <c r="H43" s="68">
        <v>79414788</v>
      </c>
      <c r="I43" s="68">
        <v>84619007</v>
      </c>
      <c r="J43" s="68">
        <v>92734579.870000005</v>
      </c>
      <c r="K43" s="68">
        <v>116792139.48999999</v>
      </c>
      <c r="L43" s="68">
        <v>143163826.28000003</v>
      </c>
      <c r="M43" s="68">
        <f>'Sales &amp; AnP Forecast'!K129</f>
        <v>100085966.94000001</v>
      </c>
      <c r="N43" s="68">
        <f>'Sales &amp; AnP Forecast'!L129</f>
        <v>95979372.350000009</v>
      </c>
      <c r="O43" s="68">
        <f>'Sales &amp; AnP Forecast'!M129</f>
        <v>143875988.06660345</v>
      </c>
      <c r="P43" s="68">
        <f>'Sales &amp; AnP Forecast'!N129</f>
        <v>147333036.1007033</v>
      </c>
      <c r="Q43" s="68">
        <f>'Sales &amp; AnP Forecast'!O129</f>
        <v>164509139.14330924</v>
      </c>
      <c r="R43" s="68">
        <f>'Sales &amp; AnP Forecast'!P129</f>
        <v>195421589.84057397</v>
      </c>
      <c r="S43" s="68">
        <f>'Sales &amp; AnP Forecast'!Q129</f>
        <v>210535415.0447605</v>
      </c>
      <c r="T43" s="68">
        <f>'Sales &amp; AnP Forecast'!R129</f>
        <v>233430023.66462192</v>
      </c>
      <c r="U43" s="68">
        <f>'Sales &amp; AnP Forecast'!S129</f>
        <v>274632435.21141499</v>
      </c>
      <c r="V43" s="68">
        <f>'Sales &amp; AnP Forecast'!T129</f>
        <v>323754131.40360659</v>
      </c>
      <c r="W43" s="68"/>
      <c r="X43" s="471"/>
      <c r="Y43" s="471"/>
      <c r="Z43" s="471"/>
      <c r="AA43" s="471"/>
    </row>
    <row r="44" spans="1:27">
      <c r="A44" s="54"/>
      <c r="B44" s="54"/>
      <c r="C44" s="54"/>
      <c r="D44" s="54"/>
      <c r="E44" s="54"/>
      <c r="F44" s="54"/>
      <c r="G44" s="70">
        <f t="shared" ref="G44:V44" si="38">SUM(G39:G43)</f>
        <v>139693124.16999999</v>
      </c>
      <c r="H44" s="71">
        <f t="shared" si="38"/>
        <v>124475752</v>
      </c>
      <c r="I44" s="71">
        <f t="shared" si="38"/>
        <v>140620860.25</v>
      </c>
      <c r="J44" s="71">
        <f t="shared" si="38"/>
        <v>152350921.28</v>
      </c>
      <c r="K44" s="71">
        <f t="shared" si="38"/>
        <v>177921930.22999999</v>
      </c>
      <c r="L44" s="71">
        <f t="shared" si="38"/>
        <v>209072864.97000003</v>
      </c>
      <c r="M44" s="71">
        <f t="shared" si="38"/>
        <v>131103530.66000001</v>
      </c>
      <c r="N44" s="71">
        <f t="shared" si="38"/>
        <v>147836214.28000003</v>
      </c>
      <c r="O44" s="71">
        <f t="shared" si="38"/>
        <v>190654184.59211826</v>
      </c>
      <c r="P44" s="71">
        <f t="shared" si="38"/>
        <v>195456315.59149697</v>
      </c>
      <c r="Q44" s="71">
        <f t="shared" si="38"/>
        <v>216022432.20280832</v>
      </c>
      <c r="R44" s="71">
        <f t="shared" si="38"/>
        <v>250670712.90357375</v>
      </c>
      <c r="S44" s="71">
        <f t="shared" si="38"/>
        <v>267666517.65706167</v>
      </c>
      <c r="T44" s="71">
        <f t="shared" si="38"/>
        <v>293466678.99199939</v>
      </c>
      <c r="U44" s="71">
        <f t="shared" si="38"/>
        <v>337852759.64627117</v>
      </c>
      <c r="V44" s="71">
        <f t="shared" si="38"/>
        <v>382013800.90219808</v>
      </c>
      <c r="W44" s="72"/>
      <c r="X44" s="471"/>
      <c r="Y44" s="471"/>
      <c r="Z44" s="471"/>
      <c r="AA44" s="471"/>
    </row>
    <row r="45" spans="1:27">
      <c r="A45" s="54" t="s">
        <v>83</v>
      </c>
      <c r="B45" s="54"/>
      <c r="C45" s="54"/>
      <c r="D45" s="54"/>
      <c r="E45" s="54"/>
      <c r="F45" s="54"/>
      <c r="G45" s="54"/>
      <c r="H45" s="68"/>
      <c r="I45" s="74"/>
      <c r="J45" s="62">
        <f>J44/I44-1</f>
        <v>8.3416222949752594E-2</v>
      </c>
      <c r="K45" s="62">
        <f>K44/J44-1</f>
        <v>0.16784282454717814</v>
      </c>
      <c r="L45" s="62">
        <f>L44/K44-1</f>
        <v>0.1750820413185219</v>
      </c>
      <c r="M45" s="74"/>
      <c r="N45" s="74"/>
      <c r="O45" s="74"/>
      <c r="P45" s="74"/>
      <c r="Q45" s="74">
        <v>0.08</v>
      </c>
      <c r="R45" s="62">
        <v>0.08</v>
      </c>
      <c r="S45" s="62">
        <v>0.08</v>
      </c>
      <c r="T45" s="62">
        <v>0.08</v>
      </c>
      <c r="U45" s="62">
        <v>0.08</v>
      </c>
      <c r="V45" s="62">
        <v>0.08</v>
      </c>
      <c r="W45" s="62"/>
      <c r="X45" s="484"/>
      <c r="Y45" s="471"/>
      <c r="Z45" s="471"/>
      <c r="AA45" s="471"/>
    </row>
    <row r="46" spans="1:27">
      <c r="A46" s="54"/>
      <c r="B46" s="54"/>
      <c r="C46" s="54"/>
      <c r="D46" s="54"/>
      <c r="E46" s="54"/>
      <c r="F46" s="54"/>
      <c r="G46" s="54"/>
      <c r="H46" s="68"/>
      <c r="I46" s="68"/>
      <c r="J46" s="68"/>
      <c r="K46" s="68"/>
      <c r="L46" s="68"/>
      <c r="M46" s="469"/>
      <c r="N46" s="68"/>
      <c r="O46" s="68"/>
      <c r="P46" s="68"/>
      <c r="Q46" s="68"/>
      <c r="R46" s="54"/>
      <c r="S46" s="54"/>
      <c r="T46" s="54"/>
      <c r="U46" s="54"/>
      <c r="V46" s="54"/>
      <c r="W46" s="54"/>
      <c r="X46" s="471"/>
      <c r="Y46" s="471"/>
      <c r="Z46" s="471"/>
      <c r="AA46" s="471"/>
    </row>
    <row r="47" spans="1:27">
      <c r="A47" s="498" t="s">
        <v>793</v>
      </c>
      <c r="B47" s="498"/>
      <c r="C47" s="498"/>
      <c r="D47" s="498"/>
      <c r="E47" s="498"/>
      <c r="F47" s="498"/>
      <c r="G47" s="498"/>
      <c r="H47" s="498"/>
      <c r="I47" s="498"/>
      <c r="J47" s="498"/>
      <c r="K47" s="498"/>
      <c r="L47" s="498">
        <v>136902203.16471761</v>
      </c>
      <c r="M47" s="499">
        <f>'Core P&amp;L'!BN15</f>
        <v>119496686</v>
      </c>
      <c r="N47" s="500">
        <f>'Core P&amp;L'!AX15</f>
        <v>120420000</v>
      </c>
      <c r="O47" s="498">
        <v>148726987.48956117</v>
      </c>
      <c r="P47" s="498">
        <v>152891343.13926888</v>
      </c>
      <c r="Q47" s="498">
        <v>156713626.71775058</v>
      </c>
      <c r="R47" s="498">
        <v>160631467.38569432</v>
      </c>
      <c r="S47" s="498">
        <v>164647254.07033667</v>
      </c>
      <c r="T47" s="498">
        <v>168763435.42209506</v>
      </c>
      <c r="U47" s="498">
        <v>172982521.30764741</v>
      </c>
      <c r="V47" s="498">
        <v>177307084.34033859</v>
      </c>
      <c r="W47" s="54"/>
      <c r="X47" s="471"/>
      <c r="Y47" s="471"/>
      <c r="Z47" s="471"/>
      <c r="AA47" s="471"/>
    </row>
    <row r="48" spans="1:27">
      <c r="A48" s="59" t="s">
        <v>84</v>
      </c>
      <c r="B48" s="54"/>
      <c r="C48" s="54"/>
      <c r="D48" s="54"/>
      <c r="E48" s="54"/>
      <c r="F48" s="54"/>
      <c r="G48" s="54"/>
      <c r="H48" s="68"/>
      <c r="I48" s="68"/>
      <c r="J48" s="68"/>
      <c r="K48" s="68"/>
      <c r="L48" s="68"/>
      <c r="M48" s="469"/>
      <c r="N48" s="68"/>
      <c r="O48" s="68"/>
      <c r="P48" s="68"/>
      <c r="Q48" s="68"/>
      <c r="R48" s="54"/>
      <c r="S48" s="54"/>
      <c r="T48" s="54"/>
      <c r="U48" s="54"/>
      <c r="V48" s="54"/>
      <c r="W48" s="54"/>
      <c r="X48" s="471"/>
      <c r="Y48" s="471"/>
      <c r="Z48" s="471"/>
      <c r="AA48" s="471"/>
    </row>
    <row r="49" spans="1:27">
      <c r="A49" s="54" t="s">
        <v>85</v>
      </c>
      <c r="B49" s="54"/>
      <c r="C49" s="54"/>
      <c r="D49" s="54"/>
      <c r="E49" s="54"/>
      <c r="F49" s="54"/>
      <c r="G49" s="54">
        <v>129020124.63999999</v>
      </c>
      <c r="H49" s="68">
        <v>128334878</v>
      </c>
      <c r="I49" s="68">
        <v>132553784</v>
      </c>
      <c r="J49" s="68">
        <v>133080926</v>
      </c>
      <c r="K49" s="68">
        <v>134920798</v>
      </c>
      <c r="L49" s="68">
        <v>109952232</v>
      </c>
      <c r="M49" s="68">
        <f>'Sales &amp; AnP Forecast'!K8</f>
        <v>49797022</v>
      </c>
      <c r="N49" s="68">
        <f>'Sales &amp; AnP Forecast'!L8</f>
        <v>95677933</v>
      </c>
      <c r="O49" s="68">
        <f>'Sales &amp; AnP Forecast'!M8</f>
        <v>78208397</v>
      </c>
      <c r="P49" s="68">
        <f>'Sales &amp; AnP Forecast'!N8</f>
        <v>81501747</v>
      </c>
      <c r="Q49" s="68">
        <f>'Sales &amp; AnP Forecast'!O8</f>
        <v>99473879</v>
      </c>
      <c r="R49" s="68">
        <f>'Sales &amp; AnP Forecast'!P8</f>
        <v>112646695</v>
      </c>
      <c r="S49" s="68">
        <f>'Sales &amp; AnP Forecast'!Q8</f>
        <v>120156934</v>
      </c>
      <c r="T49" s="68">
        <f>'Sales &amp; AnP Forecast'!R8</f>
        <v>126824552</v>
      </c>
      <c r="U49" s="68">
        <f>'Sales &amp; AnP Forecast'!S8</f>
        <v>134648143</v>
      </c>
      <c r="V49" s="68">
        <f>'Sales &amp; AnP Forecast'!T8</f>
        <v>136550061.00000003</v>
      </c>
      <c r="W49" s="68"/>
      <c r="X49" s="471"/>
      <c r="Y49" s="471"/>
      <c r="Z49" s="471"/>
      <c r="AA49" s="471"/>
    </row>
    <row r="50" spans="1:27">
      <c r="A50" s="54" t="s">
        <v>86</v>
      </c>
      <c r="B50" s="54"/>
      <c r="C50" s="54"/>
      <c r="D50" s="54"/>
      <c r="E50" s="54"/>
      <c r="F50" s="54"/>
      <c r="G50" s="54">
        <v>97512336.000000015</v>
      </c>
      <c r="H50" s="68">
        <v>88410090</v>
      </c>
      <c r="I50" s="68">
        <v>89348580</v>
      </c>
      <c r="J50" s="68">
        <v>103416030</v>
      </c>
      <c r="K50" s="68">
        <v>128636772</v>
      </c>
      <c r="L50" s="68">
        <v>157218960</v>
      </c>
      <c r="M50" s="68">
        <f>'Sales &amp; AnP Forecast'!K16</f>
        <v>93666384</v>
      </c>
      <c r="N50" s="68">
        <f>'Sales &amp; AnP Forecast'!L16</f>
        <v>85719732</v>
      </c>
      <c r="O50" s="68">
        <f>'Sales &amp; AnP Forecast'!M16</f>
        <v>134046276</v>
      </c>
      <c r="P50" s="68">
        <f>'Sales &amp; AnP Forecast'!N16</f>
        <v>137267136</v>
      </c>
      <c r="Q50" s="68">
        <f>'Sales &amp; AnP Forecast'!O16</f>
        <v>133278048</v>
      </c>
      <c r="R50" s="68">
        <f>'Sales &amp; AnP Forecast'!P16</f>
        <v>158321952</v>
      </c>
      <c r="S50" s="68">
        <f>'Sales &amp; AnP Forecast'!Q16</f>
        <v>170566506.50631487</v>
      </c>
      <c r="T50" s="68">
        <f>'Sales &amp; AnP Forecast'!R16</f>
        <v>164447572.62953103</v>
      </c>
      <c r="U50" s="68">
        <f>'Sales &amp; AnP Forecast'!S16</f>
        <v>193473986.87985858</v>
      </c>
      <c r="V50" s="68">
        <f>'Sales &amp; AnP Forecast'!T16</f>
        <v>228079405.56351978</v>
      </c>
      <c r="W50" s="68"/>
      <c r="X50" s="471"/>
      <c r="Y50" s="471"/>
      <c r="Z50" s="471"/>
      <c r="AA50" s="471"/>
    </row>
    <row r="51" spans="1:27">
      <c r="A51" s="54" t="s">
        <v>87</v>
      </c>
      <c r="B51" s="54"/>
      <c r="C51" s="54"/>
      <c r="D51" s="54"/>
      <c r="E51" s="54"/>
      <c r="F51" s="54"/>
      <c r="G51" s="54">
        <v>2305224</v>
      </c>
      <c r="H51" s="68">
        <v>3822912</v>
      </c>
      <c r="I51" s="68">
        <v>3713508</v>
      </c>
      <c r="J51" s="68">
        <v>3133944</v>
      </c>
      <c r="K51" s="68">
        <v>6423888</v>
      </c>
      <c r="L51" s="68">
        <v>3541680</v>
      </c>
      <c r="M51" s="68">
        <f>'Sales &amp; AnP Forecast'!K15</f>
        <v>2510256</v>
      </c>
      <c r="N51" s="68">
        <f>'Sales &amp; AnP Forecast'!L15</f>
        <v>0</v>
      </c>
      <c r="O51" s="68">
        <f>'Sales &amp; AnP Forecast'!M15</f>
        <v>1517577.2599492124</v>
      </c>
      <c r="P51" s="68">
        <f>'Sales &amp; AnP Forecast'!N15</f>
        <v>1517577.2599492124</v>
      </c>
      <c r="Q51" s="68">
        <f>'Sales &amp; AnP Forecast'!O15</f>
        <v>2510256</v>
      </c>
      <c r="R51" s="68">
        <f>'Sales &amp; AnP Forecast'!P15</f>
        <v>3541680</v>
      </c>
      <c r="S51" s="68">
        <f>'Sales &amp; AnP Forecast'!Q15</f>
        <v>3541680</v>
      </c>
      <c r="T51" s="68">
        <f>'Sales &amp; AnP Forecast'!R15</f>
        <v>3541680</v>
      </c>
      <c r="U51" s="68">
        <f>'Sales &amp; AnP Forecast'!S15</f>
        <v>6423888</v>
      </c>
      <c r="V51" s="68">
        <f>'Sales &amp; AnP Forecast'!T15</f>
        <v>6423888</v>
      </c>
      <c r="W51" s="68"/>
      <c r="X51" s="471"/>
      <c r="Y51" s="471"/>
      <c r="Z51" s="471"/>
      <c r="AA51" s="471"/>
    </row>
    <row r="52" spans="1:27" ht="15.75" thickBot="1">
      <c r="A52" s="59" t="s">
        <v>88</v>
      </c>
      <c r="B52" s="54"/>
      <c r="C52" s="54"/>
      <c r="D52" s="54"/>
      <c r="E52" s="54"/>
      <c r="F52" s="54"/>
      <c r="G52" s="75">
        <f>SUM(G49:G51)</f>
        <v>228837684.63999999</v>
      </c>
      <c r="H52" s="76">
        <f t="shared" ref="H52:V52" si="39">SUM(H49:H51)</f>
        <v>220567880</v>
      </c>
      <c r="I52" s="76">
        <f t="shared" si="39"/>
        <v>225615872</v>
      </c>
      <c r="J52" s="76">
        <f>SUM(J49:J51)</f>
        <v>239630900</v>
      </c>
      <c r="K52" s="76">
        <f t="shared" si="39"/>
        <v>269981458</v>
      </c>
      <c r="L52" s="76">
        <f t="shared" si="39"/>
        <v>270712872</v>
      </c>
      <c r="M52" s="76">
        <f t="shared" si="39"/>
        <v>145973662</v>
      </c>
      <c r="N52" s="76">
        <f>SUM(N49:N51)</f>
        <v>181397665</v>
      </c>
      <c r="O52" s="76">
        <f t="shared" si="39"/>
        <v>213772250.25994921</v>
      </c>
      <c r="P52" s="76">
        <f t="shared" si="39"/>
        <v>220286460.25994921</v>
      </c>
      <c r="Q52" s="76">
        <f>SUM(Q49:Q51)</f>
        <v>235262183</v>
      </c>
      <c r="R52" s="75">
        <f t="shared" si="39"/>
        <v>274510327</v>
      </c>
      <c r="S52" s="75">
        <f t="shared" si="39"/>
        <v>294265120.50631487</v>
      </c>
      <c r="T52" s="75">
        <f t="shared" si="39"/>
        <v>294813804.62953103</v>
      </c>
      <c r="U52" s="75">
        <f t="shared" si="39"/>
        <v>334546017.87985861</v>
      </c>
      <c r="V52" s="75">
        <f t="shared" si="39"/>
        <v>371053354.56351984</v>
      </c>
      <c r="W52" s="72"/>
      <c r="X52" s="471"/>
      <c r="Y52" s="471"/>
      <c r="Z52" s="471"/>
      <c r="AA52" s="471"/>
    </row>
    <row r="53" spans="1:27">
      <c r="A53" s="54"/>
      <c r="B53" s="54"/>
      <c r="C53" s="54"/>
      <c r="D53" s="54"/>
      <c r="E53" s="54"/>
      <c r="F53" s="54"/>
      <c r="G53" s="54"/>
      <c r="H53" s="77">
        <f>H52/G52-1</f>
        <v>-3.6138298868954921E-2</v>
      </c>
      <c r="I53" s="62">
        <f>I52/H52-1</f>
        <v>2.2886342290636241E-2</v>
      </c>
      <c r="J53" s="62">
        <f>J52/I52-1</f>
        <v>6.2118980707172922E-2</v>
      </c>
      <c r="K53" s="62">
        <f>K52/J52-1</f>
        <v>0.1266554438513563</v>
      </c>
      <c r="L53" s="62">
        <f t="shared" ref="L53:V53" si="40">L52/K52-1</f>
        <v>2.7091267875143377E-3</v>
      </c>
      <c r="M53" s="62">
        <f t="shared" si="40"/>
        <v>-0.46078049070381843</v>
      </c>
      <c r="N53" s="62">
        <f t="shared" si="40"/>
        <v>0.24267393524730507</v>
      </c>
      <c r="O53" s="62">
        <f t="shared" si="40"/>
        <v>0.17847299886660184</v>
      </c>
      <c r="P53" s="62">
        <f t="shared" si="40"/>
        <v>3.0472664211929512E-2</v>
      </c>
      <c r="Q53" s="62">
        <f t="shared" si="40"/>
        <v>6.7982946942715783E-2</v>
      </c>
      <c r="R53" s="62">
        <f t="shared" si="40"/>
        <v>0.16682725417029731</v>
      </c>
      <c r="S53" s="62">
        <f t="shared" si="40"/>
        <v>7.1963753503214711E-2</v>
      </c>
      <c r="T53" s="62">
        <f t="shared" si="40"/>
        <v>1.8645910948333899E-3</v>
      </c>
      <c r="U53" s="62">
        <f t="shared" si="40"/>
        <v>0.13477053186249499</v>
      </c>
      <c r="V53" s="62">
        <f t="shared" si="40"/>
        <v>0.10912500742056852</v>
      </c>
      <c r="W53" s="62"/>
      <c r="X53" s="484"/>
      <c r="Y53" s="471"/>
      <c r="Z53" s="471"/>
      <c r="AA53" s="471"/>
    </row>
    <row r="54" spans="1:27" s="219" customFormat="1">
      <c r="A54" s="68"/>
      <c r="B54" s="68"/>
      <c r="C54" s="68"/>
      <c r="D54" s="68"/>
      <c r="E54" s="68"/>
      <c r="F54" s="68"/>
      <c r="G54" s="68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484"/>
      <c r="Y54" s="471"/>
      <c r="Z54" s="471"/>
      <c r="AA54" s="471"/>
    </row>
    <row r="55" spans="1:27" s="219" customFormat="1">
      <c r="A55" s="309" t="s">
        <v>1507</v>
      </c>
      <c r="B55" s="290"/>
      <c r="C55" s="290"/>
      <c r="D55" s="290"/>
      <c r="E55" s="68"/>
      <c r="F55" s="68"/>
      <c r="G55" s="68"/>
      <c r="H55" s="74"/>
      <c r="I55" s="74"/>
      <c r="J55" s="74"/>
      <c r="K55" s="74"/>
      <c r="L55" s="74"/>
      <c r="M55" s="149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484"/>
      <c r="Y55" s="471"/>
      <c r="Z55" s="471"/>
      <c r="AA55" s="471"/>
    </row>
    <row r="56" spans="1:27" s="219" customFormat="1">
      <c r="A56" s="68"/>
      <c r="B56" s="311" t="s">
        <v>576</v>
      </c>
      <c r="C56" s="311"/>
      <c r="D56" s="68"/>
      <c r="E56" s="68"/>
      <c r="F56" s="68"/>
      <c r="G56" s="68"/>
      <c r="H56" s="74"/>
      <c r="I56" s="74"/>
      <c r="J56" s="74"/>
      <c r="K56" s="68"/>
      <c r="L56" s="68"/>
      <c r="M56" s="68"/>
      <c r="N56" s="68"/>
      <c r="O56" s="289">
        <f>Inorganic!G40*1000</f>
        <v>0</v>
      </c>
      <c r="P56" s="289">
        <f>Inorganic!H40*1000</f>
        <v>0</v>
      </c>
      <c r="Q56" s="289">
        <f>Inorganic!I40*1000</f>
        <v>715299.50823000015</v>
      </c>
      <c r="R56" s="289">
        <f>Inorganic!J40*1000</f>
        <v>11736887.949329058</v>
      </c>
      <c r="S56" s="289">
        <f>Inorganic!K40*1000</f>
        <v>16894983.857032571</v>
      </c>
      <c r="T56" s="289">
        <f>Inorganic!L40*1000</f>
        <v>21785368.166385233</v>
      </c>
      <c r="U56" s="289">
        <f>Inorganic!M40*1000</f>
        <v>25860608.261435311</v>
      </c>
      <c r="V56" s="289">
        <f>Inorganic!N40*1000</f>
        <v>30176013.857515588</v>
      </c>
      <c r="W56" s="74"/>
      <c r="X56" s="484"/>
      <c r="Y56" s="471"/>
      <c r="Z56" s="471"/>
      <c r="AA56" s="471"/>
    </row>
    <row r="57" spans="1:27" s="219" customFormat="1">
      <c r="A57" s="68"/>
      <c r="B57" s="311" t="s">
        <v>577</v>
      </c>
      <c r="C57" s="311"/>
      <c r="D57" s="68"/>
      <c r="E57" s="68"/>
      <c r="F57" s="68"/>
      <c r="G57" s="68"/>
      <c r="H57" s="74"/>
      <c r="I57" s="74"/>
      <c r="J57" s="74"/>
      <c r="K57" s="68"/>
      <c r="L57" s="68"/>
      <c r="M57" s="68"/>
      <c r="N57" s="68"/>
      <c r="O57" s="289">
        <f>Inorganic!G41*1000</f>
        <v>0</v>
      </c>
      <c r="P57" s="289">
        <f>Inorganic!H41*1000</f>
        <v>0</v>
      </c>
      <c r="Q57" s="289">
        <f>Inorganic!I41*1000</f>
        <v>0</v>
      </c>
      <c r="R57" s="289">
        <f>Inorganic!J41*1000</f>
        <v>0</v>
      </c>
      <c r="S57" s="289">
        <f>Inorganic!K41*1000</f>
        <v>0</v>
      </c>
      <c r="T57" s="289">
        <f>Inorganic!L41*1000</f>
        <v>0</v>
      </c>
      <c r="U57" s="289">
        <f>Inorganic!M41*1000</f>
        <v>0</v>
      </c>
      <c r="V57" s="289">
        <f>Inorganic!N41*1000</f>
        <v>0</v>
      </c>
      <c r="W57" s="74"/>
      <c r="X57" s="484"/>
      <c r="Y57" s="471"/>
      <c r="Z57" s="471"/>
      <c r="AA57" s="471"/>
    </row>
    <row r="58" spans="1:27" s="219" customFormat="1">
      <c r="A58" s="68"/>
      <c r="B58" s="311" t="s">
        <v>578</v>
      </c>
      <c r="C58" s="311"/>
      <c r="D58" s="68"/>
      <c r="E58" s="68"/>
      <c r="F58" s="68"/>
      <c r="G58" s="68"/>
      <c r="H58" s="74"/>
      <c r="I58" s="74"/>
      <c r="J58" s="74"/>
      <c r="K58" s="68"/>
      <c r="L58" s="68"/>
      <c r="M58" s="68"/>
      <c r="N58" s="68"/>
      <c r="O58" s="289">
        <f>Inorganic!G42*1000</f>
        <v>0</v>
      </c>
      <c r="P58" s="289">
        <f>Inorganic!H42*1000</f>
        <v>210000</v>
      </c>
      <c r="Q58" s="289">
        <f>Inorganic!I42*1000</f>
        <v>235200.00000000003</v>
      </c>
      <c r="R58" s="289">
        <f>Inorganic!J42*1000</f>
        <v>256368.00000000006</v>
      </c>
      <c r="S58" s="289">
        <f>Inorganic!K42*1000</f>
        <v>274313.76000000007</v>
      </c>
      <c r="T58" s="289">
        <f>Inorganic!L42*1000</f>
        <v>288029.44800000003</v>
      </c>
      <c r="U58" s="289">
        <f>Inorganic!M42*1000</f>
        <v>698905.53144000005</v>
      </c>
      <c r="V58" s="289">
        <f>Inorganic!N42*1000</f>
        <v>735106.69944000011</v>
      </c>
      <c r="W58" s="74"/>
      <c r="X58" s="484"/>
      <c r="Y58" s="471"/>
      <c r="Z58" s="471"/>
      <c r="AA58" s="471"/>
    </row>
    <row r="59" spans="1:27" s="219" customFormat="1">
      <c r="A59" s="68"/>
      <c r="B59" s="68"/>
      <c r="C59" s="68"/>
      <c r="D59" s="68"/>
      <c r="E59" s="68"/>
      <c r="F59" s="68"/>
      <c r="G59" s="68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484"/>
      <c r="Y59" s="471"/>
      <c r="Z59" s="471"/>
      <c r="AA59" s="471"/>
    </row>
    <row r="60" spans="1:27" s="219" customFormat="1">
      <c r="A60" s="1311" t="s">
        <v>1509</v>
      </c>
      <c r="B60" s="68"/>
      <c r="C60" s="68"/>
      <c r="D60" s="68"/>
      <c r="E60" s="68"/>
      <c r="F60" s="68"/>
      <c r="G60" s="68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484"/>
      <c r="Y60" s="471"/>
      <c r="Z60" s="471"/>
      <c r="AA60" s="471"/>
    </row>
    <row r="61" spans="1:27" s="219" customFormat="1">
      <c r="A61" s="68"/>
      <c r="B61" s="68" t="s">
        <v>576</v>
      </c>
      <c r="C61" s="68"/>
      <c r="D61" s="68"/>
      <c r="E61" s="68"/>
      <c r="F61" s="68"/>
      <c r="G61" s="68"/>
      <c r="H61" s="74"/>
      <c r="I61" s="74"/>
      <c r="J61" s="74"/>
      <c r="K61" s="74"/>
      <c r="L61" s="68">
        <f>L56+'Production Plan'!D75</f>
        <v>0</v>
      </c>
      <c r="M61" s="68">
        <f>M56+'Production Plan'!E75</f>
        <v>0</v>
      </c>
      <c r="N61" s="68">
        <f>N56+'Production Plan'!F75</f>
        <v>0</v>
      </c>
      <c r="O61" s="68">
        <f>O56+'Production Plan'!G75</f>
        <v>96128517</v>
      </c>
      <c r="P61" s="68">
        <f>P56+'Production Plan'!H75</f>
        <v>80628564.259949207</v>
      </c>
      <c r="Q61" s="68">
        <f>Q56+'Production Plan'!I75</f>
        <v>96296568.508230001</v>
      </c>
      <c r="R61" s="68">
        <f>R56+'Production Plan'!J75</f>
        <v>274792398.94932908</v>
      </c>
      <c r="S61" s="68">
        <f>S56+'Production Plan'!K75</f>
        <v>311160104.36334747</v>
      </c>
      <c r="T61" s="68">
        <f>T56+'Production Plan'!L75</f>
        <v>316599172.79591626</v>
      </c>
      <c r="U61" s="68">
        <f>U56+'Production Plan'!M75</f>
        <v>360406626.14129394</v>
      </c>
      <c r="V61" s="68">
        <f>V56+'Production Plan'!N75</f>
        <v>401229368.42103541</v>
      </c>
      <c r="W61" s="74"/>
      <c r="X61" s="484"/>
      <c r="Y61" s="471"/>
      <c r="Z61" s="471"/>
      <c r="AA61" s="471"/>
    </row>
    <row r="62" spans="1:27" s="219" customFormat="1">
      <c r="A62" s="68"/>
      <c r="B62" s="68" t="s">
        <v>577</v>
      </c>
      <c r="C62" s="68"/>
      <c r="D62" s="68"/>
      <c r="E62" s="68"/>
      <c r="F62" s="68"/>
      <c r="G62" s="68"/>
      <c r="H62" s="74"/>
      <c r="I62" s="74"/>
      <c r="J62" s="74"/>
      <c r="K62" s="74"/>
      <c r="L62" s="68">
        <f t="shared" ref="L62:U62" si="41">L57</f>
        <v>0</v>
      </c>
      <c r="M62" s="68">
        <f t="shared" si="41"/>
        <v>0</v>
      </c>
      <c r="N62" s="68">
        <f t="shared" si="41"/>
        <v>0</v>
      </c>
      <c r="O62" s="68">
        <f t="shared" si="41"/>
        <v>0</v>
      </c>
      <c r="P62" s="68">
        <f t="shared" si="41"/>
        <v>0</v>
      </c>
      <c r="Q62" s="68">
        <f t="shared" si="41"/>
        <v>0</v>
      </c>
      <c r="R62" s="68">
        <f t="shared" si="41"/>
        <v>0</v>
      </c>
      <c r="S62" s="68">
        <f t="shared" si="41"/>
        <v>0</v>
      </c>
      <c r="T62" s="68">
        <f t="shared" si="41"/>
        <v>0</v>
      </c>
      <c r="U62" s="68">
        <f t="shared" si="41"/>
        <v>0</v>
      </c>
      <c r="V62" s="68">
        <f>V57</f>
        <v>0</v>
      </c>
      <c r="W62" s="74"/>
      <c r="X62" s="484"/>
      <c r="Y62" s="471"/>
      <c r="Z62" s="471"/>
      <c r="AA62" s="471"/>
    </row>
    <row r="63" spans="1:27" s="219" customFormat="1">
      <c r="A63" s="68"/>
      <c r="B63" s="68" t="s">
        <v>578</v>
      </c>
      <c r="C63" s="68"/>
      <c r="D63" s="68"/>
      <c r="E63" s="68"/>
      <c r="F63" s="68"/>
      <c r="G63" s="68"/>
      <c r="H63" s="74"/>
      <c r="I63" s="74"/>
      <c r="J63" s="74"/>
      <c r="K63" s="74"/>
      <c r="L63" s="68">
        <f t="shared" ref="L63:U63" si="42">L58</f>
        <v>0</v>
      </c>
      <c r="M63" s="68">
        <f t="shared" si="42"/>
        <v>0</v>
      </c>
      <c r="N63" s="68">
        <f t="shared" si="42"/>
        <v>0</v>
      </c>
      <c r="O63" s="68">
        <f t="shared" si="42"/>
        <v>0</v>
      </c>
      <c r="P63" s="68">
        <f t="shared" si="42"/>
        <v>210000</v>
      </c>
      <c r="Q63" s="68">
        <f t="shared" si="42"/>
        <v>235200.00000000003</v>
      </c>
      <c r="R63" s="68">
        <f t="shared" si="42"/>
        <v>256368.00000000006</v>
      </c>
      <c r="S63" s="68">
        <f t="shared" si="42"/>
        <v>274313.76000000007</v>
      </c>
      <c r="T63" s="68">
        <f t="shared" si="42"/>
        <v>288029.44800000003</v>
      </c>
      <c r="U63" s="68">
        <f t="shared" si="42"/>
        <v>698905.53144000005</v>
      </c>
      <c r="V63" s="68">
        <f>V58</f>
        <v>735106.69944000011</v>
      </c>
      <c r="W63" s="74"/>
      <c r="X63" s="484"/>
      <c r="Y63" s="471"/>
      <c r="Z63" s="471"/>
      <c r="AA63" s="471"/>
    </row>
    <row r="64" spans="1:27">
      <c r="M64" s="466"/>
      <c r="N64" s="301"/>
      <c r="X64" s="473"/>
      <c r="Y64" s="473"/>
      <c r="Z64" s="473"/>
      <c r="AA64" s="473"/>
    </row>
    <row r="65" spans="1:27">
      <c r="A65" s="78" t="s">
        <v>89</v>
      </c>
      <c r="B65" s="54"/>
      <c r="C65" s="54"/>
      <c r="D65" s="54"/>
      <c r="E65" s="515"/>
      <c r="F65" s="515"/>
      <c r="G65" s="515"/>
      <c r="H65" s="515"/>
      <c r="I65" s="515"/>
      <c r="J65" s="515"/>
      <c r="K65" s="515"/>
      <c r="L65" s="516"/>
      <c r="M65" s="517"/>
      <c r="N65" s="516"/>
      <c r="O65" s="516"/>
      <c r="P65" s="516"/>
      <c r="Q65" s="516"/>
      <c r="R65" s="516"/>
      <c r="S65" s="516"/>
      <c r="T65" s="516"/>
      <c r="U65" s="516"/>
      <c r="V65" s="516"/>
      <c r="W65" s="54"/>
      <c r="X65" s="471"/>
      <c r="Y65" s="471"/>
      <c r="Z65" s="471"/>
      <c r="AA65" s="471"/>
    </row>
    <row r="66" spans="1:27">
      <c r="A66" s="501" t="s">
        <v>794</v>
      </c>
      <c r="B66" s="501"/>
      <c r="C66" s="501"/>
      <c r="D66" s="501"/>
      <c r="E66" s="501"/>
      <c r="F66" s="501"/>
      <c r="G66" s="501"/>
      <c r="H66" s="501"/>
      <c r="I66" s="501"/>
      <c r="J66" s="501"/>
      <c r="K66" s="501"/>
      <c r="L66" s="502">
        <v>335196059.72057259</v>
      </c>
      <c r="M66" s="502">
        <v>356082201.0819177</v>
      </c>
      <c r="N66" s="502">
        <v>378269762.57728738</v>
      </c>
      <c r="O66" s="502">
        <v>401839835.98595983</v>
      </c>
      <c r="P66" s="502">
        <v>426878565.93409514</v>
      </c>
      <c r="Q66" s="502">
        <v>452154086.92336816</v>
      </c>
      <c r="R66" s="502">
        <v>478926173.94396961</v>
      </c>
      <c r="S66" s="502">
        <v>507283438.81470543</v>
      </c>
      <c r="T66" s="502">
        <v>537319740.06870472</v>
      </c>
      <c r="U66" s="502">
        <v>569134493.61187971</v>
      </c>
      <c r="V66" s="502">
        <v>602833001.77550399</v>
      </c>
      <c r="X66" s="473"/>
      <c r="Y66" s="473"/>
      <c r="Z66" s="473"/>
      <c r="AA66" s="473"/>
    </row>
    <row r="67" spans="1:27">
      <c r="A67" s="59" t="s">
        <v>90</v>
      </c>
      <c r="B67" s="54"/>
      <c r="C67" s="54"/>
      <c r="D67" s="54"/>
      <c r="E67" s="54"/>
      <c r="F67" s="54"/>
      <c r="G67" s="54"/>
      <c r="H67" s="54"/>
      <c r="I67" s="54" t="s">
        <v>78</v>
      </c>
      <c r="J67" s="54" t="s">
        <v>78</v>
      </c>
      <c r="K67" s="54" t="s">
        <v>78</v>
      </c>
      <c r="S67" s="62"/>
      <c r="T67" s="79"/>
      <c r="U67" s="79"/>
      <c r="V67" s="79"/>
      <c r="W67" s="79"/>
      <c r="X67" s="485"/>
      <c r="Y67" s="471"/>
      <c r="Z67" s="471"/>
      <c r="AA67" s="476"/>
    </row>
    <row r="68" spans="1:27">
      <c r="A68" s="80" t="s">
        <v>85</v>
      </c>
      <c r="B68" s="80"/>
      <c r="C68" s="80"/>
      <c r="D68" s="80"/>
      <c r="E68" s="80"/>
      <c r="F68" s="80"/>
      <c r="G68" s="80">
        <v>287997390.55000019</v>
      </c>
      <c r="H68" s="80">
        <v>283210167.04999995</v>
      </c>
      <c r="I68" s="80">
        <v>295395481.97999996</v>
      </c>
      <c r="J68" s="80">
        <v>315896077.18000001</v>
      </c>
      <c r="K68" s="80">
        <v>319787661.25999999</v>
      </c>
      <c r="L68" s="80">
        <v>268809814.51999998</v>
      </c>
      <c r="M68" s="80">
        <f>'Sales &amp; AnP Forecast'!K70</f>
        <v>113620327.33</v>
      </c>
      <c r="N68" s="80">
        <f>'Sales &amp; AnP Forecast'!L70</f>
        <v>223205413.31</v>
      </c>
      <c r="O68" s="80">
        <f>'Sales &amp; AnP Forecast'!M70</f>
        <v>186643648.92051476</v>
      </c>
      <c r="P68" s="80">
        <f>'Sales &amp; AnP Forecast'!N70</f>
        <v>197031741.21279854</v>
      </c>
      <c r="Q68" s="80">
        <f>'Sales &amp; AnP Forecast'!O70</f>
        <v>243605885.34575254</v>
      </c>
      <c r="R68" s="80">
        <f>'Sales &amp; AnP Forecast'!P70</f>
        <v>279451614.01633561</v>
      </c>
      <c r="S68" s="80">
        <f>'Sales &amp; AnP Forecast'!Q70</f>
        <v>301957938.31673902</v>
      </c>
      <c r="T68" s="80">
        <f>'Sales &amp; AnP Forecast'!R70</f>
        <v>322857140.25552857</v>
      </c>
      <c r="U68" s="80">
        <f>'Sales &amp; AnP Forecast'!S70</f>
        <v>347229705.78097159</v>
      </c>
      <c r="V68" s="80">
        <f>'Sales &amp; AnP Forecast'!T70</f>
        <v>356712105.51321137</v>
      </c>
      <c r="W68" s="80"/>
      <c r="X68" s="486"/>
      <c r="Y68" s="471"/>
      <c r="Z68" s="471"/>
      <c r="AA68" s="487"/>
    </row>
    <row r="69" spans="1:27">
      <c r="A69" s="80" t="s">
        <v>86</v>
      </c>
      <c r="B69" s="80"/>
      <c r="C69" s="80"/>
      <c r="D69" s="80"/>
      <c r="E69" s="80"/>
      <c r="F69" s="80"/>
      <c r="G69" s="80">
        <v>137337509.86000001</v>
      </c>
      <c r="H69" s="80">
        <v>120831841.73999999</v>
      </c>
      <c r="I69" s="80">
        <v>122008674.04000001</v>
      </c>
      <c r="J69" s="80">
        <v>145329014.66</v>
      </c>
      <c r="K69" s="80">
        <v>174894846.94000003</v>
      </c>
      <c r="L69" s="80">
        <v>215975640.95999998</v>
      </c>
      <c r="M69" s="80">
        <f>'Sales &amp; AnP Forecast'!K81</f>
        <v>149369223.43000001</v>
      </c>
      <c r="N69" s="80">
        <f>'Sales &amp; AnP Forecast'!L81</f>
        <v>144055701.44999999</v>
      </c>
      <c r="O69" s="80">
        <f>'Sales &amp; AnP Forecast'!M81</f>
        <v>217007523.47903994</v>
      </c>
      <c r="P69" s="80">
        <f>'Sales &amp; AnP Forecast'!N81</f>
        <v>222221773.90754643</v>
      </c>
      <c r="Q69" s="80">
        <f>'Sales &amp; AnP Forecast'!O81</f>
        <v>248128414.99744982</v>
      </c>
      <c r="R69" s="80">
        <f>'Sales &amp; AnP Forecast'!P81</f>
        <v>294753529.17130309</v>
      </c>
      <c r="S69" s="80">
        <f>'Sales &amp; AnP Forecast'!Q81</f>
        <v>317549645.61803997</v>
      </c>
      <c r="T69" s="80">
        <f>'Sales &amp; AnP Forecast'!R81</f>
        <v>352081483.65704662</v>
      </c>
      <c r="U69" s="80">
        <f>'Sales &amp; AnP Forecast'!S81</f>
        <v>414226900.77136499</v>
      </c>
      <c r="V69" s="80">
        <f>'Sales &amp; AnP Forecast'!T81</f>
        <v>488316940.27693295</v>
      </c>
      <c r="W69" s="80"/>
      <c r="X69" s="486"/>
      <c r="Y69" s="471"/>
      <c r="Z69" s="471"/>
      <c r="AA69" s="471"/>
    </row>
    <row r="70" spans="1:27">
      <c r="A70" s="80" t="s">
        <v>87</v>
      </c>
      <c r="B70" s="80"/>
      <c r="C70" s="80"/>
      <c r="D70" s="80"/>
      <c r="E70" s="80"/>
      <c r="F70" s="80"/>
      <c r="G70" s="80">
        <v>2072902.91</v>
      </c>
      <c r="H70" s="80">
        <v>3297740</v>
      </c>
      <c r="I70" s="80">
        <v>3693216.62</v>
      </c>
      <c r="J70" s="80">
        <v>3395660.1199999996</v>
      </c>
      <c r="K70" s="80">
        <v>5688408.9199999999</v>
      </c>
      <c r="L70" s="80">
        <v>4225413.49</v>
      </c>
      <c r="M70" s="80">
        <f>'Sales &amp; AnP Forecast'!K80</f>
        <v>2481181.09</v>
      </c>
      <c r="N70" s="80">
        <f>'Sales &amp; AnP Forecast'!L80</f>
        <v>0</v>
      </c>
      <c r="O70" s="80">
        <f>'Sales &amp; AnP Forecast'!M80</f>
        <v>1500000</v>
      </c>
      <c r="P70" s="80">
        <f>'Sales &amp; AnP Forecast'!N80</f>
        <v>1530000</v>
      </c>
      <c r="Q70" s="80">
        <f>'Sales &amp; AnP Forecast'!O80</f>
        <v>2581420.8060360006</v>
      </c>
      <c r="R70" s="80">
        <f>'Sales &amp; AnP Forecast'!P80</f>
        <v>3714926.9911626605</v>
      </c>
      <c r="S70" s="80">
        <f>'Sales &amp; AnP Forecast'!Q80</f>
        <v>3789225.5309859142</v>
      </c>
      <c r="T70" s="80">
        <f>'Sales &amp; AnP Forecast'!R80</f>
        <v>3865010.0416056328</v>
      </c>
      <c r="U70" s="80">
        <f>'Sales &amp; AnP Forecast'!S80</f>
        <v>7150549.8686140236</v>
      </c>
      <c r="V70" s="80">
        <f>'Sales &amp; AnP Forecast'!T80</f>
        <v>7293560.8659863034</v>
      </c>
      <c r="W70" s="80"/>
      <c r="X70" s="486"/>
      <c r="Y70" s="471"/>
      <c r="Z70" s="471"/>
      <c r="AA70" s="471"/>
    </row>
    <row r="71" spans="1:27">
      <c r="A71" s="54" t="s">
        <v>91</v>
      </c>
      <c r="B71" s="54"/>
      <c r="C71" s="54"/>
      <c r="D71" s="297">
        <v>0.1</v>
      </c>
      <c r="E71" s="54"/>
      <c r="F71" s="54"/>
      <c r="G71" s="54">
        <v>1212355.08</v>
      </c>
      <c r="H71" s="54">
        <v>-145527.83000000002</v>
      </c>
      <c r="I71" s="54">
        <v>-24275.32</v>
      </c>
      <c r="J71" s="54">
        <v>-1153.570000000004</v>
      </c>
      <c r="K71" s="54">
        <v>0</v>
      </c>
      <c r="L71" s="54">
        <v>8540578.3300000001</v>
      </c>
      <c r="M71" s="68">
        <f>'Sales &amp; AnP Forecast'!K77</f>
        <v>8315690.9699999997</v>
      </c>
      <c r="N71" s="68">
        <f>'Sales &amp; AnP Forecast'!L77</f>
        <v>12952808.569999998</v>
      </c>
      <c r="O71" s="68">
        <f>'Sales &amp; AnP Forecast'!M77</f>
        <v>12005464.572973959</v>
      </c>
      <c r="P71" s="68">
        <f>'Sales &amp; AnP Forecast'!N77</f>
        <v>17939947.997162696</v>
      </c>
      <c r="Q71" s="68">
        <f>'Sales &amp; AnP Forecast'!O77</f>
        <v>20430025.377612825</v>
      </c>
      <c r="R71" s="68">
        <f>'Sales &amp; AnP Forecast'!P77</f>
        <v>21988398.900118634</v>
      </c>
      <c r="S71" s="68">
        <f>'Sales &amp; AnP Forecast'!Q77</f>
        <v>23517173.222744454</v>
      </c>
      <c r="T71" s="68">
        <f>'Sales &amp; AnP Forecast'!R77</f>
        <v>24726377.676732607</v>
      </c>
      <c r="U71" s="68">
        <f>'Sales &amp; AnP Forecast'!S77</f>
        <v>25631932.119060341</v>
      </c>
      <c r="V71" s="68">
        <f>'Sales &amp; AnP Forecast'!T77</f>
        <v>26549830.922055002</v>
      </c>
      <c r="W71" s="54"/>
      <c r="X71" s="486"/>
      <c r="Y71" s="471"/>
      <c r="Z71" s="471"/>
      <c r="AA71" s="471"/>
    </row>
    <row r="72" spans="1:27">
      <c r="A72" s="54" t="s">
        <v>92</v>
      </c>
      <c r="B72" s="54"/>
      <c r="C72" s="54"/>
      <c r="D72" s="62">
        <v>0.08</v>
      </c>
      <c r="E72" s="54"/>
      <c r="F72" s="54"/>
      <c r="G72" s="54">
        <v>7214547</v>
      </c>
      <c r="H72" s="54">
        <v>9580374</v>
      </c>
      <c r="I72" s="54">
        <v>11176401.24</v>
      </c>
      <c r="J72" s="54">
        <v>13014528.859999999</v>
      </c>
      <c r="K72" s="54">
        <v>13183838.84</v>
      </c>
      <c r="L72" s="54">
        <v>14135696.440000001</v>
      </c>
      <c r="M72" s="68">
        <f>'Sales &amp; AnP Forecast'!K78</f>
        <v>11129090.08</v>
      </c>
      <c r="N72" s="68">
        <f>'Sales &amp; AnP Forecast'!L78</f>
        <v>14649804.26</v>
      </c>
      <c r="O72" s="68">
        <f>'Sales &amp; AnP Forecast'!M78</f>
        <v>17138120</v>
      </c>
      <c r="P72" s="68">
        <f>'Sales &amp; AnP Forecast'!N78</f>
        <v>18509169.600000001</v>
      </c>
      <c r="Q72" s="68">
        <f>'Sales &amp; AnP Forecast'!O78</f>
        <v>19989903.168000001</v>
      </c>
      <c r="R72" s="68">
        <f>'Sales &amp; AnP Forecast'!P78</f>
        <v>21589095.421440002</v>
      </c>
      <c r="S72" s="68">
        <f>'Sales &amp; AnP Forecast'!Q78</f>
        <v>23316223.055155203</v>
      </c>
      <c r="T72" s="68">
        <f>'Sales &amp; AnP Forecast'!R78</f>
        <v>25181520.899567619</v>
      </c>
      <c r="U72" s="68">
        <f>'Sales &amp; AnP Forecast'!S78</f>
        <v>27196042.571533032</v>
      </c>
      <c r="V72" s="68">
        <f>'Sales &amp; AnP Forecast'!T78</f>
        <v>29371725.977255676</v>
      </c>
      <c r="W72" s="54"/>
      <c r="X72" s="486"/>
      <c r="Y72" s="471"/>
      <c r="Z72" s="471"/>
      <c r="AA72" s="471"/>
    </row>
    <row r="73" spans="1:27" ht="15.75" thickBot="1">
      <c r="A73" s="59" t="s">
        <v>88</v>
      </c>
      <c r="B73" s="54"/>
      <c r="C73" s="54"/>
      <c r="D73" s="54"/>
      <c r="E73" s="54"/>
      <c r="F73" s="54"/>
      <c r="G73" s="75">
        <f t="shared" ref="G73:V73" si="43">SUM(G68:G72)</f>
        <v>435834705.40000021</v>
      </c>
      <c r="H73" s="75">
        <f t="shared" si="43"/>
        <v>416774594.95999998</v>
      </c>
      <c r="I73" s="75">
        <f t="shared" si="43"/>
        <v>432249498.56</v>
      </c>
      <c r="J73" s="75">
        <f t="shared" si="43"/>
        <v>477634127.25000006</v>
      </c>
      <c r="K73" s="75">
        <f t="shared" si="43"/>
        <v>513554755.96000004</v>
      </c>
      <c r="L73" s="75">
        <f t="shared" si="43"/>
        <v>511687143.73999995</v>
      </c>
      <c r="M73" s="75">
        <f t="shared" si="43"/>
        <v>284915512.89999998</v>
      </c>
      <c r="N73" s="75">
        <f t="shared" si="43"/>
        <v>394863727.58999997</v>
      </c>
      <c r="O73" s="75">
        <f t="shared" si="43"/>
        <v>434294756.9725287</v>
      </c>
      <c r="P73" s="75">
        <f t="shared" si="43"/>
        <v>457232632.71750772</v>
      </c>
      <c r="Q73" s="75">
        <f t="shared" si="43"/>
        <v>534735649.69485116</v>
      </c>
      <c r="R73" s="75">
        <f t="shared" si="43"/>
        <v>621497564.50036001</v>
      </c>
      <c r="S73" s="75">
        <f t="shared" si="43"/>
        <v>670130205.7436645</v>
      </c>
      <c r="T73" s="75">
        <f t="shared" si="43"/>
        <v>728711532.5304811</v>
      </c>
      <c r="U73" s="75">
        <f t="shared" si="43"/>
        <v>821435131.11154413</v>
      </c>
      <c r="V73" s="75">
        <f t="shared" si="43"/>
        <v>908244163.55544138</v>
      </c>
      <c r="W73" s="72"/>
      <c r="X73" s="486"/>
      <c r="Y73" s="471"/>
      <c r="Z73" s="471"/>
      <c r="AA73" s="471"/>
    </row>
    <row r="74" spans="1:27">
      <c r="A74" s="54"/>
      <c r="B74" s="54"/>
      <c r="C74" s="54"/>
      <c r="D74" s="54"/>
      <c r="E74" s="54"/>
      <c r="F74" s="54"/>
      <c r="G74" s="54"/>
      <c r="H74" s="82">
        <f>H73/G73-1</f>
        <v>-4.3732429299101483E-2</v>
      </c>
      <c r="I74" s="61">
        <f>I73/H73-1</f>
        <v>3.713015089483851E-2</v>
      </c>
      <c r="J74" s="61">
        <f>J73/I73-1</f>
        <v>0.10499637094130776</v>
      </c>
      <c r="K74" s="61">
        <f>K73/J73-1</f>
        <v>7.5205322778785888E-2</v>
      </c>
      <c r="L74" s="61">
        <f t="shared" ref="L74:V74" si="44">L73/K73-1</f>
        <v>-3.6366369862721459E-3</v>
      </c>
      <c r="M74" s="61">
        <f t="shared" si="44"/>
        <v>-0.44318414799811323</v>
      </c>
      <c r="N74" s="61">
        <f t="shared" si="44"/>
        <v>0.38589760722712829</v>
      </c>
      <c r="O74" s="61">
        <f t="shared" si="44"/>
        <v>9.9859841832499852E-2</v>
      </c>
      <c r="P74" s="61">
        <f t="shared" si="44"/>
        <v>5.2816377303007478E-2</v>
      </c>
      <c r="Q74" s="61">
        <f>Q73/P73-1</f>
        <v>0.16950456164231653</v>
      </c>
      <c r="R74" s="61">
        <f t="shared" si="44"/>
        <v>0.16225197413903469</v>
      </c>
      <c r="S74" s="61">
        <f t="shared" si="44"/>
        <v>7.8250735032890484E-2</v>
      </c>
      <c r="T74" s="61">
        <f t="shared" si="44"/>
        <v>8.7417827587412011E-2</v>
      </c>
      <c r="U74" s="61">
        <f t="shared" si="44"/>
        <v>0.12724321551365669</v>
      </c>
      <c r="V74" s="61">
        <f t="shared" si="44"/>
        <v>0.10567971730942349</v>
      </c>
      <c r="W74" s="61"/>
      <c r="X74" s="486"/>
      <c r="Y74" s="471"/>
      <c r="Z74" s="480"/>
      <c r="AA74" s="471"/>
    </row>
    <row r="75" spans="1:27">
      <c r="A75" s="59" t="s">
        <v>93</v>
      </c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149"/>
      <c r="N75" s="149"/>
      <c r="O75" s="54"/>
      <c r="P75" s="54"/>
      <c r="Q75" s="54"/>
      <c r="R75" s="54"/>
      <c r="S75" s="54"/>
      <c r="T75" s="54"/>
      <c r="U75" s="54"/>
      <c r="V75" s="54"/>
      <c r="W75" s="54"/>
      <c r="X75" s="486"/>
      <c r="Y75" s="471"/>
      <c r="Z75" s="471"/>
      <c r="AA75" s="471"/>
    </row>
    <row r="76" spans="1:27">
      <c r="A76" s="54" t="s">
        <v>1782</v>
      </c>
      <c r="B76" s="54"/>
      <c r="C76" s="54"/>
      <c r="D76" s="54"/>
      <c r="E76" s="54"/>
      <c r="F76" s="54"/>
      <c r="G76" s="54">
        <v>37757642.100000031</v>
      </c>
      <c r="H76" s="54">
        <v>40021168.8304132</v>
      </c>
      <c r="I76" s="54">
        <v>47420039.834983498</v>
      </c>
      <c r="J76" s="54">
        <v>47601546.404276639</v>
      </c>
      <c r="K76" s="54">
        <v>43752864.381727941</v>
      </c>
      <c r="L76" s="54">
        <f>'Core P&amp;L'!CS47+'Core P&amp;L'!CS81</f>
        <v>44573652.542391635</v>
      </c>
      <c r="M76" s="54">
        <f>'Core P&amp;L'!$BN47+'Core P&amp;L'!$BN81</f>
        <v>28140431.014068101</v>
      </c>
      <c r="N76" s="68">
        <f>('Core P&amp;L'!$AJ47+'Core P&amp;L'!$AJ81)</f>
        <v>48148797.195410371</v>
      </c>
      <c r="O76" s="54">
        <f>O25*O49</f>
        <v>32528618.991857782</v>
      </c>
      <c r="P76" s="54">
        <f>P25*P49</f>
        <v>50360874.883860998</v>
      </c>
      <c r="Q76" s="54">
        <f>Q25*Q49</f>
        <v>72877201.471342817</v>
      </c>
      <c r="R76" s="54">
        <f>R25*R49</f>
        <v>78134258.771753401</v>
      </c>
      <c r="S76" s="54">
        <f>S25*S49</f>
        <v>85226107.919620052</v>
      </c>
      <c r="T76" s="54">
        <f>T25*T49</f>
        <v>92042805.462359488</v>
      </c>
      <c r="U76" s="54">
        <f>U25*U49</f>
        <v>92553830.35657011</v>
      </c>
      <c r="V76" s="54">
        <f>V25*V49</f>
        <v>89340044.87262696</v>
      </c>
      <c r="W76" s="54"/>
      <c r="X76" s="486"/>
      <c r="Y76" s="471"/>
      <c r="Z76" s="471"/>
      <c r="AA76" s="471"/>
    </row>
    <row r="77" spans="1:27">
      <c r="A77" s="54" t="s">
        <v>86</v>
      </c>
      <c r="B77" s="54"/>
      <c r="C77" s="54"/>
      <c r="D77" s="54"/>
      <c r="E77" s="54"/>
      <c r="F77" s="54"/>
      <c r="G77" s="54">
        <v>26072027.279999994</v>
      </c>
      <c r="H77" s="54">
        <v>27503553.507711899</v>
      </c>
      <c r="I77" s="54">
        <v>24150352.446485613</v>
      </c>
      <c r="J77" s="54">
        <v>29513278.501853563</v>
      </c>
      <c r="K77" s="54">
        <v>32443292.139097851</v>
      </c>
      <c r="L77" s="54">
        <v>35138042.18</v>
      </c>
      <c r="M77" s="54">
        <f>'Core P&amp;L'!$BN48</f>
        <v>21786055.82</v>
      </c>
      <c r="N77" s="68">
        <f>'Core P&amp;L'!$AJ48</f>
        <v>24246253.649999999</v>
      </c>
      <c r="O77" s="54">
        <f>O26*O50</f>
        <v>35217297.690943889</v>
      </c>
      <c r="P77" s="54">
        <f>P26*P50</f>
        <v>43263041.849582553</v>
      </c>
      <c r="Q77" s="54">
        <f>Q26*Q50</f>
        <v>39231221.26020135</v>
      </c>
      <c r="R77" s="54">
        <f>R26*R50</f>
        <v>91300185.761623845</v>
      </c>
      <c r="S77" s="54">
        <f>S26*S50</f>
        <v>115916686.55963159</v>
      </c>
      <c r="T77" s="54">
        <f>T26*T50</f>
        <v>117095511.36879508</v>
      </c>
      <c r="U77" s="54">
        <f>U26*U50</f>
        <v>131140747.50997099</v>
      </c>
      <c r="V77" s="54">
        <f>V26*V50</f>
        <v>146911887.86507592</v>
      </c>
      <c r="W77" s="54"/>
      <c r="X77" s="486"/>
      <c r="Y77" s="471"/>
      <c r="Z77" s="471"/>
      <c r="AA77" s="471"/>
    </row>
    <row r="78" spans="1:27">
      <c r="A78" s="54" t="s">
        <v>87</v>
      </c>
      <c r="B78" s="54"/>
      <c r="C78" s="54"/>
      <c r="D78" s="54"/>
      <c r="E78" s="54"/>
      <c r="F78" s="54"/>
      <c r="G78" s="54">
        <v>602899.15</v>
      </c>
      <c r="H78" s="54">
        <v>1051524.3918748701</v>
      </c>
      <c r="I78" s="54">
        <v>1135798.2147471677</v>
      </c>
      <c r="J78" s="54">
        <v>1080742.5454698044</v>
      </c>
      <c r="K78" s="54">
        <v>1234505.8900000001</v>
      </c>
      <c r="L78" s="54">
        <v>1251150.02</v>
      </c>
      <c r="M78" s="54">
        <f>'Core P&amp;L'!$BN49</f>
        <v>1600647.25</v>
      </c>
      <c r="N78" s="68">
        <f>'Core P&amp;L'!$AJ49</f>
        <v>0</v>
      </c>
      <c r="O78" s="54">
        <f>O27*O51</f>
        <v>631194.27546373883</v>
      </c>
      <c r="P78" s="54">
        <f>P27*P51</f>
        <v>937728.59267538018</v>
      </c>
      <c r="Q78" s="54">
        <f>Q27*Q51</f>
        <v>1839080.1092279425</v>
      </c>
      <c r="R78" s="54">
        <f>R27*R51</f>
        <v>2456588.1991188782</v>
      </c>
      <c r="S78" s="54">
        <f>S27*S51</f>
        <v>2512078.0952746342</v>
      </c>
      <c r="T78" s="54">
        <f>T27*T51</f>
        <v>2570371.1001473069</v>
      </c>
      <c r="U78" s="54">
        <f>U27*U51</f>
        <v>4415623.0226034867</v>
      </c>
      <c r="V78" s="54">
        <f>V27*V51</f>
        <v>4202930.6905745706</v>
      </c>
      <c r="W78" s="54"/>
      <c r="X78" s="486"/>
      <c r="Y78" s="471"/>
      <c r="Z78" s="471"/>
      <c r="AA78" s="471"/>
    </row>
    <row r="79" spans="1:27">
      <c r="A79" s="54" t="s">
        <v>91</v>
      </c>
      <c r="B79" s="54"/>
      <c r="C79" s="54"/>
      <c r="D79" s="62" t="s">
        <v>94</v>
      </c>
      <c r="E79" s="54"/>
      <c r="F79" s="54"/>
      <c r="G79" s="54">
        <v>574598.62999999989</v>
      </c>
      <c r="H79" s="54">
        <v>357283.58</v>
      </c>
      <c r="I79" s="54">
        <v>77136.689999999988</v>
      </c>
      <c r="J79" s="54">
        <v>44635.049999999996</v>
      </c>
      <c r="K79" s="54">
        <v>0.01</v>
      </c>
      <c r="L79" s="54">
        <v>2970348.1799999997</v>
      </c>
      <c r="M79" s="54">
        <f>'Core P&amp;L'!$BN51</f>
        <v>3837504.63</v>
      </c>
      <c r="N79" s="54">
        <f>'Core P&amp;L'!$AJ51</f>
        <v>5486168.7000000002</v>
      </c>
      <c r="O79" s="1288">
        <v>6573854.5614767587</v>
      </c>
      <c r="P79" s="1288">
        <v>7609720.8759604413</v>
      </c>
      <c r="Q79" s="1288">
        <v>8483422.8823817167</v>
      </c>
      <c r="R79" s="1288">
        <v>9124151.9130552523</v>
      </c>
      <c r="S79" s="1288">
        <v>9742712.2047956772</v>
      </c>
      <c r="T79" s="1288">
        <v>10200706.796745403</v>
      </c>
      <c r="U79" s="1288">
        <v>10584515.478859998</v>
      </c>
      <c r="V79" s="1288">
        <v>10972797.841951651</v>
      </c>
      <c r="W79" s="54"/>
      <c r="X79" s="486"/>
      <c r="Y79" s="471"/>
      <c r="Z79" s="471"/>
      <c r="AA79" s="471"/>
    </row>
    <row r="80" spans="1:27">
      <c r="A80" s="54" t="s">
        <v>92</v>
      </c>
      <c r="B80" s="54"/>
      <c r="C80" s="54"/>
      <c r="D80" s="62" t="s">
        <v>78</v>
      </c>
      <c r="E80" s="54"/>
      <c r="F80" s="54"/>
      <c r="G80" s="54">
        <v>3069718</v>
      </c>
      <c r="H80" s="54">
        <v>4302274.84</v>
      </c>
      <c r="I80" s="54">
        <v>4934909.0299999993</v>
      </c>
      <c r="J80" s="54">
        <v>5621310.2400000002</v>
      </c>
      <c r="K80" s="54">
        <v>5393672.4199999999</v>
      </c>
      <c r="L80" s="54">
        <v>5700035.0099999998</v>
      </c>
      <c r="M80" s="54">
        <f>'Core P&amp;L'!$BN52</f>
        <v>4238386.21</v>
      </c>
      <c r="N80" s="54">
        <f>'Core P&amp;L'!$AJ52</f>
        <v>5582192.3600000013</v>
      </c>
      <c r="O80" s="54">
        <f t="shared" ref="O80:V80" si="45">N80/N72*O72</f>
        <v>6530345.4456369113</v>
      </c>
      <c r="P80" s="54">
        <f t="shared" si="45"/>
        <v>7052773.0812878646</v>
      </c>
      <c r="Q80" s="54">
        <f t="shared" si="45"/>
        <v>7616994.9277908942</v>
      </c>
      <c r="R80" s="54">
        <f t="shared" si="45"/>
        <v>8226354.5220141653</v>
      </c>
      <c r="S80" s="54">
        <f t="shared" si="45"/>
        <v>8884462.8837752994</v>
      </c>
      <c r="T80" s="54">
        <f t="shared" si="45"/>
        <v>9595219.9144773223</v>
      </c>
      <c r="U80" s="54">
        <f t="shared" si="45"/>
        <v>10362837.50763551</v>
      </c>
      <c r="V80" s="54">
        <f t="shared" si="45"/>
        <v>11191864.508246351</v>
      </c>
      <c r="W80" s="54"/>
      <c r="X80" s="486"/>
      <c r="Y80" s="471"/>
      <c r="Z80" s="471"/>
      <c r="AA80" s="471"/>
    </row>
    <row r="81" spans="1:27" ht="15.75" thickBot="1">
      <c r="A81" s="59" t="s">
        <v>88</v>
      </c>
      <c r="B81" s="54"/>
      <c r="C81" s="54"/>
      <c r="D81" s="54"/>
      <c r="E81" s="54"/>
      <c r="F81" s="54"/>
      <c r="G81" s="75">
        <f t="shared" ref="G81:V81" si="46">SUM(G76:G80)</f>
        <v>68076885.160000026</v>
      </c>
      <c r="H81" s="75">
        <f t="shared" si="46"/>
        <v>73235805.149999961</v>
      </c>
      <c r="I81" s="75">
        <f t="shared" si="46"/>
        <v>77718236.216216266</v>
      </c>
      <c r="J81" s="75">
        <f t="shared" si="46"/>
        <v>83861512.741599992</v>
      </c>
      <c r="K81" s="75">
        <f t="shared" si="46"/>
        <v>82824334.840825796</v>
      </c>
      <c r="L81" s="75">
        <f t="shared" si="46"/>
        <v>89633227.932391629</v>
      </c>
      <c r="M81" s="75">
        <f t="shared" si="46"/>
        <v>59603024.924068108</v>
      </c>
      <c r="N81" s="75">
        <f t="shared" si="46"/>
        <v>83463411.905410379</v>
      </c>
      <c r="O81" s="75">
        <f t="shared" si="46"/>
        <v>81481310.965379074</v>
      </c>
      <c r="P81" s="75">
        <f t="shared" si="46"/>
        <v>109224139.28336723</v>
      </c>
      <c r="Q81" s="75">
        <f t="shared" si="46"/>
        <v>130047920.65094472</v>
      </c>
      <c r="R81" s="75">
        <f t="shared" si="46"/>
        <v>189241539.16756552</v>
      </c>
      <c r="S81" s="75">
        <f t="shared" si="46"/>
        <v>222282047.66309723</v>
      </c>
      <c r="T81" s="75">
        <f t="shared" si="46"/>
        <v>231504614.6425246</v>
      </c>
      <c r="U81" s="75">
        <f t="shared" si="46"/>
        <v>249057553.87564006</v>
      </c>
      <c r="V81" s="75">
        <f t="shared" si="46"/>
        <v>262619525.77847543</v>
      </c>
      <c r="W81" s="72"/>
      <c r="X81" s="486"/>
      <c r="Y81" s="471"/>
      <c r="Z81" s="471"/>
      <c r="AA81" s="471"/>
    </row>
    <row r="82" spans="1:27">
      <c r="A82" s="54"/>
      <c r="B82" s="54"/>
      <c r="C82" s="54"/>
      <c r="D82" s="54"/>
      <c r="E82" s="54"/>
      <c r="F82" s="54"/>
      <c r="G82" s="54"/>
      <c r="H82" s="82">
        <f>H81/G81-1</f>
        <v>7.5780787823576334E-2</v>
      </c>
      <c r="I82" s="61">
        <f>I81/H81-1</f>
        <v>6.1205458955977621E-2</v>
      </c>
      <c r="J82" s="61">
        <f>J81/I81-1</f>
        <v>7.9045495941168831E-2</v>
      </c>
      <c r="K82" s="61">
        <f>K81/J81-1</f>
        <v>-1.2367746143216118E-2</v>
      </c>
      <c r="L82" s="61">
        <f t="shared" ref="L82:V82" si="47">L81/K81-1</f>
        <v>8.2208847250646366E-2</v>
      </c>
      <c r="M82" s="61">
        <f t="shared" si="47"/>
        <v>-0.33503426911027501</v>
      </c>
      <c r="N82" s="61">
        <f t="shared" si="47"/>
        <v>0.40032174561172784</v>
      </c>
      <c r="O82" s="61">
        <f t="shared" si="47"/>
        <v>-2.3748141787896637E-2</v>
      </c>
      <c r="P82" s="61">
        <f t="shared" si="47"/>
        <v>0.34048087824428741</v>
      </c>
      <c r="Q82" s="61">
        <f>Q81/P81-1</f>
        <v>0.19065182389355351</v>
      </c>
      <c r="R82" s="61">
        <f t="shared" si="47"/>
        <v>0.45516774293915474</v>
      </c>
      <c r="S82" s="61">
        <f t="shared" si="47"/>
        <v>0.17459437627103491</v>
      </c>
      <c r="T82" s="61">
        <f t="shared" si="47"/>
        <v>4.1490381595753467E-2</v>
      </c>
      <c r="U82" s="61">
        <f t="shared" si="47"/>
        <v>7.5821120284015331E-2</v>
      </c>
      <c r="V82" s="61">
        <f t="shared" si="47"/>
        <v>5.4453164305978685E-2</v>
      </c>
      <c r="W82" s="61"/>
      <c r="X82" s="486"/>
      <c r="Y82" s="471"/>
      <c r="Z82" s="471"/>
      <c r="AA82" s="471"/>
    </row>
    <row r="83" spans="1:27">
      <c r="A83" s="59" t="s">
        <v>95</v>
      </c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149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486"/>
      <c r="Y83" s="471"/>
      <c r="Z83" s="471"/>
      <c r="AA83" s="471"/>
    </row>
    <row r="84" spans="1:27">
      <c r="A84" s="54" t="s">
        <v>85</v>
      </c>
      <c r="B84" s="54"/>
      <c r="C84" s="54"/>
      <c r="D84" s="54"/>
      <c r="E84" s="54"/>
      <c r="F84" s="54"/>
      <c r="G84" s="54">
        <f t="shared" ref="G84:V84" si="48">G68-G76</f>
        <v>250239748.45000017</v>
      </c>
      <c r="H84" s="54">
        <f t="shared" si="48"/>
        <v>243188998.21958676</v>
      </c>
      <c r="I84" s="54">
        <f t="shared" si="48"/>
        <v>247975442.14501646</v>
      </c>
      <c r="J84" s="54">
        <f t="shared" si="48"/>
        <v>268294530.77572337</v>
      </c>
      <c r="K84" s="54">
        <f t="shared" si="48"/>
        <v>276034796.87827206</v>
      </c>
      <c r="L84" s="54">
        <f t="shared" si="48"/>
        <v>224236161.97760835</v>
      </c>
      <c r="M84" s="54">
        <f t="shared" si="48"/>
        <v>85479896.315931901</v>
      </c>
      <c r="N84" s="54">
        <f t="shared" si="48"/>
        <v>175056616.11458963</v>
      </c>
      <c r="O84" s="54">
        <f t="shared" si="48"/>
        <v>154115029.928657</v>
      </c>
      <c r="P84" s="54">
        <f t="shared" si="48"/>
        <v>146670866.32893753</v>
      </c>
      <c r="Q84" s="54">
        <f t="shared" si="48"/>
        <v>170728683.87440974</v>
      </c>
      <c r="R84" s="54">
        <f t="shared" si="48"/>
        <v>201317355.24458221</v>
      </c>
      <c r="S84" s="54">
        <f t="shared" si="48"/>
        <v>216731830.39711899</v>
      </c>
      <c r="T84" s="54">
        <f t="shared" si="48"/>
        <v>230814334.79316908</v>
      </c>
      <c r="U84" s="54">
        <f t="shared" si="48"/>
        <v>254675875.42440146</v>
      </c>
      <c r="V84" s="54">
        <f t="shared" si="48"/>
        <v>267372060.64058441</v>
      </c>
      <c r="W84" s="54"/>
      <c r="X84" s="486"/>
      <c r="Y84" s="471"/>
      <c r="Z84" s="471"/>
      <c r="AA84" s="471"/>
    </row>
    <row r="85" spans="1:27">
      <c r="A85" s="54" t="s">
        <v>86</v>
      </c>
      <c r="B85" s="54"/>
      <c r="C85" s="54"/>
      <c r="D85" s="54"/>
      <c r="E85" s="54"/>
      <c r="F85" s="54"/>
      <c r="G85" s="54">
        <f t="shared" ref="G85:V85" si="49">G69-G77</f>
        <v>111265482.58000001</v>
      </c>
      <c r="H85" s="54">
        <f t="shared" si="49"/>
        <v>93328288.232288092</v>
      </c>
      <c r="I85" s="54">
        <f t="shared" si="49"/>
        <v>97858321.593514398</v>
      </c>
      <c r="J85" s="54">
        <f t="shared" si="49"/>
        <v>115815736.15814644</v>
      </c>
      <c r="K85" s="54">
        <f t="shared" si="49"/>
        <v>142451554.80090219</v>
      </c>
      <c r="L85" s="54">
        <f t="shared" si="49"/>
        <v>180837598.77999997</v>
      </c>
      <c r="M85" s="54">
        <f t="shared" si="49"/>
        <v>127583167.61000001</v>
      </c>
      <c r="N85" s="54">
        <f t="shared" si="49"/>
        <v>119809447.79999998</v>
      </c>
      <c r="O85" s="54">
        <f t="shared" si="49"/>
        <v>181790225.78809604</v>
      </c>
      <c r="P85" s="54">
        <f t="shared" si="49"/>
        <v>178958732.05796388</v>
      </c>
      <c r="Q85" s="54">
        <f t="shared" si="49"/>
        <v>208897193.73724848</v>
      </c>
      <c r="R85" s="54">
        <f t="shared" si="49"/>
        <v>203453343.40967923</v>
      </c>
      <c r="S85" s="54">
        <f t="shared" si="49"/>
        <v>201632959.05840838</v>
      </c>
      <c r="T85" s="54">
        <f t="shared" si="49"/>
        <v>234985972.28825152</v>
      </c>
      <c r="U85" s="54">
        <f t="shared" si="49"/>
        <v>283086153.26139402</v>
      </c>
      <c r="V85" s="54">
        <f t="shared" si="49"/>
        <v>341405052.41185701</v>
      </c>
      <c r="W85" s="54"/>
      <c r="X85" s="486"/>
      <c r="Y85" s="471"/>
      <c r="Z85" s="471"/>
      <c r="AA85" s="471"/>
    </row>
    <row r="86" spans="1:27">
      <c r="A86" s="54" t="s">
        <v>87</v>
      </c>
      <c r="B86" s="54"/>
      <c r="C86" s="54"/>
      <c r="D86" s="54"/>
      <c r="E86" s="54"/>
      <c r="F86" s="54"/>
      <c r="G86" s="54">
        <f t="shared" ref="G86:V86" si="50">G70-G78</f>
        <v>1470003.7599999998</v>
      </c>
      <c r="H86" s="54">
        <f t="shared" si="50"/>
        <v>2246215.6081251297</v>
      </c>
      <c r="I86" s="54">
        <f t="shared" si="50"/>
        <v>2557418.4052528325</v>
      </c>
      <c r="J86" s="54">
        <f t="shared" si="50"/>
        <v>2314917.5745301954</v>
      </c>
      <c r="K86" s="54">
        <f t="shared" si="50"/>
        <v>4453903.0299999993</v>
      </c>
      <c r="L86" s="54">
        <f t="shared" si="50"/>
        <v>2974263.47</v>
      </c>
      <c r="M86" s="54">
        <f t="shared" si="50"/>
        <v>880533.83999999985</v>
      </c>
      <c r="N86" s="54">
        <f t="shared" si="50"/>
        <v>0</v>
      </c>
      <c r="O86" s="54">
        <f t="shared" si="50"/>
        <v>868805.72453626117</v>
      </c>
      <c r="P86" s="54">
        <f t="shared" si="50"/>
        <v>592271.40732461982</v>
      </c>
      <c r="Q86" s="54">
        <f t="shared" si="50"/>
        <v>742340.69680805807</v>
      </c>
      <c r="R86" s="54">
        <f t="shared" si="50"/>
        <v>1258338.7920437823</v>
      </c>
      <c r="S86" s="54">
        <f t="shared" si="50"/>
        <v>1277147.43571128</v>
      </c>
      <c r="T86" s="54">
        <f t="shared" si="50"/>
        <v>1294638.9414583258</v>
      </c>
      <c r="U86" s="54">
        <f t="shared" si="50"/>
        <v>2734926.8460105369</v>
      </c>
      <c r="V86" s="54">
        <f t="shared" si="50"/>
        <v>3090630.1754117329</v>
      </c>
      <c r="W86" s="54"/>
      <c r="X86" s="486"/>
      <c r="Y86" s="471"/>
      <c r="Z86" s="471"/>
      <c r="AA86" s="471"/>
    </row>
    <row r="87" spans="1:27">
      <c r="A87" s="54" t="s">
        <v>91</v>
      </c>
      <c r="B87" s="54"/>
      <c r="C87" s="54"/>
      <c r="D87" s="54"/>
      <c r="E87" s="54"/>
      <c r="F87" s="54"/>
      <c r="G87" s="54">
        <f t="shared" ref="G87:V87" si="51">G71-G79</f>
        <v>637756.45000000019</v>
      </c>
      <c r="H87" s="54">
        <f t="shared" si="51"/>
        <v>-502811.41000000003</v>
      </c>
      <c r="I87" s="54">
        <f t="shared" si="51"/>
        <v>-101412.00999999998</v>
      </c>
      <c r="J87" s="54">
        <f t="shared" si="51"/>
        <v>-45788.62</v>
      </c>
      <c r="K87" s="54">
        <f t="shared" si="51"/>
        <v>-0.01</v>
      </c>
      <c r="L87" s="54">
        <f t="shared" si="51"/>
        <v>5570230.1500000004</v>
      </c>
      <c r="M87" s="54">
        <f t="shared" si="51"/>
        <v>4478186.34</v>
      </c>
      <c r="N87" s="54">
        <f t="shared" si="51"/>
        <v>7466639.8699999982</v>
      </c>
      <c r="O87" s="54">
        <f t="shared" si="51"/>
        <v>5431610.0114972005</v>
      </c>
      <c r="P87" s="54">
        <f t="shared" si="51"/>
        <v>10330227.121202255</v>
      </c>
      <c r="Q87" s="54">
        <f t="shared" si="51"/>
        <v>11946602.495231109</v>
      </c>
      <c r="R87" s="54">
        <f t="shared" si="51"/>
        <v>12864246.987063382</v>
      </c>
      <c r="S87" s="54">
        <f t="shared" si="51"/>
        <v>13774461.017948776</v>
      </c>
      <c r="T87" s="54">
        <f t="shared" si="51"/>
        <v>14525670.879987204</v>
      </c>
      <c r="U87" s="54">
        <f t="shared" si="51"/>
        <v>15047416.640200343</v>
      </c>
      <c r="V87" s="54">
        <f t="shared" si="51"/>
        <v>15577033.080103351</v>
      </c>
      <c r="W87" s="54"/>
      <c r="X87" s="486"/>
      <c r="Y87" s="471"/>
      <c r="Z87" s="471"/>
      <c r="AA87" s="471"/>
    </row>
    <row r="88" spans="1:27">
      <c r="A88" s="54" t="s">
        <v>92</v>
      </c>
      <c r="B88" s="54"/>
      <c r="C88" s="54"/>
      <c r="D88" s="54"/>
      <c r="E88" s="54"/>
      <c r="F88" s="54"/>
      <c r="G88" s="54">
        <f t="shared" ref="G88:V88" si="52">G72-G80</f>
        <v>4144829</v>
      </c>
      <c r="H88" s="54">
        <f t="shared" si="52"/>
        <v>5278099.16</v>
      </c>
      <c r="I88" s="54">
        <f t="shared" si="52"/>
        <v>6241492.2100000009</v>
      </c>
      <c r="J88" s="54">
        <f t="shared" si="52"/>
        <v>7393218.6199999992</v>
      </c>
      <c r="K88" s="54">
        <f t="shared" si="52"/>
        <v>7790166.4199999999</v>
      </c>
      <c r="L88" s="54">
        <f t="shared" si="52"/>
        <v>8435661.4300000016</v>
      </c>
      <c r="M88" s="54">
        <f t="shared" si="52"/>
        <v>6890703.8700000001</v>
      </c>
      <c r="N88" s="54">
        <f t="shared" si="52"/>
        <v>9067611.8999999985</v>
      </c>
      <c r="O88" s="54">
        <f t="shared" si="52"/>
        <v>10607774.554363089</v>
      </c>
      <c r="P88" s="54">
        <f t="shared" si="52"/>
        <v>11456396.518712137</v>
      </c>
      <c r="Q88" s="54">
        <f t="shared" si="52"/>
        <v>12372908.240209106</v>
      </c>
      <c r="R88" s="54">
        <f t="shared" si="52"/>
        <v>13362740.899425836</v>
      </c>
      <c r="S88" s="54">
        <f t="shared" si="52"/>
        <v>14431760.171379903</v>
      </c>
      <c r="T88" s="54">
        <f t="shared" si="52"/>
        <v>15586300.985090297</v>
      </c>
      <c r="U88" s="54">
        <f t="shared" si="52"/>
        <v>16833205.06389752</v>
      </c>
      <c r="V88" s="54">
        <f t="shared" si="52"/>
        <v>18179861.469009325</v>
      </c>
      <c r="W88" s="54"/>
      <c r="X88" s="486"/>
      <c r="Y88" s="471"/>
      <c r="Z88" s="471"/>
      <c r="AA88" s="471"/>
    </row>
    <row r="89" spans="1:27" ht="15.75" thickBot="1">
      <c r="A89" s="59" t="s">
        <v>88</v>
      </c>
      <c r="B89" s="54"/>
      <c r="C89" s="54"/>
      <c r="D89" s="54"/>
      <c r="E89" s="54"/>
      <c r="F89" s="54"/>
      <c r="G89" s="75">
        <f t="shared" ref="G89:V89" si="53">SUM(G84:G88)</f>
        <v>367757820.24000019</v>
      </c>
      <c r="H89" s="75">
        <f t="shared" si="53"/>
        <v>343538789.81</v>
      </c>
      <c r="I89" s="75">
        <f t="shared" si="53"/>
        <v>354531262.34378368</v>
      </c>
      <c r="J89" s="75">
        <f t="shared" si="53"/>
        <v>393772614.50840002</v>
      </c>
      <c r="K89" s="75">
        <f t="shared" si="53"/>
        <v>430730421.11917424</v>
      </c>
      <c r="L89" s="75">
        <f t="shared" si="53"/>
        <v>422053915.80760831</v>
      </c>
      <c r="M89" s="75">
        <f t="shared" si="53"/>
        <v>225312487.97593194</v>
      </c>
      <c r="N89" s="75">
        <f t="shared" si="53"/>
        <v>311400315.68458962</v>
      </c>
      <c r="O89" s="75">
        <f t="shared" si="53"/>
        <v>352813446.00714952</v>
      </c>
      <c r="P89" s="75">
        <f t="shared" si="53"/>
        <v>348008493.43414038</v>
      </c>
      <c r="Q89" s="75">
        <f t="shared" si="53"/>
        <v>404687729.04390645</v>
      </c>
      <c r="R89" s="75">
        <f t="shared" si="53"/>
        <v>432256025.33279455</v>
      </c>
      <c r="S89" s="75">
        <f t="shared" si="53"/>
        <v>447848158.08056736</v>
      </c>
      <c r="T89" s="75">
        <f t="shared" si="53"/>
        <v>497206917.88795644</v>
      </c>
      <c r="U89" s="75">
        <f t="shared" si="53"/>
        <v>572377577.23590398</v>
      </c>
      <c r="V89" s="75">
        <f t="shared" si="53"/>
        <v>645624637.77696574</v>
      </c>
      <c r="W89" s="72"/>
      <c r="X89" s="486"/>
      <c r="Y89" s="471"/>
      <c r="Z89" s="471"/>
      <c r="AA89" s="471"/>
    </row>
    <row r="90" spans="1:27">
      <c r="A90" s="54"/>
      <c r="B90" s="54"/>
      <c r="C90" s="54"/>
      <c r="D90" s="54"/>
      <c r="E90" s="54"/>
      <c r="F90" s="54"/>
      <c r="G90" s="54"/>
      <c r="H90" s="82">
        <f>H89/G89-1</f>
        <v>-6.585592228656012E-2</v>
      </c>
      <c r="I90" s="61">
        <f>I89/H89-1</f>
        <v>3.1997762290142617E-2</v>
      </c>
      <c r="J90" s="61">
        <f>J89/I89-1</f>
        <v>0.11068516752287016</v>
      </c>
      <c r="K90" s="61">
        <f>K89/J89-1</f>
        <v>9.3855705676520129E-2</v>
      </c>
      <c r="L90" s="61">
        <f t="shared" ref="L90:V90" si="54">L89/K89-1</f>
        <v>-2.0143702153708198E-2</v>
      </c>
      <c r="M90" s="61">
        <f t="shared" si="54"/>
        <v>-0.46615235746648109</v>
      </c>
      <c r="N90" s="61">
        <f t="shared" si="54"/>
        <v>0.38208191868110597</v>
      </c>
      <c r="O90" s="61">
        <f t="shared" si="54"/>
        <v>0.13299000751337164</v>
      </c>
      <c r="P90" s="61">
        <f t="shared" si="54"/>
        <v>-1.3618961032771271E-2</v>
      </c>
      <c r="Q90" s="61">
        <f t="shared" si="54"/>
        <v>0.1628673916847736</v>
      </c>
      <c r="R90" s="61">
        <f t="shared" si="54"/>
        <v>6.8122392428402678E-2</v>
      </c>
      <c r="S90" s="61">
        <f t="shared" si="54"/>
        <v>3.6071522047074867E-2</v>
      </c>
      <c r="T90" s="61">
        <f t="shared" si="54"/>
        <v>0.11021315800189013</v>
      </c>
      <c r="U90" s="61">
        <f t="shared" si="54"/>
        <v>0.15118586778168464</v>
      </c>
      <c r="V90" s="61">
        <f t="shared" si="54"/>
        <v>0.12796982875322027</v>
      </c>
      <c r="W90" s="61"/>
      <c r="X90" s="486"/>
      <c r="Y90" s="471"/>
      <c r="Z90" s="471"/>
      <c r="AA90" s="471"/>
    </row>
    <row r="91" spans="1:27">
      <c r="A91" s="59" t="s">
        <v>97</v>
      </c>
      <c r="B91" s="54"/>
      <c r="C91" s="54"/>
      <c r="D91" s="54"/>
      <c r="E91" s="54"/>
      <c r="F91" s="54"/>
      <c r="G91" s="54"/>
      <c r="H91" s="54"/>
      <c r="I91" s="54"/>
      <c r="J91" s="54"/>
      <c r="K91" s="54" t="s">
        <v>78</v>
      </c>
      <c r="L91" s="54"/>
      <c r="M91" s="149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486"/>
      <c r="Y91" s="471"/>
      <c r="Z91" s="471"/>
      <c r="AA91" s="471"/>
    </row>
    <row r="92" spans="1:27">
      <c r="A92" s="54" t="s">
        <v>85</v>
      </c>
      <c r="B92" s="54"/>
      <c r="C92" s="54"/>
      <c r="D92" s="54"/>
      <c r="E92" s="54"/>
      <c r="F92" s="54"/>
      <c r="G92" s="54">
        <f t="shared" ref="G92:V92" si="55">G84-G39</f>
        <v>197602604.52000016</v>
      </c>
      <c r="H92" s="54">
        <f t="shared" si="55"/>
        <v>199108962.21958676</v>
      </c>
      <c r="I92" s="54">
        <f t="shared" si="55"/>
        <v>192625928.14501646</v>
      </c>
      <c r="J92" s="54">
        <f t="shared" si="55"/>
        <v>208790864.82572338</v>
      </c>
      <c r="K92" s="54">
        <f t="shared" si="55"/>
        <v>215307198.46827206</v>
      </c>
      <c r="L92" s="54">
        <f t="shared" si="55"/>
        <v>176574441.03760833</v>
      </c>
      <c r="M92" s="54">
        <f t="shared" si="55"/>
        <v>63594904.025931902</v>
      </c>
      <c r="N92" s="54">
        <f t="shared" si="55"/>
        <v>134133533.18458962</v>
      </c>
      <c r="O92" s="54">
        <f t="shared" si="55"/>
        <v>116974067.40314218</v>
      </c>
      <c r="P92" s="54">
        <f t="shared" si="55"/>
        <v>109496523.95277083</v>
      </c>
      <c r="Q92" s="54">
        <f t="shared" si="55"/>
        <v>129566036.72628188</v>
      </c>
      <c r="R92" s="54">
        <f t="shared" si="55"/>
        <v>156982309.74381274</v>
      </c>
      <c r="S92" s="54">
        <f t="shared" si="55"/>
        <v>170527211.16143724</v>
      </c>
      <c r="T92" s="54">
        <f t="shared" si="55"/>
        <v>181716798.3460629</v>
      </c>
      <c r="U92" s="54">
        <f t="shared" si="55"/>
        <v>202865035.78616333</v>
      </c>
      <c r="V92" s="54">
        <f t="shared" si="55"/>
        <v>220544134.0717594</v>
      </c>
      <c r="W92" s="54"/>
      <c r="X92" s="486"/>
      <c r="Y92" s="471"/>
      <c r="Z92" s="471"/>
      <c r="AA92" s="471"/>
    </row>
    <row r="93" spans="1:27">
      <c r="A93" s="54" t="s">
        <v>86</v>
      </c>
      <c r="B93" s="54"/>
      <c r="C93" s="54"/>
      <c r="D93" s="54"/>
      <c r="E93" s="54"/>
      <c r="F93" s="54"/>
      <c r="G93" s="54">
        <f t="shared" ref="G93:V93" si="56">G85-G43</f>
        <v>25281948.340000018</v>
      </c>
      <c r="H93" s="54">
        <f t="shared" si="56"/>
        <v>13913500.232288092</v>
      </c>
      <c r="I93" s="54">
        <f t="shared" si="56"/>
        <v>13239314.593514398</v>
      </c>
      <c r="J93" s="54">
        <f t="shared" si="56"/>
        <v>23081156.288146436</v>
      </c>
      <c r="K93" s="54">
        <f t="shared" si="56"/>
        <v>25659415.310902193</v>
      </c>
      <c r="L93" s="54">
        <f t="shared" si="56"/>
        <v>37673772.49999994</v>
      </c>
      <c r="M93" s="54">
        <f t="shared" si="56"/>
        <v>27497200.670000002</v>
      </c>
      <c r="N93" s="54">
        <f t="shared" si="56"/>
        <v>23830075.449999973</v>
      </c>
      <c r="O93" s="54">
        <f t="shared" si="56"/>
        <v>37914237.721492589</v>
      </c>
      <c r="P93" s="54">
        <f t="shared" si="56"/>
        <v>31625695.957260579</v>
      </c>
      <c r="Q93" s="54">
        <f t="shared" si="56"/>
        <v>44388054.593939245</v>
      </c>
      <c r="R93" s="54">
        <f t="shared" si="56"/>
        <v>8031753.5691052675</v>
      </c>
      <c r="S93" s="54">
        <f t="shared" si="56"/>
        <v>-8902455.9863521159</v>
      </c>
      <c r="T93" s="54">
        <f t="shared" si="56"/>
        <v>1555948.6236295998</v>
      </c>
      <c r="U93" s="54">
        <f t="shared" si="56"/>
        <v>8453718.0499790311</v>
      </c>
      <c r="V93" s="54">
        <f t="shared" si="56"/>
        <v>17650921.008250415</v>
      </c>
      <c r="W93" s="54"/>
      <c r="X93" s="486"/>
      <c r="Y93" s="471"/>
      <c r="Z93" s="471"/>
      <c r="AA93" s="471"/>
    </row>
    <row r="94" spans="1:27">
      <c r="A94" s="54" t="s">
        <v>87</v>
      </c>
      <c r="B94" s="54"/>
      <c r="C94" s="54"/>
      <c r="D94" s="54"/>
      <c r="E94" s="54"/>
      <c r="F94" s="54"/>
      <c r="G94" s="54">
        <f>G86</f>
        <v>1470003.7599999998</v>
      </c>
      <c r="H94" s="54">
        <f t="shared" ref="H94:V94" si="57">H86-H42</f>
        <v>2028045.6081251297</v>
      </c>
      <c r="I94" s="54">
        <f t="shared" si="57"/>
        <v>1981620.1552528325</v>
      </c>
      <c r="J94" s="54">
        <f t="shared" si="57"/>
        <v>2202242.1145301955</v>
      </c>
      <c r="K94" s="54">
        <f t="shared" si="57"/>
        <v>4051710.6999999993</v>
      </c>
      <c r="L94" s="54">
        <f t="shared" si="57"/>
        <v>2220181.7300000004</v>
      </c>
      <c r="M94" s="54">
        <f t="shared" si="57"/>
        <v>314982.40999999992</v>
      </c>
      <c r="N94" s="54">
        <f t="shared" si="57"/>
        <v>-123353</v>
      </c>
      <c r="O94" s="54">
        <f t="shared" si="57"/>
        <v>768805.72453626117</v>
      </c>
      <c r="P94" s="54">
        <f t="shared" si="57"/>
        <v>374092.76829249854</v>
      </c>
      <c r="Q94" s="54">
        <f t="shared" si="57"/>
        <v>374229.01169032202</v>
      </c>
      <c r="R94" s="54">
        <f t="shared" si="57"/>
        <v>728588.651497663</v>
      </c>
      <c r="S94" s="54">
        <f t="shared" si="57"/>
        <v>736802.29235423822</v>
      </c>
      <c r="T94" s="54">
        <f t="shared" si="57"/>
        <v>743486.89523414325</v>
      </c>
      <c r="U94" s="54">
        <f t="shared" si="57"/>
        <v>1715255.4481899347</v>
      </c>
      <c r="V94" s="54">
        <f t="shared" si="57"/>
        <v>2050565.3496347188</v>
      </c>
      <c r="W94" s="54"/>
      <c r="X94" s="486"/>
      <c r="Y94" s="471"/>
      <c r="Z94" s="471"/>
      <c r="AA94" s="471"/>
    </row>
    <row r="95" spans="1:27">
      <c r="A95" s="54" t="s">
        <v>91</v>
      </c>
      <c r="B95" s="54"/>
      <c r="C95" s="54"/>
      <c r="D95" s="54"/>
      <c r="E95" s="54"/>
      <c r="F95" s="54"/>
      <c r="G95" s="54">
        <f t="shared" ref="G95:V95" si="58">G87-G40</f>
        <v>-381425.54999999981</v>
      </c>
      <c r="H95" s="54">
        <f t="shared" si="58"/>
        <v>-869469.41</v>
      </c>
      <c r="I95" s="54">
        <f t="shared" si="58"/>
        <v>-107112.00999999998</v>
      </c>
      <c r="J95" s="54">
        <f t="shared" si="58"/>
        <v>-45788.62</v>
      </c>
      <c r="K95" s="54">
        <f t="shared" si="58"/>
        <v>-0.01</v>
      </c>
      <c r="L95" s="54">
        <f t="shared" si="58"/>
        <v>-11798169.85</v>
      </c>
      <c r="M95" s="54">
        <f t="shared" si="58"/>
        <v>-4066631.66</v>
      </c>
      <c r="N95" s="54">
        <f t="shared" si="58"/>
        <v>-3280158.1300000018</v>
      </c>
      <c r="O95" s="54">
        <f t="shared" si="58"/>
        <v>-3926623.9885027995</v>
      </c>
      <c r="P95" s="54">
        <f t="shared" si="58"/>
        <v>-219772.87879774533</v>
      </c>
      <c r="Q95" s="54">
        <f t="shared" si="58"/>
        <v>2146602.4952311087</v>
      </c>
      <c r="R95" s="54">
        <f t="shared" si="58"/>
        <v>2664246.9870633818</v>
      </c>
      <c r="S95" s="54">
        <f t="shared" si="58"/>
        <v>3574461.0179487765</v>
      </c>
      <c r="T95" s="54">
        <f t="shared" si="58"/>
        <v>4325670.8799872063</v>
      </c>
      <c r="U95" s="54">
        <f t="shared" si="58"/>
        <v>4847416.6402003448</v>
      </c>
      <c r="V95" s="54">
        <f t="shared" si="58"/>
        <v>5377033.0801033527</v>
      </c>
      <c r="W95" s="54"/>
      <c r="X95" s="486"/>
      <c r="Y95" s="471"/>
      <c r="Z95" s="471"/>
      <c r="AA95" s="471"/>
    </row>
    <row r="96" spans="1:27">
      <c r="A96" s="54" t="s">
        <v>92</v>
      </c>
      <c r="B96" s="54"/>
      <c r="C96" s="54"/>
      <c r="D96" s="54"/>
      <c r="E96" s="54"/>
      <c r="F96" s="54"/>
      <c r="G96" s="54">
        <f t="shared" ref="G96:V96" si="59">G88-G41</f>
        <v>4091565</v>
      </c>
      <c r="H96" s="54">
        <f t="shared" si="59"/>
        <v>4881999.16</v>
      </c>
      <c r="I96" s="54">
        <f t="shared" si="59"/>
        <v>6170651.2100000009</v>
      </c>
      <c r="J96" s="54">
        <f t="shared" si="59"/>
        <v>7393218.6199999992</v>
      </c>
      <c r="K96" s="54">
        <f t="shared" si="59"/>
        <v>7790166.4199999999</v>
      </c>
      <c r="L96" s="54">
        <f t="shared" si="59"/>
        <v>8310825.4200000018</v>
      </c>
      <c r="M96" s="54">
        <f t="shared" si="59"/>
        <v>6868501.8700000001</v>
      </c>
      <c r="N96" s="54">
        <f t="shared" si="59"/>
        <v>9004003.8999999985</v>
      </c>
      <c r="O96" s="54">
        <f t="shared" si="59"/>
        <v>10428774.554363089</v>
      </c>
      <c r="P96" s="54">
        <f t="shared" si="59"/>
        <v>11275638.043117274</v>
      </c>
      <c r="Q96" s="54">
        <f t="shared" si="59"/>
        <v>12190374.013955595</v>
      </c>
      <c r="R96" s="54">
        <f t="shared" si="59"/>
        <v>13178413.477741633</v>
      </c>
      <c r="S96" s="54">
        <f t="shared" si="59"/>
        <v>14245621.938117513</v>
      </c>
      <c r="T96" s="54">
        <f t="shared" si="59"/>
        <v>15398334.151043199</v>
      </c>
      <c r="U96" s="54">
        <f t="shared" si="59"/>
        <v>16643391.665100057</v>
      </c>
      <c r="V96" s="54">
        <f t="shared" si="59"/>
        <v>17988183.365019888</v>
      </c>
      <c r="W96" s="54"/>
      <c r="X96" s="486"/>
      <c r="Y96" s="471"/>
      <c r="Z96" s="471"/>
      <c r="AA96" s="471"/>
    </row>
    <row r="97" spans="1:27" ht="15.75" thickBot="1">
      <c r="A97" s="59" t="s">
        <v>88</v>
      </c>
      <c r="B97" s="54"/>
      <c r="C97" s="54"/>
      <c r="D97" s="54"/>
      <c r="E97" s="54"/>
      <c r="F97" s="54"/>
      <c r="G97" s="75">
        <f t="shared" ref="G97:V97" si="60">SUM(G92:G96)</f>
        <v>228064696.07000017</v>
      </c>
      <c r="H97" s="75">
        <f t="shared" si="60"/>
        <v>219063037.80999997</v>
      </c>
      <c r="I97" s="75">
        <f t="shared" si="60"/>
        <v>213910402.09378374</v>
      </c>
      <c r="J97" s="75">
        <f t="shared" si="60"/>
        <v>241421693.22840002</v>
      </c>
      <c r="K97" s="75">
        <f t="shared" si="60"/>
        <v>252808490.88917425</v>
      </c>
      <c r="L97" s="75">
        <f t="shared" si="60"/>
        <v>212981050.83760828</v>
      </c>
      <c r="M97" s="75">
        <f t="shared" si="60"/>
        <v>94208957.315931916</v>
      </c>
      <c r="N97" s="75">
        <f t="shared" si="60"/>
        <v>163564101.40458962</v>
      </c>
      <c r="O97" s="75">
        <f t="shared" si="60"/>
        <v>162159261.41503134</v>
      </c>
      <c r="P97" s="75">
        <f t="shared" si="60"/>
        <v>152552177.84264344</v>
      </c>
      <c r="Q97" s="75">
        <f t="shared" si="60"/>
        <v>188665296.84109816</v>
      </c>
      <c r="R97" s="75">
        <f t="shared" si="60"/>
        <v>181585312.42922068</v>
      </c>
      <c r="S97" s="75">
        <f t="shared" si="60"/>
        <v>180181640.42350563</v>
      </c>
      <c r="T97" s="75">
        <f t="shared" si="60"/>
        <v>203740238.89595705</v>
      </c>
      <c r="U97" s="75">
        <f t="shared" si="60"/>
        <v>234524817.58963272</v>
      </c>
      <c r="V97" s="75">
        <f t="shared" si="60"/>
        <v>263610836.87476775</v>
      </c>
      <c r="W97" s="72"/>
      <c r="X97" s="486"/>
      <c r="Y97" s="471"/>
      <c r="Z97" s="471"/>
      <c r="AA97" s="471"/>
    </row>
    <row r="98" spans="1:27">
      <c r="A98" s="54"/>
      <c r="B98" s="54"/>
      <c r="C98" s="54"/>
      <c r="D98" s="54"/>
      <c r="E98" s="54"/>
      <c r="F98" s="54"/>
      <c r="G98" s="54"/>
      <c r="H98" s="82">
        <f>H97/G97-1</f>
        <v>-3.9469757551766405E-2</v>
      </c>
      <c r="I98" s="61">
        <f>I97/H97-1</f>
        <v>-2.35212465221325E-2</v>
      </c>
      <c r="J98" s="62">
        <f>J97/I97-1</f>
        <v>0.12861128241231867</v>
      </c>
      <c r="K98" s="61">
        <f>K97/J97-1</f>
        <v>4.7165594394210419E-2</v>
      </c>
      <c r="L98" s="62">
        <f t="shared" ref="L98:V98" si="61">L97/K97-1</f>
        <v>-0.15753996201427212</v>
      </c>
      <c r="M98" s="62">
        <f t="shared" si="61"/>
        <v>-0.5576650742146847</v>
      </c>
      <c r="N98" s="62">
        <f t="shared" si="61"/>
        <v>0.73618418104420402</v>
      </c>
      <c r="O98" s="62">
        <f t="shared" si="61"/>
        <v>-8.5889261610241352E-3</v>
      </c>
      <c r="P98" s="62">
        <f t="shared" si="61"/>
        <v>-5.9244741796149913E-2</v>
      </c>
      <c r="Q98" s="62">
        <f t="shared" si="61"/>
        <v>0.23672634182715613</v>
      </c>
      <c r="R98" s="62">
        <f t="shared" si="61"/>
        <v>-3.7526691609006124E-2</v>
      </c>
      <c r="S98" s="62">
        <f t="shared" si="61"/>
        <v>-7.7300965972243452E-3</v>
      </c>
      <c r="T98" s="62">
        <f t="shared" si="61"/>
        <v>0.13074916188507557</v>
      </c>
      <c r="U98" s="62">
        <f t="shared" si="61"/>
        <v>0.15109719543126809</v>
      </c>
      <c r="V98" s="62">
        <f t="shared" si="61"/>
        <v>0.12402107198748236</v>
      </c>
      <c r="W98" s="62"/>
      <c r="X98" s="486"/>
      <c r="Y98" s="471"/>
      <c r="Z98" s="471"/>
      <c r="AA98" s="471"/>
    </row>
    <row r="99" spans="1:27" s="220" customFormat="1">
      <c r="A99" s="54"/>
      <c r="B99" s="54"/>
      <c r="C99" s="54"/>
      <c r="D99" s="54"/>
      <c r="E99" s="54"/>
      <c r="F99" s="54"/>
      <c r="G99" s="54"/>
      <c r="H99" s="82"/>
      <c r="I99" s="61"/>
      <c r="J99" s="62"/>
      <c r="K99" s="61"/>
      <c r="L99" s="62"/>
      <c r="M99" s="408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486"/>
      <c r="Y99" s="471"/>
      <c r="Z99" s="471"/>
      <c r="AA99" s="471"/>
    </row>
    <row r="100" spans="1:27" s="220" customFormat="1">
      <c r="A100" s="59" t="s">
        <v>552</v>
      </c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486"/>
      <c r="Y100" s="471"/>
      <c r="Z100" s="471"/>
      <c r="AA100" s="471"/>
    </row>
    <row r="101" spans="1:27" s="220" customFormat="1">
      <c r="A101" s="54" t="s">
        <v>85</v>
      </c>
      <c r="B101" s="54"/>
      <c r="C101" s="54"/>
      <c r="D101" s="54"/>
      <c r="E101" s="54"/>
      <c r="F101" s="54"/>
      <c r="G101" s="54"/>
      <c r="H101" s="54">
        <f>H92+H249*H49/H52</f>
        <v>202127002.77603635</v>
      </c>
      <c r="I101" s="54">
        <f>I92+I249*I49/I52</f>
        <v>196685664.92276511</v>
      </c>
      <c r="J101" s="54">
        <f>J92+J249*J49/J52</f>
        <v>212572079.42455438</v>
      </c>
      <c r="K101" s="54">
        <f>K92+K249*K49/K52</f>
        <v>219123516.42682022</v>
      </c>
      <c r="L101" s="54">
        <f>L92+L249*L49/L52</f>
        <v>179738016.0003435</v>
      </c>
      <c r="M101" s="54">
        <f>M92+M249*M49/M52</f>
        <v>66056417.17959594</v>
      </c>
      <c r="N101" s="54">
        <f>N92+N249*N49/N52</f>
        <v>137995568.11990598</v>
      </c>
      <c r="O101" s="54">
        <f>O92+O249*O49/O52</f>
        <v>125575333.38119036</v>
      </c>
      <c r="P101" s="54">
        <f>P92+P249*P49/P52</f>
        <v>117610977.21602078</v>
      </c>
      <c r="Q101" s="54">
        <f>Q92+Q249*Q49/Q52</f>
        <v>143514373.67928654</v>
      </c>
      <c r="R101" s="54">
        <f>R92+R249*R49/R52</f>
        <v>185215834.00887182</v>
      </c>
      <c r="S101" s="54">
        <f>S92+S249*S49/S52</f>
        <v>204915068.22456497</v>
      </c>
      <c r="T101" s="54">
        <f>T92+T249*T49/T52</f>
        <v>218818428.00977254</v>
      </c>
      <c r="U101" s="54">
        <f>U92+U249*U49/U52</f>
        <v>238501785.36137068</v>
      </c>
      <c r="V101" s="54">
        <f>V92+V249*V49/V52</f>
        <v>253092351.31384817</v>
      </c>
      <c r="W101" s="79"/>
      <c r="X101" s="486"/>
      <c r="Y101" s="471"/>
      <c r="Z101" s="471"/>
      <c r="AA101" s="471"/>
    </row>
    <row r="102" spans="1:27" s="220" customFormat="1">
      <c r="A102" s="54" t="s">
        <v>86</v>
      </c>
      <c r="B102" s="54"/>
      <c r="C102" s="54"/>
      <c r="D102" s="54"/>
      <c r="E102" s="54"/>
      <c r="F102" s="54"/>
      <c r="G102" s="54"/>
      <c r="H102" s="54">
        <f>H93+H249*H50/H52</f>
        <v>15992632.89970964</v>
      </c>
      <c r="I102" s="54">
        <f>I93+I249*I50/I52</f>
        <v>15975801.665551635</v>
      </c>
      <c r="J102" s="54">
        <f>J93+J249*J50/J52</f>
        <v>26019505.262282241</v>
      </c>
      <c r="K102" s="54">
        <f>K93+K249*K50/K52</f>
        <v>29297985.71954494</v>
      </c>
      <c r="L102" s="54">
        <f>L93+L249*L50/L52</f>
        <v>42197318.375114739</v>
      </c>
      <c r="M102" s="54">
        <f>M93+M249*M50/M52</f>
        <v>32127217.22545078</v>
      </c>
      <c r="N102" s="54">
        <f>N93+N249*N50/N52</f>
        <v>27290148.104683626</v>
      </c>
      <c r="O102" s="54">
        <f>O93+O249*O50/O52</f>
        <v>52656486.859303921</v>
      </c>
      <c r="P102" s="54">
        <f>P93+P249*P50/P52</f>
        <v>45292246.683494404</v>
      </c>
      <c r="Q102" s="54">
        <f>Q93+Q249*Q50/Q52</f>
        <v>63076449.38291423</v>
      </c>
      <c r="R102" s="54">
        <f>R93+R249*R50/R52</f>
        <v>47713225.568647899</v>
      </c>
      <c r="S102" s="54">
        <f>S93+S249*S50/S52</f>
        <v>39912177.095881835</v>
      </c>
      <c r="T102" s="54">
        <f>T93+T249*T50/T52</f>
        <v>49663928.05332911</v>
      </c>
      <c r="U102" s="54">
        <f>U93+U249*U50/U52</f>
        <v>59659652.763497323</v>
      </c>
      <c r="V102" s="54">
        <f>V93+V249*V50/V52</f>
        <v>72016169.814165697</v>
      </c>
      <c r="W102" s="81"/>
      <c r="X102" s="486"/>
      <c r="Y102" s="471"/>
      <c r="Z102" s="471"/>
      <c r="AA102" s="471"/>
    </row>
    <row r="103" spans="1:27" s="220" customFormat="1">
      <c r="A103" s="54" t="s">
        <v>87</v>
      </c>
      <c r="B103" s="54"/>
      <c r="C103" s="54"/>
      <c r="D103" s="54"/>
      <c r="E103" s="54"/>
      <c r="F103" s="54"/>
      <c r="G103" s="54"/>
      <c r="H103" s="54">
        <f>H94+H249*H51/H52</f>
        <v>2117948.7088218695</v>
      </c>
      <c r="I103" s="54">
        <f>I94+I249*I51/I52</f>
        <v>2095354.1019356656</v>
      </c>
      <c r="J103" s="54">
        <f>J94+J249*J51/J52</f>
        <v>2291286.5415634038</v>
      </c>
      <c r="K103" s="54">
        <f>K94+K249*K51/K52</f>
        <v>4233414.3328090943</v>
      </c>
      <c r="L103" s="54">
        <f>L94+L249*L51/L52</f>
        <v>2322083.8921500146</v>
      </c>
      <c r="M103" s="54">
        <f>M94+M249*M51/M52</f>
        <v>439066.70088518714</v>
      </c>
      <c r="N103" s="54">
        <f>N94+N249*N51/N52</f>
        <v>-123353</v>
      </c>
      <c r="O103" s="54">
        <f>O94+O249*O51/O52</f>
        <v>935707.05681981053</v>
      </c>
      <c r="P103" s="54">
        <f>P94+P249*P51/P52</f>
        <v>525185.35467876098</v>
      </c>
      <c r="Q103" s="54">
        <f>Q94+Q249*Q51/Q52</f>
        <v>726219.87480225181</v>
      </c>
      <c r="R103" s="54">
        <f>R94+R249*R51/R52</f>
        <v>1616267.6750062928</v>
      </c>
      <c r="S103" s="54">
        <f>S94+S249*S51/S52</f>
        <v>1750399.9396056086</v>
      </c>
      <c r="T103" s="54">
        <f>T94+T249*T51/T52</f>
        <v>1779580.4408069844</v>
      </c>
      <c r="U103" s="54">
        <f>U94+U249*U51/U52</f>
        <v>3415438.4797166279</v>
      </c>
      <c r="V103" s="54">
        <f>V94+V249*V51/V52</f>
        <v>3581770.100710202</v>
      </c>
      <c r="W103" s="54"/>
      <c r="X103" s="486"/>
      <c r="Y103" s="471"/>
      <c r="Z103" s="471"/>
      <c r="AA103" s="471"/>
    </row>
    <row r="104" spans="1:27" s="220" customFormat="1">
      <c r="A104" s="54" t="s">
        <v>91</v>
      </c>
      <c r="B104" s="54"/>
      <c r="C104" s="54"/>
      <c r="D104" s="54"/>
      <c r="E104" s="54"/>
      <c r="F104" s="54"/>
      <c r="G104" s="54"/>
      <c r="H104" s="54">
        <f t="shared" ref="H104:V104" si="62">H95</f>
        <v>-869469.41</v>
      </c>
      <c r="I104" s="54">
        <f t="shared" si="62"/>
        <v>-107112.00999999998</v>
      </c>
      <c r="J104" s="54">
        <f t="shared" si="62"/>
        <v>-45788.62</v>
      </c>
      <c r="K104" s="54">
        <f t="shared" si="62"/>
        <v>-0.01</v>
      </c>
      <c r="L104" s="54">
        <f t="shared" si="62"/>
        <v>-11798169.85</v>
      </c>
      <c r="M104" s="54">
        <f t="shared" si="62"/>
        <v>-4066631.66</v>
      </c>
      <c r="N104" s="54">
        <f t="shared" si="62"/>
        <v>-3280158.1300000018</v>
      </c>
      <c r="O104" s="54">
        <f t="shared" si="62"/>
        <v>-3926623.9885027995</v>
      </c>
      <c r="P104" s="54">
        <f t="shared" si="62"/>
        <v>-219772.87879774533</v>
      </c>
      <c r="Q104" s="54">
        <f t="shared" si="62"/>
        <v>2146602.4952311087</v>
      </c>
      <c r="R104" s="54">
        <f t="shared" si="62"/>
        <v>2664246.9870633818</v>
      </c>
      <c r="S104" s="54">
        <f t="shared" si="62"/>
        <v>3574461.0179487765</v>
      </c>
      <c r="T104" s="54">
        <f t="shared" si="62"/>
        <v>4325670.8799872063</v>
      </c>
      <c r="U104" s="54">
        <f t="shared" si="62"/>
        <v>4847416.6402003448</v>
      </c>
      <c r="V104" s="54">
        <f t="shared" si="62"/>
        <v>5377033.0801033527</v>
      </c>
      <c r="W104" s="54"/>
      <c r="X104" s="486"/>
      <c r="Y104" s="471"/>
      <c r="Z104" s="471"/>
      <c r="AA104" s="471"/>
    </row>
    <row r="105" spans="1:27" s="220" customFormat="1">
      <c r="A105" s="54" t="s">
        <v>92</v>
      </c>
      <c r="B105" s="54"/>
      <c r="C105" s="54"/>
      <c r="D105" s="54"/>
      <c r="E105" s="54"/>
      <c r="F105" s="54"/>
      <c r="G105" s="54"/>
      <c r="H105" s="54">
        <f t="shared" ref="H105:V105" si="63">H96</f>
        <v>4881999.16</v>
      </c>
      <c r="I105" s="54">
        <f t="shared" si="63"/>
        <v>6170651.2100000009</v>
      </c>
      <c r="J105" s="54">
        <f t="shared" si="63"/>
        <v>7393218.6199999992</v>
      </c>
      <c r="K105" s="54">
        <f t="shared" si="63"/>
        <v>7790166.4199999999</v>
      </c>
      <c r="L105" s="54">
        <f t="shared" si="63"/>
        <v>8310825.4200000018</v>
      </c>
      <c r="M105" s="54">
        <f t="shared" si="63"/>
        <v>6868501.8700000001</v>
      </c>
      <c r="N105" s="54">
        <f t="shared" si="63"/>
        <v>9004003.8999999985</v>
      </c>
      <c r="O105" s="54">
        <f t="shared" si="63"/>
        <v>10428774.554363089</v>
      </c>
      <c r="P105" s="54">
        <f t="shared" si="63"/>
        <v>11275638.043117274</v>
      </c>
      <c r="Q105" s="54">
        <f t="shared" si="63"/>
        <v>12190374.013955595</v>
      </c>
      <c r="R105" s="54">
        <f t="shared" si="63"/>
        <v>13178413.477741633</v>
      </c>
      <c r="S105" s="54">
        <f t="shared" si="63"/>
        <v>14245621.938117513</v>
      </c>
      <c r="T105" s="54">
        <f t="shared" si="63"/>
        <v>15398334.151043199</v>
      </c>
      <c r="U105" s="54">
        <f t="shared" si="63"/>
        <v>16643391.665100057</v>
      </c>
      <c r="V105" s="54">
        <f t="shared" si="63"/>
        <v>17988183.365019888</v>
      </c>
      <c r="W105" s="54"/>
      <c r="X105" s="486"/>
      <c r="Y105" s="471"/>
      <c r="Z105" s="471"/>
      <c r="AA105" s="471"/>
    </row>
    <row r="106" spans="1:27" s="220" customFormat="1" ht="15.75" thickBot="1">
      <c r="A106" s="59" t="s">
        <v>88</v>
      </c>
      <c r="B106" s="54"/>
      <c r="C106" s="54"/>
      <c r="D106" s="54"/>
      <c r="E106" s="54"/>
      <c r="F106" s="54"/>
      <c r="G106" s="75"/>
      <c r="H106" s="75">
        <f t="shared" ref="H106:V106" si="64">SUM(H101:H105)</f>
        <v>224250114.13456786</v>
      </c>
      <c r="I106" s="75">
        <f t="shared" si="64"/>
        <v>220820359.89025241</v>
      </c>
      <c r="J106" s="75">
        <f t="shared" si="64"/>
        <v>248230301.22840002</v>
      </c>
      <c r="K106" s="75">
        <f t="shared" si="64"/>
        <v>260445082.88917425</v>
      </c>
      <c r="L106" s="75">
        <f t="shared" si="64"/>
        <v>220770073.83760828</v>
      </c>
      <c r="M106" s="75">
        <f t="shared" si="64"/>
        <v>101424571.31593192</v>
      </c>
      <c r="N106" s="75">
        <f t="shared" si="64"/>
        <v>170886208.99458963</v>
      </c>
      <c r="O106" s="75">
        <f t="shared" si="64"/>
        <v>185669677.86317438</v>
      </c>
      <c r="P106" s="75">
        <f t="shared" si="64"/>
        <v>174484274.41851348</v>
      </c>
      <c r="Q106" s="75">
        <f t="shared" si="64"/>
        <v>221654019.44618976</v>
      </c>
      <c r="R106" s="75">
        <f t="shared" si="64"/>
        <v>250387987.71733102</v>
      </c>
      <c r="S106" s="75">
        <f t="shared" si="64"/>
        <v>264397728.21611866</v>
      </c>
      <c r="T106" s="75">
        <f t="shared" si="64"/>
        <v>289985941.53493899</v>
      </c>
      <c r="U106" s="75">
        <f t="shared" si="64"/>
        <v>323067684.90988499</v>
      </c>
      <c r="V106" s="75">
        <f t="shared" si="64"/>
        <v>352055507.67384732</v>
      </c>
      <c r="W106" s="72"/>
      <c r="X106" s="486"/>
      <c r="Y106" s="471"/>
      <c r="Z106" s="471"/>
      <c r="AA106" s="471"/>
    </row>
    <row r="107" spans="1:27" s="220" customFormat="1">
      <c r="A107" s="54"/>
      <c r="B107" s="54"/>
      <c r="C107" s="54"/>
      <c r="D107" s="54"/>
      <c r="E107" s="54"/>
      <c r="F107" s="54"/>
      <c r="G107" s="54"/>
      <c r="H107" s="54">
        <f>H97+H249</f>
        <v>224250114.13456786</v>
      </c>
      <c r="I107" s="54">
        <f>I97+I249</f>
        <v>220820359.89025244</v>
      </c>
      <c r="J107" s="62">
        <f t="shared" ref="J107:V107" si="65">J106/I106-1</f>
        <v>0.12412778129593827</v>
      </c>
      <c r="K107" s="62">
        <f t="shared" si="65"/>
        <v>4.9207456141848072E-2</v>
      </c>
      <c r="L107" s="62">
        <f t="shared" si="65"/>
        <v>-0.15233541217765534</v>
      </c>
      <c r="M107" s="62">
        <f t="shared" si="65"/>
        <v>-0.54058731986230735</v>
      </c>
      <c r="N107" s="62">
        <f t="shared" si="65"/>
        <v>0.68486005686224249</v>
      </c>
      <c r="O107" s="62">
        <f t="shared" si="65"/>
        <v>8.6510602321646646E-2</v>
      </c>
      <c r="P107" s="62">
        <f t="shared" si="65"/>
        <v>-6.0243565742079674E-2</v>
      </c>
      <c r="Q107" s="62">
        <f t="shared" si="65"/>
        <v>0.2703380873999921</v>
      </c>
      <c r="R107" s="62">
        <f t="shared" si="65"/>
        <v>0.12963432083448834</v>
      </c>
      <c r="S107" s="62">
        <f t="shared" si="65"/>
        <v>5.5952127042945721E-2</v>
      </c>
      <c r="T107" s="62">
        <f t="shared" si="65"/>
        <v>9.6779248034629672E-2</v>
      </c>
      <c r="U107" s="62">
        <f t="shared" si="65"/>
        <v>0.11408050748887821</v>
      </c>
      <c r="V107" s="62">
        <f t="shared" si="65"/>
        <v>8.9726778993844736E-2</v>
      </c>
      <c r="W107" s="62"/>
      <c r="X107" s="486"/>
      <c r="Y107" s="471"/>
      <c r="Z107" s="471"/>
      <c r="AA107" s="471"/>
    </row>
    <row r="108" spans="1:27" outlineLevel="1">
      <c r="A108" s="54"/>
      <c r="B108" s="54"/>
      <c r="C108" s="54"/>
      <c r="D108" s="54"/>
      <c r="E108" s="54"/>
      <c r="F108" s="54"/>
      <c r="G108" s="54"/>
      <c r="H108" s="54"/>
      <c r="I108" s="62"/>
      <c r="J108" s="62"/>
      <c r="K108" s="62"/>
      <c r="L108" s="62"/>
      <c r="M108" s="62"/>
      <c r="N108" s="62"/>
      <c r="O108" s="62"/>
      <c r="P108" s="62"/>
      <c r="Q108" s="54"/>
      <c r="R108" s="54"/>
      <c r="S108" s="54"/>
      <c r="T108" s="54"/>
      <c r="U108" s="54"/>
      <c r="V108" s="54"/>
      <c r="W108" s="54"/>
      <c r="X108" s="486"/>
      <c r="Y108" s="471"/>
      <c r="Z108" s="471"/>
      <c r="AA108" s="471"/>
    </row>
    <row r="109" spans="1:27" outlineLevel="1">
      <c r="A109" s="59" t="s">
        <v>98</v>
      </c>
      <c r="B109" s="54"/>
      <c r="C109" s="54"/>
      <c r="D109" s="54"/>
      <c r="E109" s="54"/>
      <c r="F109" s="54"/>
      <c r="G109" s="54"/>
      <c r="H109" s="54"/>
      <c r="I109" s="62"/>
      <c r="J109" s="62"/>
      <c r="K109" s="62"/>
      <c r="L109" s="62"/>
      <c r="M109" s="62"/>
      <c r="N109" s="62"/>
      <c r="O109" s="62"/>
      <c r="P109" s="62"/>
      <c r="Q109" s="54"/>
      <c r="R109" s="54"/>
      <c r="S109" s="54"/>
      <c r="T109" s="54"/>
      <c r="U109" s="54"/>
      <c r="V109" s="54"/>
      <c r="W109" s="54"/>
      <c r="X109" s="486"/>
      <c r="Y109" s="471"/>
      <c r="Z109" s="471"/>
      <c r="AA109" s="471"/>
    </row>
    <row r="110" spans="1:27" outlineLevel="1">
      <c r="A110" s="54" t="s">
        <v>85</v>
      </c>
      <c r="B110" s="54"/>
      <c r="C110" s="54"/>
      <c r="D110" s="54"/>
      <c r="E110" s="54"/>
      <c r="F110" s="54"/>
      <c r="G110" s="54"/>
      <c r="H110" s="69">
        <f t="shared" ref="H110:V110" si="66">(H68-H39)-(G68-G39)</f>
        <v>3769884.4299997687</v>
      </c>
      <c r="I110" s="69">
        <f t="shared" si="66"/>
        <v>915836.93000000715</v>
      </c>
      <c r="J110" s="69">
        <f t="shared" si="66"/>
        <v>16346443.25000006</v>
      </c>
      <c r="K110" s="69">
        <f t="shared" si="66"/>
        <v>2667651.619999975</v>
      </c>
      <c r="L110" s="69">
        <f t="shared" si="66"/>
        <v>-37911969.270000011</v>
      </c>
      <c r="M110" s="69">
        <f t="shared" si="66"/>
        <v>-129412758.53999999</v>
      </c>
      <c r="N110" s="69">
        <f t="shared" si="66"/>
        <v>90546995.340000004</v>
      </c>
      <c r="O110" s="69">
        <f t="shared" si="66"/>
        <v>-32779643.985000044</v>
      </c>
      <c r="P110" s="69">
        <f t="shared" si="66"/>
        <v>10354712.441631883</v>
      </c>
      <c r="Q110" s="69">
        <f t="shared" si="66"/>
        <v>42585839.360992849</v>
      </c>
      <c r="R110" s="69">
        <f t="shared" si="66"/>
        <v>32673330.317941487</v>
      </c>
      <c r="S110" s="69">
        <f t="shared" si="66"/>
        <v>20636750.56549111</v>
      </c>
      <c r="T110" s="69">
        <f t="shared" si="66"/>
        <v>18006284.727365106</v>
      </c>
      <c r="U110" s="69">
        <f t="shared" si="66"/>
        <v>21659262.334311068</v>
      </c>
      <c r="V110" s="69">
        <f t="shared" si="66"/>
        <v>14465312.801652908</v>
      </c>
      <c r="W110" s="69"/>
      <c r="X110" s="486"/>
      <c r="Y110" s="471"/>
      <c r="Z110" s="471"/>
      <c r="AA110" s="471"/>
    </row>
    <row r="111" spans="1:27" outlineLevel="1">
      <c r="A111" s="54" t="s">
        <v>86</v>
      </c>
      <c r="B111" s="54"/>
      <c r="C111" s="54"/>
      <c r="D111" s="54"/>
      <c r="E111" s="54"/>
      <c r="F111" s="54"/>
      <c r="G111" s="54"/>
      <c r="H111" s="69">
        <f>(H69-H43)-(G69-G43)</f>
        <v>-9936921.880000025</v>
      </c>
      <c r="I111" s="69">
        <f>(I69-I43)-(H69-H43)</f>
        <v>-4027386.6999999881</v>
      </c>
      <c r="J111" s="69">
        <f t="shared" ref="J111:K114" si="67">(J69-J40)-(I69-I40)</f>
        <v>23326040.61999999</v>
      </c>
      <c r="K111" s="69">
        <f t="shared" si="67"/>
        <v>29565832.280000031</v>
      </c>
      <c r="L111" s="69">
        <f t="shared" ref="L111:V111" si="68">(L69-L43)-(K69-K43)</f>
        <v>14709107.229999915</v>
      </c>
      <c r="M111" s="69">
        <f t="shared" si="68"/>
        <v>-23528558.189999953</v>
      </c>
      <c r="N111" s="69">
        <f t="shared" si="68"/>
        <v>-1206927.3900000155</v>
      </c>
      <c r="O111" s="69">
        <f t="shared" si="68"/>
        <v>25055206.312436506</v>
      </c>
      <c r="P111" s="69">
        <f t="shared" si="68"/>
        <v>1757202.3944066465</v>
      </c>
      <c r="Q111" s="69">
        <f t="shared" si="68"/>
        <v>8730538.0472974479</v>
      </c>
      <c r="R111" s="69">
        <f t="shared" si="68"/>
        <v>15712663.476588547</v>
      </c>
      <c r="S111" s="69">
        <f t="shared" si="68"/>
        <v>7682291.2425503433</v>
      </c>
      <c r="T111" s="69">
        <f t="shared" si="68"/>
        <v>11637229.419145226</v>
      </c>
      <c r="U111" s="69">
        <f t="shared" si="68"/>
        <v>20943005.567525297</v>
      </c>
      <c r="V111" s="69">
        <f t="shared" si="68"/>
        <v>24968343.313376367</v>
      </c>
      <c r="W111" s="69"/>
      <c r="X111" s="486"/>
      <c r="Y111" s="471"/>
      <c r="Z111" s="471"/>
      <c r="AA111" s="471"/>
    </row>
    <row r="112" spans="1:27" outlineLevel="1">
      <c r="A112" s="54" t="s">
        <v>87</v>
      </c>
      <c r="B112" s="54"/>
      <c r="C112" s="54"/>
      <c r="D112" s="54"/>
      <c r="E112" s="54"/>
      <c r="F112" s="54"/>
      <c r="G112" s="54"/>
      <c r="H112" s="69">
        <f>(H70-H42)-(G70-G42)</f>
        <v>1006667.0900000001</v>
      </c>
      <c r="I112" s="69">
        <f>(I70-I42)-(H70-H42)</f>
        <v>37848.370000000112</v>
      </c>
      <c r="J112" s="69">
        <f t="shared" si="67"/>
        <v>-226715.50000000047</v>
      </c>
      <c r="K112" s="69">
        <f t="shared" si="67"/>
        <v>2292748.8000000003</v>
      </c>
      <c r="L112" s="69">
        <f t="shared" ref="L112:V112" si="69">(L70-L42)-(K70-K42)</f>
        <v>-1814884.8399999999</v>
      </c>
      <c r="M112" s="69">
        <f t="shared" si="69"/>
        <v>-1555702.09</v>
      </c>
      <c r="N112" s="69">
        <f t="shared" si="69"/>
        <v>-2038982.66</v>
      </c>
      <c r="O112" s="69">
        <f t="shared" si="69"/>
        <v>1523353</v>
      </c>
      <c r="P112" s="69">
        <f t="shared" si="69"/>
        <v>-88178.639032121282</v>
      </c>
      <c r="Q112" s="69">
        <f t="shared" si="69"/>
        <v>901487.75995038589</v>
      </c>
      <c r="R112" s="69">
        <f t="shared" si="69"/>
        <v>971867.72969827661</v>
      </c>
      <c r="S112" s="69">
        <f t="shared" si="69"/>
        <v>63703.537012331188</v>
      </c>
      <c r="T112" s="69">
        <f t="shared" si="69"/>
        <v>64977.607752577867</v>
      </c>
      <c r="U112" s="69">
        <f t="shared" si="69"/>
        <v>2817020.4754119711</v>
      </c>
      <c r="V112" s="69">
        <f t="shared" si="69"/>
        <v>122617.56941586826</v>
      </c>
      <c r="W112" s="69"/>
      <c r="X112" s="486"/>
      <c r="Y112" s="471"/>
      <c r="Z112" s="471"/>
      <c r="AA112" s="471"/>
    </row>
    <row r="113" spans="1:27" outlineLevel="1">
      <c r="A113" s="54" t="s">
        <v>96</v>
      </c>
      <c r="B113" s="54"/>
      <c r="C113" s="54"/>
      <c r="D113" s="54"/>
      <c r="E113" s="54"/>
      <c r="F113" s="54"/>
      <c r="G113" s="54"/>
      <c r="H113" s="69">
        <f>(H71-H40)-(G71-G40)</f>
        <v>-705358.91000000015</v>
      </c>
      <c r="I113" s="69">
        <f>(I71-I40)-(H71-H40)</f>
        <v>482210.51</v>
      </c>
      <c r="J113" s="69">
        <f t="shared" si="67"/>
        <v>486244.53999999992</v>
      </c>
      <c r="K113" s="69">
        <f t="shared" si="67"/>
        <v>-288363.29999999993</v>
      </c>
      <c r="L113" s="69">
        <f t="shared" ref="L113:V113" si="70">(L71-L40)-(K71-K40)</f>
        <v>-8827821.6699999999</v>
      </c>
      <c r="M113" s="69">
        <f t="shared" si="70"/>
        <v>8598694.6400000006</v>
      </c>
      <c r="N113" s="69">
        <f t="shared" si="70"/>
        <v>2435137.5999999987</v>
      </c>
      <c r="O113" s="69">
        <f t="shared" si="70"/>
        <v>441220.00297396071</v>
      </c>
      <c r="P113" s="69">
        <f t="shared" si="70"/>
        <v>4742717.4241887368</v>
      </c>
      <c r="Q113" s="69">
        <f t="shared" si="70"/>
        <v>3240077.3804501295</v>
      </c>
      <c r="R113" s="69">
        <f t="shared" si="70"/>
        <v>1158373.5225058086</v>
      </c>
      <c r="S113" s="69">
        <f t="shared" si="70"/>
        <v>1528774.3226258196</v>
      </c>
      <c r="T113" s="69">
        <f t="shared" si="70"/>
        <v>1209204.4539881554</v>
      </c>
      <c r="U113" s="69">
        <f t="shared" si="70"/>
        <v>905554.44232773408</v>
      </c>
      <c r="V113" s="69">
        <f t="shared" si="70"/>
        <v>917898.80299466103</v>
      </c>
      <c r="W113" s="69"/>
      <c r="X113" s="486"/>
      <c r="Y113" s="471"/>
      <c r="Z113" s="471"/>
      <c r="AA113" s="471"/>
    </row>
    <row r="114" spans="1:27" outlineLevel="1">
      <c r="A114" s="54" t="s">
        <v>92</v>
      </c>
      <c r="B114" s="54"/>
      <c r="C114" s="54"/>
      <c r="D114" s="54"/>
      <c r="E114" s="54"/>
      <c r="F114" s="54"/>
      <c r="G114" s="54"/>
      <c r="H114" s="69">
        <f>(H72-H41)-(G72-G41)</f>
        <v>2022991</v>
      </c>
      <c r="I114" s="69">
        <f>(I72-I41)-(H72-H41)</f>
        <v>1921286.2400000002</v>
      </c>
      <c r="J114" s="69">
        <f t="shared" si="67"/>
        <v>-6277445.25</v>
      </c>
      <c r="K114" s="69">
        <f t="shared" si="67"/>
        <v>-23888249.639999986</v>
      </c>
      <c r="L114" s="69">
        <f t="shared" ref="L114:V114" si="71">(L72-L41)-(K72-K41)</f>
        <v>827021.59000000171</v>
      </c>
      <c r="M114" s="69">
        <f t="shared" si="71"/>
        <v>-2903972.3500000015</v>
      </c>
      <c r="N114" s="69">
        <f t="shared" si="71"/>
        <v>3479308.1799999997</v>
      </c>
      <c r="O114" s="69">
        <f t="shared" si="71"/>
        <v>2372923.7400000002</v>
      </c>
      <c r="P114" s="69">
        <f t="shared" si="71"/>
        <v>1369291.1244051382</v>
      </c>
      <c r="Q114" s="69">
        <f t="shared" si="71"/>
        <v>1478957.8173413537</v>
      </c>
      <c r="R114" s="69">
        <f t="shared" si="71"/>
        <v>1597399.0580093078</v>
      </c>
      <c r="S114" s="69">
        <f t="shared" si="71"/>
        <v>1725316.8221370131</v>
      </c>
      <c r="T114" s="69">
        <f t="shared" si="71"/>
        <v>1863469.2436277084</v>
      </c>
      <c r="U114" s="69">
        <f t="shared" si="71"/>
        <v>2012675.1072150469</v>
      </c>
      <c r="V114" s="69">
        <f t="shared" si="71"/>
        <v>2173818.7005306706</v>
      </c>
      <c r="W114" s="69"/>
      <c r="X114" s="486"/>
      <c r="Y114" s="471"/>
      <c r="Z114" s="471"/>
      <c r="AA114" s="471"/>
    </row>
    <row r="115" spans="1:27" outlineLevel="1">
      <c r="A115" s="59" t="s">
        <v>88</v>
      </c>
      <c r="B115" s="54"/>
      <c r="C115" s="54"/>
      <c r="D115" s="54"/>
      <c r="E115" s="54"/>
      <c r="F115" s="54"/>
      <c r="G115" s="54"/>
      <c r="H115" s="73">
        <f t="shared" ref="H115:V115" si="72">SUM(H110:H114)</f>
        <v>-3842738.2700002566</v>
      </c>
      <c r="I115" s="73">
        <f>SUM(I110:I114)</f>
        <v>-670204.64999998081</v>
      </c>
      <c r="J115" s="73">
        <f>SUM(J110:J114)</f>
        <v>33654567.660000049</v>
      </c>
      <c r="K115" s="73">
        <f>SUM(K110:K114)</f>
        <v>10349619.76000002</v>
      </c>
      <c r="L115" s="73">
        <f t="shared" si="72"/>
        <v>-33018546.96000009</v>
      </c>
      <c r="M115" s="73">
        <f t="shared" si="72"/>
        <v>-148802296.52999994</v>
      </c>
      <c r="N115" s="73">
        <f t="shared" si="72"/>
        <v>93215531.069999993</v>
      </c>
      <c r="O115" s="73">
        <f t="shared" si="72"/>
        <v>-3386940.929589577</v>
      </c>
      <c r="P115" s="73">
        <f t="shared" si="72"/>
        <v>18135744.745600283</v>
      </c>
      <c r="Q115" s="73">
        <f t="shared" si="72"/>
        <v>56936900.366032168</v>
      </c>
      <c r="R115" s="73">
        <f t="shared" si="72"/>
        <v>52113634.104743436</v>
      </c>
      <c r="S115" s="73">
        <f t="shared" si="72"/>
        <v>31636836.489816617</v>
      </c>
      <c r="T115" s="73">
        <f t="shared" si="72"/>
        <v>32781165.451878775</v>
      </c>
      <c r="U115" s="73">
        <f t="shared" si="72"/>
        <v>48337517.926791117</v>
      </c>
      <c r="V115" s="73">
        <f t="shared" si="72"/>
        <v>42647991.187970474</v>
      </c>
      <c r="W115" s="83"/>
      <c r="X115" s="486"/>
      <c r="Y115" s="473"/>
      <c r="Z115" s="473"/>
      <c r="AA115" s="473"/>
    </row>
    <row r="116" spans="1:27" outlineLevel="1">
      <c r="A116" s="54"/>
      <c r="B116" s="54"/>
      <c r="C116" s="54"/>
      <c r="D116" s="54"/>
      <c r="E116" s="54"/>
      <c r="F116" s="54"/>
      <c r="G116" s="54"/>
      <c r="H116" s="54"/>
      <c r="I116" s="62"/>
      <c r="J116" s="62"/>
      <c r="K116" s="62"/>
      <c r="L116" s="62"/>
      <c r="M116" s="62"/>
      <c r="N116" s="62"/>
      <c r="O116" s="62"/>
      <c r="P116" s="62"/>
      <c r="Q116" s="54"/>
      <c r="R116" s="54"/>
      <c r="S116" s="54"/>
      <c r="T116" s="54"/>
      <c r="U116" s="54"/>
      <c r="V116" s="54"/>
      <c r="W116" s="54"/>
      <c r="X116" s="486"/>
      <c r="Y116" s="473"/>
      <c r="Z116" s="473"/>
      <c r="AA116" s="473"/>
    </row>
    <row r="117" spans="1:27" outlineLevel="1">
      <c r="A117" s="59" t="s">
        <v>99</v>
      </c>
      <c r="B117" s="54"/>
      <c r="C117" s="54"/>
      <c r="D117" s="54"/>
      <c r="E117" s="54"/>
      <c r="F117" s="54"/>
      <c r="G117" s="54"/>
      <c r="H117" s="54"/>
      <c r="I117" s="62"/>
      <c r="J117" s="62"/>
      <c r="K117" s="62"/>
      <c r="L117" s="62"/>
      <c r="M117" s="62"/>
      <c r="N117" s="62"/>
      <c r="O117" s="62"/>
      <c r="P117" s="62"/>
      <c r="Q117" s="54"/>
      <c r="R117" s="54"/>
      <c r="S117" s="54"/>
      <c r="T117" s="54"/>
      <c r="U117" s="54"/>
      <c r="V117" s="54"/>
      <c r="W117" s="54"/>
      <c r="X117" s="486"/>
      <c r="Y117" s="473"/>
      <c r="Z117" s="473"/>
      <c r="AA117" s="473"/>
    </row>
    <row r="118" spans="1:27" outlineLevel="1">
      <c r="A118" s="54" t="s">
        <v>85</v>
      </c>
      <c r="B118" s="54"/>
      <c r="C118" s="54"/>
      <c r="D118" s="54"/>
      <c r="E118" s="54"/>
      <c r="F118" s="54"/>
      <c r="G118" s="54"/>
      <c r="H118" s="69">
        <f t="shared" ref="H118:V118" si="73">H92-G92</f>
        <v>1506357.6995866001</v>
      </c>
      <c r="I118" s="69">
        <f t="shared" si="73"/>
        <v>-6483034.0745702982</v>
      </c>
      <c r="J118" s="69">
        <f t="shared" si="73"/>
        <v>16164936.680706918</v>
      </c>
      <c r="K118" s="69">
        <f t="shared" si="73"/>
        <v>6516333.6425486803</v>
      </c>
      <c r="L118" s="69">
        <f t="shared" si="73"/>
        <v>-38732757.430663735</v>
      </c>
      <c r="M118" s="69">
        <f t="shared" si="73"/>
        <v>-112979537.01167643</v>
      </c>
      <c r="N118" s="69">
        <f t="shared" si="73"/>
        <v>70538629.15865773</v>
      </c>
      <c r="O118" s="69">
        <f t="shared" si="73"/>
        <v>-17159465.78144744</v>
      </c>
      <c r="P118" s="69">
        <f t="shared" si="73"/>
        <v>-7477543.4503713548</v>
      </c>
      <c r="Q118" s="69">
        <f t="shared" si="73"/>
        <v>20069512.773511052</v>
      </c>
      <c r="R118" s="69">
        <f t="shared" si="73"/>
        <v>27416273.017530859</v>
      </c>
      <c r="S118" s="69">
        <f t="shared" si="73"/>
        <v>13544901.417624503</v>
      </c>
      <c r="T118" s="69">
        <f t="shared" si="73"/>
        <v>11189587.184625655</v>
      </c>
      <c r="U118" s="69">
        <f t="shared" si="73"/>
        <v>21148237.440100431</v>
      </c>
      <c r="V118" s="69">
        <f t="shared" si="73"/>
        <v>17679098.285596073</v>
      </c>
      <c r="W118" s="69"/>
      <c r="X118" s="486"/>
      <c r="Y118" s="473"/>
      <c r="Z118" s="473"/>
      <c r="AA118" s="473"/>
    </row>
    <row r="119" spans="1:27" outlineLevel="1">
      <c r="A119" s="54" t="s">
        <v>86</v>
      </c>
      <c r="B119" s="54"/>
      <c r="C119" s="54"/>
      <c r="D119" s="54"/>
      <c r="E119" s="54"/>
      <c r="F119" s="54"/>
      <c r="G119" s="54"/>
      <c r="H119" s="69">
        <f t="shared" ref="H119:V119" si="74">H93-G93</f>
        <v>-11368448.107711926</v>
      </c>
      <c r="I119" s="69">
        <f t="shared" si="74"/>
        <v>-674185.63877369463</v>
      </c>
      <c r="J119" s="69">
        <f t="shared" si="74"/>
        <v>9841841.6946320385</v>
      </c>
      <c r="K119" s="69">
        <f t="shared" si="74"/>
        <v>2578259.022755757</v>
      </c>
      <c r="L119" s="69">
        <f t="shared" si="74"/>
        <v>12014357.189097747</v>
      </c>
      <c r="M119" s="69">
        <f t="shared" si="74"/>
        <v>-10176571.829999939</v>
      </c>
      <c r="N119" s="69">
        <f t="shared" si="74"/>
        <v>-3667125.2200000286</v>
      </c>
      <c r="O119" s="69">
        <f t="shared" si="74"/>
        <v>14084162.271492615</v>
      </c>
      <c r="P119" s="69">
        <f t="shared" si="74"/>
        <v>-6288541.7642320096</v>
      </c>
      <c r="Q119" s="69">
        <f t="shared" si="74"/>
        <v>12762358.636678666</v>
      </c>
      <c r="R119" s="69">
        <f t="shared" si="74"/>
        <v>-36356301.024833977</v>
      </c>
      <c r="S119" s="69">
        <f t="shared" si="74"/>
        <v>-16934209.555457383</v>
      </c>
      <c r="T119" s="69">
        <f t="shared" si="74"/>
        <v>10458404.609981716</v>
      </c>
      <c r="U119" s="69">
        <f t="shared" si="74"/>
        <v>6897769.4263494313</v>
      </c>
      <c r="V119" s="69">
        <f t="shared" si="74"/>
        <v>9197202.9582713842</v>
      </c>
      <c r="W119" s="69"/>
      <c r="X119" s="486"/>
      <c r="Y119" s="473"/>
      <c r="Z119" s="473"/>
      <c r="AA119" s="473"/>
    </row>
    <row r="120" spans="1:27" outlineLevel="1">
      <c r="A120" s="54" t="s">
        <v>87</v>
      </c>
      <c r="B120" s="54"/>
      <c r="C120" s="54"/>
      <c r="D120" s="54"/>
      <c r="E120" s="54"/>
      <c r="F120" s="54"/>
      <c r="G120" s="54"/>
      <c r="H120" s="69">
        <f t="shared" ref="H120:V120" si="75">H94-G94</f>
        <v>558041.84812512994</v>
      </c>
      <c r="I120" s="69">
        <f t="shared" si="75"/>
        <v>-46425.452872297261</v>
      </c>
      <c r="J120" s="69">
        <f t="shared" si="75"/>
        <v>220621.95927736303</v>
      </c>
      <c r="K120" s="69">
        <f t="shared" si="75"/>
        <v>1849468.5854698038</v>
      </c>
      <c r="L120" s="69">
        <f t="shared" si="75"/>
        <v>-1831528.9699999988</v>
      </c>
      <c r="M120" s="69">
        <f t="shared" si="75"/>
        <v>-1905199.3200000005</v>
      </c>
      <c r="N120" s="69">
        <f t="shared" si="75"/>
        <v>-438335.40999999992</v>
      </c>
      <c r="O120" s="69">
        <f t="shared" si="75"/>
        <v>892158.72453626117</v>
      </c>
      <c r="P120" s="69">
        <f t="shared" si="75"/>
        <v>-394712.95624376263</v>
      </c>
      <c r="Q120" s="69">
        <f t="shared" si="75"/>
        <v>136.2433978234767</v>
      </c>
      <c r="R120" s="69">
        <f t="shared" si="75"/>
        <v>354359.63980734098</v>
      </c>
      <c r="S120" s="69">
        <f t="shared" si="75"/>
        <v>8213.6408565752208</v>
      </c>
      <c r="T120" s="69">
        <f t="shared" si="75"/>
        <v>6684.6028799050255</v>
      </c>
      <c r="U120" s="69">
        <f t="shared" si="75"/>
        <v>971768.55295579147</v>
      </c>
      <c r="V120" s="69">
        <f t="shared" si="75"/>
        <v>335309.90144478413</v>
      </c>
      <c r="W120" s="69"/>
      <c r="X120" s="486"/>
      <c r="Y120" s="473"/>
      <c r="Z120" s="473"/>
      <c r="AA120" s="473"/>
    </row>
    <row r="121" spans="1:27" outlineLevel="1">
      <c r="A121" s="54" t="s">
        <v>96</v>
      </c>
      <c r="B121" s="54"/>
      <c r="C121" s="54"/>
      <c r="D121" s="54"/>
      <c r="E121" s="54"/>
      <c r="F121" s="54"/>
      <c r="G121" s="54"/>
      <c r="H121" s="69">
        <f t="shared" ref="H121:V121" si="76">H95-G95</f>
        <v>-488043.86000000022</v>
      </c>
      <c r="I121" s="69">
        <f t="shared" si="76"/>
        <v>762357.4</v>
      </c>
      <c r="J121" s="69">
        <f t="shared" si="76"/>
        <v>61323.389999999978</v>
      </c>
      <c r="K121" s="69">
        <f t="shared" si="76"/>
        <v>45788.61</v>
      </c>
      <c r="L121" s="69">
        <f t="shared" si="76"/>
        <v>-11798169.84</v>
      </c>
      <c r="M121" s="69">
        <f t="shared" si="76"/>
        <v>7731538.1899999995</v>
      </c>
      <c r="N121" s="69">
        <f t="shared" si="76"/>
        <v>786473.5299999984</v>
      </c>
      <c r="O121" s="69">
        <f t="shared" si="76"/>
        <v>-646465.85850279778</v>
      </c>
      <c r="P121" s="69">
        <f t="shared" si="76"/>
        <v>3706851.1097050542</v>
      </c>
      <c r="Q121" s="69">
        <f t="shared" si="76"/>
        <v>2366375.3740288541</v>
      </c>
      <c r="R121" s="69">
        <f t="shared" si="76"/>
        <v>517644.49183227308</v>
      </c>
      <c r="S121" s="69">
        <f t="shared" si="76"/>
        <v>910214.03088539466</v>
      </c>
      <c r="T121" s="69">
        <f t="shared" si="76"/>
        <v>751209.86203842983</v>
      </c>
      <c r="U121" s="69">
        <f t="shared" si="76"/>
        <v>521745.76021313854</v>
      </c>
      <c r="V121" s="69">
        <f t="shared" si="76"/>
        <v>529616.43990300782</v>
      </c>
      <c r="W121" s="69"/>
      <c r="X121" s="486"/>
      <c r="Y121" s="473"/>
      <c r="Z121" s="473"/>
      <c r="AA121" s="473"/>
    </row>
    <row r="122" spans="1:27" outlineLevel="1">
      <c r="A122" s="54" t="s">
        <v>92</v>
      </c>
      <c r="B122" s="54"/>
      <c r="C122" s="54"/>
      <c r="D122" s="54"/>
      <c r="E122" s="54"/>
      <c r="F122" s="54"/>
      <c r="G122" s="54"/>
      <c r="H122" s="69">
        <f t="shared" ref="H122:V122" si="77">H96-G96</f>
        <v>790434.16000000015</v>
      </c>
      <c r="I122" s="69">
        <f t="shared" si="77"/>
        <v>1288652.0500000007</v>
      </c>
      <c r="J122" s="69">
        <f t="shared" si="77"/>
        <v>1222567.4099999983</v>
      </c>
      <c r="K122" s="69">
        <f t="shared" si="77"/>
        <v>396947.80000000075</v>
      </c>
      <c r="L122" s="69">
        <f t="shared" si="77"/>
        <v>520659.00000000186</v>
      </c>
      <c r="M122" s="69">
        <f t="shared" si="77"/>
        <v>-1442323.5500000017</v>
      </c>
      <c r="N122" s="69">
        <f t="shared" si="77"/>
        <v>2135502.0299999984</v>
      </c>
      <c r="O122" s="69">
        <f t="shared" si="77"/>
        <v>1424770.6543630902</v>
      </c>
      <c r="P122" s="69">
        <f t="shared" si="77"/>
        <v>846863.48875418492</v>
      </c>
      <c r="Q122" s="69">
        <f t="shared" si="77"/>
        <v>914735.97083832137</v>
      </c>
      <c r="R122" s="69">
        <f t="shared" si="77"/>
        <v>988039.46378603764</v>
      </c>
      <c r="S122" s="69">
        <f t="shared" si="77"/>
        <v>1067208.4603758808</v>
      </c>
      <c r="T122" s="69">
        <f t="shared" si="77"/>
        <v>1152712.2129256856</v>
      </c>
      <c r="U122" s="69">
        <f t="shared" si="77"/>
        <v>1245057.5140568577</v>
      </c>
      <c r="V122" s="69">
        <f t="shared" si="77"/>
        <v>1344791.699919831</v>
      </c>
      <c r="W122" s="69"/>
      <c r="X122" s="486"/>
      <c r="Y122" s="473"/>
      <c r="Z122" s="473"/>
      <c r="AA122" s="473"/>
    </row>
    <row r="123" spans="1:27" outlineLevel="1">
      <c r="A123" s="59" t="s">
        <v>88</v>
      </c>
      <c r="B123" s="54"/>
      <c r="C123" s="54"/>
      <c r="D123" s="54"/>
      <c r="E123" s="54"/>
      <c r="F123" s="54"/>
      <c r="G123" s="54"/>
      <c r="H123" s="73">
        <f t="shared" ref="H123:V123" si="78">SUM(H118:H122)</f>
        <v>-9001658.2600001954</v>
      </c>
      <c r="I123" s="73">
        <f>SUM(I118:I122)</f>
        <v>-5152635.7162162885</v>
      </c>
      <c r="J123" s="73">
        <f>SUM(J118:J122)</f>
        <v>27511291.134616315</v>
      </c>
      <c r="K123" s="73">
        <f>SUM(K118:K122)</f>
        <v>11386797.660774242</v>
      </c>
      <c r="L123" s="73">
        <f t="shared" si="78"/>
        <v>-39827440.05156599</v>
      </c>
      <c r="M123" s="73">
        <f t="shared" si="78"/>
        <v>-118772093.52167638</v>
      </c>
      <c r="N123" s="73">
        <f t="shared" si="78"/>
        <v>69355144.088657707</v>
      </c>
      <c r="O123" s="73">
        <f t="shared" si="78"/>
        <v>-1404839.9895582716</v>
      </c>
      <c r="P123" s="73">
        <f t="shared" si="78"/>
        <v>-9607083.5723878872</v>
      </c>
      <c r="Q123" s="73">
        <f t="shared" si="78"/>
        <v>36113118.99845472</v>
      </c>
      <c r="R123" s="73">
        <f t="shared" si="78"/>
        <v>-7079984.4118774664</v>
      </c>
      <c r="S123" s="73">
        <f t="shared" si="78"/>
        <v>-1403672.0057150293</v>
      </c>
      <c r="T123" s="73">
        <f t="shared" si="78"/>
        <v>23558598.472451389</v>
      </c>
      <c r="U123" s="73">
        <f t="shared" si="78"/>
        <v>30784578.693675648</v>
      </c>
      <c r="V123" s="73">
        <f t="shared" si="78"/>
        <v>29086019.285135079</v>
      </c>
      <c r="W123" s="83"/>
      <c r="X123" s="486"/>
      <c r="Y123" s="473"/>
      <c r="Z123" s="473"/>
      <c r="AA123" s="473"/>
    </row>
    <row r="124" spans="1:27" outlineLevel="1">
      <c r="A124" s="59"/>
      <c r="B124" s="54"/>
      <c r="C124" s="54"/>
      <c r="D124" s="54"/>
      <c r="E124" s="54"/>
      <c r="F124" s="54"/>
      <c r="G124" s="54"/>
      <c r="H124" s="54"/>
      <c r="I124" s="62"/>
      <c r="J124" s="62"/>
      <c r="K124" s="62"/>
      <c r="L124" s="62"/>
      <c r="M124" s="62"/>
      <c r="N124" s="62"/>
      <c r="O124" s="62"/>
      <c r="P124" s="62"/>
      <c r="Q124" s="54"/>
      <c r="R124" s="54"/>
      <c r="S124" s="54"/>
      <c r="T124" s="54"/>
      <c r="U124" s="54"/>
      <c r="V124" s="54"/>
      <c r="W124" s="54"/>
      <c r="X124" s="486"/>
      <c r="Y124" s="473"/>
      <c r="Z124" s="473"/>
      <c r="AA124" s="473"/>
    </row>
    <row r="125" spans="1:27" outlineLevel="1">
      <c r="A125" s="59" t="s">
        <v>100</v>
      </c>
      <c r="B125" s="54"/>
      <c r="C125" s="54"/>
      <c r="D125" s="54"/>
      <c r="E125" s="54"/>
      <c r="F125" s="54"/>
      <c r="G125" s="54"/>
      <c r="H125" s="54"/>
      <c r="I125" s="62"/>
      <c r="J125" s="62"/>
      <c r="K125" s="62"/>
      <c r="L125" s="62"/>
      <c r="M125" s="62"/>
      <c r="N125" s="62"/>
      <c r="O125" s="62"/>
      <c r="P125" s="62"/>
      <c r="Q125" s="54"/>
      <c r="R125" s="54"/>
      <c r="S125" s="54"/>
      <c r="T125" s="54"/>
      <c r="U125" s="54"/>
      <c r="V125" s="54"/>
      <c r="W125" s="54"/>
      <c r="X125" s="486"/>
      <c r="Y125" s="473"/>
      <c r="Z125" s="473"/>
      <c r="AA125" s="473"/>
    </row>
    <row r="126" spans="1:27" outlineLevel="1">
      <c r="A126" s="54" t="s">
        <v>85</v>
      </c>
      <c r="B126" s="54"/>
      <c r="C126" s="54"/>
      <c r="D126" s="54"/>
      <c r="E126" s="54"/>
      <c r="F126" s="54"/>
      <c r="G126" s="54"/>
      <c r="H126" s="69">
        <f t="shared" ref="H126:Q126" si="79">(H92+H$31*H49)-(G92+G$31*G49)</f>
        <v>2061992.0618556738</v>
      </c>
      <c r="I126" s="69">
        <f t="shared" si="79"/>
        <v>-5441337.853271246</v>
      </c>
      <c r="J126" s="69">
        <f t="shared" si="79"/>
        <v>16124717.865623415</v>
      </c>
      <c r="K126" s="69">
        <f t="shared" si="79"/>
        <v>5242542.0000447631</v>
      </c>
      <c r="L126" s="69">
        <f t="shared" si="79"/>
        <v>-38464282.55682528</v>
      </c>
      <c r="M126" s="69">
        <f t="shared" si="79"/>
        <v>-113026502.46110654</v>
      </c>
      <c r="N126" s="69">
        <f t="shared" si="79"/>
        <v>73391398.240593135</v>
      </c>
      <c r="O126" s="69">
        <f t="shared" si="79"/>
        <v>-11373413.669619799</v>
      </c>
      <c r="P126" s="69">
        <f t="shared" si="79"/>
        <v>-4733871.1556667238</v>
      </c>
      <c r="Q126" s="69">
        <f t="shared" si="79"/>
        <v>31066104.264442846</v>
      </c>
      <c r="R126" s="69">
        <f>(R92+R$32*R49)-(Q92+Q$31*Q49)</f>
        <v>27661318.67560032</v>
      </c>
      <c r="S126" s="69">
        <f t="shared" ref="S126:V128" si="80">(S92+S$32*S49)-(R92+R$32*R49)</f>
        <v>21795230.051395565</v>
      </c>
      <c r="T126" s="69">
        <f t="shared" si="80"/>
        <v>14327224.829996288</v>
      </c>
      <c r="U126" s="69">
        <f t="shared" si="80"/>
        <v>19813416.413922369</v>
      </c>
      <c r="V126" s="69">
        <f t="shared" si="80"/>
        <v>14574618.213212699</v>
      </c>
      <c r="W126" s="69"/>
      <c r="X126" s="486"/>
      <c r="Y126" s="473"/>
      <c r="Z126" s="473"/>
      <c r="AA126" s="473"/>
    </row>
    <row r="127" spans="1:27" outlineLevel="1">
      <c r="A127" s="54" t="s">
        <v>86</v>
      </c>
      <c r="B127" s="54"/>
      <c r="C127" s="54"/>
      <c r="D127" s="54"/>
      <c r="E127" s="54"/>
      <c r="F127" s="54"/>
      <c r="G127" s="54"/>
      <c r="H127" s="69">
        <f t="shared" ref="H127:Q127" si="81">(H93+H$31*H50)-(G93+G$31*G50)</f>
        <v>-11150381.540213898</v>
      </c>
      <c r="I127" s="69">
        <f t="shared" si="81"/>
        <v>-16831.234158003703</v>
      </c>
      <c r="J127" s="69">
        <f t="shared" si="81"/>
        <v>10228887.067901937</v>
      </c>
      <c r="K127" s="69">
        <f t="shared" si="81"/>
        <v>2072568.866085086</v>
      </c>
      <c r="L127" s="69">
        <f t="shared" si="81"/>
        <v>13706473.582804237</v>
      </c>
      <c r="M127" s="69">
        <f t="shared" si="81"/>
        <v>-8905268.1896807514</v>
      </c>
      <c r="N127" s="69">
        <f t="shared" si="81"/>
        <v>-4034131.3571035527</v>
      </c>
      <c r="O127" s="69">
        <f t="shared" si="81"/>
        <v>28762254.878448561</v>
      </c>
      <c r="P127" s="69">
        <f t="shared" si="81"/>
        <v>-2012743.1648323834</v>
      </c>
      <c r="Q127" s="69">
        <f t="shared" si="81"/>
        <v>22553962.126426011</v>
      </c>
      <c r="R127" s="69">
        <f>(R93+R$32*R50)-(Q93+Q$31*Q50)</f>
        <v>-34348062.96592772</v>
      </c>
      <c r="S127" s="69">
        <f t="shared" si="80"/>
        <v>-4862859.4338383228</v>
      </c>
      <c r="T127" s="69">
        <f t="shared" si="80"/>
        <v>10368468.070352323</v>
      </c>
      <c r="U127" s="69">
        <f t="shared" si="80"/>
        <v>10165454.809782378</v>
      </c>
      <c r="V127" s="69">
        <f t="shared" si="80"/>
        <v>12331691.327448338</v>
      </c>
      <c r="W127" s="69"/>
      <c r="X127" s="486"/>
      <c r="Y127" s="473"/>
      <c r="Z127" s="473"/>
      <c r="AA127" s="473"/>
    </row>
    <row r="128" spans="1:27" outlineLevel="1">
      <c r="A128" s="54" t="s">
        <v>87</v>
      </c>
      <c r="B128" s="54"/>
      <c r="C128" s="54"/>
      <c r="D128" s="54"/>
      <c r="E128" s="54"/>
      <c r="F128" s="54"/>
      <c r="G128" s="54"/>
      <c r="H128" s="69">
        <f t="shared" ref="H128:Q128" si="82">(H94+H$31*H51)-(G94+G$31*G51)</f>
        <v>603948.72829106334</v>
      </c>
      <c r="I128" s="69">
        <f t="shared" si="82"/>
        <v>-22594.606886203866</v>
      </c>
      <c r="J128" s="69">
        <f t="shared" si="82"/>
        <v>201544.28363660723</v>
      </c>
      <c r="K128" s="69">
        <f t="shared" si="82"/>
        <v>1885542.6289591291</v>
      </c>
      <c r="L128" s="69">
        <f t="shared" si="82"/>
        <v>-1865168.6126042982</v>
      </c>
      <c r="M128" s="69">
        <f t="shared" si="82"/>
        <v>-1852712.3458738881</v>
      </c>
      <c r="N128" s="69">
        <f t="shared" si="82"/>
        <v>-587913.05605321552</v>
      </c>
      <c r="O128" s="69">
        <f t="shared" si="82"/>
        <v>1117365.8475935124</v>
      </c>
      <c r="P128" s="69">
        <f t="shared" si="82"/>
        <v>-352725.52737949754</v>
      </c>
      <c r="Q128" s="69">
        <f t="shared" si="82"/>
        <v>372564.41771248472</v>
      </c>
      <c r="R128" s="69">
        <f>(R94+R$32*R51)-(Q94+Q$31*Q51)</f>
        <v>519344.90040946449</v>
      </c>
      <c r="S128" s="69">
        <f t="shared" si="80"/>
        <v>201104.92778962757</v>
      </c>
      <c r="T128" s="69">
        <f t="shared" si="80"/>
        <v>41863.630226845155</v>
      </c>
      <c r="U128" s="69">
        <f t="shared" si="80"/>
        <v>1639643.6011543947</v>
      </c>
      <c r="V128" s="69">
        <f t="shared" si="80"/>
        <v>165576.21448400896</v>
      </c>
      <c r="W128" s="69"/>
      <c r="X128" s="486"/>
      <c r="Y128" s="473"/>
      <c r="Z128" s="473"/>
      <c r="AA128" s="473"/>
    </row>
    <row r="129" spans="1:27" outlineLevel="1">
      <c r="A129" s="54" t="s">
        <v>96</v>
      </c>
      <c r="B129" s="54"/>
      <c r="C129" s="54"/>
      <c r="D129" s="54"/>
      <c r="E129" s="54"/>
      <c r="F129" s="54"/>
      <c r="G129" s="54"/>
      <c r="H129" s="69">
        <f>H121</f>
        <v>-488043.86000000022</v>
      </c>
      <c r="I129" s="69">
        <f t="shared" ref="I129:V130" si="83">I121</f>
        <v>762357.4</v>
      </c>
      <c r="J129" s="69">
        <f>J121</f>
        <v>61323.389999999978</v>
      </c>
      <c r="K129" s="69">
        <f>K121</f>
        <v>45788.61</v>
      </c>
      <c r="L129" s="69">
        <f t="shared" si="83"/>
        <v>-11798169.84</v>
      </c>
      <c r="M129" s="69">
        <f t="shared" si="83"/>
        <v>7731538.1899999995</v>
      </c>
      <c r="N129" s="69">
        <f t="shared" si="83"/>
        <v>786473.5299999984</v>
      </c>
      <c r="O129" s="69">
        <f t="shared" si="83"/>
        <v>-646465.85850279778</v>
      </c>
      <c r="P129" s="69">
        <f t="shared" si="83"/>
        <v>3706851.1097050542</v>
      </c>
      <c r="Q129" s="69">
        <f t="shared" si="83"/>
        <v>2366375.3740288541</v>
      </c>
      <c r="R129" s="69">
        <f t="shared" si="83"/>
        <v>517644.49183227308</v>
      </c>
      <c r="S129" s="69">
        <f t="shared" si="83"/>
        <v>910214.03088539466</v>
      </c>
      <c r="T129" s="69">
        <f t="shared" si="83"/>
        <v>751209.86203842983</v>
      </c>
      <c r="U129" s="69">
        <f t="shared" si="83"/>
        <v>521745.76021313854</v>
      </c>
      <c r="V129" s="69">
        <f t="shared" si="83"/>
        <v>529616.43990300782</v>
      </c>
      <c r="W129" s="69"/>
      <c r="X129" s="486"/>
      <c r="Y129" s="473"/>
      <c r="Z129" s="473"/>
      <c r="AA129" s="473"/>
    </row>
    <row r="130" spans="1:27" outlineLevel="1">
      <c r="A130" s="54" t="s">
        <v>92</v>
      </c>
      <c r="B130" s="54"/>
      <c r="C130" s="54"/>
      <c r="D130" s="54"/>
      <c r="E130" s="54"/>
      <c r="F130" s="54"/>
      <c r="G130" s="54"/>
      <c r="H130" s="69">
        <f>H122</f>
        <v>790434.16000000015</v>
      </c>
      <c r="I130" s="69">
        <f t="shared" si="83"/>
        <v>1288652.0500000007</v>
      </c>
      <c r="J130" s="69">
        <f>J122</f>
        <v>1222567.4099999983</v>
      </c>
      <c r="K130" s="69">
        <f>K122</f>
        <v>396947.80000000075</v>
      </c>
      <c r="L130" s="69">
        <f t="shared" si="83"/>
        <v>520659.00000000186</v>
      </c>
      <c r="M130" s="69">
        <f t="shared" si="83"/>
        <v>-1442323.5500000017</v>
      </c>
      <c r="N130" s="69">
        <f t="shared" si="83"/>
        <v>2135502.0299999984</v>
      </c>
      <c r="O130" s="69">
        <f t="shared" si="83"/>
        <v>1424770.6543630902</v>
      </c>
      <c r="P130" s="69">
        <f t="shared" si="83"/>
        <v>846863.48875418492</v>
      </c>
      <c r="Q130" s="69">
        <f t="shared" si="83"/>
        <v>914735.97083832137</v>
      </c>
      <c r="R130" s="69">
        <f t="shared" si="83"/>
        <v>988039.46378603764</v>
      </c>
      <c r="S130" s="69">
        <f t="shared" si="83"/>
        <v>1067208.4603758808</v>
      </c>
      <c r="T130" s="69">
        <f t="shared" si="83"/>
        <v>1152712.2129256856</v>
      </c>
      <c r="U130" s="69">
        <f t="shared" si="83"/>
        <v>1245057.5140568577</v>
      </c>
      <c r="V130" s="69">
        <f t="shared" si="83"/>
        <v>1344791.699919831</v>
      </c>
      <c r="W130" s="69"/>
      <c r="X130" s="486"/>
      <c r="Y130" s="473"/>
      <c r="Z130" s="473"/>
      <c r="AA130" s="473"/>
    </row>
    <row r="131" spans="1:27" outlineLevel="1">
      <c r="A131" s="59" t="s">
        <v>88</v>
      </c>
      <c r="B131" s="54"/>
      <c r="C131" s="54"/>
      <c r="D131" s="54"/>
      <c r="E131" s="54"/>
      <c r="F131" s="54"/>
      <c r="G131" s="54"/>
      <c r="H131" s="73">
        <f t="shared" ref="H131:V131" si="84">SUM(H126:H130)</f>
        <v>-8182050.4500671607</v>
      </c>
      <c r="I131" s="73">
        <f t="shared" si="84"/>
        <v>-3429754.2443154529</v>
      </c>
      <c r="J131" s="73">
        <f>SUM(J126:J130)</f>
        <v>27839040.017161958</v>
      </c>
      <c r="K131" s="73">
        <f>SUM(K126:K130)</f>
        <v>9643389.9050889779</v>
      </c>
      <c r="L131" s="73">
        <f t="shared" si="84"/>
        <v>-37900488.426625341</v>
      </c>
      <c r="M131" s="73">
        <f t="shared" si="84"/>
        <v>-117495268.35666119</v>
      </c>
      <c r="N131" s="73">
        <f t="shared" si="84"/>
        <v>71691329.38743636</v>
      </c>
      <c r="O131" s="73">
        <f t="shared" si="84"/>
        <v>19284511.852282569</v>
      </c>
      <c r="P131" s="73">
        <f t="shared" si="84"/>
        <v>-2545625.249419366</v>
      </c>
      <c r="Q131" s="73">
        <f t="shared" si="84"/>
        <v>57273742.153448522</v>
      </c>
      <c r="R131" s="73">
        <f t="shared" si="84"/>
        <v>-4661715.4342996245</v>
      </c>
      <c r="S131" s="73">
        <f t="shared" si="84"/>
        <v>19110898.036608145</v>
      </c>
      <c r="T131" s="73">
        <f t="shared" si="84"/>
        <v>26641478.605539575</v>
      </c>
      <c r="U131" s="73">
        <f t="shared" si="84"/>
        <v>33385318.099129137</v>
      </c>
      <c r="V131" s="73">
        <f t="shared" si="84"/>
        <v>28946293.894967888</v>
      </c>
      <c r="W131" s="83"/>
      <c r="X131" s="486"/>
      <c r="Y131" s="471"/>
      <c r="Z131" s="471"/>
      <c r="AA131" s="471"/>
    </row>
    <row r="132" spans="1:27" outlineLevel="1">
      <c r="A132" s="59"/>
      <c r="B132" s="54"/>
      <c r="C132" s="54"/>
      <c r="D132" s="54"/>
      <c r="E132" s="54"/>
      <c r="F132" s="54"/>
      <c r="G132" s="54"/>
      <c r="H132" s="54"/>
      <c r="I132" s="62"/>
      <c r="J132" s="62"/>
      <c r="K132" s="62"/>
      <c r="L132" s="62"/>
      <c r="M132" s="62"/>
      <c r="N132" s="62"/>
      <c r="O132" s="62"/>
      <c r="P132" s="62"/>
      <c r="Q132" s="54"/>
      <c r="R132" s="54"/>
      <c r="S132" s="54"/>
      <c r="T132" s="54"/>
      <c r="U132" s="54"/>
      <c r="V132" s="54"/>
      <c r="W132" s="54"/>
      <c r="X132" s="486"/>
      <c r="Y132" s="471"/>
      <c r="Z132" s="471"/>
      <c r="AA132" s="471"/>
    </row>
    <row r="133" spans="1:27" s="220" customFormat="1" outlineLevel="1">
      <c r="A133" s="59" t="s">
        <v>792</v>
      </c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486"/>
      <c r="Y133" s="471"/>
      <c r="Z133" s="471"/>
      <c r="AA133" s="471"/>
    </row>
    <row r="134" spans="1:27" s="220" customFormat="1" outlineLevel="1">
      <c r="A134" s="54" t="s">
        <v>85</v>
      </c>
      <c r="B134" s="54"/>
      <c r="C134" s="54"/>
      <c r="D134" s="54"/>
      <c r="E134" s="54"/>
      <c r="F134" s="54"/>
      <c r="G134" s="84"/>
      <c r="H134" s="84">
        <f t="shared" ref="H134:V134" si="85">H84/H68</f>
        <v>0.85868738665957722</v>
      </c>
      <c r="I134" s="84">
        <f t="shared" si="85"/>
        <v>0.83946931240405998</v>
      </c>
      <c r="J134" s="84">
        <f t="shared" si="85"/>
        <v>0.84931263841825766</v>
      </c>
      <c r="K134" s="84">
        <f t="shared" si="85"/>
        <v>0.86318151172769886</v>
      </c>
      <c r="L134" s="84">
        <f t="shared" si="85"/>
        <v>0.83418145419286671</v>
      </c>
      <c r="M134" s="84">
        <f t="shared" si="85"/>
        <v>0.75232925590562016</v>
      </c>
      <c r="N134" s="84">
        <f t="shared" si="85"/>
        <v>0.78428481423728436</v>
      </c>
      <c r="O134" s="84">
        <f t="shared" si="85"/>
        <v>0.82571805052037639</v>
      </c>
      <c r="P134" s="84">
        <f t="shared" si="85"/>
        <v>0.74440222385554533</v>
      </c>
      <c r="Q134" s="84">
        <f t="shared" si="85"/>
        <v>0.70083973395015731</v>
      </c>
      <c r="R134" s="84">
        <f t="shared" si="85"/>
        <v>0.72040147613108441</v>
      </c>
      <c r="S134" s="84">
        <f t="shared" si="85"/>
        <v>0.7177550343775958</v>
      </c>
      <c r="T134" s="84">
        <f t="shared" si="85"/>
        <v>0.71491166219984703</v>
      </c>
      <c r="U134" s="84">
        <f t="shared" si="85"/>
        <v>0.73345071341634582</v>
      </c>
      <c r="V134" s="84">
        <f t="shared" si="85"/>
        <v>0.74954580040368679</v>
      </c>
      <c r="W134" s="84"/>
      <c r="X134" s="486"/>
      <c r="Y134" s="471"/>
      <c r="Z134" s="471"/>
      <c r="AA134" s="471"/>
    </row>
    <row r="135" spans="1:27" s="220" customFormat="1" outlineLevel="1">
      <c r="A135" s="54" t="s">
        <v>86</v>
      </c>
      <c r="B135" s="54"/>
      <c r="C135" s="54"/>
      <c r="D135" s="54"/>
      <c r="E135" s="54"/>
      <c r="F135" s="54"/>
      <c r="G135" s="84"/>
      <c r="H135" s="84">
        <f t="shared" ref="H135:V135" si="86">H85/H69</f>
        <v>0.77238157499169224</v>
      </c>
      <c r="I135" s="84">
        <f t="shared" si="86"/>
        <v>0.80206036467072805</v>
      </c>
      <c r="J135" s="84">
        <f t="shared" si="86"/>
        <v>0.79692094816096815</v>
      </c>
      <c r="K135" s="84">
        <f t="shared" si="86"/>
        <v>0.81449829593762735</v>
      </c>
      <c r="L135" s="84">
        <f t="shared" si="86"/>
        <v>0.83730553119873463</v>
      </c>
      <c r="M135" s="84">
        <f t="shared" si="86"/>
        <v>0.85414628716865659</v>
      </c>
      <c r="N135" s="84">
        <f t="shared" si="86"/>
        <v>0.83168834412003056</v>
      </c>
      <c r="O135" s="84">
        <f t="shared" si="86"/>
        <v>0.83771393209625089</v>
      </c>
      <c r="P135" s="84">
        <f t="shared" si="86"/>
        <v>0.8053159189180904</v>
      </c>
      <c r="Q135" s="84">
        <f t="shared" si="86"/>
        <v>0.84189146067529375</v>
      </c>
      <c r="R135" s="84">
        <f t="shared" si="86"/>
        <v>0.69024904971175916</v>
      </c>
      <c r="S135" s="84">
        <f t="shared" si="86"/>
        <v>0.63496515219210692</v>
      </c>
      <c r="T135" s="84">
        <f t="shared" si="86"/>
        <v>0.66741928557977004</v>
      </c>
      <c r="U135" s="84">
        <f t="shared" si="86"/>
        <v>0.68340842358194676</v>
      </c>
      <c r="V135" s="84">
        <f t="shared" si="86"/>
        <v>0.69914644414801652</v>
      </c>
      <c r="W135" s="84"/>
      <c r="X135" s="486"/>
      <c r="Y135" s="471"/>
      <c r="Z135" s="471"/>
      <c r="AA135" s="471"/>
    </row>
    <row r="136" spans="1:27" s="220" customFormat="1" outlineLevel="1">
      <c r="A136" s="54" t="s">
        <v>87</v>
      </c>
      <c r="B136" s="54"/>
      <c r="C136" s="54"/>
      <c r="D136" s="54"/>
      <c r="E136" s="54"/>
      <c r="F136" s="54"/>
      <c r="G136" s="84"/>
      <c r="H136" s="84">
        <f t="shared" ref="H136:V136" si="87">H86/H70</f>
        <v>0.68113787264160597</v>
      </c>
      <c r="I136" s="84">
        <f t="shared" si="87"/>
        <v>0.69246368907893419</v>
      </c>
      <c r="J136" s="84">
        <f t="shared" si="87"/>
        <v>0.68172829220911413</v>
      </c>
      <c r="K136" s="84">
        <f t="shared" si="87"/>
        <v>0.78297870153821492</v>
      </c>
      <c r="L136" s="84">
        <f t="shared" si="87"/>
        <v>0.70389879642287978</v>
      </c>
      <c r="M136" s="84">
        <f t="shared" si="87"/>
        <v>0.35488495521300295</v>
      </c>
      <c r="N136" s="84" t="e">
        <f t="shared" si="87"/>
        <v>#DIV/0!</v>
      </c>
      <c r="O136" s="84">
        <f t="shared" si="87"/>
        <v>0.5792038163575074</v>
      </c>
      <c r="P136" s="84">
        <f t="shared" si="87"/>
        <v>0.38710549498341162</v>
      </c>
      <c r="Q136" s="84">
        <f t="shared" si="87"/>
        <v>0.28757058712484296</v>
      </c>
      <c r="R136" s="84">
        <f t="shared" si="87"/>
        <v>0.33872503955991878</v>
      </c>
      <c r="S136" s="84">
        <f t="shared" si="87"/>
        <v>0.33704708924490445</v>
      </c>
      <c r="T136" s="84">
        <f t="shared" si="87"/>
        <v>0.33496392700715905</v>
      </c>
      <c r="U136" s="84">
        <f t="shared" si="87"/>
        <v>0.38247783684650283</v>
      </c>
      <c r="V136" s="84">
        <f t="shared" si="87"/>
        <v>0.42374777316591145</v>
      </c>
      <c r="W136" s="84"/>
      <c r="X136" s="486"/>
      <c r="Y136" s="471"/>
      <c r="Z136" s="471"/>
      <c r="AA136" s="471"/>
    </row>
    <row r="137" spans="1:27" s="220" customFormat="1" outlineLevel="1">
      <c r="A137" s="54" t="s">
        <v>96</v>
      </c>
      <c r="B137" s="54"/>
      <c r="C137" s="54"/>
      <c r="D137" s="54"/>
      <c r="E137" s="54"/>
      <c r="F137" s="54"/>
      <c r="G137" s="84"/>
      <c r="H137" s="84">
        <f t="shared" ref="H137:J139" si="88">H87/H71</f>
        <v>3.4550876626140856</v>
      </c>
      <c r="I137" s="84">
        <f t="shared" si="88"/>
        <v>4.1775766498649647</v>
      </c>
      <c r="J137" s="84">
        <f t="shared" si="88"/>
        <v>39.692970517610412</v>
      </c>
      <c r="K137" s="84"/>
      <c r="L137" s="84">
        <f t="shared" ref="L137:V137" si="89">L87/L71</f>
        <v>0.65220760641393238</v>
      </c>
      <c r="M137" s="84">
        <f t="shared" si="89"/>
        <v>0.53852245786377506</v>
      </c>
      <c r="N137" s="84">
        <f t="shared" si="89"/>
        <v>0.57644948812827235</v>
      </c>
      <c r="O137" s="84">
        <f t="shared" si="89"/>
        <v>0.45242814040903856</v>
      </c>
      <c r="P137" s="84">
        <f t="shared" si="89"/>
        <v>0.57582257890803468</v>
      </c>
      <c r="Q137" s="84">
        <f t="shared" si="89"/>
        <v>0.5847571050167254</v>
      </c>
      <c r="R137" s="84">
        <f t="shared" si="89"/>
        <v>0.58504700799265452</v>
      </c>
      <c r="S137" s="84">
        <f t="shared" si="89"/>
        <v>0.58571924812064202</v>
      </c>
      <c r="T137" s="84">
        <f t="shared" si="89"/>
        <v>0.58745648351298074</v>
      </c>
      <c r="U137" s="84">
        <f t="shared" si="89"/>
        <v>0.58705744733971221</v>
      </c>
      <c r="V137" s="84">
        <f t="shared" si="89"/>
        <v>0.58670931373666402</v>
      </c>
      <c r="W137" s="84"/>
      <c r="X137" s="486"/>
      <c r="Y137" s="471"/>
      <c r="Z137" s="471"/>
      <c r="AA137" s="471"/>
    </row>
    <row r="138" spans="1:27" s="220" customFormat="1" outlineLevel="1">
      <c r="A138" s="54" t="s">
        <v>92</v>
      </c>
      <c r="B138" s="54"/>
      <c r="C138" s="54"/>
      <c r="D138" s="54"/>
      <c r="E138" s="54"/>
      <c r="F138" s="54"/>
      <c r="G138" s="84"/>
      <c r="H138" s="84">
        <f t="shared" si="88"/>
        <v>0.55092829987639313</v>
      </c>
      <c r="I138" s="84">
        <f t="shared" si="88"/>
        <v>0.55845276811124944</v>
      </c>
      <c r="J138" s="84">
        <f t="shared" si="88"/>
        <v>0.56807424222039793</v>
      </c>
      <c r="K138" s="84">
        <f>K88/K72</f>
        <v>0.5908875642779019</v>
      </c>
      <c r="L138" s="84">
        <f t="shared" ref="L138:V138" si="90">L88/L72</f>
        <v>0.59676305768207349</v>
      </c>
      <c r="M138" s="84">
        <f t="shared" si="90"/>
        <v>0.6191614786534283</v>
      </c>
      <c r="N138" s="84">
        <f t="shared" si="90"/>
        <v>0.61895788770081483</v>
      </c>
      <c r="O138" s="84">
        <f t="shared" si="90"/>
        <v>0.61895788770081483</v>
      </c>
      <c r="P138" s="84">
        <f t="shared" si="90"/>
        <v>0.61895788770081483</v>
      </c>
      <c r="Q138" s="84">
        <f t="shared" si="90"/>
        <v>0.61895788770081472</v>
      </c>
      <c r="R138" s="84">
        <f t="shared" si="90"/>
        <v>0.61895788770081483</v>
      </c>
      <c r="S138" s="84">
        <f t="shared" si="90"/>
        <v>0.61895788770081483</v>
      </c>
      <c r="T138" s="84">
        <f t="shared" si="90"/>
        <v>0.61895788770081483</v>
      </c>
      <c r="U138" s="84">
        <f t="shared" si="90"/>
        <v>0.61895788770081483</v>
      </c>
      <c r="V138" s="84">
        <f t="shared" si="90"/>
        <v>0.61895788770081483</v>
      </c>
      <c r="W138" s="84"/>
      <c r="X138" s="486"/>
      <c r="Y138" s="471"/>
      <c r="Z138" s="471"/>
      <c r="AA138" s="471"/>
    </row>
    <row r="139" spans="1:27" s="220" customFormat="1" ht="15.75" outlineLevel="1" thickBot="1">
      <c r="A139" s="59" t="s">
        <v>88</v>
      </c>
      <c r="B139" s="54"/>
      <c r="C139" s="54"/>
      <c r="D139" s="54"/>
      <c r="E139" s="54"/>
      <c r="F139" s="54"/>
      <c r="G139" s="85" t="e">
        <f>G90/G66</f>
        <v>#DIV/0!</v>
      </c>
      <c r="H139" s="85">
        <f t="shared" si="88"/>
        <v>0.82427958413101265</v>
      </c>
      <c r="I139" s="85">
        <f t="shared" si="88"/>
        <v>0.82020051735137323</v>
      </c>
      <c r="J139" s="85">
        <f t="shared" si="88"/>
        <v>0.82442311393359502</v>
      </c>
      <c r="K139" s="85">
        <f>K89/K73</f>
        <v>0.83872345863879638</v>
      </c>
      <c r="L139" s="85">
        <f t="shared" ref="L139:V139" si="91">L89/L73</f>
        <v>0.82482806334110992</v>
      </c>
      <c r="M139" s="85">
        <f t="shared" si="91"/>
        <v>0.79080456407093713</v>
      </c>
      <c r="N139" s="85">
        <f t="shared" si="91"/>
        <v>0.78862730082902632</v>
      </c>
      <c r="O139" s="85">
        <f t="shared" si="91"/>
        <v>0.81238246684490079</v>
      </c>
      <c r="P139" s="85">
        <f t="shared" si="91"/>
        <v>0.76111910771939728</v>
      </c>
      <c r="Q139" s="85">
        <f t="shared" si="91"/>
        <v>0.75679960607609198</v>
      </c>
      <c r="R139" s="85">
        <f t="shared" si="91"/>
        <v>0.6955071910543974</v>
      </c>
      <c r="S139" s="85">
        <f t="shared" si="91"/>
        <v>0.66830021127547323</v>
      </c>
      <c r="T139" s="85">
        <f t="shared" si="91"/>
        <v>0.6823096598476831</v>
      </c>
      <c r="U139" s="85">
        <f t="shared" si="91"/>
        <v>0.69680192087886217</v>
      </c>
      <c r="V139" s="85">
        <f t="shared" si="91"/>
        <v>0.71084920078052916</v>
      </c>
      <c r="W139" s="86"/>
      <c r="X139" s="486"/>
      <c r="Y139" s="471"/>
      <c r="Z139" s="471"/>
      <c r="AA139" s="471"/>
    </row>
    <row r="140" spans="1:27" s="220" customFormat="1" outlineLevel="1">
      <c r="X140" s="472"/>
      <c r="Y140" s="473"/>
      <c r="Z140" s="473"/>
      <c r="AA140" s="473"/>
    </row>
    <row r="141" spans="1:27" outlineLevel="1">
      <c r="A141" s="59" t="s">
        <v>101</v>
      </c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486"/>
      <c r="Y141" s="471"/>
      <c r="Z141" s="471"/>
      <c r="AA141" s="471"/>
    </row>
    <row r="142" spans="1:27" outlineLevel="1">
      <c r="A142" s="54" t="s">
        <v>85</v>
      </c>
      <c r="B142" s="54"/>
      <c r="C142" s="54"/>
      <c r="D142" s="54"/>
      <c r="E142" s="54"/>
      <c r="F142" s="54"/>
      <c r="G142" s="84">
        <f t="shared" ref="G142:V142" si="92">G92/G68</f>
        <v>0.68612637129326248</v>
      </c>
      <c r="H142" s="84">
        <f t="shared" si="92"/>
        <v>0.70304312974906247</v>
      </c>
      <c r="I142" s="84">
        <f t="shared" si="92"/>
        <v>0.65209503833257132</v>
      </c>
      <c r="J142" s="84">
        <f t="shared" si="92"/>
        <v>0.6609479506348942</v>
      </c>
      <c r="K142" s="84">
        <f t="shared" si="92"/>
        <v>0.67328175708824112</v>
      </c>
      <c r="L142" s="84">
        <f t="shared" si="92"/>
        <v>0.65687497814359319</v>
      </c>
      <c r="M142" s="84">
        <f t="shared" si="92"/>
        <v>0.5597141420058247</v>
      </c>
      <c r="N142" s="84">
        <f t="shared" si="92"/>
        <v>0.60094211513722373</v>
      </c>
      <c r="O142" s="84">
        <f t="shared" si="92"/>
        <v>0.62672407060021362</v>
      </c>
      <c r="P142" s="84">
        <f t="shared" si="92"/>
        <v>0.55573037764769184</v>
      </c>
      <c r="Q142" s="84">
        <f t="shared" si="92"/>
        <v>0.53186743227647137</v>
      </c>
      <c r="R142" s="84">
        <f t="shared" si="92"/>
        <v>0.56175130816970764</v>
      </c>
      <c r="S142" s="84">
        <f t="shared" si="92"/>
        <v>0.56473829471759929</v>
      </c>
      <c r="T142" s="84">
        <f t="shared" si="92"/>
        <v>0.56283964543030174</v>
      </c>
      <c r="U142" s="84">
        <f t="shared" si="92"/>
        <v>0.58423871117216053</v>
      </c>
      <c r="V142" s="84">
        <f t="shared" si="92"/>
        <v>0.6182692727920085</v>
      </c>
      <c r="W142" s="84"/>
      <c r="X142" s="486"/>
      <c r="Y142" s="471"/>
      <c r="Z142" s="471"/>
      <c r="AA142" s="471"/>
    </row>
    <row r="143" spans="1:27" outlineLevel="1">
      <c r="A143" s="54" t="s">
        <v>86</v>
      </c>
      <c r="B143" s="54"/>
      <c r="C143" s="54"/>
      <c r="D143" s="54"/>
      <c r="E143" s="54"/>
      <c r="F143" s="54"/>
      <c r="G143" s="84">
        <f t="shared" ref="G143:V143" si="93">G93/G69</f>
        <v>0.18408625848664426</v>
      </c>
      <c r="H143" s="84">
        <f t="shared" si="93"/>
        <v>0.11514763022669536</v>
      </c>
      <c r="I143" s="84">
        <f t="shared" si="93"/>
        <v>0.10851125706991903</v>
      </c>
      <c r="J143" s="84">
        <f t="shared" si="93"/>
        <v>0.15882001499938084</v>
      </c>
      <c r="K143" s="84">
        <f t="shared" si="93"/>
        <v>0.14671338669975217</v>
      </c>
      <c r="L143" s="84">
        <f t="shared" si="93"/>
        <v>0.17443528507447448</v>
      </c>
      <c r="M143" s="84">
        <f t="shared" si="93"/>
        <v>0.18408879713354215</v>
      </c>
      <c r="N143" s="84">
        <f t="shared" si="93"/>
        <v>0.16542264700485393</v>
      </c>
      <c r="O143" s="84">
        <f t="shared" si="93"/>
        <v>0.17471393209625105</v>
      </c>
      <c r="P143" s="84">
        <f t="shared" si="93"/>
        <v>0.14231591891809034</v>
      </c>
      <c r="Q143" s="84">
        <f t="shared" si="93"/>
        <v>0.17889146067529368</v>
      </c>
      <c r="R143" s="84">
        <f t="shared" si="93"/>
        <v>2.724904971175908E-2</v>
      </c>
      <c r="S143" s="84">
        <f t="shared" si="93"/>
        <v>-2.8034847807893028E-2</v>
      </c>
      <c r="T143" s="84">
        <f t="shared" si="93"/>
        <v>4.4192855797699623E-3</v>
      </c>
      <c r="U143" s="84">
        <f t="shared" si="93"/>
        <v>2.0408423581946725E-2</v>
      </c>
      <c r="V143" s="84">
        <f t="shared" si="93"/>
        <v>3.6146444148016398E-2</v>
      </c>
      <c r="W143" s="84"/>
      <c r="X143" s="486"/>
      <c r="Y143" s="471"/>
      <c r="Z143" s="471"/>
      <c r="AA143" s="471"/>
    </row>
    <row r="144" spans="1:27" outlineLevel="1">
      <c r="A144" s="54" t="s">
        <v>87</v>
      </c>
      <c r="B144" s="54"/>
      <c r="C144" s="54"/>
      <c r="D144" s="54"/>
      <c r="E144" s="54"/>
      <c r="F144" s="54"/>
      <c r="G144" s="84">
        <f t="shared" ref="G144:V144" si="94">G94/G70</f>
        <v>0.7091522487177172</v>
      </c>
      <c r="H144" s="84">
        <f t="shared" si="94"/>
        <v>0.61498044361445403</v>
      </c>
      <c r="I144" s="84">
        <f t="shared" si="94"/>
        <v>0.53655670900041397</v>
      </c>
      <c r="J144" s="84">
        <f t="shared" si="94"/>
        <v>0.64854609610640179</v>
      </c>
      <c r="K144" s="84">
        <f t="shared" si="94"/>
        <v>0.71227486578092192</v>
      </c>
      <c r="L144" s="84">
        <f t="shared" si="94"/>
        <v>0.52543537697656195</v>
      </c>
      <c r="M144" s="84">
        <f t="shared" si="94"/>
        <v>0.12694857754215752</v>
      </c>
      <c r="N144" s="84" t="e">
        <f t="shared" si="94"/>
        <v>#DIV/0!</v>
      </c>
      <c r="O144" s="84">
        <f t="shared" si="94"/>
        <v>0.51253714969084074</v>
      </c>
      <c r="P144" s="84">
        <f t="shared" si="94"/>
        <v>0.24450507731535853</v>
      </c>
      <c r="Q144" s="84">
        <f t="shared" si="94"/>
        <v>0.14497016945678984</v>
      </c>
      <c r="R144" s="84">
        <f t="shared" si="94"/>
        <v>0.19612462189186566</v>
      </c>
      <c r="S144" s="84">
        <f t="shared" si="94"/>
        <v>0.19444667157685136</v>
      </c>
      <c r="T144" s="84">
        <f t="shared" si="94"/>
        <v>0.1923635093391059</v>
      </c>
      <c r="U144" s="84">
        <f t="shared" si="94"/>
        <v>0.23987741917844974</v>
      </c>
      <c r="V144" s="84">
        <f t="shared" si="94"/>
        <v>0.28114735549785835</v>
      </c>
      <c r="W144" s="84"/>
      <c r="X144" s="486"/>
      <c r="Y144" s="471"/>
      <c r="Z144" s="471"/>
      <c r="AA144" s="471"/>
    </row>
    <row r="145" spans="1:27" outlineLevel="1">
      <c r="A145" s="54" t="s">
        <v>96</v>
      </c>
      <c r="B145" s="54"/>
      <c r="C145" s="54"/>
      <c r="D145" s="54"/>
      <c r="E145" s="54"/>
      <c r="F145" s="54"/>
      <c r="G145" s="84">
        <f t="shared" ref="G145:V145" si="95">G95/G71</f>
        <v>-0.31461537654463395</v>
      </c>
      <c r="H145" s="84">
        <f t="shared" si="95"/>
        <v>5.9745920075905756</v>
      </c>
      <c r="I145" s="84">
        <f t="shared" si="95"/>
        <v>4.4123830293483248</v>
      </c>
      <c r="J145" s="84">
        <f t="shared" si="95"/>
        <v>39.692970517610412</v>
      </c>
      <c r="K145" s="84" t="e">
        <f t="shared" si="95"/>
        <v>#DIV/0!</v>
      </c>
      <c r="L145" s="84">
        <f t="shared" si="95"/>
        <v>-1.3814251674921409</v>
      </c>
      <c r="M145" s="84">
        <f t="shared" si="95"/>
        <v>-0.48903111896184381</v>
      </c>
      <c r="N145" s="84">
        <f t="shared" si="95"/>
        <v>-0.25323914209596027</v>
      </c>
      <c r="O145" s="84">
        <f t="shared" si="95"/>
        <v>-0.32706972434387915</v>
      </c>
      <c r="P145" s="84">
        <f t="shared" si="95"/>
        <v>-1.2250474685461945E-2</v>
      </c>
      <c r="Q145" s="84">
        <f t="shared" si="95"/>
        <v>0.10507096567698593</v>
      </c>
      <c r="R145" s="84">
        <f t="shared" si="95"/>
        <v>0.12116602937601825</v>
      </c>
      <c r="S145" s="84">
        <f t="shared" si="95"/>
        <v>0.15199365094150702</v>
      </c>
      <c r="T145" s="84">
        <f t="shared" si="95"/>
        <v>0.17494155175254966</v>
      </c>
      <c r="U145" s="84">
        <f t="shared" si="95"/>
        <v>0.18911631857029315</v>
      </c>
      <c r="V145" s="84">
        <f t="shared" si="95"/>
        <v>0.20252607618817789</v>
      </c>
      <c r="W145" s="84"/>
      <c r="X145" s="486"/>
      <c r="Y145" s="471"/>
      <c r="Z145" s="471"/>
      <c r="AA145" s="471"/>
    </row>
    <row r="146" spans="1:27" outlineLevel="1">
      <c r="A146" s="54" t="s">
        <v>92</v>
      </c>
      <c r="B146" s="54"/>
      <c r="C146" s="54"/>
      <c r="D146" s="54"/>
      <c r="E146" s="54"/>
      <c r="F146" s="54"/>
      <c r="G146" s="84">
        <f t="shared" ref="G146:V146" si="96">G96/G72</f>
        <v>0.56712708365473263</v>
      </c>
      <c r="H146" s="84">
        <f t="shared" si="96"/>
        <v>0.50958335864549753</v>
      </c>
      <c r="I146" s="84">
        <f t="shared" si="96"/>
        <v>0.55211432351904366</v>
      </c>
      <c r="J146" s="84">
        <f t="shared" si="96"/>
        <v>0.56807424222039793</v>
      </c>
      <c r="K146" s="84">
        <f t="shared" si="96"/>
        <v>0.5908875642779019</v>
      </c>
      <c r="L146" s="84">
        <f t="shared" si="96"/>
        <v>0.58793179772046666</v>
      </c>
      <c r="M146" s="84">
        <f t="shared" si="96"/>
        <v>0.61716652669954852</v>
      </c>
      <c r="N146" s="84">
        <f t="shared" si="96"/>
        <v>0.61461598668486228</v>
      </c>
      <c r="O146" s="84">
        <f t="shared" si="96"/>
        <v>0.60851333485604542</v>
      </c>
      <c r="P146" s="84">
        <f t="shared" si="96"/>
        <v>0.60919199979221506</v>
      </c>
      <c r="Q146" s="84">
        <f t="shared" si="96"/>
        <v>0.60982656651734279</v>
      </c>
      <c r="R146" s="84">
        <f t="shared" si="96"/>
        <v>0.61041990043984096</v>
      </c>
      <c r="S146" s="84">
        <f t="shared" si="96"/>
        <v>0.61097468077994799</v>
      </c>
      <c r="T146" s="84">
        <f t="shared" si="96"/>
        <v>0.61149341266784241</v>
      </c>
      <c r="U146" s="84">
        <f t="shared" si="96"/>
        <v>0.61197843845564603</v>
      </c>
      <c r="V146" s="84">
        <f t="shared" si="96"/>
        <v>0.6124319482943984</v>
      </c>
      <c r="W146" s="84"/>
      <c r="X146" s="486"/>
      <c r="Y146" s="471"/>
      <c r="Z146" s="471"/>
      <c r="AA146" s="471"/>
    </row>
    <row r="147" spans="1:27" ht="15.75" outlineLevel="1" thickBot="1">
      <c r="A147" s="59" t="s">
        <v>88</v>
      </c>
      <c r="B147" s="54"/>
      <c r="C147" s="54"/>
      <c r="D147" s="54"/>
      <c r="E147" s="54"/>
      <c r="F147" s="54"/>
      <c r="G147" s="85">
        <f t="shared" ref="G147:V147" si="97">G97/G73</f>
        <v>0.52328255011423896</v>
      </c>
      <c r="H147" s="85">
        <f t="shared" si="97"/>
        <v>0.52561514175552038</v>
      </c>
      <c r="I147" s="85">
        <f t="shared" si="97"/>
        <v>0.4948771549912882</v>
      </c>
      <c r="J147" s="85">
        <f t="shared" si="97"/>
        <v>0.50545318991001809</v>
      </c>
      <c r="K147" s="85">
        <f t="shared" si="97"/>
        <v>0.4922717353022919</v>
      </c>
      <c r="L147" s="85">
        <f t="shared" si="97"/>
        <v>0.41623295297375862</v>
      </c>
      <c r="M147" s="85">
        <f t="shared" si="97"/>
        <v>0.33065576653594675</v>
      </c>
      <c r="N147" s="85">
        <f t="shared" si="97"/>
        <v>0.41422923904123099</v>
      </c>
      <c r="O147" s="85">
        <f t="shared" si="97"/>
        <v>0.37338526153399709</v>
      </c>
      <c r="P147" s="85">
        <f t="shared" si="97"/>
        <v>0.33364236698498034</v>
      </c>
      <c r="Q147" s="85">
        <f t="shared" si="97"/>
        <v>0.35281974738127275</v>
      </c>
      <c r="R147" s="85">
        <f t="shared" si="97"/>
        <v>0.29217381177543694</v>
      </c>
      <c r="S147" s="85">
        <f t="shared" si="97"/>
        <v>0.2688755690747478</v>
      </c>
      <c r="T147" s="85">
        <f t="shared" si="97"/>
        <v>0.27958970017732615</v>
      </c>
      <c r="U147" s="85">
        <f t="shared" si="97"/>
        <v>0.28550619362028012</v>
      </c>
      <c r="V147" s="85">
        <f t="shared" si="97"/>
        <v>0.2902422580320565</v>
      </c>
      <c r="W147" s="86"/>
      <c r="X147" s="486"/>
      <c r="Y147" s="471"/>
      <c r="Z147" s="471"/>
      <c r="AA147" s="471"/>
    </row>
    <row r="148" spans="1:27" outlineLevel="1">
      <c r="X148" s="472"/>
      <c r="Y148" s="473"/>
      <c r="Z148" s="473"/>
      <c r="AA148" s="473"/>
    </row>
    <row r="149" spans="1:27">
      <c r="A149" s="59" t="s">
        <v>1292</v>
      </c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429" t="s">
        <v>78</v>
      </c>
      <c r="P149" s="54"/>
      <c r="Q149" s="54"/>
      <c r="R149" s="54"/>
      <c r="S149" s="54"/>
      <c r="T149" s="54"/>
      <c r="U149" s="54"/>
      <c r="V149" s="54"/>
      <c r="W149" s="54"/>
      <c r="X149" s="486"/>
      <c r="Y149" s="471"/>
      <c r="Z149" s="471"/>
      <c r="AA149" s="471"/>
    </row>
    <row r="150" spans="1:27">
      <c r="A150" s="54" t="s">
        <v>102</v>
      </c>
      <c r="B150" s="54"/>
      <c r="C150" s="54"/>
      <c r="D150" s="54"/>
      <c r="E150" s="54"/>
      <c r="F150" s="1318">
        <v>0.05</v>
      </c>
      <c r="G150" s="68">
        <f>34222033-3817937-G216</f>
        <v>28489950</v>
      </c>
      <c r="H150" s="68">
        <f>28954448-H216</f>
        <v>26309440</v>
      </c>
      <c r="I150" s="68">
        <f>38642990</f>
        <v>38642990</v>
      </c>
      <c r="J150" s="68">
        <v>47812794.860000007</v>
      </c>
      <c r="K150" s="68">
        <v>49038065.059999995</v>
      </c>
      <c r="L150" s="68">
        <f>'Core Opex Proj.'!F144-L185</f>
        <v>52623056.860000007</v>
      </c>
      <c r="M150" s="68">
        <f>'Core Opex Proj.'!G144-M185</f>
        <v>41358112.242049545</v>
      </c>
      <c r="N150" s="68">
        <f>'Core Opex Proj.'!H144-N185</f>
        <v>39583477.759999998</v>
      </c>
      <c r="O150" s="68">
        <f>'Core Opex Proj.'!I144-O185</f>
        <v>43310307.814369313</v>
      </c>
      <c r="P150" s="68">
        <f>'Core Opex Proj.'!J144-P185</f>
        <v>53435440.756666668</v>
      </c>
      <c r="Q150" s="68">
        <f>'Core Opex Proj.'!K144-Q185</f>
        <v>54863195.751366667</v>
      </c>
      <c r="R150" s="68">
        <f>'Core Opex Proj.'!L144-R185</f>
        <v>56092426.128667668</v>
      </c>
      <c r="S150" s="68">
        <f>'Core Opex Proj.'!M144-S185</f>
        <v>57710438.672527701</v>
      </c>
      <c r="T150" s="68">
        <f>'Core Opex Proj.'!N144-T185</f>
        <v>59376991.832703531</v>
      </c>
      <c r="U150" s="68">
        <f>'Core Opex Proj.'!O144-U185</f>
        <v>61093542.157684632</v>
      </c>
      <c r="V150" s="68">
        <f>'Core Opex Proj.'!P144-V185</f>
        <v>62861587.482415177</v>
      </c>
      <c r="W150" s="149">
        <f>(V150/O150)^(1/7)-1</f>
        <v>5.4662341669361902E-2</v>
      </c>
      <c r="X150" s="486"/>
      <c r="Y150" s="471"/>
      <c r="Z150" s="471"/>
      <c r="AA150" s="471"/>
    </row>
    <row r="151" spans="1:27">
      <c r="A151" s="54" t="s">
        <v>103</v>
      </c>
      <c r="B151" s="54"/>
      <c r="C151" s="54"/>
      <c r="D151" s="54"/>
      <c r="E151" s="54"/>
      <c r="F151" s="62">
        <v>0.02</v>
      </c>
      <c r="G151" s="68"/>
      <c r="H151" s="68">
        <v>2112001</v>
      </c>
      <c r="I151" s="68">
        <v>2508646</v>
      </c>
      <c r="J151" s="68">
        <v>2359945.5700000003</v>
      </c>
      <c r="K151" s="68">
        <v>1418212.3799999997</v>
      </c>
      <c r="L151" s="68">
        <f>'Core Opex Proj.'!F145</f>
        <v>1542845.28</v>
      </c>
      <c r="M151" s="68">
        <f>'Core Opex Proj.'!G145</f>
        <v>1277609.7335837057</v>
      </c>
      <c r="N151" s="68">
        <f>'Core Opex Proj.'!H145</f>
        <v>1236158.33</v>
      </c>
      <c r="O151" s="54">
        <f>'Core Opex Proj.'!I145</f>
        <v>1349951.2404999998</v>
      </c>
      <c r="P151" s="54">
        <f>'Core Opex Proj.'!J145</f>
        <v>1648032.12</v>
      </c>
      <c r="Q151" s="54">
        <f>'Core Opex Proj.'!K145</f>
        <v>1658258.6778499999</v>
      </c>
      <c r="R151" s="54">
        <f>'Core Opex Proj.'!L145</f>
        <v>1662117.4909659999</v>
      </c>
      <c r="S151" s="54">
        <f>'Core Opex Proj.'!M145</f>
        <v>1679888.5882949799</v>
      </c>
      <c r="T151" s="54">
        <f>'Core Opex Proj.'!N145</f>
        <v>1696319.3149438296</v>
      </c>
      <c r="U151" s="54">
        <f>'Core Opex Proj.'!O145</f>
        <v>1711528.0115921446</v>
      </c>
      <c r="V151" s="54">
        <f>'Core Opex Proj.'!P145</f>
        <v>1726057.3500399087</v>
      </c>
      <c r="W151" s="54"/>
      <c r="X151" s="486"/>
      <c r="Y151" s="471"/>
      <c r="Z151" s="471"/>
      <c r="AA151" s="471"/>
    </row>
    <row r="152" spans="1:27">
      <c r="A152" s="54" t="s">
        <v>104</v>
      </c>
      <c r="B152" s="54"/>
      <c r="C152" s="54"/>
      <c r="D152" s="54"/>
      <c r="E152" s="54"/>
      <c r="F152" s="62">
        <v>0.04</v>
      </c>
      <c r="G152" s="68"/>
      <c r="H152" s="68">
        <v>5894453</v>
      </c>
      <c r="I152" s="68">
        <f>7281585-1228268</f>
        <v>6053317</v>
      </c>
      <c r="J152" s="68">
        <v>7427115.96</v>
      </c>
      <c r="K152" s="68">
        <v>7879048</v>
      </c>
      <c r="L152" s="68">
        <f>'Core Opex Proj.'!F146</f>
        <v>3710159.4200000009</v>
      </c>
      <c r="M152" s="68">
        <f>'Core Opex Proj.'!G146</f>
        <v>1594388</v>
      </c>
      <c r="N152" s="68">
        <f>'Core Opex Proj.'!H146</f>
        <v>3188775.9600000004</v>
      </c>
      <c r="O152" s="54">
        <f>'Core Opex Proj.'!I146</f>
        <v>6190296</v>
      </c>
      <c r="P152" s="54">
        <f>'Core Opex Proj.'!J146</f>
        <v>7000000</v>
      </c>
      <c r="Q152" s="54">
        <f>'Core Opex Proj.'!K146</f>
        <v>7500000</v>
      </c>
      <c r="R152" s="54">
        <f>'Core Opex Proj.'!L146</f>
        <v>7779661.1999999993</v>
      </c>
      <c r="S152" s="54">
        <f>'Core Opex Proj.'!M146</f>
        <v>8004105</v>
      </c>
      <c r="T152" s="54">
        <f>'Core Opex Proj.'!N146</f>
        <v>8235282.1499999994</v>
      </c>
      <c r="U152" s="54">
        <f>'Core Opex Proj.'!O146</f>
        <v>8473394.6999999993</v>
      </c>
      <c r="V152" s="54">
        <f>'Core Opex Proj.'!P146</f>
        <v>8718650.4000000004</v>
      </c>
      <c r="W152" s="54"/>
      <c r="X152" s="486"/>
      <c r="Y152" s="471"/>
      <c r="Z152" s="471"/>
      <c r="AA152" s="471"/>
    </row>
    <row r="153" spans="1:27">
      <c r="A153" s="54" t="s">
        <v>105</v>
      </c>
      <c r="B153" s="54"/>
      <c r="C153" s="54"/>
      <c r="D153" s="54"/>
      <c r="E153" s="54"/>
      <c r="F153" s="62">
        <v>0.05</v>
      </c>
      <c r="G153" s="68">
        <v>7321409</v>
      </c>
      <c r="H153" s="68">
        <v>6665362</v>
      </c>
      <c r="I153" s="68">
        <f>5258646+1636936</f>
        <v>6895582</v>
      </c>
      <c r="J153" s="68">
        <v>6722786.75</v>
      </c>
      <c r="K153" s="68">
        <v>6887996.0300000003</v>
      </c>
      <c r="L153" s="68">
        <f>'Core Opex Proj.'!F147</f>
        <v>6898236.0999999996</v>
      </c>
      <c r="M153" s="68">
        <f>'Core Opex Proj.'!G147</f>
        <v>7054168.5199999996</v>
      </c>
      <c r="N153" s="68">
        <f>'Core Opex Proj.'!H147</f>
        <v>7025439</v>
      </c>
      <c r="O153" s="54">
        <f>'Core Opex Proj.'!I147</f>
        <v>7024884</v>
      </c>
      <c r="P153" s="54">
        <f>'Core Opex Proj.'!J147</f>
        <v>7376128.2000000002</v>
      </c>
      <c r="Q153" s="54">
        <f>'Core Opex Proj.'!K147</f>
        <v>7744934.6100000003</v>
      </c>
      <c r="R153" s="54">
        <f>'Core Opex Proj.'!L147</f>
        <v>8132181.3405000009</v>
      </c>
      <c r="S153" s="54">
        <f>'Core Opex Proj.'!M147</f>
        <v>8538790.4075250011</v>
      </c>
      <c r="T153" s="54">
        <f>'Core Opex Proj.'!N147</f>
        <v>8965729.9279012512</v>
      </c>
      <c r="U153" s="54">
        <f>'Core Opex Proj.'!O147</f>
        <v>9414016.4242963139</v>
      </c>
      <c r="V153" s="54">
        <f>'Core Opex Proj.'!P147</f>
        <v>9884717.2455111295</v>
      </c>
      <c r="W153" s="54"/>
      <c r="X153" s="486"/>
      <c r="Y153" s="471"/>
      <c r="Z153" s="471"/>
      <c r="AA153" s="471"/>
    </row>
    <row r="154" spans="1:27">
      <c r="A154" s="54" t="s">
        <v>106</v>
      </c>
      <c r="B154" s="54"/>
      <c r="C154" s="54"/>
      <c r="D154" s="54"/>
      <c r="E154" s="54"/>
      <c r="F154" s="62">
        <v>0.05</v>
      </c>
      <c r="G154" s="68">
        <f>10305009-SUM(G218:G221)</f>
        <v>7780184.3300000001</v>
      </c>
      <c r="H154" s="68">
        <f>13886397+806544-H218-H219-H220-H221</f>
        <v>12202692</v>
      </c>
      <c r="I154" s="68">
        <f>11477422+642708</f>
        <v>12120130</v>
      </c>
      <c r="J154" s="68">
        <v>12492559.640000002</v>
      </c>
      <c r="K154" s="68">
        <v>12829456.390000001</v>
      </c>
      <c r="L154" s="68">
        <f>'Core Opex Proj.'!F148</f>
        <v>14439974.510000002</v>
      </c>
      <c r="M154" s="68">
        <f>'Core Opex Proj.'!G148</f>
        <v>8829997.8800000008</v>
      </c>
      <c r="N154" s="68">
        <f>'Core Opex Proj.'!H148</f>
        <v>4051180.4299999997</v>
      </c>
      <c r="O154" s="54">
        <f>'Core Opex Proj.'!I148</f>
        <v>5126260</v>
      </c>
      <c r="P154" s="54">
        <f>'Core Opex Proj.'!J148</f>
        <v>3637837</v>
      </c>
      <c r="Q154" s="54">
        <f>'Core Opex Proj.'!K148</f>
        <v>3819728.85</v>
      </c>
      <c r="R154" s="54">
        <f>'Core Opex Proj.'!L148</f>
        <v>4010715.2925</v>
      </c>
      <c r="S154" s="54">
        <f>'Core Opex Proj.'!M148</f>
        <v>4211251.0571250003</v>
      </c>
      <c r="T154" s="54">
        <f>'Core Opex Proj.'!N148</f>
        <v>4421813.60998125</v>
      </c>
      <c r="U154" s="54">
        <f>'Core Opex Proj.'!O148</f>
        <v>4642904.2904803129</v>
      </c>
      <c r="V154" s="54">
        <f>'Core Opex Proj.'!P148</f>
        <v>4875049.5050043287</v>
      </c>
      <c r="W154" s="54"/>
      <c r="X154" s="486"/>
      <c r="Y154" s="471"/>
      <c r="Z154" s="471"/>
      <c r="AA154" s="471"/>
    </row>
    <row r="155" spans="1:27" s="220" customFormat="1">
      <c r="A155" s="54" t="s">
        <v>1303</v>
      </c>
      <c r="B155" s="54"/>
      <c r="C155" s="54"/>
      <c r="D155" s="54"/>
      <c r="E155" s="54"/>
      <c r="F155" s="62"/>
      <c r="G155" s="68"/>
      <c r="H155" s="68"/>
      <c r="I155" s="68"/>
      <c r="J155" s="68"/>
      <c r="K155" s="68"/>
      <c r="L155" s="68">
        <f>'Core Opex Proj.'!F149</f>
        <v>1644590.4000000004</v>
      </c>
      <c r="M155" s="68">
        <f>'Core Opex Proj.'!G149</f>
        <v>1411335.8499999996</v>
      </c>
      <c r="N155" s="68">
        <f>'Core Opex Proj.'!H149</f>
        <v>1300215.1100000001</v>
      </c>
      <c r="O155" s="68">
        <f>'Core Opex Proj.'!I149</f>
        <v>4375116</v>
      </c>
      <c r="P155" s="68">
        <f>'Core Opex Proj.'!J149</f>
        <v>4593871.8</v>
      </c>
      <c r="Q155" s="68">
        <f>'Core Opex Proj.'!K149</f>
        <v>4823565.3899999997</v>
      </c>
      <c r="R155" s="68">
        <f>'Core Opex Proj.'!L149</f>
        <v>5064743.6595000001</v>
      </c>
      <c r="S155" s="68">
        <f>'Core Opex Proj.'!M149</f>
        <v>5317980.8424750008</v>
      </c>
      <c r="T155" s="68">
        <f>'Core Opex Proj.'!N149</f>
        <v>5583879.8845987506</v>
      </c>
      <c r="U155" s="68">
        <f>'Core Opex Proj.'!O149</f>
        <v>5863073.8788286885</v>
      </c>
      <c r="V155" s="68">
        <f>'Core Opex Proj.'!P149</f>
        <v>6156227.5727701234</v>
      </c>
      <c r="W155" s="54"/>
      <c r="X155" s="486"/>
      <c r="Y155" s="471"/>
      <c r="Z155" s="471"/>
      <c r="AA155" s="471"/>
    </row>
    <row r="156" spans="1:27" s="220" customFormat="1">
      <c r="A156" s="54" t="s">
        <v>126</v>
      </c>
      <c r="B156" s="54"/>
      <c r="C156" s="54"/>
      <c r="D156" s="54"/>
      <c r="E156" s="54"/>
      <c r="F156" s="62"/>
      <c r="G156" s="68"/>
      <c r="H156" s="68"/>
      <c r="I156" s="68"/>
      <c r="J156" s="68"/>
      <c r="K156" s="68"/>
      <c r="L156" s="68">
        <f>'Core Opex Proj.'!F150</f>
        <v>2953491.8000000003</v>
      </c>
      <c r="M156" s="68">
        <f>'Core Opex Proj.'!G150</f>
        <v>2545958.13</v>
      </c>
      <c r="N156" s="68">
        <f>'Core Opex Proj.'!H150</f>
        <v>2612221.88</v>
      </c>
      <c r="O156" s="68">
        <f>'Core Opex Proj.'!I150</f>
        <v>3994037.92</v>
      </c>
      <c r="P156" s="68">
        <f>'Core Opex Proj.'!J150</f>
        <v>4193739.8160000001</v>
      </c>
      <c r="Q156" s="68">
        <f>'Core Opex Proj.'!K150</f>
        <v>4403426.8068000004</v>
      </c>
      <c r="R156" s="68">
        <f>'Core Opex Proj.'!L150</f>
        <v>4623598.1471400009</v>
      </c>
      <c r="S156" s="68">
        <f>'Core Opex Proj.'!M150</f>
        <v>4854778.0544970008</v>
      </c>
      <c r="T156" s="68">
        <f>'Core Opex Proj.'!N150</f>
        <v>5097516.9572218508</v>
      </c>
      <c r="U156" s="68">
        <f>'Core Opex Proj.'!O150</f>
        <v>5352392.8050829433</v>
      </c>
      <c r="V156" s="68">
        <f>'Core Opex Proj.'!P150</f>
        <v>5620012.4453370906</v>
      </c>
      <c r="W156" s="54"/>
      <c r="X156" s="486"/>
      <c r="Y156" s="471"/>
      <c r="Z156" s="471"/>
      <c r="AA156" s="471"/>
    </row>
    <row r="157" spans="1:27">
      <c r="A157" s="54" t="s">
        <v>107</v>
      </c>
      <c r="B157" s="54"/>
      <c r="C157" s="54"/>
      <c r="D157" s="54"/>
      <c r="E157" s="54"/>
      <c r="F157" s="62">
        <v>0.04</v>
      </c>
      <c r="G157" s="68">
        <f>10448870-G217-G222-G231-G232</f>
        <v>4587879.7899999991</v>
      </c>
      <c r="H157" s="68">
        <f>6864430+2884014-H217-H222-H231-H232</f>
        <v>3543610</v>
      </c>
      <c r="I157" s="68">
        <f>502961+46375+1014894</f>
        <v>1564230</v>
      </c>
      <c r="J157" s="68">
        <v>763863.3</v>
      </c>
      <c r="K157" s="68">
        <v>869389.6100000001</v>
      </c>
      <c r="L157" s="68">
        <f>'Core Opex Proj.'!F151</f>
        <v>99550.25</v>
      </c>
      <c r="M157" s="68">
        <f>'Core Opex Proj.'!G151</f>
        <v>1158916.28</v>
      </c>
      <c r="N157" s="68">
        <f>'Core Opex Proj.'!H151</f>
        <v>783037.52999999991</v>
      </c>
      <c r="O157" s="54">
        <f>'Core Opex Proj.'!I151</f>
        <v>13442183.59</v>
      </c>
      <c r="P157" s="54">
        <f>'Core Opex Proj.'!J151</f>
        <v>10176250</v>
      </c>
      <c r="Q157" s="54">
        <f>'Core Opex Proj.'!K151</f>
        <v>6835062.5</v>
      </c>
      <c r="R157" s="54">
        <f>'Core Opex Proj.'!L151</f>
        <v>4175000</v>
      </c>
      <c r="S157" s="54">
        <f>'Core Opex Proj.'!M151</f>
        <v>4383750</v>
      </c>
      <c r="T157" s="54">
        <f>'Core Opex Proj.'!N151</f>
        <v>4602937.5</v>
      </c>
      <c r="U157" s="54">
        <f>'Core Opex Proj.'!O151</f>
        <v>4833084.375</v>
      </c>
      <c r="V157" s="54">
        <f>'Core Opex Proj.'!P151</f>
        <v>5074738.59375</v>
      </c>
      <c r="W157" s="54"/>
      <c r="X157" s="486"/>
      <c r="Y157" s="471"/>
      <c r="Z157" s="471"/>
      <c r="AA157" s="471"/>
    </row>
    <row r="158" spans="1:27">
      <c r="A158" s="54" t="s">
        <v>108</v>
      </c>
      <c r="B158" s="54"/>
      <c r="C158" s="54"/>
      <c r="D158" s="54"/>
      <c r="E158" s="54"/>
      <c r="F158" s="54"/>
      <c r="G158" s="54">
        <v>2322186.89</v>
      </c>
      <c r="H158" s="68">
        <v>3024820</v>
      </c>
      <c r="I158" s="68">
        <v>3830410</v>
      </c>
      <c r="J158" s="68">
        <v>5729272.4600000009</v>
      </c>
      <c r="K158" s="68">
        <v>5874073.9800000004</v>
      </c>
      <c r="L158" s="68">
        <f>'Core Opex Proj.'!F152</f>
        <v>9384702.4600000009</v>
      </c>
      <c r="M158" s="68">
        <f>'Core Opex Proj.'!G152</f>
        <v>9822016.1733333319</v>
      </c>
      <c r="N158" s="68">
        <f>'Core Opex Proj.'!H152</f>
        <v>9348782.6099999994</v>
      </c>
      <c r="O158" s="54">
        <f>'Core Opex Proj.'!I152</f>
        <v>24687787.489999998</v>
      </c>
      <c r="P158" s="54">
        <f>'Core Opex Proj.'!J152</f>
        <v>24687787.489999998</v>
      </c>
      <c r="Q158" s="54">
        <f>'Core Opex Proj.'!K152</f>
        <v>24687787.489999998</v>
      </c>
      <c r="R158" s="54">
        <f>'Core Opex Proj.'!L152</f>
        <v>24687787.489999998</v>
      </c>
      <c r="S158" s="54">
        <f>'Core Opex Proj.'!M152</f>
        <v>24687787.489999998</v>
      </c>
      <c r="T158" s="54">
        <f>'Core Opex Proj.'!N152</f>
        <v>24687787.489999998</v>
      </c>
      <c r="U158" s="54">
        <f>'Core Opex Proj.'!O152</f>
        <v>24687787.489999998</v>
      </c>
      <c r="V158" s="54">
        <f>'Core Opex Proj.'!P152</f>
        <v>24687787.489999998</v>
      </c>
      <c r="W158" s="54"/>
      <c r="X158" s="486"/>
      <c r="Y158" s="471"/>
      <c r="Z158" s="471"/>
      <c r="AA158" s="471"/>
    </row>
    <row r="159" spans="1:27" s="220" customFormat="1">
      <c r="A159" s="329" t="s">
        <v>1676</v>
      </c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>
        <f>'Core Opex Proj.'!H153</f>
        <v>0</v>
      </c>
      <c r="O159" s="54">
        <f>'Core Opex Proj.'!I153</f>
        <v>29368342.810333572</v>
      </c>
      <c r="P159" s="54">
        <f>'Core Opex Proj.'!J153</f>
        <v>35075474.028347671</v>
      </c>
      <c r="Q159" s="54">
        <f>'Core Opex Proj.'!K153</f>
        <v>36112220.661623605</v>
      </c>
      <c r="R159" s="54">
        <f>'Core Opex Proj.'!L153</f>
        <v>7386108.4030528627</v>
      </c>
      <c r="S159" s="54">
        <f>'Core Opex Proj.'!M153</f>
        <v>0</v>
      </c>
      <c r="T159" s="54">
        <f>'Core Opex Proj.'!N153</f>
        <v>0</v>
      </c>
      <c r="U159" s="54">
        <f>'Core Opex Proj.'!O153</f>
        <v>0</v>
      </c>
      <c r="V159" s="54">
        <f>'Core Opex Proj.'!P153</f>
        <v>0</v>
      </c>
      <c r="W159" s="54"/>
      <c r="X159" s="486"/>
      <c r="Y159" s="471"/>
      <c r="Z159" s="471"/>
      <c r="AA159" s="471"/>
    </row>
    <row r="160" spans="1:27" s="220" customFormat="1">
      <c r="A160" s="329" t="s">
        <v>1779</v>
      </c>
      <c r="B160" s="54"/>
      <c r="C160" s="54"/>
      <c r="D160" s="54"/>
      <c r="E160" s="54"/>
      <c r="F160" s="54"/>
      <c r="G160" s="54"/>
      <c r="H160" s="68"/>
      <c r="I160" s="68"/>
      <c r="J160" s="68"/>
      <c r="K160" s="68"/>
      <c r="L160" s="68">
        <f>'Core Opex Proj.'!F154</f>
        <v>0</v>
      </c>
      <c r="M160" s="68">
        <f>'Core Opex Proj.'!G154</f>
        <v>0</v>
      </c>
      <c r="N160" s="68">
        <f>'Core Opex Proj.'!H154</f>
        <v>0</v>
      </c>
      <c r="O160" s="54">
        <f>'Core Opex Proj.'!I154</f>
        <v>59874633.760387592</v>
      </c>
      <c r="P160" s="54">
        <f>'Core Opex Proj.'!J154</f>
        <v>64227940.344371438</v>
      </c>
      <c r="Q160" s="54">
        <f>'Core Opex Proj.'!K154</f>
        <v>59078924.463697962</v>
      </c>
      <c r="R160" s="54">
        <f>'Core Opex Proj.'!L154</f>
        <v>10674775.955813691</v>
      </c>
      <c r="S160" s="54">
        <f>'Core Opex Proj.'!M154</f>
        <v>0</v>
      </c>
      <c r="T160" s="54">
        <f>'Core Opex Proj.'!N154</f>
        <v>0</v>
      </c>
      <c r="U160" s="54">
        <f>'Core Opex Proj.'!O154</f>
        <v>0</v>
      </c>
      <c r="V160" s="54">
        <f>'Core Opex Proj.'!P154</f>
        <v>0</v>
      </c>
      <c r="W160" s="54"/>
      <c r="X160" s="486"/>
      <c r="Y160" s="471"/>
      <c r="Z160" s="471"/>
      <c r="AA160" s="471"/>
    </row>
    <row r="161" spans="1:27" s="220" customFormat="1">
      <c r="A161" s="329" t="s">
        <v>1747</v>
      </c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>
        <f>'Core Opex Proj.'!H155</f>
        <v>0</v>
      </c>
      <c r="O161" s="54">
        <f>'Core Opex Proj.'!I155</f>
        <v>18587254.847209089</v>
      </c>
      <c r="P161" s="54">
        <f>'Core Opex Proj.'!J155</f>
        <v>13716881.207097314</v>
      </c>
      <c r="Q161" s="54">
        <f>'Core Opex Proj.'!K155</f>
        <v>3075283.7223858349</v>
      </c>
      <c r="R161" s="54">
        <f>'Core Opex Proj.'!L155</f>
        <v>0</v>
      </c>
      <c r="S161" s="54">
        <f>'Core Opex Proj.'!M155</f>
        <v>0</v>
      </c>
      <c r="T161" s="54">
        <f>'Core Opex Proj.'!N155</f>
        <v>0</v>
      </c>
      <c r="U161" s="54">
        <f>'Core Opex Proj.'!O155</f>
        <v>0</v>
      </c>
      <c r="V161" s="54">
        <f>'Core Opex Proj.'!P155</f>
        <v>0</v>
      </c>
      <c r="W161" s="54"/>
      <c r="X161" s="486"/>
      <c r="Y161" s="471"/>
      <c r="Z161" s="471"/>
      <c r="AA161" s="471"/>
    </row>
    <row r="162" spans="1:27" s="220" customFormat="1">
      <c r="A162" s="329" t="s">
        <v>1847</v>
      </c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>
        <f>'Core Opex Proj.'!H156</f>
        <v>0</v>
      </c>
      <c r="O162" s="54">
        <f>'Core Opex Proj.'!I156</f>
        <v>18812945.619116001</v>
      </c>
      <c r="P162" s="54">
        <f>'Core Opex Proj.'!J156</f>
        <v>11111224.447597999</v>
      </c>
      <c r="Q162" s="54">
        <f>'Core Opex Proj.'!K156</f>
        <v>2443284.7205535993</v>
      </c>
      <c r="R162" s="54">
        <f>'Core Opex Proj.'!L156</f>
        <v>0</v>
      </c>
      <c r="S162" s="54">
        <f>'Core Opex Proj.'!M156</f>
        <v>0</v>
      </c>
      <c r="T162" s="54">
        <f>'Core Opex Proj.'!N156</f>
        <v>0</v>
      </c>
      <c r="U162" s="54">
        <f>'Core Opex Proj.'!O156</f>
        <v>0</v>
      </c>
      <c r="V162" s="54">
        <f>'Core Opex Proj.'!P156</f>
        <v>0</v>
      </c>
      <c r="W162" s="54"/>
      <c r="X162" s="486"/>
      <c r="Y162" s="471"/>
      <c r="Z162" s="471"/>
      <c r="AA162" s="471"/>
    </row>
    <row r="163" spans="1:27" s="220" customFormat="1">
      <c r="A163" s="329" t="s">
        <v>1315</v>
      </c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>
        <f>'Core Opex Proj.'!H157+'Non-Core Opex Proj.'!H161</f>
        <v>1948970.54</v>
      </c>
      <c r="O163" s="54">
        <f>'Core Opex Proj.'!I157</f>
        <v>11163722.732315069</v>
      </c>
      <c r="P163" s="54">
        <f>'Core Opex Proj.'!J157</f>
        <v>14281796.571352741</v>
      </c>
      <c r="Q163" s="54">
        <f>'Core Opex Proj.'!K157</f>
        <v>7846421.4940068489</v>
      </c>
      <c r="R163" s="54">
        <f>'Core Opex Proj.'!L157</f>
        <v>1486239.6041609589</v>
      </c>
      <c r="S163" s="54">
        <f>'Core Opex Proj.'!M157</f>
        <v>97224.322191780826</v>
      </c>
      <c r="T163" s="54">
        <f>'Core Opex Proj.'!N157</f>
        <v>14767.683287671234</v>
      </c>
      <c r="U163" s="54">
        <f>'Core Opex Proj.'!O157</f>
        <v>0</v>
      </c>
      <c r="V163" s="54">
        <f>'Core Opex Proj.'!P157</f>
        <v>0</v>
      </c>
      <c r="W163" s="54"/>
      <c r="X163" s="486"/>
      <c r="Y163" s="471"/>
      <c r="Z163" s="471"/>
      <c r="AA163" s="471"/>
    </row>
    <row r="164" spans="1:27" s="220" customFormat="1">
      <c r="A164" s="54" t="s">
        <v>796</v>
      </c>
      <c r="B164" s="54"/>
      <c r="C164" s="54"/>
      <c r="D164" s="54"/>
      <c r="E164" s="54"/>
      <c r="F164" s="54"/>
      <c r="G164" s="54"/>
      <c r="H164" s="68"/>
      <c r="I164" s="68"/>
      <c r="J164" s="68"/>
      <c r="K164" s="68"/>
      <c r="L164" s="68">
        <f>'Core Opex Proj.'!F158</f>
        <v>-6439312</v>
      </c>
      <c r="M164" s="68">
        <f>'Core Opex Proj.'!G158</f>
        <v>0</v>
      </c>
      <c r="N164" s="68">
        <f>'Core Opex Proj.'!H158</f>
        <v>0</v>
      </c>
      <c r="O164" s="54"/>
      <c r="P164" s="54"/>
      <c r="Q164" s="54"/>
      <c r="R164" s="54"/>
      <c r="S164" s="54"/>
      <c r="T164" s="54"/>
      <c r="U164" s="54"/>
      <c r="V164" s="54"/>
      <c r="W164" s="54"/>
      <c r="X164" s="486"/>
      <c r="Y164" s="471"/>
      <c r="Z164" s="471"/>
      <c r="AA164" s="471"/>
    </row>
    <row r="165" spans="1:27" s="220" customFormat="1">
      <c r="A165" s="54" t="s">
        <v>719</v>
      </c>
      <c r="B165" s="54"/>
      <c r="C165" s="54"/>
      <c r="D165" s="54"/>
      <c r="E165" s="54"/>
      <c r="F165" s="54"/>
      <c r="G165" s="54"/>
      <c r="H165" s="68"/>
      <c r="I165" s="68"/>
      <c r="J165" s="68"/>
      <c r="K165" s="68"/>
      <c r="L165" s="68">
        <f>'Core Opex Proj.'!F159</f>
        <v>747602</v>
      </c>
      <c r="M165" s="68">
        <f>'Core Opex Proj.'!G159</f>
        <v>0</v>
      </c>
      <c r="N165" s="68">
        <f>'Core Opex Proj.'!H159</f>
        <v>0</v>
      </c>
      <c r="O165" s="54">
        <f>'Core Opex Proj.'!I159</f>
        <v>0</v>
      </c>
      <c r="P165" s="54">
        <f>'Core Opex Proj.'!J159</f>
        <v>0</v>
      </c>
      <c r="Q165" s="54">
        <f>'Core Opex Proj.'!K159</f>
        <v>0</v>
      </c>
      <c r="R165" s="54">
        <f>'Core Opex Proj.'!L159</f>
        <v>0</v>
      </c>
      <c r="S165" s="54">
        <f>'Core Opex Proj.'!M159</f>
        <v>0</v>
      </c>
      <c r="T165" s="54">
        <f>'Core Opex Proj.'!N159</f>
        <v>0</v>
      </c>
      <c r="U165" s="54">
        <f>'Core Opex Proj.'!O159</f>
        <v>0</v>
      </c>
      <c r="V165" s="54">
        <f>'Core Opex Proj.'!P159</f>
        <v>0</v>
      </c>
      <c r="W165" s="54"/>
      <c r="X165" s="486"/>
      <c r="Y165" s="471"/>
      <c r="Z165" s="471"/>
      <c r="AA165" s="471"/>
    </row>
    <row r="166" spans="1:27" s="220" customFormat="1">
      <c r="A166" s="54" t="s">
        <v>717</v>
      </c>
      <c r="B166" s="54"/>
      <c r="C166" s="54"/>
      <c r="D166" s="54"/>
      <c r="E166" s="54"/>
      <c r="F166" s="54"/>
      <c r="G166" s="54"/>
      <c r="H166" s="68"/>
      <c r="I166" s="68"/>
      <c r="J166" s="68"/>
      <c r="K166" s="68"/>
      <c r="L166" s="68">
        <f>'Core Opex Proj.'!F160</f>
        <v>3667589.04</v>
      </c>
      <c r="M166" s="68">
        <f>'Core Opex Proj.'!G160</f>
        <v>962000</v>
      </c>
      <c r="N166" s="68">
        <f>'Core Opex Proj.'!H160</f>
        <v>600000</v>
      </c>
      <c r="O166" s="54">
        <f>'Core Opex Proj.'!I160</f>
        <v>0</v>
      </c>
      <c r="P166" s="54">
        <f>'Core Opex Proj.'!J160</f>
        <v>0</v>
      </c>
      <c r="Q166" s="54">
        <f>'Core Opex Proj.'!K160</f>
        <v>0</v>
      </c>
      <c r="R166" s="54">
        <f>'Core Opex Proj.'!L160</f>
        <v>0</v>
      </c>
      <c r="S166" s="54">
        <f>'Core Opex Proj.'!M160</f>
        <v>0</v>
      </c>
      <c r="T166" s="54">
        <f>'Core Opex Proj.'!N160</f>
        <v>0</v>
      </c>
      <c r="U166" s="54">
        <f>'Core Opex Proj.'!O160</f>
        <v>0</v>
      </c>
      <c r="V166" s="54">
        <f>'Core Opex Proj.'!P160</f>
        <v>0</v>
      </c>
      <c r="W166" s="54"/>
      <c r="X166" s="486"/>
      <c r="Y166" s="471"/>
      <c r="Z166" s="471"/>
      <c r="AA166" s="471"/>
    </row>
    <row r="167" spans="1:27" s="220" customFormat="1">
      <c r="A167" s="54" t="s">
        <v>716</v>
      </c>
      <c r="B167" s="54"/>
      <c r="C167" s="54"/>
      <c r="D167" s="54"/>
      <c r="E167" s="54"/>
      <c r="F167" s="54"/>
      <c r="G167" s="54"/>
      <c r="H167" s="68"/>
      <c r="I167" s="68"/>
      <c r="J167" s="68"/>
      <c r="K167" s="68"/>
      <c r="L167" s="68">
        <f>'Core Opex Proj.'!F161</f>
        <v>2335191.7854545452</v>
      </c>
      <c r="M167" s="68">
        <f>'Core Opex Proj.'!G161</f>
        <v>2400000</v>
      </c>
      <c r="N167" s="68">
        <f>'Core Opex Proj.'!H161</f>
        <v>0</v>
      </c>
      <c r="O167" s="54">
        <f>'Core Opex Proj.'!I161</f>
        <v>0</v>
      </c>
      <c r="P167" s="54">
        <f>'Core Opex Proj.'!J161</f>
        <v>0</v>
      </c>
      <c r="Q167" s="54">
        <f>'Core Opex Proj.'!K161</f>
        <v>0</v>
      </c>
      <c r="R167" s="54">
        <f>'Core Opex Proj.'!L161</f>
        <v>0</v>
      </c>
      <c r="S167" s="54">
        <f>'Core Opex Proj.'!M161</f>
        <v>0</v>
      </c>
      <c r="T167" s="54">
        <f>'Core Opex Proj.'!N161</f>
        <v>0</v>
      </c>
      <c r="U167" s="54">
        <f>'Core Opex Proj.'!O161</f>
        <v>0</v>
      </c>
      <c r="V167" s="54">
        <f>'Core Opex Proj.'!P161</f>
        <v>0</v>
      </c>
      <c r="W167" s="54"/>
      <c r="X167" s="486"/>
      <c r="Y167" s="471"/>
      <c r="Z167" s="471"/>
      <c r="AA167" s="471"/>
    </row>
    <row r="168" spans="1:27" s="220" customFormat="1">
      <c r="A168" s="54" t="s">
        <v>718</v>
      </c>
      <c r="B168" s="54"/>
      <c r="C168" s="54"/>
      <c r="D168" s="54"/>
      <c r="E168" s="54"/>
      <c r="F168" s="54"/>
      <c r="G168" s="54"/>
      <c r="H168" s="68"/>
      <c r="I168" s="68"/>
      <c r="J168" s="68"/>
      <c r="K168" s="68"/>
      <c r="L168" s="68">
        <f>'Core Opex Proj.'!F162</f>
        <v>846970</v>
      </c>
      <c r="M168" s="68">
        <f>'Core Opex Proj.'!G162</f>
        <v>0</v>
      </c>
      <c r="N168" s="68">
        <f>'Core Opex Proj.'!H162</f>
        <v>0</v>
      </c>
      <c r="O168" s="54">
        <f>'Core Opex Proj.'!I162</f>
        <v>0</v>
      </c>
      <c r="P168" s="54">
        <f>'Core Opex Proj.'!J162</f>
        <v>0</v>
      </c>
      <c r="Q168" s="54">
        <f>'Core Opex Proj.'!K162</f>
        <v>0</v>
      </c>
      <c r="R168" s="54">
        <f>'Core Opex Proj.'!L162</f>
        <v>0</v>
      </c>
      <c r="S168" s="54">
        <f>'Core Opex Proj.'!M162</f>
        <v>0</v>
      </c>
      <c r="T168" s="54">
        <f>'Core Opex Proj.'!N162</f>
        <v>0</v>
      </c>
      <c r="U168" s="54">
        <f>'Core Opex Proj.'!O162</f>
        <v>0</v>
      </c>
      <c r="V168" s="54">
        <f>'Core Opex Proj.'!P162</f>
        <v>0</v>
      </c>
      <c r="W168" s="54"/>
      <c r="X168" s="486"/>
      <c r="Y168" s="471"/>
      <c r="Z168" s="471"/>
      <c r="AA168" s="471"/>
    </row>
    <row r="169" spans="1:27" s="220" customFormat="1">
      <c r="A169" s="450" t="s">
        <v>749</v>
      </c>
      <c r="B169" s="54"/>
      <c r="C169" s="54"/>
      <c r="D169" s="54"/>
      <c r="E169" s="54"/>
      <c r="F169" s="54"/>
      <c r="G169" s="54"/>
      <c r="H169" s="68"/>
      <c r="I169" s="68"/>
      <c r="J169" s="68"/>
      <c r="K169" s="68"/>
      <c r="L169" s="68">
        <f>'Core Opex Proj.'!F163</f>
        <v>7553588.3599999994</v>
      </c>
      <c r="M169" s="68">
        <f>'Core Opex Proj.'!G163</f>
        <v>2792722.7300000004</v>
      </c>
      <c r="N169" s="68">
        <f>'Core Opex Proj.'!H163</f>
        <v>0</v>
      </c>
      <c r="O169" s="54">
        <f>'Core Opex Proj.'!I163</f>
        <v>850000</v>
      </c>
      <c r="P169" s="54">
        <f>'Core Opex Proj.'!J163</f>
        <v>0</v>
      </c>
      <c r="Q169" s="54">
        <f>'Core Opex Proj.'!K163</f>
        <v>0</v>
      </c>
      <c r="R169" s="54">
        <f>'Core Opex Proj.'!L163</f>
        <v>0</v>
      </c>
      <c r="S169" s="54">
        <f>'Core Opex Proj.'!M163</f>
        <v>0</v>
      </c>
      <c r="T169" s="54">
        <f>'Core Opex Proj.'!N163</f>
        <v>0</v>
      </c>
      <c r="U169" s="54">
        <f>'Core Opex Proj.'!O163</f>
        <v>0</v>
      </c>
      <c r="V169" s="54">
        <f>'Core Opex Proj.'!P163</f>
        <v>0</v>
      </c>
      <c r="W169" s="54"/>
      <c r="X169" s="486"/>
      <c r="Y169" s="471"/>
      <c r="Z169" s="471"/>
      <c r="AA169" s="471"/>
    </row>
    <row r="170" spans="1:27">
      <c r="A170" s="54" t="s">
        <v>109</v>
      </c>
      <c r="B170" s="54"/>
      <c r="C170" s="54"/>
      <c r="D170" s="54"/>
      <c r="E170" s="54"/>
      <c r="F170" s="62">
        <v>0.05</v>
      </c>
      <c r="G170" s="54">
        <f>15186287+287348-G223-SUM(G176:G177)+2820964</f>
        <v>14681362.449999999</v>
      </c>
      <c r="H170" s="68">
        <f>H171-SUM(H150:H158)</f>
        <v>18096958.689999998</v>
      </c>
      <c r="I170" s="68">
        <f>I171-SUM(I150:I158)</f>
        <v>21448673.519999996</v>
      </c>
      <c r="J170" s="68">
        <v>23062551.879999999</v>
      </c>
      <c r="K170" s="68">
        <v>28381544.61999999</v>
      </c>
      <c r="L170" s="68">
        <f>'Core Opex Proj.'!F165</f>
        <v>18267300.044545446</v>
      </c>
      <c r="M170" s="68">
        <f>'Core Opex Proj.'!G165</f>
        <v>19052456.946763694</v>
      </c>
      <c r="N170" s="68">
        <f>'Core Opex Proj.'!H165</f>
        <v>25877190.080000006</v>
      </c>
      <c r="O170" s="54">
        <f>'Core Opex Proj.'!I165</f>
        <v>33586317.837750196</v>
      </c>
      <c r="P170" s="54">
        <f>'Core Opex Proj.'!J165</f>
        <v>34361925.3665016</v>
      </c>
      <c r="Q170" s="54">
        <f>'Core Opex Proj.'!K165</f>
        <v>34839032.804816514</v>
      </c>
      <c r="R170" s="54">
        <f>'Core Opex Proj.'!L165</f>
        <v>35887343.181361623</v>
      </c>
      <c r="S170" s="54">
        <f>'Core Opex Proj.'!M165</f>
        <v>37575006.11316853</v>
      </c>
      <c r="T170" s="54">
        <f>'Core Opex Proj.'!N165</f>
        <v>39330643.679646768</v>
      </c>
      <c r="U170" s="54">
        <f>'Core Opex Proj.'!O165</f>
        <v>41185143.616342135</v>
      </c>
      <c r="V170" s="54">
        <f>'Core Opex Proj.'!P165</f>
        <v>43047333.072989739</v>
      </c>
      <c r="W170" s="54"/>
      <c r="X170" s="486"/>
      <c r="Y170" s="471"/>
      <c r="Z170" s="471"/>
      <c r="AA170" s="471"/>
    </row>
    <row r="171" spans="1:27" ht="17.100000000000001" customHeight="1">
      <c r="A171" s="59" t="s">
        <v>1293</v>
      </c>
      <c r="B171" s="54"/>
      <c r="C171" s="54"/>
      <c r="D171" s="54"/>
      <c r="E171" s="54"/>
      <c r="F171" s="54"/>
      <c r="G171" s="70">
        <f>SUM(G150:G170)</f>
        <v>65182972.459999993</v>
      </c>
      <c r="H171" s="70">
        <f>78240608-391272+207969-207968.31</f>
        <v>77849336.689999998</v>
      </c>
      <c r="I171" s="70">
        <f>233741430-I44-1228268+1171676.77</f>
        <v>93063978.519999996</v>
      </c>
      <c r="J171" s="70">
        <f>SUM(J150:J170)</f>
        <v>106370890.42000002</v>
      </c>
      <c r="K171" s="70">
        <f>SUM(K150:K170)</f>
        <v>113177786.06999999</v>
      </c>
      <c r="L171" s="70">
        <f>SUM(L150:L170)</f>
        <v>120275536.31</v>
      </c>
      <c r="M171" s="70">
        <f>SUM(M150:M170)</f>
        <v>100259682.48573028</v>
      </c>
      <c r="N171" s="70">
        <f>SUM(N150:N170)</f>
        <v>97555449.230000019</v>
      </c>
      <c r="O171" s="70">
        <f>SUM(O150:O170)</f>
        <v>281744041.66198087</v>
      </c>
      <c r="P171" s="70">
        <f>SUM(P150:P170)</f>
        <v>289524329.14793545</v>
      </c>
      <c r="Q171" s="70">
        <f>SUM(Q150:Q170)</f>
        <v>259731127.94310102</v>
      </c>
      <c r="R171" s="70">
        <f>SUM(R150:R170)</f>
        <v>171662697.89366281</v>
      </c>
      <c r="S171" s="70">
        <f>SUM(S150:S170)</f>
        <v>157061000.54780498</v>
      </c>
      <c r="T171" s="70">
        <f>SUM(T150:T170)</f>
        <v>162013670.03028488</v>
      </c>
      <c r="U171" s="70">
        <f>SUM(U150:U170)</f>
        <v>167256867.74930719</v>
      </c>
      <c r="V171" s="70">
        <f>SUM(V150:V170)</f>
        <v>172652161.15781748</v>
      </c>
      <c r="W171" s="72"/>
      <c r="X171" s="486"/>
      <c r="Y171" s="471"/>
      <c r="Z171" s="471"/>
      <c r="AA171" s="471"/>
    </row>
    <row r="172" spans="1:27">
      <c r="A172" s="54"/>
      <c r="B172" s="54"/>
      <c r="C172" s="54"/>
      <c r="D172" s="54"/>
      <c r="E172" s="54"/>
      <c r="F172" s="54"/>
      <c r="G172" s="54"/>
      <c r="H172" s="54"/>
      <c r="I172" s="88"/>
      <c r="J172" s="88">
        <f>J171/I171-1</f>
        <v>0.14298670776406031</v>
      </c>
      <c r="K172" s="88">
        <f>K171/J171-1</f>
        <v>6.3992090534574775E-2</v>
      </c>
      <c r="L172" s="88">
        <f t="shared" ref="L172:V172" si="98">L171/K171-1</f>
        <v>6.2713280463094323E-2</v>
      </c>
      <c r="M172" s="88">
        <f t="shared" si="98"/>
        <v>-0.16641666658363974</v>
      </c>
      <c r="N172" s="88">
        <f t="shared" si="98"/>
        <v>-2.6972290243539754E-2</v>
      </c>
      <c r="O172" s="88">
        <f t="shared" si="98"/>
        <v>1.8880400211958595</v>
      </c>
      <c r="P172" s="88">
        <f t="shared" si="98"/>
        <v>2.7614736553289276E-2</v>
      </c>
      <c r="Q172" s="88">
        <f>Q171/L171-1</f>
        <v>1.1594676349949173</v>
      </c>
      <c r="R172" s="88">
        <f t="shared" si="98"/>
        <v>-0.33907537670544918</v>
      </c>
      <c r="S172" s="88">
        <f t="shared" si="98"/>
        <v>-8.5060397657870435E-2</v>
      </c>
      <c r="T172" s="88">
        <f t="shared" si="98"/>
        <v>3.1533413547639055E-2</v>
      </c>
      <c r="U172" s="88">
        <f t="shared" si="98"/>
        <v>3.236268716116486E-2</v>
      </c>
      <c r="V172" s="88">
        <f t="shared" si="98"/>
        <v>3.2257529876722479E-2</v>
      </c>
      <c r="W172" s="88"/>
      <c r="X172" s="488"/>
      <c r="Y172" s="471"/>
      <c r="Z172" s="471"/>
      <c r="AA172" s="471"/>
    </row>
    <row r="173" spans="1:27" s="59" customFormat="1">
      <c r="A173" s="59" t="s">
        <v>1500</v>
      </c>
      <c r="G173" s="59">
        <f>G89-G44-G171</f>
        <v>162881723.61000019</v>
      </c>
      <c r="H173" s="59">
        <f>H89-H44-H171</f>
        <v>141213701.12</v>
      </c>
      <c r="I173" s="59">
        <f>I89-I44-I171</f>
        <v>120846423.57378368</v>
      </c>
      <c r="J173" s="59">
        <f>J89-J44-J171</f>
        <v>135050802.80840001</v>
      </c>
      <c r="K173" s="59">
        <f>K89-K44-K171</f>
        <v>139630704.81917426</v>
      </c>
      <c r="L173" s="59">
        <f>L89-L44-L171</f>
        <v>92705514.527608275</v>
      </c>
      <c r="M173" s="59">
        <f>M89-M44-M171</f>
        <v>-6050725.1697983444</v>
      </c>
      <c r="N173" s="59">
        <f>N89-N44-N171</f>
        <v>66008652.174589574</v>
      </c>
      <c r="O173" s="59">
        <f>O89-O44-O171</f>
        <v>-119584780.24694961</v>
      </c>
      <c r="P173" s="59">
        <f>P89-P44-P171</f>
        <v>-136972151.30529204</v>
      </c>
      <c r="Q173" s="59">
        <f>Q89-Q44-Q171</f>
        <v>-71065831.102002889</v>
      </c>
      <c r="R173" s="59">
        <f>R89-R44-R171</f>
        <v>9922614.5355579853</v>
      </c>
      <c r="S173" s="59">
        <f>S89-S44-S171</f>
        <v>23120639.875700712</v>
      </c>
      <c r="T173" s="59">
        <f>T89-T44-T171</f>
        <v>41726568.865672171</v>
      </c>
      <c r="U173" s="59">
        <f>U89-U44-U171</f>
        <v>67267949.840325624</v>
      </c>
      <c r="V173" s="59">
        <f>V89-V44-V171</f>
        <v>90958675.716950178</v>
      </c>
      <c r="X173" s="479"/>
      <c r="Y173" s="478"/>
      <c r="Z173" s="478"/>
      <c r="AA173" s="478"/>
    </row>
    <row r="174" spans="1:27">
      <c r="A174" s="54"/>
      <c r="B174" s="54"/>
      <c r="C174" s="54"/>
      <c r="D174" s="54"/>
      <c r="E174" s="54"/>
      <c r="F174" s="54"/>
      <c r="G174" s="54"/>
      <c r="H174" s="54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488"/>
      <c r="Y174" s="471"/>
      <c r="Z174" s="471"/>
      <c r="AA174" s="471"/>
    </row>
    <row r="175" spans="1:27" s="220" customFormat="1">
      <c r="A175" s="54"/>
      <c r="B175" s="54"/>
      <c r="C175" s="54"/>
      <c r="D175" s="54"/>
      <c r="E175" s="54"/>
      <c r="F175" s="54"/>
      <c r="G175" s="54"/>
      <c r="H175" s="54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488"/>
      <c r="Y175" s="471"/>
      <c r="Z175" s="471"/>
      <c r="AA175" s="471"/>
    </row>
    <row r="176" spans="1:27">
      <c r="A176" s="54" t="s">
        <v>324</v>
      </c>
      <c r="B176" s="54"/>
      <c r="C176" s="54"/>
      <c r="D176" s="54"/>
      <c r="E176" s="54" t="s">
        <v>324</v>
      </c>
      <c r="F176" s="54"/>
      <c r="G176" s="54">
        <v>2820964</v>
      </c>
      <c r="H176" s="54">
        <v>3058950</v>
      </c>
      <c r="I176" s="54">
        <v>1475400</v>
      </c>
      <c r="J176" s="54">
        <v>1752319</v>
      </c>
      <c r="K176" s="54">
        <v>1396084.02</v>
      </c>
      <c r="L176" s="54">
        <f>SUMIF('Non-Core Opex Proj.'!$B$139:$B$165,$A176,'Non-Core Opex Proj.'!F$139:F$165)</f>
        <v>1778369.09</v>
      </c>
      <c r="M176" s="54">
        <f>SUMIF('Non-Core Opex Proj.'!$B$139:$B$165,$A176,'Non-Core Opex Proj.'!G$139:G$165)</f>
        <v>200000</v>
      </c>
      <c r="N176" s="68">
        <f>SUMIF('Non-Core Opex Proj.'!$B$139:$B$165,$A176,'Non-Core Opex Proj.'!H$139:H$165)</f>
        <v>0</v>
      </c>
      <c r="O176" s="54">
        <f>SUMIF('Non-Core Opex Proj.'!$B$139:$B$165,$A176,'Non-Core Opex Proj.'!I$139:I$165)</f>
        <v>0</v>
      </c>
      <c r="P176" s="54">
        <f>SUMIF('Non-Core Opex Proj.'!$B$139:$B$165,$A176,'Non-Core Opex Proj.'!J$139:J$165)</f>
        <v>0</v>
      </c>
      <c r="Q176" s="54">
        <f>SUMIF('Non-Core Opex Proj.'!$B$139:$B$165,$A176,'Non-Core Opex Proj.'!K$139:K$165)</f>
        <v>0</v>
      </c>
      <c r="R176" s="54">
        <f>SUMIF('Non-Core Opex Proj.'!$B$139:$B$165,$A176,'Non-Core Opex Proj.'!L$139:L$165)</f>
        <v>0</v>
      </c>
      <c r="S176" s="54">
        <f>SUMIF('Non-Core Opex Proj.'!$B$139:$B$165,$A176,'Non-Core Opex Proj.'!M$139:M$165)</f>
        <v>0</v>
      </c>
      <c r="T176" s="54">
        <f>SUMIF('Non-Core Opex Proj.'!$B$139:$B$165,$A176,'Non-Core Opex Proj.'!N$139:N$165)</f>
        <v>0</v>
      </c>
      <c r="U176" s="54">
        <f>SUMIF('Non-Core Opex Proj.'!$B$139:$B$165,$A176,'Non-Core Opex Proj.'!O$139:O$165)</f>
        <v>0</v>
      </c>
      <c r="V176" s="54">
        <f>SUMIF('Non-Core Opex Proj.'!$B$139:$B$165,$A176,'Non-Core Opex Proj.'!P$139:P$165)</f>
        <v>0</v>
      </c>
      <c r="W176" s="54"/>
      <c r="X176" s="486"/>
      <c r="Y176" s="471"/>
      <c r="Z176" s="471"/>
      <c r="AA176" s="471"/>
    </row>
    <row r="177" spans="1:27">
      <c r="A177" s="54" t="s">
        <v>110</v>
      </c>
      <c r="B177" s="54"/>
      <c r="C177" s="54"/>
      <c r="D177" s="54"/>
      <c r="E177" s="54" t="s">
        <v>710</v>
      </c>
      <c r="F177" s="54"/>
      <c r="G177" s="54">
        <v>287348</v>
      </c>
      <c r="H177" s="54">
        <v>4708204</v>
      </c>
      <c r="I177" s="54">
        <v>1016942</v>
      </c>
      <c r="J177" s="54">
        <v>-5654008.0199999996</v>
      </c>
      <c r="K177" s="54">
        <v>1065020.9599999986</v>
      </c>
      <c r="L177" s="54">
        <v>1279886.54</v>
      </c>
      <c r="M177" s="54">
        <f>-'Non-Core P&amp;L'!$BN25</f>
        <v>-18244139.25</v>
      </c>
      <c r="N177" s="68">
        <f>-'Non-Core P&amp;L'!AJ25</f>
        <v>-4277127.6399999987</v>
      </c>
      <c r="O177" s="68">
        <f>-'Core P&amp;L'!T89</f>
        <v>-5470000</v>
      </c>
      <c r="P177" s="1832"/>
      <c r="Q177" s="1832"/>
      <c r="R177" s="1832"/>
      <c r="S177" s="1832"/>
      <c r="T177" s="1832"/>
      <c r="U177" s="1832"/>
      <c r="V177" s="1832"/>
      <c r="W177" s="54"/>
      <c r="X177" s="486"/>
      <c r="Y177" s="471"/>
      <c r="Z177" s="471"/>
      <c r="AA177" s="471"/>
    </row>
    <row r="178" spans="1:27">
      <c r="A178" s="54"/>
      <c r="B178" s="54"/>
      <c r="C178" s="54"/>
      <c r="D178" s="54"/>
      <c r="E178" s="54"/>
      <c r="F178" s="54"/>
      <c r="G178" s="54"/>
      <c r="H178" s="54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488"/>
      <c r="Y178" s="471"/>
      <c r="Z178" s="471"/>
      <c r="AA178" s="471"/>
    </row>
    <row r="179" spans="1:27">
      <c r="A179" s="59" t="s">
        <v>1291</v>
      </c>
      <c r="B179" s="54"/>
      <c r="C179" s="54"/>
      <c r="D179" s="54"/>
      <c r="E179" s="54"/>
      <c r="F179" s="54"/>
      <c r="G179" s="59">
        <f>G173-SUM(G176:G178)</f>
        <v>159773411.61000019</v>
      </c>
      <c r="H179" s="59">
        <f>H173-SUM(H176:H178)</f>
        <v>133446547.12</v>
      </c>
      <c r="I179" s="59">
        <f>I173-SUM(I176:I178)</f>
        <v>118354081.57378368</v>
      </c>
      <c r="J179" s="59">
        <f>J173-SUM(J176:J178)</f>
        <v>138952491.82840002</v>
      </c>
      <c r="K179" s="59">
        <f>K173-SUM(K176:K178)</f>
        <v>137169599.83917427</v>
      </c>
      <c r="L179" s="59">
        <f>L173-SUM(L176:L178)</f>
        <v>89647258.89760828</v>
      </c>
      <c r="M179" s="59">
        <f>M173-SUM(M176:M178)</f>
        <v>11993414.080201656</v>
      </c>
      <c r="N179" s="59">
        <f>N173-SUM(N176:N178)</f>
        <v>70285779.814589575</v>
      </c>
      <c r="O179" s="59">
        <f>O173-SUM(O176:O178)</f>
        <v>-114114780.24694961</v>
      </c>
      <c r="P179" s="59">
        <f>P173-SUM(P176:P178)</f>
        <v>-136972151.30529204</v>
      </c>
      <c r="Q179" s="59">
        <f>Q173-SUM(Q176:Q178)</f>
        <v>-71065831.102002889</v>
      </c>
      <c r="R179" s="59">
        <f>R173-SUM(R176:R178)</f>
        <v>9922614.5355579853</v>
      </c>
      <c r="S179" s="59">
        <f>S173-SUM(S176:S178)</f>
        <v>23120639.875700712</v>
      </c>
      <c r="T179" s="59">
        <f>T173-SUM(T176:T178)</f>
        <v>41726568.865672171</v>
      </c>
      <c r="U179" s="59">
        <f>U173-SUM(U176:U178)</f>
        <v>67267949.840325624</v>
      </c>
      <c r="V179" s="59">
        <f>V173-SUM(V176:V178)</f>
        <v>90958675.716950178</v>
      </c>
      <c r="W179" s="59"/>
      <c r="X179" s="479"/>
      <c r="Y179" s="471"/>
      <c r="Z179" s="478"/>
      <c r="AA179" s="471"/>
    </row>
    <row r="180" spans="1:27">
      <c r="A180" s="54"/>
      <c r="B180" s="54"/>
      <c r="C180" s="54"/>
      <c r="D180" s="54"/>
      <c r="E180" s="54"/>
      <c r="F180" s="54"/>
      <c r="G180" s="54"/>
      <c r="H180" s="54"/>
      <c r="I180" s="61"/>
      <c r="J180" s="61">
        <f>J179/I179-1</f>
        <v>0.17404055678278385</v>
      </c>
      <c r="K180" s="61">
        <f>K179/J179-1</f>
        <v>-1.2830946503841978E-2</v>
      </c>
      <c r="L180" s="61">
        <f t="shared" ref="L180:V180" si="99">L179/K179-1</f>
        <v>-0.34644951211699959</v>
      </c>
      <c r="M180" s="61">
        <f t="shared" si="99"/>
        <v>-0.86621549584800939</v>
      </c>
      <c r="N180" s="61">
        <f t="shared" si="99"/>
        <v>4.8603646421760001</v>
      </c>
      <c r="O180" s="61">
        <f t="shared" si="99"/>
        <v>-2.6235827581052495</v>
      </c>
      <c r="P180" s="61">
        <f t="shared" si="99"/>
        <v>0.2003015823969343</v>
      </c>
      <c r="Q180" s="61">
        <f>Q179/L179-1</f>
        <v>-1.7927273178890122</v>
      </c>
      <c r="R180" s="61">
        <f t="shared" si="99"/>
        <v>-1.1396256735718149</v>
      </c>
      <c r="S180" s="61">
        <f t="shared" si="99"/>
        <v>1.3300955401267691</v>
      </c>
      <c r="T180" s="61">
        <f t="shared" si="99"/>
        <v>0.80473244209499084</v>
      </c>
      <c r="U180" s="61">
        <f t="shared" si="99"/>
        <v>0.61211313724062189</v>
      </c>
      <c r="V180" s="61">
        <f t="shared" si="99"/>
        <v>0.35218444939766091</v>
      </c>
      <c r="W180" s="61"/>
      <c r="X180" s="486"/>
      <c r="Y180" s="471"/>
      <c r="Z180" s="471"/>
      <c r="AA180" s="471"/>
    </row>
    <row r="181" spans="1:27" s="220" customFormat="1">
      <c r="A181" s="59" t="s">
        <v>1504</v>
      </c>
      <c r="B181" s="54"/>
      <c r="C181" s="54"/>
      <c r="D181" s="54"/>
      <c r="E181" s="54"/>
      <c r="F181" s="54"/>
      <c r="G181" s="54"/>
      <c r="H181" s="54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486"/>
      <c r="Y181" s="471"/>
      <c r="Z181" s="471"/>
      <c r="AA181" s="471"/>
    </row>
    <row r="182" spans="1:27" s="220" customFormat="1">
      <c r="A182" s="54" t="s">
        <v>20</v>
      </c>
      <c r="B182" s="54"/>
      <c r="C182" s="54"/>
      <c r="D182" s="54"/>
      <c r="E182" s="54"/>
      <c r="F182" s="54"/>
      <c r="G182" s="54"/>
      <c r="H182" s="54"/>
      <c r="I182" s="61"/>
      <c r="J182" s="61"/>
      <c r="K182" s="61"/>
      <c r="L182" s="61"/>
      <c r="M182" s="61"/>
      <c r="N182" s="61"/>
      <c r="O182" s="291">
        <f>IF('Cashflow trend'!$D$1="Y",Inorganic!G2*1000,0)</f>
        <v>0</v>
      </c>
      <c r="P182" s="291">
        <f>IF('Cashflow trend'!$D$1="Y",Inorganic!H2*1000,0)</f>
        <v>0</v>
      </c>
      <c r="Q182" s="291">
        <f>IF('Cashflow trend'!$D$1="Y",Inorganic!I2*1000,0)</f>
        <v>0</v>
      </c>
      <c r="R182" s="291">
        <f>IF('Cashflow trend'!$D$1="Y",Inorganic!J2*1000,0)</f>
        <v>0</v>
      </c>
      <c r="S182" s="291">
        <f>IF('Cashflow trend'!$D$1="Y",Inorganic!K2*1000,0)</f>
        <v>0</v>
      </c>
      <c r="T182" s="291">
        <f>IF('Cashflow trend'!$D$1="Y",Inorganic!L2*1000,0)</f>
        <v>0</v>
      </c>
      <c r="U182" s="291">
        <f>IF('Cashflow trend'!$D$1="Y",Inorganic!M2*1000,0)</f>
        <v>0</v>
      </c>
      <c r="V182" s="291">
        <f>IF('Cashflow trend'!$D$1="Y",Inorganic!N2*1000,0)</f>
        <v>0</v>
      </c>
      <c r="W182" s="61"/>
      <c r="X182" s="486"/>
      <c r="Y182" s="471"/>
      <c r="Z182" s="471"/>
      <c r="AA182" s="471"/>
    </row>
    <row r="183" spans="1:27" s="220" customFormat="1">
      <c r="A183" s="54" t="s">
        <v>139</v>
      </c>
      <c r="B183" s="54"/>
      <c r="C183" s="54"/>
      <c r="D183" s="54"/>
      <c r="E183" s="54"/>
      <c r="F183" s="54"/>
      <c r="G183" s="54"/>
      <c r="H183" s="54"/>
      <c r="I183" s="61"/>
      <c r="J183" s="61"/>
      <c r="K183" s="61"/>
      <c r="L183" s="61"/>
      <c r="M183" s="61"/>
      <c r="N183" s="61"/>
      <c r="O183" s="291">
        <f>IF('Cashflow trend'!$D$1="Y",Inorganic!G5*-1000,0)</f>
        <v>0</v>
      </c>
      <c r="P183" s="291">
        <f>IF('Cashflow trend'!$D$1="Y",Inorganic!H5*-1000,0)</f>
        <v>0</v>
      </c>
      <c r="Q183" s="291">
        <f>IF('Cashflow trend'!$D$1="Y",Inorganic!I5*-1000,0)</f>
        <v>0</v>
      </c>
      <c r="R183" s="291">
        <f>IF('Cashflow trend'!$D$1="Y",Inorganic!J5*-1000,0)</f>
        <v>0</v>
      </c>
      <c r="S183" s="291">
        <f>IF('Cashflow trend'!$D$1="Y",Inorganic!K5*-1000,0)</f>
        <v>0</v>
      </c>
      <c r="T183" s="291">
        <f>IF('Cashflow trend'!$D$1="Y",Inorganic!L5*-1000,0)</f>
        <v>0</v>
      </c>
      <c r="U183" s="291">
        <f>IF('Cashflow trend'!$D$1="Y",Inorganic!M5*-1000,0)</f>
        <v>0</v>
      </c>
      <c r="V183" s="291">
        <f>IF('Cashflow trend'!$D$1="Y",Inorganic!N5*-1000,0)</f>
        <v>0</v>
      </c>
      <c r="W183" s="61"/>
      <c r="X183" s="486"/>
      <c r="Y183" s="471"/>
      <c r="Z183" s="471"/>
      <c r="AA183" s="471"/>
    </row>
    <row r="184" spans="1:27" s="220" customFormat="1">
      <c r="A184" s="54" t="s">
        <v>1501</v>
      </c>
      <c r="B184" s="54"/>
      <c r="C184" s="54"/>
      <c r="D184" s="54"/>
      <c r="E184" s="54"/>
      <c r="F184" s="54"/>
      <c r="G184" s="54"/>
      <c r="H184" s="54"/>
      <c r="I184" s="61"/>
      <c r="J184" s="61"/>
      <c r="K184" s="61"/>
      <c r="L184" s="61"/>
      <c r="M184" s="61"/>
      <c r="N184" s="61"/>
      <c r="O184" s="291">
        <f>IF('Cashflow trend'!$D$1="Y",Inorganic!G6*-1000,0)</f>
        <v>0</v>
      </c>
      <c r="P184" s="291">
        <f>IF('Cashflow trend'!$D$1="Y",Inorganic!H6*-1000,0)</f>
        <v>0</v>
      </c>
      <c r="Q184" s="291">
        <f>IF('Cashflow trend'!$D$1="Y",Inorganic!I6*-1000,0)</f>
        <v>0</v>
      </c>
      <c r="R184" s="291">
        <f>IF('Cashflow trend'!$D$1="Y",Inorganic!J6*-1000,0)</f>
        <v>0</v>
      </c>
      <c r="S184" s="291">
        <f>IF('Cashflow trend'!$D$1="Y",Inorganic!K6*-1000,0)</f>
        <v>0</v>
      </c>
      <c r="T184" s="291">
        <f>IF('Cashflow trend'!$D$1="Y",Inorganic!L6*-1000,0)</f>
        <v>0</v>
      </c>
      <c r="U184" s="291">
        <f>IF('Cashflow trend'!$D$1="Y",Inorganic!M6*-1000,0)</f>
        <v>0</v>
      </c>
      <c r="V184" s="291">
        <f>IF('Cashflow trend'!$D$1="Y",Inorganic!N6*-1000,0)</f>
        <v>0</v>
      </c>
      <c r="W184" s="61"/>
      <c r="X184" s="486"/>
      <c r="Y184" s="471"/>
      <c r="Z184" s="471"/>
      <c r="AA184" s="471"/>
    </row>
    <row r="185" spans="1:27" s="220" customFormat="1">
      <c r="A185" s="54" t="s">
        <v>588</v>
      </c>
      <c r="B185" s="54"/>
      <c r="C185" s="54"/>
      <c r="D185" s="54"/>
      <c r="E185" s="54"/>
      <c r="F185" s="54"/>
      <c r="G185" s="54"/>
      <c r="H185" s="54"/>
      <c r="I185" s="61"/>
      <c r="J185" s="61"/>
      <c r="K185" s="61"/>
      <c r="L185" s="61"/>
      <c r="M185" s="61"/>
      <c r="N185" s="61"/>
      <c r="O185" s="291">
        <f>IF('Cashflow trend'!$D$1="Y",Inorganic!G16*-1000,0)</f>
        <v>0</v>
      </c>
      <c r="P185" s="291">
        <f>IF('Cashflow trend'!$D$1="Y",Inorganic!H16*-1000,0)</f>
        <v>0</v>
      </c>
      <c r="Q185" s="291">
        <f>IF('Cashflow trend'!$D$1="Y",Inorganic!I16*-1000,0)</f>
        <v>0</v>
      </c>
      <c r="R185" s="291">
        <f>IF('Cashflow trend'!$D$1="Y",Inorganic!J16*-1000,0)</f>
        <v>0</v>
      </c>
      <c r="S185" s="291">
        <f>IF('Cashflow trend'!$D$1="Y",Inorganic!K16*-1000,0)</f>
        <v>0</v>
      </c>
      <c r="T185" s="291">
        <f>IF('Cashflow trend'!$D$1="Y",Inorganic!L16*-1000,0)</f>
        <v>0</v>
      </c>
      <c r="U185" s="291">
        <f>IF('Cashflow trend'!$D$1="Y",Inorganic!M16*-1000,0)</f>
        <v>0</v>
      </c>
      <c r="V185" s="291">
        <f>IF('Cashflow trend'!$D$1="Y",Inorganic!N16*-1000,0)</f>
        <v>0</v>
      </c>
      <c r="W185" s="61"/>
      <c r="X185" s="486"/>
      <c r="Y185" s="471"/>
      <c r="Z185" s="471"/>
      <c r="AA185" s="471"/>
    </row>
    <row r="186" spans="1:27" s="220" customFormat="1">
      <c r="A186" s="54" t="s">
        <v>1502</v>
      </c>
      <c r="B186" s="54"/>
      <c r="C186" s="54"/>
      <c r="D186" s="54"/>
      <c r="E186" s="54"/>
      <c r="F186" s="54"/>
      <c r="G186" s="54"/>
      <c r="H186" s="54"/>
      <c r="I186" s="61"/>
      <c r="J186" s="61"/>
      <c r="K186" s="61"/>
      <c r="L186" s="61"/>
      <c r="M186" s="61"/>
      <c r="N186" s="61"/>
      <c r="O186" s="291">
        <f>IF('Cashflow trend'!$D$1="Y",SUM(Inorganic!G$28:G$33)*-1000,0)</f>
        <v>0</v>
      </c>
      <c r="P186" s="291">
        <f>IF('Cashflow trend'!$D$1="Y",SUM(Inorganic!H$28:H$33)*-1000,0)</f>
        <v>0</v>
      </c>
      <c r="Q186" s="291">
        <f>IF('Cashflow trend'!$D$1="Y",SUM(Inorganic!I$28:I$33)*-1000,0)</f>
        <v>0</v>
      </c>
      <c r="R186" s="291">
        <f>IF('Cashflow trend'!$D$1="Y",SUM(Inorganic!J$28:J$33)*-1000,0)</f>
        <v>0</v>
      </c>
      <c r="S186" s="291">
        <f>IF('Cashflow trend'!$D$1="Y",SUM(Inorganic!K$28:K$33)*-1000,0)</f>
        <v>0</v>
      </c>
      <c r="T186" s="291">
        <f>IF('Cashflow trend'!$D$1="Y",SUM(Inorganic!L$28:L$33)*-1000,0)</f>
        <v>0</v>
      </c>
      <c r="U186" s="291">
        <f>IF('Cashflow trend'!$D$1="Y",SUM(Inorganic!M$28:M$33)*-1000,0)</f>
        <v>0</v>
      </c>
      <c r="V186" s="291">
        <f>IF('Cashflow trend'!$D$1="Y",SUM(Inorganic!N$28:N$33)*-1000,0)</f>
        <v>0</v>
      </c>
      <c r="W186" s="61"/>
      <c r="X186" s="486"/>
      <c r="Y186" s="471"/>
      <c r="Z186" s="471"/>
      <c r="AA186" s="471"/>
    </row>
    <row r="187" spans="1:27" s="220" customFormat="1">
      <c r="A187" s="54" t="s">
        <v>541</v>
      </c>
      <c r="B187" s="54"/>
      <c r="C187" s="54"/>
      <c r="D187" s="54"/>
      <c r="E187" s="54"/>
      <c r="F187" s="54"/>
      <c r="G187" s="54"/>
      <c r="H187" s="54"/>
      <c r="I187" s="61"/>
      <c r="J187" s="61"/>
      <c r="K187" s="61"/>
      <c r="L187" s="61"/>
      <c r="M187" s="61"/>
      <c r="N187" s="61"/>
      <c r="O187" s="291">
        <f>IF('Cashflow trend'!$D$1="Y",Inorganic!G24*-1000,0)</f>
        <v>0</v>
      </c>
      <c r="P187" s="291">
        <f>IF('Cashflow trend'!$D$1="Y",Inorganic!H24*-1000,0)</f>
        <v>0</v>
      </c>
      <c r="Q187" s="291">
        <f>IF('Cashflow trend'!$D$1="Y",Inorganic!I24*-1000,0)</f>
        <v>0</v>
      </c>
      <c r="R187" s="291">
        <f>IF('Cashflow trend'!$D$1="Y",Inorganic!J24*-1000,0)</f>
        <v>0</v>
      </c>
      <c r="S187" s="291">
        <f>IF('Cashflow trend'!$D$1="Y",Inorganic!K24*-1000,0)</f>
        <v>0</v>
      </c>
      <c r="T187" s="291">
        <f>IF('Cashflow trend'!$D$1="Y",Inorganic!L24*-1000,0)</f>
        <v>0</v>
      </c>
      <c r="U187" s="291">
        <f>IF('Cashflow trend'!$D$1="Y",Inorganic!M24*-1000,0)</f>
        <v>0</v>
      </c>
      <c r="V187" s="291">
        <f>IF('Cashflow trend'!$D$1="Y",Inorganic!N24*-1000,0)</f>
        <v>0</v>
      </c>
      <c r="W187" s="61"/>
      <c r="X187" s="486"/>
      <c r="Y187" s="471"/>
      <c r="Z187" s="471"/>
      <c r="AA187" s="471"/>
    </row>
    <row r="188" spans="1:27" s="220" customFormat="1">
      <c r="A188" s="59" t="s">
        <v>1503</v>
      </c>
      <c r="B188" s="54"/>
      <c r="C188" s="54"/>
      <c r="D188" s="54"/>
      <c r="E188" s="54"/>
      <c r="F188" s="54"/>
      <c r="G188" s="1073"/>
      <c r="H188" s="1073"/>
      <c r="I188" s="1295"/>
      <c r="J188" s="1295"/>
      <c r="K188" s="1295"/>
      <c r="L188" s="1295"/>
      <c r="M188" s="1295"/>
      <c r="N188" s="1295"/>
      <c r="O188" s="1296">
        <f>O182-SUM(O183:O187)</f>
        <v>0</v>
      </c>
      <c r="P188" s="1296">
        <f t="shared" ref="P188:V188" si="100">P182-SUM(P183:P187)</f>
        <v>0</v>
      </c>
      <c r="Q188" s="1296">
        <f t="shared" si="100"/>
        <v>0</v>
      </c>
      <c r="R188" s="1296">
        <f t="shared" si="100"/>
        <v>0</v>
      </c>
      <c r="S188" s="1296">
        <f t="shared" si="100"/>
        <v>0</v>
      </c>
      <c r="T188" s="1296">
        <f t="shared" si="100"/>
        <v>0</v>
      </c>
      <c r="U188" s="1296">
        <f t="shared" si="100"/>
        <v>0</v>
      </c>
      <c r="V188" s="1296">
        <f t="shared" si="100"/>
        <v>0</v>
      </c>
      <c r="W188" s="61"/>
      <c r="X188" s="486"/>
      <c r="Y188" s="471"/>
      <c r="Z188" s="471"/>
      <c r="AA188" s="471"/>
    </row>
    <row r="189" spans="1:27" s="220" customFormat="1">
      <c r="A189" s="54"/>
      <c r="B189" s="54"/>
      <c r="C189" s="54"/>
      <c r="D189" s="54"/>
      <c r="E189" s="54"/>
      <c r="F189" s="54"/>
      <c r="G189" s="54"/>
      <c r="H189" s="54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486"/>
      <c r="Y189" s="471"/>
      <c r="Z189" s="471"/>
      <c r="AA189" s="471"/>
    </row>
    <row r="190" spans="1:27">
      <c r="A190" s="59" t="s">
        <v>1308</v>
      </c>
      <c r="B190" s="54"/>
      <c r="C190" s="1135" t="s">
        <v>1337</v>
      </c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486"/>
      <c r="Y190" s="471"/>
      <c r="Z190" s="471"/>
      <c r="AA190" s="471"/>
    </row>
    <row r="191" spans="1:27" s="220" customFormat="1">
      <c r="A191" s="450" t="s">
        <v>1295</v>
      </c>
      <c r="C191" s="1134" t="str">
        <f>'Non-Core Opex Proj.'!D172</f>
        <v>Manpower cost</v>
      </c>
      <c r="D191" s="54"/>
      <c r="E191" s="54"/>
      <c r="F191" s="54"/>
      <c r="G191" s="68">
        <v>1914146</v>
      </c>
      <c r="H191" s="68">
        <v>2645008</v>
      </c>
      <c r="I191" s="54">
        <v>3902776.31</v>
      </c>
      <c r="J191" s="54">
        <v>7510012</v>
      </c>
      <c r="K191" s="54">
        <v>4155279</v>
      </c>
      <c r="L191" s="54">
        <f>SUMIF('Non-Core Opex Proj.'!$B$139:$B$157,$A191,'Non-Core Opex Proj.'!F$139:F$157)</f>
        <v>2295486.23</v>
      </c>
      <c r="M191" s="54">
        <f>SUMIF('Non-Core Opex Proj.'!$B$139:$B$157,$A191,'Non-Core Opex Proj.'!G$139:G$157)</f>
        <v>1908969.9937837839</v>
      </c>
      <c r="N191" s="54">
        <f>SUMIF('Non-Core Opex Proj.'!$B$172:$B$190,$A191,'Non-Core Opex Proj.'!H$172:H$190)</f>
        <v>488229.36000000016</v>
      </c>
      <c r="O191" s="54">
        <f>SUMIF('Non-Core Opex Proj.'!$B$172:$B$190,$A191,'Non-Core Opex Proj.'!I$172:I$190)</f>
        <v>0</v>
      </c>
      <c r="P191" s="54">
        <f>SUMIF('Non-Core Opex Proj.'!$B$172:$B$190,$A191,'Non-Core Opex Proj.'!J$172:J$190)</f>
        <v>0</v>
      </c>
      <c r="Q191" s="68">
        <f>SUMIF('Non-Core Opex Proj.'!$B$139:$B$157,$A191,'Non-Core Opex Proj.'!K$139:K$157)</f>
        <v>0</v>
      </c>
      <c r="R191" s="68">
        <f>SUMIF('Non-Core Opex Proj.'!$B$139:$B$157,$A191,'Non-Core Opex Proj.'!L$139:L$157)</f>
        <v>0</v>
      </c>
      <c r="S191" s="68">
        <f>SUMIF('Non-Core Opex Proj.'!$B$139:$B$157,$A191,'Non-Core Opex Proj.'!M$139:M$157)</f>
        <v>0</v>
      </c>
      <c r="T191" s="68">
        <f>SUMIF('Non-Core Opex Proj.'!$B$139:$B$157,$A191,'Non-Core Opex Proj.'!N$139:N$157)</f>
        <v>0</v>
      </c>
      <c r="U191" s="68">
        <f>SUMIF('Non-Core Opex Proj.'!$B$139:$B$157,$A191,'Non-Core Opex Proj.'!O$139:O$157)</f>
        <v>0</v>
      </c>
      <c r="V191" s="68">
        <f>SUMIF('Non-Core Opex Proj.'!$B$139:$B$157,$A191,'Non-Core Opex Proj.'!P$139:P$157)</f>
        <v>0</v>
      </c>
      <c r="W191" s="54"/>
      <c r="X191" s="486"/>
      <c r="Y191" s="471"/>
      <c r="Z191" s="471"/>
      <c r="AA191" s="471"/>
    </row>
    <row r="192" spans="1:27" s="220" customFormat="1">
      <c r="A192" s="1074" t="s">
        <v>1296</v>
      </c>
      <c r="C192" s="1134" t="str">
        <f>'Non-Core Opex Proj.'!D173</f>
        <v>Manpower cost</v>
      </c>
      <c r="D192" s="54"/>
      <c r="E192" s="54"/>
      <c r="F192" s="54"/>
      <c r="G192" s="54">
        <v>0</v>
      </c>
      <c r="H192" s="54">
        <v>0</v>
      </c>
      <c r="I192" s="54">
        <v>3226620.52</v>
      </c>
      <c r="J192" s="54">
        <v>20848783.830000002</v>
      </c>
      <c r="K192" s="54">
        <v>31567980.089999996</v>
      </c>
      <c r="L192" s="54">
        <f>SUMIF('Non-Core Opex Proj.'!$B$139:$B$157,$A192,'Non-Core Opex Proj.'!F$139:F$157)</f>
        <v>32791983.949999999</v>
      </c>
      <c r="M192" s="54">
        <f>SUMIF('Non-Core Opex Proj.'!$B$139:$B$157,$A192,'Non-Core Opex Proj.'!G$139:G$157)</f>
        <v>32531099.32</v>
      </c>
      <c r="N192" s="54">
        <f>SUMIF('Non-Core Opex Proj.'!$B$172:$B$190,$A192,'Non-Core Opex Proj.'!H$172:H$190)</f>
        <v>26503545.280000001</v>
      </c>
      <c r="O192" s="54">
        <f>SUMIF('Non-Core Opex Proj.'!$B$172:$B$190,$A192,'Non-Core Opex Proj.'!I$172:I$190)</f>
        <v>0</v>
      </c>
      <c r="P192" s="54">
        <f>SUMIF('Non-Core Opex Proj.'!$B$172:$B$190,$A192,'Non-Core Opex Proj.'!J$172:J$190)</f>
        <v>0</v>
      </c>
      <c r="Q192" s="68">
        <f>SUMIF('Non-Core Opex Proj.'!$B$139:$B$157,$A192,'Non-Core Opex Proj.'!K$139:K$157)</f>
        <v>0</v>
      </c>
      <c r="R192" s="68">
        <f>SUMIF('Non-Core Opex Proj.'!$B$139:$B$157,$A192,'Non-Core Opex Proj.'!L$139:L$157)</f>
        <v>0</v>
      </c>
      <c r="S192" s="68">
        <f>SUMIF('Non-Core Opex Proj.'!$B$139:$B$157,$A192,'Non-Core Opex Proj.'!M$139:M$157)</f>
        <v>0</v>
      </c>
      <c r="T192" s="68">
        <f>SUMIF('Non-Core Opex Proj.'!$B$139:$B$157,$A192,'Non-Core Opex Proj.'!N$139:N$157)</f>
        <v>0</v>
      </c>
      <c r="U192" s="68">
        <f>SUMIF('Non-Core Opex Proj.'!$B$139:$B$157,$A192,'Non-Core Opex Proj.'!O$139:O$157)</f>
        <v>0</v>
      </c>
      <c r="V192" s="68">
        <f>SUMIF('Non-Core Opex Proj.'!$B$139:$B$157,$A192,'Non-Core Opex Proj.'!P$139:P$157)</f>
        <v>0</v>
      </c>
      <c r="W192" s="54"/>
      <c r="X192" s="486"/>
      <c r="Y192" s="471"/>
      <c r="Z192" s="471"/>
      <c r="AA192" s="471"/>
    </row>
    <row r="193" spans="1:27" s="220" customFormat="1">
      <c r="A193" s="450" t="s">
        <v>103</v>
      </c>
      <c r="C193" s="1134" t="str">
        <f>'Non-Core Opex Proj.'!D174</f>
        <v>Manpower cost</v>
      </c>
      <c r="D193" s="54"/>
      <c r="E193" s="54"/>
      <c r="F193" s="54"/>
      <c r="G193" s="54"/>
      <c r="H193" s="54"/>
      <c r="I193" s="54">
        <v>0</v>
      </c>
      <c r="J193" s="54">
        <v>968096.78999999992</v>
      </c>
      <c r="K193" s="54">
        <v>1148175.2100000002</v>
      </c>
      <c r="L193" s="54">
        <f>SUMIF('Non-Core Opex Proj.'!$B$139:$B$157,$A193,'Non-Core Opex Proj.'!F$139:F$157)</f>
        <v>1285903.31</v>
      </c>
      <c r="M193" s="54">
        <f>SUMIF('Non-Core Opex Proj.'!$B$139:$B$157,$A193,'Non-Core Opex Proj.'!G$139:G$157)</f>
        <v>1281426.1664162946</v>
      </c>
      <c r="N193" s="54">
        <f>SUMIF('Non-Core Opex Proj.'!$B$172:$B$190,$A193,'Non-Core Opex Proj.'!H$172:H$190)</f>
        <v>1108211.6000000001</v>
      </c>
      <c r="O193" s="54">
        <f>SUMIF('Non-Core Opex Proj.'!$B$172:$B$190,$A193,'Non-Core Opex Proj.'!I$172:I$190)</f>
        <v>0</v>
      </c>
      <c r="P193" s="54">
        <f>SUMIF('Non-Core Opex Proj.'!$B$172:$B$190,$A193,'Non-Core Opex Proj.'!J$172:J$190)</f>
        <v>0</v>
      </c>
      <c r="Q193" s="68">
        <f>SUMIF('Non-Core Opex Proj.'!$B$139:$B$157,$A193,'Non-Core Opex Proj.'!K$139:K$157)</f>
        <v>0</v>
      </c>
      <c r="R193" s="68">
        <f>SUMIF('Non-Core Opex Proj.'!$B$139:$B$157,$A193,'Non-Core Opex Proj.'!L$139:L$157)</f>
        <v>0</v>
      </c>
      <c r="S193" s="68">
        <f>SUMIF('Non-Core Opex Proj.'!$B$139:$B$157,$A193,'Non-Core Opex Proj.'!M$139:M$157)</f>
        <v>0</v>
      </c>
      <c r="T193" s="68">
        <f>SUMIF('Non-Core Opex Proj.'!$B$139:$B$157,$A193,'Non-Core Opex Proj.'!N$139:N$157)</f>
        <v>0</v>
      </c>
      <c r="U193" s="68">
        <f>SUMIF('Non-Core Opex Proj.'!$B$139:$B$157,$A193,'Non-Core Opex Proj.'!O$139:O$157)</f>
        <v>0</v>
      </c>
      <c r="V193" s="68">
        <f>SUMIF('Non-Core Opex Proj.'!$B$139:$B$157,$A193,'Non-Core Opex Proj.'!P$139:P$157)</f>
        <v>0</v>
      </c>
      <c r="W193" s="54"/>
      <c r="X193" s="486"/>
      <c r="Y193" s="471"/>
      <c r="Z193" s="471"/>
      <c r="AA193" s="471"/>
    </row>
    <row r="194" spans="1:27" s="220" customFormat="1">
      <c r="A194" s="450" t="s">
        <v>104</v>
      </c>
      <c r="C194" s="1134" t="str">
        <f>'Non-Core Opex Proj.'!D175</f>
        <v>Manpower cost</v>
      </c>
      <c r="D194" s="54"/>
      <c r="E194" s="54"/>
      <c r="F194" s="54"/>
      <c r="G194" s="54"/>
      <c r="H194" s="54"/>
      <c r="I194" s="54">
        <v>0</v>
      </c>
      <c r="J194" s="54">
        <v>1767282</v>
      </c>
      <c r="K194" s="54">
        <v>2370540</v>
      </c>
      <c r="L194" s="54">
        <f>SUMIF('Non-Core Opex Proj.'!$B$139:$B$157,$A194,'Non-Core Opex Proj.'!F$139:F$157)</f>
        <v>1193525.1199999996</v>
      </c>
      <c r="M194" s="54">
        <f>SUMIF('Non-Core Opex Proj.'!$B$139:$B$157,$A194,'Non-Core Opex Proj.'!G$139:G$157)</f>
        <v>500759</v>
      </c>
      <c r="N194" s="54">
        <f>SUMIF('Non-Core Opex Proj.'!$B$172:$B$190,$A194,'Non-Core Opex Proj.'!H$172:H$190)</f>
        <v>1001520</v>
      </c>
      <c r="O194" s="54">
        <f>SUMIF('Non-Core Opex Proj.'!$B$172:$B$190,$A194,'Non-Core Opex Proj.'!I$172:I$190)</f>
        <v>0</v>
      </c>
      <c r="P194" s="54">
        <f>SUMIF('Non-Core Opex Proj.'!$B$172:$B$190,$A194,'Non-Core Opex Proj.'!J$172:J$190)</f>
        <v>0</v>
      </c>
      <c r="Q194" s="68">
        <f>SUMIF('Non-Core Opex Proj.'!$B$139:$B$157,$A194,'Non-Core Opex Proj.'!K$139:K$157)</f>
        <v>0</v>
      </c>
      <c r="R194" s="68">
        <f>SUMIF('Non-Core Opex Proj.'!$B$139:$B$157,$A194,'Non-Core Opex Proj.'!L$139:L$157)</f>
        <v>0</v>
      </c>
      <c r="S194" s="68">
        <f>SUMIF('Non-Core Opex Proj.'!$B$139:$B$157,$A194,'Non-Core Opex Proj.'!M$139:M$157)</f>
        <v>0</v>
      </c>
      <c r="T194" s="68">
        <f>SUMIF('Non-Core Opex Proj.'!$B$139:$B$157,$A194,'Non-Core Opex Proj.'!N$139:N$157)</f>
        <v>0</v>
      </c>
      <c r="U194" s="68">
        <f>SUMIF('Non-Core Opex Proj.'!$B$139:$B$157,$A194,'Non-Core Opex Proj.'!O$139:O$157)</f>
        <v>0</v>
      </c>
      <c r="V194" s="68">
        <f>SUMIF('Non-Core Opex Proj.'!$B$139:$B$157,$A194,'Non-Core Opex Proj.'!P$139:P$157)</f>
        <v>0</v>
      </c>
      <c r="W194" s="54"/>
      <c r="X194" s="486"/>
      <c r="Y194" s="471"/>
      <c r="Z194" s="471"/>
      <c r="AA194" s="471"/>
    </row>
    <row r="195" spans="1:27" s="220" customFormat="1">
      <c r="A195" s="1074" t="s">
        <v>132</v>
      </c>
      <c r="C195" s="1134" t="str">
        <f>'Non-Core Opex Proj.'!D176</f>
        <v>-</v>
      </c>
      <c r="D195" s="54"/>
      <c r="E195" s="54"/>
      <c r="F195" s="54"/>
      <c r="G195" s="54">
        <v>0</v>
      </c>
      <c r="H195" s="54">
        <v>0</v>
      </c>
      <c r="I195" s="54">
        <v>0</v>
      </c>
      <c r="J195" s="54">
        <v>5700000</v>
      </c>
      <c r="K195" s="54">
        <v>5700000</v>
      </c>
      <c r="L195" s="54">
        <f>SUMIF('Non-Core Opex Proj.'!$B$139:$B$157,$A195,'Non-Core Opex Proj.'!F$139:F$157)</f>
        <v>5700000</v>
      </c>
      <c r="M195" s="54">
        <f>SUMIF('Non-Core Opex Proj.'!$B$139:$B$157,$A195,'Non-Core Opex Proj.'!G$139:G$157)</f>
        <v>0</v>
      </c>
      <c r="N195" s="54">
        <f>SUMIF('Non-Core Opex Proj.'!$B$172:$B$190,$A195,'Non-Core Opex Proj.'!H$172:H$190)</f>
        <v>5700000</v>
      </c>
      <c r="O195" s="54">
        <f>SUMIF('Non-Core Opex Proj.'!$B$172:$B$190,$A195,'Non-Core Opex Proj.'!I$172:I$190)</f>
        <v>0</v>
      </c>
      <c r="P195" s="54">
        <f>SUMIF('Non-Core Opex Proj.'!$B$172:$B$190,$A195,'Non-Core Opex Proj.'!J$172:J$190)</f>
        <v>0</v>
      </c>
      <c r="Q195" s="68">
        <f>SUMIF('Non-Core Opex Proj.'!$B$139:$B$157,$A195,'Non-Core Opex Proj.'!K$139:K$157)</f>
        <v>0</v>
      </c>
      <c r="R195" s="68">
        <f>SUMIF('Non-Core Opex Proj.'!$B$139:$B$157,$A195,'Non-Core Opex Proj.'!L$139:L$157)</f>
        <v>0</v>
      </c>
      <c r="S195" s="68">
        <f>SUMIF('Non-Core Opex Proj.'!$B$139:$B$157,$A195,'Non-Core Opex Proj.'!M$139:M$157)</f>
        <v>0</v>
      </c>
      <c r="T195" s="68">
        <f>SUMIF('Non-Core Opex Proj.'!$B$139:$B$157,$A195,'Non-Core Opex Proj.'!N$139:N$157)</f>
        <v>0</v>
      </c>
      <c r="U195" s="68">
        <f>SUMIF('Non-Core Opex Proj.'!$B$139:$B$157,$A195,'Non-Core Opex Proj.'!O$139:O$157)</f>
        <v>0</v>
      </c>
      <c r="V195" s="68">
        <f>SUMIF('Non-Core Opex Proj.'!$B$139:$B$157,$A195,'Non-Core Opex Proj.'!P$139:P$157)</f>
        <v>0</v>
      </c>
      <c r="W195" s="54"/>
      <c r="X195" s="486"/>
      <c r="Y195" s="471"/>
      <c r="Z195" s="471"/>
      <c r="AA195" s="471"/>
    </row>
    <row r="196" spans="1:27" s="220" customFormat="1">
      <c r="A196" s="1074" t="s">
        <v>1453</v>
      </c>
      <c r="C196" s="1134" t="str">
        <f>'Non-Core Opex Proj.'!D177</f>
        <v>Manpower cost</v>
      </c>
      <c r="D196" s="54"/>
      <c r="E196" s="54"/>
      <c r="F196" s="54"/>
      <c r="G196" s="54">
        <f>SUMIF('Non-Core Opex Proj.'!$B$172:$B$190,$A196,'Non-Core Opex Proj.'!A$172:A$190)</f>
        <v>0</v>
      </c>
      <c r="H196" s="54">
        <f>SUMIF('Non-Core Opex Proj.'!$B$172:$B$190,$A196,'Non-Core Opex Proj.'!B$172:B$190)</f>
        <v>0</v>
      </c>
      <c r="I196" s="54">
        <f>SUMIF('Non-Core Opex Proj.'!$B$172:$B$190,$A196,'Non-Core Opex Proj.'!C$172:C$190)</f>
        <v>0</v>
      </c>
      <c r="J196" s="54">
        <f>SUMIF('Non-Core Opex Proj.'!$B$172:$B$190,$A196,'Non-Core Opex Proj.'!D$172:D$190)</f>
        <v>0</v>
      </c>
      <c r="K196" s="54">
        <f>SUMIF('Non-Core Opex Proj.'!$B$172:$B$190,$A196,'Non-Core Opex Proj.'!E$172:E$190)</f>
        <v>0</v>
      </c>
      <c r="L196" s="54">
        <f>SUMIF('Non-Core Opex Proj.'!$B$172:$B$190,$A196,'Non-Core Opex Proj.'!F$172:F$190)</f>
        <v>2728355.6900000004</v>
      </c>
      <c r="M196" s="54">
        <f>SUMIF('Non-Core Opex Proj.'!$B$172:$B$190,$A196,'Non-Core Opex Proj.'!G$172:G$190)</f>
        <v>2482143.1541666696</v>
      </c>
      <c r="N196" s="54">
        <f>SUMIF('Non-Core Opex Proj.'!$B$172:$B$190,$A196,'Non-Core Opex Proj.'!H$172:H$190)</f>
        <v>2208643.6500000004</v>
      </c>
      <c r="O196" s="54">
        <f>SUMIF('Non-Core Opex Proj.'!$B$172:$B$190,$A196,'Non-Core Opex Proj.'!I$172:I$190)</f>
        <v>0</v>
      </c>
      <c r="P196" s="54">
        <f>SUMIF('Non-Core Opex Proj.'!$B$172:$B$190,$A196,'Non-Core Opex Proj.'!J$172:J$190)</f>
        <v>0</v>
      </c>
      <c r="Q196" s="68"/>
      <c r="R196" s="68"/>
      <c r="S196" s="68"/>
      <c r="T196" s="68"/>
      <c r="U196" s="68"/>
      <c r="V196" s="68"/>
      <c r="W196" s="54"/>
      <c r="X196" s="486"/>
      <c r="Y196" s="471"/>
      <c r="Z196" s="471"/>
      <c r="AA196" s="471"/>
    </row>
    <row r="197" spans="1:27" s="220" customFormat="1">
      <c r="A197" s="54" t="s">
        <v>105</v>
      </c>
      <c r="C197" s="1134" t="str">
        <f>'Non-Core Opex Proj.'!D178</f>
        <v>Manpower cost</v>
      </c>
      <c r="D197" s="54"/>
      <c r="E197" s="54"/>
      <c r="F197" s="54"/>
      <c r="G197" s="54">
        <v>0</v>
      </c>
      <c r="H197" s="54">
        <v>0</v>
      </c>
      <c r="I197" s="54">
        <v>0</v>
      </c>
      <c r="J197" s="54">
        <v>0</v>
      </c>
      <c r="K197" s="54">
        <v>0</v>
      </c>
      <c r="L197" s="54">
        <f>SUMIF('Non-Core Opex Proj.'!$B$139:$B$157,$A197,'Non-Core Opex Proj.'!F$139:F$157)</f>
        <v>0</v>
      </c>
      <c r="M197" s="54">
        <f>SUMIF('Non-Core Opex Proj.'!$B$139:$B$157,$A197,'Non-Core Opex Proj.'!G$139:G$157)</f>
        <v>0</v>
      </c>
      <c r="N197" s="54">
        <f>SUMIF('Non-Core Opex Proj.'!$B$172:$B$190,$A197,'Non-Core Opex Proj.'!H$172:H$190)</f>
        <v>0</v>
      </c>
      <c r="O197" s="54">
        <f>SUMIF('Non-Core Opex Proj.'!$B$172:$B$190,$A197,'Non-Core Opex Proj.'!I$172:I$190)</f>
        <v>0</v>
      </c>
      <c r="P197" s="54">
        <f>SUMIF('Non-Core Opex Proj.'!$B$172:$B$190,$A197,'Non-Core Opex Proj.'!J$172:J$190)</f>
        <v>0</v>
      </c>
      <c r="Q197" s="68">
        <f>SUMIF('Non-Core Opex Proj.'!$B$139:$B$157,$A197,'Non-Core Opex Proj.'!K$139:K$157)</f>
        <v>0</v>
      </c>
      <c r="R197" s="68">
        <f>SUMIF('Non-Core Opex Proj.'!$B$139:$B$157,$A197,'Non-Core Opex Proj.'!L$139:L$157)</f>
        <v>0</v>
      </c>
      <c r="S197" s="68">
        <f>SUMIF('Non-Core Opex Proj.'!$B$139:$B$157,$A197,'Non-Core Opex Proj.'!M$139:M$157)</f>
        <v>0</v>
      </c>
      <c r="T197" s="68">
        <f>SUMIF('Non-Core Opex Proj.'!$B$139:$B$157,$A197,'Non-Core Opex Proj.'!N$139:N$157)</f>
        <v>0</v>
      </c>
      <c r="U197" s="68">
        <f>SUMIF('Non-Core Opex Proj.'!$B$139:$B$157,$A197,'Non-Core Opex Proj.'!O$139:O$157)</f>
        <v>0</v>
      </c>
      <c r="V197" s="68">
        <f>SUMIF('Non-Core Opex Proj.'!$B$139:$B$157,$A197,'Non-Core Opex Proj.'!P$139:P$157)</f>
        <v>0</v>
      </c>
      <c r="W197" s="54"/>
      <c r="X197" s="486"/>
      <c r="Y197" s="471"/>
      <c r="Z197" s="471"/>
      <c r="AA197" s="471"/>
    </row>
    <row r="198" spans="1:27" s="220" customFormat="1">
      <c r="A198" s="54" t="s">
        <v>106</v>
      </c>
      <c r="C198" s="1134" t="str">
        <f>'Non-Core Opex Proj.'!D179</f>
        <v>Yuen Long Project costs</v>
      </c>
      <c r="D198" s="54"/>
      <c r="E198" s="54"/>
      <c r="F198" s="54"/>
      <c r="G198" s="54">
        <f>1544438+654344+278684+47359</f>
        <v>2524825</v>
      </c>
      <c r="H198" s="54">
        <v>2490249</v>
      </c>
      <c r="I198" s="54">
        <v>2332328</v>
      </c>
      <c r="J198" s="54">
        <v>2493024</v>
      </c>
      <c r="K198" s="54">
        <v>2603524</v>
      </c>
      <c r="L198" s="54">
        <f>SUMIF('Non-Core Opex Proj.'!$B$139:$B$157,$A198,'Non-Core Opex Proj.'!F$139:F$157)</f>
        <v>2719224</v>
      </c>
      <c r="M198" s="54">
        <f>SUMIF('Non-Core Opex Proj.'!$B$139:$B$157,$A198,'Non-Core Opex Proj.'!G$139:G$157)</f>
        <v>2356493</v>
      </c>
      <c r="N198" s="54">
        <f>SUMIF('Non-Core Opex Proj.'!$B$172:$B$190,$A198,'Non-Core Opex Proj.'!H$172:H$190)</f>
        <v>-2081403.3099999996</v>
      </c>
      <c r="O198" s="54">
        <f>SUMIF('Non-Core Opex Proj.'!$B$172:$B$190,$A198,'Non-Core Opex Proj.'!I$172:I$190)</f>
        <v>0</v>
      </c>
      <c r="P198" s="54">
        <f>SUMIF('Non-Core Opex Proj.'!$B$172:$B$190,$A198,'Non-Core Opex Proj.'!J$172:J$190)</f>
        <v>0</v>
      </c>
      <c r="Q198" s="68">
        <f>SUMIF('Non-Core Opex Proj.'!$B$139:$B$157,$A198,'Non-Core Opex Proj.'!K$139:K$157)</f>
        <v>0</v>
      </c>
      <c r="R198" s="68">
        <f>SUMIF('Non-Core Opex Proj.'!$B$139:$B$157,$A198,'Non-Core Opex Proj.'!L$139:L$157)</f>
        <v>0</v>
      </c>
      <c r="S198" s="68">
        <f>SUMIF('Non-Core Opex Proj.'!$B$139:$B$157,$A198,'Non-Core Opex Proj.'!M$139:M$157)</f>
        <v>0</v>
      </c>
      <c r="T198" s="68">
        <f>SUMIF('Non-Core Opex Proj.'!$B$139:$B$157,$A198,'Non-Core Opex Proj.'!N$139:N$157)</f>
        <v>0</v>
      </c>
      <c r="U198" s="68">
        <f>SUMIF('Non-Core Opex Proj.'!$B$139:$B$157,$A198,'Non-Core Opex Proj.'!O$139:O$157)</f>
        <v>0</v>
      </c>
      <c r="V198" s="68">
        <f>SUMIF('Non-Core Opex Proj.'!$B$139:$B$157,$A198,'Non-Core Opex Proj.'!P$139:P$157)</f>
        <v>0</v>
      </c>
      <c r="W198" s="54"/>
      <c r="X198" s="486"/>
      <c r="Y198" s="471"/>
      <c r="Z198" s="471"/>
      <c r="AA198" s="471"/>
    </row>
    <row r="199" spans="1:27" s="220" customFormat="1">
      <c r="A199" s="54" t="s">
        <v>1303</v>
      </c>
      <c r="C199" s="1134" t="str">
        <f>'Non-Core Opex Proj.'!D180</f>
        <v>Trial run &amp; PV</v>
      </c>
      <c r="D199" s="54"/>
      <c r="E199" s="54"/>
      <c r="F199" s="54"/>
      <c r="G199" s="54">
        <v>0</v>
      </c>
      <c r="H199" s="54">
        <v>0</v>
      </c>
      <c r="I199" s="54">
        <v>2520</v>
      </c>
      <c r="J199" s="54">
        <v>259888</v>
      </c>
      <c r="K199" s="54">
        <v>124117</v>
      </c>
      <c r="L199" s="54">
        <f>SUMIF('Non-Core Opex Proj.'!$B$139:$B$157,$A199,'Non-Core Opex Proj.'!F$139:F$157)</f>
        <v>9401134.1999999993</v>
      </c>
      <c r="M199" s="54">
        <f>SUMIF('Non-Core Opex Proj.'!$B$139:$B$157,$A199,'Non-Core Opex Proj.'!G$139:G$157)</f>
        <v>15204147.9</v>
      </c>
      <c r="N199" s="54">
        <f>SUMIF('Non-Core Opex Proj.'!$B$172:$B$190,$A199,'Non-Core Opex Proj.'!H$172:H$190)</f>
        <v>16529173.449999999</v>
      </c>
      <c r="O199" s="54">
        <f>SUMIF('Non-Core Opex Proj.'!$B$172:$B$190,$A199,'Non-Core Opex Proj.'!I$172:I$190)</f>
        <v>0</v>
      </c>
      <c r="P199" s="54">
        <f>SUMIF('Non-Core Opex Proj.'!$B$172:$B$190,$A199,'Non-Core Opex Proj.'!J$172:J$190)</f>
        <v>0</v>
      </c>
      <c r="Q199" s="68">
        <f>SUMIF('Non-Core Opex Proj.'!$B$139:$B$157,$A199,'Non-Core Opex Proj.'!K$139:K$157)</f>
        <v>0</v>
      </c>
      <c r="R199" s="68">
        <f>SUMIF('Non-Core Opex Proj.'!$B$139:$B$157,$A199,'Non-Core Opex Proj.'!L$139:L$157)</f>
        <v>0</v>
      </c>
      <c r="S199" s="68">
        <f>SUMIF('Non-Core Opex Proj.'!$B$139:$B$157,$A199,'Non-Core Opex Proj.'!M$139:M$157)</f>
        <v>0</v>
      </c>
      <c r="T199" s="68">
        <f>SUMIF('Non-Core Opex Proj.'!$B$139:$B$157,$A199,'Non-Core Opex Proj.'!N$139:N$157)</f>
        <v>0</v>
      </c>
      <c r="U199" s="68">
        <f>SUMIF('Non-Core Opex Proj.'!$B$139:$B$157,$A199,'Non-Core Opex Proj.'!O$139:O$157)</f>
        <v>0</v>
      </c>
      <c r="V199" s="68">
        <f>SUMIF('Non-Core Opex Proj.'!$B$139:$B$157,$A199,'Non-Core Opex Proj.'!P$139:P$157)</f>
        <v>0</v>
      </c>
      <c r="W199" s="54"/>
      <c r="X199" s="486"/>
      <c r="Y199" s="471"/>
      <c r="Z199" s="471"/>
      <c r="AA199" s="471"/>
    </row>
    <row r="200" spans="1:27" s="220" customFormat="1">
      <c r="A200" s="54" t="s">
        <v>126</v>
      </c>
      <c r="C200" s="1134" t="str">
        <f>'Non-Core Opex Proj.'!D181</f>
        <v>Trial run &amp; PV</v>
      </c>
      <c r="D200" s="54"/>
      <c r="E200" s="54"/>
      <c r="F200" s="54"/>
      <c r="G200" s="54">
        <v>0</v>
      </c>
      <c r="H200" s="54">
        <v>0</v>
      </c>
      <c r="I200" s="54">
        <v>9049.83</v>
      </c>
      <c r="J200" s="54">
        <v>7366</v>
      </c>
      <c r="K200" s="54">
        <v>109155</v>
      </c>
      <c r="L200" s="54">
        <f>SUMIF('Non-Core Opex Proj.'!$B$139:$B$157,$A200,'Non-Core Opex Proj.'!F$139:F$157)</f>
        <v>1099947.9100000001</v>
      </c>
      <c r="M200" s="54">
        <f>SUMIF('Non-Core Opex Proj.'!$B$139:$B$157,$A200,'Non-Core Opex Proj.'!G$139:G$157)</f>
        <v>1779195.44</v>
      </c>
      <c r="N200" s="54">
        <f>SUMIF('Non-Core Opex Proj.'!$B$172:$B$190,$A200,'Non-Core Opex Proj.'!H$172:H$190)</f>
        <v>4815530.8899999997</v>
      </c>
      <c r="O200" s="54">
        <f>SUMIF('Non-Core Opex Proj.'!$B$172:$B$190,$A200,'Non-Core Opex Proj.'!I$172:I$190)</f>
        <v>0</v>
      </c>
      <c r="P200" s="54">
        <f>SUMIF('Non-Core Opex Proj.'!$B$172:$B$190,$A200,'Non-Core Opex Proj.'!J$172:J$190)</f>
        <v>0</v>
      </c>
      <c r="Q200" s="68">
        <f>SUMIF('Non-Core Opex Proj.'!$B$139:$B$157,$A200,'Non-Core Opex Proj.'!K$139:K$157)</f>
        <v>0</v>
      </c>
      <c r="R200" s="68">
        <f>SUMIF('Non-Core Opex Proj.'!$B$139:$B$157,$A200,'Non-Core Opex Proj.'!L$139:L$157)</f>
        <v>0</v>
      </c>
      <c r="S200" s="68">
        <f>SUMIF('Non-Core Opex Proj.'!$B$139:$B$157,$A200,'Non-Core Opex Proj.'!M$139:M$157)</f>
        <v>0</v>
      </c>
      <c r="T200" s="68">
        <f>SUMIF('Non-Core Opex Proj.'!$B$139:$B$157,$A200,'Non-Core Opex Proj.'!N$139:N$157)</f>
        <v>0</v>
      </c>
      <c r="U200" s="68">
        <f>SUMIF('Non-Core Opex Proj.'!$B$139:$B$157,$A200,'Non-Core Opex Proj.'!O$139:O$157)</f>
        <v>0</v>
      </c>
      <c r="V200" s="68">
        <f>SUMIF('Non-Core Opex Proj.'!$B$139:$B$157,$A200,'Non-Core Opex Proj.'!P$139:P$157)</f>
        <v>0</v>
      </c>
      <c r="W200" s="54"/>
      <c r="X200" s="486"/>
      <c r="Y200" s="471"/>
      <c r="Z200" s="471"/>
      <c r="AA200" s="471"/>
    </row>
    <row r="201" spans="1:27" s="220" customFormat="1">
      <c r="A201" s="54" t="s">
        <v>107</v>
      </c>
      <c r="C201" s="1134" t="str">
        <f>'Non-Core Opex Proj.'!D182</f>
        <v>Yuen Long Project costs</v>
      </c>
      <c r="D201" s="54"/>
      <c r="E201" s="54"/>
      <c r="F201" s="54"/>
      <c r="G201" s="54">
        <f>485437.210000001+ 3600000</f>
        <v>4085437.2100000009</v>
      </c>
      <c r="H201" s="54">
        <f>599812+3746600</f>
        <v>4346412</v>
      </c>
      <c r="I201" s="54">
        <v>3195976.31</v>
      </c>
      <c r="J201" s="54">
        <v>396469</v>
      </c>
      <c r="K201" s="54">
        <v>53100</v>
      </c>
      <c r="L201" s="54">
        <f>SUMIF('Non-Core Opex Proj.'!$B$139:$B$157,$A201,'Non-Core Opex Proj.'!F$139:F$157)</f>
        <v>34611</v>
      </c>
      <c r="M201" s="54">
        <f>SUMIF('Non-Core Opex Proj.'!$B$139:$B$157,$A201,'Non-Core Opex Proj.'!G$139:G$157)</f>
        <v>2827651.8</v>
      </c>
      <c r="N201" s="54">
        <f>SUMIF('Non-Core Opex Proj.'!$B$172:$B$190,$A201,'Non-Core Opex Proj.'!H$172:H$190)</f>
        <v>2273596</v>
      </c>
      <c r="O201" s="54">
        <f>SUMIF('Non-Core Opex Proj.'!$B$172:$B$190,$A201,'Non-Core Opex Proj.'!I$172:I$190)</f>
        <v>0</v>
      </c>
      <c r="P201" s="54">
        <f>SUMIF('Non-Core Opex Proj.'!$B$172:$B$190,$A201,'Non-Core Opex Proj.'!J$172:J$190)</f>
        <v>0</v>
      </c>
      <c r="Q201" s="68">
        <f>SUMIF('Non-Core Opex Proj.'!$B$139:$B$157,$A201,'Non-Core Opex Proj.'!K$139:K$157)</f>
        <v>0</v>
      </c>
      <c r="R201" s="68">
        <f>SUMIF('Non-Core Opex Proj.'!$B$139:$B$157,$A201,'Non-Core Opex Proj.'!L$139:L$157)</f>
        <v>0</v>
      </c>
      <c r="S201" s="68">
        <f>SUMIF('Non-Core Opex Proj.'!$B$139:$B$157,$A201,'Non-Core Opex Proj.'!M$139:M$157)</f>
        <v>0</v>
      </c>
      <c r="T201" s="68">
        <f>SUMIF('Non-Core Opex Proj.'!$B$139:$B$157,$A201,'Non-Core Opex Proj.'!N$139:N$157)</f>
        <v>0</v>
      </c>
      <c r="U201" s="68">
        <f>SUMIF('Non-Core Opex Proj.'!$B$139:$B$157,$A201,'Non-Core Opex Proj.'!O$139:O$157)</f>
        <v>0</v>
      </c>
      <c r="V201" s="68">
        <f>SUMIF('Non-Core Opex Proj.'!$B$139:$B$157,$A201,'Non-Core Opex Proj.'!P$139:P$157)</f>
        <v>0</v>
      </c>
      <c r="W201" s="54"/>
      <c r="X201" s="486"/>
      <c r="Y201" s="471"/>
      <c r="Z201" s="471"/>
      <c r="AA201" s="471"/>
    </row>
    <row r="202" spans="1:27" s="220" customFormat="1">
      <c r="A202" s="54" t="s">
        <v>108</v>
      </c>
      <c r="C202" s="1134" t="str">
        <f>'Non-Core Opex Proj.'!D183</f>
        <v>-</v>
      </c>
      <c r="D202" s="54"/>
      <c r="E202" s="54"/>
      <c r="F202" s="54"/>
      <c r="G202" s="54">
        <v>0</v>
      </c>
      <c r="H202" s="54">
        <v>0</v>
      </c>
      <c r="I202" s="54">
        <v>0</v>
      </c>
      <c r="J202" s="54">
        <v>0</v>
      </c>
      <c r="K202" s="54">
        <v>172</v>
      </c>
      <c r="L202" s="54">
        <f>SUMIF('Non-Core Opex Proj.'!$B$139:$B$157,$A202,'Non-Core Opex Proj.'!F$139:F$157)</f>
        <v>4826.329999999999</v>
      </c>
      <c r="M202" s="54">
        <f>SUMIF('Non-Core Opex Proj.'!$B$139:$B$157,$A202,'Non-Core Opex Proj.'!G$139:G$157)</f>
        <v>5788.6766666666672</v>
      </c>
      <c r="N202" s="54">
        <f>SUMIF('Non-Core Opex Proj.'!$B$172:$B$190,$A202,'Non-Core Opex Proj.'!H$172:H$190)</f>
        <v>17020187.449999999</v>
      </c>
      <c r="O202" s="54">
        <f>SUMIF('Non-Core Opex Proj.'!$B$172:$B$190,$A202,'Non-Core Opex Proj.'!I$172:I$190)</f>
        <v>0</v>
      </c>
      <c r="P202" s="54">
        <f>SUMIF('Non-Core Opex Proj.'!$B$172:$B$190,$A202,'Non-Core Opex Proj.'!J$172:J$190)</f>
        <v>0</v>
      </c>
      <c r="Q202" s="68">
        <f>SUMIF('Non-Core Opex Proj.'!$B$139:$B$157,$A202,'Non-Core Opex Proj.'!K$139:K$157)</f>
        <v>0</v>
      </c>
      <c r="R202" s="68">
        <f>SUMIF('Non-Core Opex Proj.'!$B$139:$B$157,$A202,'Non-Core Opex Proj.'!L$139:L$157)</f>
        <v>0</v>
      </c>
      <c r="S202" s="68">
        <f>SUMIF('Non-Core Opex Proj.'!$B$139:$B$157,$A202,'Non-Core Opex Proj.'!M$139:M$157)</f>
        <v>0</v>
      </c>
      <c r="T202" s="68">
        <f>SUMIF('Non-Core Opex Proj.'!$B$139:$B$157,$A202,'Non-Core Opex Proj.'!N$139:N$157)</f>
        <v>0</v>
      </c>
      <c r="U202" s="68">
        <f>SUMIF('Non-Core Opex Proj.'!$B$139:$B$157,$A202,'Non-Core Opex Proj.'!O$139:O$157)</f>
        <v>0</v>
      </c>
      <c r="V202" s="68">
        <f>SUMIF('Non-Core Opex Proj.'!$B$139:$B$157,$A202,'Non-Core Opex Proj.'!P$139:P$157)</f>
        <v>0</v>
      </c>
      <c r="W202" s="54"/>
      <c r="X202" s="486"/>
      <c r="Y202" s="471"/>
      <c r="Z202" s="471"/>
      <c r="AA202" s="471"/>
    </row>
    <row r="203" spans="1:27" s="220" customFormat="1">
      <c r="A203" s="1075" t="s">
        <v>1312</v>
      </c>
      <c r="C203" s="1134" t="str">
        <f>'Non-Core Opex Proj.'!D184</f>
        <v>CRO</v>
      </c>
      <c r="D203" s="54"/>
      <c r="E203" s="54"/>
      <c r="F203" s="54"/>
      <c r="G203" s="54">
        <v>490553</v>
      </c>
      <c r="H203" s="54"/>
      <c r="I203" s="54">
        <v>2281176.9</v>
      </c>
      <c r="J203" s="54">
        <v>3665031</v>
      </c>
      <c r="K203" s="54">
        <v>4484854.9400000004</v>
      </c>
      <c r="L203" s="54">
        <f>SUMIF('Non-Core Opex Proj.'!$B$139:$B$157,$A203,'Non-Core Opex Proj.'!F$139:F$157)</f>
        <v>2242331.0099999998</v>
      </c>
      <c r="M203" s="54">
        <f>SUMIF('Non-Core Opex Proj.'!$B$139:$B$157,$A203,'Non-Core Opex Proj.'!G$139:G$157)</f>
        <v>119333</v>
      </c>
      <c r="N203" s="54">
        <f>SUMIF('Non-Core Opex Proj.'!$B$172:$B$190,$A203,'Non-Core Opex Proj.'!H$172:H$190)</f>
        <v>660528.69000000006</v>
      </c>
      <c r="O203" s="54">
        <f>SUMIF('Non-Core Opex Proj.'!$B$172:$B$190,$A203,'Non-Core Opex Proj.'!I$172:I$190)</f>
        <v>0</v>
      </c>
      <c r="P203" s="54">
        <f>SUMIF('Non-Core Opex Proj.'!$B$172:$B$190,$A203,'Non-Core Opex Proj.'!J$172:J$190)</f>
        <v>0</v>
      </c>
      <c r="Q203" s="54">
        <f>SUMIF('Non-Core Opex Proj.'!$B$139:$B$157,$A203,'Non-Core Opex Proj.'!K$139:K$157)</f>
        <v>0</v>
      </c>
      <c r="R203" s="54">
        <f>SUMIF('Non-Core Opex Proj.'!$B$139:$B$157,$A203,'Non-Core Opex Proj.'!L$139:L$157)</f>
        <v>0</v>
      </c>
      <c r="S203" s="54">
        <f>SUMIF('Non-Core Opex Proj.'!$B$139:$B$157,$A203,'Non-Core Opex Proj.'!M$139:M$157)</f>
        <v>0</v>
      </c>
      <c r="T203" s="54">
        <f>SUMIF('Non-Core Opex Proj.'!$B$139:$B$157,$A203,'Non-Core Opex Proj.'!N$139:N$157)</f>
        <v>0</v>
      </c>
      <c r="U203" s="54">
        <f>SUMIF('Non-Core Opex Proj.'!$B$139:$B$157,$A203,'Non-Core Opex Proj.'!O$139:O$157)</f>
        <v>0</v>
      </c>
      <c r="V203" s="54">
        <f>SUMIF('Non-Core Opex Proj.'!$B$139:$B$157,$A203,'Non-Core Opex Proj.'!P$139:P$157)</f>
        <v>0</v>
      </c>
      <c r="W203" s="54"/>
      <c r="X203" s="486"/>
      <c r="Y203" s="471"/>
      <c r="Z203" s="471"/>
      <c r="AA203" s="471"/>
    </row>
    <row r="204" spans="1:27" s="220" customFormat="1">
      <c r="A204" s="1075" t="s">
        <v>1314</v>
      </c>
      <c r="C204" s="1134" t="str">
        <f>'Non-Core Opex Proj.'!D185</f>
        <v>Trial run &amp; PV</v>
      </c>
      <c r="D204" s="54"/>
      <c r="E204" s="54"/>
      <c r="F204" s="54"/>
      <c r="G204" s="54"/>
      <c r="H204" s="54"/>
      <c r="I204" s="54">
        <v>0</v>
      </c>
      <c r="J204" s="54">
        <v>0</v>
      </c>
      <c r="K204" s="54">
        <v>168937.37</v>
      </c>
      <c r="L204" s="54">
        <f>SUMIF('Non-Core Opex Proj.'!$B$139:$B$157,$A204,'Non-Core Opex Proj.'!F$139:F$157)</f>
        <v>1097105.3399999999</v>
      </c>
      <c r="M204" s="54">
        <f>SUMIF('Non-Core Opex Proj.'!$B$139:$B$157,$A204,'Non-Core Opex Proj.'!G$139:G$157)</f>
        <v>1059065.1700000002</v>
      </c>
      <c r="N204" s="54">
        <f>SUMIF('Non-Core Opex Proj.'!$B$172:$B$190,$A204,'Non-Core Opex Proj.'!H$172:H$190)</f>
        <v>513996.9200000001</v>
      </c>
      <c r="O204" s="54">
        <f>SUMIF('Non-Core Opex Proj.'!$B$172:$B$190,$A204,'Non-Core Opex Proj.'!I$172:I$190)</f>
        <v>0</v>
      </c>
      <c r="P204" s="54">
        <f>SUMIF('Non-Core Opex Proj.'!$B$172:$B$190,$A204,'Non-Core Opex Proj.'!J$172:J$190)</f>
        <v>0</v>
      </c>
      <c r="Q204" s="54">
        <f>SUMIF('Non-Core Opex Proj.'!$B$139:$B$157,$A204,'Non-Core Opex Proj.'!K$139:K$157)</f>
        <v>0</v>
      </c>
      <c r="R204" s="54">
        <f>SUMIF('Non-Core Opex Proj.'!$B$139:$B$157,$A204,'Non-Core Opex Proj.'!L$139:L$157)</f>
        <v>0</v>
      </c>
      <c r="S204" s="54">
        <f>SUMIF('Non-Core Opex Proj.'!$B$139:$B$157,$A204,'Non-Core Opex Proj.'!M$139:M$157)</f>
        <v>0</v>
      </c>
      <c r="T204" s="54">
        <f>SUMIF('Non-Core Opex Proj.'!$B$139:$B$157,$A204,'Non-Core Opex Proj.'!N$139:N$157)</f>
        <v>0</v>
      </c>
      <c r="U204" s="54">
        <f>SUMIF('Non-Core Opex Proj.'!$B$139:$B$157,$A204,'Non-Core Opex Proj.'!O$139:O$157)</f>
        <v>0</v>
      </c>
      <c r="V204" s="54">
        <f>SUMIF('Non-Core Opex Proj.'!$B$139:$B$157,$A204,'Non-Core Opex Proj.'!P$139:P$157)</f>
        <v>0</v>
      </c>
      <c r="W204" s="54"/>
      <c r="X204" s="486"/>
      <c r="Y204" s="471"/>
      <c r="Z204" s="471"/>
      <c r="AA204" s="471"/>
    </row>
    <row r="205" spans="1:27" s="220" customFormat="1">
      <c r="A205" s="54" t="s">
        <v>717</v>
      </c>
      <c r="C205" s="1134" t="str">
        <f>'Non-Core Opex Proj.'!D186</f>
        <v>-</v>
      </c>
      <c r="D205" s="54"/>
      <c r="E205" s="54"/>
      <c r="F205" s="54"/>
      <c r="G205" s="54"/>
      <c r="H205" s="54"/>
      <c r="I205" s="54"/>
      <c r="J205" s="54"/>
      <c r="K205" s="54"/>
      <c r="L205" s="54">
        <f>SUMIF('Non-Core Opex Proj.'!$B$139:$B$157,$A205,'Non-Core Opex Proj.'!F$139:F$157)</f>
        <v>0</v>
      </c>
      <c r="M205" s="54">
        <f>SUMIF('Non-Core Opex Proj.'!$B$139:$B$157,$A205,'Non-Core Opex Proj.'!G$139:G$157)</f>
        <v>0</v>
      </c>
      <c r="N205" s="54">
        <f>SUMIF('Non-Core Opex Proj.'!$B$172:$B$190,$A205,'Non-Core Opex Proj.'!H$172:H$190)</f>
        <v>0</v>
      </c>
      <c r="O205" s="54">
        <f>SUMIF('Non-Core Opex Proj.'!$B$172:$B$190,$A205,'Non-Core Opex Proj.'!I$172:I$190)</f>
        <v>0</v>
      </c>
      <c r="P205" s="54">
        <f>SUMIF('Non-Core Opex Proj.'!$B$172:$B$190,$A205,'Non-Core Opex Proj.'!J$172:J$190)</f>
        <v>0</v>
      </c>
      <c r="Q205" s="54">
        <f>SUMIF('Non-Core Opex Proj.'!$B$139:$B$157,$A205,'Non-Core Opex Proj.'!K$139:K$157)</f>
        <v>0</v>
      </c>
      <c r="R205" s="54">
        <f>SUMIF('Non-Core Opex Proj.'!$B$139:$B$157,$A205,'Non-Core Opex Proj.'!L$139:L$157)</f>
        <v>0</v>
      </c>
      <c r="S205" s="54">
        <f>SUMIF('Non-Core Opex Proj.'!$B$139:$B$157,$A205,'Non-Core Opex Proj.'!M$139:M$157)</f>
        <v>0</v>
      </c>
      <c r="T205" s="54">
        <f>SUMIF('Non-Core Opex Proj.'!$B$139:$B$157,$A205,'Non-Core Opex Proj.'!N$139:N$157)</f>
        <v>0</v>
      </c>
      <c r="U205" s="54">
        <f>SUMIF('Non-Core Opex Proj.'!$B$139:$B$157,$A205,'Non-Core Opex Proj.'!O$139:O$157)</f>
        <v>0</v>
      </c>
      <c r="V205" s="54">
        <f>SUMIF('Non-Core Opex Proj.'!$B$139:$B$157,$A205,'Non-Core Opex Proj.'!P$139:P$157)</f>
        <v>0</v>
      </c>
      <c r="W205" s="54"/>
      <c r="X205" s="486"/>
      <c r="Y205" s="471"/>
      <c r="Z205" s="471"/>
      <c r="AA205" s="471"/>
    </row>
    <row r="206" spans="1:27" s="220" customFormat="1">
      <c r="A206" s="54" t="s">
        <v>716</v>
      </c>
      <c r="C206" s="1134" t="str">
        <f>'Non-Core Opex Proj.'!D187</f>
        <v>Yuen Long Project costs</v>
      </c>
      <c r="D206" s="54"/>
      <c r="E206" s="54"/>
      <c r="F206" s="54"/>
      <c r="G206" s="54"/>
      <c r="H206" s="54"/>
      <c r="I206" s="54"/>
      <c r="J206" s="54"/>
      <c r="K206" s="54"/>
      <c r="L206" s="54">
        <f>SUMIF('Non-Core Opex Proj.'!$B$139:$B$157,$A206,'Non-Core Opex Proj.'!F$139:F$157)</f>
        <v>0</v>
      </c>
      <c r="M206" s="54">
        <f>SUMIF('Non-Core Opex Proj.'!$B$139:$B$157,$A206,'Non-Core Opex Proj.'!G$139:G$157)</f>
        <v>0</v>
      </c>
      <c r="N206" s="54">
        <f>SUMIF('Non-Core Opex Proj.'!$B$172:$B$190,$A206,'Non-Core Opex Proj.'!H$172:H$190)</f>
        <v>0</v>
      </c>
      <c r="O206" s="54">
        <f>SUMIF('Non-Core Opex Proj.'!$B$172:$B$190,$A206,'Non-Core Opex Proj.'!I$172:I$190)</f>
        <v>0</v>
      </c>
      <c r="P206" s="54">
        <f>SUMIF('Non-Core Opex Proj.'!$B$172:$B$190,$A206,'Non-Core Opex Proj.'!J$172:J$190)</f>
        <v>0</v>
      </c>
      <c r="Q206" s="54">
        <f>SUMIF('Non-Core Opex Proj.'!$B$139:$B$157,$A206,'Non-Core Opex Proj.'!K$139:K$157)</f>
        <v>0</v>
      </c>
      <c r="R206" s="54">
        <f>SUMIF('Non-Core Opex Proj.'!$B$139:$B$157,$A206,'Non-Core Opex Proj.'!L$139:L$157)</f>
        <v>0</v>
      </c>
      <c r="S206" s="54">
        <f>SUMIF('Non-Core Opex Proj.'!$B$139:$B$157,$A206,'Non-Core Opex Proj.'!M$139:M$157)</f>
        <v>0</v>
      </c>
      <c r="T206" s="54">
        <f>SUMIF('Non-Core Opex Proj.'!$B$139:$B$157,$A206,'Non-Core Opex Proj.'!N$139:N$157)</f>
        <v>0</v>
      </c>
      <c r="U206" s="54">
        <f>SUMIF('Non-Core Opex Proj.'!$B$139:$B$157,$A206,'Non-Core Opex Proj.'!O$139:O$157)</f>
        <v>0</v>
      </c>
      <c r="V206" s="54">
        <f>SUMIF('Non-Core Opex Proj.'!$B$139:$B$157,$A206,'Non-Core Opex Proj.'!P$139:P$157)</f>
        <v>0</v>
      </c>
      <c r="W206" s="54"/>
      <c r="X206" s="486"/>
      <c r="Y206" s="471"/>
      <c r="Z206" s="471"/>
      <c r="AA206" s="471"/>
    </row>
    <row r="207" spans="1:27" s="220" customFormat="1">
      <c r="A207" s="54" t="s">
        <v>718</v>
      </c>
      <c r="C207" s="1134" t="str">
        <f>'Non-Core Opex Proj.'!D188</f>
        <v>Yuen Long Project costs</v>
      </c>
      <c r="D207" s="54"/>
      <c r="E207" s="54"/>
      <c r="F207" s="54"/>
      <c r="G207" s="54"/>
      <c r="H207" s="54"/>
      <c r="I207" s="54"/>
      <c r="J207" s="54"/>
      <c r="K207" s="54"/>
      <c r="L207" s="54">
        <f>SUMIF('Non-Core Opex Proj.'!$B$139:$B$157,$A207,'Non-Core Opex Proj.'!F$139:F$157)</f>
        <v>0</v>
      </c>
      <c r="M207" s="54">
        <f>SUMIF('Non-Core Opex Proj.'!$B$139:$B$157,$A207,'Non-Core Opex Proj.'!G$139:G$157)</f>
        <v>0</v>
      </c>
      <c r="N207" s="54">
        <f>SUMIF('Non-Core Opex Proj.'!$B$172:$B$190,$A207,'Non-Core Opex Proj.'!H$172:H$190)</f>
        <v>0</v>
      </c>
      <c r="O207" s="54">
        <f>SUMIF('Non-Core Opex Proj.'!$B$172:$B$190,$A207,'Non-Core Opex Proj.'!I$172:I$190)</f>
        <v>0</v>
      </c>
      <c r="P207" s="54">
        <f>SUMIF('Non-Core Opex Proj.'!$B$172:$B$190,$A207,'Non-Core Opex Proj.'!J$172:J$190)</f>
        <v>0</v>
      </c>
      <c r="Q207" s="54">
        <f>SUMIF('Non-Core Opex Proj.'!$B$139:$B$157,$A207,'Non-Core Opex Proj.'!K$139:K$157)</f>
        <v>0</v>
      </c>
      <c r="R207" s="54">
        <f>SUMIF('Non-Core Opex Proj.'!$B$139:$B$157,$A207,'Non-Core Opex Proj.'!L$139:L$157)</f>
        <v>0</v>
      </c>
      <c r="S207" s="54">
        <f>SUMIF('Non-Core Opex Proj.'!$B$139:$B$157,$A207,'Non-Core Opex Proj.'!M$139:M$157)</f>
        <v>0</v>
      </c>
      <c r="T207" s="54">
        <f>SUMIF('Non-Core Opex Proj.'!$B$139:$B$157,$A207,'Non-Core Opex Proj.'!N$139:N$157)</f>
        <v>0</v>
      </c>
      <c r="U207" s="54">
        <f>SUMIF('Non-Core Opex Proj.'!$B$139:$B$157,$A207,'Non-Core Opex Proj.'!O$139:O$157)</f>
        <v>0</v>
      </c>
      <c r="V207" s="54">
        <f>SUMIF('Non-Core Opex Proj.'!$B$139:$B$157,$A207,'Non-Core Opex Proj.'!P$139:P$157)</f>
        <v>0</v>
      </c>
      <c r="W207" s="54"/>
      <c r="X207" s="486"/>
      <c r="Y207" s="471"/>
      <c r="Z207" s="471"/>
      <c r="AA207" s="471"/>
    </row>
    <row r="208" spans="1:27" s="220" customFormat="1">
      <c r="A208" s="450" t="s">
        <v>749</v>
      </c>
      <c r="C208" s="1134" t="str">
        <f>'Non-Core Opex Proj.'!D189</f>
        <v>Yuen Long Project costs</v>
      </c>
      <c r="D208" s="54"/>
      <c r="E208" s="54"/>
      <c r="F208" s="54"/>
      <c r="G208" s="54"/>
      <c r="H208" s="54"/>
      <c r="I208" s="54"/>
      <c r="J208" s="54"/>
      <c r="K208" s="54"/>
      <c r="L208" s="54">
        <f>SUMIF('Non-Core Opex Proj.'!$B$139:$B$157,$A208,'Non-Core Opex Proj.'!F$139:F$157)</f>
        <v>0</v>
      </c>
      <c r="M208" s="54">
        <f>SUMIF('Non-Core Opex Proj.'!$B$139:$B$157,$A208,'Non-Core Opex Proj.'!G$139:G$157)</f>
        <v>6100262.3100000005</v>
      </c>
      <c r="N208" s="54">
        <f>SUMIF('Non-Core Opex Proj.'!$B$172:$B$190,$A208,'Non-Core Opex Proj.'!H$172:H$190)</f>
        <v>1201393.69</v>
      </c>
      <c r="O208" s="54">
        <f>SUMIF('Non-Core Opex Proj.'!$B$172:$B$190,$A208,'Non-Core Opex Proj.'!I$172:I$190)</f>
        <v>0</v>
      </c>
      <c r="P208" s="54">
        <f>SUMIF('Non-Core Opex Proj.'!$B$172:$B$190,$A208,'Non-Core Opex Proj.'!J$172:J$190)</f>
        <v>0</v>
      </c>
      <c r="Q208" s="54">
        <f>SUMIF('Non-Core Opex Proj.'!$B$139:$B$157,$A208,'Non-Core Opex Proj.'!K$139:K$157)</f>
        <v>0</v>
      </c>
      <c r="R208" s="54">
        <f>SUMIF('Non-Core Opex Proj.'!$B$139:$B$157,$A208,'Non-Core Opex Proj.'!L$139:L$157)</f>
        <v>0</v>
      </c>
      <c r="S208" s="54">
        <f>SUMIF('Non-Core Opex Proj.'!$B$139:$B$157,$A208,'Non-Core Opex Proj.'!M$139:M$157)</f>
        <v>0</v>
      </c>
      <c r="T208" s="54">
        <f>SUMIF('Non-Core Opex Proj.'!$B$139:$B$157,$A208,'Non-Core Opex Proj.'!N$139:N$157)</f>
        <v>0</v>
      </c>
      <c r="U208" s="54">
        <f>SUMIF('Non-Core Opex Proj.'!$B$139:$B$157,$A208,'Non-Core Opex Proj.'!O$139:O$157)</f>
        <v>0</v>
      </c>
      <c r="V208" s="54">
        <f>SUMIF('Non-Core Opex Proj.'!$B$139:$B$157,$A208,'Non-Core Opex Proj.'!P$139:P$157)</f>
        <v>0</v>
      </c>
      <c r="W208" s="54"/>
      <c r="X208" s="486"/>
      <c r="Y208" s="471"/>
      <c r="Z208" s="471"/>
      <c r="AA208" s="471"/>
    </row>
    <row r="209" spans="1:27" s="220" customFormat="1">
      <c r="A209" s="54" t="s">
        <v>109</v>
      </c>
      <c r="C209" s="1134" t="str">
        <f>'Non-Core Opex Proj.'!D190</f>
        <v>Yuen Long Project costs</v>
      </c>
      <c r="D209" s="54"/>
      <c r="E209" s="54"/>
      <c r="F209" s="54"/>
      <c r="G209" s="54">
        <v>1789924.22</v>
      </c>
      <c r="H209" s="54">
        <v>3398425</v>
      </c>
      <c r="I209" s="54">
        <v>1053109.3600000001</v>
      </c>
      <c r="J209" s="54">
        <v>4021446.3199999901</v>
      </c>
      <c r="K209" s="54">
        <v>2883373.9200000037</v>
      </c>
      <c r="L209" s="54">
        <f>SUMIF('Non-Core Opex Proj.'!$B$172:$B$190,$A209,'Non-Core Opex Proj.'!F$172:F$190)</f>
        <v>6503200.1699999999</v>
      </c>
      <c r="M209" s="54">
        <f>SUMIF('Non-Core Opex Proj.'!$B$172:$B$190,$A209,'Non-Core Opex Proj.'!G$172:G$190)</f>
        <v>4544723.4232363123</v>
      </c>
      <c r="N209" s="54">
        <f>SUMIF('Non-Core Opex Proj.'!$B$172:$B$190,$A209,'Non-Core Opex Proj.'!H$172:H$190)</f>
        <v>3607504.97</v>
      </c>
      <c r="O209" s="54">
        <f>SUMIF('Non-Core Opex Proj.'!$B$172:$B$190,$A209,'Non-Core Opex Proj.'!I$172:I$190)</f>
        <v>0</v>
      </c>
      <c r="P209" s="54">
        <f>SUMIF('Non-Core Opex Proj.'!$B$172:$B$190,$A209,'Non-Core Opex Proj.'!J$172:J$190)</f>
        <v>0</v>
      </c>
      <c r="Q209" s="54">
        <f>SUMIF('Non-Core Opex Proj.'!$B$139:$B$157,$A209,'Non-Core Opex Proj.'!K$139:K$157)</f>
        <v>0</v>
      </c>
      <c r="R209" s="54">
        <f>SUMIF('Non-Core Opex Proj.'!$B$139:$B$157,$A209,'Non-Core Opex Proj.'!L$139:L$157)</f>
        <v>0</v>
      </c>
      <c r="S209" s="54">
        <f>SUMIF('Non-Core Opex Proj.'!$B$139:$B$157,$A209,'Non-Core Opex Proj.'!M$139:M$157)</f>
        <v>0</v>
      </c>
      <c r="T209" s="54">
        <f>SUMIF('Non-Core Opex Proj.'!$B$139:$B$157,$A209,'Non-Core Opex Proj.'!N$139:N$157)</f>
        <v>0</v>
      </c>
      <c r="U209" s="54">
        <f>SUMIF('Non-Core Opex Proj.'!$B$139:$B$157,$A209,'Non-Core Opex Proj.'!O$139:O$157)</f>
        <v>0</v>
      </c>
      <c r="V209" s="54">
        <f>SUMIF('Non-Core Opex Proj.'!$B$139:$B$157,$A209,'Non-Core Opex Proj.'!P$139:P$157)</f>
        <v>0</v>
      </c>
      <c r="W209" s="54"/>
      <c r="X209" s="486"/>
      <c r="Y209" s="471"/>
      <c r="Z209" s="471"/>
      <c r="AA209" s="471"/>
    </row>
    <row r="210" spans="1:27" s="220" customFormat="1">
      <c r="A210" s="59" t="s">
        <v>1309</v>
      </c>
      <c r="B210" s="54"/>
      <c r="C210" s="54"/>
      <c r="D210" s="54"/>
      <c r="E210" s="54"/>
      <c r="F210" s="54"/>
      <c r="G210" s="1073">
        <f>SUM(G191:G209)</f>
        <v>10804885.430000002</v>
      </c>
      <c r="H210" s="1073">
        <f>SUM(H191:H209)</f>
        <v>12880094</v>
      </c>
      <c r="I210" s="1073">
        <f>SUM(I191:I209)</f>
        <v>16003557.23</v>
      </c>
      <c r="J210" s="1073">
        <f t="shared" ref="J210:V210" si="101">SUM(J191:J209)</f>
        <v>47637398.939999998</v>
      </c>
      <c r="K210" s="1073">
        <f t="shared" si="101"/>
        <v>55369208.529999994</v>
      </c>
      <c r="L210" s="1073">
        <f t="shared" si="101"/>
        <v>69097634.25999999</v>
      </c>
      <c r="M210" s="1073">
        <f t="shared" si="101"/>
        <v>72701058.354269728</v>
      </c>
      <c r="N210" s="1073">
        <f t="shared" si="101"/>
        <v>81550658.640000001</v>
      </c>
      <c r="O210" s="1073">
        <f t="shared" si="101"/>
        <v>0</v>
      </c>
      <c r="P210" s="1073">
        <f t="shared" si="101"/>
        <v>0</v>
      </c>
      <c r="Q210" s="1073">
        <f t="shared" si="101"/>
        <v>0</v>
      </c>
      <c r="R210" s="1073">
        <f t="shared" si="101"/>
        <v>0</v>
      </c>
      <c r="S210" s="1073">
        <f t="shared" si="101"/>
        <v>0</v>
      </c>
      <c r="T210" s="1073">
        <f t="shared" si="101"/>
        <v>0</v>
      </c>
      <c r="U210" s="1073">
        <f t="shared" si="101"/>
        <v>0</v>
      </c>
      <c r="V210" s="1073">
        <f t="shared" si="101"/>
        <v>0</v>
      </c>
      <c r="W210" s="54"/>
      <c r="X210" s="486"/>
      <c r="Y210" s="471"/>
      <c r="Z210" s="471"/>
      <c r="AA210" s="471"/>
    </row>
    <row r="211" spans="1:27" s="220" customFormat="1">
      <c r="A211" s="59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>
        <f>L210-'Non-Core Opex Proj.'!F159</f>
        <v>0</v>
      </c>
      <c r="M211" s="54">
        <f>M210-'Non-Core Opex Proj.'!G159</f>
        <v>0</v>
      </c>
      <c r="N211" s="54">
        <f>N210-'Non-Core Opex Proj.'!H159</f>
        <v>0</v>
      </c>
      <c r="O211" s="54">
        <f>O210-'Non-Core Opex Proj.'!I159</f>
        <v>0</v>
      </c>
      <c r="P211" s="54">
        <f>P210-'Non-Core Opex Proj.'!J159</f>
        <v>0</v>
      </c>
      <c r="Q211" s="54">
        <f>Q210-'Non-Core Opex Proj.'!K159</f>
        <v>0</v>
      </c>
      <c r="R211" s="54">
        <f>R210-'Non-Core Opex Proj.'!L159</f>
        <v>0</v>
      </c>
      <c r="S211" s="54">
        <f>S210-'Non-Core Opex Proj.'!M159</f>
        <v>0</v>
      </c>
      <c r="T211" s="54">
        <f>T210-'Non-Core Opex Proj.'!N159</f>
        <v>0</v>
      </c>
      <c r="U211" s="54">
        <f>U210-'Non-Core Opex Proj.'!O159</f>
        <v>0</v>
      </c>
      <c r="V211" s="54">
        <f>V210-'Non-Core Opex Proj.'!P159</f>
        <v>0</v>
      </c>
      <c r="W211" s="54"/>
      <c r="X211" s="486"/>
      <c r="Y211" s="471"/>
      <c r="Z211" s="471"/>
      <c r="AA211" s="471"/>
    </row>
    <row r="212" spans="1:27" s="220" customFormat="1">
      <c r="A212" s="59"/>
      <c r="B212" s="54"/>
      <c r="C212" s="54"/>
      <c r="D212" s="54"/>
      <c r="E212" s="54"/>
      <c r="F212" s="54"/>
      <c r="G212" s="54">
        <f t="shared" ref="G212:L212" si="102">G210-G238</f>
        <v>0</v>
      </c>
      <c r="H212" s="54">
        <f t="shared" si="102"/>
        <v>0</v>
      </c>
      <c r="I212" s="54">
        <f t="shared" si="102"/>
        <v>0</v>
      </c>
      <c r="J212" s="54">
        <f t="shared" si="102"/>
        <v>0</v>
      </c>
      <c r="K212" s="54">
        <f t="shared" si="102"/>
        <v>0</v>
      </c>
      <c r="L212" s="54">
        <f t="shared" si="102"/>
        <v>0</v>
      </c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486"/>
      <c r="Y212" s="471"/>
      <c r="Z212" s="471"/>
      <c r="AA212" s="471"/>
    </row>
    <row r="213" spans="1:27" s="220" customFormat="1" hidden="1" outlineLevel="1">
      <c r="A213" s="59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486"/>
      <c r="Y213" s="471"/>
      <c r="Z213" s="471"/>
      <c r="AA213" s="471"/>
    </row>
    <row r="214" spans="1:27" s="1080" customFormat="1" hidden="1" outlineLevel="1">
      <c r="A214" s="1076" t="s">
        <v>111</v>
      </c>
      <c r="B214" s="1077"/>
      <c r="C214" s="1077"/>
      <c r="D214" s="1077"/>
      <c r="E214" s="1077"/>
      <c r="F214" s="1077"/>
      <c r="G214" s="1077"/>
      <c r="H214" s="1077"/>
      <c r="I214" s="1077"/>
      <c r="J214" s="1077"/>
      <c r="K214" s="1077"/>
      <c r="L214" s="1077"/>
      <c r="M214" s="1077"/>
      <c r="N214" s="1077"/>
      <c r="O214" s="1077"/>
      <c r="P214" s="1077"/>
      <c r="Q214" s="1077"/>
      <c r="R214" s="1077"/>
      <c r="S214" s="1077"/>
      <c r="T214" s="1077"/>
      <c r="U214" s="1077"/>
      <c r="V214" s="1077"/>
      <c r="W214" s="1077"/>
      <c r="X214" s="1078"/>
      <c r="Y214" s="1079"/>
      <c r="Z214" s="1079"/>
      <c r="AA214" s="1079"/>
    </row>
    <row r="215" spans="1:27" s="1080" customFormat="1" hidden="1" outlineLevel="1">
      <c r="A215" s="1077" t="s">
        <v>112</v>
      </c>
      <c r="B215" s="1077"/>
      <c r="C215" s="1077"/>
      <c r="D215" s="1077"/>
      <c r="E215" s="1077"/>
      <c r="F215" s="1077"/>
      <c r="G215" s="1077"/>
      <c r="H215" s="1077"/>
      <c r="I215" s="1077"/>
      <c r="J215" s="1320"/>
      <c r="K215" s="1077"/>
      <c r="L215" s="1077"/>
      <c r="M215" s="1077"/>
      <c r="N215" s="1077"/>
      <c r="O215" s="1077"/>
      <c r="P215" s="1077"/>
      <c r="Q215" s="1077"/>
      <c r="R215" s="1077"/>
      <c r="S215" s="1077"/>
      <c r="T215" s="1077"/>
      <c r="U215" s="1077"/>
      <c r="V215" s="1077"/>
      <c r="W215" s="1077"/>
      <c r="X215" s="1078"/>
      <c r="Y215" s="1079"/>
      <c r="Z215" s="1079"/>
      <c r="AA215" s="1079"/>
    </row>
    <row r="216" spans="1:27" s="1080" customFormat="1" ht="17.25" hidden="1" customHeight="1" outlineLevel="1">
      <c r="A216" s="1077"/>
      <c r="B216" s="1077" t="s">
        <v>113</v>
      </c>
      <c r="C216" s="1077"/>
      <c r="D216" s="1077"/>
      <c r="E216" s="1320" t="s">
        <v>113</v>
      </c>
      <c r="F216" s="1319">
        <f>F150</f>
        <v>0.05</v>
      </c>
      <c r="G216" s="1320">
        <v>1914146</v>
      </c>
      <c r="H216" s="1320">
        <v>2645008</v>
      </c>
      <c r="I216" s="1320">
        <f>3902776+1228268</f>
        <v>5131044</v>
      </c>
      <c r="J216" s="1320">
        <v>10071344.6</v>
      </c>
      <c r="K216" s="1320">
        <v>6137897.0599999996</v>
      </c>
      <c r="L216" s="1320">
        <v>5207784.12</v>
      </c>
      <c r="M216" s="1320">
        <f>SUMIF('Non-Core P&amp;L'!$D:$D,'12 years sales &amp; PL forecast'!$E216,'Non-Core P&amp;L'!$BN:$BN)</f>
        <v>5355997.0943667479</v>
      </c>
      <c r="N216" s="1320">
        <f>SUMIF('Non-Core P&amp;L'!$D:$D,'12 years sales &amp; PL forecast'!$E216,'Non-Core P&amp;L'!$AX:$AX)</f>
        <v>4758228.8375000004</v>
      </c>
      <c r="O216" s="1320">
        <f>'Manufacturing cost analysis'!AW28/2-'12 years sales &amp; PL forecast'!O235</f>
        <v>0</v>
      </c>
      <c r="P216" s="111">
        <f>(M216/M235)*P235</f>
        <v>1277918.8776283425</v>
      </c>
      <c r="Q216" s="1320">
        <v>0</v>
      </c>
      <c r="R216" s="1320">
        <f>Q216*(1+$F$216)</f>
        <v>0</v>
      </c>
      <c r="S216" s="1320">
        <f>R216*(1+$F$216)</f>
        <v>0</v>
      </c>
      <c r="T216" s="1320"/>
      <c r="U216" s="1320"/>
      <c r="V216" s="1320"/>
      <c r="W216" s="1077"/>
      <c r="X216" s="1078"/>
      <c r="Y216" s="1079"/>
      <c r="Z216" s="1079"/>
      <c r="AA216" s="1079"/>
    </row>
    <row r="217" spans="1:27" s="1080" customFormat="1" ht="17.25" hidden="1" customHeight="1" outlineLevel="1">
      <c r="A217" s="1077"/>
      <c r="B217" s="1077" t="s">
        <v>114</v>
      </c>
      <c r="C217" s="1077"/>
      <c r="D217" s="1077"/>
      <c r="E217" s="1320" t="s">
        <v>363</v>
      </c>
      <c r="F217" s="1319">
        <v>0.05</v>
      </c>
      <c r="G217" s="1320">
        <v>3600000</v>
      </c>
      <c r="H217" s="1320">
        <v>3746600</v>
      </c>
      <c r="I217" s="1320">
        <v>3195976</v>
      </c>
      <c r="J217" s="1320">
        <v>0</v>
      </c>
      <c r="K217" s="1320">
        <v>0</v>
      </c>
      <c r="L217" s="1320">
        <v>0</v>
      </c>
      <c r="M217" s="1320">
        <f>SUMIF('Non-Core P&amp;L'!$D:$D,'12 years sales &amp; PL forecast'!$E217,'Non-Core P&amp;L'!$BN:$BN)</f>
        <v>0</v>
      </c>
      <c r="N217" s="1320">
        <f>SUMIF('Non-Core P&amp;L'!$D:$D,'12 years sales &amp; PL forecast'!$E217,'Non-Core P&amp;L'!$AX:$AX)</f>
        <v>0</v>
      </c>
      <c r="O217" s="1320">
        <f>N217*(1+$F$216)</f>
        <v>0</v>
      </c>
      <c r="P217" s="1320">
        <f>O217*(1+$F$216)</f>
        <v>0</v>
      </c>
      <c r="Q217" s="1320">
        <v>0</v>
      </c>
      <c r="R217" s="1320">
        <f>Q217*(1+$F$217)</f>
        <v>0</v>
      </c>
      <c r="S217" s="1320">
        <f>R217*(1+$F$217)</f>
        <v>0</v>
      </c>
      <c r="T217" s="1320"/>
      <c r="U217" s="1320"/>
      <c r="V217" s="1320"/>
      <c r="W217" s="1077"/>
      <c r="X217" s="1078"/>
      <c r="Y217" s="1079"/>
      <c r="Z217" s="1079"/>
      <c r="AA217" s="1079"/>
    </row>
    <row r="218" spans="1:27" s="1080" customFormat="1" ht="17.25" hidden="1" customHeight="1" outlineLevel="1">
      <c r="A218" s="1077"/>
      <c r="B218" s="1077" t="s">
        <v>115</v>
      </c>
      <c r="C218" s="1077"/>
      <c r="D218" s="1077"/>
      <c r="E218" s="1320" t="s">
        <v>364</v>
      </c>
      <c r="F218" s="1081">
        <v>0.05</v>
      </c>
      <c r="G218" s="1320">
        <f>1823122.04-G220</f>
        <v>1544438.04</v>
      </c>
      <c r="H218" s="1320">
        <v>2326413</v>
      </c>
      <c r="I218" s="1320">
        <v>2213600</v>
      </c>
      <c r="J218" s="1320">
        <v>2361100</v>
      </c>
      <c r="K218" s="1320">
        <v>2471600</v>
      </c>
      <c r="L218" s="1320">
        <v>2587300</v>
      </c>
      <c r="M218" s="1320">
        <f>SUMIF('Non-Core P&amp;L'!$D:$D,'12 years sales &amp; PL forecast'!$E218,'Non-Core P&amp;L'!$BN:$BN)</f>
        <v>2223249.66</v>
      </c>
      <c r="N218" s="1320">
        <f>SUMIF('Non-Core P&amp;L'!$D:$D,'12 years sales &amp; PL forecast'!$E218,'Non-Core P&amp;L'!$AX:$AX)</f>
        <v>2223250.0000000005</v>
      </c>
      <c r="O218" s="1320">
        <f>'Manufacturing cost analysis'!AW34/2</f>
        <v>0</v>
      </c>
      <c r="P218" s="1320">
        <v>0</v>
      </c>
      <c r="Q218" s="1320">
        <v>0</v>
      </c>
      <c r="R218" s="1320">
        <v>0</v>
      </c>
      <c r="S218" s="1320">
        <v>0</v>
      </c>
      <c r="T218" s="1320"/>
      <c r="U218" s="1320"/>
      <c r="V218" s="1320"/>
      <c r="W218" s="1077"/>
      <c r="X218" s="1078"/>
      <c r="Y218" s="1079"/>
      <c r="Z218" s="1079"/>
      <c r="AA218" s="1079"/>
    </row>
    <row r="219" spans="1:27" s="1080" customFormat="1" ht="17.25" hidden="1" customHeight="1" outlineLevel="1">
      <c r="A219" s="1077"/>
      <c r="B219" s="1077" t="s">
        <v>116</v>
      </c>
      <c r="C219" s="1077"/>
      <c r="D219" s="1077"/>
      <c r="E219" s="1320" t="s">
        <v>365</v>
      </c>
      <c r="F219" s="1081">
        <v>0.05</v>
      </c>
      <c r="G219" s="1320">
        <f>701702.63-G221</f>
        <v>654343.63</v>
      </c>
      <c r="H219" s="1320">
        <v>163836</v>
      </c>
      <c r="I219" s="1320">
        <v>118728</v>
      </c>
      <c r="J219" s="1320">
        <v>131924</v>
      </c>
      <c r="K219" s="1320">
        <v>131924</v>
      </c>
      <c r="L219" s="1320">
        <v>131924</v>
      </c>
      <c r="M219" s="1320">
        <f>SUMIF('Non-Core P&amp;L'!$D:$D,'12 years sales &amp; PL forecast'!$E219,'Non-Core P&amp;L'!$BN:$BN)</f>
        <v>133243.34</v>
      </c>
      <c r="N219" s="1320">
        <f>SUMIF('Non-Core P&amp;L'!$D:$D,'12 years sales &amp; PL forecast'!$E219,'Non-Core P&amp;L'!$AX:$AX)</f>
        <v>131924</v>
      </c>
      <c r="O219" s="1320">
        <f>'Manufacturing cost analysis'!AW39/2</f>
        <v>0</v>
      </c>
      <c r="P219" s="1320">
        <v>0</v>
      </c>
      <c r="Q219" s="1320">
        <v>0</v>
      </c>
      <c r="R219" s="1320">
        <v>0</v>
      </c>
      <c r="S219" s="1320">
        <v>0</v>
      </c>
      <c r="T219" s="1320"/>
      <c r="U219" s="1320"/>
      <c r="V219" s="1320"/>
      <c r="W219" s="1077"/>
      <c r="X219" s="1078"/>
      <c r="Y219" s="1079"/>
      <c r="Z219" s="1079"/>
      <c r="AA219" s="1079"/>
    </row>
    <row r="220" spans="1:27" s="1080" customFormat="1" ht="17.25" hidden="1" customHeight="1" outlineLevel="1">
      <c r="A220" s="1077"/>
      <c r="B220" s="1077" t="s">
        <v>117</v>
      </c>
      <c r="C220" s="1077"/>
      <c r="D220" s="1077"/>
      <c r="E220" s="1320" t="s">
        <v>366</v>
      </c>
      <c r="F220" s="1083" t="s">
        <v>118</v>
      </c>
      <c r="G220" s="1320">
        <v>278684</v>
      </c>
      <c r="H220" s="1320">
        <v>0</v>
      </c>
      <c r="I220" s="1320">
        <v>0</v>
      </c>
      <c r="J220" s="1320">
        <v>0</v>
      </c>
      <c r="K220" s="1320">
        <v>0</v>
      </c>
      <c r="L220" s="1320">
        <v>0</v>
      </c>
      <c r="M220" s="1320">
        <f>SUMIF('Non-Core P&amp;L'!$D:$D,'12 years sales &amp; PL forecast'!$E220,'Non-Core P&amp;L'!$BN:$BN)</f>
        <v>0</v>
      </c>
      <c r="N220" s="1320">
        <f>SUMIF('Non-Core P&amp;L'!$D:$D,'12 years sales &amp; PL forecast'!$E220,'Non-Core P&amp;L'!$AX:$AX)</f>
        <v>0</v>
      </c>
      <c r="O220" s="1320">
        <f>N220</f>
        <v>0</v>
      </c>
      <c r="P220" s="1320">
        <f>O220</f>
        <v>0</v>
      </c>
      <c r="Q220" s="1320">
        <f>L220*(1+10%)</f>
        <v>0</v>
      </c>
      <c r="R220" s="1320">
        <f>Q220</f>
        <v>0</v>
      </c>
      <c r="S220" s="1320">
        <f>R220*(1+10%)</f>
        <v>0</v>
      </c>
      <c r="T220" s="1320"/>
      <c r="U220" s="1320"/>
      <c r="V220" s="1320"/>
      <c r="W220" s="1077"/>
      <c r="X220" s="1078"/>
      <c r="Y220" s="1079"/>
      <c r="Z220" s="1079"/>
      <c r="AA220" s="1079"/>
    </row>
    <row r="221" spans="1:27" s="1080" customFormat="1" ht="17.25" hidden="1" customHeight="1" outlineLevel="1">
      <c r="A221" s="1077"/>
      <c r="B221" s="1077" t="s">
        <v>119</v>
      </c>
      <c r="C221" s="1077"/>
      <c r="D221" s="1077"/>
      <c r="E221" s="1320" t="s">
        <v>367</v>
      </c>
      <c r="F221" s="1319">
        <v>0.04</v>
      </c>
      <c r="G221" s="1320">
        <v>47359</v>
      </c>
      <c r="H221" s="1320">
        <v>0</v>
      </c>
      <c r="I221" s="1320">
        <v>0</v>
      </c>
      <c r="J221" s="1320">
        <v>0</v>
      </c>
      <c r="K221" s="1320">
        <v>0</v>
      </c>
      <c r="L221" s="1320">
        <v>0</v>
      </c>
      <c r="M221" s="1320">
        <f>SUMIF('Non-Core P&amp;L'!$D:$D,'12 years sales &amp; PL forecast'!$E221,'Non-Core P&amp;L'!$BN:$BN)</f>
        <v>0</v>
      </c>
      <c r="N221" s="1320">
        <f>SUMIF('Non-Core P&amp;L'!$D:$D,'12 years sales &amp; PL forecast'!$E221,'Non-Core P&amp;L'!$AX:$AX)</f>
        <v>0</v>
      </c>
      <c r="O221" s="1320">
        <f>N221*(1+$F$221)</f>
        <v>0</v>
      </c>
      <c r="P221" s="1320">
        <f>O221*(1+$F$221)</f>
        <v>0</v>
      </c>
      <c r="Q221" s="1320">
        <f>L221*(1+$F$221)</f>
        <v>0</v>
      </c>
      <c r="R221" s="1320">
        <f>Q221*(1+$F$221)</f>
        <v>0</v>
      </c>
      <c r="S221" s="1320">
        <f>R221*(1+$F$221)</f>
        <v>0</v>
      </c>
      <c r="T221" s="1320"/>
      <c r="U221" s="1320"/>
      <c r="V221" s="1320"/>
      <c r="W221" s="1077"/>
      <c r="X221" s="1078"/>
      <c r="Y221" s="1079"/>
      <c r="Z221" s="1079"/>
      <c r="AA221" s="1079"/>
    </row>
    <row r="222" spans="1:27" s="1080" customFormat="1" ht="17.25" hidden="1" customHeight="1" outlineLevel="1">
      <c r="A222" s="1077"/>
      <c r="B222" s="1077" t="s">
        <v>120</v>
      </c>
      <c r="C222" s="1077"/>
      <c r="D222" s="1077"/>
      <c r="E222" s="1320" t="s">
        <v>368</v>
      </c>
      <c r="F222" s="1319">
        <v>0.05</v>
      </c>
      <c r="G222" s="1320">
        <v>485437.21000000089</v>
      </c>
      <c r="H222" s="1320">
        <v>38952</v>
      </c>
      <c r="I222" s="1320"/>
      <c r="J222" s="1320">
        <v>0</v>
      </c>
      <c r="K222" s="1320">
        <v>0</v>
      </c>
      <c r="L222" s="1320">
        <v>0</v>
      </c>
      <c r="M222" s="1320">
        <f>SUMIF('Non-Core P&amp;L'!$D:$D,'12 years sales &amp; PL forecast'!$E222,'Non-Core P&amp;L'!$BN:$BN)</f>
        <v>0</v>
      </c>
      <c r="N222" s="1320">
        <f>SUMIF('Non-Core P&amp;L'!$D:$D,'12 years sales &amp; PL forecast'!$E222,'Non-Core P&amp;L'!$AX:$AX)</f>
        <v>0</v>
      </c>
      <c r="O222" s="1320">
        <f>N222*(1+$F$222)</f>
        <v>0</v>
      </c>
      <c r="P222" s="1320">
        <f>O222*(1+$F$222)</f>
        <v>0</v>
      </c>
      <c r="Q222" s="1320">
        <f>L222/2</f>
        <v>0</v>
      </c>
      <c r="R222" s="1320">
        <v>0</v>
      </c>
      <c r="S222" s="1320">
        <v>0</v>
      </c>
      <c r="T222" s="1320"/>
      <c r="U222" s="1320"/>
      <c r="V222" s="1320"/>
      <c r="W222" s="1077"/>
      <c r="X222" s="1078"/>
      <c r="Y222" s="1079"/>
      <c r="Z222" s="1079"/>
      <c r="AA222" s="1079"/>
    </row>
    <row r="223" spans="1:27" s="1080" customFormat="1" ht="17.25" hidden="1" customHeight="1" outlineLevel="1">
      <c r="A223" s="1077"/>
      <c r="B223" s="1077" t="s">
        <v>121</v>
      </c>
      <c r="C223" s="1077"/>
      <c r="D223" s="1077"/>
      <c r="E223" s="1320" t="s">
        <v>109</v>
      </c>
      <c r="F223" s="1081">
        <v>0.05</v>
      </c>
      <c r="G223" s="1320">
        <v>504924.54999999993</v>
      </c>
      <c r="H223" s="1320">
        <v>979143</v>
      </c>
      <c r="I223" s="1082">
        <f>I238-SUM(I216:I222)-SUM(I231:I237)</f>
        <v>-163588.28999999911</v>
      </c>
      <c r="J223" s="1320">
        <v>3188772.63</v>
      </c>
      <c r="K223" s="1320">
        <v>2935826.76</v>
      </c>
      <c r="L223" s="1320">
        <v>7341029.4399999995</v>
      </c>
      <c r="M223" s="1320">
        <f>SUMIF('Non-Core P&amp;L'!$D:$D,'12 years sales &amp; PL forecast'!$E223,'Non-Core P&amp;L'!$BN:$BN)</f>
        <v>32338135.939902991</v>
      </c>
      <c r="N223" s="1320">
        <f>SUMIF('Non-Core P&amp;L'!$D:$D,'12 years sales &amp; PL forecast'!$E223,'Non-Core P&amp;L'!$AX:$AX)</f>
        <v>39716661.654935859</v>
      </c>
      <c r="O223" s="1320">
        <f>SUM('Manufacturing cost analysis'!AW42:AW45)/2+1050000</f>
        <v>1444731.4493114999</v>
      </c>
      <c r="P223" s="1320">
        <f>1000000</f>
        <v>1000000</v>
      </c>
      <c r="Q223" s="1320">
        <v>0</v>
      </c>
      <c r="R223" s="1320">
        <v>0</v>
      </c>
      <c r="S223" s="1320">
        <v>0</v>
      </c>
      <c r="T223" s="1320"/>
      <c r="U223" s="1320"/>
      <c r="V223" s="1320"/>
      <c r="W223" s="1077"/>
      <c r="X223" s="1078"/>
      <c r="Y223" s="1079"/>
      <c r="Z223" s="1079"/>
      <c r="AA223" s="1079"/>
    </row>
    <row r="224" spans="1:27" s="1080" customFormat="1" ht="17.25" hidden="1" customHeight="1" outlineLevel="1">
      <c r="A224" s="1077"/>
      <c r="B224" s="1077" t="s">
        <v>122</v>
      </c>
      <c r="C224" s="1077"/>
      <c r="D224" s="1077"/>
      <c r="E224" s="1320" t="s">
        <v>122</v>
      </c>
      <c r="F224" s="1081"/>
      <c r="G224" s="1320"/>
      <c r="H224" s="1320"/>
      <c r="I224" s="1082"/>
      <c r="J224" s="1320">
        <v>1670442.88</v>
      </c>
      <c r="K224" s="1320">
        <v>0</v>
      </c>
      <c r="L224" s="1320"/>
      <c r="M224" s="1320">
        <f>SUMIF('Non-Core P&amp;L'!$D:$D,'12 years sales &amp; PL forecast'!$E224,'Non-Core P&amp;L'!$BN:$BN)</f>
        <v>0</v>
      </c>
      <c r="N224" s="1320">
        <f>SUMIF('Non-Core P&amp;L'!$D:$D,'12 years sales &amp; PL forecast'!$E224,'Non-Core P&amp;L'!$AX:$AX)</f>
        <v>0</v>
      </c>
      <c r="O224" s="1320"/>
      <c r="P224" s="1320"/>
      <c r="Q224" s="1320"/>
      <c r="R224" s="1320"/>
      <c r="S224" s="1320"/>
      <c r="T224" s="1320"/>
      <c r="U224" s="1320"/>
      <c r="V224" s="1320"/>
      <c r="W224" s="1077"/>
      <c r="X224" s="1078"/>
      <c r="Y224" s="1079"/>
      <c r="Z224" s="1079"/>
      <c r="AA224" s="1079"/>
    </row>
    <row r="225" spans="1:27" s="1080" customFormat="1" ht="17.25" hidden="1" customHeight="1" outlineLevel="1">
      <c r="A225" s="1077"/>
      <c r="B225" s="1077" t="s">
        <v>326</v>
      </c>
      <c r="C225" s="1077"/>
      <c r="D225" s="1077"/>
      <c r="E225" s="1320"/>
      <c r="F225" s="1081"/>
      <c r="G225" s="1320"/>
      <c r="H225" s="1320"/>
      <c r="I225" s="1082"/>
      <c r="J225" s="1320"/>
      <c r="K225" s="1320"/>
      <c r="L225" s="1320"/>
      <c r="M225" s="1320">
        <f>SUMIF('Non-Core P&amp;L'!$D:$D,'12 years sales &amp; PL forecast'!$E225,'Non-Core P&amp;L'!$BN:$BN)</f>
        <v>0</v>
      </c>
      <c r="N225" s="1320">
        <f>SUMIF('Non-Core P&amp;L'!$D:$D,'12 years sales &amp; PL forecast'!$E225,'Non-Core P&amp;L'!$AX:$AX)</f>
        <v>0</v>
      </c>
      <c r="O225" s="1320">
        <v>54557860.04488565</v>
      </c>
      <c r="P225" s="1320"/>
      <c r="Q225" s="1320"/>
      <c r="R225" s="1320"/>
      <c r="S225" s="1320"/>
      <c r="T225" s="1320"/>
      <c r="U225" s="1320"/>
      <c r="V225" s="1320"/>
      <c r="W225" s="1077"/>
      <c r="X225" s="1078"/>
      <c r="Y225" s="1079"/>
      <c r="Z225" s="1079"/>
      <c r="AA225" s="1079"/>
    </row>
    <row r="226" spans="1:27" s="1080" customFormat="1" ht="17.25" hidden="1" customHeight="1" outlineLevel="1">
      <c r="A226" s="1077" t="s">
        <v>123</v>
      </c>
      <c r="B226" s="1077"/>
      <c r="C226" s="1077"/>
      <c r="D226" s="1077"/>
      <c r="E226" s="1320" t="s">
        <v>1302</v>
      </c>
      <c r="F226" s="1081"/>
      <c r="G226" s="1320"/>
      <c r="H226" s="1320"/>
      <c r="I226" s="1082"/>
      <c r="J226" s="1320">
        <v>0</v>
      </c>
      <c r="K226" s="1320">
        <v>0</v>
      </c>
      <c r="L226" s="1320"/>
      <c r="M226" s="1320">
        <f>SUMIF('Non-Core P&amp;L'!$D:$D,'12 years sales &amp; PL forecast'!$E226,'Non-Core P&amp;L'!$BN:$BN)</f>
        <v>0</v>
      </c>
      <c r="N226" s="1320">
        <f>SUMIF('Non-Core P&amp;L'!$D:$D,'12 years sales &amp; PL forecast'!$E226,'Non-Core P&amp;L'!$AX:$AX)</f>
        <v>0</v>
      </c>
      <c r="O226" s="1320"/>
      <c r="P226" s="1320"/>
      <c r="Q226" s="1320"/>
      <c r="R226" s="1320"/>
      <c r="S226" s="1320"/>
      <c r="T226" s="1320"/>
      <c r="U226" s="1320"/>
      <c r="V226" s="1320"/>
      <c r="W226" s="1077"/>
      <c r="X226" s="1078"/>
      <c r="Y226" s="1079"/>
      <c r="Z226" s="1079"/>
      <c r="AA226" s="1079"/>
    </row>
    <row r="227" spans="1:27" s="1080" customFormat="1" ht="17.25" hidden="1" customHeight="1" outlineLevel="1">
      <c r="A227" s="1077"/>
      <c r="B227" s="1077" t="s">
        <v>124</v>
      </c>
      <c r="C227" s="1077"/>
      <c r="D227" s="1077"/>
      <c r="E227" s="1320" t="s">
        <v>124</v>
      </c>
      <c r="F227" s="1081"/>
      <c r="G227" s="1320"/>
      <c r="H227" s="1320"/>
      <c r="I227" s="1082"/>
      <c r="J227" s="1320">
        <v>0</v>
      </c>
      <c r="K227" s="1320">
        <v>168937.37</v>
      </c>
      <c r="L227" s="1320">
        <v>1097105.3399999999</v>
      </c>
      <c r="M227" s="1320">
        <f>SUMIF('Non-Core P&amp;L'!$D:$D,'12 years sales &amp; PL forecast'!$E227,'Non-Core P&amp;L'!$BN:$BN)</f>
        <v>0</v>
      </c>
      <c r="N227" s="1320">
        <f>SUMIF('Non-Core P&amp;L'!$D:$D,'12 years sales &amp; PL forecast'!$E227,'Non-Core P&amp;L'!$AX:$AX)</f>
        <v>0</v>
      </c>
      <c r="O227" s="1320">
        <v>7000000</v>
      </c>
      <c r="P227" s="1320"/>
      <c r="Q227" s="1320"/>
      <c r="R227" s="1320"/>
      <c r="S227" s="1320"/>
      <c r="T227" s="1320"/>
      <c r="U227" s="1320"/>
      <c r="V227" s="1320"/>
      <c r="W227" s="1077"/>
      <c r="X227" s="1078"/>
      <c r="Y227" s="1079"/>
      <c r="Z227" s="1079"/>
      <c r="AA227" s="1079"/>
    </row>
    <row r="228" spans="1:27" s="1080" customFormat="1" ht="17.25" hidden="1" customHeight="1" outlineLevel="1">
      <c r="A228" s="1077"/>
      <c r="B228" s="1077" t="s">
        <v>125</v>
      </c>
      <c r="C228" s="1077"/>
      <c r="D228" s="1077"/>
      <c r="E228" s="1320" t="s">
        <v>125</v>
      </c>
      <c r="F228" s="1081"/>
      <c r="G228" s="1320"/>
      <c r="H228" s="1320"/>
      <c r="I228" s="1082"/>
      <c r="J228" s="1320">
        <v>0</v>
      </c>
      <c r="K228" s="1320">
        <v>124936.5</v>
      </c>
      <c r="L228" s="1320">
        <v>9325982</v>
      </c>
      <c r="M228" s="1320">
        <f>SUMIF('Non-Core P&amp;L'!$D:$D,'12 years sales &amp; PL forecast'!$E228,'Non-Core P&amp;L'!$BN:$BN)</f>
        <v>0</v>
      </c>
      <c r="N228" s="1320">
        <f>SUMIF('Non-Core P&amp;L'!$D:$D,'12 years sales &amp; PL forecast'!$E228,'Non-Core P&amp;L'!$AX:$AX)</f>
        <v>0</v>
      </c>
      <c r="O228" s="1320">
        <f>'Manufacturing cost analysis'!AW40/2</f>
        <v>4199678.9333333336</v>
      </c>
      <c r="P228" s="1320"/>
      <c r="Q228" s="1320"/>
      <c r="R228" s="1320"/>
      <c r="S228" s="1320"/>
      <c r="T228" s="1320"/>
      <c r="U228" s="1320"/>
      <c r="V228" s="1320"/>
      <c r="W228" s="1077"/>
      <c r="X228" s="1078"/>
      <c r="Y228" s="1079"/>
      <c r="Z228" s="1079"/>
      <c r="AA228" s="1079"/>
    </row>
    <row r="229" spans="1:27" s="1080" customFormat="1" ht="17.25" hidden="1" customHeight="1" outlineLevel="1">
      <c r="A229" s="1077"/>
      <c r="B229" s="1077" t="s">
        <v>126</v>
      </c>
      <c r="C229" s="1077"/>
      <c r="D229" s="1077"/>
      <c r="E229" s="1320" t="s">
        <v>126</v>
      </c>
      <c r="F229" s="1081"/>
      <c r="G229" s="1320"/>
      <c r="H229" s="1320"/>
      <c r="I229" s="1082"/>
      <c r="J229" s="1320">
        <v>0</v>
      </c>
      <c r="K229" s="1320">
        <v>109154.73999999999</v>
      </c>
      <c r="L229" s="1320">
        <v>1099947.9100000001</v>
      </c>
      <c r="M229" s="1320">
        <f>SUMIF('Non-Core P&amp;L'!$D:$D,'12 years sales &amp; PL forecast'!$E229,'Non-Core P&amp;L'!$BN:$BN)</f>
        <v>0</v>
      </c>
      <c r="N229" s="1320">
        <f>SUMIF('Non-Core P&amp;L'!$D:$D,'12 years sales &amp; PL forecast'!$E229,'Non-Core P&amp;L'!$AX:$AX)</f>
        <v>0</v>
      </c>
      <c r="O229" s="1320">
        <f>'Manufacturing cost analysis'!AW41/2</f>
        <v>3010630.9791558003</v>
      </c>
      <c r="P229" s="1320"/>
      <c r="Q229" s="1320"/>
      <c r="R229" s="1320"/>
      <c r="S229" s="1320"/>
      <c r="T229" s="1320"/>
      <c r="U229" s="1320"/>
      <c r="V229" s="1320"/>
      <c r="W229" s="1077"/>
      <c r="X229" s="1078"/>
      <c r="Y229" s="1079"/>
      <c r="Z229" s="1079"/>
      <c r="AA229" s="1079"/>
    </row>
    <row r="230" spans="1:27" s="1080" customFormat="1" ht="17.25" hidden="1" customHeight="1" outlineLevel="1">
      <c r="A230" s="1077"/>
      <c r="B230" s="1077"/>
      <c r="C230" s="1077"/>
      <c r="D230" s="1077"/>
      <c r="E230" s="1320"/>
      <c r="F230" s="1081"/>
      <c r="G230" s="1320"/>
      <c r="H230" s="1320"/>
      <c r="I230" s="1082"/>
      <c r="J230" s="1320">
        <v>0</v>
      </c>
      <c r="K230" s="1320">
        <v>0</v>
      </c>
      <c r="L230" s="1320"/>
      <c r="M230" s="1320">
        <f>SUMIF('Non-Core P&amp;L'!$D:$D,'12 years sales &amp; PL forecast'!$E230,'Non-Core P&amp;L'!$BN:$BN)</f>
        <v>0</v>
      </c>
      <c r="N230" s="1320">
        <f>SUMIF('Non-Core P&amp;L'!$D:$D,'12 years sales &amp; PL forecast'!$E230,'Non-Core P&amp;L'!$AX:$AX)</f>
        <v>0</v>
      </c>
      <c r="O230" s="1320"/>
      <c r="P230" s="1320"/>
      <c r="Q230" s="1320"/>
      <c r="R230" s="1320"/>
      <c r="S230" s="1320"/>
      <c r="T230" s="1320"/>
      <c r="U230" s="1320"/>
      <c r="V230" s="1320"/>
      <c r="W230" s="1077"/>
      <c r="X230" s="1078"/>
      <c r="Y230" s="1079"/>
      <c r="Z230" s="1079"/>
      <c r="AA230" s="1079"/>
    </row>
    <row r="231" spans="1:27" s="1080" customFormat="1" ht="17.25" hidden="1" customHeight="1" outlineLevel="1">
      <c r="A231" s="1077" t="s">
        <v>127</v>
      </c>
      <c r="B231" s="1077"/>
      <c r="C231" s="1077"/>
      <c r="D231" s="1077"/>
      <c r="E231" s="1320"/>
      <c r="F231" s="1077"/>
      <c r="G231" s="1320">
        <v>1285000</v>
      </c>
      <c r="H231" s="1320">
        <v>2419282</v>
      </c>
      <c r="I231" s="1320"/>
      <c r="J231" s="1320">
        <v>0</v>
      </c>
      <c r="K231" s="1320">
        <v>0</v>
      </c>
      <c r="L231" s="1320">
        <v>0</v>
      </c>
      <c r="M231" s="1320">
        <f>SUMIF('Non-Core P&amp;L'!$D:$D,'12 years sales &amp; PL forecast'!$E231,'Non-Core P&amp;L'!$BN:$BN)</f>
        <v>0</v>
      </c>
      <c r="N231" s="1320">
        <f>SUMIF('Non-Core P&amp;L'!$D:$D,'12 years sales &amp; PL forecast'!$E231,'Non-Core P&amp;L'!$AX:$AX)</f>
        <v>0</v>
      </c>
      <c r="O231" s="1320">
        <v>0</v>
      </c>
      <c r="P231" s="1320">
        <v>0</v>
      </c>
      <c r="Q231" s="1320">
        <v>0</v>
      </c>
      <c r="R231" s="1320">
        <v>0</v>
      </c>
      <c r="S231" s="1320">
        <v>0</v>
      </c>
      <c r="T231" s="1320"/>
      <c r="U231" s="1320"/>
      <c r="V231" s="1320"/>
      <c r="W231" s="1077"/>
      <c r="X231" s="1078"/>
      <c r="Y231" s="1079"/>
      <c r="Z231" s="1079"/>
      <c r="AA231" s="1079"/>
    </row>
    <row r="232" spans="1:27" s="1080" customFormat="1" ht="17.25" hidden="1" customHeight="1" outlineLevel="1">
      <c r="A232" s="1077" t="s">
        <v>128</v>
      </c>
      <c r="B232" s="1077"/>
      <c r="C232" s="1077"/>
      <c r="D232" s="1077"/>
      <c r="E232" s="1320"/>
      <c r="F232" s="1077"/>
      <c r="G232" s="1320">
        <v>490553</v>
      </c>
      <c r="H232" s="1320">
        <v>0</v>
      </c>
      <c r="I232" s="1320">
        <v>0</v>
      </c>
      <c r="J232" s="1320">
        <v>0</v>
      </c>
      <c r="K232" s="1320">
        <v>0</v>
      </c>
      <c r="L232" s="1320">
        <v>0</v>
      </c>
      <c r="M232" s="1320">
        <f>SUMIF('Non-Core P&amp;L'!$D:$D,'12 years sales &amp; PL forecast'!$E232,'Non-Core P&amp;L'!$BN:$BN)</f>
        <v>0</v>
      </c>
      <c r="N232" s="1320">
        <f>SUMIF('Non-Core P&amp;L'!$D:$D,'12 years sales &amp; PL forecast'!$E232,'Non-Core P&amp;L'!$AX:$AX)</f>
        <v>0</v>
      </c>
      <c r="O232" s="1320">
        <v>0</v>
      </c>
      <c r="P232" s="1320">
        <v>0</v>
      </c>
      <c r="Q232" s="1320">
        <v>0</v>
      </c>
      <c r="R232" s="1320">
        <v>0</v>
      </c>
      <c r="S232" s="1320">
        <v>0</v>
      </c>
      <c r="T232" s="1320"/>
      <c r="U232" s="1320"/>
      <c r="V232" s="1320"/>
      <c r="W232" s="1077"/>
      <c r="X232" s="1078"/>
      <c r="Y232" s="1079"/>
      <c r="Z232" s="1079"/>
      <c r="AA232" s="1079"/>
    </row>
    <row r="233" spans="1:27" s="1080" customFormat="1" ht="17.25" hidden="1" customHeight="1" outlineLevel="1">
      <c r="A233" s="1077" t="s">
        <v>129</v>
      </c>
      <c r="B233" s="1077"/>
      <c r="C233" s="1077"/>
      <c r="D233" s="1077"/>
      <c r="E233" s="1320"/>
      <c r="F233" s="1077"/>
      <c r="G233" s="1320">
        <v>0</v>
      </c>
      <c r="H233" s="1320">
        <v>0</v>
      </c>
      <c r="I233" s="1320"/>
      <c r="J233" s="1320">
        <v>0</v>
      </c>
      <c r="K233" s="1320">
        <v>0</v>
      </c>
      <c r="L233" s="1320">
        <v>0</v>
      </c>
      <c r="M233" s="1320">
        <f>SUMIF('Non-Core P&amp;L'!$D:$D,'12 years sales &amp; PL forecast'!$E233,'Non-Core P&amp;L'!$BN:$BN)</f>
        <v>0</v>
      </c>
      <c r="N233" s="1320">
        <f>SUMIF('Non-Core P&amp;L'!$D:$D,'12 years sales &amp; PL forecast'!$E233,'Non-Core P&amp;L'!$AX:$AX)</f>
        <v>0</v>
      </c>
      <c r="O233" s="1320">
        <v>0</v>
      </c>
      <c r="P233" s="1320">
        <v>0</v>
      </c>
      <c r="Q233" s="1320">
        <v>0</v>
      </c>
      <c r="R233" s="1320">
        <v>0</v>
      </c>
      <c r="S233" s="1320">
        <v>0</v>
      </c>
      <c r="T233" s="1320"/>
      <c r="U233" s="1320"/>
      <c r="V233" s="1320"/>
      <c r="W233" s="1077"/>
      <c r="X233" s="1078"/>
      <c r="Y233" s="1079"/>
      <c r="Z233" s="1079"/>
      <c r="AA233" s="1079"/>
    </row>
    <row r="234" spans="1:27" s="1080" customFormat="1" ht="17.25" hidden="1" customHeight="1" outlineLevel="1">
      <c r="A234" s="1077" t="s">
        <v>130</v>
      </c>
      <c r="B234" s="1077"/>
      <c r="C234" s="1077"/>
      <c r="D234" s="1077"/>
      <c r="E234" s="1320" t="s">
        <v>369</v>
      </c>
      <c r="F234" s="1077"/>
      <c r="G234" s="1320"/>
      <c r="H234" s="1320"/>
      <c r="I234" s="1320">
        <v>2281177</v>
      </c>
      <c r="J234" s="1320">
        <v>3665031</v>
      </c>
      <c r="K234" s="1320">
        <v>4484854.9400000004</v>
      </c>
      <c r="L234" s="1320">
        <v>2242331.0099999998</v>
      </c>
      <c r="M234" s="1320">
        <f>SUMIF('Non-Core P&amp;L'!$D:$D,'12 years sales &amp; PL forecast'!$E234,'Non-Core P&amp;L'!$BN:$BN)</f>
        <v>119333</v>
      </c>
      <c r="N234" s="1320">
        <f>SUMIF('Non-Core P&amp;L'!$D:$D,'12 years sales &amp; PL forecast'!$E234,'Non-Core P&amp;L'!$AX:$AX)</f>
        <v>1551375</v>
      </c>
      <c r="O234" s="1320">
        <v>0</v>
      </c>
      <c r="P234" s="1320">
        <v>0</v>
      </c>
      <c r="Q234" s="1320">
        <v>0</v>
      </c>
      <c r="R234" s="1320"/>
      <c r="S234" s="1320"/>
      <c r="T234" s="1320"/>
      <c r="U234" s="1320"/>
      <c r="V234" s="1320"/>
      <c r="W234" s="1077"/>
      <c r="X234" s="1078"/>
      <c r="Y234" s="1079"/>
      <c r="Z234" s="1079"/>
      <c r="AA234" s="1079"/>
    </row>
    <row r="235" spans="1:27" s="1080" customFormat="1" ht="17.25" hidden="1" customHeight="1" outlineLevel="1">
      <c r="A235" s="1077" t="s">
        <v>131</v>
      </c>
      <c r="B235" s="1077"/>
      <c r="C235" s="1077"/>
      <c r="D235" s="1077"/>
      <c r="E235" s="1320" t="s">
        <v>131</v>
      </c>
      <c r="F235" s="1077"/>
      <c r="G235" s="1320"/>
      <c r="H235" s="1320"/>
      <c r="I235" s="1320">
        <v>3226620.52</v>
      </c>
      <c r="J235" s="1320">
        <v>20848783.830000002</v>
      </c>
      <c r="K235" s="1320">
        <v>33104077.159999996</v>
      </c>
      <c r="L235" s="1320">
        <v>34364230.439999998</v>
      </c>
      <c r="M235" s="1320">
        <f>SUMIF('Non-Core P&amp;L'!$D:$D,'12 years sales &amp; PL forecast'!$E235,'Non-Core P&amp;L'!$BN:$BN)</f>
        <v>32531099.32</v>
      </c>
      <c r="N235" s="1320">
        <f>SUMIF('Non-Core P&amp;L'!$D:$D,'12 years sales &amp; PL forecast'!$E235,'Non-Core P&amp;L'!$AX:$AX)</f>
        <v>31755823.115200005</v>
      </c>
      <c r="O235" s="111">
        <f>'Manufacturing cost analysis'!AW28/1.14/2</f>
        <v>0</v>
      </c>
      <c r="P235" s="111">
        <v>7761786.4981208891</v>
      </c>
      <c r="Q235" s="1320">
        <v>0</v>
      </c>
      <c r="R235" s="1320">
        <v>0</v>
      </c>
      <c r="S235" s="1320">
        <v>0</v>
      </c>
      <c r="T235" s="1320">
        <v>0</v>
      </c>
      <c r="U235" s="1320">
        <v>0</v>
      </c>
      <c r="V235" s="1320">
        <v>0</v>
      </c>
      <c r="W235" s="1077"/>
      <c r="X235" s="1078"/>
      <c r="Y235" s="1079"/>
      <c r="Z235" s="1079"/>
      <c r="AA235" s="1079"/>
    </row>
    <row r="236" spans="1:27" s="1080" customFormat="1" ht="17.25" hidden="1" customHeight="1" outlineLevel="1">
      <c r="A236" s="1077" t="s">
        <v>132</v>
      </c>
      <c r="B236" s="1077"/>
      <c r="C236" s="1077"/>
      <c r="D236" s="1077"/>
      <c r="E236" s="1320" t="s">
        <v>132</v>
      </c>
      <c r="F236" s="1077"/>
      <c r="G236" s="1320"/>
      <c r="H236" s="1320"/>
      <c r="I236" s="1320"/>
      <c r="J236" s="1320">
        <v>5700000</v>
      </c>
      <c r="K236" s="1320">
        <v>5700000</v>
      </c>
      <c r="L236" s="1320">
        <v>5700000</v>
      </c>
      <c r="M236" s="1320">
        <f>SUMIF('Non-Core P&amp;L'!$D:$D,'12 years sales &amp; PL forecast'!$E236,'Non-Core P&amp;L'!$BN:$BN)</f>
        <v>0</v>
      </c>
      <c r="N236" s="1320">
        <f>SUMIF('Non-Core P&amp;L'!$D:$D,'12 years sales &amp; PL forecast'!$E236,'Non-Core P&amp;L'!$AX:$AX)</f>
        <v>5700000</v>
      </c>
      <c r="O236" s="1320">
        <v>5700000</v>
      </c>
      <c r="P236" s="1320"/>
      <c r="Q236" s="1320"/>
      <c r="R236" s="1320"/>
      <c r="S236" s="1320"/>
      <c r="T236" s="1320"/>
      <c r="U236" s="1320"/>
      <c r="V236" s="1320"/>
      <c r="W236" s="1077"/>
      <c r="X236" s="1078"/>
      <c r="Y236" s="1079"/>
      <c r="Z236" s="1079"/>
      <c r="AA236" s="1079"/>
    </row>
    <row r="237" spans="1:27" s="1080" customFormat="1" ht="17.25" hidden="1" customHeight="1" outlineLevel="1">
      <c r="A237" s="1077" t="s">
        <v>133</v>
      </c>
      <c r="B237" s="1077"/>
      <c r="C237" s="1077"/>
      <c r="D237" s="1077"/>
      <c r="E237" s="1077"/>
      <c r="F237" s="1077"/>
      <c r="G237" s="1320"/>
      <c r="H237" s="1320">
        <v>560860</v>
      </c>
      <c r="I237" s="1320"/>
      <c r="J237" s="1320"/>
      <c r="K237" s="1320"/>
      <c r="L237" s="1320"/>
      <c r="M237" s="1320"/>
      <c r="N237" s="1320"/>
      <c r="O237" s="1320"/>
      <c r="P237" s="1320"/>
      <c r="Q237" s="1320"/>
      <c r="R237" s="1320"/>
      <c r="S237" s="1320"/>
      <c r="T237" s="1320"/>
      <c r="U237" s="1320"/>
      <c r="V237" s="1320"/>
      <c r="W237" s="1077"/>
      <c r="X237" s="1078"/>
      <c r="Y237" s="1079"/>
      <c r="Z237" s="1079"/>
      <c r="AA237" s="1079"/>
    </row>
    <row r="238" spans="1:27" s="1080" customFormat="1" hidden="1" outlineLevel="1">
      <c r="A238" s="1076" t="s">
        <v>134</v>
      </c>
      <c r="B238" s="1077"/>
      <c r="C238" s="1077"/>
      <c r="D238" s="1077"/>
      <c r="E238" s="1077"/>
      <c r="F238" s="1077"/>
      <c r="G238" s="1084">
        <f>SUM(G216:G237)</f>
        <v>10804885.430000002</v>
      </c>
      <c r="H238" s="1084">
        <f>SUM(H216:H237)</f>
        <v>12880094</v>
      </c>
      <c r="I238" s="1321">
        <f>17422366-1475400+1228268-1171676.77</f>
        <v>16003557.23</v>
      </c>
      <c r="J238" s="1084">
        <f>SUM(J215:J237)</f>
        <v>47637398.939999998</v>
      </c>
      <c r="K238" s="1084">
        <f t="shared" ref="K238:V238" si="103">SUM(K216:K237)</f>
        <v>55369208.529999994</v>
      </c>
      <c r="L238" s="1084">
        <f>SUM(L216:L237)</f>
        <v>69097634.25999999</v>
      </c>
      <c r="M238" s="1084">
        <f>SUM(M216:M237)</f>
        <v>72701058.354269743</v>
      </c>
      <c r="N238" s="1084">
        <f>SUM(N216:N237)</f>
        <v>85837262.607635856</v>
      </c>
      <c r="O238" s="1084">
        <f>SUM(O216:O237)</f>
        <v>75912901.406686276</v>
      </c>
      <c r="P238" s="1084">
        <f t="shared" si="103"/>
        <v>10039705.37574923</v>
      </c>
      <c r="Q238" s="1084">
        <f t="shared" si="103"/>
        <v>0</v>
      </c>
      <c r="R238" s="1084">
        <f t="shared" si="103"/>
        <v>0</v>
      </c>
      <c r="S238" s="1084">
        <f t="shared" si="103"/>
        <v>0</v>
      </c>
      <c r="T238" s="1084">
        <f t="shared" si="103"/>
        <v>0</v>
      </c>
      <c r="U238" s="1084">
        <f t="shared" si="103"/>
        <v>0</v>
      </c>
      <c r="V238" s="1084">
        <f t="shared" si="103"/>
        <v>0</v>
      </c>
      <c r="W238" s="1085"/>
      <c r="X238" s="1078"/>
      <c r="Y238" s="1079"/>
      <c r="Z238" s="1079"/>
      <c r="AA238" s="1079"/>
    </row>
    <row r="239" spans="1:27" s="220" customFormat="1" hidden="1" outlineLevel="1">
      <c r="A239" s="59"/>
      <c r="B239" s="54"/>
      <c r="C239" s="54"/>
      <c r="D239" s="54"/>
      <c r="E239" s="54"/>
      <c r="F239" s="54"/>
      <c r="G239" s="72"/>
      <c r="H239" s="72"/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  <c r="V239" s="72"/>
      <c r="W239" s="72"/>
      <c r="X239" s="486"/>
      <c r="Y239" s="471"/>
      <c r="Z239" s="471"/>
      <c r="AA239" s="471"/>
    </row>
    <row r="240" spans="1:27" s="220" customFormat="1" collapsed="1">
      <c r="A240" s="59"/>
      <c r="B240" s="54"/>
      <c r="C240" s="54"/>
      <c r="D240" s="54"/>
      <c r="E240" s="54"/>
      <c r="F240" s="54"/>
      <c r="G240" s="72"/>
      <c r="H240" s="72"/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  <c r="V240" s="72"/>
      <c r="W240" s="72"/>
      <c r="X240" s="486"/>
      <c r="Y240" s="471"/>
      <c r="Z240" s="471"/>
      <c r="AA240" s="471"/>
    </row>
    <row r="241" spans="1:27" s="220" customFormat="1">
      <c r="A241" s="59"/>
      <c r="B241" s="54"/>
      <c r="C241" s="54"/>
      <c r="D241" s="54"/>
      <c r="E241" s="54"/>
      <c r="F241" s="54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2"/>
      <c r="V241" s="72"/>
      <c r="W241" s="72"/>
      <c r="X241" s="486"/>
      <c r="Y241" s="471"/>
      <c r="Z241" s="471"/>
      <c r="AA241" s="471"/>
    </row>
    <row r="242" spans="1:27">
      <c r="A242" s="54" t="s">
        <v>135</v>
      </c>
      <c r="B242" s="54"/>
      <c r="C242" s="54"/>
      <c r="D242" s="54"/>
      <c r="E242" s="54"/>
      <c r="F242" s="54"/>
      <c r="G242" s="70">
        <f>28897208+3817937</f>
        <v>32715145</v>
      </c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486"/>
      <c r="Y242" s="471"/>
      <c r="Z242" s="471"/>
      <c r="AA242" s="471"/>
    </row>
    <row r="243" spans="1:27" ht="15.75" thickBot="1">
      <c r="A243" s="59" t="s">
        <v>136</v>
      </c>
      <c r="B243" s="54"/>
      <c r="C243" s="54"/>
      <c r="D243" s="54"/>
      <c r="E243" s="54"/>
      <c r="F243" s="54"/>
      <c r="G243" s="91">
        <f t="shared" ref="G243" si="104">G179+G188-G210-G242</f>
        <v>116253381.18000019</v>
      </c>
      <c r="H243" s="91">
        <f t="shared" ref="H243" si="105">H179+H188-H210-H242</f>
        <v>120566453.12</v>
      </c>
      <c r="I243" s="91">
        <f t="shared" ref="I243" si="106">I179+I188-I210-I242</f>
        <v>102350524.34378368</v>
      </c>
      <c r="J243" s="91">
        <f t="shared" ref="J243" si="107">J179+J188-J210-J242</f>
        <v>91315092.888400018</v>
      </c>
      <c r="K243" s="91">
        <f t="shared" ref="K243:N243" si="108">K179+K188-K210-K242</f>
        <v>81800391.309174269</v>
      </c>
      <c r="L243" s="91">
        <f t="shared" si="108"/>
        <v>20549624.63760829</v>
      </c>
      <c r="M243" s="91">
        <f t="shared" si="108"/>
        <v>-60707644.274068072</v>
      </c>
      <c r="N243" s="91">
        <f t="shared" si="108"/>
        <v>-11264878.825410426</v>
      </c>
      <c r="O243" s="91">
        <f>O179+O188-O210-O242</f>
        <v>-114114780.24694961</v>
      </c>
      <c r="P243" s="91">
        <f t="shared" ref="P243:V243" si="109">P179+P188-P210-P242</f>
        <v>-136972151.30529204</v>
      </c>
      <c r="Q243" s="91">
        <f t="shared" si="109"/>
        <v>-71065831.102002889</v>
      </c>
      <c r="R243" s="91">
        <f t="shared" si="109"/>
        <v>9922614.5355579853</v>
      </c>
      <c r="S243" s="91">
        <f t="shared" si="109"/>
        <v>23120639.875700712</v>
      </c>
      <c r="T243" s="91">
        <f t="shared" si="109"/>
        <v>41726568.865672171</v>
      </c>
      <c r="U243" s="91">
        <f t="shared" si="109"/>
        <v>67267949.840325624</v>
      </c>
      <c r="V243" s="91">
        <f t="shared" si="109"/>
        <v>90958675.716950178</v>
      </c>
      <c r="W243" s="92"/>
      <c r="X243" s="479"/>
      <c r="Y243" s="471"/>
      <c r="Z243" s="478"/>
      <c r="AA243" s="471"/>
    </row>
    <row r="244" spans="1:27">
      <c r="N244" s="223"/>
      <c r="X244" s="472"/>
      <c r="Y244" s="473"/>
      <c r="Z244" s="473"/>
      <c r="AA244" s="473"/>
    </row>
    <row r="245" spans="1:27" ht="15.75" thickBot="1">
      <c r="A245" s="59" t="s">
        <v>137</v>
      </c>
      <c r="B245" s="54"/>
      <c r="C245" s="54"/>
      <c r="D245" s="54"/>
      <c r="E245" s="54"/>
      <c r="F245" s="54"/>
      <c r="G245" s="91">
        <f t="shared" ref="G245:I245" si="110">G243*(1-16.5%)</f>
        <v>97071573.285300151</v>
      </c>
      <c r="H245" s="91">
        <f t="shared" si="110"/>
        <v>100672988.35519999</v>
      </c>
      <c r="I245" s="91">
        <f t="shared" si="110"/>
        <v>85462687.827059373</v>
      </c>
      <c r="J245" s="91">
        <f>J243*(1-16.5%)</f>
        <v>76248102.56181401</v>
      </c>
      <c r="K245" s="91">
        <f t="shared" ref="K245:V245" si="111">K243*(1-16.5%)</f>
        <v>68303326.743160516</v>
      </c>
      <c r="L245" s="91">
        <f t="shared" si="111"/>
        <v>17158936.572402921</v>
      </c>
      <c r="M245" s="91">
        <f t="shared" si="111"/>
        <v>-50690882.968846835</v>
      </c>
      <c r="N245" s="91">
        <f t="shared" si="111"/>
        <v>-9406173.8192177042</v>
      </c>
      <c r="O245" s="91">
        <f t="shared" si="111"/>
        <v>-95285841.506202921</v>
      </c>
      <c r="P245" s="91">
        <f t="shared" si="111"/>
        <v>-114371746.33991885</v>
      </c>
      <c r="Q245" s="91">
        <f t="shared" si="111"/>
        <v>-59339968.970172413</v>
      </c>
      <c r="R245" s="91">
        <f t="shared" si="111"/>
        <v>8285383.1371909175</v>
      </c>
      <c r="S245" s="91">
        <f t="shared" si="111"/>
        <v>19305734.296210095</v>
      </c>
      <c r="T245" s="91">
        <f t="shared" si="111"/>
        <v>34841685.002836265</v>
      </c>
      <c r="U245" s="91">
        <f t="shared" si="111"/>
        <v>56168738.11667189</v>
      </c>
      <c r="V245" s="91">
        <f t="shared" si="111"/>
        <v>75950494.223653391</v>
      </c>
      <c r="W245" s="92"/>
      <c r="X245" s="479"/>
      <c r="Y245" s="471"/>
      <c r="Z245" s="478"/>
      <c r="AA245" s="471"/>
    </row>
    <row r="246" spans="1:27">
      <c r="A246" s="54"/>
      <c r="B246" s="54"/>
      <c r="C246" s="54"/>
      <c r="D246" s="54"/>
      <c r="E246" s="54"/>
      <c r="F246" s="54"/>
      <c r="G246" s="54"/>
      <c r="H246" s="54"/>
      <c r="I246" s="61"/>
      <c r="J246" s="61">
        <f>J245/I245-1</f>
        <v>-0.10781997968390389</v>
      </c>
      <c r="K246" s="61">
        <f>K245/J245-1</f>
        <v>-0.10419637409616456</v>
      </c>
      <c r="L246" s="61">
        <f t="shared" ref="L246:V246" si="112">L245/K245-1</f>
        <v>-0.74878329664782961</v>
      </c>
      <c r="M246" s="61">
        <f t="shared" si="112"/>
        <v>-3.954197234482121</v>
      </c>
      <c r="N246" s="61">
        <f t="shared" si="112"/>
        <v>-0.81444052128666866</v>
      </c>
      <c r="O246" s="61">
        <f t="shared" si="112"/>
        <v>9.1301382833820188</v>
      </c>
      <c r="P246" s="61">
        <f t="shared" si="112"/>
        <v>0.2003015823969343</v>
      </c>
      <c r="Q246" s="61">
        <f>Q245/L245-1</f>
        <v>-4.45825446231966</v>
      </c>
      <c r="R246" s="61">
        <f t="shared" si="112"/>
        <v>-1.1396256735718149</v>
      </c>
      <c r="S246" s="61">
        <f t="shared" si="112"/>
        <v>1.3300955401267691</v>
      </c>
      <c r="T246" s="61">
        <f t="shared" si="112"/>
        <v>0.80473244209499084</v>
      </c>
      <c r="U246" s="61">
        <f t="shared" si="112"/>
        <v>0.61211313724062166</v>
      </c>
      <c r="V246" s="61">
        <f t="shared" si="112"/>
        <v>0.35218444939766091</v>
      </c>
      <c r="W246" s="61"/>
      <c r="X246" s="480"/>
      <c r="Y246" s="471"/>
      <c r="Z246" s="471"/>
      <c r="AA246" s="471"/>
    </row>
    <row r="247" spans="1:27">
      <c r="N247" s="223"/>
      <c r="O247" s="223"/>
      <c r="X247" s="473"/>
      <c r="Y247" s="473"/>
      <c r="Z247" s="473"/>
      <c r="AA247" s="473"/>
    </row>
    <row r="248" spans="1:27">
      <c r="A248" s="59" t="s">
        <v>138</v>
      </c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471"/>
      <c r="Y248" s="471"/>
      <c r="Z248" s="471"/>
      <c r="AA248" s="471"/>
    </row>
    <row r="249" spans="1:27">
      <c r="A249" s="54"/>
      <c r="B249" s="54" t="s">
        <v>139</v>
      </c>
      <c r="C249" s="54"/>
      <c r="D249" s="54"/>
      <c r="E249" s="54"/>
      <c r="F249" s="54"/>
      <c r="G249" s="54">
        <f>G31*G52</f>
        <v>4367468.5146348346</v>
      </c>
      <c r="H249" s="54">
        <f>H31*H52</f>
        <v>5187076.3245678823</v>
      </c>
      <c r="I249" s="54">
        <f>I31*I52</f>
        <v>6909957.7964687077</v>
      </c>
      <c r="J249" s="68">
        <f>'Manufacturing cost analysis'!P36</f>
        <v>6808608</v>
      </c>
      <c r="K249" s="54">
        <f>'Manufacturing cost analysis'!V36</f>
        <v>7636592</v>
      </c>
      <c r="L249" s="54">
        <f>'Manufacturing cost analysis'!Y36</f>
        <v>7789023</v>
      </c>
      <c r="M249" s="68">
        <f>'Manufacturing cost analysis'!AB36</f>
        <v>7215614</v>
      </c>
      <c r="N249" s="87">
        <f>'Manufacturing cost analysis'!AQ36+'Manufacturing cost analysis'!AQ35+'Manufacturing cost analysis'!AE36</f>
        <v>7322107.5899999999</v>
      </c>
      <c r="O249" s="1882">
        <f>O31*(O49+O51)+O32*O50</f>
        <v>23510416.448143065</v>
      </c>
      <c r="P249" s="1882">
        <f t="shared" ref="P249:V249" si="113">P31*(P49+P51)+P32*P50</f>
        <v>21932096.575870037</v>
      </c>
      <c r="Q249" s="1882">
        <f t="shared" si="113"/>
        <v>32988722.605091579</v>
      </c>
      <c r="R249" s="1882">
        <f t="shared" si="113"/>
        <v>68802675.288110346</v>
      </c>
      <c r="S249" s="1882">
        <f t="shared" si="113"/>
        <v>84216087.792613044</v>
      </c>
      <c r="T249" s="1882">
        <f t="shared" si="113"/>
        <v>86245702.638981998</v>
      </c>
      <c r="U249" s="1882">
        <f t="shared" si="113"/>
        <v>88542867.320252344</v>
      </c>
      <c r="V249" s="1882">
        <f t="shared" si="113"/>
        <v>88444670.799079537</v>
      </c>
      <c r="W249" s="54"/>
      <c r="X249" s="471"/>
      <c r="Y249" s="471"/>
      <c r="Z249" s="471"/>
      <c r="AA249" s="471"/>
    </row>
    <row r="250" spans="1:27">
      <c r="A250" s="54"/>
      <c r="B250" s="54" t="s">
        <v>1354</v>
      </c>
      <c r="C250" s="54"/>
      <c r="D250" s="54"/>
      <c r="E250" s="54"/>
      <c r="F250" s="54"/>
      <c r="G250" s="54">
        <f t="shared" ref="G250:V250" si="114">G158+G160+G162</f>
        <v>2322186.89</v>
      </c>
      <c r="H250" s="54">
        <f t="shared" si="114"/>
        <v>3024820</v>
      </c>
      <c r="I250" s="54">
        <f t="shared" si="114"/>
        <v>3830410</v>
      </c>
      <c r="J250" s="54">
        <f t="shared" si="114"/>
        <v>5729272.4600000009</v>
      </c>
      <c r="K250" s="54">
        <f t="shared" si="114"/>
        <v>5874073.9800000004</v>
      </c>
      <c r="L250" s="54">
        <f t="shared" si="114"/>
        <v>9384702.4600000009</v>
      </c>
      <c r="M250" s="54">
        <f t="shared" si="114"/>
        <v>9822016.1733333319</v>
      </c>
      <c r="N250" s="54">
        <f>N158+N160+N162</f>
        <v>9348782.6099999994</v>
      </c>
      <c r="O250" s="54">
        <f t="shared" ref="O250:V250" si="115">O158+O160+O162</f>
        <v>103375366.86950359</v>
      </c>
      <c r="P250" s="54">
        <f t="shared" si="115"/>
        <v>100026952.28196943</v>
      </c>
      <c r="Q250" s="54">
        <f t="shared" si="115"/>
        <v>86209996.674251556</v>
      </c>
      <c r="R250" s="54">
        <f t="shared" si="115"/>
        <v>35362563.445813686</v>
      </c>
      <c r="S250" s="54">
        <f t="shared" si="115"/>
        <v>24687787.489999998</v>
      </c>
      <c r="T250" s="54">
        <f t="shared" si="115"/>
        <v>24687787.489999998</v>
      </c>
      <c r="U250" s="54">
        <f t="shared" si="115"/>
        <v>24687787.489999998</v>
      </c>
      <c r="V250" s="54">
        <f t="shared" si="115"/>
        <v>24687787.489999998</v>
      </c>
      <c r="W250" s="54"/>
      <c r="X250" s="471"/>
      <c r="Y250" s="471"/>
      <c r="Z250" s="471"/>
      <c r="AA250" s="471"/>
    </row>
    <row r="251" spans="1:27" s="220" customFormat="1">
      <c r="A251" s="54"/>
      <c r="B251" s="54" t="s">
        <v>1355</v>
      </c>
      <c r="C251" s="54"/>
      <c r="D251" s="54"/>
      <c r="E251" s="54"/>
      <c r="F251" s="54"/>
      <c r="G251" s="54"/>
      <c r="H251" s="54"/>
      <c r="I251" s="54"/>
      <c r="J251" s="54">
        <f t="shared" ref="J251:P251" si="116">J202</f>
        <v>0</v>
      </c>
      <c r="K251" s="54">
        <f t="shared" si="116"/>
        <v>172</v>
      </c>
      <c r="L251" s="54">
        <f t="shared" si="116"/>
        <v>4826.329999999999</v>
      </c>
      <c r="M251" s="54">
        <f t="shared" si="116"/>
        <v>5788.6766666666672</v>
      </c>
      <c r="N251" s="87">
        <f t="shared" si="116"/>
        <v>17020187.449999999</v>
      </c>
      <c r="O251" s="289">
        <f t="shared" si="116"/>
        <v>0</v>
      </c>
      <c r="P251" s="54">
        <f t="shared" si="116"/>
        <v>0</v>
      </c>
      <c r="Q251" s="54">
        <f t="shared" ref="Q251:V251" si="117">Q202</f>
        <v>0</v>
      </c>
      <c r="R251" s="54">
        <f t="shared" si="117"/>
        <v>0</v>
      </c>
      <c r="S251" s="54">
        <f t="shared" si="117"/>
        <v>0</v>
      </c>
      <c r="T251" s="54">
        <f t="shared" si="117"/>
        <v>0</v>
      </c>
      <c r="U251" s="54">
        <f t="shared" si="117"/>
        <v>0</v>
      </c>
      <c r="V251" s="54">
        <f t="shared" si="117"/>
        <v>0</v>
      </c>
      <c r="W251" s="54"/>
      <c r="X251" s="471"/>
      <c r="Y251" s="471"/>
      <c r="Z251" s="471"/>
      <c r="AA251" s="471"/>
    </row>
    <row r="252" spans="1:27">
      <c r="A252" s="54"/>
      <c r="B252" s="54"/>
      <c r="C252" s="54"/>
      <c r="D252" s="54"/>
      <c r="E252" s="54"/>
      <c r="F252" s="54"/>
      <c r="G252" s="70">
        <f t="shared" ref="G252:K252" si="118">SUM(G249:G251)</f>
        <v>6689655.4046348352</v>
      </c>
      <c r="H252" s="70">
        <f t="shared" si="118"/>
        <v>8211896.3245678823</v>
      </c>
      <c r="I252" s="70">
        <f t="shared" si="118"/>
        <v>10740367.796468709</v>
      </c>
      <c r="J252" s="70">
        <f t="shared" si="118"/>
        <v>12537880.460000001</v>
      </c>
      <c r="K252" s="70">
        <f t="shared" si="118"/>
        <v>13510837.98</v>
      </c>
      <c r="L252" s="70">
        <f>SUM(L249:L251)</f>
        <v>17178551.789999999</v>
      </c>
      <c r="M252" s="70">
        <f t="shared" ref="M252:V252" si="119">SUM(M249:M251)</f>
        <v>17043418.849999998</v>
      </c>
      <c r="N252" s="70">
        <f t="shared" si="119"/>
        <v>33691077.649999999</v>
      </c>
      <c r="O252" s="70">
        <f t="shared" si="119"/>
        <v>126885783.31764665</v>
      </c>
      <c r="P252" s="70">
        <f t="shared" si="119"/>
        <v>121959048.85783947</v>
      </c>
      <c r="Q252" s="70">
        <f t="shared" si="119"/>
        <v>119198719.27934313</v>
      </c>
      <c r="R252" s="70">
        <f t="shared" si="119"/>
        <v>104165238.73392403</v>
      </c>
      <c r="S252" s="70">
        <f t="shared" si="119"/>
        <v>108903875.28261304</v>
      </c>
      <c r="T252" s="70">
        <f t="shared" si="119"/>
        <v>110933490.12898199</v>
      </c>
      <c r="U252" s="70">
        <f t="shared" si="119"/>
        <v>113230654.81025234</v>
      </c>
      <c r="V252" s="70">
        <f t="shared" si="119"/>
        <v>113132458.28907953</v>
      </c>
      <c r="W252" s="72"/>
      <c r="X252" s="471"/>
      <c r="Y252" s="471"/>
      <c r="Z252" s="471"/>
      <c r="AA252" s="471"/>
    </row>
    <row r="253" spans="1:27">
      <c r="A253" s="54"/>
      <c r="B253" s="54"/>
      <c r="C253" s="54"/>
      <c r="D253" s="54"/>
      <c r="E253" s="54"/>
      <c r="F253" s="54"/>
      <c r="G253" s="54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2"/>
      <c r="V253" s="72"/>
      <c r="W253" s="72"/>
      <c r="X253" s="471"/>
      <c r="Y253" s="471"/>
      <c r="Z253" s="471"/>
      <c r="AA253" s="471"/>
    </row>
    <row r="254" spans="1:27" s="220" customFormat="1">
      <c r="A254" s="54" t="s">
        <v>1849</v>
      </c>
      <c r="B254" s="54"/>
      <c r="C254" s="54"/>
      <c r="D254" s="54"/>
      <c r="E254" s="54"/>
      <c r="F254" s="54"/>
      <c r="G254" s="54"/>
      <c r="H254" s="72"/>
      <c r="I254" s="72"/>
      <c r="J254" s="72"/>
      <c r="K254" s="72"/>
      <c r="L254" s="72"/>
      <c r="M254" s="72"/>
      <c r="N254" s="72">
        <f>N163</f>
        <v>1948970.54</v>
      </c>
      <c r="O254" s="72">
        <f>O163</f>
        <v>11163722.732315069</v>
      </c>
      <c r="P254" s="72">
        <f t="shared" ref="P254:V254" si="120">P163</f>
        <v>14281796.571352741</v>
      </c>
      <c r="Q254" s="72">
        <f t="shared" si="120"/>
        <v>7846421.4940068489</v>
      </c>
      <c r="R254" s="72">
        <f t="shared" si="120"/>
        <v>1486239.6041609589</v>
      </c>
      <c r="S254" s="72">
        <f t="shared" si="120"/>
        <v>97224.322191780826</v>
      </c>
      <c r="T254" s="72">
        <f t="shared" si="120"/>
        <v>14767.683287671234</v>
      </c>
      <c r="U254" s="72">
        <f t="shared" si="120"/>
        <v>0</v>
      </c>
      <c r="V254" s="72">
        <f t="shared" si="120"/>
        <v>0</v>
      </c>
      <c r="W254" s="72"/>
      <c r="X254" s="471"/>
      <c r="Y254" s="471"/>
      <c r="Z254" s="471"/>
      <c r="AA254" s="471"/>
    </row>
    <row r="255" spans="1:27" s="220" customFormat="1">
      <c r="A255" s="54"/>
      <c r="B255" s="54"/>
      <c r="C255" s="54"/>
      <c r="D255" s="54"/>
      <c r="E255" s="54"/>
      <c r="F255" s="54"/>
      <c r="G255" s="54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  <c r="V255" s="72"/>
      <c r="W255" s="72"/>
      <c r="X255" s="471"/>
      <c r="Y255" s="471"/>
      <c r="Z255" s="471"/>
      <c r="AA255" s="471"/>
    </row>
    <row r="256" spans="1:27">
      <c r="A256" s="59" t="s">
        <v>140</v>
      </c>
      <c r="B256" s="59"/>
      <c r="C256" s="59"/>
      <c r="D256" s="59"/>
      <c r="E256" s="59"/>
      <c r="F256" s="59"/>
      <c r="G256" s="92">
        <f t="shared" ref="G256:M256" si="121">G173+G249+G250+G254</f>
        <v>169571379.01463503</v>
      </c>
      <c r="H256" s="92">
        <f t="shared" si="121"/>
        <v>149425597.44456789</v>
      </c>
      <c r="I256" s="92">
        <f t="shared" si="121"/>
        <v>131586791.37025239</v>
      </c>
      <c r="J256" s="92">
        <f t="shared" si="121"/>
        <v>147588683.26840001</v>
      </c>
      <c r="K256" s="92">
        <f t="shared" si="121"/>
        <v>153141370.79917425</v>
      </c>
      <c r="L256" s="92">
        <f t="shared" si="121"/>
        <v>109879239.98760828</v>
      </c>
      <c r="M256" s="92">
        <f t="shared" si="121"/>
        <v>10986905.003534988</v>
      </c>
      <c r="N256" s="92">
        <f>N173+N249+N250+N254</f>
        <v>84628512.914589584</v>
      </c>
      <c r="O256" s="92">
        <f>O173+O249+O250+O254</f>
        <v>18464725.80301211</v>
      </c>
      <c r="P256" s="92">
        <f t="shared" ref="P256:V256" si="122">P173+P249+P250+P254</f>
        <v>-731305.87609983422</v>
      </c>
      <c r="Q256" s="92">
        <f t="shared" si="122"/>
        <v>55979309.671347097</v>
      </c>
      <c r="R256" s="92">
        <f t="shared" si="122"/>
        <v>115574092.87364298</v>
      </c>
      <c r="S256" s="92">
        <f t="shared" si="122"/>
        <v>132121739.48050553</v>
      </c>
      <c r="T256" s="92">
        <f t="shared" si="122"/>
        <v>152674826.67794186</v>
      </c>
      <c r="U256" s="92">
        <f t="shared" si="122"/>
        <v>180498604.65057796</v>
      </c>
      <c r="V256" s="92">
        <f t="shared" si="122"/>
        <v>204091134.00602973</v>
      </c>
      <c r="W256" s="92"/>
      <c r="X256" s="478"/>
      <c r="Y256" s="471"/>
      <c r="Z256" s="478"/>
      <c r="AA256" s="471"/>
    </row>
    <row r="257" spans="1:27">
      <c r="A257" s="54"/>
      <c r="B257" s="93" t="s">
        <v>141</v>
      </c>
      <c r="C257" s="93"/>
      <c r="D257" s="54"/>
      <c r="E257" s="54"/>
      <c r="F257" s="54"/>
      <c r="G257" s="54"/>
      <c r="H257" s="94">
        <f>H256/H73</f>
        <v>0.35852856496425611</v>
      </c>
      <c r="I257" s="94">
        <f>I256/I73</f>
        <v>0.30442323659974585</v>
      </c>
      <c r="J257" s="94">
        <f>J256/J73</f>
        <v>0.3089994513544258</v>
      </c>
      <c r="K257" s="94">
        <f>K256/K73</f>
        <v>0.2981987198480977</v>
      </c>
      <c r="L257" s="94">
        <f>L256/L73</f>
        <v>0.21473910636973217</v>
      </c>
      <c r="M257" s="94">
        <f>M256/M73</f>
        <v>3.8561975414063136E-2</v>
      </c>
      <c r="N257" s="94">
        <f>N256/N73</f>
        <v>0.21432333993073721</v>
      </c>
      <c r="O257" s="94">
        <f>O256/O73</f>
        <v>4.2516575451497098E-2</v>
      </c>
      <c r="P257" s="94">
        <f>P256/P73</f>
        <v>-1.5994175038500748E-3</v>
      </c>
      <c r="Q257" s="94">
        <f>Q256/Q73</f>
        <v>0.10468595034442138</v>
      </c>
      <c r="R257" s="94">
        <f>R256/R73</f>
        <v>0.18596065290546449</v>
      </c>
      <c r="S257" s="94">
        <f>S256/S73</f>
        <v>0.19715831094926678</v>
      </c>
      <c r="T257" s="94">
        <f>T256/T73</f>
        <v>0.20951339434381144</v>
      </c>
      <c r="U257" s="94">
        <f>U256/U73</f>
        <v>0.21973567700511185</v>
      </c>
      <c r="V257" s="94">
        <f>V256/V73</f>
        <v>0.22470954639233584</v>
      </c>
      <c r="W257" s="94"/>
      <c r="X257" s="483"/>
      <c r="Y257" s="471"/>
      <c r="Z257" s="471"/>
      <c r="AA257" s="473"/>
    </row>
    <row r="258" spans="1:27">
      <c r="A258" s="54" t="s">
        <v>142</v>
      </c>
      <c r="B258" s="54"/>
      <c r="C258" s="54"/>
      <c r="D258" s="54"/>
      <c r="E258" s="54"/>
      <c r="F258" s="54"/>
      <c r="G258" s="72">
        <f>SUM(G176:G177)</f>
        <v>3108312</v>
      </c>
      <c r="H258" s="72">
        <f>SUM(H176:H177)</f>
        <v>7767154</v>
      </c>
      <c r="I258" s="72">
        <f>SUM(I176:I177)</f>
        <v>2492342</v>
      </c>
      <c r="J258" s="72">
        <f>SUM(J176:J177)</f>
        <v>-3901689.0199999996</v>
      </c>
      <c r="K258" s="72">
        <f>SUM(K176:K177)</f>
        <v>2461104.9799999986</v>
      </c>
      <c r="L258" s="72">
        <f>SUM(L176:L177)</f>
        <v>3058255.63</v>
      </c>
      <c r="M258" s="72">
        <f>SUM(M176:M177)</f>
        <v>-18044139.25</v>
      </c>
      <c r="N258" s="72">
        <f>SUM(N176:N177)</f>
        <v>-4277127.6399999987</v>
      </c>
      <c r="O258" s="72">
        <f>SUM(O176:O177)</f>
        <v>-5470000</v>
      </c>
      <c r="P258" s="72">
        <f>SUM(P176:P177)</f>
        <v>0</v>
      </c>
      <c r="Q258" s="72">
        <f>SUM(Q176:Q177)</f>
        <v>0</v>
      </c>
      <c r="R258" s="72">
        <f>SUM(R176:R177)</f>
        <v>0</v>
      </c>
      <c r="S258" s="72">
        <f>SUM(S176:S177)</f>
        <v>0</v>
      </c>
      <c r="T258" s="72">
        <f>SUM(T176:T177)</f>
        <v>0</v>
      </c>
      <c r="U258" s="72">
        <f>SUM(U176:U177)</f>
        <v>0</v>
      </c>
      <c r="V258" s="72">
        <f>SUM(V176:V177)</f>
        <v>0</v>
      </c>
      <c r="W258" s="72"/>
      <c r="X258" s="471"/>
      <c r="Y258" s="471"/>
      <c r="Z258" s="471"/>
      <c r="AA258" s="473"/>
    </row>
    <row r="259" spans="1:27">
      <c r="A259" s="54"/>
      <c r="B259" s="54"/>
      <c r="C259" s="54"/>
      <c r="D259" s="54"/>
      <c r="E259" s="54"/>
      <c r="F259" s="54"/>
      <c r="G259" s="54"/>
      <c r="H259" s="72"/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  <c r="V259" s="72"/>
      <c r="W259" s="72"/>
      <c r="X259" s="471"/>
      <c r="Y259" s="471"/>
      <c r="Z259" s="471"/>
      <c r="AA259" s="473"/>
    </row>
    <row r="260" spans="1:27" s="220" customFormat="1">
      <c r="A260" s="54" t="s">
        <v>1499</v>
      </c>
      <c r="B260" s="54"/>
      <c r="C260" s="54"/>
      <c r="D260" s="54"/>
      <c r="E260" s="54"/>
      <c r="F260" s="54"/>
      <c r="G260" s="72">
        <f>G188</f>
        <v>0</v>
      </c>
      <c r="H260" s="72">
        <f>H188</f>
        <v>0</v>
      </c>
      <c r="I260" s="72">
        <f>I188</f>
        <v>0</v>
      </c>
      <c r="J260" s="72">
        <f>J188</f>
        <v>0</v>
      </c>
      <c r="K260" s="72">
        <f>K188</f>
        <v>0</v>
      </c>
      <c r="L260" s="72">
        <f>L188</f>
        <v>0</v>
      </c>
      <c r="M260" s="72">
        <f>M188</f>
        <v>0</v>
      </c>
      <c r="N260" s="72">
        <f>N188</f>
        <v>0</v>
      </c>
      <c r="O260" s="72">
        <f>O188</f>
        <v>0</v>
      </c>
      <c r="P260" s="72">
        <f>P188</f>
        <v>0</v>
      </c>
      <c r="Q260" s="72">
        <f>Q188</f>
        <v>0</v>
      </c>
      <c r="R260" s="72">
        <f>R188</f>
        <v>0</v>
      </c>
      <c r="S260" s="72">
        <f>S188</f>
        <v>0</v>
      </c>
      <c r="T260" s="72">
        <f>T188</f>
        <v>0</v>
      </c>
      <c r="U260" s="72">
        <f>U188</f>
        <v>0</v>
      </c>
      <c r="V260" s="72">
        <f>V188</f>
        <v>0</v>
      </c>
      <c r="W260" s="72"/>
      <c r="X260" s="471"/>
      <c r="Y260" s="471"/>
      <c r="Z260" s="471"/>
      <c r="AA260" s="473"/>
    </row>
    <row r="261" spans="1:27">
      <c r="A261" s="54" t="s">
        <v>143</v>
      </c>
      <c r="B261" s="54"/>
      <c r="C261" s="54"/>
      <c r="D261" s="54"/>
      <c r="E261" s="54"/>
      <c r="F261" s="54"/>
      <c r="G261" s="72">
        <f>G210</f>
        <v>10804885.430000002</v>
      </c>
      <c r="H261" s="72">
        <f>H210</f>
        <v>12880094</v>
      </c>
      <c r="I261" s="72">
        <f>I210</f>
        <v>16003557.23</v>
      </c>
      <c r="J261" s="72">
        <f>J210</f>
        <v>47637398.939999998</v>
      </c>
      <c r="K261" s="72">
        <f>K210</f>
        <v>55369208.529999994</v>
      </c>
      <c r="L261" s="72">
        <f>L210</f>
        <v>69097634.25999999</v>
      </c>
      <c r="M261" s="72">
        <f>M210</f>
        <v>72701058.354269728</v>
      </c>
      <c r="N261" s="72">
        <f>N210</f>
        <v>81550658.640000001</v>
      </c>
      <c r="O261" s="72">
        <f>O210</f>
        <v>0</v>
      </c>
      <c r="P261" s="72">
        <f>P210</f>
        <v>0</v>
      </c>
      <c r="Q261" s="72">
        <f>Q210</f>
        <v>0</v>
      </c>
      <c r="R261" s="72">
        <f>R210</f>
        <v>0</v>
      </c>
      <c r="S261" s="72">
        <f>S210</f>
        <v>0</v>
      </c>
      <c r="T261" s="72">
        <f>T210</f>
        <v>0</v>
      </c>
      <c r="U261" s="72">
        <f>U210</f>
        <v>0</v>
      </c>
      <c r="V261" s="72">
        <f>V210</f>
        <v>0</v>
      </c>
      <c r="W261" s="72"/>
      <c r="X261" s="471"/>
      <c r="Y261" s="471"/>
      <c r="Z261" s="471"/>
      <c r="AA261" s="473"/>
    </row>
    <row r="262" spans="1:27">
      <c r="A262" s="54"/>
      <c r="B262" s="54"/>
      <c r="C262" s="54"/>
      <c r="D262" s="54"/>
      <c r="E262" s="54"/>
      <c r="F262" s="54"/>
      <c r="G262" s="54"/>
      <c r="H262" s="72"/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V262" s="72"/>
      <c r="W262" s="72"/>
      <c r="X262" s="471"/>
      <c r="Y262" s="471"/>
      <c r="Z262" s="471"/>
      <c r="AA262" s="473"/>
    </row>
    <row r="263" spans="1:27" ht="15.75" thickBot="1">
      <c r="A263" s="59" t="s">
        <v>144</v>
      </c>
      <c r="B263" s="54"/>
      <c r="C263" s="54"/>
      <c r="D263" s="54"/>
      <c r="E263" s="54"/>
      <c r="F263" s="54"/>
      <c r="G263" s="95">
        <f>G256-G258+G260-G261+G251</f>
        <v>155658181.58463502</v>
      </c>
      <c r="H263" s="95">
        <f>H256-H258+H260-H261+H251</f>
        <v>128778349.44456789</v>
      </c>
      <c r="I263" s="95">
        <f>I256-I258+I260-I261+I251</f>
        <v>113090892.14025238</v>
      </c>
      <c r="J263" s="95">
        <f>J256-J258+J260-J261+J251</f>
        <v>103852973.34840003</v>
      </c>
      <c r="K263" s="95">
        <f>K256-K258+K260-K261+K251</f>
        <v>95311229.289174259</v>
      </c>
      <c r="L263" s="95">
        <f>L256-L258+L260-L261+L251</f>
        <v>37728176.427608296</v>
      </c>
      <c r="M263" s="95">
        <f>M256-M258+M260-M261+M251</f>
        <v>-43664225.424068071</v>
      </c>
      <c r="N263" s="95">
        <f>N256-N258+N260-N261+N251</f>
        <v>24375169.364589583</v>
      </c>
      <c r="O263" s="95">
        <f>O256-O258+O260-O261+O251</f>
        <v>23934725.80301211</v>
      </c>
      <c r="P263" s="95">
        <f>P256-P258+P260-P261+P251</f>
        <v>-731305.87609983422</v>
      </c>
      <c r="Q263" s="95">
        <f>Q256-Q258+Q260-Q261+Q251</f>
        <v>55979309.671347097</v>
      </c>
      <c r="R263" s="95">
        <f>R256-R258+R260-R261+R251</f>
        <v>115574092.87364298</v>
      </c>
      <c r="S263" s="95">
        <f>S256-S258+S260-S261+S251</f>
        <v>132121739.48050553</v>
      </c>
      <c r="T263" s="95">
        <f>T256-T258+T260-T261+T251</f>
        <v>152674826.67794186</v>
      </c>
      <c r="U263" s="95">
        <f>U256-U258+U260-U261+U251</f>
        <v>180498604.65057796</v>
      </c>
      <c r="V263" s="95">
        <f>V256-V258+V260-V261+V251</f>
        <v>204091134.00602973</v>
      </c>
      <c r="W263" s="92"/>
      <c r="X263" s="478"/>
      <c r="Y263" s="471"/>
      <c r="Z263" s="478"/>
      <c r="AA263" s="473"/>
    </row>
    <row r="264" spans="1:27">
      <c r="A264" s="54"/>
      <c r="B264" s="54"/>
      <c r="C264" s="54"/>
      <c r="D264" s="54"/>
      <c r="E264" s="54"/>
      <c r="F264" s="54"/>
      <c r="G264" s="54"/>
      <c r="H264" s="72"/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72"/>
      <c r="W264" s="72"/>
      <c r="X264" s="471"/>
      <c r="Y264" s="471"/>
      <c r="Z264" s="471"/>
      <c r="AA264" s="473"/>
    </row>
    <row r="265" spans="1:27">
      <c r="A265" s="54"/>
      <c r="B265" s="54"/>
      <c r="C265" s="54"/>
      <c r="D265" s="54"/>
      <c r="E265" s="54"/>
      <c r="F265" s="54"/>
      <c r="G265" s="54"/>
      <c r="H265" s="72"/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60"/>
      <c r="U265" s="60"/>
      <c r="V265" s="60"/>
      <c r="W265" s="60"/>
      <c r="X265" s="471"/>
      <c r="Y265" s="471"/>
      <c r="Z265" s="471"/>
      <c r="AA265" s="473"/>
    </row>
    <row r="266" spans="1:27">
      <c r="A266" s="96" t="s">
        <v>145</v>
      </c>
      <c r="B266" s="97"/>
      <c r="C266" s="97"/>
      <c r="D266" s="97"/>
      <c r="E266" s="97"/>
      <c r="F266" s="54"/>
      <c r="G266" s="54"/>
      <c r="H266" s="72"/>
      <c r="I266" s="72"/>
      <c r="J266" s="72"/>
      <c r="K266" s="72"/>
      <c r="L266" s="72"/>
      <c r="M266" s="72"/>
      <c r="N266" s="72"/>
      <c r="O266" s="72"/>
      <c r="P266" s="72"/>
      <c r="Q266" s="72"/>
      <c r="R266" s="72"/>
      <c r="S266" s="72"/>
      <c r="T266" s="61"/>
      <c r="U266" s="61"/>
      <c r="V266" s="61"/>
      <c r="W266" s="61"/>
      <c r="X266" s="471"/>
      <c r="Y266" s="471"/>
      <c r="Z266" s="471"/>
      <c r="AA266" s="473"/>
    </row>
    <row r="267" spans="1:27">
      <c r="A267" s="54"/>
      <c r="B267" s="54" t="s">
        <v>553</v>
      </c>
      <c r="C267" s="54"/>
      <c r="D267" s="54"/>
      <c r="E267" s="54"/>
      <c r="F267" s="54"/>
      <c r="G267" s="72">
        <f>G243-G268</f>
        <v>116253381.18000019</v>
      </c>
      <c r="H267" s="72">
        <f>H243-H268</f>
        <v>120566453.12</v>
      </c>
      <c r="I267" s="72">
        <f>I243-I268</f>
        <v>102350524.34378368</v>
      </c>
      <c r="J267" s="72">
        <f>J243-J268</f>
        <v>91315092.888400018</v>
      </c>
      <c r="K267" s="72">
        <f>K243-K268</f>
        <v>81800391.309174269</v>
      </c>
      <c r="L267" s="72">
        <f>L243-L268</f>
        <v>20549624.63760829</v>
      </c>
      <c r="M267" s="72">
        <f>M243-M268</f>
        <v>-60707644.274068072</v>
      </c>
      <c r="N267" s="72">
        <f>N243-N268</f>
        <v>-11264878.825410426</v>
      </c>
      <c r="O267" s="72">
        <f>O243-O268</f>
        <v>-114114780.24694961</v>
      </c>
      <c r="P267" s="72">
        <f>P243-P268</f>
        <v>-136972151.30529204</v>
      </c>
      <c r="Q267" s="72">
        <f>Q243-Q268</f>
        <v>-71065831.102002889</v>
      </c>
      <c r="R267" s="72">
        <f>R243-R268</f>
        <v>9922614.5355579853</v>
      </c>
      <c r="S267" s="72">
        <f>S243-S268</f>
        <v>23120639.875700712</v>
      </c>
      <c r="T267" s="72">
        <f>T243-T268</f>
        <v>41726568.865672171</v>
      </c>
      <c r="U267" s="72">
        <f>U243-U268</f>
        <v>67267949.840325624</v>
      </c>
      <c r="V267" s="72">
        <f>V243-V268</f>
        <v>90958675.716950178</v>
      </c>
      <c r="W267" s="54"/>
      <c r="X267" s="471"/>
      <c r="Y267" s="471"/>
      <c r="Z267" s="471"/>
      <c r="AA267" s="473"/>
    </row>
    <row r="268" spans="1:27" s="220" customFormat="1">
      <c r="A268" s="54"/>
      <c r="B268" s="54" t="s">
        <v>1505</v>
      </c>
      <c r="C268" s="54"/>
      <c r="D268" s="54"/>
      <c r="E268" s="54"/>
      <c r="F268" s="54"/>
      <c r="G268" s="72">
        <f>G188</f>
        <v>0</v>
      </c>
      <c r="H268" s="72">
        <f>H188</f>
        <v>0</v>
      </c>
      <c r="I268" s="72">
        <f>I188</f>
        <v>0</v>
      </c>
      <c r="J268" s="72">
        <f>J188</f>
        <v>0</v>
      </c>
      <c r="K268" s="72">
        <f>K188</f>
        <v>0</v>
      </c>
      <c r="L268" s="72">
        <f>L188</f>
        <v>0</v>
      </c>
      <c r="M268" s="72">
        <f>M188</f>
        <v>0</v>
      </c>
      <c r="N268" s="72">
        <f>N188</f>
        <v>0</v>
      </c>
      <c r="O268" s="72">
        <f>O188</f>
        <v>0</v>
      </c>
      <c r="P268" s="72">
        <f>P188</f>
        <v>0</v>
      </c>
      <c r="Q268" s="72">
        <f>Q188</f>
        <v>0</v>
      </c>
      <c r="R268" s="72">
        <f>R188</f>
        <v>0</v>
      </c>
      <c r="S268" s="72">
        <f>S188</f>
        <v>0</v>
      </c>
      <c r="T268" s="72">
        <f>T188</f>
        <v>0</v>
      </c>
      <c r="U268" s="72">
        <f>U188</f>
        <v>0</v>
      </c>
      <c r="V268" s="72">
        <f>V188</f>
        <v>0</v>
      </c>
      <c r="W268" s="54"/>
      <c r="X268" s="471"/>
      <c r="Y268" s="471"/>
      <c r="Z268" s="471"/>
      <c r="AA268" s="473"/>
    </row>
    <row r="269" spans="1:27">
      <c r="A269" s="54"/>
      <c r="B269" s="54" t="s">
        <v>146</v>
      </c>
      <c r="C269" s="54"/>
      <c r="D269" s="54"/>
      <c r="E269" s="54"/>
      <c r="F269" s="54"/>
      <c r="G269" s="54"/>
      <c r="H269" s="72"/>
      <c r="I269" s="714">
        <f>I252</f>
        <v>10740367.796468709</v>
      </c>
      <c r="J269" s="714">
        <f>J252</f>
        <v>12537880.460000001</v>
      </c>
      <c r="K269" s="714">
        <f>K252</f>
        <v>13510837.98</v>
      </c>
      <c r="L269" s="714">
        <f>L252</f>
        <v>17178551.789999999</v>
      </c>
      <c r="M269" s="72">
        <f>M252</f>
        <v>17043418.849999998</v>
      </c>
      <c r="N269" s="72">
        <f>N252</f>
        <v>33691077.649999999</v>
      </c>
      <c r="O269" s="72">
        <f>O252</f>
        <v>126885783.31764665</v>
      </c>
      <c r="P269" s="72">
        <f>P252</f>
        <v>121959048.85783947</v>
      </c>
      <c r="Q269" s="72">
        <f>Q252</f>
        <v>119198719.27934313</v>
      </c>
      <c r="R269" s="72">
        <f>R252</f>
        <v>104165238.73392403</v>
      </c>
      <c r="S269" s="72">
        <f>S252</f>
        <v>108903875.28261304</v>
      </c>
      <c r="T269" s="72">
        <f>S269</f>
        <v>108903875.28261304</v>
      </c>
      <c r="U269" s="72">
        <f>T269</f>
        <v>108903875.28261304</v>
      </c>
      <c r="V269" s="72">
        <f>U269</f>
        <v>108903875.28261304</v>
      </c>
      <c r="W269" s="72"/>
      <c r="X269" s="471"/>
      <c r="Y269" s="471"/>
      <c r="Z269" s="471"/>
      <c r="AA269" s="473"/>
    </row>
    <row r="270" spans="1:27">
      <c r="A270" s="54"/>
      <c r="B270" s="215" t="s">
        <v>147</v>
      </c>
      <c r="C270" s="215"/>
      <c r="D270" s="54"/>
      <c r="E270" s="54"/>
      <c r="F270" s="54"/>
      <c r="G270" s="72"/>
      <c r="H270" s="72"/>
      <c r="I270" s="714">
        <v>-100135302.01727232</v>
      </c>
      <c r="J270" s="714">
        <v>-194428710.15115595</v>
      </c>
      <c r="K270" s="714">
        <v>-196595619.30883533</v>
      </c>
      <c r="L270" s="714">
        <v>-60927941.400000006</v>
      </c>
      <c r="M270" s="72">
        <v>-30139644.830000002</v>
      </c>
      <c r="N270" s="72">
        <v>-94715830.679999992</v>
      </c>
      <c r="O270" s="72">
        <v>-49790681.789999999</v>
      </c>
      <c r="P270" s="72">
        <v>-47675039.399999999</v>
      </c>
      <c r="Q270" s="72">
        <v>-45797036.339999996</v>
      </c>
      <c r="R270" s="72">
        <v>-44350047.960000001</v>
      </c>
      <c r="S270" s="72">
        <v>-35705911.159999996</v>
      </c>
      <c r="T270" s="72">
        <v>-34697160.840000004</v>
      </c>
      <c r="U270" s="72">
        <v>-33850043.25</v>
      </c>
      <c r="V270" s="72">
        <v>-33135927.340000004</v>
      </c>
      <c r="W270" s="54"/>
      <c r="X270" s="471"/>
      <c r="Y270" s="471"/>
      <c r="Z270" s="471"/>
      <c r="AA270" s="473"/>
    </row>
    <row r="271" spans="1:27">
      <c r="A271" s="54"/>
      <c r="B271" s="54" t="s">
        <v>556</v>
      </c>
      <c r="C271" s="54"/>
      <c r="D271" s="54"/>
      <c r="E271" s="54"/>
      <c r="F271" s="54"/>
      <c r="G271" s="72"/>
      <c r="H271" s="72"/>
      <c r="I271" s="715">
        <v>-7007921</v>
      </c>
      <c r="J271" s="715"/>
      <c r="K271" s="715"/>
      <c r="L271" s="715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54"/>
      <c r="X271" s="471"/>
      <c r="Y271" s="471"/>
      <c r="Z271" s="471"/>
      <c r="AA271" s="473"/>
    </row>
    <row r="272" spans="1:27">
      <c r="A272" s="54"/>
      <c r="B272" s="54" t="s">
        <v>559</v>
      </c>
      <c r="C272" s="54"/>
      <c r="D272" s="54"/>
      <c r="E272" s="54"/>
      <c r="F272" s="54"/>
      <c r="G272" s="72"/>
      <c r="H272" s="72"/>
      <c r="I272" s="714">
        <f t="shared" ref="I272:V272" si="123">SUM(I267:I271)</f>
        <v>5947669.1229800582</v>
      </c>
      <c r="J272" s="714">
        <f t="shared" si="123"/>
        <v>-90575736.802755922</v>
      </c>
      <c r="K272" s="714">
        <f t="shared" si="123"/>
        <v>-101284390.01966105</v>
      </c>
      <c r="L272" s="714">
        <f t="shared" si="123"/>
        <v>-23199764.972391717</v>
      </c>
      <c r="M272" s="72">
        <f t="shared" si="123"/>
        <v>-73803870.254068077</v>
      </c>
      <c r="N272" s="72">
        <f t="shared" si="123"/>
        <v>-72289631.855410427</v>
      </c>
      <c r="O272" s="72">
        <f t="shared" si="123"/>
        <v>-37019678.71930296</v>
      </c>
      <c r="P272" s="72">
        <f t="shared" si="123"/>
        <v>-62688141.847452573</v>
      </c>
      <c r="Q272" s="72">
        <f t="shared" si="123"/>
        <v>2335851.8373402432</v>
      </c>
      <c r="R272" s="72">
        <f t="shared" si="123"/>
        <v>69737805.309482008</v>
      </c>
      <c r="S272" s="72">
        <f t="shared" si="123"/>
        <v>96318603.998313755</v>
      </c>
      <c r="T272" s="72">
        <f t="shared" si="123"/>
        <v>115933283.30828521</v>
      </c>
      <c r="U272" s="72">
        <f t="shared" si="123"/>
        <v>142321781.87293866</v>
      </c>
      <c r="V272" s="72">
        <f t="shared" si="123"/>
        <v>166726623.65956321</v>
      </c>
      <c r="W272" s="72"/>
      <c r="X272" s="471"/>
      <c r="Y272" s="471"/>
      <c r="Z272" s="471"/>
      <c r="AA272" s="473"/>
    </row>
    <row r="273" spans="1:27">
      <c r="A273" s="54"/>
      <c r="B273" s="54" t="s">
        <v>558</v>
      </c>
      <c r="C273" s="54"/>
      <c r="D273" s="54"/>
      <c r="E273" s="54"/>
      <c r="F273" s="54"/>
      <c r="G273" s="72"/>
      <c r="H273" s="72"/>
      <c r="I273" s="714">
        <v>-10983601</v>
      </c>
      <c r="J273" s="714">
        <f>I273*(1+J19)</f>
        <v>-11745868.440348195</v>
      </c>
      <c r="K273" s="714">
        <f>J273*(1+K19)</f>
        <v>-11890568.035975613</v>
      </c>
      <c r="L273" s="714">
        <f>-13699822</f>
        <v>-13699822</v>
      </c>
      <c r="M273" s="1341">
        <f>L273*(1+M19)</f>
        <v>-5790630.3115540566</v>
      </c>
      <c r="N273" s="72">
        <f>M273*(1+N19)</f>
        <v>-11375605.601468543</v>
      </c>
      <c r="O273" s="72">
        <f>N273*(1+O19)</f>
        <v>-9512244.827099869</v>
      </c>
      <c r="P273" s="72">
        <f>O273*(1+P19)</f>
        <v>-10041671.23802904</v>
      </c>
      <c r="Q273" s="72">
        <f>P273*(1+Q19)</f>
        <v>-12415310.331390126</v>
      </c>
      <c r="R273" s="72">
        <f>Q273*(1+R19)</f>
        <v>-14242178.532330561</v>
      </c>
      <c r="S273" s="72">
        <f>R273*(1+S19)</f>
        <v>-15389207.472997686</v>
      </c>
      <c r="T273" s="72">
        <f>S273*(1+T19)</f>
        <v>-16454329.842189191</v>
      </c>
      <c r="U273" s="72">
        <f>T273*(1+U19)</f>
        <v>-17696471.279540107</v>
      </c>
      <c r="V273" s="72">
        <f>U273*(1+V19)</f>
        <v>-18179739.305659246</v>
      </c>
      <c r="W273" s="54"/>
      <c r="X273" s="471"/>
      <c r="Y273" s="471"/>
      <c r="Z273" s="471"/>
      <c r="AA273" s="473"/>
    </row>
    <row r="274" spans="1:27">
      <c r="A274" s="54"/>
      <c r="B274" s="54" t="s">
        <v>560</v>
      </c>
      <c r="C274" s="54"/>
      <c r="D274" s="54"/>
      <c r="E274" s="54"/>
      <c r="F274" s="54"/>
      <c r="G274" s="72"/>
      <c r="H274" s="72"/>
      <c r="I274" s="715">
        <v>0</v>
      </c>
      <c r="J274" s="715">
        <v>0</v>
      </c>
      <c r="K274" s="715">
        <f>J276</f>
        <v>-102321605.24310412</v>
      </c>
      <c r="L274" s="715">
        <v>-28383348</v>
      </c>
      <c r="M274" s="98">
        <f t="shared" ref="M274:V274" si="124">IF(L276&lt;0,L276,0)</f>
        <v>-65282934.972391717</v>
      </c>
      <c r="N274" s="98">
        <f t="shared" si="124"/>
        <v>-144877435.53801385</v>
      </c>
      <c r="O274" s="98">
        <f t="shared" si="124"/>
        <v>-228542672.99489284</v>
      </c>
      <c r="P274" s="98">
        <f t="shared" si="124"/>
        <v>-275074596.54129565</v>
      </c>
      <c r="Q274" s="98">
        <f t="shared" si="124"/>
        <v>-347804409.62677729</v>
      </c>
      <c r="R274" s="98">
        <f t="shared" si="124"/>
        <v>-357883868.1208272</v>
      </c>
      <c r="S274" s="98">
        <f t="shared" si="124"/>
        <v>-302388241.34367573</v>
      </c>
      <c r="T274" s="98">
        <f t="shared" si="124"/>
        <v>-221458844.81835967</v>
      </c>
      <c r="U274" s="98">
        <f t="shared" si="124"/>
        <v>-121979891.35226366</v>
      </c>
      <c r="V274" s="98">
        <f t="shared" si="124"/>
        <v>0</v>
      </c>
      <c r="W274" s="98"/>
      <c r="X274" s="471"/>
      <c r="Y274" s="471"/>
      <c r="Z274" s="471"/>
      <c r="AA274" s="473"/>
    </row>
    <row r="275" spans="1:27">
      <c r="A275" s="54"/>
      <c r="B275" s="54"/>
      <c r="C275" s="54"/>
      <c r="D275" s="54"/>
      <c r="E275" s="54"/>
      <c r="F275" s="54"/>
      <c r="G275" s="72"/>
      <c r="H275" s="72"/>
      <c r="I275" s="714"/>
      <c r="J275" s="714"/>
      <c r="K275" s="714"/>
      <c r="L275" s="714"/>
      <c r="M275" s="72"/>
      <c r="N275" s="72"/>
      <c r="O275" s="72"/>
      <c r="P275" s="72"/>
      <c r="Q275" s="72"/>
      <c r="R275" s="72"/>
      <c r="S275" s="72"/>
      <c r="T275" s="72"/>
      <c r="U275" s="72"/>
      <c r="V275" s="72"/>
      <c r="W275" s="72"/>
      <c r="X275" s="473"/>
      <c r="Y275" s="473"/>
      <c r="Z275" s="473"/>
      <c r="AA275" s="473"/>
    </row>
    <row r="276" spans="1:27">
      <c r="A276" s="54"/>
      <c r="B276" s="54" t="s">
        <v>557</v>
      </c>
      <c r="C276" s="54"/>
      <c r="D276" s="54"/>
      <c r="E276" s="54"/>
      <c r="F276" s="54"/>
      <c r="G276" s="72"/>
      <c r="H276" s="72"/>
      <c r="I276" s="714">
        <f>SUM(I272:I274)</f>
        <v>-5035931.8770199418</v>
      </c>
      <c r="J276" s="714">
        <f>SUM(J272:J274)</f>
        <v>-102321605.24310412</v>
      </c>
      <c r="K276" s="714">
        <f>SUM(K272:K274)</f>
        <v>-215496563.2987408</v>
      </c>
      <c r="L276" s="714">
        <f>SUM(L272:L274)</f>
        <v>-65282934.972391717</v>
      </c>
      <c r="M276" s="72">
        <f t="shared" ref="M276:V276" si="125">SUM(M272:M274)</f>
        <v>-144877435.53801385</v>
      </c>
      <c r="N276" s="72">
        <f t="shared" si="125"/>
        <v>-228542672.99489284</v>
      </c>
      <c r="O276" s="72">
        <f t="shared" si="125"/>
        <v>-275074596.54129565</v>
      </c>
      <c r="P276" s="72">
        <f t="shared" si="125"/>
        <v>-347804409.62677729</v>
      </c>
      <c r="Q276" s="72">
        <f>SUM(Q272:Q274)</f>
        <v>-357883868.1208272</v>
      </c>
      <c r="R276" s="72">
        <f t="shared" si="125"/>
        <v>-302388241.34367573</v>
      </c>
      <c r="S276" s="72">
        <f>SUM(S272:S274)</f>
        <v>-221458844.81835967</v>
      </c>
      <c r="T276" s="72">
        <f t="shared" si="125"/>
        <v>-121979891.35226366</v>
      </c>
      <c r="U276" s="72">
        <f t="shared" si="125"/>
        <v>2645419.2411348969</v>
      </c>
      <c r="V276" s="72">
        <f t="shared" si="125"/>
        <v>148546884.35390398</v>
      </c>
      <c r="W276" s="72"/>
      <c r="X276" s="473"/>
      <c r="Y276" s="473"/>
      <c r="Z276" s="473"/>
      <c r="AA276" s="473"/>
    </row>
    <row r="277" spans="1:27">
      <c r="A277" s="54"/>
      <c r="B277" s="54"/>
      <c r="C277" s="54"/>
      <c r="D277" s="54"/>
      <c r="E277" s="54"/>
      <c r="F277" s="54"/>
      <c r="G277" s="72"/>
      <c r="H277" s="72"/>
      <c r="I277" s="72"/>
      <c r="J277" s="72"/>
      <c r="K277" s="72"/>
      <c r="L277" s="72"/>
      <c r="M277" s="72"/>
      <c r="N277" s="72"/>
      <c r="O277" s="72"/>
      <c r="P277" s="72"/>
      <c r="Q277" s="72"/>
      <c r="R277" s="72"/>
      <c r="S277" s="72"/>
      <c r="T277" s="72"/>
      <c r="U277" s="72"/>
      <c r="V277" s="72"/>
      <c r="W277" s="72"/>
      <c r="X277" s="473"/>
      <c r="Y277" s="473"/>
      <c r="Z277" s="473"/>
      <c r="AA277" s="473"/>
    </row>
    <row r="278" spans="1:27" ht="15.75" thickBot="1">
      <c r="A278" s="54"/>
      <c r="B278" s="54"/>
      <c r="C278" s="54"/>
      <c r="D278" s="54"/>
      <c r="E278" s="54"/>
      <c r="F278" s="54"/>
      <c r="G278" s="72"/>
      <c r="H278" s="72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473"/>
      <c r="Y278" s="473"/>
      <c r="Z278" s="473"/>
      <c r="AA278" s="473"/>
    </row>
    <row r="279" spans="1:27" ht="15.75" thickTop="1">
      <c r="A279" s="54"/>
      <c r="B279" s="54"/>
      <c r="C279" s="54"/>
      <c r="D279" s="54"/>
      <c r="E279" s="54"/>
      <c r="F279" s="54"/>
      <c r="G279" s="72"/>
      <c r="H279" s="72"/>
      <c r="I279" s="72"/>
      <c r="J279" s="72"/>
      <c r="K279" s="72"/>
      <c r="L279" s="72"/>
      <c r="M279" s="72"/>
      <c r="N279" s="72"/>
      <c r="O279" s="72"/>
      <c r="P279" s="72"/>
      <c r="Q279" s="72"/>
      <c r="R279" s="72"/>
      <c r="S279" s="72"/>
      <c r="T279" s="54"/>
      <c r="U279" s="54"/>
      <c r="V279" s="54"/>
      <c r="W279" s="54"/>
      <c r="X279" s="473"/>
      <c r="Y279" s="473"/>
      <c r="Z279" s="473"/>
      <c r="AA279" s="473"/>
    </row>
    <row r="280" spans="1:27">
      <c r="A280" s="54"/>
      <c r="B280" s="54"/>
      <c r="C280" s="54"/>
      <c r="D280" s="54"/>
      <c r="E280" s="54"/>
      <c r="F280" s="54"/>
      <c r="G280" s="72"/>
      <c r="H280" s="72"/>
      <c r="I280" s="72"/>
      <c r="J280" s="72"/>
      <c r="K280" s="72"/>
      <c r="L280" s="72"/>
      <c r="M280" s="72"/>
      <c r="N280" s="72"/>
      <c r="O280" s="72"/>
      <c r="P280" s="54"/>
      <c r="Q280" s="54"/>
      <c r="R280" s="54"/>
      <c r="S280" s="54"/>
      <c r="T280" s="54"/>
      <c r="U280" s="54"/>
      <c r="V280" s="54"/>
      <c r="W280" s="54"/>
      <c r="X280" s="473"/>
      <c r="Y280" s="473"/>
      <c r="Z280" s="473"/>
      <c r="AA280" s="473"/>
    </row>
    <row r="281" spans="1:27">
      <c r="A281" s="54"/>
      <c r="B281" s="54"/>
      <c r="C281" s="54"/>
      <c r="D281" s="54"/>
      <c r="E281" s="54"/>
      <c r="F281" s="54"/>
      <c r="G281" s="72"/>
      <c r="H281" s="72"/>
      <c r="I281" s="64"/>
      <c r="J281" s="64" t="s">
        <v>148</v>
      </c>
      <c r="K281" s="64" t="s">
        <v>149</v>
      </c>
      <c r="L281" s="64" t="s">
        <v>150</v>
      </c>
      <c r="M281" s="64" t="s">
        <v>151</v>
      </c>
      <c r="N281" s="64" t="s">
        <v>152</v>
      </c>
      <c r="O281" s="64" t="s">
        <v>153</v>
      </c>
      <c r="P281" s="64" t="s">
        <v>154</v>
      </c>
      <c r="Q281" s="64" t="s">
        <v>155</v>
      </c>
      <c r="R281" s="64" t="s">
        <v>156</v>
      </c>
      <c r="S281" s="64" t="s">
        <v>157</v>
      </c>
      <c r="T281" s="64" t="s">
        <v>544</v>
      </c>
      <c r="U281" s="64" t="s">
        <v>545</v>
      </c>
      <c r="V281" s="64" t="s">
        <v>546</v>
      </c>
      <c r="W281" s="54"/>
      <c r="X281" s="473"/>
      <c r="Y281" s="473"/>
      <c r="Z281" s="473"/>
      <c r="AA281" s="473"/>
    </row>
    <row r="282" spans="1:27">
      <c r="A282" s="59" t="s">
        <v>158</v>
      </c>
      <c r="B282" s="54"/>
      <c r="C282" s="54"/>
      <c r="D282" s="54"/>
      <c r="E282" s="54"/>
      <c r="F282" s="54"/>
      <c r="G282" s="72"/>
      <c r="H282" s="72"/>
      <c r="I282" s="72"/>
      <c r="J282" s="72"/>
      <c r="K282" s="72"/>
      <c r="L282" s="72"/>
      <c r="M282" s="72"/>
      <c r="N282" s="72"/>
      <c r="O282" s="72"/>
      <c r="P282" s="54"/>
      <c r="Q282" s="54"/>
      <c r="R282" s="54"/>
      <c r="S282" s="54"/>
      <c r="T282" s="54"/>
      <c r="U282" s="54"/>
      <c r="V282" s="54"/>
      <c r="W282" s="54"/>
      <c r="X282" s="473"/>
      <c r="Y282" s="473"/>
      <c r="Z282" s="473"/>
      <c r="AA282" s="473"/>
    </row>
    <row r="283" spans="1:27">
      <c r="A283" s="54"/>
      <c r="B283" s="54" t="s">
        <v>159</v>
      </c>
      <c r="C283" s="54"/>
      <c r="D283" s="54"/>
      <c r="E283" s="54"/>
      <c r="F283" s="54"/>
      <c r="G283" s="72"/>
      <c r="H283" s="72"/>
      <c r="I283" s="715"/>
      <c r="J283" s="715">
        <f t="shared" ref="J283:P283" si="126">I276</f>
        <v>-5035931.8770199418</v>
      </c>
      <c r="K283" s="715">
        <f t="shared" si="126"/>
        <v>-102321605.24310412</v>
      </c>
      <c r="L283" s="715">
        <f t="shared" si="126"/>
        <v>-215496563.2987408</v>
      </c>
      <c r="M283" s="98">
        <f t="shared" si="126"/>
        <v>-65282934.972391717</v>
      </c>
      <c r="N283" s="98">
        <f t="shared" si="126"/>
        <v>-144877435.53801385</v>
      </c>
      <c r="O283" s="98">
        <f t="shared" si="126"/>
        <v>-228542672.99489284</v>
      </c>
      <c r="P283" s="98">
        <f t="shared" si="126"/>
        <v>-275074596.54129565</v>
      </c>
      <c r="Q283" s="98">
        <f t="shared" ref="Q283:V283" si="127">P276</f>
        <v>-347804409.62677729</v>
      </c>
      <c r="R283" s="98">
        <f t="shared" si="127"/>
        <v>-357883868.1208272</v>
      </c>
      <c r="S283" s="98">
        <f t="shared" si="127"/>
        <v>-302388241.34367573</v>
      </c>
      <c r="T283" s="98">
        <f t="shared" si="127"/>
        <v>-221458844.81835967</v>
      </c>
      <c r="U283" s="98">
        <f t="shared" si="127"/>
        <v>-121979891.35226366</v>
      </c>
      <c r="V283" s="98">
        <f t="shared" si="127"/>
        <v>2645419.2411348969</v>
      </c>
      <c r="W283" s="54"/>
      <c r="X283" s="473"/>
      <c r="Y283" s="473"/>
      <c r="Z283" s="473"/>
      <c r="AA283" s="473"/>
    </row>
    <row r="284" spans="1:27">
      <c r="A284" s="54"/>
      <c r="B284" s="54" t="s">
        <v>160</v>
      </c>
      <c r="C284" s="54"/>
      <c r="D284" s="54"/>
      <c r="E284" s="54"/>
      <c r="F284" s="54"/>
      <c r="G284" s="72"/>
      <c r="H284" s="72"/>
      <c r="I284" s="714"/>
      <c r="J284" s="714">
        <f>IF(J283&lt;0,0,J283*16.5%)</f>
        <v>0</v>
      </c>
      <c r="K284" s="714">
        <f>IF(K283&lt;0,0,K283*16.5%)</f>
        <v>0</v>
      </c>
      <c r="L284" s="714">
        <f>IF(L283&lt;0,0,L283*16.5%)</f>
        <v>0</v>
      </c>
      <c r="M284" s="72">
        <f t="shared" ref="M284:S284" si="128">IF(M283&lt;0,0,M283*16.5%)</f>
        <v>0</v>
      </c>
      <c r="N284" s="72">
        <f t="shared" si="128"/>
        <v>0</v>
      </c>
      <c r="O284" s="72">
        <f t="shared" si="128"/>
        <v>0</v>
      </c>
      <c r="P284" s="72">
        <f t="shared" si="128"/>
        <v>0</v>
      </c>
      <c r="Q284" s="72">
        <f t="shared" si="128"/>
        <v>0</v>
      </c>
      <c r="R284" s="72">
        <f>IF(R283&lt;0,0,R283*16.5%)</f>
        <v>0</v>
      </c>
      <c r="S284" s="72">
        <f t="shared" si="128"/>
        <v>0</v>
      </c>
      <c r="T284" s="72">
        <f>IF(T283&lt;0,0,T283*16.5%)</f>
        <v>0</v>
      </c>
      <c r="U284" s="72">
        <f>IF(U283&lt;0,0,U283*16.5%)</f>
        <v>0</v>
      </c>
      <c r="V284" s="72">
        <f>IF(V283&lt;0,0,V283*16.5%)</f>
        <v>436494.17478725803</v>
      </c>
      <c r="W284" s="54"/>
      <c r="X284" s="473"/>
      <c r="Y284" s="473"/>
      <c r="Z284" s="473"/>
      <c r="AA284" s="473"/>
    </row>
    <row r="285" spans="1:27">
      <c r="A285" s="54"/>
      <c r="B285" s="54" t="s">
        <v>161</v>
      </c>
      <c r="C285" s="54"/>
      <c r="D285" s="54"/>
      <c r="E285" s="54"/>
      <c r="F285" s="54"/>
      <c r="G285" s="72"/>
      <c r="H285" s="72"/>
      <c r="I285" s="714"/>
      <c r="J285" s="714">
        <v>-7808403</v>
      </c>
      <c r="K285" s="714">
        <f>-J286</f>
        <v>0</v>
      </c>
      <c r="L285" s="714">
        <f>-K286</f>
        <v>0</v>
      </c>
      <c r="M285" s="72">
        <f t="shared" ref="M285:V285" si="129">-L286</f>
        <v>0</v>
      </c>
      <c r="N285" s="72">
        <f t="shared" si="129"/>
        <v>0</v>
      </c>
      <c r="O285" s="72">
        <f t="shared" si="129"/>
        <v>0</v>
      </c>
      <c r="P285" s="72">
        <f t="shared" si="129"/>
        <v>0</v>
      </c>
      <c r="Q285" s="72">
        <f t="shared" si="129"/>
        <v>0</v>
      </c>
      <c r="R285" s="72">
        <f t="shared" si="129"/>
        <v>0</v>
      </c>
      <c r="S285" s="72">
        <f t="shared" si="129"/>
        <v>0</v>
      </c>
      <c r="T285" s="72">
        <f t="shared" si="129"/>
        <v>0</v>
      </c>
      <c r="U285" s="72">
        <f t="shared" si="129"/>
        <v>0</v>
      </c>
      <c r="V285" s="72">
        <f t="shared" si="129"/>
        <v>0</v>
      </c>
      <c r="W285" s="54"/>
      <c r="X285" s="473"/>
      <c r="Y285" s="473"/>
      <c r="Z285" s="473"/>
      <c r="AA285" s="473"/>
    </row>
    <row r="286" spans="1:27">
      <c r="A286" s="54"/>
      <c r="B286" s="54" t="s">
        <v>162</v>
      </c>
      <c r="C286" s="54"/>
      <c r="D286" s="54"/>
      <c r="E286" s="54"/>
      <c r="F286" s="54"/>
      <c r="G286" s="72"/>
      <c r="H286" s="72"/>
      <c r="I286" s="714"/>
      <c r="J286" s="714">
        <f>J284</f>
        <v>0</v>
      </c>
      <c r="K286" s="714">
        <f t="shared" ref="K286:S286" si="130">K284</f>
        <v>0</v>
      </c>
      <c r="L286" s="714">
        <f t="shared" si="130"/>
        <v>0</v>
      </c>
      <c r="M286" s="72">
        <f t="shared" si="130"/>
        <v>0</v>
      </c>
      <c r="N286" s="72">
        <f t="shared" si="130"/>
        <v>0</v>
      </c>
      <c r="O286" s="72">
        <f t="shared" si="130"/>
        <v>0</v>
      </c>
      <c r="P286" s="72">
        <f t="shared" si="130"/>
        <v>0</v>
      </c>
      <c r="Q286" s="72">
        <f t="shared" si="130"/>
        <v>0</v>
      </c>
      <c r="R286" s="72">
        <f t="shared" si="130"/>
        <v>0</v>
      </c>
      <c r="S286" s="72">
        <f t="shared" si="130"/>
        <v>0</v>
      </c>
      <c r="T286" s="72">
        <f>T284</f>
        <v>0</v>
      </c>
      <c r="U286" s="72">
        <f>U284</f>
        <v>0</v>
      </c>
      <c r="V286" s="72">
        <f>V284</f>
        <v>436494.17478725803</v>
      </c>
      <c r="W286" s="54"/>
      <c r="X286" s="473"/>
      <c r="Y286" s="473"/>
      <c r="Z286" s="473"/>
      <c r="AA286" s="473"/>
    </row>
    <row r="287" spans="1:27" ht="15.75" thickBot="1">
      <c r="A287" s="54"/>
      <c r="B287" s="59" t="s">
        <v>163</v>
      </c>
      <c r="C287" s="59"/>
      <c r="D287" s="54"/>
      <c r="E287" s="54"/>
      <c r="F287" s="54"/>
      <c r="G287" s="72"/>
      <c r="H287" s="72"/>
      <c r="I287" s="95"/>
      <c r="J287" s="95">
        <f>SUM(J284:J286)</f>
        <v>-7808403</v>
      </c>
      <c r="K287" s="95">
        <f t="shared" ref="K287:S287" si="131">SUM(K284:K286)</f>
        <v>0</v>
      </c>
      <c r="L287" s="95">
        <f>SUM(L284:L286)</f>
        <v>0</v>
      </c>
      <c r="M287" s="95">
        <f t="shared" si="131"/>
        <v>0</v>
      </c>
      <c r="N287" s="95">
        <f t="shared" si="131"/>
        <v>0</v>
      </c>
      <c r="O287" s="95">
        <f t="shared" si="131"/>
        <v>0</v>
      </c>
      <c r="P287" s="95">
        <f t="shared" si="131"/>
        <v>0</v>
      </c>
      <c r="Q287" s="95">
        <f t="shared" si="131"/>
        <v>0</v>
      </c>
      <c r="R287" s="95">
        <f t="shared" si="131"/>
        <v>0</v>
      </c>
      <c r="S287" s="95">
        <f t="shared" si="131"/>
        <v>0</v>
      </c>
      <c r="T287" s="95">
        <f>SUM(T284:T286)</f>
        <v>0</v>
      </c>
      <c r="U287" s="95">
        <f>SUM(U284:U286)</f>
        <v>0</v>
      </c>
      <c r="V287" s="95">
        <f>SUM(V284:V286)</f>
        <v>872988.34957451606</v>
      </c>
      <c r="W287" s="54"/>
      <c r="X287" s="473"/>
      <c r="Y287" s="473"/>
      <c r="Z287" s="473"/>
      <c r="AA287" s="473"/>
    </row>
    <row r="288" spans="1:27">
      <c r="A288" s="54"/>
      <c r="B288" s="54"/>
      <c r="C288" s="54"/>
      <c r="D288" s="54"/>
      <c r="E288" s="54"/>
      <c r="F288" s="54"/>
      <c r="G288" s="72"/>
      <c r="H288" s="72"/>
      <c r="I288" s="72"/>
      <c r="J288" s="72"/>
      <c r="K288" s="72"/>
      <c r="L288" s="72"/>
      <c r="M288" s="72"/>
      <c r="N288" s="72"/>
      <c r="O288" s="72"/>
      <c r="P288" s="54"/>
      <c r="Q288" s="54"/>
      <c r="R288" s="54"/>
      <c r="S288" s="54"/>
      <c r="T288" s="54"/>
      <c r="U288" s="54"/>
      <c r="V288" s="54"/>
      <c r="W288" s="54"/>
      <c r="X288" s="473"/>
      <c r="Y288" s="473"/>
      <c r="Z288" s="473"/>
      <c r="AA288" s="473"/>
    </row>
    <row r="289" spans="1:27">
      <c r="A289" s="59" t="s">
        <v>164</v>
      </c>
      <c r="B289" s="54"/>
      <c r="C289" s="54"/>
      <c r="D289" s="54"/>
      <c r="E289" s="54"/>
      <c r="F289" s="54"/>
      <c r="G289" s="72"/>
      <c r="H289" s="72"/>
      <c r="I289" s="72"/>
      <c r="J289" s="72"/>
      <c r="K289" s="72"/>
      <c r="L289" s="72"/>
      <c r="M289" s="72"/>
      <c r="N289" s="72"/>
      <c r="O289" s="72"/>
      <c r="P289" s="54"/>
      <c r="Q289" s="54"/>
      <c r="R289" s="54"/>
      <c r="S289" s="54"/>
      <c r="T289" s="54"/>
      <c r="U289" s="54"/>
      <c r="V289" s="54"/>
      <c r="W289" s="54"/>
      <c r="X289" s="473"/>
      <c r="Y289" s="473"/>
      <c r="Z289" s="473"/>
      <c r="AA289" s="473"/>
    </row>
    <row r="290" spans="1:27">
      <c r="A290" s="54"/>
      <c r="B290" s="54" t="s">
        <v>159</v>
      </c>
      <c r="C290" s="54"/>
      <c r="D290" s="54"/>
      <c r="E290" s="54"/>
      <c r="F290" s="54"/>
      <c r="G290" s="72"/>
      <c r="H290" s="72"/>
      <c r="I290" s="715"/>
      <c r="J290" s="715">
        <f>-I273</f>
        <v>10983601</v>
      </c>
      <c r="K290" s="715">
        <f>-J273</f>
        <v>11745868.440348195</v>
      </c>
      <c r="L290" s="715">
        <f>-K273</f>
        <v>11890568.035975613</v>
      </c>
      <c r="M290" s="98">
        <f t="shared" ref="M290:V290" si="132">-L273</f>
        <v>13699822</v>
      </c>
      <c r="N290" s="98">
        <f>-M273</f>
        <v>5790630.3115540566</v>
      </c>
      <c r="O290" s="98">
        <f t="shared" si="132"/>
        <v>11375605.601468543</v>
      </c>
      <c r="P290" s="98">
        <f t="shared" si="132"/>
        <v>9512244.827099869</v>
      </c>
      <c r="Q290" s="98">
        <f t="shared" si="132"/>
        <v>10041671.23802904</v>
      </c>
      <c r="R290" s="98">
        <f t="shared" si="132"/>
        <v>12415310.331390126</v>
      </c>
      <c r="S290" s="98">
        <f t="shared" si="132"/>
        <v>14242178.532330561</v>
      </c>
      <c r="T290" s="98">
        <f t="shared" si="132"/>
        <v>15389207.472997686</v>
      </c>
      <c r="U290" s="98">
        <f t="shared" si="132"/>
        <v>16454329.842189191</v>
      </c>
      <c r="V290" s="98">
        <f t="shared" si="132"/>
        <v>17696471.279540107</v>
      </c>
      <c r="W290" s="54"/>
      <c r="X290" s="473"/>
      <c r="Y290" s="473"/>
      <c r="Z290" s="473"/>
      <c r="AA290" s="473"/>
    </row>
    <row r="291" spans="1:27">
      <c r="A291" s="54"/>
      <c r="B291" s="54" t="s">
        <v>160</v>
      </c>
      <c r="C291" s="54"/>
      <c r="D291" s="54"/>
      <c r="E291" s="54"/>
      <c r="F291" s="54"/>
      <c r="G291" s="72"/>
      <c r="H291" s="72"/>
      <c r="I291" s="714"/>
      <c r="J291" s="714">
        <f>J290*16.5%</f>
        <v>1812294.165</v>
      </c>
      <c r="K291" s="714">
        <f t="shared" ref="K291:L291" si="133">K290*16.5%</f>
        <v>1938068.2926574522</v>
      </c>
      <c r="L291" s="714">
        <f t="shared" si="133"/>
        <v>1961943.7259359763</v>
      </c>
      <c r="M291" s="72">
        <v>2075470</v>
      </c>
      <c r="N291" s="72">
        <f>IF(N290&lt;2000000,N290*8.25%,2000000*8.25%+(N290-2000000)*16.5%-20000 )</f>
        <v>770454.00140641932</v>
      </c>
      <c r="O291" s="72">
        <f t="shared" ref="O291:V291" si="134">IF(O290&lt;2000000,O290*8.25%,2000000*8.25%+(O290-2000000)*16.5%-20000 )</f>
        <v>1691974.9242423095</v>
      </c>
      <c r="P291" s="72">
        <f t="shared" si="134"/>
        <v>1384520.3964714785</v>
      </c>
      <c r="Q291" s="72">
        <f t="shared" si="134"/>
        <v>1471875.7542747918</v>
      </c>
      <c r="R291" s="72">
        <f t="shared" si="134"/>
        <v>1863526.2046793709</v>
      </c>
      <c r="S291" s="72">
        <f t="shared" si="134"/>
        <v>2164959.4578345427</v>
      </c>
      <c r="T291" s="72">
        <f t="shared" si="134"/>
        <v>2354219.2330446183</v>
      </c>
      <c r="U291" s="72">
        <f t="shared" si="134"/>
        <v>2529964.4239612166</v>
      </c>
      <c r="V291" s="72">
        <f t="shared" si="134"/>
        <v>2734917.7611241178</v>
      </c>
      <c r="X291" s="473"/>
      <c r="Y291" s="473"/>
      <c r="Z291" s="473"/>
      <c r="AA291" s="473"/>
    </row>
    <row r="292" spans="1:27">
      <c r="A292" s="54"/>
      <c r="B292" s="54" t="s">
        <v>548</v>
      </c>
      <c r="C292" s="54"/>
      <c r="D292" s="54"/>
      <c r="E292" s="54"/>
      <c r="F292" s="54"/>
      <c r="G292" s="72"/>
      <c r="H292" s="72"/>
      <c r="I292" s="714"/>
      <c r="J292" s="714">
        <v>-1779223</v>
      </c>
      <c r="K292" s="714">
        <f>-J293</f>
        <v>-1812294.165</v>
      </c>
      <c r="L292" s="714">
        <f>-K293</f>
        <v>-1938068.2926574522</v>
      </c>
      <c r="M292" s="72">
        <v>-4438605</v>
      </c>
      <c r="N292" s="72">
        <f t="shared" ref="N292:V292" si="135">-M293</f>
        <v>-2095470</v>
      </c>
      <c r="O292" s="72">
        <f t="shared" si="135"/>
        <v>-770454.00140641932</v>
      </c>
      <c r="P292" s="72">
        <f t="shared" si="135"/>
        <v>-1691974.9242423095</v>
      </c>
      <c r="Q292" s="72">
        <f t="shared" si="135"/>
        <v>-1384520.3964714785</v>
      </c>
      <c r="R292" s="72">
        <f t="shared" si="135"/>
        <v>-1471875.7542747918</v>
      </c>
      <c r="S292" s="72">
        <f t="shared" si="135"/>
        <v>-1863526.2046793709</v>
      </c>
      <c r="T292" s="72">
        <f t="shared" si="135"/>
        <v>-2164959.4578345427</v>
      </c>
      <c r="U292" s="72">
        <f t="shared" si="135"/>
        <v>-2354219.2330446183</v>
      </c>
      <c r="V292" s="72">
        <f t="shared" si="135"/>
        <v>-2529964.4239612166</v>
      </c>
      <c r="X292" s="473"/>
      <c r="Y292" s="473"/>
      <c r="Z292" s="473"/>
      <c r="AA292" s="473"/>
    </row>
    <row r="293" spans="1:27">
      <c r="A293" s="54"/>
      <c r="B293" s="54" t="s">
        <v>549</v>
      </c>
      <c r="C293" s="54"/>
      <c r="D293" s="54"/>
      <c r="E293" s="54"/>
      <c r="F293" s="54"/>
      <c r="G293" s="72"/>
      <c r="H293" s="72"/>
      <c r="I293" s="715"/>
      <c r="J293" s="715">
        <f>J291</f>
        <v>1812294.165</v>
      </c>
      <c r="K293" s="715">
        <f t="shared" ref="K293:S293" si="136">K291</f>
        <v>1938068.2926574522</v>
      </c>
      <c r="L293" s="715">
        <f>L291</f>
        <v>1961943.7259359763</v>
      </c>
      <c r="M293" s="98">
        <v>2095470</v>
      </c>
      <c r="N293" s="98">
        <f t="shared" si="136"/>
        <v>770454.00140641932</v>
      </c>
      <c r="O293" s="98">
        <f t="shared" si="136"/>
        <v>1691974.9242423095</v>
      </c>
      <c r="P293" s="98">
        <f t="shared" si="136"/>
        <v>1384520.3964714785</v>
      </c>
      <c r="Q293" s="98">
        <f t="shared" si="136"/>
        <v>1471875.7542747918</v>
      </c>
      <c r="R293" s="98">
        <f t="shared" si="136"/>
        <v>1863526.2046793709</v>
      </c>
      <c r="S293" s="98">
        <f t="shared" si="136"/>
        <v>2164959.4578345427</v>
      </c>
      <c r="T293" s="98">
        <f>T291</f>
        <v>2354219.2330446183</v>
      </c>
      <c r="U293" s="98">
        <f>U291</f>
        <v>2529964.4239612166</v>
      </c>
      <c r="V293" s="98">
        <f>V291</f>
        <v>2734917.7611241178</v>
      </c>
      <c r="X293" s="473"/>
      <c r="Y293" s="473"/>
      <c r="Z293" s="473"/>
      <c r="AA293" s="473"/>
    </row>
    <row r="294" spans="1:27" ht="15.75" thickBot="1">
      <c r="A294" s="59" t="s">
        <v>550</v>
      </c>
      <c r="B294" s="54"/>
      <c r="C294" s="54"/>
      <c r="D294" s="54"/>
      <c r="E294" s="54"/>
      <c r="F294" s="54"/>
      <c r="G294" s="72"/>
      <c r="H294" s="72"/>
      <c r="I294" s="95"/>
      <c r="J294" s="95">
        <f>SUM(J291:J293)</f>
        <v>1845365.33</v>
      </c>
      <c r="K294" s="95">
        <f t="shared" ref="K294:S294" si="137">SUM(K291:K293)</f>
        <v>2063842.4203149043</v>
      </c>
      <c r="L294" s="95">
        <f t="shared" si="137"/>
        <v>1985819.1592145003</v>
      </c>
      <c r="M294" s="95">
        <f t="shared" si="137"/>
        <v>-267665</v>
      </c>
      <c r="N294" s="95">
        <f t="shared" si="137"/>
        <v>-554561.99718716135</v>
      </c>
      <c r="O294" s="95">
        <f t="shared" si="137"/>
        <v>2613495.8470781995</v>
      </c>
      <c r="P294" s="95">
        <f t="shared" si="137"/>
        <v>1077065.8687006475</v>
      </c>
      <c r="Q294" s="95">
        <f t="shared" si="137"/>
        <v>1559231.1120781051</v>
      </c>
      <c r="R294" s="95">
        <f t="shared" si="137"/>
        <v>2255176.6550839497</v>
      </c>
      <c r="S294" s="95">
        <f t="shared" si="137"/>
        <v>2466392.7109897146</v>
      </c>
      <c r="T294" s="95">
        <f>SUM(T291:T293)</f>
        <v>2543479.0082546938</v>
      </c>
      <c r="U294" s="95">
        <f>SUM(U291:U293)</f>
        <v>2705709.6148778149</v>
      </c>
      <c r="V294" s="95">
        <f>SUM(V291:V293)</f>
        <v>2939871.0982870189</v>
      </c>
      <c r="X294" s="473"/>
      <c r="Y294" s="473"/>
      <c r="Z294" s="473"/>
      <c r="AA294" s="473"/>
    </row>
    <row r="295" spans="1:27">
      <c r="A295" s="54"/>
      <c r="B295" s="54"/>
      <c r="C295" s="54"/>
      <c r="D295" s="54"/>
      <c r="E295" s="54"/>
      <c r="F295" s="54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X295" s="473"/>
      <c r="Y295" s="473"/>
      <c r="Z295" s="473"/>
      <c r="AA295" s="473"/>
    </row>
    <row r="296" spans="1:27" ht="16.5" thickBot="1">
      <c r="A296" s="100" t="s">
        <v>547</v>
      </c>
      <c r="B296" s="100"/>
      <c r="C296" s="100"/>
      <c r="D296" s="100"/>
      <c r="E296" s="100"/>
      <c r="F296" s="100"/>
      <c r="G296" s="305"/>
      <c r="H296" s="72"/>
      <c r="I296" s="101"/>
      <c r="J296" s="101">
        <f>J287+J294</f>
        <v>-5963037.6699999999</v>
      </c>
      <c r="K296" s="101">
        <f>K287+K294</f>
        <v>2063842.4203149043</v>
      </c>
      <c r="L296" s="101">
        <f t="shared" ref="L296:V296" si="138">L287+L294</f>
        <v>1985819.1592145003</v>
      </c>
      <c r="M296" s="101">
        <f t="shared" si="138"/>
        <v>-267665</v>
      </c>
      <c r="N296" s="101">
        <f t="shared" si="138"/>
        <v>-554561.99718716135</v>
      </c>
      <c r="O296" s="101">
        <f t="shared" si="138"/>
        <v>2613495.8470781995</v>
      </c>
      <c r="P296" s="101">
        <f t="shared" si="138"/>
        <v>1077065.8687006475</v>
      </c>
      <c r="Q296" s="101">
        <f t="shared" si="138"/>
        <v>1559231.1120781051</v>
      </c>
      <c r="R296" s="101">
        <f t="shared" si="138"/>
        <v>2255176.6550839497</v>
      </c>
      <c r="S296" s="101">
        <f t="shared" si="138"/>
        <v>2466392.7109897146</v>
      </c>
      <c r="T296" s="101">
        <f t="shared" si="138"/>
        <v>2543479.0082546938</v>
      </c>
      <c r="U296" s="101">
        <f t="shared" si="138"/>
        <v>2705709.6148778149</v>
      </c>
      <c r="V296" s="101">
        <f t="shared" si="138"/>
        <v>3812859.447861535</v>
      </c>
      <c r="X296" s="473"/>
      <c r="Y296" s="473"/>
      <c r="Z296" s="473"/>
      <c r="AA296" s="473"/>
    </row>
    <row r="297" spans="1:27">
      <c r="A297" s="54"/>
      <c r="B297" s="54"/>
      <c r="C297" s="54"/>
      <c r="D297" s="54"/>
      <c r="E297" s="54"/>
      <c r="F297" s="54"/>
      <c r="G297" s="72"/>
      <c r="H297" s="72"/>
      <c r="I297" s="72"/>
      <c r="J297" s="72"/>
      <c r="K297" s="72"/>
      <c r="L297" s="72"/>
      <c r="M297" s="72"/>
      <c r="N297" s="72"/>
      <c r="O297" s="72"/>
      <c r="P297" s="54"/>
      <c r="Q297" s="54"/>
      <c r="R297" s="54"/>
      <c r="S297" s="54"/>
      <c r="X297" s="473"/>
      <c r="Y297" s="473"/>
      <c r="Z297" s="473"/>
      <c r="AA297" s="473"/>
    </row>
    <row r="298" spans="1:27" s="1300" customFormat="1">
      <c r="A298" s="1297" t="s">
        <v>561</v>
      </c>
      <c r="B298" s="1298"/>
      <c r="C298" s="1298"/>
      <c r="D298" s="1298"/>
      <c r="E298" s="1298"/>
      <c r="F298" s="1298"/>
      <c r="G298" s="1299"/>
      <c r="H298" s="1299"/>
      <c r="I298" s="1299"/>
      <c r="J298" s="1299"/>
      <c r="K298" s="1299"/>
      <c r="L298" s="1299"/>
      <c r="M298" s="1299"/>
      <c r="N298" s="1299"/>
      <c r="O298" s="1299"/>
      <c r="P298" s="1298"/>
      <c r="Q298" s="1298"/>
      <c r="R298" s="1298"/>
      <c r="S298" s="1298"/>
      <c r="X298" s="1301"/>
      <c r="Y298" s="1301"/>
      <c r="Z298" s="1301"/>
      <c r="AA298" s="1301"/>
    </row>
    <row r="299" spans="1:27" s="467" customFormat="1">
      <c r="A299" s="152"/>
      <c r="B299" s="152" t="s">
        <v>562</v>
      </c>
      <c r="D299" s="152"/>
      <c r="E299" s="152"/>
      <c r="F299" s="152"/>
      <c r="G299" s="152">
        <f t="shared" ref="G299:N299" si="139">G268*-0.165</f>
        <v>0</v>
      </c>
      <c r="H299" s="152">
        <f t="shared" si="139"/>
        <v>0</v>
      </c>
      <c r="I299" s="152">
        <f t="shared" si="139"/>
        <v>0</v>
      </c>
      <c r="J299" s="152">
        <f t="shared" si="139"/>
        <v>0</v>
      </c>
      <c r="K299" s="152">
        <f t="shared" si="139"/>
        <v>0</v>
      </c>
      <c r="L299" s="152">
        <f t="shared" si="139"/>
        <v>0</v>
      </c>
      <c r="M299" s="152">
        <f t="shared" si="139"/>
        <v>0</v>
      </c>
      <c r="N299" s="152">
        <f t="shared" si="139"/>
        <v>0</v>
      </c>
      <c r="O299" s="152">
        <f>O268*-0.165</f>
        <v>0</v>
      </c>
      <c r="P299" s="152">
        <f t="shared" ref="P299:V299" si="140">P268*-0.165</f>
        <v>0</v>
      </c>
      <c r="Q299" s="152">
        <f t="shared" si="140"/>
        <v>0</v>
      </c>
      <c r="R299" s="152">
        <f t="shared" si="140"/>
        <v>0</v>
      </c>
      <c r="S299" s="152">
        <f t="shared" si="140"/>
        <v>0</v>
      </c>
      <c r="T299" s="152">
        <f t="shared" si="140"/>
        <v>0</v>
      </c>
      <c r="U299" s="152">
        <f t="shared" si="140"/>
        <v>0</v>
      </c>
      <c r="V299" s="152">
        <f t="shared" si="140"/>
        <v>0</v>
      </c>
      <c r="X299" s="1310"/>
      <c r="Y299" s="1310"/>
      <c r="Z299" s="1310"/>
      <c r="AA299" s="1310"/>
    </row>
    <row r="300" spans="1:27" s="1300" customFormat="1">
      <c r="A300" s="1298"/>
      <c r="B300" s="1298" t="s">
        <v>563</v>
      </c>
      <c r="C300" s="1298"/>
      <c r="D300" s="1298"/>
      <c r="E300" s="1298"/>
      <c r="F300" s="1298"/>
      <c r="G300" s="1298"/>
      <c r="H300" s="1299"/>
      <c r="I300" s="1299"/>
      <c r="J300" s="1299"/>
      <c r="L300" s="1302">
        <v>0</v>
      </c>
      <c r="M300" s="1302">
        <f t="shared" ref="M300:V300" si="141">IF(L301&lt;0,L301,0)</f>
        <v>0</v>
      </c>
      <c r="N300" s="1302">
        <f t="shared" si="141"/>
        <v>0</v>
      </c>
      <c r="O300" s="1302">
        <f t="shared" si="141"/>
        <v>0</v>
      </c>
      <c r="P300" s="1302">
        <f t="shared" si="141"/>
        <v>0</v>
      </c>
      <c r="Q300" s="1302">
        <f t="shared" si="141"/>
        <v>0</v>
      </c>
      <c r="R300" s="1302">
        <f t="shared" si="141"/>
        <v>0</v>
      </c>
      <c r="S300" s="1302">
        <f t="shared" si="141"/>
        <v>0</v>
      </c>
      <c r="T300" s="1302">
        <f t="shared" si="141"/>
        <v>0</v>
      </c>
      <c r="U300" s="1302">
        <f t="shared" si="141"/>
        <v>0</v>
      </c>
      <c r="V300" s="1302">
        <f t="shared" si="141"/>
        <v>0</v>
      </c>
      <c r="X300" s="1301"/>
      <c r="Y300" s="1301"/>
      <c r="Z300" s="1301"/>
      <c r="AA300" s="1301"/>
    </row>
    <row r="301" spans="1:27" s="1300" customFormat="1">
      <c r="A301" s="1298"/>
      <c r="B301" s="1298" t="s">
        <v>564</v>
      </c>
      <c r="C301" s="1298"/>
      <c r="D301" s="1298"/>
      <c r="E301" s="1298"/>
      <c r="F301" s="1298"/>
      <c r="G301" s="1298"/>
      <c r="H301" s="1299"/>
      <c r="I301" s="1299"/>
      <c r="J301" s="1299"/>
      <c r="L301" s="1299">
        <f t="shared" ref="L301:V301" si="142">SUM(L299:L300)</f>
        <v>0</v>
      </c>
      <c r="M301" s="1299">
        <f t="shared" si="142"/>
        <v>0</v>
      </c>
      <c r="N301" s="1299">
        <f t="shared" si="142"/>
        <v>0</v>
      </c>
      <c r="O301" s="1299">
        <f t="shared" si="142"/>
        <v>0</v>
      </c>
      <c r="P301" s="1299">
        <f t="shared" si="142"/>
        <v>0</v>
      </c>
      <c r="Q301" s="1299">
        <f t="shared" si="142"/>
        <v>0</v>
      </c>
      <c r="R301" s="1299">
        <f t="shared" si="142"/>
        <v>0</v>
      </c>
      <c r="S301" s="1299">
        <f t="shared" si="142"/>
        <v>0</v>
      </c>
      <c r="T301" s="1299">
        <f t="shared" si="142"/>
        <v>0</v>
      </c>
      <c r="U301" s="1299">
        <f t="shared" si="142"/>
        <v>0</v>
      </c>
      <c r="V301" s="1299">
        <f t="shared" si="142"/>
        <v>0</v>
      </c>
      <c r="X301" s="1301"/>
      <c r="Y301" s="1301"/>
      <c r="Z301" s="1301"/>
      <c r="AA301" s="1301"/>
    </row>
    <row r="302" spans="1:27" s="1300" customFormat="1">
      <c r="A302" s="1298"/>
      <c r="B302" s="1298"/>
      <c r="C302" s="1298"/>
      <c r="D302" s="1298"/>
      <c r="E302" s="1298"/>
      <c r="F302" s="1298"/>
      <c r="G302" s="1298"/>
      <c r="H302" s="1299"/>
      <c r="I302" s="1299"/>
      <c r="J302" s="1299"/>
      <c r="K302" s="1299"/>
      <c r="L302" s="1299"/>
      <c r="M302" s="1299"/>
      <c r="N302" s="1299"/>
      <c r="O302" s="1299"/>
      <c r="P302" s="1299"/>
      <c r="Q302" s="1299"/>
      <c r="R302" s="1299"/>
      <c r="S302" s="1299"/>
      <c r="X302" s="1301"/>
      <c r="Y302" s="1301"/>
      <c r="Z302" s="1301"/>
      <c r="AA302" s="1301"/>
    </row>
    <row r="303" spans="1:27" s="1300" customFormat="1" ht="15.75">
      <c r="A303" s="1303" t="s">
        <v>547</v>
      </c>
      <c r="B303" s="1298"/>
      <c r="C303" s="1298"/>
      <c r="D303" s="1298"/>
      <c r="E303" s="1298"/>
      <c r="F303" s="1298"/>
      <c r="G303" s="1298"/>
      <c r="H303" s="1299"/>
      <c r="I303" s="1299"/>
      <c r="J303" s="1299"/>
      <c r="K303" s="1299"/>
      <c r="L303" s="1299"/>
      <c r="M303" s="1299"/>
      <c r="N303" s="1299"/>
      <c r="O303" s="1299"/>
      <c r="P303" s="1299"/>
      <c r="Q303" s="1299"/>
      <c r="R303" s="1299"/>
      <c r="S303" s="1299"/>
      <c r="X303" s="1301"/>
      <c r="Y303" s="1301"/>
      <c r="Z303" s="1301"/>
      <c r="AA303" s="1301"/>
    </row>
    <row r="304" spans="1:27" s="1305" customFormat="1" ht="15.75">
      <c r="A304" s="1304" t="s">
        <v>565</v>
      </c>
      <c r="D304" s="1304"/>
      <c r="E304" s="1304"/>
      <c r="F304" s="1304"/>
      <c r="G304" s="1304"/>
      <c r="H304" s="1306"/>
      <c r="I304" s="1306"/>
      <c r="J304" s="1306"/>
      <c r="K304" s="1306"/>
      <c r="L304" s="1306"/>
      <c r="M304" s="1306"/>
      <c r="N304" s="1306"/>
      <c r="O304" s="1306"/>
      <c r="P304" s="1306"/>
      <c r="Q304" s="1306"/>
      <c r="R304" s="1306"/>
      <c r="S304" s="1306"/>
      <c r="X304" s="1307"/>
      <c r="Y304" s="1307"/>
      <c r="Z304" s="1307"/>
      <c r="AA304" s="1307"/>
    </row>
    <row r="305" spans="1:27" s="1305" customFormat="1" ht="15.75">
      <c r="A305" s="1304"/>
      <c r="B305" s="1304" t="s">
        <v>566</v>
      </c>
      <c r="C305" s="1304"/>
      <c r="D305" s="1304"/>
      <c r="E305" s="1304"/>
      <c r="F305" s="1304"/>
      <c r="G305" s="1304"/>
      <c r="H305" s="1306"/>
      <c r="I305" s="1306"/>
      <c r="J305" s="1308">
        <f t="shared" ref="J305:V305" si="143">J307-J306</f>
        <v>-5963037.6699999999</v>
      </c>
      <c r="K305" s="1308">
        <f t="shared" si="143"/>
        <v>2063842.4203149043</v>
      </c>
      <c r="L305" s="1308">
        <f t="shared" si="143"/>
        <v>1985819.1592145003</v>
      </c>
      <c r="M305" s="1308">
        <f t="shared" si="143"/>
        <v>-267665</v>
      </c>
      <c r="N305" s="1308">
        <f t="shared" si="143"/>
        <v>-554561.99718716135</v>
      </c>
      <c r="O305" s="1308">
        <f t="shared" si="143"/>
        <v>2613495.8470781995</v>
      </c>
      <c r="P305" s="1308">
        <f t="shared" si="143"/>
        <v>1077065.8687006475</v>
      </c>
      <c r="Q305" s="1308">
        <f t="shared" si="143"/>
        <v>1559231.1120781051</v>
      </c>
      <c r="R305" s="1308">
        <f t="shared" si="143"/>
        <v>2255176.6550839497</v>
      </c>
      <c r="S305" s="1308">
        <f t="shared" si="143"/>
        <v>2466392.7109897146</v>
      </c>
      <c r="T305" s="1308">
        <f t="shared" si="143"/>
        <v>2543479.0082546938</v>
      </c>
      <c r="U305" s="1308">
        <f t="shared" si="143"/>
        <v>2705709.6148778149</v>
      </c>
      <c r="V305" s="1308">
        <f t="shared" si="143"/>
        <v>3812859.447861535</v>
      </c>
      <c r="X305" s="1307"/>
      <c r="Y305" s="1307"/>
      <c r="Z305" s="1307"/>
      <c r="AA305" s="1307"/>
    </row>
    <row r="306" spans="1:27" s="1305" customFormat="1" ht="15.75">
      <c r="A306" s="1304"/>
      <c r="B306" s="1304" t="s">
        <v>567</v>
      </c>
      <c r="C306" s="1304"/>
      <c r="D306" s="1304"/>
      <c r="E306" s="1304"/>
      <c r="F306" s="1304"/>
      <c r="G306" s="1304"/>
      <c r="H306" s="1306"/>
      <c r="I306" s="1306"/>
      <c r="J306" s="1308">
        <f t="shared" ref="J306:V306" si="144">IF(J287&gt;0,J301,0)</f>
        <v>0</v>
      </c>
      <c r="K306" s="1308">
        <f t="shared" si="144"/>
        <v>0</v>
      </c>
      <c r="L306" s="1308">
        <f t="shared" si="144"/>
        <v>0</v>
      </c>
      <c r="M306" s="1308">
        <f t="shared" si="144"/>
        <v>0</v>
      </c>
      <c r="N306" s="1308">
        <f>IF(N287&gt;0,N301,0)</f>
        <v>0</v>
      </c>
      <c r="O306" s="1308">
        <f t="shared" si="144"/>
        <v>0</v>
      </c>
      <c r="P306" s="1308">
        <f t="shared" si="144"/>
        <v>0</v>
      </c>
      <c r="Q306" s="1308">
        <f t="shared" si="144"/>
        <v>0</v>
      </c>
      <c r="R306" s="1308">
        <f t="shared" si="144"/>
        <v>0</v>
      </c>
      <c r="S306" s="1308">
        <f t="shared" si="144"/>
        <v>0</v>
      </c>
      <c r="T306" s="1308">
        <f t="shared" si="144"/>
        <v>0</v>
      </c>
      <c r="U306" s="1308">
        <f t="shared" si="144"/>
        <v>0</v>
      </c>
      <c r="V306" s="1308">
        <f t="shared" si="144"/>
        <v>0</v>
      </c>
      <c r="X306" s="1307"/>
      <c r="Y306" s="1307"/>
      <c r="Z306" s="1307"/>
      <c r="AA306" s="1307"/>
    </row>
    <row r="307" spans="1:27" s="1305" customFormat="1" ht="16.5" thickBot="1">
      <c r="A307" s="1304" t="s">
        <v>568</v>
      </c>
      <c r="B307" s="1304"/>
      <c r="C307" s="1304"/>
      <c r="H307" s="1306"/>
      <c r="I307" s="1306"/>
      <c r="J307" s="1309">
        <f t="shared" ref="J307:V307" si="145">J296</f>
        <v>-5963037.6699999999</v>
      </c>
      <c r="K307" s="1309">
        <f t="shared" si="145"/>
        <v>2063842.4203149043</v>
      </c>
      <c r="L307" s="1309">
        <f t="shared" si="145"/>
        <v>1985819.1592145003</v>
      </c>
      <c r="M307" s="1309">
        <f t="shared" si="145"/>
        <v>-267665</v>
      </c>
      <c r="N307" s="1309">
        <f t="shared" si="145"/>
        <v>-554561.99718716135</v>
      </c>
      <c r="O307" s="1309">
        <f t="shared" si="145"/>
        <v>2613495.8470781995</v>
      </c>
      <c r="P307" s="1309">
        <f t="shared" si="145"/>
        <v>1077065.8687006475</v>
      </c>
      <c r="Q307" s="1309">
        <f t="shared" si="145"/>
        <v>1559231.1120781051</v>
      </c>
      <c r="R307" s="1309">
        <f t="shared" si="145"/>
        <v>2255176.6550839497</v>
      </c>
      <c r="S307" s="1309">
        <f t="shared" si="145"/>
        <v>2466392.7109897146</v>
      </c>
      <c r="T307" s="1309">
        <f t="shared" si="145"/>
        <v>2543479.0082546938</v>
      </c>
      <c r="U307" s="1309">
        <f t="shared" si="145"/>
        <v>2705709.6148778149</v>
      </c>
      <c r="V307" s="1309">
        <f t="shared" si="145"/>
        <v>3812859.447861535</v>
      </c>
      <c r="X307" s="1307"/>
      <c r="Y307" s="1307"/>
      <c r="Z307" s="1307"/>
      <c r="AA307" s="1307"/>
    </row>
    <row r="308" spans="1:27"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X308" s="473"/>
      <c r="Y308" s="473"/>
      <c r="Z308" s="473"/>
      <c r="AA308" s="473"/>
    </row>
    <row r="309" spans="1:27">
      <c r="H309" s="72"/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  <c r="X309" s="473"/>
      <c r="Y309" s="473"/>
      <c r="Z309" s="473"/>
      <c r="AA309" s="473"/>
    </row>
    <row r="310" spans="1:27">
      <c r="H310" s="72"/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X310" s="473"/>
      <c r="Y310" s="473"/>
      <c r="Z310" s="473"/>
      <c r="AA310" s="473"/>
    </row>
    <row r="311" spans="1:27"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V311" s="222"/>
      <c r="X311" s="473"/>
      <c r="Y311" s="473"/>
      <c r="Z311" s="473"/>
      <c r="AA311" s="473"/>
    </row>
  </sheetData>
  <mergeCells count="2">
    <mergeCell ref="G3:M3"/>
    <mergeCell ref="N3:V3"/>
  </mergeCells>
  <phoneticPr fontId="301" type="noConversion"/>
  <pageMargins left="0" right="0.11811023622047245" top="0" bottom="0.15748031496062992" header="0.31496062992125984" footer="0.31496062992125984"/>
  <pageSetup paperSize="8" scale="44" fitToHeight="2" orientation="landscape" r:id="rId1"/>
  <rowBreaks count="1" manualBreakCount="1">
    <brk id="148" max="21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tabColor rgb="FFFFC000"/>
  </sheetPr>
  <dimension ref="A1:CQ157"/>
  <sheetViews>
    <sheetView zoomScale="70" zoomScaleNormal="70" workbookViewId="0">
      <pane xSplit="4" ySplit="5" topLeftCell="I40" activePane="bottomRight" state="frozen"/>
      <selection pane="topRight" activeCell="E1" sqref="E1"/>
      <selection pane="bottomLeft" activeCell="A5" sqref="A5"/>
      <selection pane="bottomRight" activeCell="P28" sqref="P28"/>
    </sheetView>
  </sheetViews>
  <sheetFormatPr defaultRowHeight="15" outlineLevelRow="1" outlineLevelCol="1"/>
  <cols>
    <col min="2" max="2" width="19" customWidth="1"/>
    <col min="3" max="3" width="9.140625" customWidth="1"/>
    <col min="5" max="8" width="13" hidden="1" customWidth="1" outlineLevel="1"/>
    <col min="9" max="9" width="14.42578125" customWidth="1" collapsed="1"/>
    <col min="10" max="11" width="14.42578125" customWidth="1"/>
    <col min="12" max="12" width="14.42578125" style="1239" customWidth="1"/>
    <col min="13" max="13" width="14.42578125" style="1214" customWidth="1"/>
    <col min="14" max="18" width="14.42578125" customWidth="1"/>
    <col min="19" max="19" width="17" customWidth="1"/>
    <col min="20" max="20" width="15.85546875" customWidth="1"/>
    <col min="21" max="24" width="15.85546875" style="220" customWidth="1"/>
    <col min="26" max="26" width="20.85546875" style="220" customWidth="1"/>
    <col min="27" max="27" width="14" style="1239" customWidth="1"/>
    <col min="28" max="39" width="14" style="220" customWidth="1"/>
    <col min="41" max="41" width="20.85546875" style="220" customWidth="1"/>
    <col min="42" max="42" width="14" style="1239" customWidth="1"/>
    <col min="43" max="54" width="14" style="220" customWidth="1"/>
    <col min="55" max="55" width="9.140625" style="220"/>
    <col min="56" max="56" width="20.85546875" style="220" customWidth="1"/>
    <col min="57" max="57" width="14" style="1239" customWidth="1"/>
    <col min="58" max="69" width="14" style="220" customWidth="1"/>
    <col min="71" max="71" width="20.85546875" style="220" customWidth="1"/>
    <col min="72" max="72" width="14" style="1239" customWidth="1"/>
    <col min="73" max="84" width="14" style="220" customWidth="1"/>
    <col min="86" max="86" width="20.85546875" style="220" customWidth="1"/>
    <col min="87" max="87" width="14" style="1239" customWidth="1"/>
    <col min="88" max="95" width="14" style="220" customWidth="1"/>
  </cols>
  <sheetData>
    <row r="1" spans="1:95" ht="18">
      <c r="A1" s="53" t="s">
        <v>1412</v>
      </c>
      <c r="K1" s="1494" t="s">
        <v>1555</v>
      </c>
      <c r="L1" s="1548">
        <v>1</v>
      </c>
      <c r="O1" s="1888" t="s">
        <v>1843</v>
      </c>
      <c r="P1" s="1889" t="str">
        <f>'Cashflow trend'!L1</f>
        <v>HK&amp;O-Base</v>
      </c>
      <c r="Q1" s="1889"/>
      <c r="R1" s="1889"/>
      <c r="S1" s="1493" t="str">
        <f>VLOOKUP($P1,$AD$51:$AF$56,3,FALSE)</f>
        <v>Base</v>
      </c>
      <c r="Z1" s="220" t="s">
        <v>1792</v>
      </c>
      <c r="AO1" s="220" t="s">
        <v>1807</v>
      </c>
      <c r="BD1" s="220" t="s">
        <v>1822</v>
      </c>
      <c r="BS1" s="220" t="s">
        <v>1603</v>
      </c>
      <c r="CH1" s="220" t="s">
        <v>1606</v>
      </c>
    </row>
    <row r="2" spans="1:95">
      <c r="K2" s="1494" t="s">
        <v>1549</v>
      </c>
      <c r="L2" s="1548">
        <v>1</v>
      </c>
      <c r="O2" s="1886" t="s">
        <v>1549</v>
      </c>
      <c r="P2" s="1887" t="str">
        <f>'Cashflow trend'!L2</f>
        <v>CN-Base</v>
      </c>
      <c r="Q2" s="1887"/>
      <c r="R2" s="1887"/>
      <c r="S2" s="1493" t="str">
        <f>VLOOKUP($P2,$AE$52:$AF$56,2,FALSE)</f>
        <v>Base</v>
      </c>
      <c r="Z2" s="220" t="s">
        <v>1598</v>
      </c>
      <c r="AA2" s="1239" t="s">
        <v>1601</v>
      </c>
      <c r="AO2" s="220" t="s">
        <v>1598</v>
      </c>
      <c r="AP2" s="1239" t="s">
        <v>1601</v>
      </c>
      <c r="BD2" s="220" t="s">
        <v>1598</v>
      </c>
      <c r="BE2" s="1239" t="s">
        <v>1601</v>
      </c>
      <c r="BT2" s="1239" t="s">
        <v>1599</v>
      </c>
      <c r="BV2" s="220" t="s">
        <v>802</v>
      </c>
      <c r="BW2" s="220" t="s">
        <v>1607</v>
      </c>
      <c r="CI2" s="1239" t="s">
        <v>1599</v>
      </c>
      <c r="CK2" s="220" t="s">
        <v>802</v>
      </c>
      <c r="CL2" s="220" t="s">
        <v>1605</v>
      </c>
    </row>
    <row r="3" spans="1:95" s="220" customFormat="1">
      <c r="K3" s="219"/>
      <c r="L3" s="1549"/>
      <c r="M3" s="1214"/>
      <c r="AA3" s="1239" t="s">
        <v>1602</v>
      </c>
      <c r="AP3" s="1239" t="s">
        <v>1602</v>
      </c>
      <c r="BE3" s="1239" t="s">
        <v>1602</v>
      </c>
      <c r="BT3" s="1239"/>
      <c r="BW3" s="220" t="s">
        <v>1608</v>
      </c>
      <c r="CI3" s="1239"/>
      <c r="CL3" s="220" t="s">
        <v>1609</v>
      </c>
    </row>
    <row r="4" spans="1:95">
      <c r="E4" s="57" t="s">
        <v>50</v>
      </c>
      <c r="F4" s="153" t="s">
        <v>51</v>
      </c>
      <c r="G4" s="153" t="s">
        <v>51</v>
      </c>
      <c r="H4" s="153" t="s">
        <v>51</v>
      </c>
      <c r="I4" s="153" t="s">
        <v>51</v>
      </c>
      <c r="J4" s="153" t="s">
        <v>51</v>
      </c>
      <c r="K4" s="495" t="s">
        <v>51</v>
      </c>
      <c r="L4" s="1550" t="s">
        <v>51</v>
      </c>
      <c r="M4" s="1541" t="s">
        <v>52</v>
      </c>
      <c r="N4" s="57" t="s">
        <v>53</v>
      </c>
      <c r="O4" s="57" t="s">
        <v>53</v>
      </c>
      <c r="P4" s="57" t="s">
        <v>53</v>
      </c>
      <c r="Q4" s="57" t="s">
        <v>53</v>
      </c>
      <c r="R4" s="57" t="s">
        <v>53</v>
      </c>
      <c r="S4" s="57" t="s">
        <v>53</v>
      </c>
      <c r="T4" s="57" t="s">
        <v>53</v>
      </c>
      <c r="U4" s="57" t="s">
        <v>53</v>
      </c>
      <c r="V4" s="57" t="s">
        <v>53</v>
      </c>
      <c r="W4" s="57" t="s">
        <v>53</v>
      </c>
      <c r="X4" s="1540" t="s">
        <v>53</v>
      </c>
      <c r="AA4" s="1239" t="s">
        <v>1793</v>
      </c>
      <c r="AB4" s="220" t="s">
        <v>1798</v>
      </c>
      <c r="AC4" s="220" t="s">
        <v>1799</v>
      </c>
      <c r="AD4" s="220" t="s">
        <v>1800</v>
      </c>
      <c r="AE4" s="220" t="s">
        <v>1801</v>
      </c>
      <c r="AF4" s="220" t="s">
        <v>1802</v>
      </c>
      <c r="AG4" s="220" t="s">
        <v>1803</v>
      </c>
      <c r="AH4" s="220" t="s">
        <v>1804</v>
      </c>
      <c r="AI4" s="220" t="s">
        <v>1805</v>
      </c>
      <c r="AJ4" s="220" t="s">
        <v>1794</v>
      </c>
      <c r="AK4" s="220" t="s">
        <v>1795</v>
      </c>
      <c r="AL4" s="220" t="s">
        <v>1796</v>
      </c>
      <c r="AM4" s="220" t="s">
        <v>1797</v>
      </c>
      <c r="AP4" s="1239" t="s">
        <v>1808</v>
      </c>
      <c r="AQ4" s="220" t="s">
        <v>1809</v>
      </c>
      <c r="AR4" s="220" t="s">
        <v>1810</v>
      </c>
      <c r="AS4" s="220" t="s">
        <v>1811</v>
      </c>
      <c r="AT4" s="220" t="s">
        <v>1812</v>
      </c>
      <c r="AU4" s="220" t="s">
        <v>1813</v>
      </c>
      <c r="AV4" s="220" t="s">
        <v>1814</v>
      </c>
      <c r="AW4" s="220" t="s">
        <v>1815</v>
      </c>
      <c r="AX4" s="220" t="s">
        <v>1816</v>
      </c>
      <c r="AY4" s="220" t="s">
        <v>1817</v>
      </c>
      <c r="AZ4" s="220" t="s">
        <v>1818</v>
      </c>
      <c r="BA4" s="220" t="s">
        <v>1819</v>
      </c>
      <c r="BB4" s="220" t="s">
        <v>1820</v>
      </c>
      <c r="BE4" s="1239" t="s">
        <v>1823</v>
      </c>
      <c r="BF4" s="220" t="s">
        <v>1824</v>
      </c>
      <c r="BG4" s="220" t="s">
        <v>1825</v>
      </c>
      <c r="BH4" s="220" t="s">
        <v>1826</v>
      </c>
      <c r="BI4" s="220" t="s">
        <v>1827</v>
      </c>
      <c r="BJ4" s="220" t="s">
        <v>1828</v>
      </c>
      <c r="BK4" s="220" t="s">
        <v>1829</v>
      </c>
      <c r="BL4" s="220" t="s">
        <v>1830</v>
      </c>
      <c r="BM4" s="220" t="s">
        <v>1831</v>
      </c>
      <c r="BN4" s="220" t="s">
        <v>1832</v>
      </c>
      <c r="BO4" s="220" t="s">
        <v>1833</v>
      </c>
      <c r="BP4" s="220" t="s">
        <v>1834</v>
      </c>
      <c r="BQ4" s="220" t="s">
        <v>1835</v>
      </c>
      <c r="BT4" s="1239" t="s">
        <v>1614</v>
      </c>
      <c r="BU4" s="220" t="s">
        <v>1615</v>
      </c>
      <c r="BV4" s="220" t="s">
        <v>1616</v>
      </c>
      <c r="BW4" s="220" t="s">
        <v>1617</v>
      </c>
      <c r="BX4" s="220" t="s">
        <v>1618</v>
      </c>
      <c r="BY4" s="220" t="s">
        <v>1619</v>
      </c>
      <c r="BZ4" s="220" t="s">
        <v>1620</v>
      </c>
      <c r="CA4" s="220" t="s">
        <v>1621</v>
      </c>
      <c r="CB4" s="220" t="s">
        <v>1622</v>
      </c>
      <c r="CI4" s="1239" t="s">
        <v>1623</v>
      </c>
      <c r="CJ4" s="220" t="s">
        <v>1624</v>
      </c>
      <c r="CK4" s="220" t="s">
        <v>1625</v>
      </c>
      <c r="CL4" s="220" t="s">
        <v>1626</v>
      </c>
      <c r="CM4" s="220" t="s">
        <v>1627</v>
      </c>
      <c r="CN4" s="220" t="s">
        <v>1628</v>
      </c>
      <c r="CO4" s="220" t="s">
        <v>1629</v>
      </c>
      <c r="CP4" s="220" t="s">
        <v>1630</v>
      </c>
      <c r="CQ4" s="220" t="s">
        <v>1631</v>
      </c>
    </row>
    <row r="5" spans="1:95">
      <c r="E5" s="60" t="s">
        <v>55</v>
      </c>
      <c r="F5" s="154" t="s">
        <v>56</v>
      </c>
      <c r="G5" s="154" t="s">
        <v>57</v>
      </c>
      <c r="H5" s="154" t="s">
        <v>58</v>
      </c>
      <c r="I5" s="154" t="s">
        <v>3</v>
      </c>
      <c r="J5" s="154" t="s">
        <v>59</v>
      </c>
      <c r="K5" s="496" t="s">
        <v>5</v>
      </c>
      <c r="L5" s="1551" t="s">
        <v>6</v>
      </c>
      <c r="M5" s="1542" t="s">
        <v>7</v>
      </c>
      <c r="N5" s="60" t="s">
        <v>13</v>
      </c>
      <c r="O5" s="60" t="s">
        <v>14</v>
      </c>
      <c r="P5" s="60" t="s">
        <v>15</v>
      </c>
      <c r="Q5" s="60" t="s">
        <v>16</v>
      </c>
      <c r="R5" s="60" t="s">
        <v>17</v>
      </c>
      <c r="S5" s="60" t="s">
        <v>18</v>
      </c>
      <c r="T5" s="60" t="s">
        <v>19</v>
      </c>
      <c r="U5" s="1539" t="s">
        <v>1683</v>
      </c>
      <c r="V5" s="1539" t="s">
        <v>1684</v>
      </c>
      <c r="W5" s="1539" t="s">
        <v>1685</v>
      </c>
      <c r="X5" s="1539" t="s">
        <v>1686</v>
      </c>
      <c r="AA5" s="1239" t="s">
        <v>6</v>
      </c>
      <c r="AB5" s="220" t="s">
        <v>7</v>
      </c>
      <c r="AC5" s="220" t="s">
        <v>13</v>
      </c>
      <c r="AD5" s="220" t="s">
        <v>14</v>
      </c>
      <c r="AE5" s="220" t="s">
        <v>15</v>
      </c>
      <c r="AF5" s="220" t="s">
        <v>16</v>
      </c>
      <c r="AG5" s="220" t="s">
        <v>17</v>
      </c>
      <c r="AH5" s="220" t="s">
        <v>18</v>
      </c>
      <c r="AI5" s="220" t="s">
        <v>19</v>
      </c>
      <c r="AJ5" s="220" t="s">
        <v>1683</v>
      </c>
      <c r="AK5" s="220" t="s">
        <v>1684</v>
      </c>
      <c r="AL5" s="220" t="s">
        <v>1685</v>
      </c>
      <c r="AM5" s="220" t="s">
        <v>1686</v>
      </c>
      <c r="AP5" s="1239" t="s">
        <v>6</v>
      </c>
      <c r="AQ5" s="220" t="s">
        <v>7</v>
      </c>
      <c r="AR5" s="220" t="s">
        <v>13</v>
      </c>
      <c r="AS5" s="220" t="s">
        <v>14</v>
      </c>
      <c r="AT5" s="220" t="s">
        <v>15</v>
      </c>
      <c r="AU5" s="220" t="s">
        <v>16</v>
      </c>
      <c r="AV5" s="220" t="s">
        <v>17</v>
      </c>
      <c r="AW5" s="220" t="s">
        <v>18</v>
      </c>
      <c r="AX5" s="220" t="s">
        <v>19</v>
      </c>
      <c r="AY5" s="220" t="s">
        <v>1683</v>
      </c>
      <c r="AZ5" s="220" t="s">
        <v>1684</v>
      </c>
      <c r="BA5" s="220" t="s">
        <v>1685</v>
      </c>
      <c r="BB5" s="220" t="s">
        <v>1686</v>
      </c>
      <c r="BE5" s="1239" t="s">
        <v>6</v>
      </c>
      <c r="BF5" s="220" t="s">
        <v>7</v>
      </c>
      <c r="BG5" s="220" t="s">
        <v>13</v>
      </c>
      <c r="BH5" s="220" t="s">
        <v>14</v>
      </c>
      <c r="BI5" s="220" t="s">
        <v>15</v>
      </c>
      <c r="BJ5" s="220" t="s">
        <v>16</v>
      </c>
      <c r="BK5" s="220" t="s">
        <v>17</v>
      </c>
      <c r="BL5" s="220" t="s">
        <v>18</v>
      </c>
      <c r="BM5" s="220" t="s">
        <v>19</v>
      </c>
      <c r="BN5" s="220" t="s">
        <v>1683</v>
      </c>
      <c r="BO5" s="220" t="s">
        <v>1684</v>
      </c>
      <c r="BP5" s="220" t="s">
        <v>1685</v>
      </c>
      <c r="BQ5" s="220" t="s">
        <v>1686</v>
      </c>
      <c r="BT5" s="1239" t="s">
        <v>6</v>
      </c>
      <c r="BU5" s="220" t="s">
        <v>7</v>
      </c>
      <c r="BV5" s="220" t="s">
        <v>13</v>
      </c>
      <c r="BW5" s="220" t="s">
        <v>14</v>
      </c>
      <c r="BX5" s="220" t="s">
        <v>15</v>
      </c>
      <c r="BY5" s="220" t="s">
        <v>16</v>
      </c>
      <c r="BZ5" s="220" t="s">
        <v>17</v>
      </c>
      <c r="CA5" s="220" t="s">
        <v>18</v>
      </c>
      <c r="CB5" s="220" t="s">
        <v>19</v>
      </c>
      <c r="CI5" s="1239" t="s">
        <v>6</v>
      </c>
      <c r="CJ5" s="220" t="s">
        <v>7</v>
      </c>
      <c r="CK5" s="220" t="s">
        <v>13</v>
      </c>
      <c r="CL5" s="220" t="s">
        <v>14</v>
      </c>
      <c r="CM5" s="220" t="s">
        <v>15</v>
      </c>
      <c r="CN5" s="220" t="s">
        <v>16</v>
      </c>
      <c r="CO5" s="220" t="s">
        <v>17</v>
      </c>
      <c r="CP5" s="220" t="s">
        <v>18</v>
      </c>
      <c r="CQ5" s="220" t="s">
        <v>19</v>
      </c>
    </row>
    <row r="6" spans="1:95">
      <c r="A6" s="551" t="s">
        <v>1413</v>
      </c>
      <c r="M6" s="503"/>
      <c r="N6" s="503"/>
      <c r="O6" s="503"/>
      <c r="P6" s="503"/>
      <c r="AA6" s="1239" t="s">
        <v>1611</v>
      </c>
      <c r="AP6" s="1239" t="s">
        <v>1611</v>
      </c>
      <c r="BE6" s="1239" t="s">
        <v>1611</v>
      </c>
      <c r="BT6" s="1239" t="s">
        <v>1612</v>
      </c>
      <c r="CI6" s="1239" t="s">
        <v>1613</v>
      </c>
    </row>
    <row r="7" spans="1:95" s="220" customFormat="1">
      <c r="A7" s="551"/>
      <c r="B7" s="1135" t="s">
        <v>1416</v>
      </c>
      <c r="L7" s="1552"/>
      <c r="M7" s="1214"/>
      <c r="AA7" s="1239"/>
      <c r="AP7" s="1239"/>
      <c r="BE7" s="1239"/>
      <c r="BT7" s="1239"/>
      <c r="CI7" s="1239"/>
    </row>
    <row r="8" spans="1:95" s="220" customFormat="1">
      <c r="A8" s="551"/>
      <c r="B8" s="220" t="s">
        <v>1425</v>
      </c>
      <c r="E8" s="310">
        <v>129020124.63999999</v>
      </c>
      <c r="F8" s="310">
        <v>128334878</v>
      </c>
      <c r="G8" s="310">
        <v>132553784</v>
      </c>
      <c r="H8" s="310">
        <v>133080926</v>
      </c>
      <c r="I8" s="310">
        <v>134920798</v>
      </c>
      <c r="J8" s="310">
        <v>109952232</v>
      </c>
      <c r="K8" s="301">
        <f>'Core P&amp;L'!$BN19</f>
        <v>49797022</v>
      </c>
      <c r="L8" s="1240">
        <f>'Core P&amp;L'!$AJ19</f>
        <v>95677933</v>
      </c>
      <c r="M8" s="1220">
        <f>'Core P&amp;L'!$T19</f>
        <v>78208397</v>
      </c>
      <c r="N8" s="1224">
        <f t="shared" ref="N8:X8" si="0">N9+N12</f>
        <v>81501747</v>
      </c>
      <c r="O8" s="1224">
        <f t="shared" si="0"/>
        <v>99473879</v>
      </c>
      <c r="P8" s="1224">
        <f t="shared" si="0"/>
        <v>112646695</v>
      </c>
      <c r="Q8" s="1224">
        <f t="shared" si="0"/>
        <v>120156934</v>
      </c>
      <c r="R8" s="1224">
        <f t="shared" si="0"/>
        <v>126824552</v>
      </c>
      <c r="S8" s="1224">
        <f t="shared" si="0"/>
        <v>134648143</v>
      </c>
      <c r="T8" s="1224">
        <f t="shared" si="0"/>
        <v>136550061.00000003</v>
      </c>
      <c r="U8" s="1224">
        <f t="shared" si="0"/>
        <v>136748186</v>
      </c>
      <c r="V8" s="1224">
        <f t="shared" si="0"/>
        <v>137915137.00000003</v>
      </c>
      <c r="W8" s="1224">
        <f t="shared" si="0"/>
        <v>138044439</v>
      </c>
      <c r="X8" s="1224">
        <f t="shared" si="0"/>
        <v>139176655</v>
      </c>
      <c r="Z8" s="220" t="s">
        <v>1425</v>
      </c>
      <c r="AA8" s="1240">
        <f>$L8</f>
        <v>95677933</v>
      </c>
      <c r="AB8" s="1220">
        <f>$M8</f>
        <v>78208397</v>
      </c>
      <c r="AC8" s="1224">
        <v>81501747</v>
      </c>
      <c r="AD8" s="1224">
        <v>99473879</v>
      </c>
      <c r="AE8" s="1224">
        <v>112646695</v>
      </c>
      <c r="AF8" s="1224">
        <v>120156934</v>
      </c>
      <c r="AG8" s="1224">
        <v>126824552</v>
      </c>
      <c r="AH8" s="1224">
        <v>134648143</v>
      </c>
      <c r="AI8" s="1224">
        <v>136550061</v>
      </c>
      <c r="AJ8" s="1224">
        <v>136748186</v>
      </c>
      <c r="AK8" s="1224">
        <v>137915137</v>
      </c>
      <c r="AL8" s="1224">
        <v>138044439</v>
      </c>
      <c r="AM8" s="1224">
        <v>139176655</v>
      </c>
      <c r="AO8" s="220" t="s">
        <v>1425</v>
      </c>
      <c r="AP8" s="1240">
        <f>$L8</f>
        <v>95677933</v>
      </c>
      <c r="AQ8" s="1220">
        <f>$M8</f>
        <v>78208397</v>
      </c>
      <c r="AR8" s="1224">
        <v>97802096.399999991</v>
      </c>
      <c r="AS8" s="1224">
        <v>119368654.8</v>
      </c>
      <c r="AT8" s="1224">
        <v>135176034</v>
      </c>
      <c r="AU8" s="1224">
        <v>137879554.68000001</v>
      </c>
      <c r="AV8" s="1224">
        <v>140637145.77360001</v>
      </c>
      <c r="AW8" s="1224">
        <v>143449888.68907201</v>
      </c>
      <c r="AX8" s="1224">
        <v>146318886.46285346</v>
      </c>
      <c r="AY8" s="1224">
        <v>149245264.19211054</v>
      </c>
      <c r="AZ8" s="1224">
        <v>152230169.47595274</v>
      </c>
      <c r="BA8" s="1224">
        <v>155274772.86547181</v>
      </c>
      <c r="BB8" s="1224">
        <v>158380268.32278123</v>
      </c>
      <c r="BD8" s="220" t="s">
        <v>1425</v>
      </c>
      <c r="BE8" s="1240">
        <f>$L8</f>
        <v>95677933</v>
      </c>
      <c r="BF8" s="1220">
        <f>$M8</f>
        <v>78208397</v>
      </c>
      <c r="BG8" s="1224">
        <v>81501747</v>
      </c>
      <c r="BH8" s="1224">
        <v>99473879</v>
      </c>
      <c r="BI8" s="1224">
        <v>112646695</v>
      </c>
      <c r="BJ8" s="1224">
        <v>120156934</v>
      </c>
      <c r="BK8" s="1224">
        <v>126824552</v>
      </c>
      <c r="BL8" s="1224">
        <v>134648143</v>
      </c>
      <c r="BM8" s="1224">
        <v>136550061</v>
      </c>
      <c r="BN8" s="1224">
        <v>136748186</v>
      </c>
      <c r="BO8" s="1224">
        <v>137915137</v>
      </c>
      <c r="BP8" s="1224">
        <v>138044439</v>
      </c>
      <c r="BQ8" s="1224">
        <v>139176655</v>
      </c>
      <c r="BT8" s="1240">
        <f>BT9+BT12</f>
        <v>59421730.549163349</v>
      </c>
      <c r="BU8" s="301">
        <f t="shared" ref="BU8:CB8" si="1">BU9+BU12</f>
        <v>78208397</v>
      </c>
      <c r="BV8" s="301">
        <f t="shared" si="1"/>
        <v>81501747</v>
      </c>
      <c r="BW8" s="301">
        <f t="shared" si="1"/>
        <v>99473879</v>
      </c>
      <c r="BX8" s="301">
        <f t="shared" si="1"/>
        <v>112646695</v>
      </c>
      <c r="BY8" s="301">
        <f t="shared" si="1"/>
        <v>120156934</v>
      </c>
      <c r="BZ8" s="301">
        <f t="shared" si="1"/>
        <v>126824552</v>
      </c>
      <c r="CA8" s="301">
        <f t="shared" si="1"/>
        <v>134648143</v>
      </c>
      <c r="CB8" s="301">
        <f t="shared" si="1"/>
        <v>136550061.00000003</v>
      </c>
      <c r="CC8" s="301"/>
      <c r="CD8" s="301"/>
      <c r="CE8" s="301"/>
      <c r="CF8" s="301"/>
      <c r="CI8" s="1240">
        <f>CI9+CI12</f>
        <v>59421730.549163349</v>
      </c>
      <c r="CJ8" s="301">
        <f t="shared" ref="CJ8" si="2">CJ9+CJ12</f>
        <v>68815063.774581671</v>
      </c>
      <c r="CK8" s="301">
        <f t="shared" ref="CK8" si="3">CK9+CK12</f>
        <v>78208397</v>
      </c>
      <c r="CL8" s="301">
        <f t="shared" ref="CL8" si="4">CL9+CL12</f>
        <v>81501747</v>
      </c>
      <c r="CM8" s="301">
        <f t="shared" ref="CM8" si="5">CM9+CM12</f>
        <v>99473879</v>
      </c>
      <c r="CN8" s="301">
        <f t="shared" ref="CN8" si="6">CN9+CN12</f>
        <v>112646695</v>
      </c>
      <c r="CO8" s="301">
        <f t="shared" ref="CO8" si="7">CO9+CO12</f>
        <v>120156934</v>
      </c>
      <c r="CP8" s="301">
        <f t="shared" ref="CP8" si="8">CP9+CP12</f>
        <v>126824552</v>
      </c>
      <c r="CQ8" s="301">
        <f t="shared" ref="CQ8" si="9">CQ9+CQ12</f>
        <v>134648143</v>
      </c>
    </row>
    <row r="9" spans="1:95" s="220" customFormat="1">
      <c r="A9" s="551"/>
      <c r="B9" s="220" t="s">
        <v>1441</v>
      </c>
      <c r="E9" s="310"/>
      <c r="F9" s="310"/>
      <c r="G9" s="310"/>
      <c r="H9" s="310"/>
      <c r="I9" s="310"/>
      <c r="J9" s="310"/>
      <c r="K9" s="301">
        <f>K8-K12</f>
        <v>47235025</v>
      </c>
      <c r="L9" s="1240">
        <f>L8-L12</f>
        <v>91790893</v>
      </c>
      <c r="M9" s="1220">
        <f>SUM(M10:M11)</f>
        <v>75031079.535638809</v>
      </c>
      <c r="N9" s="1220">
        <f t="shared" ref="N9:X9" si="10">SUM(N10:N11)</f>
        <v>78190632.924627155</v>
      </c>
      <c r="O9" s="1220">
        <f t="shared" si="10"/>
        <v>95432623.775264323</v>
      </c>
      <c r="P9" s="1220">
        <f t="shared" si="10"/>
        <v>108070277.05697441</v>
      </c>
      <c r="Q9" s="1220">
        <f t="shared" si="10"/>
        <v>115275402.86642754</v>
      </c>
      <c r="R9" s="1220">
        <f t="shared" si="10"/>
        <v>121672140.24580711</v>
      </c>
      <c r="S9" s="1220">
        <f t="shared" si="10"/>
        <v>129177887.72424358</v>
      </c>
      <c r="T9" s="1220">
        <f t="shared" si="10"/>
        <v>131002537.84113914</v>
      </c>
      <c r="U9" s="1220">
        <f t="shared" si="10"/>
        <v>131192613.75629947</v>
      </c>
      <c r="V9" s="1220">
        <f t="shared" si="10"/>
        <v>132312155.85988195</v>
      </c>
      <c r="W9" s="1220">
        <f t="shared" si="10"/>
        <v>132436204.79859267</v>
      </c>
      <c r="X9" s="1220">
        <f t="shared" si="10"/>
        <v>133522423.056557</v>
      </c>
      <c r="Z9" s="220" t="s">
        <v>1441</v>
      </c>
      <c r="AA9" s="1240">
        <f t="shared" ref="AA9:AA15" si="11">$L9</f>
        <v>91790893</v>
      </c>
      <c r="AB9" s="1220">
        <f t="shared" ref="AB9:AB16" si="12">$M9</f>
        <v>75031079.535638809</v>
      </c>
      <c r="AC9" s="1220">
        <f t="shared" ref="AC9:AM9" si="13">SUM(AC10:AC11)</f>
        <v>78190632.924627155</v>
      </c>
      <c r="AD9" s="1220">
        <f t="shared" si="13"/>
        <v>95432623.775264323</v>
      </c>
      <c r="AE9" s="1220">
        <f t="shared" si="13"/>
        <v>108070277.05697441</v>
      </c>
      <c r="AF9" s="1220">
        <f t="shared" si="13"/>
        <v>115275402.86642754</v>
      </c>
      <c r="AG9" s="1220">
        <f t="shared" si="13"/>
        <v>121672140.24580711</v>
      </c>
      <c r="AH9" s="1220">
        <f t="shared" si="13"/>
        <v>129177887.72424358</v>
      </c>
      <c r="AI9" s="1220">
        <f t="shared" si="13"/>
        <v>131002537.84113914</v>
      </c>
      <c r="AJ9" s="1220">
        <f t="shared" si="13"/>
        <v>131192613.75629947</v>
      </c>
      <c r="AK9" s="1220">
        <f t="shared" si="13"/>
        <v>132312155.85988195</v>
      </c>
      <c r="AL9" s="1220">
        <f t="shared" si="13"/>
        <v>132436204.79859267</v>
      </c>
      <c r="AM9" s="1220">
        <f t="shared" si="13"/>
        <v>133522423.056557</v>
      </c>
      <c r="AO9" s="220" t="s">
        <v>1441</v>
      </c>
      <c r="AP9" s="1240">
        <f t="shared" ref="AP9:AQ16" si="14">$L9</f>
        <v>91790893</v>
      </c>
      <c r="AQ9" s="1220">
        <f t="shared" ref="AQ9:AQ16" si="15">$M9</f>
        <v>75031079.535638809</v>
      </c>
      <c r="AR9" s="1220">
        <f t="shared" ref="AR9:BB9" si="16">SUM(AR10:AR11)</f>
        <v>93828759.509552568</v>
      </c>
      <c r="AS9" s="1220">
        <f t="shared" si="16"/>
        <v>114519148.53031719</v>
      </c>
      <c r="AT9" s="1220">
        <f t="shared" si="16"/>
        <v>129684332.46836928</v>
      </c>
      <c r="AU9" s="1220">
        <f t="shared" si="16"/>
        <v>132278019.11773667</v>
      </c>
      <c r="AV9" s="1220">
        <f t="shared" si="16"/>
        <v>134923579.5000914</v>
      </c>
      <c r="AW9" s="1220">
        <f t="shared" si="16"/>
        <v>137622051.09009323</v>
      </c>
      <c r="AX9" s="1220">
        <f t="shared" si="16"/>
        <v>140374492.11189508</v>
      </c>
      <c r="AY9" s="1220">
        <f t="shared" si="16"/>
        <v>143181981.954133</v>
      </c>
      <c r="AZ9" s="1220">
        <f t="shared" si="16"/>
        <v>146045621.59321564</v>
      </c>
      <c r="BA9" s="1220">
        <f t="shared" si="16"/>
        <v>148966534.02507997</v>
      </c>
      <c r="BB9" s="1220">
        <f t="shared" si="16"/>
        <v>151945864.70558155</v>
      </c>
      <c r="BD9" s="220" t="s">
        <v>1441</v>
      </c>
      <c r="BE9" s="1240">
        <f t="shared" ref="BE9:BF16" si="17">$L9</f>
        <v>91790893</v>
      </c>
      <c r="BF9" s="1220">
        <f t="shared" ref="BF9:BF16" si="18">$M9</f>
        <v>75031079.535638809</v>
      </c>
      <c r="BG9" s="1220">
        <f t="shared" ref="BG9:BQ9" si="19">SUM(BG10:BG11)</f>
        <v>78190632.924627155</v>
      </c>
      <c r="BH9" s="1220">
        <f t="shared" si="19"/>
        <v>95432623.775264323</v>
      </c>
      <c r="BI9" s="1220">
        <f t="shared" si="19"/>
        <v>108070277.05697441</v>
      </c>
      <c r="BJ9" s="1220">
        <f t="shared" si="19"/>
        <v>115275402.86642754</v>
      </c>
      <c r="BK9" s="1220">
        <f t="shared" si="19"/>
        <v>121672140.24580711</v>
      </c>
      <c r="BL9" s="1220">
        <f t="shared" si="19"/>
        <v>129177887.72424358</v>
      </c>
      <c r="BM9" s="1220">
        <f t="shared" si="19"/>
        <v>131002537.84113914</v>
      </c>
      <c r="BN9" s="1220">
        <f t="shared" si="19"/>
        <v>131192613.75629947</v>
      </c>
      <c r="BO9" s="1220">
        <f t="shared" si="19"/>
        <v>132312155.85988195</v>
      </c>
      <c r="BP9" s="1220">
        <f t="shared" si="19"/>
        <v>132436204.79859267</v>
      </c>
      <c r="BQ9" s="1220">
        <f t="shared" si="19"/>
        <v>133522423.056557</v>
      </c>
      <c r="BT9" s="1240">
        <f>SUM(BT10:BT11)</f>
        <v>54981372.723905727</v>
      </c>
      <c r="BU9" s="301">
        <f t="shared" ref="BU9:CB9" si="20">SUM(BU10:BU11)</f>
        <v>75031079.535638809</v>
      </c>
      <c r="BV9" s="301">
        <f t="shared" si="20"/>
        <v>78190632.924627155</v>
      </c>
      <c r="BW9" s="301">
        <f t="shared" si="20"/>
        <v>95432623.775264323</v>
      </c>
      <c r="BX9" s="301">
        <f t="shared" si="20"/>
        <v>108070277.05697441</v>
      </c>
      <c r="BY9" s="301">
        <f t="shared" si="20"/>
        <v>115275402.86642754</v>
      </c>
      <c r="BZ9" s="301">
        <f t="shared" si="20"/>
        <v>121672140.24580711</v>
      </c>
      <c r="CA9" s="301">
        <f t="shared" si="20"/>
        <v>129177887.72424358</v>
      </c>
      <c r="CB9" s="301">
        <f t="shared" si="20"/>
        <v>131002537.84113914</v>
      </c>
      <c r="CC9" s="301"/>
      <c r="CD9" s="301"/>
      <c r="CE9" s="301"/>
      <c r="CF9" s="301"/>
      <c r="CI9" s="1240">
        <f>SUM(CI10:CI11)</f>
        <v>54981372.723905727</v>
      </c>
      <c r="CJ9" s="301">
        <f t="shared" ref="CJ9" si="21">SUM(CJ10:CJ11)</f>
        <v>65006226.129772268</v>
      </c>
      <c r="CK9" s="301">
        <f t="shared" ref="CK9" si="22">SUM(CK10:CK11)</f>
        <v>75031079.535638809</v>
      </c>
      <c r="CL9" s="301">
        <f t="shared" ref="CL9" si="23">SUM(CL10:CL11)</f>
        <v>78190632.924627155</v>
      </c>
      <c r="CM9" s="301">
        <f t="shared" ref="CM9" si="24">SUM(CM10:CM11)</f>
        <v>95432623.775264323</v>
      </c>
      <c r="CN9" s="301">
        <f t="shared" ref="CN9" si="25">SUM(CN10:CN11)</f>
        <v>108070277.05697441</v>
      </c>
      <c r="CO9" s="301">
        <f t="shared" ref="CO9" si="26">SUM(CO10:CO11)</f>
        <v>115275402.86642754</v>
      </c>
      <c r="CP9" s="301">
        <f t="shared" ref="CP9" si="27">SUM(CP10:CP11)</f>
        <v>121672140.24580711</v>
      </c>
      <c r="CQ9" s="301">
        <f t="shared" ref="CQ9" si="28">SUM(CQ10:CQ11)</f>
        <v>129177887.72424358</v>
      </c>
    </row>
    <row r="10" spans="1:95">
      <c r="B10" s="220" t="s">
        <v>1435</v>
      </c>
      <c r="E10" s="310"/>
      <c r="F10" s="310"/>
      <c r="G10" s="310"/>
      <c r="H10" s="310"/>
      <c r="I10" s="310"/>
      <c r="J10" s="310"/>
      <c r="L10" s="1249">
        <v>62253718</v>
      </c>
      <c r="M10" s="1222">
        <f t="shared" ref="M10:X11" si="29">L10*(1+M25)</f>
        <v>50887005.387857266</v>
      </c>
      <c r="N10" s="1884">
        <f>INDEX($Z$4:$CA$15,MATCH($B10,$Z$4:$Z$15,0),MATCH(($S$1&amp;N$5),$Z$4:$CA$4,0))</f>
        <v>53029853.542564996</v>
      </c>
      <c r="O10" s="1884">
        <f t="shared" ref="O10:X15" si="30">INDEX($Z$4:$CA$15,MATCH($B10,$Z$4:$Z$15,0),MATCH(($S$1&amp;O$5),$Z$4:$CA$4,0))</f>
        <v>64723584.816909894</v>
      </c>
      <c r="P10" s="1884">
        <f t="shared" si="30"/>
        <v>73294597.45082505</v>
      </c>
      <c r="Q10" s="1884">
        <f t="shared" si="30"/>
        <v>78181202.816961065</v>
      </c>
      <c r="R10" s="1884">
        <f t="shared" si="30"/>
        <v>82519549.159620076</v>
      </c>
      <c r="S10" s="1884">
        <f t="shared" si="30"/>
        <v>87610039.856794089</v>
      </c>
      <c r="T10" s="1884">
        <f t="shared" si="30"/>
        <v>88847540.115407795</v>
      </c>
      <c r="U10" s="1884">
        <f t="shared" si="30"/>
        <v>88976451.950059891</v>
      </c>
      <c r="V10" s="1884">
        <f t="shared" si="30"/>
        <v>89735739.24020043</v>
      </c>
      <c r="W10" s="1884">
        <f t="shared" si="30"/>
        <v>89819870.76345183</v>
      </c>
      <c r="X10" s="1884">
        <f t="shared" si="30"/>
        <v>90556557.409672409</v>
      </c>
      <c r="Z10" s="220" t="s">
        <v>1435</v>
      </c>
      <c r="AA10" s="1249">
        <f t="shared" si="11"/>
        <v>62253718</v>
      </c>
      <c r="AB10" s="1220">
        <f t="shared" si="12"/>
        <v>50887005.387857266</v>
      </c>
      <c r="AC10" s="1222">
        <f t="shared" ref="AC10:AC11" si="31">AB10*(1+AC25)</f>
        <v>53029853.542564996</v>
      </c>
      <c r="AD10" s="1222">
        <f t="shared" ref="AD10:AD11" si="32">AC10*(1+AD25)</f>
        <v>64723584.816909894</v>
      </c>
      <c r="AE10" s="1222">
        <f t="shared" ref="AE10:AE11" si="33">AD10*(1+AE25)</f>
        <v>73294597.45082505</v>
      </c>
      <c r="AF10" s="1222">
        <f t="shared" ref="AF10:AF11" si="34">AE10*(1+AF25)</f>
        <v>78181202.816961065</v>
      </c>
      <c r="AG10" s="1222">
        <f t="shared" ref="AG10:AG11" si="35">AF10*(1+AG25)</f>
        <v>82519549.159620076</v>
      </c>
      <c r="AH10" s="1222">
        <f t="shared" ref="AH10:AH11" si="36">AG10*(1+AH25)</f>
        <v>87610039.856794089</v>
      </c>
      <c r="AI10" s="1222">
        <f t="shared" ref="AI10:AI11" si="37">AH10*(1+AI25)</f>
        <v>88847540.115407795</v>
      </c>
      <c r="AJ10" s="1222">
        <f t="shared" ref="AJ10:AJ11" si="38">AI10*(1+AJ25)</f>
        <v>88976451.950059891</v>
      </c>
      <c r="AK10" s="1222">
        <f t="shared" ref="AK10:AK11" si="39">AJ10*(1+AK25)</f>
        <v>89735739.24020043</v>
      </c>
      <c r="AL10" s="1222">
        <f t="shared" ref="AL10:AL11" si="40">AK10*(1+AL25)</f>
        <v>89819870.76345183</v>
      </c>
      <c r="AM10" s="1222">
        <f t="shared" ref="AM10:AM11" si="41">AL10*(1+AM25)</f>
        <v>90556557.409672409</v>
      </c>
      <c r="AO10" s="220" t="s">
        <v>1435</v>
      </c>
      <c r="AP10" s="1249">
        <f t="shared" si="14"/>
        <v>62253718</v>
      </c>
      <c r="AQ10" s="1220">
        <f t="shared" si="15"/>
        <v>50887005.387857266</v>
      </c>
      <c r="AR10" s="1222">
        <f t="shared" ref="AR10:AR11" si="42">AQ10*(1+AR25)</f>
        <v>63635824.251077987</v>
      </c>
      <c r="AS10" s="1222">
        <f t="shared" ref="AS10:AS11" si="43">AR10*(1+AS25)</f>
        <v>77668301.78029187</v>
      </c>
      <c r="AT10" s="1222">
        <f t="shared" ref="AT10:AT11" si="44">AS10*(1+AT25)</f>
        <v>87953516.940990061</v>
      </c>
      <c r="AU10" s="1222">
        <f t="shared" ref="AU10:AU11" si="45">AT10*(1+AU25)</f>
        <v>89712587.279809862</v>
      </c>
      <c r="AV10" s="1222">
        <f t="shared" ref="AV10:AV11" si="46">AU10*(1+AV25)</f>
        <v>91506839.025406063</v>
      </c>
      <c r="AW10" s="1222">
        <f t="shared" ref="AW10:AW11" si="47">AV10*(1+AW25)</f>
        <v>93336975.805914178</v>
      </c>
      <c r="AX10" s="1222">
        <f t="shared" ref="AX10:AX11" si="48">AW10*(1+AX25)</f>
        <v>95203715.322032467</v>
      </c>
      <c r="AY10" s="1222">
        <f t="shared" ref="AY10:AY11" si="49">AX10*(1+AY25)</f>
        <v>97107789.628473118</v>
      </c>
      <c r="AZ10" s="1222">
        <f t="shared" ref="AZ10:AZ11" si="50">AY10*(1+AZ25)</f>
        <v>99049945.421042576</v>
      </c>
      <c r="BA10" s="1222">
        <f t="shared" ref="BA10:BA11" si="51">AZ10*(1+BA25)</f>
        <v>101030944.32946342</v>
      </c>
      <c r="BB10" s="1222">
        <f t="shared" ref="BB10:BB11" si="52">BA10*(1+BB25)</f>
        <v>103051563.2160527</v>
      </c>
      <c r="BD10" s="220" t="s">
        <v>1435</v>
      </c>
      <c r="BE10" s="1249">
        <f t="shared" si="17"/>
        <v>62253718</v>
      </c>
      <c r="BF10" s="1220">
        <f t="shared" si="18"/>
        <v>50887005.387857266</v>
      </c>
      <c r="BG10" s="1222">
        <f t="shared" ref="BG10:BG11" si="53">BF10*(1+BG25)</f>
        <v>53029853.542564996</v>
      </c>
      <c r="BH10" s="1222">
        <f t="shared" ref="BH10:BH11" si="54">BG10*(1+BH25)</f>
        <v>64723584.816909894</v>
      </c>
      <c r="BI10" s="1222">
        <f t="shared" ref="BI10:BI11" si="55">BH10*(1+BI25)</f>
        <v>73294597.45082505</v>
      </c>
      <c r="BJ10" s="1222">
        <f t="shared" ref="BJ10:BJ11" si="56">BI10*(1+BJ25)</f>
        <v>78181202.816961065</v>
      </c>
      <c r="BK10" s="1222">
        <f t="shared" ref="BK10:BK11" si="57">BJ10*(1+BK25)</f>
        <v>82519549.159620076</v>
      </c>
      <c r="BL10" s="1222">
        <f t="shared" ref="BL10:BL11" si="58">BK10*(1+BL25)</f>
        <v>87610039.856794089</v>
      </c>
      <c r="BM10" s="1222">
        <f t="shared" ref="BM10:BM11" si="59">BL10*(1+BM25)</f>
        <v>88847540.115407795</v>
      </c>
      <c r="BN10" s="1222">
        <f t="shared" ref="BN10:BN11" si="60">BM10*(1+BN25)</f>
        <v>88976451.950059891</v>
      </c>
      <c r="BO10" s="1222">
        <f t="shared" ref="BO10:BO11" si="61">BN10*(1+BO25)</f>
        <v>89735739.24020043</v>
      </c>
      <c r="BP10" s="1222">
        <f t="shared" ref="BP10:BP11" si="62">BO10*(1+BP25)</f>
        <v>89819870.76345183</v>
      </c>
      <c r="BQ10" s="1222">
        <f t="shared" ref="BQ10:BQ11" si="63">BP10*(1+BQ25)</f>
        <v>90556557.409672409</v>
      </c>
      <c r="BS10" s="220" t="s">
        <v>1435</v>
      </c>
      <c r="BT10" s="1240">
        <v>27581230.373737376</v>
      </c>
      <c r="BU10" s="1280">
        <f>AB10</f>
        <v>50887005.387857266</v>
      </c>
      <c r="BV10" s="301">
        <f t="shared" ref="BV10:BV11" si="64">BU10*(1+BV25)</f>
        <v>53029853.542564996</v>
      </c>
      <c r="BW10" s="301">
        <f t="shared" ref="BW10:BW11" si="65">BV10*(1+BW25)</f>
        <v>64723584.816909894</v>
      </c>
      <c r="BX10" s="301">
        <f t="shared" ref="BX10:BX11" si="66">BW10*(1+BX25)</f>
        <v>73294597.45082505</v>
      </c>
      <c r="BY10" s="301">
        <f t="shared" ref="BY10:BY11" si="67">BX10*(1+BY25)</f>
        <v>78181202.816961065</v>
      </c>
      <c r="BZ10" s="301">
        <f t="shared" ref="BZ10:BZ11" si="68">BY10*(1+BZ25)</f>
        <v>82519549.159620076</v>
      </c>
      <c r="CA10" s="301">
        <f t="shared" ref="CA10:CA11" si="69">BZ10*(1+CA25)</f>
        <v>87610039.856794089</v>
      </c>
      <c r="CB10" s="301">
        <f t="shared" ref="CB10:CB11" si="70">CA10*(1+CB25)</f>
        <v>88847540.115407795</v>
      </c>
      <c r="CC10" s="301"/>
      <c r="CD10" s="301"/>
      <c r="CE10" s="301"/>
      <c r="CF10" s="301"/>
      <c r="CH10" s="220" t="s">
        <v>1435</v>
      </c>
      <c r="CI10" s="1240">
        <v>27581230.373737376</v>
      </c>
      <c r="CJ10" s="1492">
        <f>(CI10+CK10)/2</f>
        <v>39234117.880797319</v>
      </c>
      <c r="CK10" s="1492">
        <f>AB10</f>
        <v>50887005.387857266</v>
      </c>
      <c r="CL10" s="301">
        <f t="shared" ref="CL10:CL11" si="71">CK10*(1+CL25)</f>
        <v>53029853.542564996</v>
      </c>
      <c r="CM10" s="301">
        <f t="shared" ref="CM10:CM11" si="72">CL10*(1+CM25)</f>
        <v>64723584.816909894</v>
      </c>
      <c r="CN10" s="301">
        <f t="shared" ref="CN10:CQ10" si="73">CM10*(1+CN25)</f>
        <v>73294597.45082505</v>
      </c>
      <c r="CO10" s="301">
        <f t="shared" si="73"/>
        <v>78181202.816961065</v>
      </c>
      <c r="CP10" s="301">
        <f t="shared" si="73"/>
        <v>82519549.159620076</v>
      </c>
      <c r="CQ10" s="301">
        <f t="shared" si="73"/>
        <v>87610039.856794089</v>
      </c>
    </row>
    <row r="11" spans="1:95">
      <c r="B11" s="220" t="s">
        <v>1436</v>
      </c>
      <c r="E11" s="310"/>
      <c r="F11" s="310"/>
      <c r="G11" s="310"/>
      <c r="H11" s="310"/>
      <c r="I11" s="310"/>
      <c r="J11" s="310"/>
      <c r="L11" s="1249">
        <v>29537175</v>
      </c>
      <c r="M11" s="1222">
        <f t="shared" si="29"/>
        <v>24144074.147781547</v>
      </c>
      <c r="N11" s="1884">
        <f>INDEX($Z$4:$CA$15,MATCH($B11,$Z$4:$Z$15,0),MATCH(($S$1&amp;N$5),$Z$4:$CA$4,0))</f>
        <v>25160779.382062159</v>
      </c>
      <c r="O11" s="1884">
        <f t="shared" si="30"/>
        <v>30709038.958354425</v>
      </c>
      <c r="P11" s="1884">
        <f t="shared" si="30"/>
        <v>34775679.606149353</v>
      </c>
      <c r="Q11" s="1884">
        <f t="shared" si="30"/>
        <v>37094200.049466468</v>
      </c>
      <c r="R11" s="1884">
        <f t="shared" si="30"/>
        <v>39152591.086187027</v>
      </c>
      <c r="S11" s="1884">
        <f t="shared" si="30"/>
        <v>41567847.867449485</v>
      </c>
      <c r="T11" s="1884">
        <f t="shared" si="30"/>
        <v>42154997.725731336</v>
      </c>
      <c r="U11" s="1884">
        <f t="shared" si="30"/>
        <v>42216161.806239583</v>
      </c>
      <c r="V11" s="1884">
        <f t="shared" si="30"/>
        <v>42576416.619681522</v>
      </c>
      <c r="W11" s="1884">
        <f t="shared" si="30"/>
        <v>42616334.035140842</v>
      </c>
      <c r="X11" s="1884">
        <f t="shared" si="30"/>
        <v>42965865.646884583</v>
      </c>
      <c r="Z11" s="220" t="s">
        <v>1436</v>
      </c>
      <c r="AA11" s="1249">
        <f t="shared" si="11"/>
        <v>29537175</v>
      </c>
      <c r="AB11" s="1220">
        <f t="shared" si="12"/>
        <v>24144074.147781547</v>
      </c>
      <c r="AC11" s="1222">
        <f t="shared" si="31"/>
        <v>25160779.382062159</v>
      </c>
      <c r="AD11" s="1222">
        <f t="shared" si="32"/>
        <v>30709038.958354425</v>
      </c>
      <c r="AE11" s="1222">
        <f t="shared" si="33"/>
        <v>34775679.606149353</v>
      </c>
      <c r="AF11" s="1222">
        <f t="shared" si="34"/>
        <v>37094200.049466468</v>
      </c>
      <c r="AG11" s="1222">
        <f t="shared" si="35"/>
        <v>39152591.086187027</v>
      </c>
      <c r="AH11" s="1222">
        <f t="shared" si="36"/>
        <v>41567847.867449485</v>
      </c>
      <c r="AI11" s="1222">
        <f t="shared" si="37"/>
        <v>42154997.725731336</v>
      </c>
      <c r="AJ11" s="1222">
        <f t="shared" si="38"/>
        <v>42216161.806239583</v>
      </c>
      <c r="AK11" s="1222">
        <f t="shared" si="39"/>
        <v>42576416.619681522</v>
      </c>
      <c r="AL11" s="1222">
        <f t="shared" si="40"/>
        <v>42616334.035140842</v>
      </c>
      <c r="AM11" s="1222">
        <f t="shared" si="41"/>
        <v>42965865.646884583</v>
      </c>
      <c r="AO11" s="220" t="s">
        <v>1436</v>
      </c>
      <c r="AP11" s="1249">
        <f t="shared" si="14"/>
        <v>29537175</v>
      </c>
      <c r="AQ11" s="1220">
        <f t="shared" si="15"/>
        <v>24144074.147781547</v>
      </c>
      <c r="AR11" s="1222">
        <f t="shared" si="42"/>
        <v>30192935.258474588</v>
      </c>
      <c r="AS11" s="1222">
        <f t="shared" si="43"/>
        <v>36850846.75002531</v>
      </c>
      <c r="AT11" s="1222">
        <f t="shared" si="44"/>
        <v>41730815.527379222</v>
      </c>
      <c r="AU11" s="1222">
        <f t="shared" si="45"/>
        <v>42565431.837926805</v>
      </c>
      <c r="AV11" s="1222">
        <f t="shared" si="46"/>
        <v>43416740.474685341</v>
      </c>
      <c r="AW11" s="1222">
        <f t="shared" si="47"/>
        <v>44285075.284179047</v>
      </c>
      <c r="AX11" s="1222">
        <f t="shared" si="48"/>
        <v>45170776.789862625</v>
      </c>
      <c r="AY11" s="1222">
        <f t="shared" si="49"/>
        <v>46074192.325659879</v>
      </c>
      <c r="AZ11" s="1222">
        <f t="shared" si="50"/>
        <v>46995676.172173075</v>
      </c>
      <c r="BA11" s="1222">
        <f t="shared" si="51"/>
        <v>47935589.695616536</v>
      </c>
      <c r="BB11" s="1222">
        <f t="shared" si="52"/>
        <v>48894301.489528865</v>
      </c>
      <c r="BD11" s="220" t="s">
        <v>1436</v>
      </c>
      <c r="BE11" s="1249">
        <f t="shared" si="17"/>
        <v>29537175</v>
      </c>
      <c r="BF11" s="1220">
        <f t="shared" si="18"/>
        <v>24144074.147781547</v>
      </c>
      <c r="BG11" s="1222">
        <f t="shared" si="53"/>
        <v>25160779.382062159</v>
      </c>
      <c r="BH11" s="1222">
        <f t="shared" si="54"/>
        <v>30709038.958354425</v>
      </c>
      <c r="BI11" s="1222">
        <f t="shared" si="55"/>
        <v>34775679.606149353</v>
      </c>
      <c r="BJ11" s="1222">
        <f t="shared" si="56"/>
        <v>37094200.049466468</v>
      </c>
      <c r="BK11" s="1222">
        <f t="shared" si="57"/>
        <v>39152591.086187027</v>
      </c>
      <c r="BL11" s="1222">
        <f t="shared" si="58"/>
        <v>41567847.867449485</v>
      </c>
      <c r="BM11" s="1222">
        <f t="shared" si="59"/>
        <v>42154997.725731336</v>
      </c>
      <c r="BN11" s="1222">
        <f t="shared" si="60"/>
        <v>42216161.806239583</v>
      </c>
      <c r="BO11" s="1222">
        <f t="shared" si="61"/>
        <v>42576416.619681522</v>
      </c>
      <c r="BP11" s="1222">
        <f t="shared" si="62"/>
        <v>42616334.035140842</v>
      </c>
      <c r="BQ11" s="1222">
        <f t="shared" si="63"/>
        <v>42965865.646884583</v>
      </c>
      <c r="BS11" s="220" t="s">
        <v>1436</v>
      </c>
      <c r="BT11" s="1240">
        <v>27400142.350168355</v>
      </c>
      <c r="BU11" s="1280">
        <f>AB11</f>
        <v>24144074.147781547</v>
      </c>
      <c r="BV11" s="301">
        <f t="shared" si="64"/>
        <v>25160779.382062159</v>
      </c>
      <c r="BW11" s="301">
        <f t="shared" si="65"/>
        <v>30709038.958354425</v>
      </c>
      <c r="BX11" s="301">
        <f t="shared" si="66"/>
        <v>34775679.606149353</v>
      </c>
      <c r="BY11" s="301">
        <f t="shared" si="67"/>
        <v>37094200.049466468</v>
      </c>
      <c r="BZ11" s="301">
        <f t="shared" si="68"/>
        <v>39152591.086187027</v>
      </c>
      <c r="CA11" s="301">
        <f t="shared" si="69"/>
        <v>41567847.867449485</v>
      </c>
      <c r="CB11" s="301">
        <f t="shared" si="70"/>
        <v>42154997.725731336</v>
      </c>
      <c r="CC11" s="301"/>
      <c r="CD11" s="301"/>
      <c r="CE11" s="301"/>
      <c r="CF11" s="301"/>
      <c r="CH11" s="220" t="s">
        <v>1436</v>
      </c>
      <c r="CI11" s="1240">
        <v>27400142.350168355</v>
      </c>
      <c r="CJ11" s="1492">
        <f>(CI11+CK11)/2</f>
        <v>25772108.248974949</v>
      </c>
      <c r="CK11" s="1492">
        <f>AB11</f>
        <v>24144074.147781547</v>
      </c>
      <c r="CL11" s="301">
        <f t="shared" si="71"/>
        <v>25160779.382062159</v>
      </c>
      <c r="CM11" s="301">
        <f t="shared" si="72"/>
        <v>30709038.958354425</v>
      </c>
      <c r="CN11" s="301">
        <f t="shared" ref="CN11:CQ11" si="74">CM11*(1+CN26)</f>
        <v>34775679.606149353</v>
      </c>
      <c r="CO11" s="301">
        <f t="shared" si="74"/>
        <v>37094200.049466468</v>
      </c>
      <c r="CP11" s="301">
        <f t="shared" si="74"/>
        <v>39152591.086187027</v>
      </c>
      <c r="CQ11" s="301">
        <f t="shared" si="74"/>
        <v>41567847.867449485</v>
      </c>
    </row>
    <row r="12" spans="1:95" s="220" customFormat="1">
      <c r="B12" s="1214" t="s">
        <v>1434</v>
      </c>
      <c r="E12" s="310"/>
      <c r="F12" s="310"/>
      <c r="G12" s="310"/>
      <c r="H12" s="310"/>
      <c r="I12" s="310"/>
      <c r="J12" s="310"/>
      <c r="K12" s="503">
        <f>SUM(K13:K14)</f>
        <v>2561997</v>
      </c>
      <c r="L12" s="1552">
        <f>SUM(L13:L14)</f>
        <v>3887040</v>
      </c>
      <c r="M12" s="1220">
        <f>SUM(M13:M14)</f>
        <v>3177317.4643611917</v>
      </c>
      <c r="N12" s="1220">
        <f t="shared" ref="N12:X12" si="75">SUM(N13:N14)</f>
        <v>3311114.0753728449</v>
      </c>
      <c r="O12" s="1220">
        <f t="shared" si="75"/>
        <v>4041255.2247356758</v>
      </c>
      <c r="P12" s="1220">
        <f t="shared" si="75"/>
        <v>4576417.9430255871</v>
      </c>
      <c r="Q12" s="1220">
        <f t="shared" si="75"/>
        <v>4881531.1335724611</v>
      </c>
      <c r="R12" s="1220">
        <f t="shared" si="75"/>
        <v>5152411.7541928915</v>
      </c>
      <c r="S12" s="1220">
        <f t="shared" si="75"/>
        <v>5470255.2757564271</v>
      </c>
      <c r="T12" s="1220">
        <f t="shared" si="75"/>
        <v>5547523.1588608837</v>
      </c>
      <c r="U12" s="1220">
        <f t="shared" si="75"/>
        <v>5555572.2437005406</v>
      </c>
      <c r="V12" s="1220">
        <f t="shared" si="75"/>
        <v>5602981.1401180672</v>
      </c>
      <c r="W12" s="1220">
        <f t="shared" si="75"/>
        <v>5608234.2014073413</v>
      </c>
      <c r="X12" s="1220">
        <f t="shared" si="75"/>
        <v>5654231.9434430096</v>
      </c>
      <c r="Z12" s="1214" t="s">
        <v>1434</v>
      </c>
      <c r="AA12" s="1552">
        <f t="shared" si="11"/>
        <v>3887040</v>
      </c>
      <c r="AB12" s="1220">
        <f t="shared" si="12"/>
        <v>3177317.4643611917</v>
      </c>
      <c r="AC12" s="1220">
        <f t="shared" ref="AC12:AM12" si="76">SUM(AC13:AC14)</f>
        <v>3311114.0753728449</v>
      </c>
      <c r="AD12" s="1220">
        <f t="shared" si="76"/>
        <v>4041255.2247356758</v>
      </c>
      <c r="AE12" s="1220">
        <f t="shared" si="76"/>
        <v>4576417.9430255871</v>
      </c>
      <c r="AF12" s="1220">
        <f t="shared" si="76"/>
        <v>4881531.1335724611</v>
      </c>
      <c r="AG12" s="1220">
        <f t="shared" si="76"/>
        <v>5152411.7541928915</v>
      </c>
      <c r="AH12" s="1220">
        <f t="shared" si="76"/>
        <v>5470255.2757564271</v>
      </c>
      <c r="AI12" s="1220">
        <f t="shared" si="76"/>
        <v>5547523.1588608837</v>
      </c>
      <c r="AJ12" s="1220">
        <f t="shared" si="76"/>
        <v>5555572.2437005406</v>
      </c>
      <c r="AK12" s="1220">
        <f t="shared" si="76"/>
        <v>5602981.1401180672</v>
      </c>
      <c r="AL12" s="1220">
        <f t="shared" si="76"/>
        <v>5608234.2014073413</v>
      </c>
      <c r="AM12" s="1220">
        <f t="shared" si="76"/>
        <v>5654231.9434430096</v>
      </c>
      <c r="AO12" s="1214" t="s">
        <v>1434</v>
      </c>
      <c r="AP12" s="1552">
        <f t="shared" si="14"/>
        <v>3887040</v>
      </c>
      <c r="AQ12" s="1220">
        <f t="shared" si="15"/>
        <v>3177317.4643611917</v>
      </c>
      <c r="AR12" s="1220">
        <f t="shared" ref="AR12:BB12" si="77">SUM(AR13:AR14)</f>
        <v>3973336.8904474135</v>
      </c>
      <c r="AS12" s="1220">
        <f t="shared" si="77"/>
        <v>4849506.2696828116</v>
      </c>
      <c r="AT12" s="1220">
        <f t="shared" si="77"/>
        <v>5491701.5316307051</v>
      </c>
      <c r="AU12" s="1220">
        <f t="shared" si="77"/>
        <v>5601535.5622633193</v>
      </c>
      <c r="AV12" s="1220">
        <f t="shared" si="77"/>
        <v>5713566.273508586</v>
      </c>
      <c r="AW12" s="1220">
        <f t="shared" si="77"/>
        <v>5827837.5989787579</v>
      </c>
      <c r="AX12" s="1220">
        <f t="shared" si="77"/>
        <v>5944394.3509583324</v>
      </c>
      <c r="AY12" s="1220">
        <f t="shared" si="77"/>
        <v>6063282.2379774991</v>
      </c>
      <c r="AZ12" s="1220">
        <f t="shared" si="77"/>
        <v>6184547.8827370498</v>
      </c>
      <c r="BA12" s="1220">
        <f t="shared" si="77"/>
        <v>6308238.8403917905</v>
      </c>
      <c r="BB12" s="1220">
        <f t="shared" si="77"/>
        <v>6434403.6171996258</v>
      </c>
      <c r="BD12" s="1214" t="s">
        <v>1434</v>
      </c>
      <c r="BE12" s="1552">
        <f t="shared" si="17"/>
        <v>3887040</v>
      </c>
      <c r="BF12" s="1220">
        <f t="shared" si="18"/>
        <v>3177317.4643611917</v>
      </c>
      <c r="BG12" s="1220">
        <f t="shared" ref="BG12:BQ12" si="78">SUM(BG13:BG14)</f>
        <v>3311114.0753728449</v>
      </c>
      <c r="BH12" s="1220">
        <f t="shared" si="78"/>
        <v>4041255.2247356758</v>
      </c>
      <c r="BI12" s="1220">
        <f t="shared" si="78"/>
        <v>4576417.9430255871</v>
      </c>
      <c r="BJ12" s="1220">
        <f t="shared" si="78"/>
        <v>4881531.1335724611</v>
      </c>
      <c r="BK12" s="1220">
        <f t="shared" si="78"/>
        <v>5152411.7541928915</v>
      </c>
      <c r="BL12" s="1220">
        <f t="shared" si="78"/>
        <v>5470255.2757564271</v>
      </c>
      <c r="BM12" s="1220">
        <f t="shared" si="78"/>
        <v>5547523.1588608837</v>
      </c>
      <c r="BN12" s="1220">
        <f t="shared" si="78"/>
        <v>5555572.2437005406</v>
      </c>
      <c r="BO12" s="1220">
        <f t="shared" si="78"/>
        <v>5602981.1401180672</v>
      </c>
      <c r="BP12" s="1220">
        <f t="shared" si="78"/>
        <v>5608234.2014073413</v>
      </c>
      <c r="BQ12" s="1220">
        <f t="shared" si="78"/>
        <v>5654231.9434430096</v>
      </c>
      <c r="BT12" s="1240">
        <f>SUM(BT13:BT14)</f>
        <v>4440357.8252576217</v>
      </c>
      <c r="BU12" s="301">
        <f t="shared" ref="BU12:CB12" si="79">SUM(BU13:BU14)</f>
        <v>3177317.4643611917</v>
      </c>
      <c r="BV12" s="301">
        <f t="shared" si="79"/>
        <v>3311114.0753728449</v>
      </c>
      <c r="BW12" s="301">
        <f t="shared" si="79"/>
        <v>4041255.2247356758</v>
      </c>
      <c r="BX12" s="301">
        <f t="shared" si="79"/>
        <v>4576417.9430255871</v>
      </c>
      <c r="BY12" s="301">
        <f t="shared" si="79"/>
        <v>4881531.1335724611</v>
      </c>
      <c r="BZ12" s="301">
        <f t="shared" si="79"/>
        <v>5152411.7541928915</v>
      </c>
      <c r="CA12" s="301">
        <f t="shared" si="79"/>
        <v>5470255.2757564271</v>
      </c>
      <c r="CB12" s="301">
        <f t="shared" si="79"/>
        <v>5547523.1588608837</v>
      </c>
      <c r="CC12" s="301"/>
      <c r="CD12" s="301"/>
      <c r="CE12" s="301"/>
      <c r="CF12" s="301"/>
      <c r="CI12" s="1240">
        <f>SUM(CI13:CI14)</f>
        <v>4440357.8252576217</v>
      </c>
      <c r="CJ12" s="301">
        <f t="shared" ref="CJ12" si="80">SUM(CJ13:CJ14)</f>
        <v>3808837.6448094067</v>
      </c>
      <c r="CK12" s="301">
        <f t="shared" ref="CK12" si="81">SUM(CK13:CK14)</f>
        <v>3177317.4643611917</v>
      </c>
      <c r="CL12" s="301">
        <f t="shared" ref="CL12" si="82">SUM(CL13:CL14)</f>
        <v>3311114.0753728449</v>
      </c>
      <c r="CM12" s="301">
        <f t="shared" ref="CM12" si="83">SUM(CM13:CM14)</f>
        <v>4041255.2247356758</v>
      </c>
      <c r="CN12" s="301">
        <f t="shared" ref="CN12" si="84">SUM(CN13:CN14)</f>
        <v>4576417.9430255871</v>
      </c>
      <c r="CO12" s="301">
        <f t="shared" ref="CO12" si="85">SUM(CO13:CO14)</f>
        <v>4881531.1335724611</v>
      </c>
      <c r="CP12" s="301">
        <f t="shared" ref="CP12" si="86">SUM(CP13:CP14)</f>
        <v>5152411.7541928915</v>
      </c>
      <c r="CQ12" s="301">
        <f t="shared" ref="CQ12" si="87">SUM(CQ13:CQ14)</f>
        <v>5470255.2757564271</v>
      </c>
    </row>
    <row r="13" spans="1:95" s="1214" customFormat="1">
      <c r="B13" s="1214" t="s">
        <v>1437</v>
      </c>
      <c r="E13" s="310"/>
      <c r="F13" s="310"/>
      <c r="G13" s="310"/>
      <c r="H13" s="310"/>
      <c r="I13" s="310"/>
      <c r="J13" s="310"/>
      <c r="K13" s="301">
        <v>446688</v>
      </c>
      <c r="L13" s="1249">
        <v>1454556</v>
      </c>
      <c r="M13" s="1222">
        <f>L13*(1+M28)</f>
        <v>1188973.1470968546</v>
      </c>
      <c r="N13" s="1884">
        <f>INDEX($Z$4:$CA$15,MATCH($B13,$Z$4:$Z$15,0),MATCH(($S$1&amp;N$5),$Z$4:$CA$4,0))</f>
        <v>1239040.7212218097</v>
      </c>
      <c r="O13" s="1884">
        <f t="shared" si="30"/>
        <v>1512264.3540253318</v>
      </c>
      <c r="P13" s="1884">
        <f t="shared" si="30"/>
        <v>1712525.7721905422</v>
      </c>
      <c r="Q13" s="1884">
        <f t="shared" si="30"/>
        <v>1826701.1400769283</v>
      </c>
      <c r="R13" s="1884">
        <f t="shared" si="30"/>
        <v>1928066.454559715</v>
      </c>
      <c r="S13" s="1884">
        <f t="shared" si="30"/>
        <v>2047005.5962591495</v>
      </c>
      <c r="T13" s="1884">
        <f t="shared" si="30"/>
        <v>2075919.7476383189</v>
      </c>
      <c r="U13" s="1884">
        <f t="shared" si="30"/>
        <v>2078931.7682627612</v>
      </c>
      <c r="V13" s="1884">
        <f t="shared" si="30"/>
        <v>2096672.4899269303</v>
      </c>
      <c r="W13" s="1884">
        <f t="shared" si="30"/>
        <v>2098638.2201012224</v>
      </c>
      <c r="X13" s="1884">
        <f t="shared" si="30"/>
        <v>2115850.8784902366</v>
      </c>
      <c r="Z13" s="1214" t="s">
        <v>1437</v>
      </c>
      <c r="AA13" s="1249">
        <f t="shared" si="11"/>
        <v>1454556</v>
      </c>
      <c r="AB13" s="1220">
        <f t="shared" si="12"/>
        <v>1188973.1470968546</v>
      </c>
      <c r="AC13" s="1222">
        <f t="shared" ref="AC13:AC14" si="88">AB13*(1+AC28)</f>
        <v>1239040.7212218097</v>
      </c>
      <c r="AD13" s="1222">
        <f t="shared" ref="AD13:AD14" si="89">AC13*(1+AD28)</f>
        <v>1512264.3540253318</v>
      </c>
      <c r="AE13" s="1222">
        <f t="shared" ref="AE13:AE14" si="90">AD13*(1+AE28)</f>
        <v>1712525.7721905422</v>
      </c>
      <c r="AF13" s="1222">
        <f t="shared" ref="AF13:AF14" si="91">AE13*(1+AF28)</f>
        <v>1826701.1400769283</v>
      </c>
      <c r="AG13" s="1222">
        <f t="shared" ref="AG13:AG14" si="92">AF13*(1+AG28)</f>
        <v>1928066.454559715</v>
      </c>
      <c r="AH13" s="1222">
        <f t="shared" ref="AH13:AH14" si="93">AG13*(1+AH28)</f>
        <v>2047005.5962591495</v>
      </c>
      <c r="AI13" s="1222">
        <f t="shared" ref="AI13:AI14" si="94">AH13*(1+AI28)</f>
        <v>2075919.7476383189</v>
      </c>
      <c r="AJ13" s="1222">
        <f t="shared" ref="AJ13:AJ14" si="95">AI13*(1+AJ28)</f>
        <v>2078931.7682627612</v>
      </c>
      <c r="AK13" s="1222">
        <f t="shared" ref="AK13:AK14" si="96">AJ13*(1+AK28)</f>
        <v>2096672.4899269303</v>
      </c>
      <c r="AL13" s="1222">
        <f t="shared" ref="AL13:AL14" si="97">AK13*(1+AL28)</f>
        <v>2098638.2201012224</v>
      </c>
      <c r="AM13" s="1222">
        <f t="shared" ref="AM13:AM14" si="98">AL13*(1+AM28)</f>
        <v>2115850.8784902366</v>
      </c>
      <c r="AO13" s="1214" t="s">
        <v>1437</v>
      </c>
      <c r="AP13" s="1249">
        <f t="shared" si="14"/>
        <v>1454556</v>
      </c>
      <c r="AQ13" s="1220">
        <f t="shared" si="15"/>
        <v>1188973.1470968546</v>
      </c>
      <c r="AR13" s="1222">
        <f t="shared" ref="AR13:AR14" si="99">AQ13*(1+AR28)</f>
        <v>1486848.8654661716</v>
      </c>
      <c r="AS13" s="1222">
        <f t="shared" ref="AS13:AS14" si="100">AR13*(1+AS28)</f>
        <v>1814717.2248303986</v>
      </c>
      <c r="AT13" s="1222">
        <f t="shared" ref="AT13:AT14" si="101">AS13*(1+AT28)</f>
        <v>2055030.9266286511</v>
      </c>
      <c r="AU13" s="1222">
        <f t="shared" ref="AU13:AU14" si="102">AT13*(1+AU28)</f>
        <v>2096131.5451612242</v>
      </c>
      <c r="AV13" s="1222">
        <f t="shared" ref="AV13:AV14" si="103">AU13*(1+AV28)</f>
        <v>2138054.1760644489</v>
      </c>
      <c r="AW13" s="1222">
        <f t="shared" ref="AW13:AW14" si="104">AV13*(1+AW28)</f>
        <v>2180815.2595857377</v>
      </c>
      <c r="AX13" s="1222">
        <f t="shared" ref="AX13:AX14" si="105">AW13*(1+AX28)</f>
        <v>2224431.5647774525</v>
      </c>
      <c r="AY13" s="1222">
        <f t="shared" ref="AY13:AY14" si="106">AX13*(1+AY28)</f>
        <v>2268920.1960730017</v>
      </c>
      <c r="AZ13" s="1222">
        <f t="shared" ref="AZ13:AZ14" si="107">AY13*(1+AZ28)</f>
        <v>2314298.599994462</v>
      </c>
      <c r="BA13" s="1222">
        <f t="shared" ref="BA13:BA14" si="108">AZ13*(1+BA28)</f>
        <v>2360584.5719943512</v>
      </c>
      <c r="BB13" s="1222">
        <f t="shared" ref="BB13:BB14" si="109">BA13*(1+BB28)</f>
        <v>2407796.2634342383</v>
      </c>
      <c r="BD13" s="1214" t="s">
        <v>1437</v>
      </c>
      <c r="BE13" s="1249">
        <f t="shared" si="17"/>
        <v>1454556</v>
      </c>
      <c r="BF13" s="1220">
        <f t="shared" si="18"/>
        <v>1188973.1470968546</v>
      </c>
      <c r="BG13" s="1222">
        <f t="shared" ref="BG13:BG14" si="110">BF13*(1+BG28)</f>
        <v>1239040.7212218097</v>
      </c>
      <c r="BH13" s="1222">
        <f t="shared" ref="BH13:BH14" si="111">BG13*(1+BH28)</f>
        <v>1512264.3540253318</v>
      </c>
      <c r="BI13" s="1222">
        <f t="shared" ref="BI13:BI14" si="112">BH13*(1+BI28)</f>
        <v>1712525.7721905422</v>
      </c>
      <c r="BJ13" s="1222">
        <f t="shared" ref="BJ13:BJ14" si="113">BI13*(1+BJ28)</f>
        <v>1826701.1400769283</v>
      </c>
      <c r="BK13" s="1222">
        <f t="shared" ref="BK13:BK14" si="114">BJ13*(1+BK28)</f>
        <v>1928066.454559715</v>
      </c>
      <c r="BL13" s="1222">
        <f t="shared" ref="BL13:BL14" si="115">BK13*(1+BL28)</f>
        <v>2047005.5962591495</v>
      </c>
      <c r="BM13" s="1222">
        <f t="shared" ref="BM13:BM14" si="116">BL13*(1+BM28)</f>
        <v>2075919.7476383189</v>
      </c>
      <c r="BN13" s="1222">
        <f t="shared" ref="BN13:BN14" si="117">BM13*(1+BN28)</f>
        <v>2078931.7682627612</v>
      </c>
      <c r="BO13" s="1222">
        <f t="shared" ref="BO13:BO14" si="118">BN13*(1+BO28)</f>
        <v>2096672.4899269303</v>
      </c>
      <c r="BP13" s="1222">
        <f t="shared" ref="BP13:BP14" si="119">BO13*(1+BP28)</f>
        <v>2098638.2201012224</v>
      </c>
      <c r="BQ13" s="1222">
        <f t="shared" ref="BQ13:BQ14" si="120">BP13*(1+BQ28)</f>
        <v>2115850.8784902366</v>
      </c>
      <c r="BS13" s="220" t="s">
        <v>1437</v>
      </c>
      <c r="BT13" s="1240">
        <v>1722811.2597824216</v>
      </c>
      <c r="BU13" s="1280">
        <f>AB13</f>
        <v>1188973.1470968546</v>
      </c>
      <c r="BV13" s="301">
        <f t="shared" ref="BV13:BW14" si="121">BU13*(1+BV28)</f>
        <v>1239040.7212218097</v>
      </c>
      <c r="BW13" s="301">
        <f t="shared" si="121"/>
        <v>1512264.3540253318</v>
      </c>
      <c r="BX13" s="301">
        <f t="shared" ref="BX13:BX14" si="122">BW13*(1+BX28)</f>
        <v>1712525.7721905422</v>
      </c>
      <c r="BY13" s="301">
        <f t="shared" ref="BY13:BY14" si="123">BX13*(1+BY28)</f>
        <v>1826701.1400769283</v>
      </c>
      <c r="BZ13" s="301">
        <f t="shared" ref="BZ13:BZ14" si="124">BY13*(1+BZ28)</f>
        <v>1928066.454559715</v>
      </c>
      <c r="CA13" s="301">
        <f t="shared" ref="CA13:CA14" si="125">BZ13*(1+CA28)</f>
        <v>2047005.5962591495</v>
      </c>
      <c r="CB13" s="301">
        <f t="shared" ref="CB13:CB14" si="126">CA13*(1+CB28)</f>
        <v>2075919.7476383189</v>
      </c>
      <c r="CC13" s="301"/>
      <c r="CD13" s="301"/>
      <c r="CE13" s="301"/>
      <c r="CF13" s="301"/>
      <c r="CH13" s="220" t="s">
        <v>1437</v>
      </c>
      <c r="CI13" s="1240">
        <v>1722811.2597824216</v>
      </c>
      <c r="CJ13" s="1492">
        <f>(CI13+CK13)/2</f>
        <v>1455892.203439638</v>
      </c>
      <c r="CK13" s="1492">
        <f t="shared" ref="CK13:CK14" si="127">AB13</f>
        <v>1188973.1470968546</v>
      </c>
      <c r="CL13" s="301">
        <f t="shared" ref="CL13:CL14" si="128">CK13*(1+CL28)</f>
        <v>1239040.7212218097</v>
      </c>
      <c r="CM13" s="301">
        <f t="shared" ref="CM13:CM14" si="129">CL13*(1+CM28)</f>
        <v>1512264.3540253318</v>
      </c>
      <c r="CN13" s="301">
        <f t="shared" ref="CN13:CQ13" si="130">CM13*(1+CN28)</f>
        <v>1712525.7721905422</v>
      </c>
      <c r="CO13" s="301">
        <f t="shared" si="130"/>
        <v>1826701.1400769283</v>
      </c>
      <c r="CP13" s="301">
        <f t="shared" si="130"/>
        <v>1928066.454559715</v>
      </c>
      <c r="CQ13" s="301">
        <f t="shared" si="130"/>
        <v>2047005.5962591495</v>
      </c>
    </row>
    <row r="14" spans="1:95" s="1214" customFormat="1">
      <c r="B14" s="1214" t="s">
        <v>1438</v>
      </c>
      <c r="E14" s="310"/>
      <c r="F14" s="310"/>
      <c r="G14" s="310"/>
      <c r="H14" s="310"/>
      <c r="I14" s="310"/>
      <c r="J14" s="310"/>
      <c r="K14" s="301">
        <v>2115309</v>
      </c>
      <c r="L14" s="1249">
        <v>2432484</v>
      </c>
      <c r="M14" s="1222">
        <f>L14*(1+M29)</f>
        <v>1988344.3172643373</v>
      </c>
      <c r="N14" s="1884">
        <f>INDEX($Z$4:$CA$15,MATCH($B14,$Z$4:$Z$15,0),MATCH(($S$1&amp;N$5),$Z$4:$CA$4,0))</f>
        <v>2072073.354151035</v>
      </c>
      <c r="O14" s="1884">
        <f t="shared" si="30"/>
        <v>2528990.8707103441</v>
      </c>
      <c r="P14" s="1884">
        <f t="shared" si="30"/>
        <v>2863892.1708350447</v>
      </c>
      <c r="Q14" s="1884">
        <f t="shared" si="30"/>
        <v>3054829.9934955323</v>
      </c>
      <c r="R14" s="1884">
        <f t="shared" si="30"/>
        <v>3224345.2996331765</v>
      </c>
      <c r="S14" s="1884">
        <f t="shared" si="30"/>
        <v>3423249.6794972774</v>
      </c>
      <c r="T14" s="1884">
        <f t="shared" si="30"/>
        <v>3471603.411222565</v>
      </c>
      <c r="U14" s="1884">
        <f t="shared" si="30"/>
        <v>3476640.4754377794</v>
      </c>
      <c r="V14" s="1884">
        <f t="shared" si="30"/>
        <v>3506308.6501911371</v>
      </c>
      <c r="W14" s="1884">
        <f t="shared" si="30"/>
        <v>3509595.9813061184</v>
      </c>
      <c r="X14" s="1884">
        <f t="shared" si="30"/>
        <v>3538381.0649527726</v>
      </c>
      <c r="Z14" s="1214" t="s">
        <v>1438</v>
      </c>
      <c r="AA14" s="1249">
        <f t="shared" si="11"/>
        <v>2432484</v>
      </c>
      <c r="AB14" s="1220">
        <f t="shared" si="12"/>
        <v>1988344.3172643373</v>
      </c>
      <c r="AC14" s="1222">
        <f t="shared" si="88"/>
        <v>2072073.354151035</v>
      </c>
      <c r="AD14" s="1222">
        <f t="shared" si="89"/>
        <v>2528990.8707103441</v>
      </c>
      <c r="AE14" s="1222">
        <f t="shared" si="90"/>
        <v>2863892.1708350447</v>
      </c>
      <c r="AF14" s="1222">
        <f t="shared" si="91"/>
        <v>3054829.9934955323</v>
      </c>
      <c r="AG14" s="1222">
        <f t="shared" si="92"/>
        <v>3224345.2996331765</v>
      </c>
      <c r="AH14" s="1222">
        <f t="shared" si="93"/>
        <v>3423249.6794972774</v>
      </c>
      <c r="AI14" s="1222">
        <f t="shared" si="94"/>
        <v>3471603.411222565</v>
      </c>
      <c r="AJ14" s="1222">
        <f t="shared" si="95"/>
        <v>3476640.4754377794</v>
      </c>
      <c r="AK14" s="1222">
        <f t="shared" si="96"/>
        <v>3506308.6501911371</v>
      </c>
      <c r="AL14" s="1222">
        <f t="shared" si="97"/>
        <v>3509595.9813061184</v>
      </c>
      <c r="AM14" s="1222">
        <f t="shared" si="98"/>
        <v>3538381.0649527726</v>
      </c>
      <c r="AO14" s="1214" t="s">
        <v>1438</v>
      </c>
      <c r="AP14" s="1249">
        <f t="shared" si="14"/>
        <v>2432484</v>
      </c>
      <c r="AQ14" s="1220">
        <f t="shared" si="15"/>
        <v>1988344.3172643373</v>
      </c>
      <c r="AR14" s="1222">
        <f t="shared" si="99"/>
        <v>2486488.0249812417</v>
      </c>
      <c r="AS14" s="1222">
        <f t="shared" si="100"/>
        <v>3034789.0448524132</v>
      </c>
      <c r="AT14" s="1222">
        <f t="shared" si="101"/>
        <v>3436670.605002054</v>
      </c>
      <c r="AU14" s="1222">
        <f t="shared" si="102"/>
        <v>3505404.0171020953</v>
      </c>
      <c r="AV14" s="1222">
        <f t="shared" si="103"/>
        <v>3575512.0974441371</v>
      </c>
      <c r="AW14" s="1222">
        <f t="shared" si="104"/>
        <v>3647022.3393930197</v>
      </c>
      <c r="AX14" s="1222">
        <f t="shared" si="105"/>
        <v>3719962.7861808799</v>
      </c>
      <c r="AY14" s="1222">
        <f t="shared" si="106"/>
        <v>3794362.0419044974</v>
      </c>
      <c r="AZ14" s="1222">
        <f t="shared" si="107"/>
        <v>3870249.2827425874</v>
      </c>
      <c r="BA14" s="1222">
        <f t="shared" si="108"/>
        <v>3947654.2683974393</v>
      </c>
      <c r="BB14" s="1222">
        <f t="shared" si="109"/>
        <v>4026607.353765388</v>
      </c>
      <c r="BD14" s="1214" t="s">
        <v>1438</v>
      </c>
      <c r="BE14" s="1249">
        <f t="shared" si="17"/>
        <v>2432484</v>
      </c>
      <c r="BF14" s="1220">
        <f t="shared" si="18"/>
        <v>1988344.3172643373</v>
      </c>
      <c r="BG14" s="1222">
        <f t="shared" si="110"/>
        <v>2072073.354151035</v>
      </c>
      <c r="BH14" s="1222">
        <f t="shared" si="111"/>
        <v>2528990.8707103441</v>
      </c>
      <c r="BI14" s="1222">
        <f t="shared" si="112"/>
        <v>2863892.1708350447</v>
      </c>
      <c r="BJ14" s="1222">
        <f t="shared" si="113"/>
        <v>3054829.9934955323</v>
      </c>
      <c r="BK14" s="1222">
        <f t="shared" si="114"/>
        <v>3224345.2996331765</v>
      </c>
      <c r="BL14" s="1222">
        <f t="shared" si="115"/>
        <v>3423249.6794972774</v>
      </c>
      <c r="BM14" s="1222">
        <f t="shared" si="116"/>
        <v>3471603.411222565</v>
      </c>
      <c r="BN14" s="1222">
        <f t="shared" si="117"/>
        <v>3476640.4754377794</v>
      </c>
      <c r="BO14" s="1222">
        <f t="shared" si="118"/>
        <v>3506308.6501911371</v>
      </c>
      <c r="BP14" s="1222">
        <f t="shared" si="119"/>
        <v>3509595.9813061184</v>
      </c>
      <c r="BQ14" s="1222">
        <f t="shared" si="120"/>
        <v>3538381.0649527726</v>
      </c>
      <c r="BS14" s="220" t="s">
        <v>1438</v>
      </c>
      <c r="BT14" s="1240">
        <v>2717546.5654751998</v>
      </c>
      <c r="BU14" s="1280">
        <f>AB14</f>
        <v>1988344.3172643373</v>
      </c>
      <c r="BV14" s="301">
        <f t="shared" si="121"/>
        <v>2072073.354151035</v>
      </c>
      <c r="BW14" s="301">
        <f t="shared" si="121"/>
        <v>2528990.8707103441</v>
      </c>
      <c r="BX14" s="301">
        <f t="shared" si="122"/>
        <v>2863892.1708350447</v>
      </c>
      <c r="BY14" s="301">
        <f t="shared" si="123"/>
        <v>3054829.9934955323</v>
      </c>
      <c r="BZ14" s="301">
        <f t="shared" si="124"/>
        <v>3224345.2996331765</v>
      </c>
      <c r="CA14" s="301">
        <f t="shared" si="125"/>
        <v>3423249.6794972774</v>
      </c>
      <c r="CB14" s="301">
        <f t="shared" si="126"/>
        <v>3471603.411222565</v>
      </c>
      <c r="CC14" s="301"/>
      <c r="CD14" s="301"/>
      <c r="CE14" s="301"/>
      <c r="CF14" s="301"/>
      <c r="CH14" s="220" t="s">
        <v>1438</v>
      </c>
      <c r="CI14" s="1240">
        <v>2717546.5654751998</v>
      </c>
      <c r="CJ14" s="1492">
        <f>(CI14+CK14)/2</f>
        <v>2352945.4413697687</v>
      </c>
      <c r="CK14" s="1492">
        <f t="shared" si="127"/>
        <v>1988344.3172643373</v>
      </c>
      <c r="CL14" s="301">
        <f t="shared" si="128"/>
        <v>2072073.354151035</v>
      </c>
      <c r="CM14" s="301">
        <f t="shared" si="129"/>
        <v>2528990.8707103441</v>
      </c>
      <c r="CN14" s="301">
        <f t="shared" ref="CN14:CQ14" si="131">CM14*(1+CN29)</f>
        <v>2863892.1708350447</v>
      </c>
      <c r="CO14" s="301">
        <f t="shared" si="131"/>
        <v>3054829.9934955323</v>
      </c>
      <c r="CP14" s="301">
        <f t="shared" si="131"/>
        <v>3224345.2996331765</v>
      </c>
      <c r="CQ14" s="301">
        <f t="shared" si="131"/>
        <v>3423249.6794972774</v>
      </c>
    </row>
    <row r="15" spans="1:95">
      <c r="B15" s="220" t="s">
        <v>1415</v>
      </c>
      <c r="E15" s="310">
        <v>2305224</v>
      </c>
      <c r="F15" s="310">
        <v>3822912</v>
      </c>
      <c r="G15" s="310">
        <v>3713508</v>
      </c>
      <c r="H15" s="310">
        <v>3133944</v>
      </c>
      <c r="I15" s="310">
        <v>6423888</v>
      </c>
      <c r="J15" s="310">
        <v>3541680</v>
      </c>
      <c r="K15" s="301">
        <f>'Core P&amp;L'!$BN21</f>
        <v>2510256</v>
      </c>
      <c r="L15" s="1240">
        <f>'Core P&amp;L'!$AJ21</f>
        <v>0</v>
      </c>
      <c r="M15" s="1220">
        <f>'Core P&amp;L'!$T21</f>
        <v>1517577.2599492124</v>
      </c>
      <c r="N15" s="1884">
        <f>INDEX($Z$4:$CA$15,MATCH($B15,$Z$4:$Z$15,0),MATCH(($S$1&amp;N$5),$Z$4:$CA$4,0))</f>
        <v>1517577.2599492124</v>
      </c>
      <c r="O15" s="1884">
        <f t="shared" si="30"/>
        <v>2510256</v>
      </c>
      <c r="P15" s="1884">
        <f t="shared" si="30"/>
        <v>3541680</v>
      </c>
      <c r="Q15" s="1884">
        <f t="shared" si="30"/>
        <v>3541680</v>
      </c>
      <c r="R15" s="1884">
        <f t="shared" si="30"/>
        <v>3541680</v>
      </c>
      <c r="S15" s="1884">
        <f t="shared" si="30"/>
        <v>6423888</v>
      </c>
      <c r="T15" s="1884">
        <f t="shared" si="30"/>
        <v>6423888</v>
      </c>
      <c r="U15" s="1884">
        <f t="shared" si="30"/>
        <v>6423888</v>
      </c>
      <c r="V15" s="1884">
        <f t="shared" si="30"/>
        <v>6423888</v>
      </c>
      <c r="W15" s="1884">
        <f t="shared" si="30"/>
        <v>6423888</v>
      </c>
      <c r="X15" s="1884">
        <f t="shared" si="30"/>
        <v>6423888</v>
      </c>
      <c r="Z15" s="220" t="s">
        <v>1415</v>
      </c>
      <c r="AA15" s="1240">
        <f t="shared" si="11"/>
        <v>0</v>
      </c>
      <c r="AB15" s="1220">
        <f t="shared" si="12"/>
        <v>1517577.2599492124</v>
      </c>
      <c r="AC15" s="1220">
        <v>1517577.2599492124</v>
      </c>
      <c r="AD15" s="1220">
        <v>2510256</v>
      </c>
      <c r="AE15" s="1220">
        <v>3541680</v>
      </c>
      <c r="AF15" s="1220">
        <v>3541680</v>
      </c>
      <c r="AG15" s="1220">
        <v>3541680</v>
      </c>
      <c r="AH15" s="1220">
        <v>6423888</v>
      </c>
      <c r="AI15" s="1220">
        <v>6423888</v>
      </c>
      <c r="AJ15" s="1220">
        <v>6423888</v>
      </c>
      <c r="AK15" s="1220">
        <v>6423888</v>
      </c>
      <c r="AL15" s="1220">
        <v>6423888</v>
      </c>
      <c r="AM15" s="1220">
        <v>6423888</v>
      </c>
      <c r="AO15" s="220" t="s">
        <v>1415</v>
      </c>
      <c r="AP15" s="1240">
        <f t="shared" si="14"/>
        <v>0</v>
      </c>
      <c r="AQ15" s="1220">
        <f t="shared" si="15"/>
        <v>1517577.2599492124</v>
      </c>
      <c r="AR15" s="1220">
        <v>1517577.2599492124</v>
      </c>
      <c r="AS15" s="1220">
        <v>2510256</v>
      </c>
      <c r="AT15" s="1220">
        <v>3541680</v>
      </c>
      <c r="AU15" s="1220">
        <v>3541680</v>
      </c>
      <c r="AV15" s="1220">
        <v>3541680</v>
      </c>
      <c r="AW15" s="1220">
        <v>6423888</v>
      </c>
      <c r="AX15" s="1220">
        <v>6423888</v>
      </c>
      <c r="AY15" s="1220">
        <v>6423888</v>
      </c>
      <c r="AZ15" s="1220">
        <v>6423888</v>
      </c>
      <c r="BA15" s="1220">
        <v>6423888</v>
      </c>
      <c r="BB15" s="1220">
        <v>6423888</v>
      </c>
      <c r="BD15" s="220" t="s">
        <v>1415</v>
      </c>
      <c r="BE15" s="1240">
        <f t="shared" si="17"/>
        <v>0</v>
      </c>
      <c r="BF15" s="1220">
        <f t="shared" si="18"/>
        <v>1517577.2599492124</v>
      </c>
      <c r="BG15" s="1220">
        <v>1517577.2599492124</v>
      </c>
      <c r="BH15" s="1220">
        <v>2510256</v>
      </c>
      <c r="BI15" s="1220">
        <v>3541680</v>
      </c>
      <c r="BJ15" s="1220">
        <v>3541680</v>
      </c>
      <c r="BK15" s="1220">
        <v>3541680</v>
      </c>
      <c r="BL15" s="1220">
        <v>6423888</v>
      </c>
      <c r="BM15" s="1220">
        <v>6423888</v>
      </c>
      <c r="BN15" s="1220">
        <v>6423888</v>
      </c>
      <c r="BO15" s="1220">
        <v>6423888</v>
      </c>
      <c r="BP15" s="1220">
        <v>6423888</v>
      </c>
      <c r="BQ15" s="1220">
        <v>6423888</v>
      </c>
      <c r="BT15" s="1240"/>
      <c r="BU15" s="301"/>
      <c r="BV15" s="301"/>
      <c r="BW15" s="301"/>
      <c r="BX15" s="301"/>
      <c r="BY15" s="301"/>
      <c r="BZ15" s="301"/>
      <c r="CA15" s="301"/>
      <c r="CB15" s="301"/>
      <c r="CC15" s="301"/>
      <c r="CD15" s="301"/>
      <c r="CE15" s="301"/>
      <c r="CF15" s="301"/>
      <c r="CI15" s="1240"/>
      <c r="CJ15" s="301"/>
      <c r="CK15" s="301"/>
      <c r="CL15" s="301"/>
      <c r="CM15" s="301"/>
      <c r="CN15" s="301"/>
      <c r="CO15" s="301"/>
      <c r="CP15" s="301"/>
      <c r="CQ15" s="301"/>
    </row>
    <row r="16" spans="1:95">
      <c r="B16" s="1214" t="s">
        <v>1433</v>
      </c>
      <c r="C16" s="1214"/>
      <c r="D16" s="1214"/>
      <c r="E16" s="310">
        <v>97512336.000000015</v>
      </c>
      <c r="F16" s="310">
        <v>88410090</v>
      </c>
      <c r="G16" s="310">
        <v>89348580</v>
      </c>
      <c r="H16" s="310">
        <v>103416030</v>
      </c>
      <c r="I16" s="310">
        <v>128636772</v>
      </c>
      <c r="J16" s="310">
        <v>157218960</v>
      </c>
      <c r="K16" s="1220">
        <f>'Core P&amp;L'!$BN20</f>
        <v>93666384</v>
      </c>
      <c r="L16" s="1240">
        <f>'Core P&amp;L'!$AJ20</f>
        <v>85719732</v>
      </c>
      <c r="M16" s="1220">
        <f>'Core P&amp;L'!$T20</f>
        <v>134046276</v>
      </c>
      <c r="N16" s="1885">
        <f>INDEX($Z$39:$BP$41,MATCH($B16,$Z$39:$Z$41,0),MATCH(($S$2&amp;N$5),$Z$39:$BP$39,0))</f>
        <v>137267136</v>
      </c>
      <c r="O16" s="1885">
        <f t="shared" ref="O16:X16" si="132">INDEX($Z$39:$BP$41,MATCH($B16,$Z$39:$Z$41,0),MATCH(($S$2&amp;O$5),$Z$39:$BP$39,0))</f>
        <v>133278048</v>
      </c>
      <c r="P16" s="1885">
        <f t="shared" si="132"/>
        <v>158321952</v>
      </c>
      <c r="Q16" s="1885">
        <f t="shared" si="132"/>
        <v>170566506.50631487</v>
      </c>
      <c r="R16" s="1885">
        <f t="shared" si="132"/>
        <v>164447572.62953103</v>
      </c>
      <c r="S16" s="1885">
        <f t="shared" si="132"/>
        <v>193473986.87985858</v>
      </c>
      <c r="T16" s="1885">
        <f t="shared" si="132"/>
        <v>228079405.56351978</v>
      </c>
      <c r="U16" s="1885">
        <f t="shared" si="132"/>
        <v>224958571.84939334</v>
      </c>
      <c r="V16" s="1885">
        <f t="shared" si="132"/>
        <v>239998496.13124281</v>
      </c>
      <c r="W16" s="1885">
        <f t="shared" si="132"/>
        <v>256043935.87553576</v>
      </c>
      <c r="X16" s="1885">
        <f t="shared" si="132"/>
        <v>273162116.24419892</v>
      </c>
    </row>
    <row r="17" spans="2:95" s="220" customFormat="1" hidden="1" outlineLevel="1">
      <c r="B17" s="1216" t="s">
        <v>1439</v>
      </c>
      <c r="C17" s="1238"/>
      <c r="D17" s="1214"/>
      <c r="E17" s="310"/>
      <c r="F17" s="310"/>
      <c r="G17" s="310"/>
      <c r="H17" s="310"/>
      <c r="I17" s="310"/>
      <c r="J17" s="310"/>
      <c r="K17" s="1220"/>
      <c r="L17" s="1249"/>
      <c r="M17" s="1220"/>
      <c r="N17" s="1220"/>
      <c r="O17" s="1220"/>
      <c r="P17" s="1220"/>
      <c r="Q17" s="1220"/>
      <c r="R17" s="1220"/>
      <c r="S17" s="1220"/>
      <c r="T17" s="1220"/>
      <c r="U17" s="1220"/>
      <c r="V17" s="1220"/>
      <c r="W17" s="1220"/>
      <c r="X17" s="1220"/>
      <c r="Z17" s="1216" t="s">
        <v>1439</v>
      </c>
      <c r="AA17" s="1239"/>
      <c r="AO17" s="1216" t="s">
        <v>1439</v>
      </c>
      <c r="AP17" s="1239"/>
      <c r="BD17" s="1216" t="s">
        <v>1439</v>
      </c>
      <c r="BE17" s="1239"/>
      <c r="BT17" s="1239"/>
      <c r="CI17" s="1239"/>
    </row>
    <row r="18" spans="2:95" s="220" customFormat="1" hidden="1" outlineLevel="1">
      <c r="B18" s="1216" t="s">
        <v>1440</v>
      </c>
      <c r="C18" s="1238"/>
      <c r="D18" s="1214"/>
      <c r="E18" s="1214"/>
      <c r="F18" s="1214"/>
      <c r="G18" s="1214"/>
      <c r="H18" s="1214"/>
      <c r="I18" s="1222"/>
      <c r="J18" s="1220"/>
      <c r="K18" s="1220"/>
      <c r="L18" s="1249"/>
      <c r="M18" s="1220"/>
      <c r="N18" s="1220"/>
      <c r="O18" s="1220"/>
      <c r="P18" s="1220"/>
      <c r="Q18" s="1220"/>
      <c r="R18" s="1220"/>
      <c r="S18" s="1220"/>
      <c r="T18" s="1220"/>
      <c r="U18" s="1220"/>
      <c r="V18" s="1220"/>
      <c r="W18" s="1220"/>
      <c r="X18" s="1220"/>
      <c r="Z18" s="1216" t="s">
        <v>1440</v>
      </c>
      <c r="AA18" s="1239"/>
      <c r="AO18" s="1216" t="s">
        <v>1440</v>
      </c>
      <c r="AP18" s="1239"/>
      <c r="BD18" s="1216" t="s">
        <v>1440</v>
      </c>
      <c r="BE18" s="1239"/>
      <c r="BT18" s="1239"/>
      <c r="CI18" s="1239"/>
    </row>
    <row r="19" spans="2:95" s="220" customFormat="1" ht="15.75" collapsed="1" thickBot="1">
      <c r="B19" s="1213" t="s">
        <v>1426</v>
      </c>
      <c r="C19" s="1213"/>
      <c r="D19" s="1213"/>
      <c r="E19" s="1213"/>
      <c r="F19" s="1213"/>
      <c r="G19" s="1213"/>
      <c r="H19" s="1213"/>
      <c r="I19" s="1217">
        <f>I8+I15+I16</f>
        <v>269981458</v>
      </c>
      <c r="J19" s="1217">
        <f t="shared" ref="J19:M19" si="133">J8+J15+J16</f>
        <v>270712872</v>
      </c>
      <c r="K19" s="1217">
        <f t="shared" si="133"/>
        <v>145973662</v>
      </c>
      <c r="L19" s="1241">
        <f t="shared" si="133"/>
        <v>181397665</v>
      </c>
      <c r="M19" s="1217">
        <f t="shared" si="133"/>
        <v>213772250.25994921</v>
      </c>
      <c r="N19" s="1217">
        <f t="shared" ref="N19:X19" si="134">N8+N15+N16</f>
        <v>220286460.25994921</v>
      </c>
      <c r="O19" s="1217">
        <f t="shared" si="134"/>
        <v>235262183</v>
      </c>
      <c r="P19" s="1217">
        <f t="shared" si="134"/>
        <v>274510327</v>
      </c>
      <c r="Q19" s="1217">
        <f t="shared" si="134"/>
        <v>294265120.50631487</v>
      </c>
      <c r="R19" s="1217">
        <f t="shared" si="134"/>
        <v>294813804.62953103</v>
      </c>
      <c r="S19" s="1217">
        <f t="shared" si="134"/>
        <v>334546017.87985861</v>
      </c>
      <c r="T19" s="1217">
        <f t="shared" si="134"/>
        <v>371053354.56351984</v>
      </c>
      <c r="U19" s="1217">
        <f t="shared" si="134"/>
        <v>368130645.84939337</v>
      </c>
      <c r="V19" s="1217">
        <f t="shared" si="134"/>
        <v>384337521.13124287</v>
      </c>
      <c r="W19" s="1217">
        <f t="shared" si="134"/>
        <v>400512262.87553573</v>
      </c>
      <c r="X19" s="1217">
        <f t="shared" si="134"/>
        <v>418762659.24419892</v>
      </c>
      <c r="Z19" s="1213"/>
      <c r="AA19" s="1241"/>
      <c r="AB19" s="1217"/>
      <c r="AC19" s="1217"/>
      <c r="AD19" s="1217"/>
      <c r="AE19" s="1217"/>
      <c r="AF19" s="1217"/>
      <c r="AG19" s="1217"/>
      <c r="AH19" s="1217"/>
      <c r="AI19" s="1217"/>
      <c r="AJ19" s="1217"/>
      <c r="AK19" s="1217"/>
      <c r="AL19" s="1217"/>
      <c r="AM19" s="1217"/>
      <c r="AO19" s="1213"/>
      <c r="AP19" s="1241"/>
      <c r="AQ19" s="1217"/>
      <c r="AR19" s="1217"/>
      <c r="AS19" s="1217"/>
      <c r="AT19" s="1217"/>
      <c r="AU19" s="1217"/>
      <c r="AV19" s="1217"/>
      <c r="AW19" s="1217"/>
      <c r="AX19" s="1217"/>
      <c r="AY19" s="1217"/>
      <c r="AZ19" s="1217"/>
      <c r="BA19" s="1217"/>
      <c r="BB19" s="1217"/>
      <c r="BD19" s="1213"/>
      <c r="BE19" s="1241"/>
      <c r="BF19" s="1217"/>
      <c r="BG19" s="1217"/>
      <c r="BH19" s="1217"/>
      <c r="BI19" s="1217"/>
      <c r="BJ19" s="1217"/>
      <c r="BK19" s="1217"/>
      <c r="BL19" s="1217"/>
      <c r="BM19" s="1217"/>
      <c r="BN19" s="1217"/>
      <c r="BO19" s="1217"/>
      <c r="BP19" s="1217"/>
      <c r="BQ19" s="1217"/>
      <c r="BT19" s="1239"/>
      <c r="CI19" s="1239"/>
    </row>
    <row r="20" spans="2:95" s="220" customFormat="1" ht="15.75" thickTop="1">
      <c r="L20" s="1239"/>
      <c r="M20" s="1214"/>
      <c r="AA20" s="1239"/>
      <c r="AP20" s="1239"/>
      <c r="BE20" s="1239"/>
      <c r="BT20" s="1239"/>
      <c r="CI20" s="1239"/>
    </row>
    <row r="22" spans="2:95">
      <c r="B22" s="1135" t="s">
        <v>1417</v>
      </c>
    </row>
    <row r="23" spans="2:95">
      <c r="B23" s="220" t="s">
        <v>1425</v>
      </c>
      <c r="C23" s="220"/>
      <c r="D23" s="220"/>
      <c r="E23" s="1229" t="str">
        <f>IFERROR(E8/D8-1,"")</f>
        <v/>
      </c>
      <c r="F23" s="1229">
        <f>IFERROR(F8/E8-1,"")</f>
        <v>-5.3111608899154561E-3</v>
      </c>
      <c r="G23" s="1229">
        <f t="shared" ref="G23:T24" si="135">IFERROR(G8/F8-1,"")</f>
        <v>3.2874196522008514E-2</v>
      </c>
      <c r="H23" s="1229">
        <f t="shared" si="135"/>
        <v>3.9768159315618501E-3</v>
      </c>
      <c r="I23" s="1229">
        <f t="shared" si="135"/>
        <v>1.3825211886487665E-2</v>
      </c>
      <c r="J23" s="1229">
        <f t="shared" si="135"/>
        <v>-0.18506091255108048</v>
      </c>
      <c r="K23" s="1229">
        <f t="shared" si="135"/>
        <v>-0.54710312747448364</v>
      </c>
      <c r="L23" s="1242">
        <f>IFERROR(L8/K8-1,"")</f>
        <v>0.92135853023500069</v>
      </c>
      <c r="M23" s="1556">
        <f t="shared" si="135"/>
        <v>-0.18258688761597719</v>
      </c>
      <c r="N23" s="1229">
        <f t="shared" si="135"/>
        <v>4.2109928426227627E-2</v>
      </c>
      <c r="O23" s="1229">
        <f t="shared" si="135"/>
        <v>0.22051223024703992</v>
      </c>
      <c r="P23" s="1229">
        <f t="shared" si="135"/>
        <v>0.13242487507700385</v>
      </c>
      <c r="Q23" s="1229">
        <f t="shared" si="135"/>
        <v>6.6670744312560704E-2</v>
      </c>
      <c r="R23" s="1229">
        <f t="shared" si="135"/>
        <v>5.5490913241844186E-2</v>
      </c>
      <c r="S23" s="1229">
        <f t="shared" si="135"/>
        <v>6.1688299912149525E-2</v>
      </c>
      <c r="T23" s="1229">
        <f t="shared" si="135"/>
        <v>1.4125096400327219E-2</v>
      </c>
      <c r="U23" s="1229">
        <f t="shared" ref="U23:U24" si="136">IFERROR(U8/T8-1,"")</f>
        <v>1.4509330757455086E-3</v>
      </c>
      <c r="V23" s="1229">
        <f t="shared" ref="V23:V24" si="137">IFERROR(V8/U8-1,"")</f>
        <v>8.533575721436204E-3</v>
      </c>
      <c r="W23" s="1229">
        <f t="shared" ref="W23:W24" si="138">IFERROR(W8/V8-1,"")</f>
        <v>9.3754755868435957E-4</v>
      </c>
      <c r="X23" s="1229">
        <f t="shared" ref="X23:X24" si="139">IFERROR(X8/W8-1,"")</f>
        <v>8.2018226029372254E-3</v>
      </c>
      <c r="Z23" s="220" t="s">
        <v>1425</v>
      </c>
      <c r="AB23" s="1556">
        <f t="shared" ref="AB23:AB24" si="140">IFERROR(AB8/AA8-1,"")</f>
        <v>-0.18258688761597719</v>
      </c>
      <c r="AC23" s="1229">
        <f t="shared" ref="AC23:AC24" si="141">IFERROR(AC8/AB8-1,"")</f>
        <v>4.2109928426227627E-2</v>
      </c>
      <c r="AD23" s="1229">
        <f t="shared" ref="AD23:AD24" si="142">IFERROR(AD8/AC8-1,"")</f>
        <v>0.22051223024703992</v>
      </c>
      <c r="AE23" s="1229">
        <f t="shared" ref="AE23:AE24" si="143">IFERROR(AE8/AD8-1,"")</f>
        <v>0.13242487507700385</v>
      </c>
      <c r="AF23" s="1229">
        <f t="shared" ref="AF23:AF24" si="144">IFERROR(AF8/AE8-1,"")</f>
        <v>6.6670744312560704E-2</v>
      </c>
      <c r="AG23" s="1229">
        <f t="shared" ref="AG23:AG24" si="145">IFERROR(AG8/AF8-1,"")</f>
        <v>5.5490913241844186E-2</v>
      </c>
      <c r="AH23" s="1229">
        <f t="shared" ref="AH23:AH24" si="146">IFERROR(AH8/AG8-1,"")</f>
        <v>6.1688299912149525E-2</v>
      </c>
      <c r="AI23" s="1229">
        <f t="shared" ref="AI23:AI24" si="147">IFERROR(AI8/AH8-1,"")</f>
        <v>1.4125096400326997E-2</v>
      </c>
      <c r="AJ23" s="1229">
        <f t="shared" ref="AJ23:AJ24" si="148">IFERROR(AJ8/AI8-1,"")</f>
        <v>1.4509330757457306E-3</v>
      </c>
      <c r="AK23" s="1229">
        <f t="shared" ref="AK23:AK24" si="149">IFERROR(AK8/AJ8-1,"")</f>
        <v>8.533575721435982E-3</v>
      </c>
      <c r="AL23" s="1229">
        <f t="shared" ref="AL23:AL24" si="150">IFERROR(AL8/AK8-1,"")</f>
        <v>9.3754755868458162E-4</v>
      </c>
      <c r="AM23" s="1229">
        <f t="shared" ref="AM23:AM24" si="151">IFERROR(AM8/AL8-1,"")</f>
        <v>8.2018226029372254E-3</v>
      </c>
      <c r="AO23" s="220" t="s">
        <v>1425</v>
      </c>
      <c r="AQ23" s="1556">
        <f t="shared" ref="AQ23:AQ24" si="152">IFERROR(AQ8/AP8-1,"")</f>
        <v>-0.18258688761597719</v>
      </c>
      <c r="AR23" s="1229">
        <f t="shared" ref="AR23:AR24" si="153">IFERROR(AR8/AQ8-1,"")</f>
        <v>0.25053191411147302</v>
      </c>
      <c r="AS23" s="1229">
        <f t="shared" ref="AS23:AS24" si="154">IFERROR(AS8/AR8-1,"")</f>
        <v>0.22051223024704014</v>
      </c>
      <c r="AT23" s="1229">
        <f t="shared" ref="AT23:AT24" si="155">IFERROR(AT8/AS8-1,"")</f>
        <v>0.13242487507700385</v>
      </c>
      <c r="AU23" s="1229">
        <f t="shared" ref="AU23:AU24" si="156">IFERROR(AU8/AT8-1,"")</f>
        <v>2.0000000000000018E-2</v>
      </c>
      <c r="AV23" s="1229">
        <f t="shared" ref="AV23:AV24" si="157">IFERROR(AV8/AU8-1,"")</f>
        <v>2.0000000000000018E-2</v>
      </c>
      <c r="AW23" s="1229">
        <f t="shared" ref="AW23:AW24" si="158">IFERROR(AW8/AV8-1,"")</f>
        <v>2.0000000000000018E-2</v>
      </c>
      <c r="AX23" s="1229">
        <f t="shared" ref="AX23:AX24" si="159">IFERROR(AX8/AW8-1,"")</f>
        <v>2.0000000000000018E-2</v>
      </c>
      <c r="AY23" s="1229">
        <f t="shared" ref="AY23:AY24" si="160">IFERROR(AY8/AX8-1,"")</f>
        <v>2.0000000000000018E-2</v>
      </c>
      <c r="AZ23" s="1229">
        <f t="shared" ref="AZ23:AZ24" si="161">IFERROR(AZ8/AY8-1,"")</f>
        <v>2.0000000000000018E-2</v>
      </c>
      <c r="BA23" s="1229">
        <f t="shared" ref="BA23:BA24" si="162">IFERROR(BA8/AZ8-1,"")</f>
        <v>2.0000000000000018E-2</v>
      </c>
      <c r="BB23" s="1229">
        <f t="shared" ref="BB23:BB24" si="163">IFERROR(BB8/BA8-1,"")</f>
        <v>2.0000000000000018E-2</v>
      </c>
      <c r="BD23" s="220" t="s">
        <v>1425</v>
      </c>
      <c r="BF23" s="1556">
        <f t="shared" ref="BF23:BF24" si="164">IFERROR(BF8/BE8-1,"")</f>
        <v>-0.18258688761597719</v>
      </c>
      <c r="BG23" s="1229">
        <f t="shared" ref="BG23:BG24" si="165">IFERROR(BG8/BF8-1,"")</f>
        <v>4.2109928426227627E-2</v>
      </c>
      <c r="BH23" s="1229">
        <f t="shared" ref="BH23:BH24" si="166">IFERROR(BH8/BG8-1,"")</f>
        <v>0.22051223024703992</v>
      </c>
      <c r="BI23" s="1229">
        <f t="shared" ref="BI23:BI24" si="167">IFERROR(BI8/BH8-1,"")</f>
        <v>0.13242487507700385</v>
      </c>
      <c r="BJ23" s="1229">
        <f t="shared" ref="BJ23:BJ24" si="168">IFERROR(BJ8/BI8-1,"")</f>
        <v>6.6670744312560704E-2</v>
      </c>
      <c r="BK23" s="1229">
        <f t="shared" ref="BK23:BK24" si="169">IFERROR(BK8/BJ8-1,"")</f>
        <v>5.5490913241844186E-2</v>
      </c>
      <c r="BL23" s="1229">
        <f t="shared" ref="BL23:BL24" si="170">IFERROR(BL8/BK8-1,"")</f>
        <v>6.1688299912149525E-2</v>
      </c>
      <c r="BM23" s="1229">
        <f t="shared" ref="BM23:BM24" si="171">IFERROR(BM8/BL8-1,"")</f>
        <v>1.4125096400326997E-2</v>
      </c>
      <c r="BN23" s="1229">
        <f t="shared" ref="BN23:BN24" si="172">IFERROR(BN8/BM8-1,"")</f>
        <v>1.4509330757457306E-3</v>
      </c>
      <c r="BO23" s="1229">
        <f t="shared" ref="BO23:BO24" si="173">IFERROR(BO8/BN8-1,"")</f>
        <v>8.533575721435982E-3</v>
      </c>
      <c r="BP23" s="1229">
        <f t="shared" ref="BP23:BP24" si="174">IFERROR(BP8/BO8-1,"")</f>
        <v>9.3754755868458162E-4</v>
      </c>
      <c r="BQ23" s="1229">
        <f t="shared" ref="BQ23:BQ24" si="175">IFERROR(BQ8/BP8-1,"")</f>
        <v>8.2018226029372254E-3</v>
      </c>
    </row>
    <row r="24" spans="2:95">
      <c r="B24" s="220" t="s">
        <v>1441</v>
      </c>
      <c r="C24" s="220"/>
      <c r="D24" s="220"/>
      <c r="E24" s="1229" t="str">
        <f>IFERROR(E9/D9-1,"")</f>
        <v/>
      </c>
      <c r="F24" s="1229" t="str">
        <f>IFERROR(F9/E9-1,"")</f>
        <v/>
      </c>
      <c r="G24" s="1229" t="str">
        <f t="shared" si="135"/>
        <v/>
      </c>
      <c r="H24" s="1229" t="str">
        <f t="shared" si="135"/>
        <v/>
      </c>
      <c r="I24" s="1229" t="str">
        <f t="shared" si="135"/>
        <v/>
      </c>
      <c r="J24" s="1229" t="str">
        <f t="shared" si="135"/>
        <v/>
      </c>
      <c r="K24" s="1229" t="str">
        <f t="shared" si="135"/>
        <v/>
      </c>
      <c r="L24" s="1242">
        <f>IFERROR(L9/K9-1,"")</f>
        <v>0.94328028830301247</v>
      </c>
      <c r="M24" s="1556">
        <f t="shared" si="135"/>
        <v>-0.18258688761597719</v>
      </c>
      <c r="N24" s="1229">
        <f t="shared" si="135"/>
        <v>4.2109928426227627E-2</v>
      </c>
      <c r="O24" s="1229">
        <f t="shared" si="135"/>
        <v>0.22051223024703992</v>
      </c>
      <c r="P24" s="1229">
        <f t="shared" si="135"/>
        <v>0.13242487507700385</v>
      </c>
      <c r="Q24" s="1229">
        <f t="shared" si="135"/>
        <v>6.6670744312560704E-2</v>
      </c>
      <c r="R24" s="1229">
        <f t="shared" si="135"/>
        <v>5.5490913241844186E-2</v>
      </c>
      <c r="S24" s="1229">
        <f t="shared" si="135"/>
        <v>6.1688299912149525E-2</v>
      </c>
      <c r="T24" s="1229">
        <f t="shared" si="135"/>
        <v>1.4125096400326997E-2</v>
      </c>
      <c r="U24" s="1229">
        <f t="shared" si="136"/>
        <v>1.4509330757457306E-3</v>
      </c>
      <c r="V24" s="1229">
        <f t="shared" si="137"/>
        <v>8.533575721435982E-3</v>
      </c>
      <c r="W24" s="1229">
        <f t="shared" si="138"/>
        <v>9.3754755868458162E-4</v>
      </c>
      <c r="X24" s="1229">
        <f t="shared" si="139"/>
        <v>8.2018226029372254E-3</v>
      </c>
      <c r="Z24" s="220" t="s">
        <v>1441</v>
      </c>
      <c r="AB24" s="1556">
        <f t="shared" si="140"/>
        <v>-0.18258688761597719</v>
      </c>
      <c r="AC24" s="1229">
        <f t="shared" si="141"/>
        <v>4.2109928426227627E-2</v>
      </c>
      <c r="AD24" s="1229">
        <f t="shared" si="142"/>
        <v>0.22051223024703992</v>
      </c>
      <c r="AE24" s="1229">
        <f t="shared" si="143"/>
        <v>0.13242487507700385</v>
      </c>
      <c r="AF24" s="1229">
        <f t="shared" si="144"/>
        <v>6.6670744312560704E-2</v>
      </c>
      <c r="AG24" s="1229">
        <f t="shared" si="145"/>
        <v>5.5490913241844186E-2</v>
      </c>
      <c r="AH24" s="1229">
        <f t="shared" si="146"/>
        <v>6.1688299912149525E-2</v>
      </c>
      <c r="AI24" s="1229">
        <f t="shared" si="147"/>
        <v>1.4125096400326997E-2</v>
      </c>
      <c r="AJ24" s="1229">
        <f t="shared" si="148"/>
        <v>1.4509330757457306E-3</v>
      </c>
      <c r="AK24" s="1229">
        <f t="shared" si="149"/>
        <v>8.533575721435982E-3</v>
      </c>
      <c r="AL24" s="1229">
        <f t="shared" si="150"/>
        <v>9.3754755868458162E-4</v>
      </c>
      <c r="AM24" s="1229">
        <f t="shared" si="151"/>
        <v>8.2018226029372254E-3</v>
      </c>
      <c r="AO24" s="220" t="s">
        <v>1441</v>
      </c>
      <c r="AQ24" s="1556">
        <f t="shared" si="152"/>
        <v>-0.18258688761597719</v>
      </c>
      <c r="AR24" s="1229">
        <f t="shared" si="153"/>
        <v>0.25053191411147302</v>
      </c>
      <c r="AS24" s="1229">
        <f t="shared" si="154"/>
        <v>0.22051223024704014</v>
      </c>
      <c r="AT24" s="1229">
        <f t="shared" si="155"/>
        <v>0.13242487507700362</v>
      </c>
      <c r="AU24" s="1229">
        <f t="shared" si="156"/>
        <v>2.0000000000000018E-2</v>
      </c>
      <c r="AV24" s="1229">
        <f t="shared" si="157"/>
        <v>2.0000000000000018E-2</v>
      </c>
      <c r="AW24" s="1229">
        <f t="shared" si="158"/>
        <v>2.0000000000000018E-2</v>
      </c>
      <c r="AX24" s="1229">
        <f t="shared" si="159"/>
        <v>2.0000000000000018E-2</v>
      </c>
      <c r="AY24" s="1229">
        <f t="shared" si="160"/>
        <v>2.0000000000000018E-2</v>
      </c>
      <c r="AZ24" s="1229">
        <f t="shared" si="161"/>
        <v>1.9999999999999796E-2</v>
      </c>
      <c r="BA24" s="1229">
        <f t="shared" si="162"/>
        <v>2.0000000000000018E-2</v>
      </c>
      <c r="BB24" s="1229">
        <f t="shared" si="163"/>
        <v>1.9999999999999796E-2</v>
      </c>
      <c r="BD24" s="220" t="s">
        <v>1441</v>
      </c>
      <c r="BF24" s="1556">
        <f t="shared" si="164"/>
        <v>-0.18258688761597719</v>
      </c>
      <c r="BG24" s="1229">
        <f t="shared" si="165"/>
        <v>4.2109928426227627E-2</v>
      </c>
      <c r="BH24" s="1229">
        <f t="shared" si="166"/>
        <v>0.22051223024703992</v>
      </c>
      <c r="BI24" s="1229">
        <f t="shared" si="167"/>
        <v>0.13242487507700385</v>
      </c>
      <c r="BJ24" s="1229">
        <f t="shared" si="168"/>
        <v>6.6670744312560704E-2</v>
      </c>
      <c r="BK24" s="1229">
        <f t="shared" si="169"/>
        <v>5.5490913241844186E-2</v>
      </c>
      <c r="BL24" s="1229">
        <f t="shared" si="170"/>
        <v>6.1688299912149525E-2</v>
      </c>
      <c r="BM24" s="1229">
        <f t="shared" si="171"/>
        <v>1.4125096400326997E-2</v>
      </c>
      <c r="BN24" s="1229">
        <f t="shared" si="172"/>
        <v>1.4509330757457306E-3</v>
      </c>
      <c r="BO24" s="1229">
        <f t="shared" si="173"/>
        <v>8.533575721435982E-3</v>
      </c>
      <c r="BP24" s="1229">
        <f t="shared" si="174"/>
        <v>9.3754755868458162E-4</v>
      </c>
      <c r="BQ24" s="1229">
        <f t="shared" si="175"/>
        <v>8.2018226029372254E-3</v>
      </c>
      <c r="BU24" s="219"/>
      <c r="CJ24" s="219"/>
    </row>
    <row r="25" spans="2:95">
      <c r="B25" s="220" t="s">
        <v>1435</v>
      </c>
      <c r="C25" s="220"/>
      <c r="D25" s="220"/>
      <c r="E25" s="1227"/>
      <c r="F25" s="1227"/>
      <c r="G25" s="1227"/>
      <c r="H25" s="1227"/>
      <c r="I25" s="1227"/>
      <c r="J25" s="1227"/>
      <c r="K25" s="1227"/>
      <c r="L25" s="1553"/>
      <c r="M25" s="1556">
        <f>M$23</f>
        <v>-0.18258688761597719</v>
      </c>
      <c r="N25" s="1531">
        <f t="shared" ref="N25:X26" si="176">N$23</f>
        <v>4.2109928426227627E-2</v>
      </c>
      <c r="O25" s="1531">
        <f t="shared" si="176"/>
        <v>0.22051223024703992</v>
      </c>
      <c r="P25" s="1531">
        <f t="shared" si="176"/>
        <v>0.13242487507700385</v>
      </c>
      <c r="Q25" s="1531">
        <f t="shared" si="176"/>
        <v>6.6670744312560704E-2</v>
      </c>
      <c r="R25" s="1531">
        <f t="shared" si="176"/>
        <v>5.5490913241844186E-2</v>
      </c>
      <c r="S25" s="1531">
        <f t="shared" si="176"/>
        <v>6.1688299912149525E-2</v>
      </c>
      <c r="T25" s="1531">
        <f t="shared" si="176"/>
        <v>1.4125096400327219E-2</v>
      </c>
      <c r="U25" s="1531">
        <f t="shared" si="176"/>
        <v>1.4509330757455086E-3</v>
      </c>
      <c r="V25" s="1531">
        <f t="shared" si="176"/>
        <v>8.533575721436204E-3</v>
      </c>
      <c r="W25" s="1531">
        <f t="shared" si="176"/>
        <v>9.3754755868435957E-4</v>
      </c>
      <c r="X25" s="1531">
        <f t="shared" si="176"/>
        <v>8.2018226029372254E-3</v>
      </c>
      <c r="Z25" s="220" t="s">
        <v>1435</v>
      </c>
      <c r="AB25" s="1556">
        <f>AB$23</f>
        <v>-0.18258688761597719</v>
      </c>
      <c r="AC25" s="1531">
        <f t="shared" ref="AC25:AM26" si="177">AC$23</f>
        <v>4.2109928426227627E-2</v>
      </c>
      <c r="AD25" s="1531">
        <f t="shared" si="177"/>
        <v>0.22051223024703992</v>
      </c>
      <c r="AE25" s="1531">
        <f t="shared" si="177"/>
        <v>0.13242487507700385</v>
      </c>
      <c r="AF25" s="1531">
        <f t="shared" si="177"/>
        <v>6.6670744312560704E-2</v>
      </c>
      <c r="AG25" s="1531">
        <f t="shared" si="177"/>
        <v>5.5490913241844186E-2</v>
      </c>
      <c r="AH25" s="1531">
        <f t="shared" si="177"/>
        <v>6.1688299912149525E-2</v>
      </c>
      <c r="AI25" s="1531">
        <f t="shared" si="177"/>
        <v>1.4125096400326997E-2</v>
      </c>
      <c r="AJ25" s="1531">
        <f t="shared" si="177"/>
        <v>1.4509330757457306E-3</v>
      </c>
      <c r="AK25" s="1531">
        <f t="shared" si="177"/>
        <v>8.533575721435982E-3</v>
      </c>
      <c r="AL25" s="1531">
        <f t="shared" si="177"/>
        <v>9.3754755868458162E-4</v>
      </c>
      <c r="AM25" s="1531">
        <f t="shared" si="177"/>
        <v>8.2018226029372254E-3</v>
      </c>
      <c r="AO25" s="220" t="s">
        <v>1435</v>
      </c>
      <c r="AQ25" s="1556">
        <f>AQ$23</f>
        <v>-0.18258688761597719</v>
      </c>
      <c r="AR25" s="1531">
        <f t="shared" ref="AR25:BB26" si="178">AR$23</f>
        <v>0.25053191411147302</v>
      </c>
      <c r="AS25" s="1531">
        <f t="shared" si="178"/>
        <v>0.22051223024704014</v>
      </c>
      <c r="AT25" s="1531">
        <f t="shared" si="178"/>
        <v>0.13242487507700385</v>
      </c>
      <c r="AU25" s="1531">
        <f t="shared" si="178"/>
        <v>2.0000000000000018E-2</v>
      </c>
      <c r="AV25" s="1531">
        <f t="shared" si="178"/>
        <v>2.0000000000000018E-2</v>
      </c>
      <c r="AW25" s="1531">
        <f t="shared" si="178"/>
        <v>2.0000000000000018E-2</v>
      </c>
      <c r="AX25" s="1531">
        <f t="shared" si="178"/>
        <v>2.0000000000000018E-2</v>
      </c>
      <c r="AY25" s="1531">
        <f t="shared" si="178"/>
        <v>2.0000000000000018E-2</v>
      </c>
      <c r="AZ25" s="1531">
        <f t="shared" si="178"/>
        <v>2.0000000000000018E-2</v>
      </c>
      <c r="BA25" s="1531">
        <f t="shared" si="178"/>
        <v>2.0000000000000018E-2</v>
      </c>
      <c r="BB25" s="1531">
        <f t="shared" si="178"/>
        <v>2.0000000000000018E-2</v>
      </c>
      <c r="BD25" s="220" t="s">
        <v>1435</v>
      </c>
      <c r="BF25" s="1556">
        <f>BF$23</f>
        <v>-0.18258688761597719</v>
      </c>
      <c r="BG25" s="1531">
        <f t="shared" ref="BG25:BQ26" si="179">BG$23</f>
        <v>4.2109928426227627E-2</v>
      </c>
      <c r="BH25" s="1531">
        <f t="shared" si="179"/>
        <v>0.22051223024703992</v>
      </c>
      <c r="BI25" s="1531">
        <f t="shared" si="179"/>
        <v>0.13242487507700385</v>
      </c>
      <c r="BJ25" s="1531">
        <f t="shared" si="179"/>
        <v>6.6670744312560704E-2</v>
      </c>
      <c r="BK25" s="1531">
        <f t="shared" si="179"/>
        <v>5.5490913241844186E-2</v>
      </c>
      <c r="BL25" s="1531">
        <f t="shared" si="179"/>
        <v>6.1688299912149525E-2</v>
      </c>
      <c r="BM25" s="1531">
        <f t="shared" si="179"/>
        <v>1.4125096400326997E-2</v>
      </c>
      <c r="BN25" s="1531">
        <f t="shared" si="179"/>
        <v>1.4509330757457306E-3</v>
      </c>
      <c r="BO25" s="1531">
        <f t="shared" si="179"/>
        <v>8.533575721435982E-3</v>
      </c>
      <c r="BP25" s="1531">
        <f t="shared" si="179"/>
        <v>9.3754755868458162E-4</v>
      </c>
      <c r="BQ25" s="1531">
        <f t="shared" si="179"/>
        <v>8.2018226029372254E-3</v>
      </c>
      <c r="BS25" s="220" t="s">
        <v>1435</v>
      </c>
      <c r="BU25" s="1229">
        <f>BU10/BT10-1</f>
        <v>0.84498677899124686</v>
      </c>
      <c r="BV25" s="1230">
        <f>AC25</f>
        <v>4.2109928426227627E-2</v>
      </c>
      <c r="BW25" s="1230">
        <f>AD25</f>
        <v>0.22051223024703992</v>
      </c>
      <c r="BX25" s="1230">
        <f>AE25</f>
        <v>0.13242487507700385</v>
      </c>
      <c r="BY25" s="1230">
        <f>AF25</f>
        <v>6.6670744312560704E-2</v>
      </c>
      <c r="BZ25" s="1230">
        <f>AG25</f>
        <v>5.5490913241844186E-2</v>
      </c>
      <c r="CA25" s="1230">
        <f>AH25</f>
        <v>6.1688299912149525E-2</v>
      </c>
      <c r="CB25" s="1230">
        <f>AI25</f>
        <v>1.4125096400326997E-2</v>
      </c>
      <c r="CC25" s="1230"/>
      <c r="CD25" s="1230"/>
      <c r="CE25" s="1230"/>
      <c r="CF25" s="1230"/>
      <c r="CH25" s="220" t="s">
        <v>1435</v>
      </c>
      <c r="CJ25" s="1229">
        <f>CJ10/CI10-1</f>
        <v>0.42249338949562332</v>
      </c>
      <c r="CK25" s="1229">
        <f>CK10/CJ10-1</f>
        <v>0.29700903541311208</v>
      </c>
      <c r="CL25" s="1230">
        <f t="shared" ref="CL25" si="180">AC25</f>
        <v>4.2109928426227627E-2</v>
      </c>
      <c r="CM25" s="1230">
        <f t="shared" ref="CM25" si="181">AD25</f>
        <v>0.22051223024703992</v>
      </c>
      <c r="CN25" s="1230">
        <f>AE25</f>
        <v>0.13242487507700385</v>
      </c>
      <c r="CO25" s="1230">
        <f>AF25</f>
        <v>6.6670744312560704E-2</v>
      </c>
      <c r="CP25" s="1230">
        <f>AG25</f>
        <v>5.5490913241844186E-2</v>
      </c>
      <c r="CQ25" s="1230">
        <f>AH25</f>
        <v>6.1688299912149525E-2</v>
      </c>
    </row>
    <row r="26" spans="2:95" s="220" customFormat="1">
      <c r="B26" s="220" t="s">
        <v>1436</v>
      </c>
      <c r="E26" s="1227"/>
      <c r="F26" s="1227"/>
      <c r="G26" s="1227"/>
      <c r="H26" s="1227"/>
      <c r="I26" s="1227"/>
      <c r="J26" s="1227"/>
      <c r="K26" s="1227"/>
      <c r="L26" s="1553"/>
      <c r="M26" s="1556">
        <f t="shared" ref="M26" si="182">M$23</f>
        <v>-0.18258688761597719</v>
      </c>
      <c r="N26" s="1531">
        <f t="shared" si="176"/>
        <v>4.2109928426227627E-2</v>
      </c>
      <c r="O26" s="1531">
        <f t="shared" si="176"/>
        <v>0.22051223024703992</v>
      </c>
      <c r="P26" s="1531">
        <f t="shared" si="176"/>
        <v>0.13242487507700385</v>
      </c>
      <c r="Q26" s="1531">
        <f t="shared" si="176"/>
        <v>6.6670744312560704E-2</v>
      </c>
      <c r="R26" s="1531">
        <f t="shared" si="176"/>
        <v>5.5490913241844186E-2</v>
      </c>
      <c r="S26" s="1531">
        <f t="shared" si="176"/>
        <v>6.1688299912149525E-2</v>
      </c>
      <c r="T26" s="1531">
        <f t="shared" si="176"/>
        <v>1.4125096400327219E-2</v>
      </c>
      <c r="U26" s="1531">
        <f t="shared" si="176"/>
        <v>1.4509330757455086E-3</v>
      </c>
      <c r="V26" s="1531">
        <f t="shared" si="176"/>
        <v>8.533575721436204E-3</v>
      </c>
      <c r="W26" s="1531">
        <f t="shared" si="176"/>
        <v>9.3754755868435957E-4</v>
      </c>
      <c r="X26" s="1531">
        <f t="shared" si="176"/>
        <v>8.2018226029372254E-3</v>
      </c>
      <c r="Z26" s="220" t="s">
        <v>1436</v>
      </c>
      <c r="AA26" s="1239"/>
      <c r="AB26" s="1556">
        <f t="shared" ref="AB26" si="183">AB$23</f>
        <v>-0.18258688761597719</v>
      </c>
      <c r="AC26" s="1531">
        <f t="shared" si="177"/>
        <v>4.2109928426227627E-2</v>
      </c>
      <c r="AD26" s="1531">
        <f t="shared" si="177"/>
        <v>0.22051223024703992</v>
      </c>
      <c r="AE26" s="1531">
        <f t="shared" si="177"/>
        <v>0.13242487507700385</v>
      </c>
      <c r="AF26" s="1531">
        <f t="shared" si="177"/>
        <v>6.6670744312560704E-2</v>
      </c>
      <c r="AG26" s="1531">
        <f t="shared" si="177"/>
        <v>5.5490913241844186E-2</v>
      </c>
      <c r="AH26" s="1531">
        <f t="shared" si="177"/>
        <v>6.1688299912149525E-2</v>
      </c>
      <c r="AI26" s="1531">
        <f t="shared" si="177"/>
        <v>1.4125096400326997E-2</v>
      </c>
      <c r="AJ26" s="1531">
        <f t="shared" si="177"/>
        <v>1.4509330757457306E-3</v>
      </c>
      <c r="AK26" s="1531">
        <f t="shared" si="177"/>
        <v>8.533575721435982E-3</v>
      </c>
      <c r="AL26" s="1531">
        <f t="shared" si="177"/>
        <v>9.3754755868458162E-4</v>
      </c>
      <c r="AM26" s="1531">
        <f t="shared" si="177"/>
        <v>8.2018226029372254E-3</v>
      </c>
      <c r="AO26" s="220" t="s">
        <v>1436</v>
      </c>
      <c r="AP26" s="1239"/>
      <c r="AQ26" s="1556">
        <f t="shared" ref="AQ26" si="184">AQ$23</f>
        <v>-0.18258688761597719</v>
      </c>
      <c r="AR26" s="1531">
        <f t="shared" si="178"/>
        <v>0.25053191411147302</v>
      </c>
      <c r="AS26" s="1531">
        <f t="shared" si="178"/>
        <v>0.22051223024704014</v>
      </c>
      <c r="AT26" s="1531">
        <f t="shared" si="178"/>
        <v>0.13242487507700385</v>
      </c>
      <c r="AU26" s="1531">
        <f t="shared" si="178"/>
        <v>2.0000000000000018E-2</v>
      </c>
      <c r="AV26" s="1531">
        <f t="shared" si="178"/>
        <v>2.0000000000000018E-2</v>
      </c>
      <c r="AW26" s="1531">
        <f t="shared" si="178"/>
        <v>2.0000000000000018E-2</v>
      </c>
      <c r="AX26" s="1531">
        <f t="shared" si="178"/>
        <v>2.0000000000000018E-2</v>
      </c>
      <c r="AY26" s="1531">
        <f t="shared" si="178"/>
        <v>2.0000000000000018E-2</v>
      </c>
      <c r="AZ26" s="1531">
        <f t="shared" si="178"/>
        <v>2.0000000000000018E-2</v>
      </c>
      <c r="BA26" s="1531">
        <f t="shared" si="178"/>
        <v>2.0000000000000018E-2</v>
      </c>
      <c r="BB26" s="1531">
        <f t="shared" si="178"/>
        <v>2.0000000000000018E-2</v>
      </c>
      <c r="BD26" s="220" t="s">
        <v>1436</v>
      </c>
      <c r="BE26" s="1239"/>
      <c r="BF26" s="1556">
        <f t="shared" ref="BF26" si="185">BF$23</f>
        <v>-0.18258688761597719</v>
      </c>
      <c r="BG26" s="1531">
        <f t="shared" si="179"/>
        <v>4.2109928426227627E-2</v>
      </c>
      <c r="BH26" s="1531">
        <f t="shared" si="179"/>
        <v>0.22051223024703992</v>
      </c>
      <c r="BI26" s="1531">
        <f t="shared" si="179"/>
        <v>0.13242487507700385</v>
      </c>
      <c r="BJ26" s="1531">
        <f t="shared" si="179"/>
        <v>6.6670744312560704E-2</v>
      </c>
      <c r="BK26" s="1531">
        <f t="shared" si="179"/>
        <v>5.5490913241844186E-2</v>
      </c>
      <c r="BL26" s="1531">
        <f t="shared" si="179"/>
        <v>6.1688299912149525E-2</v>
      </c>
      <c r="BM26" s="1531">
        <f t="shared" si="179"/>
        <v>1.4125096400326997E-2</v>
      </c>
      <c r="BN26" s="1531">
        <f t="shared" si="179"/>
        <v>1.4509330757457306E-3</v>
      </c>
      <c r="BO26" s="1531">
        <f t="shared" si="179"/>
        <v>8.533575721435982E-3</v>
      </c>
      <c r="BP26" s="1531">
        <f t="shared" si="179"/>
        <v>9.3754755868458162E-4</v>
      </c>
      <c r="BQ26" s="1531">
        <f t="shared" si="179"/>
        <v>8.2018226029372254E-3</v>
      </c>
      <c r="BS26" s="220" t="s">
        <v>1436</v>
      </c>
      <c r="BT26" s="1239"/>
      <c r="BU26" s="1229">
        <f>BU11/BT11-1</f>
        <v>-0.11883398855286609</v>
      </c>
      <c r="BV26" s="1230">
        <f>AC26</f>
        <v>4.2109928426227627E-2</v>
      </c>
      <c r="BW26" s="1230">
        <f t="shared" ref="BW26" si="186">AD26</f>
        <v>0.22051223024703992</v>
      </c>
      <c r="BX26" s="1230">
        <f t="shared" ref="BX26" si="187">AE26</f>
        <v>0.13242487507700385</v>
      </c>
      <c r="BY26" s="1230">
        <f t="shared" ref="BY26" si="188">AF26</f>
        <v>6.6670744312560704E-2</v>
      </c>
      <c r="BZ26" s="1230">
        <f t="shared" ref="BZ26" si="189">AG26</f>
        <v>5.5490913241844186E-2</v>
      </c>
      <c r="CA26" s="1230">
        <f t="shared" ref="CA26" si="190">AH26</f>
        <v>6.1688299912149525E-2</v>
      </c>
      <c r="CB26" s="1230">
        <f t="shared" ref="CB26" si="191">AI26</f>
        <v>1.4125096400326997E-2</v>
      </c>
      <c r="CC26" s="1230"/>
      <c r="CD26" s="1230"/>
      <c r="CE26" s="1230"/>
      <c r="CF26" s="1230"/>
      <c r="CH26" s="220" t="s">
        <v>1436</v>
      </c>
      <c r="CI26" s="1239"/>
      <c r="CJ26" s="1229">
        <f>CJ11/CI11-1</f>
        <v>-5.9416994276433099E-2</v>
      </c>
      <c r="CK26" s="1229">
        <f>CK11/CJ11-1</f>
        <v>-6.317038891291149E-2</v>
      </c>
      <c r="CL26" s="1230">
        <f t="shared" ref="CL26" si="192">AC26</f>
        <v>4.2109928426227627E-2</v>
      </c>
      <c r="CM26" s="1230">
        <f t="shared" ref="CM26" si="193">AD26</f>
        <v>0.22051223024703992</v>
      </c>
      <c r="CN26" s="1230">
        <f t="shared" ref="CN26" si="194">AE26</f>
        <v>0.13242487507700385</v>
      </c>
      <c r="CO26" s="1230">
        <f t="shared" ref="CO26" si="195">AF26</f>
        <v>6.6670744312560704E-2</v>
      </c>
      <c r="CP26" s="1230">
        <f t="shared" ref="CP26" si="196">AG26</f>
        <v>5.5490913241844186E-2</v>
      </c>
      <c r="CQ26" s="1230">
        <f t="shared" ref="CQ26" si="197">AH26</f>
        <v>6.1688299912149525E-2</v>
      </c>
    </row>
    <row r="27" spans="2:95" s="220" customFormat="1">
      <c r="B27" s="1214" t="s">
        <v>1434</v>
      </c>
      <c r="E27" s="1229" t="str">
        <f>IFERROR(E12/D12-1,"")</f>
        <v/>
      </c>
      <c r="F27" s="1229" t="str">
        <f>IFERROR(F12/E12-1,"")</f>
        <v/>
      </c>
      <c r="G27" s="1229" t="str">
        <f t="shared" ref="G27:T27" si="198">IFERROR(G12/F12-1,"")</f>
        <v/>
      </c>
      <c r="H27" s="1229" t="str">
        <f t="shared" si="198"/>
        <v/>
      </c>
      <c r="I27" s="1229" t="str">
        <f t="shared" si="198"/>
        <v/>
      </c>
      <c r="J27" s="1229" t="str">
        <f t="shared" si="198"/>
        <v/>
      </c>
      <c r="K27" s="1229" t="str">
        <f t="shared" si="198"/>
        <v/>
      </c>
      <c r="L27" s="1242">
        <f>IFERROR(L12/K12-1,"")</f>
        <v>0.51719147212116168</v>
      </c>
      <c r="M27" s="1556">
        <f t="shared" si="198"/>
        <v>-0.1825868876159773</v>
      </c>
      <c r="N27" s="1229">
        <f t="shared" si="198"/>
        <v>4.2109928426227849E-2</v>
      </c>
      <c r="O27" s="1229">
        <f t="shared" si="198"/>
        <v>0.2205122302470397</v>
      </c>
      <c r="P27" s="1229">
        <f t="shared" si="198"/>
        <v>0.13242487507700385</v>
      </c>
      <c r="Q27" s="1229">
        <f t="shared" si="198"/>
        <v>6.6670744312560704E-2</v>
      </c>
      <c r="R27" s="1229">
        <f t="shared" si="198"/>
        <v>5.5490913241844186E-2</v>
      </c>
      <c r="S27" s="1229">
        <f t="shared" si="198"/>
        <v>6.1688299912149525E-2</v>
      </c>
      <c r="T27" s="1229">
        <f t="shared" si="198"/>
        <v>1.4125096400326997E-2</v>
      </c>
      <c r="U27" s="1229">
        <f t="shared" ref="U27" si="199">IFERROR(U12/T12-1,"")</f>
        <v>1.4509330757457306E-3</v>
      </c>
      <c r="V27" s="1229">
        <f t="shared" ref="V27" si="200">IFERROR(V12/U12-1,"")</f>
        <v>8.533575721435982E-3</v>
      </c>
      <c r="W27" s="1229">
        <f t="shared" ref="W27" si="201">IFERROR(W12/V12-1,"")</f>
        <v>9.3754755868480366E-4</v>
      </c>
      <c r="X27" s="1229">
        <f t="shared" ref="X27" si="202">IFERROR(X12/W12-1,"")</f>
        <v>8.2018226029372254E-3</v>
      </c>
      <c r="Z27" s="1214" t="s">
        <v>1434</v>
      </c>
      <c r="AA27" s="1239"/>
      <c r="AB27" s="1556">
        <f t="shared" ref="AB27" si="203">IFERROR(AB12/AA12-1,"")</f>
        <v>-0.1825868876159773</v>
      </c>
      <c r="AC27" s="1229">
        <f t="shared" ref="AC27" si="204">IFERROR(AC12/AB12-1,"")</f>
        <v>4.2109928426227849E-2</v>
      </c>
      <c r="AD27" s="1229">
        <f t="shared" ref="AD27" si="205">IFERROR(AD12/AC12-1,"")</f>
        <v>0.2205122302470397</v>
      </c>
      <c r="AE27" s="1229">
        <f t="shared" ref="AE27" si="206">IFERROR(AE12/AD12-1,"")</f>
        <v>0.13242487507700385</v>
      </c>
      <c r="AF27" s="1229">
        <f t="shared" ref="AF27" si="207">IFERROR(AF12/AE12-1,"")</f>
        <v>6.6670744312560704E-2</v>
      </c>
      <c r="AG27" s="1229">
        <f t="shared" ref="AG27" si="208">IFERROR(AG12/AF12-1,"")</f>
        <v>5.5490913241844186E-2</v>
      </c>
      <c r="AH27" s="1229">
        <f t="shared" ref="AH27" si="209">IFERROR(AH12/AG12-1,"")</f>
        <v>6.1688299912149525E-2</v>
      </c>
      <c r="AI27" s="1229">
        <f t="shared" ref="AI27" si="210">IFERROR(AI12/AH12-1,"")</f>
        <v>1.4125096400326997E-2</v>
      </c>
      <c r="AJ27" s="1229">
        <f t="shared" ref="AJ27" si="211">IFERROR(AJ12/AI12-1,"")</f>
        <v>1.4509330757457306E-3</v>
      </c>
      <c r="AK27" s="1229">
        <f t="shared" ref="AK27" si="212">IFERROR(AK12/AJ12-1,"")</f>
        <v>8.533575721435982E-3</v>
      </c>
      <c r="AL27" s="1229">
        <f t="shared" ref="AL27" si="213">IFERROR(AL12/AK12-1,"")</f>
        <v>9.3754755868480366E-4</v>
      </c>
      <c r="AM27" s="1229">
        <f t="shared" ref="AM27" si="214">IFERROR(AM12/AL12-1,"")</f>
        <v>8.2018226029372254E-3</v>
      </c>
      <c r="AO27" s="1214" t="s">
        <v>1434</v>
      </c>
      <c r="AP27" s="1239"/>
      <c r="AQ27" s="1556">
        <f t="shared" ref="AQ27" si="215">IFERROR(AQ12/AP12-1,"")</f>
        <v>-0.1825868876159773</v>
      </c>
      <c r="AR27" s="1229">
        <f t="shared" ref="AR27" si="216">IFERROR(AR12/AQ12-1,"")</f>
        <v>0.25053191411147324</v>
      </c>
      <c r="AS27" s="1229">
        <f t="shared" ref="AS27" si="217">IFERROR(AS12/AR12-1,"")</f>
        <v>0.22051223024703992</v>
      </c>
      <c r="AT27" s="1229">
        <f t="shared" ref="AT27" si="218">IFERROR(AT12/AS12-1,"")</f>
        <v>0.13242487507700385</v>
      </c>
      <c r="AU27" s="1229">
        <f t="shared" ref="AU27" si="219">IFERROR(AU12/AT12-1,"")</f>
        <v>2.0000000000000018E-2</v>
      </c>
      <c r="AV27" s="1229">
        <f t="shared" ref="AV27" si="220">IFERROR(AV12/AU12-1,"")</f>
        <v>2.0000000000000018E-2</v>
      </c>
      <c r="AW27" s="1229">
        <f t="shared" ref="AW27" si="221">IFERROR(AW12/AV12-1,"")</f>
        <v>2.0000000000000018E-2</v>
      </c>
      <c r="AX27" s="1229">
        <f t="shared" ref="AX27" si="222">IFERROR(AX12/AW12-1,"")</f>
        <v>1.9999999999999796E-2</v>
      </c>
      <c r="AY27" s="1229">
        <f t="shared" ref="AY27" si="223">IFERROR(AY12/AX12-1,"")</f>
        <v>2.0000000000000018E-2</v>
      </c>
      <c r="AZ27" s="1229">
        <f t="shared" ref="AZ27" si="224">IFERROR(AZ12/AY12-1,"")</f>
        <v>2.0000000000000018E-2</v>
      </c>
      <c r="BA27" s="1229">
        <f t="shared" ref="BA27" si="225">IFERROR(BA12/AZ12-1,"")</f>
        <v>2.0000000000000018E-2</v>
      </c>
      <c r="BB27" s="1229">
        <f t="shared" ref="BB27" si="226">IFERROR(BB12/BA12-1,"")</f>
        <v>2.0000000000000018E-2</v>
      </c>
      <c r="BD27" s="1214" t="s">
        <v>1434</v>
      </c>
      <c r="BE27" s="1239"/>
      <c r="BF27" s="1556">
        <f t="shared" ref="BF27" si="227">IFERROR(BF12/BE12-1,"")</f>
        <v>-0.1825868876159773</v>
      </c>
      <c r="BG27" s="1229">
        <f t="shared" ref="BG27" si="228">IFERROR(BG12/BF12-1,"")</f>
        <v>4.2109928426227849E-2</v>
      </c>
      <c r="BH27" s="1229">
        <f t="shared" ref="BH27" si="229">IFERROR(BH12/BG12-1,"")</f>
        <v>0.2205122302470397</v>
      </c>
      <c r="BI27" s="1229">
        <f t="shared" ref="BI27" si="230">IFERROR(BI12/BH12-1,"")</f>
        <v>0.13242487507700385</v>
      </c>
      <c r="BJ27" s="1229">
        <f t="shared" ref="BJ27" si="231">IFERROR(BJ12/BI12-1,"")</f>
        <v>6.6670744312560704E-2</v>
      </c>
      <c r="BK27" s="1229">
        <f t="shared" ref="BK27" si="232">IFERROR(BK12/BJ12-1,"")</f>
        <v>5.5490913241844186E-2</v>
      </c>
      <c r="BL27" s="1229">
        <f t="shared" ref="BL27" si="233">IFERROR(BL12/BK12-1,"")</f>
        <v>6.1688299912149525E-2</v>
      </c>
      <c r="BM27" s="1229">
        <f t="shared" ref="BM27" si="234">IFERROR(BM12/BL12-1,"")</f>
        <v>1.4125096400326997E-2</v>
      </c>
      <c r="BN27" s="1229">
        <f t="shared" ref="BN27" si="235">IFERROR(BN12/BM12-1,"")</f>
        <v>1.4509330757457306E-3</v>
      </c>
      <c r="BO27" s="1229">
        <f t="shared" ref="BO27" si="236">IFERROR(BO12/BN12-1,"")</f>
        <v>8.533575721435982E-3</v>
      </c>
      <c r="BP27" s="1229">
        <f t="shared" ref="BP27" si="237">IFERROR(BP12/BO12-1,"")</f>
        <v>9.3754755868480366E-4</v>
      </c>
      <c r="BQ27" s="1229">
        <f t="shared" ref="BQ27" si="238">IFERROR(BQ12/BP12-1,"")</f>
        <v>8.2018226029372254E-3</v>
      </c>
      <c r="BT27" s="1239"/>
      <c r="BU27" s="1229"/>
      <c r="BV27" s="1229"/>
      <c r="BW27" s="1229"/>
      <c r="BX27" s="1229"/>
      <c r="BY27" s="1229"/>
      <c r="BZ27" s="1229"/>
      <c r="CA27" s="1229"/>
      <c r="CB27" s="1229"/>
      <c r="CC27" s="1229"/>
      <c r="CD27" s="1229"/>
      <c r="CE27" s="1229"/>
      <c r="CF27" s="1229"/>
      <c r="CI27" s="1239"/>
      <c r="CJ27" s="1229"/>
      <c r="CK27" s="1229"/>
      <c r="CL27" s="1229"/>
      <c r="CM27" s="1229"/>
      <c r="CN27" s="1229"/>
      <c r="CO27" s="1229"/>
      <c r="CP27" s="1229"/>
      <c r="CQ27" s="1229"/>
    </row>
    <row r="28" spans="2:95" s="220" customFormat="1">
      <c r="B28" s="1214" t="s">
        <v>1437</v>
      </c>
      <c r="E28" s="1227"/>
      <c r="F28" s="1227"/>
      <c r="G28" s="1227"/>
      <c r="H28" s="1227"/>
      <c r="I28" s="1227"/>
      <c r="J28" s="1227"/>
      <c r="K28" s="1227"/>
      <c r="L28" s="1553"/>
      <c r="M28" s="1556">
        <f t="shared" ref="M28:X29" si="239">M$23</f>
        <v>-0.18258688761597719</v>
      </c>
      <c r="N28" s="1531">
        <f t="shared" si="239"/>
        <v>4.2109928426227627E-2</v>
      </c>
      <c r="O28" s="1531">
        <f t="shared" si="239"/>
        <v>0.22051223024703992</v>
      </c>
      <c r="P28" s="1531">
        <f t="shared" si="239"/>
        <v>0.13242487507700385</v>
      </c>
      <c r="Q28" s="1531">
        <f t="shared" si="239"/>
        <v>6.6670744312560704E-2</v>
      </c>
      <c r="R28" s="1531">
        <f t="shared" si="239"/>
        <v>5.5490913241844186E-2</v>
      </c>
      <c r="S28" s="1531">
        <f t="shared" si="239"/>
        <v>6.1688299912149525E-2</v>
      </c>
      <c r="T28" s="1531">
        <f t="shared" si="239"/>
        <v>1.4125096400327219E-2</v>
      </c>
      <c r="U28" s="1531">
        <f t="shared" si="239"/>
        <v>1.4509330757455086E-3</v>
      </c>
      <c r="V28" s="1531">
        <f t="shared" si="239"/>
        <v>8.533575721436204E-3</v>
      </c>
      <c r="W28" s="1531">
        <f t="shared" si="239"/>
        <v>9.3754755868435957E-4</v>
      </c>
      <c r="X28" s="1531">
        <f t="shared" si="239"/>
        <v>8.2018226029372254E-3</v>
      </c>
      <c r="Z28" s="1214" t="s">
        <v>1437</v>
      </c>
      <c r="AA28" s="1239"/>
      <c r="AB28" s="1556">
        <f t="shared" ref="AB28:AB29" si="240">AB$23</f>
        <v>-0.18258688761597719</v>
      </c>
      <c r="AC28" s="1531">
        <f t="shared" ref="AC28:AM29" si="241">AC$23</f>
        <v>4.2109928426227627E-2</v>
      </c>
      <c r="AD28" s="1531">
        <f t="shared" si="241"/>
        <v>0.22051223024703992</v>
      </c>
      <c r="AE28" s="1531">
        <f t="shared" si="241"/>
        <v>0.13242487507700385</v>
      </c>
      <c r="AF28" s="1531">
        <f t="shared" si="241"/>
        <v>6.6670744312560704E-2</v>
      </c>
      <c r="AG28" s="1531">
        <f t="shared" si="241"/>
        <v>5.5490913241844186E-2</v>
      </c>
      <c r="AH28" s="1531">
        <f t="shared" si="241"/>
        <v>6.1688299912149525E-2</v>
      </c>
      <c r="AI28" s="1531">
        <f t="shared" si="241"/>
        <v>1.4125096400326997E-2</v>
      </c>
      <c r="AJ28" s="1531">
        <f t="shared" si="241"/>
        <v>1.4509330757457306E-3</v>
      </c>
      <c r="AK28" s="1531">
        <f t="shared" si="241"/>
        <v>8.533575721435982E-3</v>
      </c>
      <c r="AL28" s="1531">
        <f t="shared" si="241"/>
        <v>9.3754755868458162E-4</v>
      </c>
      <c r="AM28" s="1531">
        <f t="shared" si="241"/>
        <v>8.2018226029372254E-3</v>
      </c>
      <c r="AO28" s="1214" t="s">
        <v>1437</v>
      </c>
      <c r="AP28" s="1239"/>
      <c r="AQ28" s="1556">
        <f t="shared" ref="AQ28:BB29" si="242">AQ$23</f>
        <v>-0.18258688761597719</v>
      </c>
      <c r="AR28" s="1531">
        <f t="shared" si="242"/>
        <v>0.25053191411147302</v>
      </c>
      <c r="AS28" s="1531">
        <f t="shared" si="242"/>
        <v>0.22051223024704014</v>
      </c>
      <c r="AT28" s="1531">
        <f t="shared" si="242"/>
        <v>0.13242487507700385</v>
      </c>
      <c r="AU28" s="1531">
        <f t="shared" si="242"/>
        <v>2.0000000000000018E-2</v>
      </c>
      <c r="AV28" s="1531">
        <f t="shared" si="242"/>
        <v>2.0000000000000018E-2</v>
      </c>
      <c r="AW28" s="1531">
        <f t="shared" si="242"/>
        <v>2.0000000000000018E-2</v>
      </c>
      <c r="AX28" s="1531">
        <f t="shared" si="242"/>
        <v>2.0000000000000018E-2</v>
      </c>
      <c r="AY28" s="1531">
        <f t="shared" si="242"/>
        <v>2.0000000000000018E-2</v>
      </c>
      <c r="AZ28" s="1531">
        <f t="shared" si="242"/>
        <v>2.0000000000000018E-2</v>
      </c>
      <c r="BA28" s="1531">
        <f t="shared" si="242"/>
        <v>2.0000000000000018E-2</v>
      </c>
      <c r="BB28" s="1531">
        <f t="shared" si="242"/>
        <v>2.0000000000000018E-2</v>
      </c>
      <c r="BD28" s="1214" t="s">
        <v>1437</v>
      </c>
      <c r="BE28" s="1239"/>
      <c r="BF28" s="1556">
        <f t="shared" ref="BF28:BQ29" si="243">BF$23</f>
        <v>-0.18258688761597719</v>
      </c>
      <c r="BG28" s="1531">
        <f t="shared" si="243"/>
        <v>4.2109928426227627E-2</v>
      </c>
      <c r="BH28" s="1531">
        <f t="shared" si="243"/>
        <v>0.22051223024703992</v>
      </c>
      <c r="BI28" s="1531">
        <f t="shared" si="243"/>
        <v>0.13242487507700385</v>
      </c>
      <c r="BJ28" s="1531">
        <f t="shared" si="243"/>
        <v>6.6670744312560704E-2</v>
      </c>
      <c r="BK28" s="1531">
        <f t="shared" si="243"/>
        <v>5.5490913241844186E-2</v>
      </c>
      <c r="BL28" s="1531">
        <f t="shared" si="243"/>
        <v>6.1688299912149525E-2</v>
      </c>
      <c r="BM28" s="1531">
        <f t="shared" si="243"/>
        <v>1.4125096400326997E-2</v>
      </c>
      <c r="BN28" s="1531">
        <f t="shared" si="243"/>
        <v>1.4509330757457306E-3</v>
      </c>
      <c r="BO28" s="1531">
        <f t="shared" si="243"/>
        <v>8.533575721435982E-3</v>
      </c>
      <c r="BP28" s="1531">
        <f t="shared" si="243"/>
        <v>9.3754755868458162E-4</v>
      </c>
      <c r="BQ28" s="1531">
        <f t="shared" si="243"/>
        <v>8.2018226029372254E-3</v>
      </c>
      <c r="BS28" s="220" t="s">
        <v>1437</v>
      </c>
      <c r="BT28" s="1239"/>
      <c r="BU28" s="1229">
        <f>BU13/BT13-1</f>
        <v>-0.30986453661382896</v>
      </c>
      <c r="BV28" s="1230">
        <f>AC28</f>
        <v>4.2109928426227627E-2</v>
      </c>
      <c r="BW28" s="1230">
        <f t="shared" ref="BW28:BW29" si="244">AD28</f>
        <v>0.22051223024703992</v>
      </c>
      <c r="BX28" s="1230">
        <f t="shared" ref="BX28:BX29" si="245">AE28</f>
        <v>0.13242487507700385</v>
      </c>
      <c r="BY28" s="1230">
        <f t="shared" ref="BY28:BY29" si="246">AF28</f>
        <v>6.6670744312560704E-2</v>
      </c>
      <c r="BZ28" s="1230">
        <f t="shared" ref="BZ28:BZ29" si="247">AG28</f>
        <v>5.5490913241844186E-2</v>
      </c>
      <c r="CA28" s="1230">
        <f t="shared" ref="CA28:CA29" si="248">AH28</f>
        <v>6.1688299912149525E-2</v>
      </c>
      <c r="CB28" s="1230">
        <f t="shared" ref="CB28:CB29" si="249">AI28</f>
        <v>1.4125096400326997E-2</v>
      </c>
      <c r="CC28" s="1230"/>
      <c r="CD28" s="1230"/>
      <c r="CE28" s="1230"/>
      <c r="CF28" s="1230"/>
      <c r="CH28" s="220" t="s">
        <v>1437</v>
      </c>
      <c r="CI28" s="1239"/>
      <c r="CJ28" s="1229">
        <f>CJ13/CI13-1</f>
        <v>-0.15493226830691453</v>
      </c>
      <c r="CK28" s="1229">
        <f>CK13/CJ13-1</f>
        <v>-0.18333710127176317</v>
      </c>
      <c r="CL28" s="1230">
        <f t="shared" ref="CL28:CL29" si="250">AC28</f>
        <v>4.2109928426227627E-2</v>
      </c>
      <c r="CM28" s="1230">
        <f t="shared" ref="CM28:CM29" si="251">AD28</f>
        <v>0.22051223024703992</v>
      </c>
      <c r="CN28" s="1230">
        <f t="shared" ref="CN28:CN29" si="252">AE28</f>
        <v>0.13242487507700385</v>
      </c>
      <c r="CO28" s="1230">
        <f t="shared" ref="CO28" si="253">AF28</f>
        <v>6.6670744312560704E-2</v>
      </c>
      <c r="CP28" s="1230">
        <f t="shared" ref="CP28" si="254">AG28</f>
        <v>5.5490913241844186E-2</v>
      </c>
      <c r="CQ28" s="1230">
        <f t="shared" ref="CQ28" si="255">AH28</f>
        <v>6.1688299912149525E-2</v>
      </c>
    </row>
    <row r="29" spans="2:95">
      <c r="B29" s="1214" t="s">
        <v>1438</v>
      </c>
      <c r="C29" s="1214"/>
      <c r="D29" s="1214"/>
      <c r="E29" s="1231"/>
      <c r="F29" s="1231"/>
      <c r="G29" s="1231"/>
      <c r="H29" s="1231"/>
      <c r="I29" s="1231"/>
      <c r="J29" s="1232"/>
      <c r="K29" s="1232"/>
      <c r="L29" s="1553"/>
      <c r="M29" s="1556">
        <f t="shared" si="239"/>
        <v>-0.18258688761597719</v>
      </c>
      <c r="N29" s="1531">
        <f t="shared" si="239"/>
        <v>4.2109928426227627E-2</v>
      </c>
      <c r="O29" s="1531">
        <f t="shared" si="239"/>
        <v>0.22051223024703992</v>
      </c>
      <c r="P29" s="1531">
        <f t="shared" si="239"/>
        <v>0.13242487507700385</v>
      </c>
      <c r="Q29" s="1531">
        <f t="shared" si="239"/>
        <v>6.6670744312560704E-2</v>
      </c>
      <c r="R29" s="1531">
        <f t="shared" si="239"/>
        <v>5.5490913241844186E-2</v>
      </c>
      <c r="S29" s="1531">
        <f t="shared" si="239"/>
        <v>6.1688299912149525E-2</v>
      </c>
      <c r="T29" s="1531">
        <f t="shared" si="239"/>
        <v>1.4125096400327219E-2</v>
      </c>
      <c r="U29" s="1531">
        <f t="shared" si="239"/>
        <v>1.4509330757455086E-3</v>
      </c>
      <c r="V29" s="1531">
        <f t="shared" si="239"/>
        <v>8.533575721436204E-3</v>
      </c>
      <c r="W29" s="1531">
        <f t="shared" si="239"/>
        <v>9.3754755868435957E-4</v>
      </c>
      <c r="X29" s="1531">
        <f t="shared" si="239"/>
        <v>8.2018226029372254E-3</v>
      </c>
      <c r="Z29" s="1214" t="s">
        <v>1438</v>
      </c>
      <c r="AB29" s="1556">
        <f t="shared" si="240"/>
        <v>-0.18258688761597719</v>
      </c>
      <c r="AC29" s="1531">
        <f t="shared" si="241"/>
        <v>4.2109928426227627E-2</v>
      </c>
      <c r="AD29" s="1531">
        <f t="shared" si="241"/>
        <v>0.22051223024703992</v>
      </c>
      <c r="AE29" s="1531">
        <f t="shared" si="241"/>
        <v>0.13242487507700385</v>
      </c>
      <c r="AF29" s="1531">
        <f t="shared" si="241"/>
        <v>6.6670744312560704E-2</v>
      </c>
      <c r="AG29" s="1531">
        <f t="shared" si="241"/>
        <v>5.5490913241844186E-2</v>
      </c>
      <c r="AH29" s="1531">
        <f t="shared" si="241"/>
        <v>6.1688299912149525E-2</v>
      </c>
      <c r="AI29" s="1531">
        <f t="shared" si="241"/>
        <v>1.4125096400326997E-2</v>
      </c>
      <c r="AJ29" s="1531">
        <f t="shared" si="241"/>
        <v>1.4509330757457306E-3</v>
      </c>
      <c r="AK29" s="1531">
        <f t="shared" si="241"/>
        <v>8.533575721435982E-3</v>
      </c>
      <c r="AL29" s="1531">
        <f t="shared" si="241"/>
        <v>9.3754755868458162E-4</v>
      </c>
      <c r="AM29" s="1531">
        <f t="shared" si="241"/>
        <v>8.2018226029372254E-3</v>
      </c>
      <c r="AO29" s="1214" t="s">
        <v>1438</v>
      </c>
      <c r="AQ29" s="1556">
        <f t="shared" si="242"/>
        <v>-0.18258688761597719</v>
      </c>
      <c r="AR29" s="1531">
        <f t="shared" si="242"/>
        <v>0.25053191411147302</v>
      </c>
      <c r="AS29" s="1531">
        <f t="shared" si="242"/>
        <v>0.22051223024704014</v>
      </c>
      <c r="AT29" s="1531">
        <f t="shared" si="242"/>
        <v>0.13242487507700385</v>
      </c>
      <c r="AU29" s="1531">
        <f t="shared" si="242"/>
        <v>2.0000000000000018E-2</v>
      </c>
      <c r="AV29" s="1531">
        <f t="shared" si="242"/>
        <v>2.0000000000000018E-2</v>
      </c>
      <c r="AW29" s="1531">
        <f t="shared" si="242"/>
        <v>2.0000000000000018E-2</v>
      </c>
      <c r="AX29" s="1531">
        <f t="shared" si="242"/>
        <v>2.0000000000000018E-2</v>
      </c>
      <c r="AY29" s="1531">
        <f t="shared" si="242"/>
        <v>2.0000000000000018E-2</v>
      </c>
      <c r="AZ29" s="1531">
        <f t="shared" si="242"/>
        <v>2.0000000000000018E-2</v>
      </c>
      <c r="BA29" s="1531">
        <f t="shared" si="242"/>
        <v>2.0000000000000018E-2</v>
      </c>
      <c r="BB29" s="1531">
        <f t="shared" si="242"/>
        <v>2.0000000000000018E-2</v>
      </c>
      <c r="BD29" s="1214" t="s">
        <v>1438</v>
      </c>
      <c r="BF29" s="1556">
        <f t="shared" si="243"/>
        <v>-0.18258688761597719</v>
      </c>
      <c r="BG29" s="1531">
        <f t="shared" si="243"/>
        <v>4.2109928426227627E-2</v>
      </c>
      <c r="BH29" s="1531">
        <f t="shared" si="243"/>
        <v>0.22051223024703992</v>
      </c>
      <c r="BI29" s="1531">
        <f t="shared" si="243"/>
        <v>0.13242487507700385</v>
      </c>
      <c r="BJ29" s="1531">
        <f t="shared" si="243"/>
        <v>6.6670744312560704E-2</v>
      </c>
      <c r="BK29" s="1531">
        <f t="shared" si="243"/>
        <v>5.5490913241844186E-2</v>
      </c>
      <c r="BL29" s="1531">
        <f t="shared" si="243"/>
        <v>6.1688299912149525E-2</v>
      </c>
      <c r="BM29" s="1531">
        <f t="shared" si="243"/>
        <v>1.4125096400326997E-2</v>
      </c>
      <c r="BN29" s="1531">
        <f t="shared" si="243"/>
        <v>1.4509330757457306E-3</v>
      </c>
      <c r="BO29" s="1531">
        <f t="shared" si="243"/>
        <v>8.533575721435982E-3</v>
      </c>
      <c r="BP29" s="1531">
        <f t="shared" si="243"/>
        <v>9.3754755868458162E-4</v>
      </c>
      <c r="BQ29" s="1531">
        <f t="shared" si="243"/>
        <v>8.2018226029372254E-3</v>
      </c>
      <c r="BS29" s="220" t="s">
        <v>1438</v>
      </c>
      <c r="BU29" s="1229">
        <f>BU14/BT14-1</f>
        <v>-0.26833109595064164</v>
      </c>
      <c r="BV29" s="1230">
        <f>AC29</f>
        <v>4.2109928426227627E-2</v>
      </c>
      <c r="BW29" s="1230">
        <f t="shared" si="244"/>
        <v>0.22051223024703992</v>
      </c>
      <c r="BX29" s="1230">
        <f t="shared" si="245"/>
        <v>0.13242487507700385</v>
      </c>
      <c r="BY29" s="1230">
        <f t="shared" si="246"/>
        <v>6.6670744312560704E-2</v>
      </c>
      <c r="BZ29" s="1230">
        <f t="shared" si="247"/>
        <v>5.5490913241844186E-2</v>
      </c>
      <c r="CA29" s="1230">
        <f t="shared" si="248"/>
        <v>6.1688299912149525E-2</v>
      </c>
      <c r="CB29" s="1230">
        <f t="shared" si="249"/>
        <v>1.4125096400326997E-2</v>
      </c>
      <c r="CC29" s="1230"/>
      <c r="CD29" s="1230"/>
      <c r="CE29" s="1230"/>
      <c r="CF29" s="1230"/>
      <c r="CH29" s="220" t="s">
        <v>1438</v>
      </c>
      <c r="CJ29" s="1229">
        <f>CJ14/CI14-1</f>
        <v>-0.13416554797532076</v>
      </c>
      <c r="CK29" s="1229">
        <f>CK14/CJ14-1</f>
        <v>-0.15495519687578418</v>
      </c>
      <c r="CL29" s="1230">
        <f t="shared" si="250"/>
        <v>4.2109928426227627E-2</v>
      </c>
      <c r="CM29" s="1230">
        <f t="shared" si="251"/>
        <v>0.22051223024703992</v>
      </c>
      <c r="CN29" s="1230">
        <f t="shared" si="252"/>
        <v>0.13242487507700385</v>
      </c>
      <c r="CO29" s="1230">
        <f t="shared" ref="CO29" si="256">AF29</f>
        <v>6.6670744312560704E-2</v>
      </c>
      <c r="CP29" s="1230">
        <f t="shared" ref="CP29" si="257">AG29</f>
        <v>5.5490913241844186E-2</v>
      </c>
      <c r="CQ29" s="1230">
        <f t="shared" ref="CQ29" si="258">AH29</f>
        <v>6.1688299912149525E-2</v>
      </c>
    </row>
    <row r="30" spans="2:95">
      <c r="B30" s="220" t="s">
        <v>1415</v>
      </c>
      <c r="C30" s="220"/>
      <c r="D30" s="220"/>
      <c r="E30" s="1227"/>
      <c r="F30" s="1227"/>
      <c r="G30" s="1227"/>
      <c r="H30" s="1227"/>
      <c r="I30" s="1226"/>
      <c r="J30" s="1229">
        <f t="shared" ref="J30:K30" si="259">J15/I15-1</f>
        <v>-0.44867033796355105</v>
      </c>
      <c r="K30" s="1229">
        <f t="shared" si="259"/>
        <v>-0.29122450362539809</v>
      </c>
      <c r="L30" s="1242">
        <f>L15/K15-1</f>
        <v>-1</v>
      </c>
      <c r="M30" s="1531" t="str">
        <f t="shared" ref="M30" si="260">IFERROR(M15/L15-1,"")</f>
        <v/>
      </c>
      <c r="N30" s="1531">
        <f t="shared" ref="N30" si="261">IFERROR(N15/M15-1,"")</f>
        <v>0</v>
      </c>
      <c r="O30" s="1531">
        <f t="shared" ref="O30" si="262">IFERROR(O15/N15-1,"")</f>
        <v>0.65412072666666665</v>
      </c>
      <c r="P30" s="1531">
        <f t="shared" ref="P30" si="263">IFERROR(P15/O15-1,"")</f>
        <v>0.41088398952138738</v>
      </c>
      <c r="Q30" s="1531">
        <f t="shared" ref="Q30" si="264">IFERROR(Q15/P15-1,"")</f>
        <v>0</v>
      </c>
      <c r="R30" s="1531">
        <f t="shared" ref="R30" si="265">IFERROR(R15/Q15-1,"")</f>
        <v>0</v>
      </c>
      <c r="S30" s="1531">
        <f t="shared" ref="S30" si="266">IFERROR(S15/R15-1,"")</f>
        <v>0.8137968421765942</v>
      </c>
      <c r="T30" s="1531">
        <f t="shared" ref="T30" si="267">IFERROR(T15/S15-1,"")</f>
        <v>0</v>
      </c>
      <c r="U30" s="1531">
        <f t="shared" ref="U30:U31" si="268">IFERROR(U15/T15-1,"")</f>
        <v>0</v>
      </c>
      <c r="V30" s="1531">
        <f t="shared" ref="V30:V31" si="269">IFERROR(V15/U15-1,"")</f>
        <v>0</v>
      </c>
      <c r="W30" s="1531">
        <f t="shared" ref="W30:W31" si="270">IFERROR(W15/V15-1,"")</f>
        <v>0</v>
      </c>
      <c r="X30" s="1531">
        <f t="shared" ref="X30:X31" si="271">IFERROR(X15/W15-1,"")</f>
        <v>0</v>
      </c>
      <c r="Z30" s="220" t="s">
        <v>1415</v>
      </c>
      <c r="AB30" s="1531" t="str">
        <f t="shared" ref="AB30" si="272">IFERROR(AB15/AA15-1,"")</f>
        <v/>
      </c>
      <c r="AC30" s="1531">
        <f t="shared" ref="AC30" si="273">IFERROR(AC15/AB15-1,"")</f>
        <v>0</v>
      </c>
      <c r="AD30" s="1531">
        <f t="shared" ref="AD30" si="274">IFERROR(AD15/AC15-1,"")</f>
        <v>0.65412072666666665</v>
      </c>
      <c r="AE30" s="1531">
        <f t="shared" ref="AE30" si="275">IFERROR(AE15/AD15-1,"")</f>
        <v>0.41088398952138738</v>
      </c>
      <c r="AF30" s="1531">
        <f t="shared" ref="AF30" si="276">IFERROR(AF15/AE15-1,"")</f>
        <v>0</v>
      </c>
      <c r="AG30" s="1531">
        <f t="shared" ref="AG30" si="277">IFERROR(AG15/AF15-1,"")</f>
        <v>0</v>
      </c>
      <c r="AH30" s="1531">
        <f t="shared" ref="AH30:AH31" si="278">IFERROR(AH15/AG15-1,"")</f>
        <v>0.8137968421765942</v>
      </c>
      <c r="AI30" s="1531">
        <f t="shared" ref="AI30" si="279">IFERROR(AI15/AH15-1,"")</f>
        <v>0</v>
      </c>
      <c r="AJ30" s="1531">
        <f t="shared" ref="AJ30:AJ31" si="280">IFERROR(AJ15/AI15-1,"")</f>
        <v>0</v>
      </c>
      <c r="AK30" s="1531">
        <f t="shared" ref="AK30:AK31" si="281">IFERROR(AK15/AJ15-1,"")</f>
        <v>0</v>
      </c>
      <c r="AL30" s="1531">
        <f t="shared" ref="AL30:AL31" si="282">IFERROR(AL15/AK15-1,"")</f>
        <v>0</v>
      </c>
      <c r="AM30" s="1531">
        <f t="shared" ref="AM30:AM31" si="283">IFERROR(AM15/AL15-1,"")</f>
        <v>0</v>
      </c>
      <c r="AO30" s="220" t="s">
        <v>1415</v>
      </c>
      <c r="AQ30" s="1531" t="str">
        <f t="shared" ref="AQ30" si="284">IFERROR(AQ15/AP15-1,"")</f>
        <v/>
      </c>
      <c r="AR30" s="1531">
        <f t="shared" ref="AR30" si="285">IFERROR(AR15/AQ15-1,"")</f>
        <v>0</v>
      </c>
      <c r="AS30" s="1531">
        <f t="shared" ref="AS30" si="286">IFERROR(AS15/AR15-1,"")</f>
        <v>0.65412072666666665</v>
      </c>
      <c r="AT30" s="1531">
        <f t="shared" ref="AT30" si="287">IFERROR(AT15/AS15-1,"")</f>
        <v>0.41088398952138738</v>
      </c>
      <c r="AU30" s="1531">
        <f t="shared" ref="AU30" si="288">IFERROR(AU15/AT15-1,"")</f>
        <v>0</v>
      </c>
      <c r="AV30" s="1531">
        <f t="shared" ref="AV30" si="289">IFERROR(AV15/AU15-1,"")</f>
        <v>0</v>
      </c>
      <c r="AW30" s="1531">
        <f t="shared" ref="AW30" si="290">IFERROR(AW15/AV15-1,"")</f>
        <v>0.8137968421765942</v>
      </c>
      <c r="AX30" s="1531">
        <f t="shared" ref="AX30" si="291">IFERROR(AX15/AW15-1,"")</f>
        <v>0</v>
      </c>
      <c r="AY30" s="1531">
        <f t="shared" ref="AY30" si="292">IFERROR(AY15/AX15-1,"")</f>
        <v>0</v>
      </c>
      <c r="AZ30" s="1531">
        <f t="shared" ref="AZ30" si="293">IFERROR(AZ15/AY15-1,"")</f>
        <v>0</v>
      </c>
      <c r="BA30" s="1531">
        <f t="shared" ref="BA30" si="294">IFERROR(BA15/AZ15-1,"")</f>
        <v>0</v>
      </c>
      <c r="BB30" s="1531">
        <f t="shared" ref="BB30" si="295">IFERROR(BB15/BA15-1,"")</f>
        <v>0</v>
      </c>
      <c r="BD30" s="220" t="s">
        <v>1415</v>
      </c>
      <c r="BF30" s="1531" t="str">
        <f t="shared" ref="BF30" si="296">IFERROR(BF15/BE15-1,"")</f>
        <v/>
      </c>
      <c r="BG30" s="1531">
        <f t="shared" ref="BG30" si="297">IFERROR(BG15/BF15-1,"")</f>
        <v>0</v>
      </c>
      <c r="BH30" s="1531">
        <f t="shared" ref="BH30" si="298">IFERROR(BH15/BG15-1,"")</f>
        <v>0.65412072666666665</v>
      </c>
      <c r="BI30" s="1531">
        <f t="shared" ref="BI30" si="299">IFERROR(BI15/BH15-1,"")</f>
        <v>0.41088398952138738</v>
      </c>
      <c r="BJ30" s="1531">
        <f t="shared" ref="BJ30" si="300">IFERROR(BJ15/BI15-1,"")</f>
        <v>0</v>
      </c>
      <c r="BK30" s="1531">
        <f t="shared" ref="BK30" si="301">IFERROR(BK15/BJ15-1,"")</f>
        <v>0</v>
      </c>
      <c r="BL30" s="1531">
        <f t="shared" ref="BL30" si="302">IFERROR(BL15/BK15-1,"")</f>
        <v>0.8137968421765942</v>
      </c>
      <c r="BM30" s="1531">
        <f t="shared" ref="BM30" si="303">IFERROR(BM15/BL15-1,"")</f>
        <v>0</v>
      </c>
      <c r="BN30" s="1531">
        <f t="shared" ref="BN30" si="304">IFERROR(BN15/BM15-1,"")</f>
        <v>0</v>
      </c>
      <c r="BO30" s="1531">
        <f t="shared" ref="BO30" si="305">IFERROR(BO15/BN15-1,"")</f>
        <v>0</v>
      </c>
      <c r="BP30" s="1531">
        <f t="shared" ref="BP30" si="306">IFERROR(BP15/BO15-1,"")</f>
        <v>0</v>
      </c>
      <c r="BQ30" s="1531">
        <f t="shared" ref="BQ30" si="307">IFERROR(BQ15/BP15-1,"")</f>
        <v>0</v>
      </c>
    </row>
    <row r="31" spans="2:95" s="220" customFormat="1">
      <c r="B31" s="1214" t="s">
        <v>1433</v>
      </c>
      <c r="C31" s="1214"/>
      <c r="D31" s="1214"/>
      <c r="E31" s="1229" t="str">
        <f>IFERROR(E16/D16-1,"")</f>
        <v/>
      </c>
      <c r="F31" s="1229">
        <f>IFERROR(F16/E16-1,"")</f>
        <v>-9.3344558989951976E-2</v>
      </c>
      <c r="G31" s="1229">
        <f t="shared" ref="G31:K31" si="308">IFERROR(G16/F16-1,"")</f>
        <v>1.0615191094138776E-2</v>
      </c>
      <c r="H31" s="1229">
        <f t="shared" si="308"/>
        <v>0.15744458389825566</v>
      </c>
      <c r="I31" s="1229">
        <f t="shared" si="308"/>
        <v>0.24387652475153021</v>
      </c>
      <c r="J31" s="1229">
        <f t="shared" si="308"/>
        <v>0.22219298226793183</v>
      </c>
      <c r="K31" s="1229">
        <f t="shared" si="308"/>
        <v>-0.40422971885833614</v>
      </c>
      <c r="L31" s="1242">
        <f>IFERROR(L16/K16-1,"")</f>
        <v>-8.4839957097094687E-2</v>
      </c>
      <c r="M31" s="1531">
        <f t="shared" ref="M31" si="309">IFERROR(M16/L16-1,"")</f>
        <v>0.56377385780907474</v>
      </c>
      <c r="N31" s="1229">
        <f t="shared" ref="N31" si="310">IFERROR(N16/M16-1,"")</f>
        <v>2.4027970758396799E-2</v>
      </c>
      <c r="O31" s="1229">
        <f t="shared" ref="O31" si="311">IFERROR(O16/N16-1,"")</f>
        <v>-2.9060765134634958E-2</v>
      </c>
      <c r="P31" s="1229">
        <f t="shared" ref="P31" si="312">IFERROR(P16/O16-1,"")</f>
        <v>0.18790719383885324</v>
      </c>
      <c r="Q31" s="1229">
        <f t="shared" ref="Q31" si="313">IFERROR(Q16/P16-1,"")</f>
        <v>7.7339587793326725E-2</v>
      </c>
      <c r="R31" s="1229">
        <f t="shared" ref="R31" si="314">IFERROR(R16/Q16-1,"")</f>
        <v>-3.5874181878476241E-2</v>
      </c>
      <c r="S31" s="1229">
        <f t="shared" ref="S31" si="315">IFERROR(S16/R16-1,"")</f>
        <v>0.17650862087042496</v>
      </c>
      <c r="T31" s="1229">
        <f t="shared" ref="T31" si="316">IFERROR(T16/S16-1,"")</f>
        <v>0.17886341849744425</v>
      </c>
      <c r="U31" s="1229">
        <f t="shared" si="268"/>
        <v>-1.3683101753162452E-2</v>
      </c>
      <c r="V31" s="1229">
        <f t="shared" si="269"/>
        <v>6.685641786487917E-2</v>
      </c>
      <c r="W31" s="1229">
        <f t="shared" si="270"/>
        <v>6.685641786487917E-2</v>
      </c>
      <c r="X31" s="1229">
        <f t="shared" si="271"/>
        <v>6.685641786487917E-2</v>
      </c>
      <c r="AA31" s="1239"/>
      <c r="AP31" s="1239"/>
      <c r="BE31" s="1239"/>
      <c r="BT31" s="1239"/>
      <c r="CI31" s="1239"/>
    </row>
    <row r="32" spans="2:95" s="220" customFormat="1" hidden="1" outlineLevel="1">
      <c r="B32" s="1216" t="s">
        <v>1439</v>
      </c>
      <c r="C32" s="1214"/>
      <c r="D32" s="1214"/>
      <c r="E32" s="1231"/>
      <c r="F32" s="1231"/>
      <c r="G32" s="1231"/>
      <c r="H32" s="1231"/>
      <c r="I32" s="1233"/>
      <c r="J32" s="1234"/>
      <c r="K32" s="1234"/>
      <c r="L32" s="1243"/>
      <c r="M32" s="1235">
        <v>0.109</v>
      </c>
      <c r="N32" s="1235">
        <v>8.9999999999999993E-3</v>
      </c>
      <c r="O32" s="1235">
        <v>0.122</v>
      </c>
      <c r="P32" s="1235">
        <v>0.128</v>
      </c>
      <c r="Q32" s="1235">
        <v>0.02</v>
      </c>
      <c r="R32" s="1235">
        <v>0.14099999999999999</v>
      </c>
      <c r="S32" s="1235">
        <v>0.14000000000000001</v>
      </c>
      <c r="T32" s="1235">
        <v>0.03</v>
      </c>
      <c r="U32" s="1235"/>
      <c r="V32" s="1235"/>
      <c r="W32" s="1235"/>
      <c r="X32" s="1235"/>
      <c r="AA32" s="1239"/>
      <c r="AP32" s="1239"/>
      <c r="BE32" s="1239"/>
      <c r="BT32" s="1239"/>
      <c r="CI32" s="1239"/>
    </row>
    <row r="33" spans="1:95" s="220" customFormat="1" hidden="1" outlineLevel="1">
      <c r="B33" s="1216" t="s">
        <v>1440</v>
      </c>
      <c r="C33" s="1214"/>
      <c r="D33" s="1214"/>
      <c r="E33" s="1231"/>
      <c r="F33" s="1231"/>
      <c r="G33" s="1231"/>
      <c r="H33" s="1231"/>
      <c r="I33" s="1233"/>
      <c r="J33" s="1234"/>
      <c r="K33" s="1234"/>
      <c r="L33" s="1243"/>
      <c r="M33" s="1235">
        <v>0.109</v>
      </c>
      <c r="N33" s="1235">
        <v>8.9999999999999993E-3</v>
      </c>
      <c r="O33" s="1235">
        <v>0.122</v>
      </c>
      <c r="P33" s="1235">
        <v>0.128</v>
      </c>
      <c r="Q33" s="1235">
        <v>0.02</v>
      </c>
      <c r="R33" s="1235">
        <v>0.14099999999999999</v>
      </c>
      <c r="S33" s="1235">
        <v>0.14000000000000001</v>
      </c>
      <c r="T33" s="1235">
        <v>0.03</v>
      </c>
      <c r="U33" s="1235"/>
      <c r="V33" s="1235"/>
      <c r="W33" s="1235"/>
      <c r="X33" s="1235"/>
      <c r="AA33" s="1239"/>
      <c r="AP33" s="1239"/>
      <c r="BE33" s="1239"/>
      <c r="BT33" s="1239"/>
      <c r="CI33" s="1239"/>
    </row>
    <row r="34" spans="1:95" collapsed="1"/>
    <row r="35" spans="1:95">
      <c r="A35" s="551" t="s">
        <v>1418</v>
      </c>
    </row>
    <row r="36" spans="1:95">
      <c r="B36" s="1135" t="s">
        <v>1419</v>
      </c>
      <c r="Z36" s="220" t="s">
        <v>1806</v>
      </c>
      <c r="AO36" s="220" t="s">
        <v>1821</v>
      </c>
      <c r="BD36" s="220" t="s">
        <v>1836</v>
      </c>
      <c r="BS36" s="220" t="s">
        <v>1610</v>
      </c>
      <c r="BT36" s="1239" t="str">
        <f>$BT$6 &amp; BT37</f>
        <v>CCN: 85%</v>
      </c>
      <c r="BU36" s="220" t="str">
        <f t="shared" ref="BU36" si="317">$BT$6 &amp; BU37</f>
        <v>C</v>
      </c>
      <c r="BV36" s="220" t="str">
        <f t="shared" ref="BV36" si="318">$BT$6 &amp; BV37</f>
        <v>CCN</v>
      </c>
      <c r="BW36" s="220" t="str">
        <f t="shared" ref="BW36" si="319">$BT$6 &amp; BW37</f>
        <v>C24/25 = O.B. 22/23</v>
      </c>
      <c r="BX36" s="220" t="str">
        <f t="shared" ref="BX36" si="320">$BT$6 &amp; BX37</f>
        <v>C</v>
      </c>
      <c r="BY36" s="220" t="str">
        <f t="shared" ref="BY36" si="321">$BT$6 &amp; BY37</f>
        <v>C</v>
      </c>
      <c r="BZ36" s="220" t="str">
        <f t="shared" ref="BZ36" si="322">$BT$6 &amp; BZ37</f>
        <v>C</v>
      </c>
      <c r="CA36" s="220" t="str">
        <f t="shared" ref="CA36" si="323">$BT$6 &amp; CA37</f>
        <v>C</v>
      </c>
      <c r="CB36" s="220" t="str">
        <f t="shared" ref="CB36" si="324">$BT$6 &amp; CB37</f>
        <v>C</v>
      </c>
    </row>
    <row r="37" spans="1:95" s="220" customFormat="1">
      <c r="B37" s="220" t="s">
        <v>1425</v>
      </c>
      <c r="E37" s="1223">
        <f t="shared" ref="E37:M37" si="325">IFERROR(E70/E8,"")</f>
        <v>2.2321896785760247</v>
      </c>
      <c r="F37" s="1223">
        <f t="shared" si="325"/>
        <v>2.2068059086010892</v>
      </c>
      <c r="G37" s="1223">
        <f t="shared" si="325"/>
        <v>2.2284952799235063</v>
      </c>
      <c r="H37" s="1223">
        <f t="shared" si="325"/>
        <v>2.3737141502907786</v>
      </c>
      <c r="I37" s="1223">
        <f t="shared" si="325"/>
        <v>2.3701880362433076</v>
      </c>
      <c r="J37" s="1223">
        <f t="shared" si="325"/>
        <v>2.4447872465199247</v>
      </c>
      <c r="K37" s="1223">
        <f t="shared" si="325"/>
        <v>2.2816691192899046</v>
      </c>
      <c r="L37" s="1554">
        <f t="shared" si="325"/>
        <v>2.332882894846819</v>
      </c>
      <c r="M37" s="1532">
        <f t="shared" si="325"/>
        <v>2.3864911707692302</v>
      </c>
      <c r="N37" s="1223">
        <f t="shared" ref="N37:T37" si="326">IFERROR(N70/N8,"")</f>
        <v>2.4175155559892296</v>
      </c>
      <c r="O37" s="1223">
        <f t="shared" si="326"/>
        <v>2.4489432582170898</v>
      </c>
      <c r="P37" s="1223">
        <f t="shared" si="326"/>
        <v>2.4807795205739112</v>
      </c>
      <c r="Q37" s="1223">
        <f t="shared" si="326"/>
        <v>2.5130296543413717</v>
      </c>
      <c r="R37" s="1223">
        <f t="shared" si="326"/>
        <v>2.5456990398478094</v>
      </c>
      <c r="S37" s="1223">
        <f t="shared" si="326"/>
        <v>2.5787931273658309</v>
      </c>
      <c r="T37" s="1223">
        <f t="shared" si="326"/>
        <v>2.6123174380215861</v>
      </c>
      <c r="U37" s="1223">
        <f t="shared" ref="U37:X37" si="327">IFERROR(U70/U8,"")</f>
        <v>2.6462775647158669</v>
      </c>
      <c r="V37" s="1223">
        <f t="shared" si="327"/>
        <v>2.6806791730571726</v>
      </c>
      <c r="W37" s="1223">
        <f t="shared" si="327"/>
        <v>2.7155280023069164</v>
      </c>
      <c r="X37" s="1223">
        <f t="shared" si="327"/>
        <v>2.7508298663369057</v>
      </c>
      <c r="AA37" s="1239" t="s">
        <v>1602</v>
      </c>
      <c r="AP37" s="1239" t="s">
        <v>1602</v>
      </c>
      <c r="BE37" s="1239" t="s">
        <v>1602</v>
      </c>
      <c r="BT37" s="1239" t="s">
        <v>1600</v>
      </c>
      <c r="BV37" s="220" t="s">
        <v>1549</v>
      </c>
      <c r="BW37" s="220" t="s">
        <v>1604</v>
      </c>
      <c r="CI37" s="1239"/>
    </row>
    <row r="38" spans="1:95">
      <c r="B38" s="220" t="s">
        <v>1441</v>
      </c>
      <c r="C38" s="220"/>
      <c r="D38" s="220"/>
      <c r="E38" s="1223" t="str">
        <f t="shared" ref="E38:M43" si="328">IFERROR(E71/E9,"")</f>
        <v/>
      </c>
      <c r="F38" s="1223" t="str">
        <f t="shared" si="328"/>
        <v/>
      </c>
      <c r="G38" s="1223" t="str">
        <f t="shared" si="328"/>
        <v/>
      </c>
      <c r="H38" s="1223" t="str">
        <f t="shared" si="328"/>
        <v/>
      </c>
      <c r="I38" s="1223" t="str">
        <f t="shared" si="328"/>
        <v/>
      </c>
      <c r="J38" s="1223" t="str">
        <f t="shared" si="328"/>
        <v/>
      </c>
      <c r="K38" s="1223">
        <f t="shared" si="328"/>
        <v>0</v>
      </c>
      <c r="L38" s="1554">
        <f t="shared" si="328"/>
        <v>2.3017227863770757</v>
      </c>
      <c r="M38" s="1532">
        <f t="shared" si="328"/>
        <v>2.3326789165908099</v>
      </c>
      <c r="N38" s="1223">
        <f t="shared" ref="N38:T38" si="329">IFERROR(N71/N9,"")</f>
        <v>2.3630037425064905</v>
      </c>
      <c r="O38" s="1223">
        <f t="shared" si="329"/>
        <v>2.3937227911590746</v>
      </c>
      <c r="P38" s="1223">
        <f t="shared" si="329"/>
        <v>2.4248411874441418</v>
      </c>
      <c r="Q38" s="1223">
        <f t="shared" si="329"/>
        <v>2.4563641228809159</v>
      </c>
      <c r="R38" s="1223">
        <f t="shared" si="329"/>
        <v>2.488296856478367</v>
      </c>
      <c r="S38" s="1223">
        <f t="shared" si="329"/>
        <v>2.5206447156125855</v>
      </c>
      <c r="T38" s="1223">
        <f t="shared" si="329"/>
        <v>2.5534130969155493</v>
      </c>
      <c r="U38" s="1223">
        <f t="shared" ref="U38:X38" si="330">IFERROR(U71/U9,"")</f>
        <v>2.5866074671754515</v>
      </c>
      <c r="V38" s="1223">
        <f t="shared" si="330"/>
        <v>2.6202333642487319</v>
      </c>
      <c r="W38" s="1223">
        <f t="shared" si="330"/>
        <v>2.6542963979839653</v>
      </c>
      <c r="X38" s="1223">
        <f t="shared" si="330"/>
        <v>2.6888022511577563</v>
      </c>
    </row>
    <row r="39" spans="1:95" s="220" customFormat="1">
      <c r="B39" s="220" t="s">
        <v>1435</v>
      </c>
      <c r="E39" s="1223" t="str">
        <f t="shared" si="328"/>
        <v/>
      </c>
      <c r="F39" s="1223" t="str">
        <f t="shared" si="328"/>
        <v/>
      </c>
      <c r="G39" s="1223" t="str">
        <f t="shared" si="328"/>
        <v/>
      </c>
      <c r="H39" s="1223" t="str">
        <f t="shared" si="328"/>
        <v/>
      </c>
      <c r="I39" s="1223" t="str">
        <f t="shared" si="328"/>
        <v/>
      </c>
      <c r="J39" s="1223" t="str">
        <f t="shared" si="328"/>
        <v/>
      </c>
      <c r="K39" s="1223" t="str">
        <f t="shared" si="328"/>
        <v/>
      </c>
      <c r="L39" s="1244">
        <f>IFERROR(L72/L10,"")</f>
        <v>2.3800033758626271</v>
      </c>
      <c r="M39" s="1532">
        <f>IFERROR(M72/M10,"")</f>
        <v>2.0302691579241436</v>
      </c>
      <c r="N39" s="1223">
        <f t="shared" ref="N39:T39" si="331">M39*(1+N55)</f>
        <v>2.0566626569771573</v>
      </c>
      <c r="O39" s="1223">
        <f t="shared" si="331"/>
        <v>2.0833992715178602</v>
      </c>
      <c r="P39" s="1223">
        <f t="shared" si="331"/>
        <v>2.1104834620475921</v>
      </c>
      <c r="Q39" s="1223">
        <f t="shared" si="331"/>
        <v>2.1379197470542106</v>
      </c>
      <c r="R39" s="1223">
        <f t="shared" si="331"/>
        <v>2.165712703765915</v>
      </c>
      <c r="S39" s="1223">
        <f t="shared" si="331"/>
        <v>2.1938669689148718</v>
      </c>
      <c r="T39" s="1223">
        <f t="shared" si="331"/>
        <v>2.2223872395107649</v>
      </c>
      <c r="U39" s="1223">
        <f t="shared" ref="U39:U40" si="332">T39*(1+U55)</f>
        <v>2.2512782736244046</v>
      </c>
      <c r="V39" s="1223">
        <f t="shared" ref="V39:V40" si="333">U39*(1+V55)</f>
        <v>2.2805448911815218</v>
      </c>
      <c r="W39" s="1223">
        <f t="shared" ref="W39:W40" si="334">V39*(1+W55)</f>
        <v>2.3101919747668815</v>
      </c>
      <c r="X39" s="1223">
        <f t="shared" ref="X39:X40" si="335">W39*(1+X55)</f>
        <v>2.3402244704388506</v>
      </c>
      <c r="AA39" s="1239" t="s">
        <v>1793</v>
      </c>
      <c r="AB39" s="220" t="s">
        <v>1798</v>
      </c>
      <c r="AC39" s="220" t="s">
        <v>1799</v>
      </c>
      <c r="AD39" s="220" t="s">
        <v>1800</v>
      </c>
      <c r="AE39" s="220" t="s">
        <v>1801</v>
      </c>
      <c r="AF39" s="220" t="s">
        <v>1802</v>
      </c>
      <c r="AG39" s="220" t="s">
        <v>1803</v>
      </c>
      <c r="AH39" s="220" t="s">
        <v>1804</v>
      </c>
      <c r="AI39" s="220" t="s">
        <v>1805</v>
      </c>
      <c r="AJ39" s="220" t="s">
        <v>1794</v>
      </c>
      <c r="AK39" s="220" t="s">
        <v>1795</v>
      </c>
      <c r="AL39" s="220" t="s">
        <v>1796</v>
      </c>
      <c r="AM39" s="220" t="s">
        <v>1797</v>
      </c>
      <c r="AP39" s="1239" t="s">
        <v>1808</v>
      </c>
      <c r="AQ39" s="220" t="s">
        <v>1809</v>
      </c>
      <c r="AR39" s="220" t="s">
        <v>1810</v>
      </c>
      <c r="AS39" s="220" t="s">
        <v>1811</v>
      </c>
      <c r="AT39" s="220" t="s">
        <v>1812</v>
      </c>
      <c r="AU39" s="220" t="s">
        <v>1813</v>
      </c>
      <c r="AV39" s="220" t="s">
        <v>1814</v>
      </c>
      <c r="AW39" s="220" t="s">
        <v>1815</v>
      </c>
      <c r="AX39" s="220" t="s">
        <v>1816</v>
      </c>
      <c r="AY39" s="220" t="s">
        <v>1817</v>
      </c>
      <c r="AZ39" s="220" t="s">
        <v>1818</v>
      </c>
      <c r="BA39" s="220" t="s">
        <v>1819</v>
      </c>
      <c r="BB39" s="220" t="s">
        <v>1820</v>
      </c>
      <c r="BE39" s="1239" t="s">
        <v>1823</v>
      </c>
      <c r="BF39" s="220" t="s">
        <v>1824</v>
      </c>
      <c r="BG39" s="220" t="s">
        <v>1825</v>
      </c>
      <c r="BH39" s="220" t="s">
        <v>1826</v>
      </c>
      <c r="BI39" s="220" t="s">
        <v>1827</v>
      </c>
      <c r="BJ39" s="220" t="s">
        <v>1828</v>
      </c>
      <c r="BK39" s="220" t="s">
        <v>1829</v>
      </c>
      <c r="BL39" s="220" t="s">
        <v>1830</v>
      </c>
      <c r="BM39" s="220" t="s">
        <v>1831</v>
      </c>
      <c r="BN39" s="220" t="s">
        <v>1832</v>
      </c>
      <c r="BO39" s="220" t="s">
        <v>1833</v>
      </c>
      <c r="BP39" s="220" t="s">
        <v>1834</v>
      </c>
      <c r="BQ39" s="220" t="s">
        <v>1835</v>
      </c>
      <c r="BT39" s="1239" t="s">
        <v>1614</v>
      </c>
      <c r="BU39" s="220" t="s">
        <v>1615</v>
      </c>
      <c r="BV39" s="220" t="s">
        <v>1616</v>
      </c>
      <c r="BW39" s="220" t="s">
        <v>1617</v>
      </c>
      <c r="BX39" s="220" t="s">
        <v>1618</v>
      </c>
      <c r="BY39" s="220" t="s">
        <v>1619</v>
      </c>
      <c r="BZ39" s="220" t="s">
        <v>1620</v>
      </c>
      <c r="CA39" s="220" t="s">
        <v>1621</v>
      </c>
      <c r="CB39" s="220" t="s">
        <v>1622</v>
      </c>
      <c r="CI39" s="1239"/>
    </row>
    <row r="40" spans="1:95" s="220" customFormat="1">
      <c r="B40" s="220" t="s">
        <v>1436</v>
      </c>
      <c r="E40" s="1223" t="str">
        <f t="shared" si="328"/>
        <v/>
      </c>
      <c r="F40" s="1223" t="str">
        <f t="shared" si="328"/>
        <v/>
      </c>
      <c r="G40" s="1223" t="str">
        <f t="shared" si="328"/>
        <v/>
      </c>
      <c r="H40" s="1223" t="str">
        <f t="shared" si="328"/>
        <v/>
      </c>
      <c r="I40" s="1223" t="str">
        <f t="shared" si="328"/>
        <v/>
      </c>
      <c r="J40" s="1223" t="str">
        <f t="shared" si="328"/>
        <v/>
      </c>
      <c r="K40" s="1223" t="str">
        <f t="shared" si="328"/>
        <v/>
      </c>
      <c r="L40" s="1244">
        <f t="shared" ref="L40" si="336">IFERROR(L73/L11,"")</f>
        <v>2.1367355205770355</v>
      </c>
      <c r="M40" s="1532">
        <f>IFERROR(M73/M11,"")</f>
        <v>2.9700496819562425</v>
      </c>
      <c r="N40" s="1223">
        <f t="shared" ref="N40:T40" si="337">M40*(1+N56)</f>
        <v>3.0086603278216733</v>
      </c>
      <c r="O40" s="1223">
        <f t="shared" si="337"/>
        <v>3.0477729120833548</v>
      </c>
      <c r="P40" s="1223">
        <f t="shared" si="337"/>
        <v>3.0873939599404379</v>
      </c>
      <c r="Q40" s="1223">
        <f t="shared" si="337"/>
        <v>3.1275300814196632</v>
      </c>
      <c r="R40" s="1223">
        <f t="shared" si="337"/>
        <v>3.1681879724781186</v>
      </c>
      <c r="S40" s="1223">
        <f t="shared" si="337"/>
        <v>3.2093744161203337</v>
      </c>
      <c r="T40" s="1223">
        <f t="shared" si="337"/>
        <v>3.2510962835298978</v>
      </c>
      <c r="U40" s="1223">
        <f t="shared" si="332"/>
        <v>3.2933605352157862</v>
      </c>
      <c r="V40" s="1223">
        <f t="shared" si="333"/>
        <v>3.3361742221735913</v>
      </c>
      <c r="W40" s="1223">
        <f t="shared" si="334"/>
        <v>3.3795444870618478</v>
      </c>
      <c r="X40" s="1223">
        <f t="shared" si="335"/>
        <v>3.4234785653936517</v>
      </c>
      <c r="AA40" s="1239" t="s">
        <v>6</v>
      </c>
      <c r="AB40" s="220" t="s">
        <v>7</v>
      </c>
      <c r="AC40" s="220" t="s">
        <v>13</v>
      </c>
      <c r="AD40" s="220" t="s">
        <v>14</v>
      </c>
      <c r="AE40" s="220" t="s">
        <v>15</v>
      </c>
      <c r="AF40" s="220" t="s">
        <v>16</v>
      </c>
      <c r="AG40" s="220" t="s">
        <v>17</v>
      </c>
      <c r="AH40" s="220" t="s">
        <v>18</v>
      </c>
      <c r="AI40" s="220" t="s">
        <v>19</v>
      </c>
      <c r="AJ40" s="220" t="s">
        <v>1683</v>
      </c>
      <c r="AK40" s="220" t="s">
        <v>1684</v>
      </c>
      <c r="AL40" s="220" t="s">
        <v>1685</v>
      </c>
      <c r="AM40" s="220" t="s">
        <v>1686</v>
      </c>
      <c r="AP40" s="1239" t="s">
        <v>6</v>
      </c>
      <c r="AQ40" s="220" t="s">
        <v>7</v>
      </c>
      <c r="AR40" s="220" t="s">
        <v>13</v>
      </c>
      <c r="AS40" s="220" t="s">
        <v>14</v>
      </c>
      <c r="AT40" s="220" t="s">
        <v>15</v>
      </c>
      <c r="AU40" s="220" t="s">
        <v>16</v>
      </c>
      <c r="AV40" s="220" t="s">
        <v>17</v>
      </c>
      <c r="AW40" s="220" t="s">
        <v>18</v>
      </c>
      <c r="AX40" s="220" t="s">
        <v>19</v>
      </c>
      <c r="AY40" s="220" t="s">
        <v>1683</v>
      </c>
      <c r="AZ40" s="220" t="s">
        <v>1684</v>
      </c>
      <c r="BA40" s="220" t="s">
        <v>1685</v>
      </c>
      <c r="BB40" s="220" t="s">
        <v>1686</v>
      </c>
      <c r="BE40" s="1239" t="s">
        <v>6</v>
      </c>
      <c r="BF40" s="220" t="s">
        <v>7</v>
      </c>
      <c r="BG40" s="220" t="s">
        <v>13</v>
      </c>
      <c r="BH40" s="220" t="s">
        <v>14</v>
      </c>
      <c r="BI40" s="220" t="s">
        <v>15</v>
      </c>
      <c r="BJ40" s="220" t="s">
        <v>16</v>
      </c>
      <c r="BK40" s="220" t="s">
        <v>17</v>
      </c>
      <c r="BL40" s="220" t="s">
        <v>18</v>
      </c>
      <c r="BM40" s="220" t="s">
        <v>19</v>
      </c>
      <c r="BN40" s="220" t="s">
        <v>1683</v>
      </c>
      <c r="BO40" s="220" t="s">
        <v>1684</v>
      </c>
      <c r="BP40" s="220" t="s">
        <v>1685</v>
      </c>
      <c r="BQ40" s="220" t="s">
        <v>1686</v>
      </c>
      <c r="BT40" s="1239" t="s">
        <v>6</v>
      </c>
      <c r="BU40" s="220" t="s">
        <v>7</v>
      </c>
      <c r="BV40" s="220" t="s">
        <v>13</v>
      </c>
      <c r="BW40" s="220" t="s">
        <v>14</v>
      </c>
      <c r="BX40" s="220" t="s">
        <v>15</v>
      </c>
      <c r="BY40" s="220" t="s">
        <v>16</v>
      </c>
      <c r="BZ40" s="220" t="s">
        <v>17</v>
      </c>
      <c r="CA40" s="220" t="s">
        <v>18</v>
      </c>
      <c r="CB40" s="220" t="s">
        <v>19</v>
      </c>
      <c r="CI40" s="1239"/>
    </row>
    <row r="41" spans="1:95" s="220" customFormat="1">
      <c r="B41" s="1214" t="s">
        <v>1434</v>
      </c>
      <c r="E41" s="1223" t="str">
        <f t="shared" si="328"/>
        <v/>
      </c>
      <c r="F41" s="1223" t="str">
        <f t="shared" si="328"/>
        <v/>
      </c>
      <c r="G41" s="1223" t="str">
        <f t="shared" si="328"/>
        <v/>
      </c>
      <c r="H41" s="1223" t="str">
        <f t="shared" si="328"/>
        <v/>
      </c>
      <c r="I41" s="1223" t="str">
        <f t="shared" si="328"/>
        <v/>
      </c>
      <c r="J41" s="1223" t="str">
        <f t="shared" si="328"/>
        <v/>
      </c>
      <c r="K41" s="1223">
        <f t="shared" si="328"/>
        <v>2.7670396569551019</v>
      </c>
      <c r="L41" s="1244">
        <f t="shared" si="328"/>
        <v>3.068716555528114</v>
      </c>
      <c r="M41" s="1532">
        <f t="shared" si="328"/>
        <v>3.6572460035932171</v>
      </c>
      <c r="N41" s="1223">
        <f t="shared" ref="N41:T41" si="338">IFERROR(N74/N12,"")</f>
        <v>3.7047902016399279</v>
      </c>
      <c r="O41" s="1223">
        <f t="shared" si="338"/>
        <v>3.7529524742612468</v>
      </c>
      <c r="P41" s="1223">
        <f t="shared" si="338"/>
        <v>3.8017408564266422</v>
      </c>
      <c r="Q41" s="1223">
        <f t="shared" si="338"/>
        <v>3.8511634875601883</v>
      </c>
      <c r="R41" s="1223">
        <f t="shared" si="338"/>
        <v>3.9012286128984708</v>
      </c>
      <c r="S41" s="1223">
        <f t="shared" si="338"/>
        <v>3.9519445848661503</v>
      </c>
      <c r="T41" s="1223">
        <f t="shared" si="338"/>
        <v>4.0033198644694092</v>
      </c>
      <c r="U41" s="1223">
        <f t="shared" ref="U41:X41" si="339">IFERROR(U74/U12,"")</f>
        <v>4.0553630227075121</v>
      </c>
      <c r="V41" s="1223">
        <f t="shared" si="339"/>
        <v>4.1080827420027095</v>
      </c>
      <c r="W41" s="1223">
        <f t="shared" si="339"/>
        <v>4.1614878176487435</v>
      </c>
      <c r="X41" s="1223">
        <f t="shared" si="339"/>
        <v>4.2155871592781766</v>
      </c>
      <c r="Z41" s="1214" t="s">
        <v>1433</v>
      </c>
      <c r="AA41" s="1240">
        <f>$L16</f>
        <v>85719732</v>
      </c>
      <c r="AB41" s="1220">
        <f>$M16</f>
        <v>134046276</v>
      </c>
      <c r="AC41" s="1220">
        <v>137267136</v>
      </c>
      <c r="AD41" s="1220">
        <v>133278048</v>
      </c>
      <c r="AE41" s="1220">
        <v>158321952</v>
      </c>
      <c r="AF41" s="1220">
        <v>170566506.50631487</v>
      </c>
      <c r="AG41" s="1220">
        <v>164447572.62953103</v>
      </c>
      <c r="AH41" s="1220">
        <v>193473986.87985858</v>
      </c>
      <c r="AI41" s="1220">
        <v>228079405.56351978</v>
      </c>
      <c r="AJ41" s="1220">
        <v>224958571.84939334</v>
      </c>
      <c r="AK41" s="1220">
        <v>239998496.13124281</v>
      </c>
      <c r="AL41" s="1220">
        <v>256043935.87553576</v>
      </c>
      <c r="AM41" s="1220">
        <v>273162116.24419892</v>
      </c>
      <c r="AO41" s="1214" t="s">
        <v>1433</v>
      </c>
      <c r="AP41" s="1240">
        <f>$L16</f>
        <v>85719732</v>
      </c>
      <c r="AQ41" s="1220">
        <f>$M16</f>
        <v>134046276</v>
      </c>
      <c r="AR41" s="1220">
        <v>152519040</v>
      </c>
      <c r="AS41" s="1220">
        <v>148086720</v>
      </c>
      <c r="AT41" s="1220">
        <v>175913280</v>
      </c>
      <c r="AU41" s="1220">
        <v>191887319.81960422</v>
      </c>
      <c r="AV41" s="1220">
        <v>185003519.20822239</v>
      </c>
      <c r="AW41" s="1220">
        <v>217658235.23984089</v>
      </c>
      <c r="AX41" s="1220">
        <v>256589331.25895971</v>
      </c>
      <c r="AY41" s="1220">
        <v>253078393.33056751</v>
      </c>
      <c r="AZ41" s="1220">
        <v>274002867.67925066</v>
      </c>
      <c r="BA41" s="1220">
        <v>296657373.66361278</v>
      </c>
      <c r="BB41" s="1220">
        <v>321184949.97655368</v>
      </c>
      <c r="BD41" s="1214" t="s">
        <v>1433</v>
      </c>
      <c r="BE41" s="1240">
        <f>$L16</f>
        <v>85719732</v>
      </c>
      <c r="BF41" s="1220">
        <f>$M16</f>
        <v>134046276</v>
      </c>
      <c r="BG41" s="1220">
        <v>137267136</v>
      </c>
      <c r="BH41" s="1220">
        <v>133278048</v>
      </c>
      <c r="BI41" s="1220">
        <v>158321952</v>
      </c>
      <c r="BJ41" s="1220">
        <v>170566506.50631487</v>
      </c>
      <c r="BK41" s="1220">
        <v>164447572.62953103</v>
      </c>
      <c r="BL41" s="1220">
        <v>193473986.87985858</v>
      </c>
      <c r="BM41" s="1220">
        <v>228079405.56351978</v>
      </c>
      <c r="BN41" s="1220">
        <v>224958571.84939334</v>
      </c>
      <c r="BO41" s="1220">
        <v>239998496.13124281</v>
      </c>
      <c r="BP41" s="1220">
        <v>256043935.87553576</v>
      </c>
      <c r="BQ41" s="1220">
        <v>273162116.24419892</v>
      </c>
      <c r="BS41" s="1214" t="s">
        <v>1433</v>
      </c>
      <c r="BT41" s="1240">
        <v>121049726.35800897</v>
      </c>
      <c r="BU41" s="1280">
        <f>BT41*(1+BU43)</f>
        <v>189294397.57359651</v>
      </c>
      <c r="BV41" s="301">
        <f t="shared" ref="BV41" si="340">BU41*(1+BV43)</f>
        <v>193842757.82322323</v>
      </c>
      <c r="BW41" s="1280">
        <f>AB41</f>
        <v>134046276</v>
      </c>
      <c r="BX41" s="301">
        <f t="shared" ref="BX41:CB41" si="341">BW41*(1+BX43)</f>
        <v>159234535.56770843</v>
      </c>
      <c r="BY41" s="301">
        <f t="shared" si="341"/>
        <v>171549668.91097683</v>
      </c>
      <c r="BZ41" s="301">
        <f t="shared" si="341"/>
        <v>165395464.88727206</v>
      </c>
      <c r="CA41" s="301">
        <f t="shared" si="341"/>
        <v>194589190.29274726</v>
      </c>
      <c r="CB41" s="301">
        <f t="shared" si="341"/>
        <v>229394078.07115772</v>
      </c>
      <c r="CC41" s="301"/>
      <c r="CD41" s="301"/>
      <c r="CE41" s="301"/>
      <c r="CF41" s="301"/>
      <c r="CH41" s="1214"/>
      <c r="CI41" s="1240"/>
      <c r="CJ41" s="301"/>
      <c r="CK41" s="301"/>
      <c r="CL41" s="301"/>
      <c r="CM41" s="301"/>
      <c r="CN41" s="301"/>
      <c r="CO41" s="301"/>
      <c r="CP41" s="301"/>
      <c r="CQ41" s="301"/>
    </row>
    <row r="42" spans="1:95">
      <c r="B42" s="1214" t="s">
        <v>1437</v>
      </c>
      <c r="C42" s="220"/>
      <c r="D42" s="220"/>
      <c r="E42" s="1223" t="str">
        <f t="shared" si="328"/>
        <v/>
      </c>
      <c r="F42" s="1223" t="str">
        <f t="shared" si="328"/>
        <v/>
      </c>
      <c r="G42" s="1223" t="str">
        <f t="shared" si="328"/>
        <v/>
      </c>
      <c r="H42" s="1223" t="str">
        <f t="shared" si="328"/>
        <v/>
      </c>
      <c r="I42" s="1223" t="str">
        <f t="shared" si="328"/>
        <v/>
      </c>
      <c r="J42" s="1223" t="str">
        <f t="shared" si="328"/>
        <v/>
      </c>
      <c r="K42" s="1223">
        <f t="shared" si="328"/>
        <v>3.3637741331757289</v>
      </c>
      <c r="L42" s="1244">
        <f t="shared" ref="L42:M42" si="342">IFERROR(L75/L13,"")</f>
        <v>3.7811036494985411</v>
      </c>
      <c r="M42" s="1532">
        <f t="shared" si="342"/>
        <v>4.1194867259822514</v>
      </c>
      <c r="N42" s="1223">
        <f t="shared" ref="N42:T42" si="343">M42*(1+N58)</f>
        <v>4.1730400534200198</v>
      </c>
      <c r="O42" s="1223">
        <f t="shared" si="343"/>
        <v>4.2272895741144794</v>
      </c>
      <c r="P42" s="1223">
        <f t="shared" si="343"/>
        <v>4.2822443385779669</v>
      </c>
      <c r="Q42" s="1223">
        <f t="shared" si="343"/>
        <v>4.3379135149794799</v>
      </c>
      <c r="R42" s="1223">
        <f t="shared" si="343"/>
        <v>4.3943063906742124</v>
      </c>
      <c r="S42" s="1223">
        <f t="shared" si="343"/>
        <v>4.4514323737529766</v>
      </c>
      <c r="T42" s="1223">
        <f t="shared" si="343"/>
        <v>4.509300994611765</v>
      </c>
      <c r="U42" s="1223">
        <f t="shared" ref="U42:U44" si="344">T42*(1+U58)</f>
        <v>4.5679219075417175</v>
      </c>
      <c r="V42" s="1223">
        <f t="shared" ref="V42:V44" si="345">U42*(1+V58)</f>
        <v>4.6273048923397591</v>
      </c>
      <c r="W42" s="1223">
        <f t="shared" ref="W42:W44" si="346">V42*(1+W58)</f>
        <v>4.6874598559401752</v>
      </c>
      <c r="X42" s="1223">
        <f t="shared" ref="X42:X44" si="347">W42*(1+X58)</f>
        <v>4.748396834067397</v>
      </c>
    </row>
    <row r="43" spans="1:95">
      <c r="B43" s="1214" t="s">
        <v>1438</v>
      </c>
      <c r="C43" s="1214"/>
      <c r="D43" s="1214"/>
      <c r="E43" s="1223" t="str">
        <f t="shared" si="328"/>
        <v/>
      </c>
      <c r="F43" s="1223" t="str">
        <f t="shared" si="328"/>
        <v/>
      </c>
      <c r="G43" s="1223" t="str">
        <f t="shared" si="328"/>
        <v/>
      </c>
      <c r="H43" s="1223" t="str">
        <f t="shared" si="328"/>
        <v/>
      </c>
      <c r="I43" s="1223" t="str">
        <f t="shared" si="328"/>
        <v/>
      </c>
      <c r="J43" s="1223" t="str">
        <f t="shared" si="328"/>
        <v/>
      </c>
      <c r="K43" s="1223">
        <f t="shared" si="328"/>
        <v>2.6410277458281506</v>
      </c>
      <c r="L43" s="1244">
        <f t="shared" ref="L43:M43" si="348">IFERROR(L76/L14,"")</f>
        <v>2.6427294074698948</v>
      </c>
      <c r="M43" s="1532">
        <f t="shared" si="348"/>
        <v>3.3808392456473046</v>
      </c>
      <c r="N43" s="1223">
        <f t="shared" ref="N43:T43" si="349">M43*(1+N59)</f>
        <v>3.4247901558407192</v>
      </c>
      <c r="O43" s="1223">
        <f t="shared" si="349"/>
        <v>3.4693124278666483</v>
      </c>
      <c r="P43" s="1223">
        <f t="shared" si="349"/>
        <v>3.5144134894289145</v>
      </c>
      <c r="Q43" s="1223">
        <f t="shared" si="349"/>
        <v>3.5601008647914902</v>
      </c>
      <c r="R43" s="1223">
        <f t="shared" si="349"/>
        <v>3.6063821760337791</v>
      </c>
      <c r="S43" s="1223">
        <f t="shared" si="349"/>
        <v>3.6532651443222179</v>
      </c>
      <c r="T43" s="1223">
        <f t="shared" si="349"/>
        <v>3.7007575911984065</v>
      </c>
      <c r="U43" s="1223">
        <f t="shared" si="344"/>
        <v>3.7488674398839854</v>
      </c>
      <c r="V43" s="1223">
        <f t="shared" si="345"/>
        <v>3.7976027166024768</v>
      </c>
      <c r="W43" s="1223">
        <f t="shared" si="346"/>
        <v>3.8469715519183088</v>
      </c>
      <c r="X43" s="1223">
        <f t="shared" si="347"/>
        <v>3.8969821820932462</v>
      </c>
      <c r="Z43" s="1214" t="s">
        <v>1433</v>
      </c>
      <c r="AB43" s="1531">
        <f>IFERROR(AB41/AA41-1,"")</f>
        <v>0.56377385780907474</v>
      </c>
      <c r="AC43" s="1229">
        <f>IFERROR(AC41/AB41-1,"")</f>
        <v>2.4027970758396799E-2</v>
      </c>
      <c r="AD43" s="1229">
        <f>IFERROR(AD41/AC41-1,"")</f>
        <v>-2.9060765134634958E-2</v>
      </c>
      <c r="AE43" s="1229">
        <f>IFERROR(AE41/AD41-1,"")</f>
        <v>0.18790719383885324</v>
      </c>
      <c r="AF43" s="1229">
        <f>IFERROR(AF41/AE41-1,"")</f>
        <v>7.7339587793326725E-2</v>
      </c>
      <c r="AG43" s="1229">
        <f>IFERROR(AG41/AF41-1,"")</f>
        <v>-3.5874181878476241E-2</v>
      </c>
      <c r="AH43" s="1229">
        <f>IFERROR(AH41/AG41-1,"")</f>
        <v>0.17650862087042496</v>
      </c>
      <c r="AI43" s="1229">
        <f>IFERROR(AI41/AH41-1,"")</f>
        <v>0.17886341849744425</v>
      </c>
      <c r="AJ43" s="1229">
        <f>IFERROR(AJ41/AI41-1,"")</f>
        <v>-1.3683101753162452E-2</v>
      </c>
      <c r="AK43" s="1229">
        <f>IFERROR(AK41/AJ41-1,"")</f>
        <v>6.685641786487917E-2</v>
      </c>
      <c r="AL43" s="1229">
        <f>IFERROR(AL41/AK41-1,"")</f>
        <v>6.685641786487917E-2</v>
      </c>
      <c r="AM43" s="1229">
        <f>IFERROR(AM41/AL41-1,"")</f>
        <v>6.685641786487917E-2</v>
      </c>
      <c r="AO43" s="1214" t="s">
        <v>1433</v>
      </c>
      <c r="AQ43" s="1531">
        <f>IFERROR(AQ41/AP41-1,"")</f>
        <v>0.56377385780907474</v>
      </c>
      <c r="AR43" s="1229">
        <f>IFERROR(AR41/AQ41-1,"")</f>
        <v>0.13780885639821872</v>
      </c>
      <c r="AS43" s="1229">
        <f>IFERROR(AS41/AR41-1,"")</f>
        <v>-2.9060765134634958E-2</v>
      </c>
      <c r="AT43" s="1229">
        <f>IFERROR(AT41/AS41-1,"")</f>
        <v>0.18790719383885324</v>
      </c>
      <c r="AU43" s="1229">
        <f>IFERROR(AU41/AT41-1,"")</f>
        <v>9.0806332640743337E-2</v>
      </c>
      <c r="AV43" s="1229">
        <f>IFERROR(AV41/AU41-1,"")</f>
        <v>-3.5874181878476241E-2</v>
      </c>
      <c r="AW43" s="1229">
        <f>IFERROR(AW41/AV41-1,"")</f>
        <v>0.17650862087042496</v>
      </c>
      <c r="AX43" s="1229">
        <f>IFERROR(AX41/AW41-1,"")</f>
        <v>0.17886341849744425</v>
      </c>
      <c r="AY43" s="1229">
        <f>IFERROR(AY41/AX41-1,"")</f>
        <v>-1.368310175316223E-2</v>
      </c>
      <c r="AZ43" s="1229">
        <f>IFERROR(AZ41/AY41-1,"")</f>
        <v>8.2679813449549888E-2</v>
      </c>
      <c r="BA43" s="1229">
        <f>IFERROR(BA41/AZ41-1,"")</f>
        <v>8.2679813449549888E-2</v>
      </c>
      <c r="BB43" s="1229">
        <f>IFERROR(BB41/BA41-1,"")</f>
        <v>8.2679813449549888E-2</v>
      </c>
      <c r="BD43" s="1214" t="s">
        <v>1433</v>
      </c>
      <c r="BF43" s="1531">
        <f>IFERROR(BF41/BE41-1,"")</f>
        <v>0.56377385780907474</v>
      </c>
      <c r="BG43" s="1229">
        <f>IFERROR(BG41/BF41-1,"")</f>
        <v>2.4027970758396799E-2</v>
      </c>
      <c r="BH43" s="1229">
        <f>IFERROR(BH41/BG41-1,"")</f>
        <v>-2.9060765134634958E-2</v>
      </c>
      <c r="BI43" s="1229">
        <f>IFERROR(BI41/BH41-1,"")</f>
        <v>0.18790719383885324</v>
      </c>
      <c r="BJ43" s="1229">
        <f>IFERROR(BJ41/BI41-1,"")</f>
        <v>7.7339587793326725E-2</v>
      </c>
      <c r="BK43" s="1229">
        <f>IFERROR(BK41/BJ41-1,"")</f>
        <v>-3.5874181878476241E-2</v>
      </c>
      <c r="BL43" s="1229">
        <f>IFERROR(BL41/BK41-1,"")</f>
        <v>0.17650862087042496</v>
      </c>
      <c r="BM43" s="1229">
        <f>IFERROR(BM41/BL41-1,"")</f>
        <v>0.17886341849744425</v>
      </c>
      <c r="BN43" s="1229">
        <f>IFERROR(BN41/BM41-1,"")</f>
        <v>-1.3683101753162452E-2</v>
      </c>
      <c r="BO43" s="1229">
        <f>IFERROR(BO41/BN41-1,"")</f>
        <v>6.685641786487917E-2</v>
      </c>
      <c r="BP43" s="1229">
        <f>IFERROR(BP41/BO41-1,"")</f>
        <v>6.685641786487917E-2</v>
      </c>
      <c r="BQ43" s="1229">
        <f>IFERROR(BQ41/BP41-1,"")</f>
        <v>6.685641786487917E-2</v>
      </c>
      <c r="BS43" s="1214" t="s">
        <v>1433</v>
      </c>
      <c r="BU43" s="1230">
        <f>AB43</f>
        <v>0.56377385780907474</v>
      </c>
      <c r="BV43" s="1230">
        <f>AC43</f>
        <v>2.4027970758396799E-2</v>
      </c>
      <c r="BW43" s="1229">
        <f>BW41/BV41-1</f>
        <v>-0.30847931846778209</v>
      </c>
      <c r="BX43" s="1230">
        <f>AE43</f>
        <v>0.18790719383885324</v>
      </c>
      <c r="BY43" s="1230">
        <f>AF43</f>
        <v>7.7339587793326725E-2</v>
      </c>
      <c r="BZ43" s="1230">
        <f>AG43</f>
        <v>-3.5874181878476241E-2</v>
      </c>
      <c r="CA43" s="1230">
        <f>AH43</f>
        <v>0.17650862087042496</v>
      </c>
      <c r="CB43" s="1230">
        <f>AI43</f>
        <v>0.17886341849744425</v>
      </c>
      <c r="CC43" s="1230"/>
      <c r="CD43" s="1230"/>
      <c r="CE43" s="1230"/>
      <c r="CF43" s="1230"/>
      <c r="CH43" s="1214"/>
      <c r="CJ43" s="1229"/>
      <c r="CK43" s="1229"/>
      <c r="CL43" s="1229"/>
      <c r="CM43" s="1229"/>
      <c r="CN43" s="1229"/>
      <c r="CO43" s="1229"/>
      <c r="CP43" s="1229"/>
      <c r="CQ43" s="1229"/>
    </row>
    <row r="44" spans="1:95">
      <c r="B44" s="220" t="s">
        <v>1415</v>
      </c>
      <c r="E44" s="1223">
        <f t="shared" ref="E44:M44" si="350">IFERROR(E80/E15,"")</f>
        <v>0.89921973309318315</v>
      </c>
      <c r="F44" s="1223">
        <f t="shared" si="350"/>
        <v>0.86262514020725567</v>
      </c>
      <c r="G44" s="1223">
        <f t="shared" si="350"/>
        <v>0.99453579203276254</v>
      </c>
      <c r="H44" s="1223">
        <f t="shared" si="350"/>
        <v>1.0835101456822456</v>
      </c>
      <c r="I44" s="1223">
        <f t="shared" si="350"/>
        <v>0.88550873240629346</v>
      </c>
      <c r="J44" s="1223">
        <f t="shared" si="350"/>
        <v>1.1930534350929503</v>
      </c>
      <c r="K44" s="1223">
        <f t="shared" si="350"/>
        <v>0.98841755183535063</v>
      </c>
      <c r="L44" s="1244" t="str">
        <f t="shared" si="350"/>
        <v/>
      </c>
      <c r="M44" s="1532">
        <f t="shared" si="350"/>
        <v>0.98841755183535063</v>
      </c>
      <c r="N44" s="1223">
        <f t="shared" ref="N44:T44" si="351">M44*(1+N60)</f>
        <v>1.0081859028720577</v>
      </c>
      <c r="O44" s="1223">
        <f t="shared" si="351"/>
        <v>1.0283496209294991</v>
      </c>
      <c r="P44" s="1223">
        <f t="shared" si="351"/>
        <v>1.0489166133480892</v>
      </c>
      <c r="Q44" s="1223">
        <f t="shared" si="351"/>
        <v>1.0698949456150511</v>
      </c>
      <c r="R44" s="1223">
        <f t="shared" si="351"/>
        <v>1.0912928445273522</v>
      </c>
      <c r="S44" s="1223">
        <f t="shared" si="351"/>
        <v>1.1131187014178989</v>
      </c>
      <c r="T44" s="1223">
        <f t="shared" si="351"/>
        <v>1.1353810754462568</v>
      </c>
      <c r="U44" s="1223">
        <f t="shared" si="344"/>
        <v>1.1580886969551816</v>
      </c>
      <c r="V44" s="1223">
        <f t="shared" si="345"/>
        <v>1.181250470894285</v>
      </c>
      <c r="W44" s="1223">
        <f t="shared" si="346"/>
        <v>1.2048754803121704</v>
      </c>
      <c r="X44" s="1223">
        <f t="shared" si="347"/>
        <v>1.2289729899184136</v>
      </c>
    </row>
    <row r="45" spans="1:95">
      <c r="B45" s="220" t="s">
        <v>1420</v>
      </c>
      <c r="E45" s="552">
        <f t="shared" ref="E45:M45" si="352">IFERROR(E81/E16,"")</f>
        <v>1.4084116481426514</v>
      </c>
      <c r="F45" s="552">
        <f t="shared" si="352"/>
        <v>1.3667200399863861</v>
      </c>
      <c r="G45" s="552">
        <f t="shared" si="352"/>
        <v>1.3655356810371246</v>
      </c>
      <c r="H45" s="552">
        <f t="shared" si="352"/>
        <v>1.4052851831577755</v>
      </c>
      <c r="I45" s="552">
        <f t="shared" si="352"/>
        <v>1.3596022678491966</v>
      </c>
      <c r="J45" s="552">
        <f t="shared" si="352"/>
        <v>1.3737251598662146</v>
      </c>
      <c r="K45" s="552">
        <f t="shared" si="352"/>
        <v>1.5946940305713093</v>
      </c>
      <c r="L45" s="1538">
        <f t="shared" si="352"/>
        <v>1.6805430685434246</v>
      </c>
      <c r="M45" s="1544">
        <f t="shared" si="352"/>
        <v>1.6189000541800949</v>
      </c>
      <c r="N45" s="552">
        <f t="shared" ref="N45:T45" si="353">N48*N108</f>
        <v>1.6189000541800946</v>
      </c>
      <c r="O45" s="552">
        <f t="shared" si="353"/>
        <v>1.8617350623071087</v>
      </c>
      <c r="P45" s="552">
        <f t="shared" si="353"/>
        <v>1.8617350623071087</v>
      </c>
      <c r="Q45" s="552">
        <f t="shared" si="353"/>
        <v>1.8617350623071087</v>
      </c>
      <c r="R45" s="552">
        <f t="shared" si="353"/>
        <v>2.140995321653175</v>
      </c>
      <c r="S45" s="552">
        <f t="shared" si="353"/>
        <v>2.140995321653175</v>
      </c>
      <c r="T45" s="552">
        <f t="shared" si="353"/>
        <v>2.140995321653175</v>
      </c>
      <c r="U45" s="552">
        <f t="shared" ref="U45:X45" si="354">U48*U108</f>
        <v>2.4621446199011507</v>
      </c>
      <c r="V45" s="552">
        <f t="shared" si="354"/>
        <v>2.4621446199011507</v>
      </c>
      <c r="W45" s="552">
        <f t="shared" si="354"/>
        <v>2.4621446199011507</v>
      </c>
      <c r="X45" s="552">
        <f t="shared" si="354"/>
        <v>2.8314663128863233</v>
      </c>
    </row>
    <row r="46" spans="1:95" s="220" customFormat="1" hidden="1" outlineLevel="1">
      <c r="B46" s="1216" t="s">
        <v>1439</v>
      </c>
      <c r="I46" s="552"/>
      <c r="J46" s="552"/>
      <c r="K46" s="552"/>
      <c r="L46" s="1244"/>
      <c r="M46" s="1532"/>
      <c r="N46" s="552"/>
      <c r="O46" s="552"/>
      <c r="P46" s="552"/>
      <c r="Q46" s="552"/>
      <c r="R46" s="552"/>
      <c r="S46" s="552"/>
      <c r="T46" s="552"/>
      <c r="U46" s="552"/>
      <c r="V46" s="552"/>
      <c r="W46" s="552"/>
      <c r="X46" s="552"/>
      <c r="AA46" s="1239"/>
      <c r="AP46" s="1239"/>
      <c r="BE46" s="1239"/>
      <c r="BT46" s="1239"/>
      <c r="CI46" s="1239"/>
    </row>
    <row r="47" spans="1:95" s="220" customFormat="1" hidden="1" outlineLevel="1">
      <c r="B47" s="1216" t="s">
        <v>1440</v>
      </c>
      <c r="I47" s="552"/>
      <c r="J47" s="552"/>
      <c r="K47" s="552"/>
      <c r="L47" s="1244"/>
      <c r="M47" s="1532"/>
      <c r="N47" s="552"/>
      <c r="O47" s="552"/>
      <c r="P47" s="552"/>
      <c r="Q47" s="552"/>
      <c r="R47" s="552"/>
      <c r="S47" s="552"/>
      <c r="T47" s="552"/>
      <c r="U47" s="552"/>
      <c r="V47" s="552"/>
      <c r="W47" s="552"/>
      <c r="X47" s="552"/>
      <c r="AA47" s="1239"/>
      <c r="AP47" s="1239"/>
      <c r="BE47" s="1239"/>
      <c r="BT47" s="1239"/>
      <c r="CI47" s="1239"/>
    </row>
    <row r="48" spans="1:95" collapsed="1">
      <c r="B48" s="220" t="s">
        <v>1421</v>
      </c>
      <c r="E48" s="552" t="str">
        <f t="shared" ref="E48:J48" si="355">IFERROR(E45/E108,"")</f>
        <v/>
      </c>
      <c r="F48" s="552" t="str">
        <f t="shared" si="355"/>
        <v/>
      </c>
      <c r="G48" s="552" t="str">
        <f t="shared" si="355"/>
        <v/>
      </c>
      <c r="H48" s="552" t="str">
        <f t="shared" si="355"/>
        <v/>
      </c>
      <c r="I48" s="552">
        <f t="shared" si="355"/>
        <v>1.1720709205596522</v>
      </c>
      <c r="J48" s="552">
        <f t="shared" si="355"/>
        <v>1.2178414537821052</v>
      </c>
      <c r="K48" s="552">
        <f>IFERROR(K84/K16,"")</f>
        <v>1.3472604096684249</v>
      </c>
      <c r="L48" s="1538">
        <f>IFERROR(L84/L16,"")</f>
        <v>1.4181798046779954</v>
      </c>
      <c r="M48" s="1544">
        <f>IFERROR(M84/M16,"")</f>
        <v>1.3661603832743414</v>
      </c>
      <c r="N48" s="1223">
        <f>M48*(1+N64)</f>
        <v>1.3661603832743414</v>
      </c>
      <c r="O48" s="1223">
        <f t="shared" ref="O48:T48" si="356">N48*(1+O64)</f>
        <v>1.5710844407654925</v>
      </c>
      <c r="P48" s="1223">
        <f t="shared" si="356"/>
        <v>1.5710844407654925</v>
      </c>
      <c r="Q48" s="1223">
        <f t="shared" si="356"/>
        <v>1.5710844407654925</v>
      </c>
      <c r="R48" s="1223">
        <f t="shared" si="356"/>
        <v>1.8067471068803163</v>
      </c>
      <c r="S48" s="1223">
        <f t="shared" si="356"/>
        <v>1.8067471068803163</v>
      </c>
      <c r="T48" s="1223">
        <f t="shared" si="356"/>
        <v>1.8067471068803163</v>
      </c>
      <c r="U48" s="1223">
        <f t="shared" ref="U48:U50" si="357">T48*(1+U64)</f>
        <v>2.0777591729123635</v>
      </c>
      <c r="V48" s="1223">
        <f t="shared" ref="V48:V50" si="358">U48*(1+V64)</f>
        <v>2.0777591729123635</v>
      </c>
      <c r="W48" s="1223">
        <f t="shared" ref="W48:W50" si="359">V48*(1+W64)</f>
        <v>2.0777591729123635</v>
      </c>
      <c r="X48" s="1223">
        <f t="shared" ref="X48:X50" si="360">W48*(1+X64)</f>
        <v>2.3894230488492179</v>
      </c>
    </row>
    <row r="49" spans="2:87" s="220" customFormat="1" hidden="1" outlineLevel="1">
      <c r="B49" s="1216" t="s">
        <v>1439</v>
      </c>
      <c r="I49" s="552"/>
      <c r="J49" s="552"/>
      <c r="K49" s="552"/>
      <c r="L49" s="1244"/>
      <c r="M49" s="1532"/>
      <c r="N49" s="1223">
        <f t="shared" ref="N49:S50" si="361">M49*(1+N65)</f>
        <v>0</v>
      </c>
      <c r="O49" s="1223">
        <f t="shared" si="361"/>
        <v>0</v>
      </c>
      <c r="P49" s="1223">
        <f t="shared" si="361"/>
        <v>0</v>
      </c>
      <c r="Q49" s="1223">
        <f t="shared" si="361"/>
        <v>0</v>
      </c>
      <c r="R49" s="1223">
        <f t="shared" si="361"/>
        <v>0</v>
      </c>
      <c r="S49" s="1223">
        <f t="shared" si="361"/>
        <v>0</v>
      </c>
      <c r="T49" s="1223">
        <f t="shared" ref="T49" si="362">S49*(1+T65)</f>
        <v>0</v>
      </c>
      <c r="U49" s="1223">
        <f t="shared" si="357"/>
        <v>0</v>
      </c>
      <c r="V49" s="1223">
        <f t="shared" si="358"/>
        <v>0</v>
      </c>
      <c r="W49" s="1223">
        <f t="shared" si="359"/>
        <v>0</v>
      </c>
      <c r="X49" s="1223">
        <f t="shared" si="360"/>
        <v>0</v>
      </c>
      <c r="AA49" s="1239"/>
      <c r="AP49" s="1239"/>
      <c r="BE49" s="1239"/>
      <c r="BT49" s="1239"/>
      <c r="CI49" s="1239"/>
    </row>
    <row r="50" spans="2:87" s="220" customFormat="1" hidden="1" outlineLevel="1">
      <c r="B50" s="1216" t="s">
        <v>1440</v>
      </c>
      <c r="I50" s="552"/>
      <c r="J50" s="552"/>
      <c r="K50" s="552"/>
      <c r="L50" s="1244"/>
      <c r="M50" s="1532"/>
      <c r="N50" s="1223">
        <f t="shared" si="361"/>
        <v>0</v>
      </c>
      <c r="O50" s="1223">
        <f t="shared" si="361"/>
        <v>0</v>
      </c>
      <c r="P50" s="1223">
        <f t="shared" si="361"/>
        <v>0</v>
      </c>
      <c r="Q50" s="1223">
        <f t="shared" si="361"/>
        <v>0</v>
      </c>
      <c r="R50" s="1223">
        <f t="shared" si="361"/>
        <v>0</v>
      </c>
      <c r="S50" s="1223">
        <f t="shared" si="361"/>
        <v>0</v>
      </c>
      <c r="T50" s="1223">
        <f t="shared" ref="T50" si="363">S50*(1+T66)</f>
        <v>0</v>
      </c>
      <c r="U50" s="1223">
        <f t="shared" si="357"/>
        <v>0</v>
      </c>
      <c r="V50" s="1223">
        <f t="shared" si="358"/>
        <v>0</v>
      </c>
      <c r="W50" s="1223">
        <f t="shared" si="359"/>
        <v>0</v>
      </c>
      <c r="X50" s="1223">
        <f t="shared" si="360"/>
        <v>0</v>
      </c>
      <c r="AA50" s="1239"/>
      <c r="AP50" s="1239"/>
      <c r="BE50" s="1239"/>
      <c r="BT50" s="1239"/>
      <c r="CI50" s="1239"/>
    </row>
    <row r="51" spans="2:87" collapsed="1">
      <c r="AD51" s="220" t="s">
        <v>802</v>
      </c>
      <c r="AE51" s="220" t="s">
        <v>1549</v>
      </c>
    </row>
    <row r="52" spans="2:87">
      <c r="B52" s="1135" t="s">
        <v>1414</v>
      </c>
      <c r="AC52" s="220" t="s">
        <v>1837</v>
      </c>
      <c r="AD52" s="220" t="s">
        <v>1841</v>
      </c>
      <c r="AE52" s="220" t="s">
        <v>1839</v>
      </c>
      <c r="AF52" s="220" t="s">
        <v>1837</v>
      </c>
    </row>
    <row r="53" spans="2:87" s="220" customFormat="1">
      <c r="B53" s="220" t="s">
        <v>1425</v>
      </c>
      <c r="E53" s="1226" t="str">
        <f t="shared" ref="E53:T60" si="364">IFERROR(E37/D37-1,"")</f>
        <v/>
      </c>
      <c r="F53" s="1226">
        <f t="shared" si="364"/>
        <v>-1.1371690416169478E-2</v>
      </c>
      <c r="G53" s="1226">
        <f t="shared" si="364"/>
        <v>9.8284000590547205E-3</v>
      </c>
      <c r="H53" s="1226">
        <f t="shared" si="364"/>
        <v>6.516454025079077E-2</v>
      </c>
      <c r="I53" s="1226">
        <f t="shared" si="364"/>
        <v>-1.48548385534919E-3</v>
      </c>
      <c r="J53" s="1226">
        <f t="shared" si="364"/>
        <v>3.1473962882225592E-2</v>
      </c>
      <c r="K53" s="1226">
        <f t="shared" si="364"/>
        <v>-6.6720786220647033E-2</v>
      </c>
      <c r="L53" s="1245">
        <f t="shared" ref="L53:M66" si="365">IFERROR(L37/K37-1,"")</f>
        <v>2.2445750404358922E-2</v>
      </c>
      <c r="M53" s="1545">
        <f t="shared" ref="M53:T53" si="366">IFERROR(M37/L37-1,"")</f>
        <v>2.2979411457312526E-2</v>
      </c>
      <c r="N53" s="1279">
        <f t="shared" si="366"/>
        <v>1.2999999999999678E-2</v>
      </c>
      <c r="O53" s="1279">
        <f t="shared" si="366"/>
        <v>1.3000000000000123E-2</v>
      </c>
      <c r="P53" s="1279">
        <f t="shared" si="366"/>
        <v>1.2999999999999678E-2</v>
      </c>
      <c r="Q53" s="1279">
        <f t="shared" si="366"/>
        <v>1.2999999999999901E-2</v>
      </c>
      <c r="R53" s="1279">
        <f t="shared" si="366"/>
        <v>1.2999999999999901E-2</v>
      </c>
      <c r="S53" s="1279">
        <f t="shared" si="366"/>
        <v>1.2999999999999901E-2</v>
      </c>
      <c r="T53" s="1279">
        <f t="shared" si="366"/>
        <v>1.2999999999999678E-2</v>
      </c>
      <c r="U53" s="1279">
        <f t="shared" ref="U53:U54" si="367">IFERROR(U37/T37-1,"")</f>
        <v>1.3000000000000123E-2</v>
      </c>
      <c r="V53" s="1279">
        <f t="shared" ref="V53:V54" si="368">IFERROR(V37/U37-1,"")</f>
        <v>1.2999999999999678E-2</v>
      </c>
      <c r="W53" s="1279">
        <f t="shared" ref="W53:W54" si="369">IFERROR(W37/V37-1,"")</f>
        <v>1.3000000000000123E-2</v>
      </c>
      <c r="X53" s="1279">
        <f t="shared" ref="X53:X54" si="370">IFERROR(X37/W37-1,"")</f>
        <v>1.2999999999999901E-2</v>
      </c>
      <c r="AA53" s="1239"/>
      <c r="AC53" s="220" t="s">
        <v>1838</v>
      </c>
      <c r="AD53" s="220" t="s">
        <v>1842</v>
      </c>
      <c r="AE53" s="220" t="s">
        <v>1840</v>
      </c>
      <c r="AF53" s="220" t="s">
        <v>1838</v>
      </c>
      <c r="AP53" s="1239"/>
      <c r="BE53" s="1239"/>
      <c r="BT53" s="1239"/>
      <c r="CI53" s="1239"/>
    </row>
    <row r="54" spans="2:87">
      <c r="B54" s="220" t="s">
        <v>1441</v>
      </c>
      <c r="E54" s="1226" t="str">
        <f t="shared" si="364"/>
        <v/>
      </c>
      <c r="F54" s="1226" t="str">
        <f t="shared" si="364"/>
        <v/>
      </c>
      <c r="G54" s="1226" t="str">
        <f t="shared" si="364"/>
        <v/>
      </c>
      <c r="H54" s="1226" t="str">
        <f t="shared" si="364"/>
        <v/>
      </c>
      <c r="I54" s="1226" t="str">
        <f t="shared" si="364"/>
        <v/>
      </c>
      <c r="J54" s="1226" t="str">
        <f t="shared" si="364"/>
        <v/>
      </c>
      <c r="K54" s="1226" t="str">
        <f t="shared" si="364"/>
        <v/>
      </c>
      <c r="L54" s="1245" t="str">
        <f t="shared" si="365"/>
        <v/>
      </c>
      <c r="M54" s="1546">
        <f t="shared" ref="M54:T64" si="371">IFERROR(M38/L38-1,"")</f>
        <v>1.3449113158608972E-2</v>
      </c>
      <c r="N54" s="1277">
        <f t="shared" si="371"/>
        <v>1.2999999999999901E-2</v>
      </c>
      <c r="O54" s="1277">
        <f t="shared" si="371"/>
        <v>1.2999999999999901E-2</v>
      </c>
      <c r="P54" s="1277">
        <f t="shared" si="371"/>
        <v>1.2999999999999678E-2</v>
      </c>
      <c r="Q54" s="1277">
        <f t="shared" si="371"/>
        <v>1.3000000000000123E-2</v>
      </c>
      <c r="R54" s="1277">
        <f t="shared" si="371"/>
        <v>1.2999999999999678E-2</v>
      </c>
      <c r="S54" s="1277">
        <f t="shared" si="371"/>
        <v>1.2999999999999901E-2</v>
      </c>
      <c r="T54" s="1277">
        <f t="shared" si="371"/>
        <v>1.3000000000000123E-2</v>
      </c>
      <c r="U54" s="1277">
        <f t="shared" si="367"/>
        <v>1.3000000000000123E-2</v>
      </c>
      <c r="V54" s="1277">
        <f t="shared" si="368"/>
        <v>1.2999999999999901E-2</v>
      </c>
      <c r="W54" s="1277">
        <f t="shared" si="369"/>
        <v>1.2999999999999901E-2</v>
      </c>
      <c r="X54" s="1277">
        <f t="shared" si="370"/>
        <v>1.2999999999999678E-2</v>
      </c>
    </row>
    <row r="55" spans="2:87">
      <c r="B55" s="220" t="s">
        <v>1435</v>
      </c>
      <c r="E55" s="1226" t="str">
        <f t="shared" si="364"/>
        <v/>
      </c>
      <c r="F55" s="1226" t="str">
        <f t="shared" si="364"/>
        <v/>
      </c>
      <c r="G55" s="1226" t="str">
        <f t="shared" si="364"/>
        <v/>
      </c>
      <c r="H55" s="1226" t="str">
        <f t="shared" si="364"/>
        <v/>
      </c>
      <c r="I55" s="1226" t="str">
        <f t="shared" si="364"/>
        <v/>
      </c>
      <c r="J55" s="1226" t="str">
        <f t="shared" si="364"/>
        <v/>
      </c>
      <c r="K55" s="1226" t="str">
        <f t="shared" si="364"/>
        <v/>
      </c>
      <c r="L55" s="1245" t="str">
        <f t="shared" si="365"/>
        <v/>
      </c>
      <c r="M55" s="1546">
        <f t="shared" si="371"/>
        <v>-0.14694694196041758</v>
      </c>
      <c r="N55" s="1278">
        <v>1.2999999999999999E-2</v>
      </c>
      <c r="O55" s="1278">
        <v>1.2999999999999999E-2</v>
      </c>
      <c r="P55" s="1278">
        <v>1.2999999999999999E-2</v>
      </c>
      <c r="Q55" s="1278">
        <v>1.2999999999999999E-2</v>
      </c>
      <c r="R55" s="1278">
        <v>1.2999999999999999E-2</v>
      </c>
      <c r="S55" s="1278">
        <v>1.2999999999999999E-2</v>
      </c>
      <c r="T55" s="1278">
        <v>1.2999999999999999E-2</v>
      </c>
      <c r="U55" s="1278">
        <v>1.2999999999999999E-2</v>
      </c>
      <c r="V55" s="1278">
        <v>1.2999999999999999E-2</v>
      </c>
      <c r="W55" s="1278">
        <v>1.2999999999999999E-2</v>
      </c>
      <c r="X55" s="1278">
        <v>1.2999999999999999E-2</v>
      </c>
    </row>
    <row r="56" spans="2:87" s="220" customFormat="1">
      <c r="B56" s="220" t="s">
        <v>1436</v>
      </c>
      <c r="E56" s="1226" t="str">
        <f t="shared" si="364"/>
        <v/>
      </c>
      <c r="F56" s="1226" t="str">
        <f t="shared" si="364"/>
        <v/>
      </c>
      <c r="G56" s="1226" t="str">
        <f t="shared" si="364"/>
        <v/>
      </c>
      <c r="H56" s="1226" t="str">
        <f t="shared" si="364"/>
        <v/>
      </c>
      <c r="I56" s="1226" t="str">
        <f t="shared" si="364"/>
        <v/>
      </c>
      <c r="J56" s="1226" t="str">
        <f t="shared" si="364"/>
        <v/>
      </c>
      <c r="K56" s="1226" t="str">
        <f t="shared" si="364"/>
        <v/>
      </c>
      <c r="L56" s="1245" t="str">
        <f t="shared" si="365"/>
        <v/>
      </c>
      <c r="M56" s="1546">
        <f t="shared" si="371"/>
        <v>0.38999406026355876</v>
      </c>
      <c r="N56" s="1278">
        <v>1.2999999999999999E-2</v>
      </c>
      <c r="O56" s="1278">
        <v>1.2999999999999999E-2</v>
      </c>
      <c r="P56" s="1278">
        <v>1.2999999999999999E-2</v>
      </c>
      <c r="Q56" s="1278">
        <v>1.2999999999999999E-2</v>
      </c>
      <c r="R56" s="1278">
        <v>1.2999999999999999E-2</v>
      </c>
      <c r="S56" s="1278">
        <v>1.2999999999999999E-2</v>
      </c>
      <c r="T56" s="1278">
        <v>1.2999999999999999E-2</v>
      </c>
      <c r="U56" s="1278">
        <v>1.2999999999999999E-2</v>
      </c>
      <c r="V56" s="1278">
        <v>1.2999999999999999E-2</v>
      </c>
      <c r="W56" s="1278">
        <v>1.2999999999999999E-2</v>
      </c>
      <c r="X56" s="1278">
        <v>1.2999999999999999E-2</v>
      </c>
      <c r="AA56" s="1239"/>
      <c r="AP56" s="1239"/>
      <c r="BE56" s="1239"/>
      <c r="BT56" s="1239"/>
      <c r="CI56" s="1239"/>
    </row>
    <row r="57" spans="2:87" s="220" customFormat="1">
      <c r="B57" s="1214" t="s">
        <v>1434</v>
      </c>
      <c r="E57" s="1226" t="str">
        <f t="shared" si="364"/>
        <v/>
      </c>
      <c r="F57" s="1226" t="str">
        <f t="shared" si="364"/>
        <v/>
      </c>
      <c r="G57" s="1226" t="str">
        <f t="shared" si="364"/>
        <v/>
      </c>
      <c r="H57" s="1226" t="str">
        <f t="shared" si="364"/>
        <v/>
      </c>
      <c r="I57" s="1226" t="str">
        <f t="shared" si="364"/>
        <v/>
      </c>
      <c r="J57" s="1226" t="str">
        <f t="shared" si="364"/>
        <v/>
      </c>
      <c r="K57" s="1226" t="str">
        <f t="shared" si="364"/>
        <v/>
      </c>
      <c r="L57" s="1245">
        <f t="shared" si="365"/>
        <v>0.10902514454924095</v>
      </c>
      <c r="M57" s="1546">
        <f t="shared" si="364"/>
        <v>0.19178358033911658</v>
      </c>
      <c r="N57" s="1277">
        <f t="shared" si="364"/>
        <v>1.2999999999999678E-2</v>
      </c>
      <c r="O57" s="1277">
        <f t="shared" si="364"/>
        <v>1.2999999999999901E-2</v>
      </c>
      <c r="P57" s="1277">
        <f t="shared" si="364"/>
        <v>1.2999999999999678E-2</v>
      </c>
      <c r="Q57" s="1277">
        <f t="shared" si="364"/>
        <v>1.2999999999999901E-2</v>
      </c>
      <c r="R57" s="1277">
        <f t="shared" si="364"/>
        <v>1.2999999999999901E-2</v>
      </c>
      <c r="S57" s="1277">
        <f t="shared" si="364"/>
        <v>1.2999999999999901E-2</v>
      </c>
      <c r="T57" s="1277">
        <f t="shared" si="364"/>
        <v>1.2999999999999678E-2</v>
      </c>
      <c r="U57" s="1277">
        <f t="shared" ref="U57" si="372">IFERROR(U41/T41-1,"")</f>
        <v>1.3000000000000123E-2</v>
      </c>
      <c r="V57" s="1277">
        <f t="shared" ref="V57" si="373">IFERROR(V41/U41-1,"")</f>
        <v>1.2999999999999901E-2</v>
      </c>
      <c r="W57" s="1277">
        <f t="shared" ref="W57" si="374">IFERROR(W41/V41-1,"")</f>
        <v>1.2999999999999678E-2</v>
      </c>
      <c r="X57" s="1277">
        <f t="shared" ref="X57" si="375">IFERROR(X41/W41-1,"")</f>
        <v>1.2999999999999901E-2</v>
      </c>
      <c r="AA57" s="1239"/>
      <c r="AP57" s="1239"/>
      <c r="BE57" s="1239"/>
      <c r="BT57" s="1239"/>
      <c r="CI57" s="1239"/>
    </row>
    <row r="58" spans="2:87" s="220" customFormat="1">
      <c r="B58" s="1214" t="s">
        <v>1437</v>
      </c>
      <c r="E58" s="1226" t="str">
        <f t="shared" si="364"/>
        <v/>
      </c>
      <c r="F58" s="1226" t="str">
        <f t="shared" si="364"/>
        <v/>
      </c>
      <c r="G58" s="1226" t="str">
        <f t="shared" si="364"/>
        <v/>
      </c>
      <c r="H58" s="1226" t="str">
        <f t="shared" si="364"/>
        <v/>
      </c>
      <c r="I58" s="1226" t="str">
        <f t="shared" si="364"/>
        <v/>
      </c>
      <c r="J58" s="1226" t="str">
        <f t="shared" si="364"/>
        <v/>
      </c>
      <c r="K58" s="1226" t="str">
        <f t="shared" si="364"/>
        <v/>
      </c>
      <c r="L58" s="1245">
        <f t="shared" si="365"/>
        <v>0.1240658557323564</v>
      </c>
      <c r="M58" s="1546">
        <f t="shared" si="371"/>
        <v>8.949320300399255E-2</v>
      </c>
      <c r="N58" s="1278">
        <v>1.2999999999999999E-2</v>
      </c>
      <c r="O58" s="1278">
        <v>1.2999999999999999E-2</v>
      </c>
      <c r="P58" s="1278">
        <v>1.2999999999999999E-2</v>
      </c>
      <c r="Q58" s="1278">
        <v>1.2999999999999999E-2</v>
      </c>
      <c r="R58" s="1278">
        <v>1.2999999999999999E-2</v>
      </c>
      <c r="S58" s="1278">
        <v>1.2999999999999999E-2</v>
      </c>
      <c r="T58" s="1278">
        <v>1.2999999999999999E-2</v>
      </c>
      <c r="U58" s="1278">
        <v>1.2999999999999999E-2</v>
      </c>
      <c r="V58" s="1278">
        <v>1.2999999999999999E-2</v>
      </c>
      <c r="W58" s="1278">
        <v>1.2999999999999999E-2</v>
      </c>
      <c r="X58" s="1278">
        <v>1.2999999999999999E-2</v>
      </c>
      <c r="AA58" s="1239"/>
      <c r="AP58" s="1239"/>
      <c r="BE58" s="1239"/>
      <c r="BT58" s="1239"/>
      <c r="CI58" s="1239"/>
    </row>
    <row r="59" spans="2:87">
      <c r="B59" s="1214" t="s">
        <v>1438</v>
      </c>
      <c r="E59" s="1226" t="str">
        <f t="shared" si="364"/>
        <v/>
      </c>
      <c r="F59" s="1226" t="str">
        <f t="shared" si="364"/>
        <v/>
      </c>
      <c r="G59" s="1226" t="str">
        <f t="shared" si="364"/>
        <v/>
      </c>
      <c r="H59" s="1226" t="str">
        <f t="shared" si="364"/>
        <v/>
      </c>
      <c r="I59" s="1226" t="str">
        <f t="shared" si="364"/>
        <v/>
      </c>
      <c r="J59" s="1226" t="str">
        <f t="shared" si="364"/>
        <v/>
      </c>
      <c r="K59" s="1226" t="str">
        <f t="shared" si="364"/>
        <v/>
      </c>
      <c r="L59" s="1245">
        <f t="shared" si="365"/>
        <v>6.4431797221065068E-4</v>
      </c>
      <c r="M59" s="1546">
        <f t="shared" si="371"/>
        <v>0.27929830276648104</v>
      </c>
      <c r="N59" s="1278">
        <v>1.2999999999999999E-2</v>
      </c>
      <c r="O59" s="1278">
        <v>1.2999999999999999E-2</v>
      </c>
      <c r="P59" s="1278">
        <v>1.2999999999999999E-2</v>
      </c>
      <c r="Q59" s="1278">
        <v>1.2999999999999999E-2</v>
      </c>
      <c r="R59" s="1278">
        <v>1.2999999999999999E-2</v>
      </c>
      <c r="S59" s="1278">
        <v>1.2999999999999999E-2</v>
      </c>
      <c r="T59" s="1278">
        <v>1.2999999999999999E-2</v>
      </c>
      <c r="U59" s="1278">
        <v>1.2999999999999999E-2</v>
      </c>
      <c r="V59" s="1278">
        <v>1.2999999999999999E-2</v>
      </c>
      <c r="W59" s="1278">
        <v>1.2999999999999999E-2</v>
      </c>
      <c r="X59" s="1278">
        <v>1.2999999999999999E-2</v>
      </c>
    </row>
    <row r="60" spans="2:87">
      <c r="B60" s="220" t="s">
        <v>1415</v>
      </c>
      <c r="E60" s="1226" t="str">
        <f t="shared" si="364"/>
        <v/>
      </c>
      <c r="F60" s="1226">
        <f t="shared" si="364"/>
        <v>-4.0695940646283901E-2</v>
      </c>
      <c r="G60" s="1226">
        <f t="shared" si="364"/>
        <v>0.15291769933092114</v>
      </c>
      <c r="H60" s="1226">
        <f t="shared" si="364"/>
        <v>8.9463199175190633E-2</v>
      </c>
      <c r="I60" s="1226">
        <f t="shared" si="364"/>
        <v>-0.18274070996472125</v>
      </c>
      <c r="J60" s="1226">
        <f t="shared" si="364"/>
        <v>0.34730849220530069</v>
      </c>
      <c r="K60" s="1226">
        <f t="shared" si="364"/>
        <v>-0.17152281468571151</v>
      </c>
      <c r="L60" s="1245" t="str">
        <f t="shared" si="365"/>
        <v/>
      </c>
      <c r="M60" s="1533" t="str">
        <f t="shared" si="365"/>
        <v/>
      </c>
      <c r="N60" s="1228">
        <v>2.0000000000000018E-2</v>
      </c>
      <c r="O60" s="1228">
        <v>2.000000000000024E-2</v>
      </c>
      <c r="P60" s="1228">
        <v>2.0000000000000018E-2</v>
      </c>
      <c r="Q60" s="1228">
        <v>2.0000000000000018E-2</v>
      </c>
      <c r="R60" s="1228">
        <v>2.0000000000000018E-2</v>
      </c>
      <c r="S60" s="1228">
        <v>1.9999999999999796E-2</v>
      </c>
      <c r="T60" s="1228">
        <v>1.9999999999999796E-2</v>
      </c>
      <c r="U60" s="1228">
        <v>1.9999999999999796E-2</v>
      </c>
      <c r="V60" s="1228">
        <v>1.9999999999999796E-2</v>
      </c>
      <c r="W60" s="1228">
        <v>1.9999999999999796E-2</v>
      </c>
      <c r="X60" s="1228">
        <v>1.9999999999999796E-2</v>
      </c>
    </row>
    <row r="61" spans="2:87">
      <c r="B61" s="220" t="s">
        <v>1420</v>
      </c>
      <c r="E61" s="1226" t="str">
        <f t="shared" ref="E61:T61" si="376">IFERROR(E45/D45-1,"")</f>
        <v/>
      </c>
      <c r="F61" s="1226">
        <f t="shared" si="376"/>
        <v>-2.9601862645233235E-2</v>
      </c>
      <c r="G61" s="1226">
        <f t="shared" si="376"/>
        <v>-8.6657026648506719E-4</v>
      </c>
      <c r="H61" s="1226">
        <f t="shared" si="376"/>
        <v>2.9109090793190573E-2</v>
      </c>
      <c r="I61" s="1226">
        <f t="shared" si="376"/>
        <v>-3.2507932095267811E-2</v>
      </c>
      <c r="J61" s="1226">
        <f t="shared" si="376"/>
        <v>1.0387517254850875E-2</v>
      </c>
      <c r="K61" s="1226">
        <f t="shared" si="376"/>
        <v>0.16085376985205291</v>
      </c>
      <c r="L61" s="1245">
        <f t="shared" si="365"/>
        <v>5.3834175287756914E-2</v>
      </c>
      <c r="M61" s="1557">
        <f t="shared" si="371"/>
        <v>-3.6680413324222338E-2</v>
      </c>
      <c r="N61" s="1226">
        <f t="shared" si="376"/>
        <v>-1.1102230246251565E-16</v>
      </c>
      <c r="O61" s="1226">
        <f t="shared" si="376"/>
        <v>0.14999999999999991</v>
      </c>
      <c r="P61" s="1226">
        <f t="shared" si="376"/>
        <v>0</v>
      </c>
      <c r="Q61" s="1226">
        <f t="shared" si="376"/>
        <v>0</v>
      </c>
      <c r="R61" s="1226">
        <f t="shared" si="376"/>
        <v>0.14999999999999991</v>
      </c>
      <c r="S61" s="1226">
        <f t="shared" si="376"/>
        <v>0</v>
      </c>
      <c r="T61" s="1226">
        <f t="shared" si="376"/>
        <v>0</v>
      </c>
      <c r="U61" s="1226">
        <f t="shared" ref="U61" si="377">IFERROR(U45/T45-1,"")</f>
        <v>0.14999999999999969</v>
      </c>
      <c r="V61" s="1226">
        <f t="shared" ref="V61" si="378">IFERROR(V45/U45-1,"")</f>
        <v>0</v>
      </c>
      <c r="W61" s="1226">
        <f t="shared" ref="W61" si="379">IFERROR(W45/V45-1,"")</f>
        <v>0</v>
      </c>
      <c r="X61" s="1226">
        <f t="shared" ref="X61" si="380">IFERROR(X45/W45-1,"")</f>
        <v>0.14999999999999991</v>
      </c>
    </row>
    <row r="62" spans="2:87" s="220" customFormat="1" hidden="1" outlineLevel="1">
      <c r="B62" s="1216" t="s">
        <v>1439</v>
      </c>
      <c r="E62" s="1226" t="str">
        <f t="shared" ref="E62:K62" si="381">IFERROR(E46/D46-1,"")</f>
        <v/>
      </c>
      <c r="F62" s="1226" t="str">
        <f t="shared" si="381"/>
        <v/>
      </c>
      <c r="G62" s="1226" t="str">
        <f t="shared" si="381"/>
        <v/>
      </c>
      <c r="H62" s="1226" t="str">
        <f t="shared" si="381"/>
        <v/>
      </c>
      <c r="I62" s="1226" t="str">
        <f t="shared" si="381"/>
        <v/>
      </c>
      <c r="J62" s="1226" t="str">
        <f t="shared" si="381"/>
        <v/>
      </c>
      <c r="K62" s="1226" t="str">
        <f t="shared" si="381"/>
        <v/>
      </c>
      <c r="L62" s="1245" t="str">
        <f t="shared" si="365"/>
        <v/>
      </c>
      <c r="M62" s="1546" t="str">
        <f t="shared" si="371"/>
        <v/>
      </c>
      <c r="N62" s="1236"/>
      <c r="O62" s="1236"/>
      <c r="P62" s="1236"/>
      <c r="Q62" s="1236"/>
      <c r="R62" s="1236"/>
      <c r="S62" s="1236"/>
      <c r="T62" s="1236"/>
      <c r="U62" s="1236"/>
      <c r="V62" s="1236"/>
      <c r="W62" s="1236"/>
      <c r="X62" s="1236"/>
      <c r="AA62" s="1239"/>
      <c r="AP62" s="1239"/>
      <c r="BE62" s="1239"/>
      <c r="BT62" s="1239"/>
      <c r="CI62" s="1239"/>
    </row>
    <row r="63" spans="2:87" s="220" customFormat="1" hidden="1" outlineLevel="1">
      <c r="B63" s="1216" t="s">
        <v>1440</v>
      </c>
      <c r="E63" s="1226" t="str">
        <f t="shared" ref="E63:K63" si="382">IFERROR(E47/D47-1,"")</f>
        <v/>
      </c>
      <c r="F63" s="1226" t="str">
        <f t="shared" si="382"/>
        <v/>
      </c>
      <c r="G63" s="1226" t="str">
        <f t="shared" si="382"/>
        <v/>
      </c>
      <c r="H63" s="1226" t="str">
        <f t="shared" si="382"/>
        <v/>
      </c>
      <c r="I63" s="1226" t="str">
        <f t="shared" si="382"/>
        <v/>
      </c>
      <c r="J63" s="1226" t="str">
        <f t="shared" si="382"/>
        <v/>
      </c>
      <c r="K63" s="1226" t="str">
        <f t="shared" si="382"/>
        <v/>
      </c>
      <c r="L63" s="1245" t="str">
        <f t="shared" si="365"/>
        <v/>
      </c>
      <c r="M63" s="1546" t="str">
        <f t="shared" si="371"/>
        <v/>
      </c>
      <c r="N63" s="1236"/>
      <c r="O63" s="1236"/>
      <c r="P63" s="1236"/>
      <c r="Q63" s="1236"/>
      <c r="R63" s="1236"/>
      <c r="S63" s="1236"/>
      <c r="T63" s="1236"/>
      <c r="U63" s="1236"/>
      <c r="V63" s="1236"/>
      <c r="W63" s="1236"/>
      <c r="X63" s="1236"/>
      <c r="AA63" s="1239"/>
      <c r="AP63" s="1239"/>
      <c r="BE63" s="1239"/>
      <c r="BT63" s="1239"/>
      <c r="CI63" s="1239"/>
    </row>
    <row r="64" spans="2:87" collapsed="1">
      <c r="B64" s="220" t="s">
        <v>1421</v>
      </c>
      <c r="E64" s="1226" t="str">
        <f t="shared" ref="E64:K64" si="383">IFERROR(E48/D48-1,"")</f>
        <v/>
      </c>
      <c r="F64" s="1226" t="str">
        <f t="shared" si="383"/>
        <v/>
      </c>
      <c r="G64" s="1226" t="str">
        <f t="shared" si="383"/>
        <v/>
      </c>
      <c r="H64" s="1226" t="str">
        <f t="shared" si="383"/>
        <v/>
      </c>
      <c r="I64" s="1226" t="str">
        <f t="shared" si="383"/>
        <v/>
      </c>
      <c r="J64" s="1226">
        <f t="shared" si="383"/>
        <v>3.905099292165537E-2</v>
      </c>
      <c r="K64" s="1226">
        <f t="shared" si="383"/>
        <v>0.10626913337889654</v>
      </c>
      <c r="L64" s="1245">
        <f t="shared" si="365"/>
        <v>5.2639708330050716E-2</v>
      </c>
      <c r="M64" s="1546">
        <f t="shared" si="371"/>
        <v>-3.6680413324222449E-2</v>
      </c>
      <c r="N64" s="1228"/>
      <c r="O64" s="1228">
        <v>0.15</v>
      </c>
      <c r="P64" s="1228">
        <v>0</v>
      </c>
      <c r="Q64" s="1228"/>
      <c r="R64" s="1228">
        <v>0.15</v>
      </c>
      <c r="S64" s="1228">
        <v>0</v>
      </c>
      <c r="T64" s="1228">
        <v>0</v>
      </c>
      <c r="U64" s="1228">
        <v>0.15</v>
      </c>
      <c r="V64" s="1228">
        <v>0</v>
      </c>
      <c r="W64" s="1228">
        <v>0</v>
      </c>
      <c r="X64" s="1228">
        <v>0.15</v>
      </c>
    </row>
    <row r="65" spans="1:95" s="220" customFormat="1" hidden="1" outlineLevel="1">
      <c r="B65" s="1216" t="s">
        <v>1439</v>
      </c>
      <c r="E65" s="1226" t="str">
        <f t="shared" ref="E65:K65" si="384">IFERROR(E49/D49-1,"")</f>
        <v/>
      </c>
      <c r="F65" s="1226" t="str">
        <f t="shared" si="384"/>
        <v/>
      </c>
      <c r="G65" s="1226" t="str">
        <f t="shared" si="384"/>
        <v/>
      </c>
      <c r="H65" s="1226" t="str">
        <f t="shared" si="384"/>
        <v/>
      </c>
      <c r="I65" s="1226" t="str">
        <f t="shared" si="384"/>
        <v/>
      </c>
      <c r="J65" s="1226" t="str">
        <f t="shared" si="384"/>
        <v/>
      </c>
      <c r="K65" s="1226" t="str">
        <f t="shared" si="384"/>
        <v/>
      </c>
      <c r="L65" s="1245" t="str">
        <f t="shared" si="365"/>
        <v/>
      </c>
      <c r="M65" s="1543"/>
      <c r="N65" s="1228"/>
      <c r="O65" s="1228"/>
      <c r="P65" s="1228"/>
      <c r="Q65" s="1228"/>
      <c r="R65" s="1228"/>
      <c r="S65" s="1228"/>
      <c r="T65" s="1228"/>
      <c r="U65" s="1228"/>
      <c r="V65" s="1228"/>
      <c r="W65" s="1228"/>
      <c r="X65" s="1228"/>
      <c r="AA65" s="1239"/>
      <c r="AP65" s="1239"/>
      <c r="BE65" s="1239"/>
      <c r="BT65" s="1239"/>
      <c r="CI65" s="1239"/>
    </row>
    <row r="66" spans="1:95" s="220" customFormat="1" hidden="1" outlineLevel="1">
      <c r="B66" s="1216" t="s">
        <v>1440</v>
      </c>
      <c r="E66" s="1226" t="str">
        <f t="shared" ref="E66:K66" si="385">IFERROR(E50/D50-1,"")</f>
        <v/>
      </c>
      <c r="F66" s="1226" t="str">
        <f t="shared" si="385"/>
        <v/>
      </c>
      <c r="G66" s="1226" t="str">
        <f t="shared" si="385"/>
        <v/>
      </c>
      <c r="H66" s="1226" t="str">
        <f t="shared" si="385"/>
        <v/>
      </c>
      <c r="I66" s="1226" t="str">
        <f t="shared" si="385"/>
        <v/>
      </c>
      <c r="J66" s="1226" t="str">
        <f t="shared" si="385"/>
        <v/>
      </c>
      <c r="K66" s="1226" t="str">
        <f t="shared" si="385"/>
        <v/>
      </c>
      <c r="L66" s="1245" t="str">
        <f t="shared" si="365"/>
        <v/>
      </c>
      <c r="M66" s="1543"/>
      <c r="N66" s="1228"/>
      <c r="O66" s="1228"/>
      <c r="P66" s="1228"/>
      <c r="Q66" s="1228"/>
      <c r="R66" s="1228"/>
      <c r="S66" s="1228"/>
      <c r="T66" s="1228"/>
      <c r="U66" s="1228"/>
      <c r="V66" s="1228"/>
      <c r="W66" s="1228"/>
      <c r="X66" s="1228"/>
      <c r="AA66" s="1239"/>
      <c r="AP66" s="1239"/>
      <c r="BE66" s="1239"/>
      <c r="BT66" s="1239"/>
      <c r="CI66" s="1239"/>
    </row>
    <row r="67" spans="1:95" collapsed="1"/>
    <row r="68" spans="1:95">
      <c r="A68" s="551" t="s">
        <v>1422</v>
      </c>
    </row>
    <row r="69" spans="1:95">
      <c r="B69" s="1135" t="s">
        <v>1422</v>
      </c>
      <c r="AA69" s="1239" t="s">
        <v>6</v>
      </c>
      <c r="AB69" s="220" t="s">
        <v>7</v>
      </c>
      <c r="AC69" s="220" t="s">
        <v>13</v>
      </c>
      <c r="AD69" s="220" t="s">
        <v>14</v>
      </c>
      <c r="AE69" s="220" t="s">
        <v>15</v>
      </c>
      <c r="AF69" s="220" t="s">
        <v>16</v>
      </c>
      <c r="AG69" s="220" t="s">
        <v>17</v>
      </c>
      <c r="AH69" s="220" t="s">
        <v>18</v>
      </c>
      <c r="AI69" s="220" t="s">
        <v>19</v>
      </c>
    </row>
    <row r="70" spans="1:95" s="220" customFormat="1">
      <c r="B70" s="220" t="s">
        <v>1425</v>
      </c>
      <c r="E70" s="301">
        <v>287997390.55000019</v>
      </c>
      <c r="F70" s="301">
        <v>283210167.04999995</v>
      </c>
      <c r="G70" s="301">
        <v>295395481.97999996</v>
      </c>
      <c r="H70" s="301">
        <v>315896077.18000001</v>
      </c>
      <c r="I70" s="301">
        <v>319787661.25999999</v>
      </c>
      <c r="J70" s="301">
        <v>268809814.51999998</v>
      </c>
      <c r="K70" s="1224">
        <f>'Core P&amp;L'!$BN37</f>
        <v>113620327.33</v>
      </c>
      <c r="L70" s="1240">
        <f>'Core P&amp;L'!$AJ37</f>
        <v>223205413.31</v>
      </c>
      <c r="M70" s="1220">
        <f>'Core P&amp;L'!$T37</f>
        <v>186643648.92051476</v>
      </c>
      <c r="N70" s="301">
        <f t="shared" ref="N70:T70" si="386">N71+N74</f>
        <v>197031741.21279854</v>
      </c>
      <c r="O70" s="301">
        <f t="shared" si="386"/>
        <v>243605885.34575254</v>
      </c>
      <c r="P70" s="301">
        <f t="shared" si="386"/>
        <v>279451614.01633561</v>
      </c>
      <c r="Q70" s="301">
        <f t="shared" si="386"/>
        <v>301957938.31673902</v>
      </c>
      <c r="R70" s="301">
        <f t="shared" si="386"/>
        <v>322857140.25552857</v>
      </c>
      <c r="S70" s="301">
        <f t="shared" si="386"/>
        <v>347229705.78097159</v>
      </c>
      <c r="T70" s="301">
        <f t="shared" si="386"/>
        <v>356712105.51321137</v>
      </c>
      <c r="U70" s="301">
        <f t="shared" ref="U70:X70" si="387">U71+U74</f>
        <v>361873656.62739241</v>
      </c>
      <c r="V70" s="301">
        <f t="shared" si="387"/>
        <v>369706235.40522677</v>
      </c>
      <c r="W70" s="301">
        <f t="shared" si="387"/>
        <v>374863539.66724896</v>
      </c>
      <c r="X70" s="301">
        <f t="shared" si="387"/>
        <v>382851299.27086765</v>
      </c>
      <c r="AA70" s="1239"/>
      <c r="AP70" s="1239"/>
      <c r="BE70" s="1239"/>
      <c r="BT70" s="1239"/>
      <c r="CI70" s="1239"/>
    </row>
    <row r="71" spans="1:95">
      <c r="B71" s="220" t="s">
        <v>1441</v>
      </c>
      <c r="E71" s="301"/>
      <c r="F71" s="301"/>
      <c r="G71" s="301"/>
      <c r="H71" s="301"/>
      <c r="I71" s="301"/>
      <c r="J71" s="301"/>
      <c r="K71" s="301">
        <f>SUM(K72:K73)</f>
        <v>0</v>
      </c>
      <c r="L71" s="1240">
        <f>SUM(L72:L73)</f>
        <v>211277190</v>
      </c>
      <c r="M71" s="301">
        <f>SUM(M72:M73)</f>
        <v>175023417.32183284</v>
      </c>
      <c r="N71" s="301">
        <f t="shared" ref="N71:T71" si="388">SUM(N72:N73)</f>
        <v>184764758.22984517</v>
      </c>
      <c r="O71" s="301">
        <f t="shared" si="388"/>
        <v>228439246.55095959</v>
      </c>
      <c r="P71" s="301">
        <f t="shared" si="388"/>
        <v>262053258.94625124</v>
      </c>
      <c r="Q71" s="301">
        <f t="shared" si="388"/>
        <v>283158363.85173649</v>
      </c>
      <c r="R71" s="301">
        <f t="shared" si="388"/>
        <v>302756404.09463686</v>
      </c>
      <c r="S71" s="301">
        <f t="shared" si="388"/>
        <v>325611560.06611049</v>
      </c>
      <c r="T71" s="301">
        <f t="shared" si="388"/>
        <v>334503595.85273951</v>
      </c>
      <c r="U71" s="301">
        <f t="shared" ref="U71:X71" si="389">SUM(U72:U73)</f>
        <v>339343794.38030905</v>
      </c>
      <c r="V71" s="301">
        <f t="shared" si="389"/>
        <v>346688725.27974105</v>
      </c>
      <c r="W71" s="301">
        <f t="shared" si="389"/>
        <v>351524941.35957128</v>
      </c>
      <c r="X71" s="301">
        <f t="shared" si="389"/>
        <v>359015391.69450879</v>
      </c>
    </row>
    <row r="72" spans="1:95">
      <c r="B72" s="220" t="s">
        <v>1435</v>
      </c>
      <c r="E72" s="301"/>
      <c r="F72" s="301"/>
      <c r="G72" s="301"/>
      <c r="H72" s="301"/>
      <c r="I72" s="301"/>
      <c r="J72" s="301"/>
      <c r="K72" s="301"/>
      <c r="L72" s="1240">
        <v>148164059</v>
      </c>
      <c r="M72" s="1555">
        <v>103314317.57808633</v>
      </c>
      <c r="N72" s="301">
        <f t="shared" ref="N72:T72" si="390">N10*N39</f>
        <v>109064519.48596124</v>
      </c>
      <c r="O72" s="301">
        <f t="shared" si="390"/>
        <v>134845069.45757452</v>
      </c>
      <c r="P72" s="301">
        <f t="shared" si="390"/>
        <v>154687035.77740186</v>
      </c>
      <c r="Q72" s="301">
        <f t="shared" si="390"/>
        <v>167145137.35083133</v>
      </c>
      <c r="R72" s="301">
        <f t="shared" si="390"/>
        <v>178713635.92402512</v>
      </c>
      <c r="S72" s="301">
        <f t="shared" si="390"/>
        <v>192204772.58713594</v>
      </c>
      <c r="T72" s="301">
        <f t="shared" si="390"/>
        <v>197453639.41440308</v>
      </c>
      <c r="U72" s="301">
        <f t="shared" ref="U72:X72" si="391">U10*U39</f>
        <v>200310753.13935563</v>
      </c>
      <c r="V72" s="301">
        <f t="shared" si="391"/>
        <v>204646381.68063632</v>
      </c>
      <c r="W72" s="301">
        <f t="shared" si="391"/>
        <v>207501144.61232486</v>
      </c>
      <c r="X72" s="301">
        <f t="shared" si="391"/>
        <v>211922671.608816</v>
      </c>
      <c r="Z72" s="220" t="s">
        <v>1435</v>
      </c>
      <c r="AA72" s="1240">
        <v>81916254.209999993</v>
      </c>
      <c r="AB72" s="301">
        <v>111508514.22020683</v>
      </c>
      <c r="AC72" s="301">
        <v>132490709.55469036</v>
      </c>
      <c r="AD72" s="301">
        <v>155151752.98373318</v>
      </c>
      <c r="AE72" s="301">
        <v>160889325.60669735</v>
      </c>
      <c r="AF72" s="301">
        <v>166849233.30391172</v>
      </c>
      <c r="AG72" s="301">
        <v>173040648.89923617</v>
      </c>
      <c r="AH72" s="301">
        <v>179473153.61213496</v>
      </c>
      <c r="AI72" s="301">
        <v>186156756.78862661</v>
      </c>
      <c r="AJ72" s="301"/>
      <c r="AK72" s="301"/>
      <c r="AL72" s="301"/>
      <c r="AM72" s="301"/>
      <c r="AP72" s="1240"/>
      <c r="AQ72" s="301"/>
      <c r="AR72" s="301"/>
      <c r="AS72" s="301"/>
      <c r="AT72" s="301"/>
      <c r="AU72" s="301"/>
      <c r="AV72" s="301"/>
      <c r="AW72" s="301"/>
      <c r="AX72" s="301"/>
      <c r="AY72" s="301"/>
      <c r="AZ72" s="301"/>
      <c r="BA72" s="301"/>
      <c r="BB72" s="301"/>
      <c r="BE72" s="1240"/>
      <c r="BF72" s="301"/>
      <c r="BG72" s="301"/>
      <c r="BH72" s="301"/>
      <c r="BI72" s="301"/>
      <c r="BJ72" s="301"/>
      <c r="BK72" s="301"/>
      <c r="BL72" s="301"/>
      <c r="BM72" s="301"/>
      <c r="BN72" s="301"/>
      <c r="BO72" s="301"/>
      <c r="BP72" s="301"/>
      <c r="BQ72" s="301"/>
      <c r="BT72" s="1240"/>
      <c r="BU72" s="301"/>
      <c r="BV72" s="301"/>
      <c r="BW72" s="301"/>
      <c r="BX72" s="301"/>
      <c r="BY72" s="301"/>
      <c r="BZ72" s="301"/>
      <c r="CA72" s="301"/>
      <c r="CB72" s="301"/>
      <c r="CC72" s="301"/>
      <c r="CD72" s="301"/>
      <c r="CE72" s="301"/>
      <c r="CF72" s="301"/>
      <c r="CI72" s="1240"/>
      <c r="CJ72" s="301"/>
      <c r="CK72" s="301"/>
      <c r="CL72" s="301"/>
      <c r="CM72" s="301"/>
      <c r="CN72" s="301"/>
      <c r="CO72" s="301"/>
      <c r="CP72" s="301"/>
      <c r="CQ72" s="301"/>
    </row>
    <row r="73" spans="1:95" s="220" customFormat="1">
      <c r="B73" s="220" t="s">
        <v>1436</v>
      </c>
      <c r="E73" s="301"/>
      <c r="F73" s="301"/>
      <c r="G73" s="301"/>
      <c r="H73" s="301"/>
      <c r="I73" s="301"/>
      <c r="J73" s="301"/>
      <c r="K73" s="301"/>
      <c r="L73" s="1240">
        <v>63113131</v>
      </c>
      <c r="M73" s="1555">
        <v>71709099.743746519</v>
      </c>
      <c r="N73" s="301">
        <f t="shared" ref="N73:T73" si="392">N11*N40</f>
        <v>75700238.743883938</v>
      </c>
      <c r="O73" s="301">
        <f t="shared" si="392"/>
        <v>93594177.093385056</v>
      </c>
      <c r="P73" s="301">
        <f t="shared" si="392"/>
        <v>107366223.16884938</v>
      </c>
      <c r="Q73" s="301">
        <f t="shared" si="392"/>
        <v>116013226.50090514</v>
      </c>
      <c r="R73" s="301">
        <f t="shared" si="392"/>
        <v>124042768.17061174</v>
      </c>
      <c r="S73" s="301">
        <f t="shared" si="392"/>
        <v>133406787.47897455</v>
      </c>
      <c r="T73" s="301">
        <f t="shared" si="392"/>
        <v>137049956.43833643</v>
      </c>
      <c r="U73" s="301">
        <f t="shared" ref="U73:X73" si="393">U11*U40</f>
        <v>139033041.24095342</v>
      </c>
      <c r="V73" s="301">
        <f t="shared" si="393"/>
        <v>142042343.59910476</v>
      </c>
      <c r="W73" s="301">
        <f t="shared" si="393"/>
        <v>144023796.74724641</v>
      </c>
      <c r="X73" s="301">
        <f t="shared" si="393"/>
        <v>147092720.08569282</v>
      </c>
      <c r="Z73" s="220" t="s">
        <v>1436</v>
      </c>
      <c r="AA73" s="1240">
        <v>81378422.780000001</v>
      </c>
      <c r="AB73" s="301">
        <v>110776391.09960513</v>
      </c>
      <c r="AC73" s="301">
        <v>131620825.20183855</v>
      </c>
      <c r="AD73" s="301">
        <v>154133084.71112975</v>
      </c>
      <c r="AE73" s="301">
        <v>159832986.58219862</v>
      </c>
      <c r="AF73" s="301">
        <v>165753763.75873217</v>
      </c>
      <c r="AG73" s="301">
        <v>171904528.839266</v>
      </c>
      <c r="AH73" s="301">
        <v>178294800.1365675</v>
      </c>
      <c r="AI73" s="301">
        <v>184934521.27904004</v>
      </c>
      <c r="AJ73" s="301"/>
      <c r="AK73" s="301"/>
      <c r="AL73" s="301"/>
      <c r="AM73" s="301"/>
      <c r="AP73" s="1240"/>
      <c r="AQ73" s="301"/>
      <c r="AR73" s="301"/>
      <c r="AS73" s="301"/>
      <c r="AT73" s="301"/>
      <c r="AU73" s="301"/>
      <c r="AV73" s="301"/>
      <c r="AW73" s="301"/>
      <c r="AX73" s="301"/>
      <c r="AY73" s="301"/>
      <c r="AZ73" s="301"/>
      <c r="BA73" s="301"/>
      <c r="BB73" s="301"/>
      <c r="BE73" s="1240"/>
      <c r="BF73" s="301"/>
      <c r="BG73" s="301"/>
      <c r="BH73" s="301"/>
      <c r="BI73" s="301"/>
      <c r="BJ73" s="301"/>
      <c r="BK73" s="301"/>
      <c r="BL73" s="301"/>
      <c r="BM73" s="301"/>
      <c r="BN73" s="301"/>
      <c r="BO73" s="301"/>
      <c r="BP73" s="301"/>
      <c r="BQ73" s="301"/>
      <c r="BT73" s="1240"/>
      <c r="BU73" s="301"/>
      <c r="BV73" s="301"/>
      <c r="BW73" s="301"/>
      <c r="BX73" s="301"/>
      <c r="BY73" s="301"/>
      <c r="BZ73" s="301"/>
      <c r="CA73" s="301"/>
      <c r="CB73" s="301"/>
      <c r="CC73" s="301"/>
      <c r="CD73" s="301"/>
      <c r="CE73" s="301"/>
      <c r="CF73" s="301"/>
      <c r="CI73" s="1240"/>
      <c r="CJ73" s="301"/>
      <c r="CK73" s="301"/>
      <c r="CL73" s="301"/>
      <c r="CM73" s="301"/>
      <c r="CN73" s="301"/>
      <c r="CO73" s="301"/>
      <c r="CP73" s="301"/>
      <c r="CQ73" s="301"/>
    </row>
    <row r="74" spans="1:95" s="220" customFormat="1">
      <c r="B74" s="1214" t="s">
        <v>1434</v>
      </c>
      <c r="E74" s="301"/>
      <c r="F74" s="301"/>
      <c r="G74" s="301"/>
      <c r="H74" s="301"/>
      <c r="I74" s="301"/>
      <c r="J74" s="301"/>
      <c r="K74" s="301">
        <f>SUM(K75:K76)</f>
        <v>7089147.2999999998</v>
      </c>
      <c r="L74" s="1240">
        <f>SUM(L75:L76)</f>
        <v>11928224</v>
      </c>
      <c r="M74" s="1220">
        <f>SUM(M75:M76)</f>
        <v>11620231.598681903</v>
      </c>
      <c r="N74" s="301">
        <f t="shared" ref="N74:T74" si="394">SUM(N75:N76)</f>
        <v>12266982.982953366</v>
      </c>
      <c r="O74" s="301">
        <f t="shared" si="394"/>
        <v>15166638.794792946</v>
      </c>
      <c r="P74" s="301">
        <f t="shared" si="394"/>
        <v>17398355.070084348</v>
      </c>
      <c r="Q74" s="301">
        <f t="shared" si="394"/>
        <v>18799574.465002559</v>
      </c>
      <c r="R74" s="301">
        <f t="shared" si="394"/>
        <v>20100736.160891712</v>
      </c>
      <c r="S74" s="301">
        <f t="shared" si="394"/>
        <v>21618145.714861102</v>
      </c>
      <c r="T74" s="301">
        <f t="shared" si="394"/>
        <v>22208509.660471864</v>
      </c>
      <c r="U74" s="301">
        <f t="shared" ref="U74:X74" si="395">SUM(U75:U76)</f>
        <v>22529862.247083381</v>
      </c>
      <c r="V74" s="301">
        <f t="shared" si="395"/>
        <v>23017510.125485696</v>
      </c>
      <c r="W74" s="301">
        <f t="shared" si="395"/>
        <v>23338598.307677679</v>
      </c>
      <c r="X74" s="301">
        <f t="shared" si="395"/>
        <v>23835907.57635884</v>
      </c>
      <c r="AA74" s="1240"/>
      <c r="AB74" s="301"/>
      <c r="AC74" s="301"/>
      <c r="AD74" s="301"/>
      <c r="AE74" s="301"/>
      <c r="AF74" s="301"/>
      <c r="AG74" s="301"/>
      <c r="AH74" s="301"/>
      <c r="AI74" s="301"/>
      <c r="AJ74" s="301"/>
      <c r="AK74" s="301"/>
      <c r="AL74" s="301"/>
      <c r="AM74" s="301"/>
      <c r="AP74" s="1240"/>
      <c r="AQ74" s="301"/>
      <c r="AR74" s="301"/>
      <c r="AS74" s="301"/>
      <c r="AT74" s="301"/>
      <c r="AU74" s="301"/>
      <c r="AV74" s="301"/>
      <c r="AW74" s="301"/>
      <c r="AX74" s="301"/>
      <c r="AY74" s="301"/>
      <c r="AZ74" s="301"/>
      <c r="BA74" s="301"/>
      <c r="BB74" s="301"/>
      <c r="BE74" s="1240"/>
      <c r="BF74" s="301"/>
      <c r="BG74" s="301"/>
      <c r="BH74" s="301"/>
      <c r="BI74" s="301"/>
      <c r="BJ74" s="301"/>
      <c r="BK74" s="301"/>
      <c r="BL74" s="301"/>
      <c r="BM74" s="301"/>
      <c r="BN74" s="301"/>
      <c r="BO74" s="301"/>
      <c r="BP74" s="301"/>
      <c r="BQ74" s="301"/>
      <c r="BT74" s="1240"/>
      <c r="BU74" s="301"/>
      <c r="BV74" s="301"/>
      <c r="BW74" s="301"/>
      <c r="BX74" s="301"/>
      <c r="BY74" s="301"/>
      <c r="BZ74" s="301"/>
      <c r="CA74" s="301"/>
      <c r="CB74" s="301"/>
      <c r="CC74" s="301"/>
      <c r="CD74" s="301"/>
      <c r="CE74" s="301"/>
      <c r="CF74" s="301"/>
      <c r="CI74" s="1240"/>
      <c r="CJ74" s="301"/>
      <c r="CK74" s="301"/>
      <c r="CL74" s="301"/>
      <c r="CM74" s="301"/>
      <c r="CN74" s="301"/>
      <c r="CO74" s="301"/>
      <c r="CP74" s="301"/>
      <c r="CQ74" s="301"/>
    </row>
    <row r="75" spans="1:95" s="220" customFormat="1">
      <c r="B75" s="1214" t="s">
        <v>1437</v>
      </c>
      <c r="E75" s="301"/>
      <c r="F75" s="301"/>
      <c r="G75" s="301"/>
      <c r="H75" s="301"/>
      <c r="I75" s="301"/>
      <c r="J75" s="301"/>
      <c r="K75" s="301">
        <v>1502557.54</v>
      </c>
      <c r="L75" s="1249">
        <v>5499827</v>
      </c>
      <c r="M75" s="1555">
        <v>4897959.0970148351</v>
      </c>
      <c r="N75" s="301">
        <f t="shared" ref="N75:T75" si="396">N13*N42</f>
        <v>5170566.5574770411</v>
      </c>
      <c r="O75" s="301">
        <f t="shared" si="396"/>
        <v>6392779.3370762533</v>
      </c>
      <c r="P75" s="301">
        <f t="shared" si="396"/>
        <v>7333453.7926318105</v>
      </c>
      <c r="Q75" s="301">
        <f t="shared" si="396"/>
        <v>7924071.5633681314</v>
      </c>
      <c r="R75" s="301">
        <f t="shared" si="396"/>
        <v>8472514.742916327</v>
      </c>
      <c r="S75" s="301">
        <f t="shared" si="396"/>
        <v>9112106.9804414939</v>
      </c>
      <c r="T75" s="301">
        <f t="shared" si="396"/>
        <v>9360946.982759675</v>
      </c>
      <c r="U75" s="301">
        <f t="shared" ref="U75:X75" si="397">U13*U42</f>
        <v>9496397.9685319085</v>
      </c>
      <c r="V75" s="301">
        <f t="shared" si="397"/>
        <v>9701942.8702730685</v>
      </c>
      <c r="W75" s="301">
        <f t="shared" si="397"/>
        <v>9837282.4088662211</v>
      </c>
      <c r="X75" s="301">
        <f t="shared" si="397"/>
        <v>10046899.612781759</v>
      </c>
      <c r="Z75" s="220" t="s">
        <v>1437</v>
      </c>
      <c r="AA75" s="1240">
        <v>7243934.9400000004</v>
      </c>
      <c r="AB75" s="301">
        <v>9860807.6023163088</v>
      </c>
      <c r="AC75" s="301">
        <v>11716283.775722876</v>
      </c>
      <c r="AD75" s="301">
        <v>13720222.137597598</v>
      </c>
      <c r="AE75" s="301">
        <v>14227601.328639805</v>
      </c>
      <c r="AF75" s="301">
        <v>14754641.829006772</v>
      </c>
      <c r="AG75" s="301">
        <v>15302154.800535647</v>
      </c>
      <c r="AH75" s="301">
        <v>15870987.5198886</v>
      </c>
      <c r="AI75" s="301">
        <v>16462025.123380151</v>
      </c>
      <c r="AJ75" s="301"/>
      <c r="AK75" s="301"/>
      <c r="AL75" s="301"/>
      <c r="AM75" s="301"/>
      <c r="AP75" s="1240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  <c r="BB75" s="301"/>
      <c r="BE75" s="1240"/>
      <c r="BF75" s="301"/>
      <c r="BG75" s="301"/>
      <c r="BH75" s="301"/>
      <c r="BI75" s="301"/>
      <c r="BJ75" s="301"/>
      <c r="BK75" s="301"/>
      <c r="BL75" s="301"/>
      <c r="BM75" s="301"/>
      <c r="BN75" s="301"/>
      <c r="BO75" s="301"/>
      <c r="BP75" s="301"/>
      <c r="BQ75" s="301"/>
      <c r="BT75" s="1240"/>
      <c r="BU75" s="301"/>
      <c r="BV75" s="301"/>
      <c r="BW75" s="301"/>
      <c r="BX75" s="301"/>
      <c r="BY75" s="301"/>
      <c r="BZ75" s="301"/>
      <c r="CA75" s="301"/>
      <c r="CB75" s="301"/>
      <c r="CC75" s="301"/>
      <c r="CD75" s="301"/>
      <c r="CE75" s="301"/>
      <c r="CF75" s="301"/>
      <c r="CI75" s="1240"/>
      <c r="CJ75" s="301"/>
      <c r="CK75" s="301"/>
      <c r="CL75" s="301"/>
      <c r="CM75" s="301"/>
      <c r="CN75" s="301"/>
      <c r="CO75" s="301"/>
      <c r="CP75" s="301"/>
      <c r="CQ75" s="301"/>
    </row>
    <row r="76" spans="1:95">
      <c r="B76" s="1214" t="s">
        <v>1438</v>
      </c>
      <c r="E76" s="301"/>
      <c r="F76" s="301"/>
      <c r="G76" s="301"/>
      <c r="H76" s="301"/>
      <c r="I76" s="301"/>
      <c r="J76" s="301"/>
      <c r="K76" s="301">
        <v>5586589.7599999998</v>
      </c>
      <c r="L76" s="1249">
        <v>6428397</v>
      </c>
      <c r="M76" s="1555">
        <v>6722272.5016670674</v>
      </c>
      <c r="N76" s="301">
        <f t="shared" ref="N76:T76" si="398">N14*N43</f>
        <v>7096416.4254763247</v>
      </c>
      <c r="O76" s="301">
        <f t="shared" si="398"/>
        <v>8773859.4577166922</v>
      </c>
      <c r="P76" s="301">
        <f t="shared" si="398"/>
        <v>10064901.277452538</v>
      </c>
      <c r="Q76" s="301">
        <f t="shared" si="398"/>
        <v>10875502.901634427</v>
      </c>
      <c r="R76" s="301">
        <f t="shared" si="398"/>
        <v>11628221.417975383</v>
      </c>
      <c r="S76" s="301">
        <f t="shared" si="398"/>
        <v>12506038.734419607</v>
      </c>
      <c r="T76" s="301">
        <f t="shared" si="398"/>
        <v>12847562.677712191</v>
      </c>
      <c r="U76" s="301">
        <f t="shared" ref="U76:X76" si="399">U14*U43</f>
        <v>13033464.27855147</v>
      </c>
      <c r="V76" s="301">
        <f t="shared" si="399"/>
        <v>13315567.255212625</v>
      </c>
      <c r="W76" s="301">
        <f t="shared" si="399"/>
        <v>13501315.898811458</v>
      </c>
      <c r="X76" s="301">
        <f t="shared" si="399"/>
        <v>13789007.963577081</v>
      </c>
      <c r="Z76" s="220" t="s">
        <v>1438</v>
      </c>
      <c r="AA76" s="1240">
        <v>8971394.8499999996</v>
      </c>
      <c r="AB76" s="301">
        <v>12212312.682678701</v>
      </c>
      <c r="AC76" s="301">
        <v>14510263.937662967</v>
      </c>
      <c r="AD76" s="301">
        <v>16992081.13347565</v>
      </c>
      <c r="AE76" s="301">
        <v>17620454.952293139</v>
      </c>
      <c r="AF76" s="301">
        <v>18273178.709463388</v>
      </c>
      <c r="AG76" s="301">
        <v>18951257.004446298</v>
      </c>
      <c r="AH76" s="301">
        <v>19655739.163822867</v>
      </c>
      <c r="AI76" s="301">
        <v>20387721.402211171</v>
      </c>
      <c r="AJ76" s="301"/>
      <c r="AK76" s="301"/>
      <c r="AL76" s="301"/>
      <c r="AM76" s="301"/>
      <c r="AP76" s="1240"/>
      <c r="AQ76" s="301"/>
      <c r="AR76" s="301"/>
      <c r="AS76" s="301"/>
      <c r="AT76" s="301"/>
      <c r="AU76" s="301"/>
      <c r="AV76" s="301"/>
      <c r="AW76" s="301"/>
      <c r="AX76" s="301"/>
      <c r="AY76" s="301"/>
      <c r="AZ76" s="301"/>
      <c r="BA76" s="301"/>
      <c r="BB76" s="301"/>
      <c r="BE76" s="1240"/>
      <c r="BF76" s="301"/>
      <c r="BG76" s="301"/>
      <c r="BH76" s="301"/>
      <c r="BI76" s="301"/>
      <c r="BJ76" s="301"/>
      <c r="BK76" s="301"/>
      <c r="BL76" s="301"/>
      <c r="BM76" s="301"/>
      <c r="BN76" s="301"/>
      <c r="BO76" s="301"/>
      <c r="BP76" s="301"/>
      <c r="BQ76" s="301"/>
      <c r="BT76" s="1240"/>
      <c r="BU76" s="301"/>
      <c r="BV76" s="301"/>
      <c r="BW76" s="301"/>
      <c r="BX76" s="301"/>
      <c r="BY76" s="301"/>
      <c r="BZ76" s="301"/>
      <c r="CA76" s="301"/>
      <c r="CB76" s="301"/>
      <c r="CC76" s="301"/>
      <c r="CD76" s="301"/>
      <c r="CE76" s="301"/>
      <c r="CF76" s="301"/>
      <c r="CI76" s="1240"/>
      <c r="CJ76" s="301"/>
      <c r="CK76" s="301"/>
      <c r="CL76" s="301"/>
      <c r="CM76" s="301"/>
      <c r="CN76" s="301"/>
      <c r="CO76" s="301"/>
      <c r="CP76" s="301"/>
      <c r="CQ76" s="301"/>
    </row>
    <row r="77" spans="1:95" s="220" customFormat="1">
      <c r="B77" s="1214" t="s">
        <v>1431</v>
      </c>
      <c r="E77" s="301">
        <v>1212355.08</v>
      </c>
      <c r="F77" s="301">
        <v>-145527.83000000002</v>
      </c>
      <c r="G77" s="301">
        <v>-24275.32</v>
      </c>
      <c r="H77" s="301">
        <v>-1153.570000000004</v>
      </c>
      <c r="I77" s="301">
        <v>0</v>
      </c>
      <c r="J77" s="301">
        <v>8540578.3300000001</v>
      </c>
      <c r="K77" s="301">
        <f>'Core P&amp;L'!$BN41</f>
        <v>8315690.9699999997</v>
      </c>
      <c r="L77" s="1240">
        <f>'Core P&amp;L'!$AJ41</f>
        <v>12952808.569999998</v>
      </c>
      <c r="M77" s="1220">
        <f>'Core P&amp;L'!$T41</f>
        <v>12005464.572973959</v>
      </c>
      <c r="N77" s="1280">
        <v>17939947.997162696</v>
      </c>
      <c r="O77" s="1280">
        <v>20430025.377612825</v>
      </c>
      <c r="P77" s="1280">
        <v>21988398.900118634</v>
      </c>
      <c r="Q77" s="1280">
        <v>23517173.222744454</v>
      </c>
      <c r="R77" s="1280">
        <v>24726377.676732607</v>
      </c>
      <c r="S77" s="1280">
        <v>25631932.119060341</v>
      </c>
      <c r="T77" s="1280">
        <v>26549830.922055002</v>
      </c>
      <c r="U77" s="1280">
        <v>26549831.922054999</v>
      </c>
      <c r="V77" s="1280">
        <v>26549832.922054999</v>
      </c>
      <c r="W77" s="1280">
        <v>26549833.922054999</v>
      </c>
      <c r="X77" s="1280">
        <v>26549834.922054999</v>
      </c>
      <c r="AA77" s="1240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P77" s="1240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  <c r="BB77" s="301"/>
      <c r="BE77" s="1240"/>
      <c r="BF77" s="301"/>
      <c r="BG77" s="301"/>
      <c r="BH77" s="301"/>
      <c r="BI77" s="301"/>
      <c r="BJ77" s="301"/>
      <c r="BK77" s="301"/>
      <c r="BL77" s="301"/>
      <c r="BM77" s="301"/>
      <c r="BN77" s="301"/>
      <c r="BO77" s="301"/>
      <c r="BP77" s="301"/>
      <c r="BQ77" s="301"/>
      <c r="BT77" s="1240"/>
      <c r="BU77" s="301"/>
      <c r="BV77" s="301"/>
      <c r="BW77" s="301"/>
      <c r="BX77" s="301"/>
      <c r="BY77" s="301"/>
      <c r="BZ77" s="301"/>
      <c r="CA77" s="301"/>
      <c r="CB77" s="301"/>
      <c r="CC77" s="301"/>
      <c r="CD77" s="301"/>
      <c r="CE77" s="301"/>
      <c r="CF77" s="301"/>
      <c r="CI77" s="1240"/>
      <c r="CJ77" s="301"/>
      <c r="CK77" s="301"/>
      <c r="CL77" s="301"/>
      <c r="CM77" s="301"/>
      <c r="CN77" s="301"/>
      <c r="CO77" s="301"/>
      <c r="CP77" s="301"/>
      <c r="CQ77" s="301"/>
    </row>
    <row r="78" spans="1:95" s="220" customFormat="1">
      <c r="B78" s="1214" t="s">
        <v>1432</v>
      </c>
      <c r="E78" s="301">
        <v>7214547</v>
      </c>
      <c r="F78" s="301">
        <v>9580374</v>
      </c>
      <c r="G78" s="301">
        <v>11176401.24</v>
      </c>
      <c r="H78" s="301">
        <v>13014528.859999999</v>
      </c>
      <c r="I78" s="301">
        <v>13183838.84</v>
      </c>
      <c r="J78" s="301">
        <v>14135696.440000001</v>
      </c>
      <c r="K78" s="301">
        <f>'Core P&amp;L'!$BN42</f>
        <v>11129090.08</v>
      </c>
      <c r="L78" s="1240">
        <f>'Core P&amp;L'!$AJ42</f>
        <v>14649804.26</v>
      </c>
      <c r="M78" s="1220">
        <f>'Core P&amp;L'!$T42</f>
        <v>17138120</v>
      </c>
      <c r="N78" s="301">
        <f t="shared" ref="N78:T78" si="400">M78*(1+N98)</f>
        <v>18509169.600000001</v>
      </c>
      <c r="O78" s="301">
        <f t="shared" si="400"/>
        <v>19989903.168000001</v>
      </c>
      <c r="P78" s="301">
        <f t="shared" si="400"/>
        <v>21589095.421440002</v>
      </c>
      <c r="Q78" s="301">
        <f t="shared" si="400"/>
        <v>23316223.055155203</v>
      </c>
      <c r="R78" s="301">
        <f t="shared" si="400"/>
        <v>25181520.899567619</v>
      </c>
      <c r="S78" s="301">
        <f t="shared" si="400"/>
        <v>27196042.571533032</v>
      </c>
      <c r="T78" s="301">
        <f t="shared" si="400"/>
        <v>29371725.977255676</v>
      </c>
      <c r="U78" s="301">
        <f t="shared" ref="U78" si="401">T78*(1+U98)</f>
        <v>61093190.032691807</v>
      </c>
      <c r="V78" s="301">
        <f t="shared" ref="V78" si="402">U78*(1+V98)</f>
        <v>188167025.30069077</v>
      </c>
      <c r="W78" s="301">
        <f t="shared" ref="W78" si="403">V78*(1+W98)</f>
        <v>767721463.22681832</v>
      </c>
      <c r="X78" s="301">
        <f t="shared" ref="X78" si="404">W78*(1+X98)</f>
        <v>3900025033.1922369</v>
      </c>
      <c r="AA78" s="1240"/>
      <c r="AB78" s="301"/>
      <c r="AC78" s="301"/>
      <c r="AD78" s="301"/>
      <c r="AE78" s="301"/>
      <c r="AF78" s="301"/>
      <c r="AG78" s="301"/>
      <c r="AH78" s="301"/>
      <c r="AI78" s="301"/>
      <c r="AJ78" s="301"/>
      <c r="AK78" s="301"/>
      <c r="AL78" s="301"/>
      <c r="AM78" s="301"/>
      <c r="AP78" s="1240"/>
      <c r="AQ78" s="301"/>
      <c r="AR78" s="301"/>
      <c r="AS78" s="301"/>
      <c r="AT78" s="301"/>
      <c r="AU78" s="301"/>
      <c r="AV78" s="301"/>
      <c r="AW78" s="301"/>
      <c r="AX78" s="301"/>
      <c r="AY78" s="301"/>
      <c r="AZ78" s="301"/>
      <c r="BA78" s="301"/>
      <c r="BB78" s="301"/>
      <c r="BE78" s="1240"/>
      <c r="BF78" s="301"/>
      <c r="BG78" s="301"/>
      <c r="BH78" s="301"/>
      <c r="BI78" s="301"/>
      <c r="BJ78" s="301"/>
      <c r="BK78" s="301"/>
      <c r="BL78" s="301"/>
      <c r="BM78" s="301"/>
      <c r="BN78" s="301"/>
      <c r="BO78" s="301"/>
      <c r="BP78" s="301"/>
      <c r="BQ78" s="301"/>
      <c r="BT78" s="1240"/>
      <c r="BU78" s="301"/>
      <c r="BV78" s="301"/>
      <c r="BW78" s="301"/>
      <c r="BX78" s="301"/>
      <c r="BY78" s="301"/>
      <c r="BZ78" s="301"/>
      <c r="CA78" s="301"/>
      <c r="CB78" s="301"/>
      <c r="CC78" s="301"/>
      <c r="CD78" s="301"/>
      <c r="CE78" s="301"/>
      <c r="CF78" s="301"/>
      <c r="CI78" s="1240"/>
      <c r="CJ78" s="301"/>
      <c r="CK78" s="301"/>
      <c r="CL78" s="301"/>
      <c r="CM78" s="301"/>
      <c r="CN78" s="301"/>
      <c r="CO78" s="301"/>
      <c r="CP78" s="301"/>
      <c r="CQ78" s="301"/>
    </row>
    <row r="79" spans="1:95" s="220" customFormat="1">
      <c r="B79" s="1216" t="s">
        <v>1429</v>
      </c>
      <c r="E79" s="301"/>
      <c r="F79" s="301"/>
      <c r="G79" s="301"/>
      <c r="H79" s="301"/>
      <c r="I79" s="301">
        <f>'12 years sales &amp; PL forecast'!K182</f>
        <v>0</v>
      </c>
      <c r="J79" s="301">
        <f>'12 years sales &amp; PL forecast'!L182</f>
        <v>0</v>
      </c>
      <c r="K79" s="301">
        <f>'12 years sales &amp; PL forecast'!M182</f>
        <v>0</v>
      </c>
      <c r="L79" s="1240">
        <f>'12 years sales &amp; PL forecast'!N182</f>
        <v>0</v>
      </c>
      <c r="M79" s="1220">
        <f>'12 years sales &amp; PL forecast'!O182</f>
        <v>0</v>
      </c>
      <c r="N79" s="301">
        <f>'12 years sales &amp; PL forecast'!P182</f>
        <v>0</v>
      </c>
      <c r="O79" s="301">
        <f>'12 years sales &amp; PL forecast'!Q182</f>
        <v>0</v>
      </c>
      <c r="P79" s="301">
        <f>'12 years sales &amp; PL forecast'!R182</f>
        <v>0</v>
      </c>
      <c r="Q79" s="301">
        <f>'12 years sales &amp; PL forecast'!S182</f>
        <v>0</v>
      </c>
      <c r="R79" s="301">
        <f>'12 years sales &amp; PL forecast'!T182</f>
        <v>0</v>
      </c>
      <c r="S79" s="301">
        <f>'12 years sales &amp; PL forecast'!U182</f>
        <v>0</v>
      </c>
      <c r="T79" s="301">
        <f>'12 years sales &amp; PL forecast'!V182</f>
        <v>0</v>
      </c>
      <c r="U79" s="301">
        <f>'12 years sales &amp; PL forecast'!W182</f>
        <v>0</v>
      </c>
      <c r="V79" s="301">
        <f>'12 years sales &amp; PL forecast'!X182</f>
        <v>0</v>
      </c>
      <c r="W79" s="301">
        <f>'12 years sales &amp; PL forecast'!Y182</f>
        <v>0</v>
      </c>
      <c r="X79" s="301">
        <f>'12 years sales &amp; PL forecast'!Z182</f>
        <v>0</v>
      </c>
      <c r="AA79" s="1240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P79" s="1240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  <c r="BB79" s="301"/>
      <c r="BE79" s="1240"/>
      <c r="BF79" s="301"/>
      <c r="BG79" s="301"/>
      <c r="BH79" s="301"/>
      <c r="BI79" s="301"/>
      <c r="BJ79" s="301"/>
      <c r="BK79" s="301"/>
      <c r="BL79" s="301"/>
      <c r="BM79" s="301"/>
      <c r="BN79" s="301"/>
      <c r="BO79" s="301"/>
      <c r="BP79" s="301"/>
      <c r="BQ79" s="301"/>
      <c r="BT79" s="1240"/>
      <c r="BU79" s="301"/>
      <c r="BV79" s="301"/>
      <c r="BW79" s="301"/>
      <c r="BX79" s="301"/>
      <c r="BY79" s="301"/>
      <c r="BZ79" s="301"/>
      <c r="CA79" s="301"/>
      <c r="CB79" s="301"/>
      <c r="CC79" s="301"/>
      <c r="CD79" s="301"/>
      <c r="CE79" s="301"/>
      <c r="CF79" s="301"/>
      <c r="CI79" s="1240"/>
      <c r="CJ79" s="301"/>
      <c r="CK79" s="301"/>
      <c r="CL79" s="301"/>
      <c r="CM79" s="301"/>
      <c r="CN79" s="301"/>
      <c r="CO79" s="301"/>
      <c r="CP79" s="301"/>
      <c r="CQ79" s="301"/>
    </row>
    <row r="80" spans="1:95">
      <c r="B80" s="220" t="s">
        <v>1415</v>
      </c>
      <c r="E80" s="301">
        <v>2072902.91</v>
      </c>
      <c r="F80" s="301">
        <v>3297740</v>
      </c>
      <c r="G80" s="301">
        <v>3693216.62</v>
      </c>
      <c r="H80" s="301">
        <v>3395660.1199999996</v>
      </c>
      <c r="I80" s="301">
        <v>5688408.9199999999</v>
      </c>
      <c r="J80" s="301">
        <v>4225413.49</v>
      </c>
      <c r="K80" s="301">
        <f>'Core P&amp;L'!$BN39</f>
        <v>2481181.09</v>
      </c>
      <c r="L80" s="1240">
        <f>'Core P&amp;L'!$AJ39</f>
        <v>0</v>
      </c>
      <c r="M80" s="1220">
        <f>'Core P&amp;L'!$T39</f>
        <v>1500000</v>
      </c>
      <c r="N80" s="301">
        <f t="shared" ref="N80:T80" si="405">N15*N44</f>
        <v>1530000</v>
      </c>
      <c r="O80" s="301">
        <f t="shared" si="405"/>
        <v>2581420.8060360006</v>
      </c>
      <c r="P80" s="301">
        <f t="shared" si="405"/>
        <v>3714926.9911626605</v>
      </c>
      <c r="Q80" s="301">
        <f t="shared" si="405"/>
        <v>3789225.5309859142</v>
      </c>
      <c r="R80" s="301">
        <f t="shared" si="405"/>
        <v>3865010.0416056328</v>
      </c>
      <c r="S80" s="301">
        <f t="shared" si="405"/>
        <v>7150549.8686140236</v>
      </c>
      <c r="T80" s="301">
        <f t="shared" si="405"/>
        <v>7293560.8659863034</v>
      </c>
      <c r="U80" s="301">
        <f t="shared" ref="U80:X80" si="406">U15*U44</f>
        <v>7439432.0833060276</v>
      </c>
      <c r="V80" s="301">
        <f t="shared" si="406"/>
        <v>7588220.7249721466</v>
      </c>
      <c r="W80" s="301">
        <f t="shared" si="406"/>
        <v>7739985.1394715877</v>
      </c>
      <c r="X80" s="301">
        <f t="shared" si="406"/>
        <v>7894784.8422610182</v>
      </c>
      <c r="AA80" s="1240"/>
      <c r="AB80" s="301"/>
      <c r="AC80" s="301"/>
      <c r="AD80" s="301"/>
      <c r="AE80" s="301"/>
      <c r="AF80" s="301"/>
      <c r="AG80" s="301"/>
      <c r="AH80" s="301"/>
      <c r="AI80" s="301"/>
      <c r="AJ80" s="301"/>
      <c r="AK80" s="301"/>
      <c r="AL80" s="301"/>
      <c r="AM80" s="301"/>
      <c r="AP80" s="1240"/>
      <c r="AQ80" s="301"/>
      <c r="AR80" s="301"/>
      <c r="AS80" s="301"/>
      <c r="AT80" s="301"/>
      <c r="AU80" s="301"/>
      <c r="AV80" s="301"/>
      <c r="AW80" s="301"/>
      <c r="AX80" s="301"/>
      <c r="AY80" s="301"/>
      <c r="AZ80" s="301"/>
      <c r="BA80" s="301"/>
      <c r="BB80" s="301"/>
      <c r="BE80" s="1240"/>
      <c r="BF80" s="301"/>
      <c r="BG80" s="301"/>
      <c r="BH80" s="301"/>
      <c r="BI80" s="301"/>
      <c r="BJ80" s="301"/>
      <c r="BK80" s="301"/>
      <c r="BL80" s="301"/>
      <c r="BM80" s="301"/>
      <c r="BN80" s="301"/>
      <c r="BO80" s="301"/>
      <c r="BP80" s="301"/>
      <c r="BQ80" s="301"/>
      <c r="BT80" s="1240"/>
      <c r="BU80" s="301"/>
      <c r="BV80" s="301"/>
      <c r="BW80" s="301"/>
      <c r="BX80" s="301"/>
      <c r="BY80" s="301"/>
      <c r="BZ80" s="301"/>
      <c r="CA80" s="301"/>
      <c r="CB80" s="301"/>
      <c r="CC80" s="301"/>
      <c r="CD80" s="301"/>
      <c r="CE80" s="301"/>
      <c r="CF80" s="301"/>
      <c r="CI80" s="1240"/>
      <c r="CJ80" s="301"/>
      <c r="CK80" s="301"/>
      <c r="CL80" s="301"/>
      <c r="CM80" s="301"/>
      <c r="CN80" s="301"/>
      <c r="CO80" s="301"/>
      <c r="CP80" s="301"/>
      <c r="CQ80" s="301"/>
    </row>
    <row r="81" spans="2:95">
      <c r="B81" s="220" t="s">
        <v>1420</v>
      </c>
      <c r="E81" s="301">
        <v>137337509.86000001</v>
      </c>
      <c r="F81" s="301">
        <v>120831841.73999999</v>
      </c>
      <c r="G81" s="301">
        <v>122008674.04000001</v>
      </c>
      <c r="H81" s="301">
        <v>145329014.66</v>
      </c>
      <c r="I81" s="301">
        <v>174894846.94000003</v>
      </c>
      <c r="J81" s="301">
        <v>215975640.95999998</v>
      </c>
      <c r="K81" s="301">
        <f>'Core P&amp;L'!$BN38</f>
        <v>149369223.43000001</v>
      </c>
      <c r="L81" s="1240">
        <f>'Core P&amp;L'!$AJ38</f>
        <v>144055701.44999999</v>
      </c>
      <c r="M81" s="1220">
        <f>'Core P&amp;L'!$T38</f>
        <v>217007523.47903994</v>
      </c>
      <c r="N81" s="310">
        <f t="shared" ref="N81:T81" si="407">N16*N45</f>
        <v>222221773.90754643</v>
      </c>
      <c r="O81" s="310">
        <f t="shared" si="407"/>
        <v>248128414.99744982</v>
      </c>
      <c r="P81" s="310">
        <f t="shared" si="407"/>
        <v>294753529.17130309</v>
      </c>
      <c r="Q81" s="310">
        <f t="shared" si="407"/>
        <v>317549645.61803997</v>
      </c>
      <c r="R81" s="310">
        <f t="shared" si="407"/>
        <v>352081483.65704662</v>
      </c>
      <c r="S81" s="310">
        <f t="shared" si="407"/>
        <v>414226900.77136499</v>
      </c>
      <c r="T81" s="310">
        <f t="shared" si="407"/>
        <v>488316940.27693295</v>
      </c>
      <c r="U81" s="310">
        <f t="shared" ref="U81:X81" si="408">U16*U45</f>
        <v>553880537.37963033</v>
      </c>
      <c r="V81" s="310">
        <f t="shared" si="408"/>
        <v>590911006.03390658</v>
      </c>
      <c r="W81" s="310">
        <f t="shared" si="408"/>
        <v>630417199.17426562</v>
      </c>
      <c r="X81" s="310">
        <f t="shared" si="408"/>
        <v>773449330.10218716</v>
      </c>
      <c r="Z81" s="220" t="s">
        <v>1420</v>
      </c>
      <c r="AA81" s="1240">
        <v>228763930</v>
      </c>
      <c r="AB81" s="301">
        <v>253699198.37</v>
      </c>
      <c r="AC81" s="301">
        <v>286700390.09396964</v>
      </c>
      <c r="AD81" s="301">
        <v>321677837.68543386</v>
      </c>
      <c r="AE81" s="301">
        <v>362852600.90916944</v>
      </c>
      <c r="AF81" s="301">
        <v>414522811.2786352</v>
      </c>
      <c r="AG81" s="301">
        <v>472970527.66892278</v>
      </c>
      <c r="AH81" s="301">
        <v>539186401.54257202</v>
      </c>
      <c r="AI81" s="301">
        <v>622005432.81951129</v>
      </c>
      <c r="AJ81" s="301"/>
      <c r="AK81" s="301"/>
      <c r="AL81" s="301"/>
      <c r="AM81" s="301"/>
      <c r="AP81" s="1240"/>
      <c r="AQ81" s="301"/>
      <c r="AR81" s="301"/>
      <c r="AS81" s="301"/>
      <c r="AT81" s="301"/>
      <c r="AU81" s="301"/>
      <c r="AV81" s="301"/>
      <c r="AW81" s="301"/>
      <c r="AX81" s="301"/>
      <c r="AY81" s="301"/>
      <c r="AZ81" s="301"/>
      <c r="BA81" s="301"/>
      <c r="BB81" s="301"/>
      <c r="BE81" s="1240"/>
      <c r="BF81" s="301"/>
      <c r="BG81" s="301"/>
      <c r="BH81" s="301"/>
      <c r="BI81" s="301"/>
      <c r="BJ81" s="301"/>
      <c r="BK81" s="301"/>
      <c r="BL81" s="301"/>
      <c r="BM81" s="301"/>
      <c r="BN81" s="301"/>
      <c r="BO81" s="301"/>
      <c r="BP81" s="301"/>
      <c r="BQ81" s="301"/>
      <c r="BT81" s="1240"/>
      <c r="BU81" s="301"/>
      <c r="BV81" s="301"/>
      <c r="BW81" s="301"/>
      <c r="BX81" s="301"/>
      <c r="BY81" s="301"/>
      <c r="BZ81" s="301"/>
      <c r="CA81" s="301"/>
      <c r="CB81" s="301"/>
      <c r="CC81" s="301"/>
      <c r="CD81" s="301"/>
      <c r="CE81" s="301"/>
      <c r="CF81" s="301"/>
      <c r="CI81" s="1240"/>
      <c r="CJ81" s="301"/>
      <c r="CK81" s="301"/>
      <c r="CL81" s="301"/>
      <c r="CM81" s="301"/>
      <c r="CN81" s="301"/>
      <c r="CO81" s="301"/>
      <c r="CP81" s="301"/>
      <c r="CQ81" s="301"/>
    </row>
    <row r="82" spans="2:95" s="220" customFormat="1" hidden="1" outlineLevel="1">
      <c r="B82" s="1216" t="s">
        <v>1439</v>
      </c>
      <c r="E82" s="301"/>
      <c r="F82" s="301"/>
      <c r="G82" s="301"/>
      <c r="H82" s="301"/>
      <c r="I82" s="301"/>
      <c r="J82" s="301"/>
      <c r="K82" s="301"/>
      <c r="L82" s="1240"/>
      <c r="M82" s="1220"/>
      <c r="N82" s="301"/>
      <c r="O82" s="301"/>
      <c r="P82" s="301"/>
      <c r="Q82" s="301"/>
      <c r="R82" s="301"/>
      <c r="S82" s="301"/>
      <c r="T82" s="301"/>
      <c r="U82" s="301"/>
      <c r="V82" s="301"/>
      <c r="W82" s="301"/>
      <c r="X82" s="301"/>
      <c r="AA82" s="1239"/>
      <c r="AP82" s="1239"/>
      <c r="BE82" s="1239"/>
      <c r="BT82" s="1239"/>
      <c r="CI82" s="1239"/>
    </row>
    <row r="83" spans="2:95" s="220" customFormat="1" hidden="1" outlineLevel="1">
      <c r="B83" s="1216" t="s">
        <v>1440</v>
      </c>
      <c r="E83" s="301"/>
      <c r="F83" s="301"/>
      <c r="G83" s="301"/>
      <c r="H83" s="301"/>
      <c r="I83" s="301"/>
      <c r="J83" s="301"/>
      <c r="K83" s="301"/>
      <c r="L83" s="1240"/>
      <c r="M83" s="1220"/>
      <c r="N83" s="301"/>
      <c r="O83" s="301"/>
      <c r="P83" s="301"/>
      <c r="Q83" s="301"/>
      <c r="R83" s="301"/>
      <c r="S83" s="301"/>
      <c r="T83" s="301"/>
      <c r="U83" s="301"/>
      <c r="V83" s="301"/>
      <c r="W83" s="301"/>
      <c r="X83" s="301"/>
      <c r="AA83" s="1239"/>
      <c r="AP83" s="1239"/>
      <c r="BE83" s="1239"/>
      <c r="BT83" s="1239"/>
      <c r="CI83" s="1239"/>
    </row>
    <row r="84" spans="2:95" s="220" customFormat="1" collapsed="1">
      <c r="B84" s="220" t="s">
        <v>1421</v>
      </c>
      <c r="E84" s="301"/>
      <c r="F84" s="301"/>
      <c r="G84" s="301"/>
      <c r="H84" s="301"/>
      <c r="I84" s="301"/>
      <c r="J84" s="301"/>
      <c r="K84" s="1220">
        <v>126193010.88</v>
      </c>
      <c r="L84" s="1537">
        <v>121565992.78481011</v>
      </c>
      <c r="M84" s="301">
        <f t="shared" ref="M84:T84" si="409">M81/M108</f>
        <v>183128711.79665816</v>
      </c>
      <c r="N84" s="301">
        <f t="shared" si="409"/>
        <v>187528923.12873116</v>
      </c>
      <c r="O84" s="301">
        <f t="shared" si="409"/>
        <v>209391067.50839645</v>
      </c>
      <c r="P84" s="301">
        <f t="shared" si="409"/>
        <v>248737155.41882116</v>
      </c>
      <c r="Q84" s="301">
        <f t="shared" si="409"/>
        <v>267974384.48779744</v>
      </c>
      <c r="R84" s="301">
        <f t="shared" si="409"/>
        <v>297115176.08189589</v>
      </c>
      <c r="S84" s="301">
        <f t="shared" si="409"/>
        <v>349558566.05178475</v>
      </c>
      <c r="T84" s="301">
        <f t="shared" si="409"/>
        <v>412081806.14087164</v>
      </c>
      <c r="U84" s="301">
        <f t="shared" ref="U84:X84" si="410">U81/U108</f>
        <v>467409736.18534201</v>
      </c>
      <c r="V84" s="301">
        <f t="shared" si="410"/>
        <v>498659076.82186204</v>
      </c>
      <c r="W84" s="301">
        <f t="shared" si="410"/>
        <v>531997636.43397939</v>
      </c>
      <c r="X84" s="301">
        <f t="shared" si="410"/>
        <v>652699856.62631822</v>
      </c>
      <c r="AA84" s="1239"/>
      <c r="AP84" s="1239"/>
      <c r="BE84" s="1239"/>
      <c r="BT84" s="1239"/>
      <c r="CI84" s="1239"/>
    </row>
    <row r="85" spans="2:95" s="220" customFormat="1" hidden="1" outlineLevel="1">
      <c r="B85" s="1216" t="s">
        <v>1439</v>
      </c>
      <c r="E85" s="301"/>
      <c r="F85" s="301"/>
      <c r="G85" s="301"/>
      <c r="H85" s="301"/>
      <c r="I85" s="301"/>
      <c r="J85" s="301"/>
      <c r="K85" s="301"/>
      <c r="L85" s="1240"/>
      <c r="M85" s="1220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AA85" s="1239"/>
      <c r="AP85" s="1239"/>
      <c r="BE85" s="1239"/>
      <c r="BT85" s="1239"/>
      <c r="CI85" s="1239"/>
    </row>
    <row r="86" spans="2:95" s="220" customFormat="1" hidden="1" outlineLevel="1">
      <c r="B86" s="1216" t="s">
        <v>1440</v>
      </c>
      <c r="E86" s="301"/>
      <c r="F86" s="301"/>
      <c r="G86" s="301"/>
      <c r="H86" s="301"/>
      <c r="I86" s="301"/>
      <c r="J86" s="301"/>
      <c r="K86" s="301"/>
      <c r="L86" s="1240"/>
      <c r="M86" s="1220"/>
      <c r="N86" s="301"/>
      <c r="O86" s="301"/>
      <c r="P86" s="301"/>
      <c r="Q86" s="301"/>
      <c r="R86" s="301"/>
      <c r="S86" s="301"/>
      <c r="T86" s="301"/>
      <c r="U86" s="301"/>
      <c r="V86" s="301"/>
      <c r="W86" s="301"/>
      <c r="X86" s="301"/>
      <c r="AA86" s="1239"/>
      <c r="AP86" s="1239"/>
      <c r="BE86" s="1239"/>
      <c r="BT86" s="1239"/>
      <c r="CI86" s="1239"/>
    </row>
    <row r="87" spans="2:95" s="220" customFormat="1" ht="15.75" collapsed="1" thickBot="1">
      <c r="B87" s="1213" t="s">
        <v>1426</v>
      </c>
      <c r="C87" s="1213"/>
      <c r="D87" s="1213"/>
      <c r="E87" s="1219">
        <f t="shared" ref="E87:I87" si="411">E70+SUM(E77:E81)</f>
        <v>435834705.40000021</v>
      </c>
      <c r="F87" s="1219">
        <f t="shared" si="411"/>
        <v>416774594.95999992</v>
      </c>
      <c r="G87" s="1219">
        <f t="shared" si="411"/>
        <v>432249498.55999994</v>
      </c>
      <c r="H87" s="1219">
        <f t="shared" si="411"/>
        <v>477634127.25</v>
      </c>
      <c r="I87" s="1219">
        <f t="shared" si="411"/>
        <v>513554755.96000004</v>
      </c>
      <c r="J87" s="1219">
        <f t="shared" ref="J87:S87" si="412">J70+SUM(J77:J81)</f>
        <v>511687143.73999995</v>
      </c>
      <c r="K87" s="1219">
        <f t="shared" si="412"/>
        <v>284915512.89999998</v>
      </c>
      <c r="L87" s="1246">
        <f t="shared" si="412"/>
        <v>394863727.58999997</v>
      </c>
      <c r="M87" s="1219">
        <f t="shared" si="412"/>
        <v>434294756.9725287</v>
      </c>
      <c r="N87" s="1219">
        <f t="shared" si="412"/>
        <v>457232632.71750766</v>
      </c>
      <c r="O87" s="1219">
        <f t="shared" si="412"/>
        <v>534735649.69485116</v>
      </c>
      <c r="P87" s="1219">
        <f t="shared" si="412"/>
        <v>621497564.50036001</v>
      </c>
      <c r="Q87" s="1219">
        <f t="shared" si="412"/>
        <v>670130205.7436645</v>
      </c>
      <c r="R87" s="1219">
        <f t="shared" si="412"/>
        <v>728711532.5304811</v>
      </c>
      <c r="S87" s="1219">
        <f t="shared" si="412"/>
        <v>821435131.11154389</v>
      </c>
      <c r="T87" s="1219">
        <f>T70+SUM(T77:T81)</f>
        <v>908244163.55544126</v>
      </c>
      <c r="U87" s="1219">
        <f t="shared" ref="U87:X87" si="413">U70+SUM(U77:U81)</f>
        <v>1010836648.0450755</v>
      </c>
      <c r="V87" s="1219">
        <f t="shared" si="413"/>
        <v>1182922320.3868513</v>
      </c>
      <c r="W87" s="1219">
        <f t="shared" si="413"/>
        <v>1807292021.1298594</v>
      </c>
      <c r="X87" s="1219">
        <f t="shared" si="413"/>
        <v>5090770282.329607</v>
      </c>
      <c r="AA87" s="1239"/>
      <c r="AP87" s="1239"/>
      <c r="BE87" s="1239"/>
      <c r="BT87" s="1239"/>
      <c r="CI87" s="1239"/>
    </row>
    <row r="88" spans="2:95" ht="15.75" thickTop="1">
      <c r="B88" s="220"/>
    </row>
    <row r="89" spans="2:95">
      <c r="B89" s="1135" t="s">
        <v>1414</v>
      </c>
    </row>
    <row r="90" spans="2:95" s="220" customFormat="1">
      <c r="B90" s="220" t="s">
        <v>1425</v>
      </c>
      <c r="E90" s="1226" t="str">
        <f t="shared" ref="E90" si="414">IFERROR(E70/D70-1,"")</f>
        <v/>
      </c>
      <c r="F90" s="1226">
        <f t="shared" ref="F90" si="415">IFERROR(F70/E70-1,"")</f>
        <v>-1.6622454428694255E-2</v>
      </c>
      <c r="G90" s="1226">
        <f t="shared" ref="G90" si="416">IFERROR(G70/F70-1,"")</f>
        <v>4.3025697336101398E-2</v>
      </c>
      <c r="H90" s="1226">
        <f t="shared" ref="H90" si="417">IFERROR(H70/G70-1,"")</f>
        <v>6.9400503564194915E-2</v>
      </c>
      <c r="I90" s="1226">
        <f t="shared" ref="I90" si="418">IFERROR(I70/H70-1,"")</f>
        <v>1.2319190902084332E-2</v>
      </c>
      <c r="J90" s="1226">
        <f t="shared" ref="J90" si="419">IFERROR(J70/I70-1,"")</f>
        <v>-0.15941154996143836</v>
      </c>
      <c r="K90" s="1226">
        <f t="shared" ref="K90" si="420">IFERROR(K70/J70-1,"")</f>
        <v>-0.57732076288625822</v>
      </c>
      <c r="L90" s="1245">
        <f t="shared" ref="L90:L96" si="421">IFERROR(L70/K70-1,"")</f>
        <v>0.96448486424194146</v>
      </c>
      <c r="M90" s="1533">
        <f t="shared" ref="M90" si="422">IFERROR(M70/L70-1,"")</f>
        <v>-0.16380321537590237</v>
      </c>
      <c r="N90" s="1226">
        <f t="shared" ref="N90" si="423">IFERROR(N70/M70-1,"")</f>
        <v>5.5657357495768389E-2</v>
      </c>
      <c r="O90" s="1226">
        <f t="shared" ref="O90" si="424">IFERROR(O70/N70-1,"")</f>
        <v>0.23637888924025141</v>
      </c>
      <c r="P90" s="1226">
        <f t="shared" ref="P90" si="425">IFERROR(P70/O70-1,"")</f>
        <v>0.14714639845300459</v>
      </c>
      <c r="Q90" s="1226">
        <f t="shared" ref="Q90" si="426">IFERROR(Q70/P70-1,"")</f>
        <v>8.0537463988623825E-2</v>
      </c>
      <c r="R90" s="1226">
        <f t="shared" ref="R90" si="427">IFERROR(R70/Q70-1,"")</f>
        <v>6.9212295113987965E-2</v>
      </c>
      <c r="S90" s="1226">
        <f t="shared" ref="S90" si="428">IFERROR(S70/R70-1,"")</f>
        <v>7.5490247811007327E-2</v>
      </c>
      <c r="T90" s="1226">
        <f t="shared" ref="T90" si="429">IFERROR(T70/S70-1,"")</f>
        <v>2.7308722653531126E-2</v>
      </c>
      <c r="U90" s="1226">
        <f t="shared" ref="U90:U97" si="430">IFERROR(U70/T70-1,"")</f>
        <v>1.446979520573044E-2</v>
      </c>
      <c r="V90" s="1226">
        <f t="shared" ref="V90:V97" si="431">IFERROR(V70/U70-1,"")</f>
        <v>2.1644512205814648E-2</v>
      </c>
      <c r="W90" s="1226">
        <f t="shared" ref="W90:W97" si="432">IFERROR(W70/V70-1,"")</f>
        <v>1.394973567694735E-2</v>
      </c>
      <c r="X90" s="1226">
        <f t="shared" ref="X90:X97" si="433">IFERROR(X70/W70-1,"")</f>
        <v>2.1308446296775418E-2</v>
      </c>
      <c r="AA90" s="1239"/>
      <c r="AP90" s="1239"/>
      <c r="BE90" s="1239"/>
      <c r="BT90" s="1239"/>
      <c r="CI90" s="1239"/>
    </row>
    <row r="91" spans="2:95">
      <c r="B91" s="220" t="s">
        <v>1441</v>
      </c>
      <c r="E91" s="1226" t="str">
        <f t="shared" ref="E91:L103" si="434">IFERROR(E71/D71-1,"")</f>
        <v/>
      </c>
      <c r="F91" s="1226" t="str">
        <f t="shared" si="434"/>
        <v/>
      </c>
      <c r="G91" s="1226" t="str">
        <f t="shared" si="434"/>
        <v/>
      </c>
      <c r="H91" s="1226" t="str">
        <f t="shared" si="434"/>
        <v/>
      </c>
      <c r="I91" s="1226" t="str">
        <f t="shared" si="434"/>
        <v/>
      </c>
      <c r="J91" s="1226" t="str">
        <f t="shared" si="434"/>
        <v/>
      </c>
      <c r="K91" s="1226" t="str">
        <f t="shared" si="434"/>
        <v/>
      </c>
      <c r="L91" s="1245" t="str">
        <f t="shared" si="421"/>
        <v/>
      </c>
      <c r="M91" s="1533">
        <f t="shared" ref="M91" si="435">IFERROR(M71/L71-1,"")</f>
        <v>-0.17159340617019359</v>
      </c>
      <c r="N91" s="1226">
        <f t="shared" ref="N91:T96" si="436">IFERROR(N71/M71-1,"")</f>
        <v>5.5657357495768389E-2</v>
      </c>
      <c r="O91" s="1226">
        <f t="shared" si="436"/>
        <v>0.23637888924025141</v>
      </c>
      <c r="P91" s="1226">
        <f t="shared" si="436"/>
        <v>0.14714639845300459</v>
      </c>
      <c r="Q91" s="1226">
        <f t="shared" si="436"/>
        <v>8.0537463988623825E-2</v>
      </c>
      <c r="R91" s="1226">
        <f t="shared" si="436"/>
        <v>6.9212295113987965E-2</v>
      </c>
      <c r="S91" s="1226">
        <f t="shared" si="436"/>
        <v>7.5490247811007327E-2</v>
      </c>
      <c r="T91" s="1226">
        <f t="shared" si="436"/>
        <v>2.7308722653531126E-2</v>
      </c>
      <c r="U91" s="1226">
        <f t="shared" si="430"/>
        <v>1.446979520573044E-2</v>
      </c>
      <c r="V91" s="1226">
        <f t="shared" si="431"/>
        <v>2.1644512205814426E-2</v>
      </c>
      <c r="W91" s="1226">
        <f t="shared" si="432"/>
        <v>1.394973567694735E-2</v>
      </c>
      <c r="X91" s="1226">
        <f t="shared" si="433"/>
        <v>2.1308446296775196E-2</v>
      </c>
    </row>
    <row r="92" spans="2:95">
      <c r="B92" s="220" t="s">
        <v>1435</v>
      </c>
      <c r="E92" s="1226" t="str">
        <f t="shared" si="434"/>
        <v/>
      </c>
      <c r="F92" s="1226" t="str">
        <f t="shared" si="434"/>
        <v/>
      </c>
      <c r="G92" s="1226" t="str">
        <f t="shared" si="434"/>
        <v/>
      </c>
      <c r="H92" s="1226" t="str">
        <f t="shared" si="434"/>
        <v/>
      </c>
      <c r="I92" s="1226" t="str">
        <f t="shared" si="434"/>
        <v/>
      </c>
      <c r="J92" s="1226" t="str">
        <f t="shared" si="434"/>
        <v/>
      </c>
      <c r="K92" s="1226" t="str">
        <f t="shared" si="434"/>
        <v/>
      </c>
      <c r="L92" s="1245" t="str">
        <f t="shared" si="421"/>
        <v/>
      </c>
      <c r="M92" s="1533">
        <f t="shared" ref="M92:M97" si="437">IFERROR(M72/L72-1,"")</f>
        <v>-0.30270324479915656</v>
      </c>
      <c r="N92" s="1226">
        <f t="shared" si="436"/>
        <v>5.5657357495768611E-2</v>
      </c>
      <c r="O92" s="1226">
        <f t="shared" si="436"/>
        <v>0.23637888924025141</v>
      </c>
      <c r="P92" s="1226">
        <f t="shared" si="436"/>
        <v>0.14714639845300459</v>
      </c>
      <c r="Q92" s="1226">
        <f t="shared" si="436"/>
        <v>8.0537463988623825E-2</v>
      </c>
      <c r="R92" s="1226">
        <f t="shared" si="436"/>
        <v>6.9212295113987965E-2</v>
      </c>
      <c r="S92" s="1226">
        <f t="shared" si="436"/>
        <v>7.5490247811007549E-2</v>
      </c>
      <c r="T92" s="1226">
        <f t="shared" si="436"/>
        <v>2.7308722653531348E-2</v>
      </c>
      <c r="U92" s="1226">
        <f t="shared" si="430"/>
        <v>1.446979520573044E-2</v>
      </c>
      <c r="V92" s="1226">
        <f t="shared" si="431"/>
        <v>2.1644512205814648E-2</v>
      </c>
      <c r="W92" s="1226">
        <f t="shared" si="432"/>
        <v>1.394973567694735E-2</v>
      </c>
      <c r="X92" s="1226">
        <f t="shared" si="433"/>
        <v>2.1308446296775418E-2</v>
      </c>
    </row>
    <row r="93" spans="2:95" s="220" customFormat="1">
      <c r="B93" s="220" t="s">
        <v>1436</v>
      </c>
      <c r="E93" s="1226" t="str">
        <f t="shared" si="434"/>
        <v/>
      </c>
      <c r="F93" s="1226" t="str">
        <f t="shared" si="434"/>
        <v/>
      </c>
      <c r="G93" s="1226" t="str">
        <f t="shared" si="434"/>
        <v/>
      </c>
      <c r="H93" s="1226" t="str">
        <f t="shared" si="434"/>
        <v/>
      </c>
      <c r="I93" s="1226" t="str">
        <f t="shared" si="434"/>
        <v/>
      </c>
      <c r="J93" s="1226" t="str">
        <f t="shared" si="434"/>
        <v/>
      </c>
      <c r="K93" s="1226" t="str">
        <f t="shared" si="434"/>
        <v/>
      </c>
      <c r="L93" s="1245" t="str">
        <f t="shared" si="421"/>
        <v/>
      </c>
      <c r="M93" s="1533">
        <f t="shared" si="437"/>
        <v>0.13619937099534041</v>
      </c>
      <c r="N93" s="1226">
        <f t="shared" si="436"/>
        <v>5.5657357495768389E-2</v>
      </c>
      <c r="O93" s="1226">
        <f t="shared" si="436"/>
        <v>0.23637888924025119</v>
      </c>
      <c r="P93" s="1226">
        <f t="shared" si="436"/>
        <v>0.14714639845300481</v>
      </c>
      <c r="Q93" s="1226">
        <f t="shared" si="436"/>
        <v>8.0537463988623825E-2</v>
      </c>
      <c r="R93" s="1226">
        <f t="shared" si="436"/>
        <v>6.9212295113988187E-2</v>
      </c>
      <c r="S93" s="1226">
        <f t="shared" si="436"/>
        <v>7.5490247811007327E-2</v>
      </c>
      <c r="T93" s="1226">
        <f t="shared" si="436"/>
        <v>2.7308722653531126E-2</v>
      </c>
      <c r="U93" s="1226">
        <f t="shared" si="430"/>
        <v>1.4469795205730218E-2</v>
      </c>
      <c r="V93" s="1226">
        <f t="shared" si="431"/>
        <v>2.1644512205814648E-2</v>
      </c>
      <c r="W93" s="1226">
        <f t="shared" si="432"/>
        <v>1.394973567694735E-2</v>
      </c>
      <c r="X93" s="1226">
        <f t="shared" si="433"/>
        <v>2.1308446296775418E-2</v>
      </c>
      <c r="AA93" s="1239"/>
      <c r="AP93" s="1239"/>
      <c r="BE93" s="1239"/>
      <c r="BT93" s="1239"/>
      <c r="CI93" s="1239"/>
    </row>
    <row r="94" spans="2:95" s="220" customFormat="1">
      <c r="B94" s="1214" t="s">
        <v>1434</v>
      </c>
      <c r="E94" s="1226" t="str">
        <f t="shared" si="434"/>
        <v/>
      </c>
      <c r="F94" s="1226" t="str">
        <f t="shared" si="434"/>
        <v/>
      </c>
      <c r="G94" s="1226" t="str">
        <f t="shared" si="434"/>
        <v/>
      </c>
      <c r="H94" s="1226" t="str">
        <f t="shared" si="434"/>
        <v/>
      </c>
      <c r="I94" s="1226" t="str">
        <f t="shared" si="434"/>
        <v/>
      </c>
      <c r="J94" s="1226" t="str">
        <f t="shared" si="434"/>
        <v/>
      </c>
      <c r="K94" s="1226" t="str">
        <f t="shared" si="434"/>
        <v/>
      </c>
      <c r="L94" s="1245">
        <f t="shared" si="421"/>
        <v>0.68260349167804724</v>
      </c>
      <c r="M94" s="1533">
        <f t="shared" si="437"/>
        <v>-2.5820474306828656E-2</v>
      </c>
      <c r="N94" s="1226">
        <f t="shared" si="436"/>
        <v>5.5657357495768389E-2</v>
      </c>
      <c r="O94" s="1226">
        <f t="shared" si="436"/>
        <v>0.23637888924025119</v>
      </c>
      <c r="P94" s="1226">
        <f t="shared" si="436"/>
        <v>0.14714639845300459</v>
      </c>
      <c r="Q94" s="1226">
        <f t="shared" si="436"/>
        <v>8.0537463988623825E-2</v>
      </c>
      <c r="R94" s="1226">
        <f t="shared" si="436"/>
        <v>6.9212295113988187E-2</v>
      </c>
      <c r="S94" s="1226">
        <f t="shared" si="436"/>
        <v>7.5490247811007327E-2</v>
      </c>
      <c r="T94" s="1226">
        <f t="shared" si="436"/>
        <v>2.7308722653530904E-2</v>
      </c>
      <c r="U94" s="1226">
        <f t="shared" si="430"/>
        <v>1.4469795205730662E-2</v>
      </c>
      <c r="V94" s="1226">
        <f t="shared" si="431"/>
        <v>2.1644512205814426E-2</v>
      </c>
      <c r="W94" s="1226">
        <f t="shared" si="432"/>
        <v>1.394973567694735E-2</v>
      </c>
      <c r="X94" s="1226">
        <f t="shared" si="433"/>
        <v>2.1308446296775418E-2</v>
      </c>
      <c r="AA94" s="1239"/>
      <c r="AP94" s="1239"/>
      <c r="BE94" s="1239"/>
      <c r="BT94" s="1239"/>
      <c r="CI94" s="1239"/>
    </row>
    <row r="95" spans="2:95" s="220" customFormat="1">
      <c r="B95" s="1214" t="s">
        <v>1437</v>
      </c>
      <c r="E95" s="1226" t="str">
        <f t="shared" si="434"/>
        <v/>
      </c>
      <c r="F95" s="1226" t="str">
        <f t="shared" si="434"/>
        <v/>
      </c>
      <c r="G95" s="1226" t="str">
        <f t="shared" si="434"/>
        <v/>
      </c>
      <c r="H95" s="1226" t="str">
        <f t="shared" si="434"/>
        <v/>
      </c>
      <c r="I95" s="1226" t="str">
        <f t="shared" si="434"/>
        <v/>
      </c>
      <c r="J95" s="1226" t="str">
        <f t="shared" si="434"/>
        <v/>
      </c>
      <c r="K95" s="1226" t="str">
        <f t="shared" si="434"/>
        <v/>
      </c>
      <c r="L95" s="1245">
        <f t="shared" si="421"/>
        <v>2.660310406482004</v>
      </c>
      <c r="M95" s="1533">
        <f t="shared" si="437"/>
        <v>-0.10943397001126853</v>
      </c>
      <c r="N95" s="1226">
        <f t="shared" si="436"/>
        <v>5.5657357495768389E-2</v>
      </c>
      <c r="O95" s="1226">
        <f t="shared" si="436"/>
        <v>0.23637888924025119</v>
      </c>
      <c r="P95" s="1226">
        <f t="shared" si="436"/>
        <v>0.14714639845300459</v>
      </c>
      <c r="Q95" s="1226">
        <f t="shared" si="436"/>
        <v>8.0537463988623825E-2</v>
      </c>
      <c r="R95" s="1226">
        <f t="shared" si="436"/>
        <v>6.9212295113987965E-2</v>
      </c>
      <c r="S95" s="1226">
        <f t="shared" si="436"/>
        <v>7.5490247811007327E-2</v>
      </c>
      <c r="T95" s="1226">
        <f t="shared" si="436"/>
        <v>2.7308722653531126E-2</v>
      </c>
      <c r="U95" s="1226">
        <f t="shared" si="430"/>
        <v>1.446979520573044E-2</v>
      </c>
      <c r="V95" s="1226">
        <f t="shared" si="431"/>
        <v>2.1644512205814426E-2</v>
      </c>
      <c r="W95" s="1226">
        <f t="shared" si="432"/>
        <v>1.394973567694735E-2</v>
      </c>
      <c r="X95" s="1226">
        <f t="shared" si="433"/>
        <v>2.1308446296775196E-2</v>
      </c>
      <c r="AA95" s="1239"/>
      <c r="AP95" s="1239"/>
      <c r="BE95" s="1239"/>
      <c r="BT95" s="1239"/>
      <c r="CI95" s="1239"/>
    </row>
    <row r="96" spans="2:95">
      <c r="B96" s="1214" t="s">
        <v>1438</v>
      </c>
      <c r="E96" s="1226" t="str">
        <f t="shared" si="434"/>
        <v/>
      </c>
      <c r="F96" s="1226" t="str">
        <f t="shared" si="434"/>
        <v/>
      </c>
      <c r="G96" s="1226" t="str">
        <f t="shared" si="434"/>
        <v/>
      </c>
      <c r="H96" s="1226" t="str">
        <f t="shared" si="434"/>
        <v/>
      </c>
      <c r="I96" s="1226" t="str">
        <f t="shared" si="434"/>
        <v/>
      </c>
      <c r="J96" s="1226" t="str">
        <f t="shared" si="434"/>
        <v/>
      </c>
      <c r="K96" s="1226" t="str">
        <f t="shared" si="434"/>
        <v/>
      </c>
      <c r="L96" s="1245">
        <f t="shared" si="421"/>
        <v>0.15068356119995463</v>
      </c>
      <c r="M96" s="1533">
        <f t="shared" si="437"/>
        <v>4.5715207331947116E-2</v>
      </c>
      <c r="N96" s="1226">
        <f t="shared" si="436"/>
        <v>5.5657357495768389E-2</v>
      </c>
      <c r="O96" s="1226">
        <f t="shared" si="436"/>
        <v>0.23637888924025119</v>
      </c>
      <c r="P96" s="1226">
        <f t="shared" si="436"/>
        <v>0.14714639845300481</v>
      </c>
      <c r="Q96" s="1226">
        <f t="shared" si="436"/>
        <v>8.0537463988624047E-2</v>
      </c>
      <c r="R96" s="1226">
        <f t="shared" si="436"/>
        <v>6.9212295113988187E-2</v>
      </c>
      <c r="S96" s="1226">
        <f t="shared" si="436"/>
        <v>7.5490247811007327E-2</v>
      </c>
      <c r="T96" s="1226">
        <f t="shared" si="436"/>
        <v>2.7308722653531348E-2</v>
      </c>
      <c r="U96" s="1226">
        <f t="shared" si="430"/>
        <v>1.4469795205730218E-2</v>
      </c>
      <c r="V96" s="1226">
        <f t="shared" si="431"/>
        <v>2.1644512205814426E-2</v>
      </c>
      <c r="W96" s="1226">
        <f t="shared" si="432"/>
        <v>1.394973567694735E-2</v>
      </c>
      <c r="X96" s="1226">
        <f t="shared" si="433"/>
        <v>2.1308446296775418E-2</v>
      </c>
    </row>
    <row r="97" spans="1:87" s="220" customFormat="1">
      <c r="B97" s="1214" t="s">
        <v>1431</v>
      </c>
      <c r="E97" s="1226" t="str">
        <f t="shared" si="434"/>
        <v/>
      </c>
      <c r="F97" s="1226">
        <f t="shared" si="434"/>
        <v>-1.1200372996333714</v>
      </c>
      <c r="G97" s="1226">
        <f t="shared" si="434"/>
        <v>-0.8331912184769058</v>
      </c>
      <c r="H97" s="1226">
        <f t="shared" si="434"/>
        <v>-0.95247972014375082</v>
      </c>
      <c r="I97" s="1226">
        <f t="shared" si="434"/>
        <v>-1</v>
      </c>
      <c r="J97" s="1226" t="str">
        <f t="shared" si="434"/>
        <v/>
      </c>
      <c r="K97" s="1226">
        <f t="shared" si="434"/>
        <v>-2.63316313381321E-2</v>
      </c>
      <c r="L97" s="1245">
        <f t="shared" si="434"/>
        <v>0.55763467121722532</v>
      </c>
      <c r="M97" s="1533">
        <f t="shared" si="437"/>
        <v>-7.3138114556883238E-2</v>
      </c>
      <c r="N97" s="1226">
        <f t="shared" ref="N97:T97" si="438">IFERROR(N77/M77-1,"")</f>
        <v>0.49431518356633353</v>
      </c>
      <c r="O97" s="1226">
        <f t="shared" si="438"/>
        <v>0.13880070225643637</v>
      </c>
      <c r="P97" s="1226">
        <f t="shared" si="438"/>
        <v>7.6278589659191987E-2</v>
      </c>
      <c r="Q97" s="1226">
        <f t="shared" si="438"/>
        <v>6.9526404790553942E-2</v>
      </c>
      <c r="R97" s="1226">
        <f t="shared" si="438"/>
        <v>5.1417933717419873E-2</v>
      </c>
      <c r="S97" s="1226">
        <f t="shared" si="438"/>
        <v>3.6623012645311759E-2</v>
      </c>
      <c r="T97" s="1226">
        <f t="shared" si="438"/>
        <v>3.5810753505862269E-2</v>
      </c>
      <c r="U97" s="1226">
        <f t="shared" si="430"/>
        <v>3.7665023100430517E-8</v>
      </c>
      <c r="V97" s="1226">
        <f t="shared" si="431"/>
        <v>3.7665021768162887E-8</v>
      </c>
      <c r="W97" s="1226">
        <f t="shared" si="432"/>
        <v>3.7665020435895258E-8</v>
      </c>
      <c r="X97" s="1226">
        <f t="shared" si="433"/>
        <v>3.7665019103627628E-8</v>
      </c>
      <c r="AA97" s="1239"/>
      <c r="AP97" s="1239"/>
      <c r="BE97" s="1239"/>
      <c r="BT97" s="1239"/>
      <c r="CI97" s="1239"/>
    </row>
    <row r="98" spans="1:87" s="220" customFormat="1">
      <c r="B98" s="1214" t="s">
        <v>1432</v>
      </c>
      <c r="E98" s="1226" t="str">
        <f t="shared" si="434"/>
        <v/>
      </c>
      <c r="F98" s="1226">
        <f t="shared" si="434"/>
        <v>0.32792453912906794</v>
      </c>
      <c r="G98" s="1226">
        <f t="shared" si="434"/>
        <v>0.16659341691670915</v>
      </c>
      <c r="H98" s="1226">
        <f t="shared" si="434"/>
        <v>0.16446507069032168</v>
      </c>
      <c r="I98" s="1226">
        <f t="shared" si="434"/>
        <v>1.3009305355676126E-2</v>
      </c>
      <c r="J98" s="1226">
        <f t="shared" si="434"/>
        <v>7.2198819444913687E-2</v>
      </c>
      <c r="K98" s="1226">
        <f t="shared" si="434"/>
        <v>-0.21269601910042157</v>
      </c>
      <c r="L98" s="1245">
        <f t="shared" si="434"/>
        <v>0.31635238412950284</v>
      </c>
      <c r="M98" s="1543">
        <v>8.0000000000000071E-2</v>
      </c>
      <c r="N98" s="1228">
        <v>8.0000000000000071E-2</v>
      </c>
      <c r="O98" s="1228">
        <v>8.0000000000000071E-2</v>
      </c>
      <c r="P98" s="1228">
        <v>8.0000000000000071E-2</v>
      </c>
      <c r="Q98" s="1228">
        <v>8.0000000000000071E-2</v>
      </c>
      <c r="R98" s="1228">
        <v>8.0000000000000071E-2</v>
      </c>
      <c r="S98" s="1228">
        <v>8.0000000000000071E-2</v>
      </c>
      <c r="T98" s="1228">
        <v>8.0000000000000071E-2</v>
      </c>
      <c r="U98" s="1228">
        <v>1.08</v>
      </c>
      <c r="V98" s="1228">
        <v>2.08</v>
      </c>
      <c r="W98" s="1228">
        <v>3.08</v>
      </c>
      <c r="X98" s="1228">
        <v>4.08</v>
      </c>
      <c r="AA98" s="1239"/>
      <c r="AP98" s="1239"/>
      <c r="BE98" s="1239"/>
      <c r="BT98" s="1239"/>
      <c r="CI98" s="1239"/>
    </row>
    <row r="99" spans="1:87" s="220" customFormat="1">
      <c r="B99" s="1216" t="s">
        <v>1429</v>
      </c>
      <c r="E99" s="1226" t="str">
        <f t="shared" si="434"/>
        <v/>
      </c>
      <c r="F99" s="1226" t="str">
        <f t="shared" si="434"/>
        <v/>
      </c>
      <c r="G99" s="1226" t="str">
        <f t="shared" si="434"/>
        <v/>
      </c>
      <c r="H99" s="1226" t="str">
        <f t="shared" si="434"/>
        <v/>
      </c>
      <c r="I99" s="1226" t="str">
        <f t="shared" si="434"/>
        <v/>
      </c>
      <c r="J99" s="1226" t="str">
        <f t="shared" si="434"/>
        <v/>
      </c>
      <c r="K99" s="1226" t="str">
        <f t="shared" si="434"/>
        <v/>
      </c>
      <c r="L99" s="1245" t="str">
        <f t="shared" ref="L99:T99" si="439">IFERROR(L79/K79-1,"")</f>
        <v/>
      </c>
      <c r="M99" s="1533" t="str">
        <f t="shared" si="439"/>
        <v/>
      </c>
      <c r="N99" s="1226" t="str">
        <f t="shared" si="439"/>
        <v/>
      </c>
      <c r="O99" s="1226" t="str">
        <f t="shared" si="439"/>
        <v/>
      </c>
      <c r="P99" s="1226" t="str">
        <f t="shared" si="439"/>
        <v/>
      </c>
      <c r="Q99" s="1226" t="str">
        <f t="shared" si="439"/>
        <v/>
      </c>
      <c r="R99" s="1226" t="str">
        <f t="shared" si="439"/>
        <v/>
      </c>
      <c r="S99" s="1226" t="str">
        <f t="shared" si="439"/>
        <v/>
      </c>
      <c r="T99" s="1226" t="str">
        <f t="shared" si="439"/>
        <v/>
      </c>
      <c r="U99" s="1226" t="str">
        <f t="shared" ref="U99:U100" si="440">IFERROR(U79/T79-1,"")</f>
        <v/>
      </c>
      <c r="V99" s="1226" t="str">
        <f t="shared" ref="V99:V100" si="441">IFERROR(V79/U79-1,"")</f>
        <v/>
      </c>
      <c r="W99" s="1226" t="str">
        <f t="shared" ref="W99:W100" si="442">IFERROR(W79/V79-1,"")</f>
        <v/>
      </c>
      <c r="X99" s="1226" t="str">
        <f t="shared" ref="X99:X100" si="443">IFERROR(X79/W79-1,"")</f>
        <v/>
      </c>
      <c r="AA99" s="1239"/>
      <c r="AP99" s="1239"/>
      <c r="BE99" s="1239"/>
      <c r="BT99" s="1239"/>
      <c r="CI99" s="1239"/>
    </row>
    <row r="100" spans="1:87">
      <c r="B100" s="220" t="s">
        <v>1415</v>
      </c>
      <c r="E100" s="1226" t="str">
        <f t="shared" si="434"/>
        <v/>
      </c>
      <c r="F100" s="1226">
        <f t="shared" si="434"/>
        <v>0.59088010542664549</v>
      </c>
      <c r="G100" s="1226">
        <f t="shared" si="434"/>
        <v>0.11992352944743989</v>
      </c>
      <c r="H100" s="1226">
        <f t="shared" si="434"/>
        <v>-8.0568385398417375E-2</v>
      </c>
      <c r="I100" s="1226">
        <f t="shared" si="434"/>
        <v>0.67519973112032194</v>
      </c>
      <c r="J100" s="1226">
        <f t="shared" si="434"/>
        <v>-0.25718886433361399</v>
      </c>
      <c r="K100" s="1226">
        <f t="shared" si="434"/>
        <v>-0.41279567174383214</v>
      </c>
      <c r="L100" s="1245">
        <f t="shared" ref="L100:T100" si="444">IFERROR(L80/K80-1,"")</f>
        <v>-1</v>
      </c>
      <c r="M100" s="1533" t="str">
        <f t="shared" si="444"/>
        <v/>
      </c>
      <c r="N100" s="1226">
        <f t="shared" si="444"/>
        <v>2.0000000000000018E-2</v>
      </c>
      <c r="O100" s="1226">
        <f t="shared" si="444"/>
        <v>0.68720314120000037</v>
      </c>
      <c r="P100" s="1226">
        <f t="shared" si="444"/>
        <v>0.43910166931181549</v>
      </c>
      <c r="Q100" s="1226">
        <f t="shared" si="444"/>
        <v>2.0000000000000018E-2</v>
      </c>
      <c r="R100" s="1226">
        <f t="shared" si="444"/>
        <v>2.0000000000000018E-2</v>
      </c>
      <c r="S100" s="1226">
        <f t="shared" si="444"/>
        <v>0.85007277902012546</v>
      </c>
      <c r="T100" s="1226">
        <f t="shared" si="444"/>
        <v>2.0000000000000018E-2</v>
      </c>
      <c r="U100" s="1226">
        <f t="shared" si="440"/>
        <v>1.9999999999999796E-2</v>
      </c>
      <c r="V100" s="1226">
        <f t="shared" si="441"/>
        <v>1.9999999999999796E-2</v>
      </c>
      <c r="W100" s="1226">
        <f t="shared" si="442"/>
        <v>1.9999999999999796E-2</v>
      </c>
      <c r="X100" s="1226">
        <f t="shared" si="443"/>
        <v>1.9999999999999796E-2</v>
      </c>
    </row>
    <row r="101" spans="1:87">
      <c r="B101" s="220" t="s">
        <v>1420</v>
      </c>
      <c r="E101" s="1226" t="str">
        <f t="shared" si="434"/>
        <v/>
      </c>
      <c r="F101" s="1226">
        <f t="shared" si="434"/>
        <v>-0.12018324882128473</v>
      </c>
      <c r="G101" s="1226">
        <f t="shared" si="434"/>
        <v>9.7394220186783897E-3</v>
      </c>
      <c r="H101" s="1226">
        <f t="shared" si="434"/>
        <v>0.19113674337903652</v>
      </c>
      <c r="I101" s="1226">
        <f t="shared" si="434"/>
        <v>0.20344067115000986</v>
      </c>
      <c r="J101" s="1226">
        <f t="shared" si="434"/>
        <v>0.23488853295999768</v>
      </c>
      <c r="K101" s="1226">
        <f t="shared" si="434"/>
        <v>-0.30839782317088205</v>
      </c>
      <c r="L101" s="1245">
        <f>IFERROR(L81/K81-1,"")</f>
        <v>-3.557307093110873E-2</v>
      </c>
      <c r="M101" s="1533">
        <f t="shared" ref="M101:T101" si="445">M81/L81-1</f>
        <v>0.50641398635902424</v>
      </c>
      <c r="N101" s="1226">
        <f t="shared" si="445"/>
        <v>2.4027970758396799E-2</v>
      </c>
      <c r="O101" s="1226">
        <f t="shared" si="445"/>
        <v>0.11658012009516949</v>
      </c>
      <c r="P101" s="1226">
        <f t="shared" si="445"/>
        <v>0.18790719383885346</v>
      </c>
      <c r="Q101" s="1226">
        <f t="shared" si="445"/>
        <v>7.7339587793326725E-2</v>
      </c>
      <c r="R101" s="1226">
        <f t="shared" si="445"/>
        <v>0.10874469083975224</v>
      </c>
      <c r="S101" s="1226">
        <f t="shared" si="445"/>
        <v>0.17650862087042496</v>
      </c>
      <c r="T101" s="1226">
        <f t="shared" si="445"/>
        <v>0.17886341849744425</v>
      </c>
      <c r="U101" s="1226">
        <f t="shared" ref="U101" si="446">U81/T81-1</f>
        <v>0.13426443298386315</v>
      </c>
      <c r="V101" s="1226">
        <f t="shared" ref="V101" si="447">V81/U81-1</f>
        <v>6.6856417864878948E-2</v>
      </c>
      <c r="W101" s="1226">
        <f t="shared" ref="W101" si="448">W81/V81-1</f>
        <v>6.685641786487917E-2</v>
      </c>
      <c r="X101" s="1226">
        <f t="shared" ref="X101" si="449">X81/W81-1</f>
        <v>0.22688488054461109</v>
      </c>
    </row>
    <row r="102" spans="1:87" s="220" customFormat="1" hidden="1" outlineLevel="1">
      <c r="B102" s="1216" t="s">
        <v>1439</v>
      </c>
      <c r="E102" s="1226" t="str">
        <f t="shared" si="434"/>
        <v/>
      </c>
      <c r="F102" s="1226" t="str">
        <f t="shared" si="434"/>
        <v/>
      </c>
      <c r="G102" s="1226" t="str">
        <f t="shared" si="434"/>
        <v/>
      </c>
      <c r="H102" s="1226" t="str">
        <f t="shared" si="434"/>
        <v/>
      </c>
      <c r="I102" s="1226" t="str">
        <f t="shared" si="434"/>
        <v/>
      </c>
      <c r="J102" s="1226" t="str">
        <f t="shared" si="434"/>
        <v/>
      </c>
      <c r="K102" s="1226" t="str">
        <f t="shared" si="434"/>
        <v/>
      </c>
      <c r="L102" s="1245" t="str">
        <f>IFERROR(L82/K82-1,"")</f>
        <v/>
      </c>
      <c r="M102" s="1533"/>
      <c r="N102" s="1226"/>
      <c r="O102" s="1226"/>
      <c r="P102" s="1226"/>
      <c r="Q102" s="1226"/>
      <c r="R102" s="1226"/>
      <c r="S102" s="1226"/>
      <c r="T102" s="1226"/>
      <c r="U102" s="1226"/>
      <c r="V102" s="1226"/>
      <c r="W102" s="1226"/>
      <c r="X102" s="1226"/>
      <c r="AA102" s="1239"/>
      <c r="AP102" s="1239"/>
      <c r="BE102" s="1239"/>
      <c r="BT102" s="1239"/>
      <c r="CI102" s="1239"/>
    </row>
    <row r="103" spans="1:87" s="220" customFormat="1" hidden="1" outlineLevel="1">
      <c r="B103" s="1216" t="s">
        <v>1440</v>
      </c>
      <c r="E103" s="1226" t="str">
        <f t="shared" si="434"/>
        <v/>
      </c>
      <c r="F103" s="1226" t="str">
        <f t="shared" si="434"/>
        <v/>
      </c>
      <c r="G103" s="1226" t="str">
        <f t="shared" si="434"/>
        <v/>
      </c>
      <c r="H103" s="1226" t="str">
        <f t="shared" si="434"/>
        <v/>
      </c>
      <c r="I103" s="1226" t="str">
        <f t="shared" si="434"/>
        <v/>
      </c>
      <c r="J103" s="1226" t="str">
        <f t="shared" si="434"/>
        <v/>
      </c>
      <c r="K103" s="1226" t="str">
        <f t="shared" si="434"/>
        <v/>
      </c>
      <c r="L103" s="1245" t="str">
        <f>IFERROR(L83/K83-1,"")</f>
        <v/>
      </c>
      <c r="M103" s="1533"/>
      <c r="N103" s="1226"/>
      <c r="O103" s="1226"/>
      <c r="P103" s="1226"/>
      <c r="Q103" s="1226"/>
      <c r="R103" s="1226"/>
      <c r="S103" s="1226"/>
      <c r="T103" s="1226"/>
      <c r="U103" s="1226"/>
      <c r="V103" s="1226"/>
      <c r="W103" s="1226"/>
      <c r="X103" s="1226"/>
      <c r="AA103" s="1239"/>
      <c r="AP103" s="1239"/>
      <c r="BE103" s="1239"/>
      <c r="BT103" s="1239"/>
      <c r="CI103" s="1239"/>
    </row>
    <row r="104" spans="1:87" ht="15.75" collapsed="1" thickBot="1">
      <c r="B104" s="1213" t="s">
        <v>1426</v>
      </c>
      <c r="C104" s="1213"/>
      <c r="D104" s="1213"/>
      <c r="E104" s="1213"/>
      <c r="F104" s="1213"/>
      <c r="G104" s="1213"/>
      <c r="H104" s="1213"/>
      <c r="I104" s="1213"/>
      <c r="J104" s="1213"/>
      <c r="K104" s="1213"/>
      <c r="L104" s="1247"/>
      <c r="M104" s="1213"/>
      <c r="N104" s="1213"/>
      <c r="O104" s="1213"/>
      <c r="P104" s="1213"/>
      <c r="Q104" s="1213"/>
      <c r="R104" s="1213"/>
      <c r="S104" s="1213"/>
      <c r="T104" s="1213"/>
      <c r="U104" s="1213"/>
      <c r="V104" s="1213"/>
      <c r="W104" s="1213"/>
      <c r="X104" s="1213"/>
    </row>
    <row r="105" spans="1:87" ht="15.75" thickTop="1"/>
    <row r="107" spans="1:87">
      <c r="A107" s="551" t="s">
        <v>1423</v>
      </c>
    </row>
    <row r="108" spans="1:87">
      <c r="B108" t="s">
        <v>1423</v>
      </c>
      <c r="I108" s="1225">
        <v>1.1599999999999999</v>
      </c>
      <c r="J108" s="1225">
        <v>1.1279999999999999</v>
      </c>
      <c r="K108" s="1225">
        <f>K81/K84</f>
        <v>1.183656863311066</v>
      </c>
      <c r="L108" s="1536">
        <f>L81/L84</f>
        <v>1.1850000000000001</v>
      </c>
      <c r="M108" s="1225">
        <f t="shared" ref="M108:T108" si="450">L108*(1+M109)</f>
        <v>1.1850000000000001</v>
      </c>
      <c r="N108" s="1225">
        <f t="shared" si="450"/>
        <v>1.1850000000000001</v>
      </c>
      <c r="O108" s="1225">
        <f t="shared" si="450"/>
        <v>1.1850000000000001</v>
      </c>
      <c r="P108" s="1225">
        <f t="shared" si="450"/>
        <v>1.1850000000000001</v>
      </c>
      <c r="Q108" s="1225">
        <f t="shared" si="450"/>
        <v>1.1850000000000001</v>
      </c>
      <c r="R108" s="1225">
        <f t="shared" si="450"/>
        <v>1.1850000000000001</v>
      </c>
      <c r="S108" s="1225">
        <f t="shared" si="450"/>
        <v>1.1850000000000001</v>
      </c>
      <c r="T108" s="1225">
        <f t="shared" si="450"/>
        <v>1.1850000000000001</v>
      </c>
      <c r="U108" s="1225">
        <f t="shared" ref="U108" si="451">T108*(1+U109)</f>
        <v>1.1850000000000001</v>
      </c>
      <c r="V108" s="1225">
        <f t="shared" ref="V108" si="452">U108*(1+V109)</f>
        <v>1.1850000000000001</v>
      </c>
      <c r="W108" s="1225">
        <f t="shared" ref="W108" si="453">V108*(1+W109)</f>
        <v>1.1850000000000001</v>
      </c>
      <c r="X108" s="1225">
        <f t="shared" ref="X108" si="454">W108*(1+X109)</f>
        <v>1.1850000000000001</v>
      </c>
    </row>
    <row r="109" spans="1:87">
      <c r="B109" t="s">
        <v>1424</v>
      </c>
      <c r="E109" s="1227"/>
      <c r="F109" s="1227"/>
      <c r="G109" s="1227"/>
      <c r="H109" s="1227"/>
      <c r="I109" s="1227"/>
      <c r="J109" s="1226">
        <f>J108/I108-1</f>
        <v>-2.7586206896551779E-2</v>
      </c>
      <c r="K109" s="1226">
        <f>K108/J108-1</f>
        <v>4.9341190878604779E-2</v>
      </c>
      <c r="L109" s="1245">
        <f>L108/K108-1</f>
        <v>1.134734846361507E-3</v>
      </c>
      <c r="M109" s="1543">
        <v>0</v>
      </c>
      <c r="N109" s="1228">
        <v>0</v>
      </c>
      <c r="O109" s="1228">
        <v>0</v>
      </c>
      <c r="P109" s="1228">
        <v>0</v>
      </c>
      <c r="Q109" s="1228">
        <v>0</v>
      </c>
      <c r="R109" s="1228">
        <v>0</v>
      </c>
      <c r="S109" s="1228">
        <v>0</v>
      </c>
      <c r="T109" s="1228">
        <v>0</v>
      </c>
      <c r="U109" s="1228"/>
      <c r="V109" s="1228"/>
      <c r="W109" s="1228"/>
      <c r="X109" s="1228"/>
    </row>
    <row r="113" spans="1:87" s="1215" customFormat="1" ht="15.75" thickBot="1">
      <c r="L113" s="1248"/>
      <c r="AA113" s="1248"/>
      <c r="AP113" s="1248"/>
      <c r="BE113" s="1248"/>
      <c r="BT113" s="1248"/>
      <c r="CI113" s="1248"/>
    </row>
    <row r="115" spans="1:87">
      <c r="A115" s="551" t="s">
        <v>1427</v>
      </c>
    </row>
    <row r="116" spans="1:87">
      <c r="B116" s="1135" t="s">
        <v>1428</v>
      </c>
    </row>
    <row r="117" spans="1:87">
      <c r="B117" s="220" t="s">
        <v>1425</v>
      </c>
      <c r="E117" s="301">
        <v>52637143.93</v>
      </c>
      <c r="F117" s="301">
        <v>44080036</v>
      </c>
      <c r="G117" s="301">
        <v>55349514</v>
      </c>
      <c r="H117" s="301">
        <v>59503665.949999996</v>
      </c>
      <c r="I117" s="301">
        <v>60727598.410000004</v>
      </c>
      <c r="J117" s="301">
        <v>47661720.940000013</v>
      </c>
      <c r="K117" s="301">
        <f>SUM('Core Opex Proj.'!G$90:G$125)-K124-K125</f>
        <v>21884992.289999999</v>
      </c>
      <c r="L117" s="1240">
        <f>SUM('Core Opex Proj.'!H$90:H$125)-L124-L125</f>
        <v>40923082.930000007</v>
      </c>
      <c r="M117" s="1220">
        <f>SUM('Core Opex Proj.'!I$90:I$125)-M124-M125</f>
        <v>37140962.525514804</v>
      </c>
      <c r="N117" s="301">
        <f t="shared" ref="N117:T117" si="455">N118+N121</f>
        <v>37174342.376166701</v>
      </c>
      <c r="O117" s="301">
        <f t="shared" si="455"/>
        <v>41162647.148127854</v>
      </c>
      <c r="P117" s="301">
        <f t="shared" si="455"/>
        <v>44335045.500769451</v>
      </c>
      <c r="Q117" s="301">
        <f t="shared" si="455"/>
        <v>46204619.235681735</v>
      </c>
      <c r="R117" s="301">
        <f t="shared" si="455"/>
        <v>49097536.447106197</v>
      </c>
      <c r="S117" s="301">
        <f t="shared" si="455"/>
        <v>51810839.638238132</v>
      </c>
      <c r="T117" s="301">
        <f t="shared" si="455"/>
        <v>46827926.568825021</v>
      </c>
      <c r="U117" s="301"/>
      <c r="V117" s="301"/>
      <c r="W117" s="301"/>
      <c r="X117" s="301"/>
    </row>
    <row r="118" spans="1:87">
      <c r="B118" s="220" t="s">
        <v>1441</v>
      </c>
      <c r="E118" s="301">
        <f t="shared" ref="E118:K118" si="456">E117-E121</f>
        <v>52637143.93</v>
      </c>
      <c r="F118" s="301">
        <f t="shared" si="456"/>
        <v>44080036</v>
      </c>
      <c r="G118" s="301">
        <f t="shared" si="456"/>
        <v>55349514</v>
      </c>
      <c r="H118" s="301">
        <f t="shared" si="456"/>
        <v>59503665.949999996</v>
      </c>
      <c r="I118" s="301">
        <f t="shared" si="456"/>
        <v>60727598.410000004</v>
      </c>
      <c r="J118" s="301">
        <f t="shared" si="456"/>
        <v>47661720.940000013</v>
      </c>
      <c r="K118" s="301">
        <f t="shared" si="456"/>
        <v>18806031.379999999</v>
      </c>
      <c r="L118" s="1240">
        <f>L117-L121</f>
        <v>32768234.940000005</v>
      </c>
      <c r="M118" s="1220">
        <f>M117-M121</f>
        <v>30286481.381519765</v>
      </c>
      <c r="N118" s="301">
        <f t="shared" ref="N118:T118" si="457">N71*N139</f>
        <v>30124499.320761494</v>
      </c>
      <c r="O118" s="301">
        <f t="shared" si="457"/>
        <v>32676510.078102615</v>
      </c>
      <c r="P118" s="301">
        <f t="shared" si="457"/>
        <v>34864208.260646209</v>
      </c>
      <c r="Q118" s="301">
        <f t="shared" si="457"/>
        <v>36256291.358671203</v>
      </c>
      <c r="R118" s="301">
        <f t="shared" si="457"/>
        <v>38765672.495926291</v>
      </c>
      <c r="S118" s="301">
        <f t="shared" si="457"/>
        <v>41027056.56832993</v>
      </c>
      <c r="T118" s="301">
        <f t="shared" si="457"/>
        <v>42147453.077445187</v>
      </c>
      <c r="U118" s="301"/>
      <c r="V118" s="301"/>
      <c r="W118" s="301"/>
      <c r="X118" s="301"/>
    </row>
    <row r="119" spans="1:87" s="219" customFormat="1">
      <c r="B119" s="219" t="s">
        <v>1435</v>
      </c>
      <c r="E119" s="310"/>
      <c r="F119" s="310"/>
      <c r="G119" s="310"/>
      <c r="H119" s="310"/>
      <c r="I119" s="310"/>
      <c r="J119" s="310"/>
      <c r="K119" s="310"/>
      <c r="L119" s="1249"/>
      <c r="M119" s="1222"/>
      <c r="N119" s="310"/>
      <c r="O119" s="310"/>
      <c r="P119" s="310"/>
      <c r="Q119" s="310"/>
      <c r="R119" s="310"/>
      <c r="S119" s="310"/>
      <c r="T119" s="310"/>
      <c r="U119" s="310"/>
      <c r="V119" s="310"/>
      <c r="W119" s="310"/>
      <c r="X119" s="310"/>
      <c r="AA119" s="1347"/>
      <c r="AP119" s="1347"/>
      <c r="BE119" s="1347"/>
      <c r="BT119" s="1347"/>
      <c r="CI119" s="1347"/>
    </row>
    <row r="120" spans="1:87" s="219" customFormat="1">
      <c r="B120" s="219" t="s">
        <v>1436</v>
      </c>
      <c r="E120" s="310"/>
      <c r="F120" s="310"/>
      <c r="G120" s="310"/>
      <c r="H120" s="310"/>
      <c r="I120" s="310"/>
      <c r="J120" s="310"/>
      <c r="K120" s="310"/>
      <c r="L120" s="1249"/>
      <c r="M120" s="1222"/>
      <c r="N120" s="310"/>
      <c r="O120" s="310"/>
      <c r="P120" s="310"/>
      <c r="Q120" s="310"/>
      <c r="R120" s="310"/>
      <c r="S120" s="310"/>
      <c r="T120" s="310"/>
      <c r="U120" s="310"/>
      <c r="V120" s="310"/>
      <c r="W120" s="310"/>
      <c r="X120" s="310"/>
      <c r="AA120" s="1347"/>
      <c r="AP120" s="1347"/>
      <c r="BE120" s="1347"/>
      <c r="BT120" s="1347"/>
      <c r="CI120" s="1347"/>
    </row>
    <row r="121" spans="1:87" s="220" customFormat="1">
      <c r="B121" s="1214" t="s">
        <v>1434</v>
      </c>
      <c r="E121" s="301"/>
      <c r="F121" s="301"/>
      <c r="G121" s="301"/>
      <c r="H121" s="301"/>
      <c r="I121" s="301"/>
      <c r="J121" s="301"/>
      <c r="K121" s="301">
        <f>SUM('Core Opex Proj.'!G124:G125)</f>
        <v>3078960.91</v>
      </c>
      <c r="L121" s="1240">
        <f>SUM(L122:L123)</f>
        <v>8154847.9900000002</v>
      </c>
      <c r="M121" s="1220">
        <f>SUM(M122:M123)</f>
        <v>6854481.143995041</v>
      </c>
      <c r="N121" s="301">
        <f t="shared" ref="N121:T121" si="458">SUM(N122:N123)</f>
        <v>7049843.0554052033</v>
      </c>
      <c r="O121" s="301">
        <f t="shared" si="458"/>
        <v>8486137.0700252373</v>
      </c>
      <c r="P121" s="301">
        <f t="shared" si="458"/>
        <v>9470837.2401232403</v>
      </c>
      <c r="Q121" s="301">
        <f t="shared" si="458"/>
        <v>9948327.8770105299</v>
      </c>
      <c r="R121" s="301">
        <f t="shared" si="458"/>
        <v>10331863.951179909</v>
      </c>
      <c r="S121" s="301">
        <f t="shared" si="458"/>
        <v>10783783.069908198</v>
      </c>
      <c r="T121" s="301">
        <f t="shared" si="458"/>
        <v>4680473.4913798375</v>
      </c>
      <c r="U121" s="301"/>
      <c r="V121" s="301"/>
      <c r="W121" s="301"/>
      <c r="X121" s="301"/>
      <c r="AA121" s="1239"/>
      <c r="AP121" s="1239"/>
      <c r="BE121" s="1239"/>
      <c r="BT121" s="1239"/>
      <c r="CI121" s="1239"/>
    </row>
    <row r="122" spans="1:87" s="220" customFormat="1">
      <c r="B122" s="1214" t="s">
        <v>1437</v>
      </c>
      <c r="C122" s="1221"/>
      <c r="E122" s="301"/>
      <c r="F122" s="301"/>
      <c r="G122" s="301"/>
      <c r="H122" s="301"/>
      <c r="I122" s="301"/>
      <c r="J122" s="301"/>
      <c r="K122" s="301"/>
      <c r="L122" s="1240">
        <f>SUM('Core Opex Proj.'!H124:H125)</f>
        <v>8119847.9900000002</v>
      </c>
      <c r="M122" s="1220">
        <f>SUM('Core Opex Proj.'!I124:I125)</f>
        <v>6854481.143995041</v>
      </c>
      <c r="N122" s="301">
        <f t="shared" ref="N122:T123" si="459">N75*N143</f>
        <v>7049843.0554052033</v>
      </c>
      <c r="O122" s="301">
        <f t="shared" si="459"/>
        <v>8486137.0700252373</v>
      </c>
      <c r="P122" s="301">
        <f t="shared" si="459"/>
        <v>9470837.2401232403</v>
      </c>
      <c r="Q122" s="301">
        <f t="shared" si="459"/>
        <v>9948327.8770105299</v>
      </c>
      <c r="R122" s="301">
        <f t="shared" si="459"/>
        <v>10331863.951179909</v>
      </c>
      <c r="S122" s="301">
        <f t="shared" si="459"/>
        <v>10783783.069908198</v>
      </c>
      <c r="T122" s="301">
        <f t="shared" si="459"/>
        <v>4680473.4913798375</v>
      </c>
      <c r="U122" s="301"/>
      <c r="V122" s="301"/>
      <c r="W122" s="301"/>
      <c r="X122" s="301"/>
      <c r="AA122" s="1239"/>
      <c r="AP122" s="1239"/>
      <c r="BE122" s="1239"/>
      <c r="BT122" s="1239"/>
      <c r="CI122" s="1239"/>
    </row>
    <row r="123" spans="1:87">
      <c r="B123" s="1214" t="s">
        <v>1438</v>
      </c>
      <c r="C123" s="1221"/>
      <c r="E123" s="301"/>
      <c r="F123" s="301"/>
      <c r="G123" s="301"/>
      <c r="H123" s="301"/>
      <c r="I123" s="301"/>
      <c r="J123" s="301"/>
      <c r="K123" s="301"/>
      <c r="L123" s="1240">
        <v>35000</v>
      </c>
      <c r="M123" s="1222">
        <v>0</v>
      </c>
      <c r="N123" s="301">
        <f t="shared" si="459"/>
        <v>0</v>
      </c>
      <c r="O123" s="301">
        <f t="shared" si="459"/>
        <v>0</v>
      </c>
      <c r="P123" s="301">
        <f t="shared" si="459"/>
        <v>0</v>
      </c>
      <c r="Q123" s="301">
        <f t="shared" si="459"/>
        <v>0</v>
      </c>
      <c r="R123" s="301">
        <f t="shared" si="459"/>
        <v>0</v>
      </c>
      <c r="S123" s="301">
        <f t="shared" si="459"/>
        <v>0</v>
      </c>
      <c r="T123" s="301">
        <f t="shared" si="459"/>
        <v>0</v>
      </c>
      <c r="U123" s="301"/>
      <c r="V123" s="301"/>
      <c r="W123" s="301"/>
      <c r="X123" s="301"/>
    </row>
    <row r="124" spans="1:87">
      <c r="B124" s="1214" t="s">
        <v>1431</v>
      </c>
      <c r="E124" s="301">
        <v>1019182</v>
      </c>
      <c r="F124" s="301">
        <v>366658</v>
      </c>
      <c r="G124" s="301">
        <v>5700</v>
      </c>
      <c r="H124" s="301">
        <v>0</v>
      </c>
      <c r="I124" s="301">
        <v>0</v>
      </c>
      <c r="J124" s="301">
        <v>17368400</v>
      </c>
      <c r="K124" s="301">
        <v>8544818</v>
      </c>
      <c r="L124" s="1249">
        <v>10746798</v>
      </c>
      <c r="M124" s="1222">
        <v>9358234</v>
      </c>
      <c r="N124" s="301">
        <f t="shared" ref="N124:T124" si="460">N77*N145</f>
        <v>10550000</v>
      </c>
      <c r="O124" s="301">
        <f t="shared" si="460"/>
        <v>9800000</v>
      </c>
      <c r="P124" s="301">
        <f t="shared" si="460"/>
        <v>10200000</v>
      </c>
      <c r="Q124" s="301">
        <f t="shared" si="460"/>
        <v>10200000</v>
      </c>
      <c r="R124" s="301">
        <f t="shared" si="460"/>
        <v>10199999.999999998</v>
      </c>
      <c r="S124" s="301">
        <f t="shared" si="460"/>
        <v>10199999.999999998</v>
      </c>
      <c r="T124" s="301">
        <f t="shared" si="460"/>
        <v>10199999.999999998</v>
      </c>
      <c r="U124" s="301"/>
      <c r="V124" s="301"/>
      <c r="W124" s="301"/>
      <c r="X124" s="301"/>
    </row>
    <row r="125" spans="1:87">
      <c r="B125" s="1214" t="s">
        <v>1432</v>
      </c>
      <c r="E125" s="301">
        <v>53264</v>
      </c>
      <c r="F125" s="301">
        <v>396100</v>
      </c>
      <c r="G125" s="301">
        <v>70841</v>
      </c>
      <c r="H125" s="301">
        <v>0</v>
      </c>
      <c r="I125" s="301">
        <v>0</v>
      </c>
      <c r="J125" s="301">
        <v>124836.01</v>
      </c>
      <c r="K125" s="301">
        <v>22202</v>
      </c>
      <c r="L125" s="1249">
        <v>63608</v>
      </c>
      <c r="M125" s="1222">
        <v>179000</v>
      </c>
      <c r="N125" s="301">
        <f t="shared" ref="N125:T125" si="461">M125*(1+N146)</f>
        <v>180758.47559486236</v>
      </c>
      <c r="O125" s="301">
        <f t="shared" si="461"/>
        <v>182534.22625351092</v>
      </c>
      <c r="P125" s="301">
        <f t="shared" si="461"/>
        <v>184327.421684203</v>
      </c>
      <c r="Q125" s="301">
        <f t="shared" si="461"/>
        <v>186138.23326239057</v>
      </c>
      <c r="R125" s="301">
        <f t="shared" si="461"/>
        <v>187966.83404709844</v>
      </c>
      <c r="S125" s="301">
        <f t="shared" si="461"/>
        <v>189813.39879746363</v>
      </c>
      <c r="T125" s="301">
        <f t="shared" si="461"/>
        <v>191678.1039894369</v>
      </c>
      <c r="U125" s="301"/>
      <c r="V125" s="301"/>
      <c r="W125" s="301"/>
      <c r="X125" s="301"/>
    </row>
    <row r="126" spans="1:87" s="220" customFormat="1">
      <c r="B126" s="1216" t="s">
        <v>1451</v>
      </c>
      <c r="E126" s="301"/>
      <c r="F126" s="301"/>
      <c r="G126" s="301"/>
      <c r="H126" s="301"/>
      <c r="I126" s="301">
        <f>I117+I124</f>
        <v>60727598.410000004</v>
      </c>
      <c r="J126" s="301">
        <f t="shared" ref="J126:T126" si="462">J117+J124</f>
        <v>65030120.940000013</v>
      </c>
      <c r="K126" s="301">
        <f t="shared" si="462"/>
        <v>30429810.289999999</v>
      </c>
      <c r="L126" s="1240">
        <f t="shared" si="462"/>
        <v>51669880.930000007</v>
      </c>
      <c r="M126" s="1220">
        <f t="shared" si="462"/>
        <v>46499196.525514804</v>
      </c>
      <c r="N126" s="301">
        <f t="shared" si="462"/>
        <v>47724342.376166701</v>
      </c>
      <c r="O126" s="301">
        <f t="shared" si="462"/>
        <v>50962647.148127854</v>
      </c>
      <c r="P126" s="301">
        <f t="shared" si="462"/>
        <v>54535045.500769451</v>
      </c>
      <c r="Q126" s="301">
        <f t="shared" si="462"/>
        <v>56404619.235681735</v>
      </c>
      <c r="R126" s="301">
        <f t="shared" si="462"/>
        <v>59297536.447106197</v>
      </c>
      <c r="S126" s="301">
        <f t="shared" si="462"/>
        <v>62010839.638238132</v>
      </c>
      <c r="T126" s="301">
        <f t="shared" si="462"/>
        <v>57027926.568825021</v>
      </c>
      <c r="U126" s="301"/>
      <c r="V126" s="301"/>
      <c r="W126" s="301"/>
      <c r="X126" s="301"/>
      <c r="AA126" s="1239"/>
      <c r="AP126" s="1239"/>
      <c r="BE126" s="1239"/>
      <c r="BT126" s="1239"/>
      <c r="CI126" s="1239"/>
    </row>
    <row r="127" spans="1:87">
      <c r="B127" s="1216" t="s">
        <v>1429</v>
      </c>
      <c r="E127" s="301"/>
      <c r="F127" s="301"/>
      <c r="G127" s="301"/>
      <c r="H127" s="301"/>
      <c r="I127" s="301">
        <f>'12 years sales &amp; PL forecast'!K184</f>
        <v>0</v>
      </c>
      <c r="J127" s="301">
        <f>'12 years sales &amp; PL forecast'!L184</f>
        <v>0</v>
      </c>
      <c r="K127" s="301">
        <f>'12 years sales &amp; PL forecast'!M184</f>
        <v>0</v>
      </c>
      <c r="L127" s="1240">
        <f>'12 years sales &amp; PL forecast'!N184</f>
        <v>0</v>
      </c>
      <c r="M127" s="1220">
        <f>'12 years sales &amp; PL forecast'!O184</f>
        <v>0</v>
      </c>
      <c r="N127" s="301">
        <f>'12 years sales &amp; PL forecast'!P184</f>
        <v>0</v>
      </c>
      <c r="O127" s="301">
        <f>'12 years sales &amp; PL forecast'!Q184</f>
        <v>0</v>
      </c>
      <c r="P127" s="301">
        <f>'12 years sales &amp; PL forecast'!R184</f>
        <v>0</v>
      </c>
      <c r="Q127" s="301">
        <f>'12 years sales &amp; PL forecast'!S184</f>
        <v>0</v>
      </c>
      <c r="R127" s="301">
        <f>'12 years sales &amp; PL forecast'!T184</f>
        <v>0</v>
      </c>
      <c r="S127" s="301">
        <f>'12 years sales &amp; PL forecast'!U184</f>
        <v>0</v>
      </c>
      <c r="T127" s="301">
        <f>'12 years sales &amp; PL forecast'!V184</f>
        <v>0</v>
      </c>
      <c r="U127" s="301"/>
      <c r="V127" s="301"/>
      <c r="W127" s="301"/>
      <c r="X127" s="301"/>
    </row>
    <row r="128" spans="1:87">
      <c r="B128" s="1216" t="s">
        <v>1430</v>
      </c>
      <c r="E128" s="301"/>
      <c r="F128" s="301">
        <v>218170</v>
      </c>
      <c r="G128" s="301">
        <v>575798.25</v>
      </c>
      <c r="H128" s="301">
        <v>112675.45999999999</v>
      </c>
      <c r="I128" s="301">
        <v>402192.32999999996</v>
      </c>
      <c r="J128" s="301">
        <v>754081.74</v>
      </c>
      <c r="K128" s="301">
        <f>'Core P&amp;L'!$BN230+'Core P&amp;L'!$BN229</f>
        <v>565551.42999999993</v>
      </c>
      <c r="L128" s="1240">
        <f>'Core P&amp;L'!$AJ230+'Core P&amp;L'!$AJ229</f>
        <v>123353</v>
      </c>
      <c r="M128" s="1220">
        <f>'Core P&amp;L'!$T230+'Core P&amp;L'!$T229</f>
        <v>100000</v>
      </c>
      <c r="N128" s="301">
        <f t="shared" ref="N128:T129" si="463">N80*N149</f>
        <v>218178.63903212128</v>
      </c>
      <c r="O128" s="301">
        <f t="shared" si="463"/>
        <v>368111.68511773605</v>
      </c>
      <c r="P128" s="301">
        <f t="shared" si="463"/>
        <v>529750.14054611931</v>
      </c>
      <c r="Q128" s="301">
        <f t="shared" si="463"/>
        <v>540345.14335704176</v>
      </c>
      <c r="R128" s="301">
        <f t="shared" si="463"/>
        <v>551152.04622418259</v>
      </c>
      <c r="S128" s="301">
        <f t="shared" si="463"/>
        <v>1019671.3978206022</v>
      </c>
      <c r="T128" s="301">
        <f t="shared" si="463"/>
        <v>1040064.825777014</v>
      </c>
      <c r="U128" s="301"/>
      <c r="V128" s="301"/>
      <c r="W128" s="301"/>
      <c r="X128" s="301"/>
    </row>
    <row r="129" spans="2:87">
      <c r="B129" s="220" t="s">
        <v>1420</v>
      </c>
      <c r="E129" s="301">
        <v>85983534.239999995</v>
      </c>
      <c r="F129" s="301">
        <v>79414788</v>
      </c>
      <c r="G129" s="301">
        <v>84619007</v>
      </c>
      <c r="H129" s="301">
        <v>92734579.870000005</v>
      </c>
      <c r="I129" s="301">
        <v>116792139.48999999</v>
      </c>
      <c r="J129" s="301">
        <v>143163826.28000003</v>
      </c>
      <c r="K129" s="301">
        <f>'Core P&amp;L'!$BN226+'Core P&amp;L'!$BN227</f>
        <v>100085966.94000001</v>
      </c>
      <c r="L129" s="1240">
        <f>'Core P&amp;L'!$AJ226+'Core P&amp;L'!$AJ227</f>
        <v>95979372.350000009</v>
      </c>
      <c r="M129" s="1220">
        <f>'Core P&amp;L'!$T226+'Core P&amp;L'!$T227</f>
        <v>143875988.06660345</v>
      </c>
      <c r="N129" s="301">
        <f t="shared" si="463"/>
        <v>147333036.1007033</v>
      </c>
      <c r="O129" s="301">
        <f t="shared" si="463"/>
        <v>164509139.14330924</v>
      </c>
      <c r="P129" s="301">
        <f t="shared" si="463"/>
        <v>195421589.84057397</v>
      </c>
      <c r="Q129" s="301">
        <f t="shared" si="463"/>
        <v>210535415.0447605</v>
      </c>
      <c r="R129" s="301">
        <f t="shared" si="463"/>
        <v>233430023.66462192</v>
      </c>
      <c r="S129" s="301">
        <f t="shared" si="463"/>
        <v>274632435.21141499</v>
      </c>
      <c r="T129" s="301">
        <f t="shared" si="463"/>
        <v>323754131.40360659</v>
      </c>
      <c r="U129" s="301"/>
      <c r="V129" s="301"/>
      <c r="W129" s="301"/>
      <c r="X129" s="301"/>
    </row>
    <row r="130" spans="2:87" s="220" customFormat="1" hidden="1" outlineLevel="1">
      <c r="B130" s="1216" t="s">
        <v>1439</v>
      </c>
      <c r="E130" s="301"/>
      <c r="F130" s="301"/>
      <c r="G130" s="301"/>
      <c r="H130" s="301"/>
      <c r="I130" s="301"/>
      <c r="J130" s="301"/>
      <c r="K130" s="301"/>
      <c r="L130" s="1240"/>
      <c r="M130" s="1220"/>
      <c r="N130" s="301"/>
      <c r="O130" s="301"/>
      <c r="P130" s="301"/>
      <c r="Q130" s="301"/>
      <c r="R130" s="301"/>
      <c r="S130" s="301"/>
      <c r="T130" s="301"/>
      <c r="U130" s="301"/>
      <c r="V130" s="301"/>
      <c r="W130" s="301"/>
      <c r="X130" s="301"/>
      <c r="AA130" s="1239"/>
      <c r="AP130" s="1239"/>
      <c r="BE130" s="1239"/>
      <c r="BT130" s="1239"/>
      <c r="CI130" s="1239"/>
    </row>
    <row r="131" spans="2:87" s="220" customFormat="1" hidden="1" outlineLevel="1">
      <c r="B131" s="1216" t="s">
        <v>1440</v>
      </c>
      <c r="E131" s="301"/>
      <c r="F131" s="301"/>
      <c r="G131" s="301"/>
      <c r="H131" s="301"/>
      <c r="I131" s="301"/>
      <c r="J131" s="301"/>
      <c r="K131" s="301"/>
      <c r="L131" s="1240"/>
      <c r="M131" s="1220"/>
      <c r="N131" s="301"/>
      <c r="O131" s="301"/>
      <c r="P131" s="301"/>
      <c r="Q131" s="301"/>
      <c r="R131" s="301"/>
      <c r="S131" s="301"/>
      <c r="T131" s="301"/>
      <c r="U131" s="301"/>
      <c r="V131" s="301"/>
      <c r="W131" s="301"/>
      <c r="X131" s="301"/>
      <c r="AA131" s="1239"/>
      <c r="AP131" s="1239"/>
      <c r="BE131" s="1239"/>
      <c r="BT131" s="1239"/>
      <c r="CI131" s="1239"/>
    </row>
    <row r="132" spans="2:87" hidden="1" outlineLevel="1">
      <c r="B132" s="220" t="s">
        <v>1421</v>
      </c>
      <c r="E132" s="301"/>
      <c r="F132" s="301"/>
      <c r="G132" s="301"/>
      <c r="H132" s="301"/>
      <c r="I132" s="301"/>
      <c r="J132" s="301"/>
      <c r="K132" s="301"/>
      <c r="L132" s="1240"/>
      <c r="M132" s="1220"/>
      <c r="N132" s="301"/>
      <c r="O132" s="301"/>
      <c r="P132" s="301"/>
      <c r="Q132" s="301"/>
      <c r="R132" s="301"/>
      <c r="S132" s="301"/>
      <c r="T132" s="301"/>
      <c r="U132" s="301"/>
      <c r="V132" s="301"/>
      <c r="W132" s="301"/>
      <c r="X132" s="301"/>
    </row>
    <row r="133" spans="2:87" s="220" customFormat="1" hidden="1" outlineLevel="1">
      <c r="B133" s="1216" t="s">
        <v>1439</v>
      </c>
      <c r="E133" s="301"/>
      <c r="F133" s="301"/>
      <c r="G133" s="301"/>
      <c r="H133" s="301"/>
      <c r="I133" s="301"/>
      <c r="J133" s="301"/>
      <c r="K133" s="301"/>
      <c r="L133" s="1240"/>
      <c r="M133" s="1220"/>
      <c r="N133" s="301"/>
      <c r="O133" s="301"/>
      <c r="P133" s="301"/>
      <c r="Q133" s="301"/>
      <c r="R133" s="301"/>
      <c r="S133" s="301"/>
      <c r="T133" s="301"/>
      <c r="U133" s="301"/>
      <c r="V133" s="301"/>
      <c r="W133" s="301"/>
      <c r="X133" s="301"/>
      <c r="AA133" s="1239"/>
      <c r="AP133" s="1239"/>
      <c r="BE133" s="1239"/>
      <c r="BT133" s="1239"/>
      <c r="CI133" s="1239"/>
    </row>
    <row r="134" spans="2:87" s="220" customFormat="1" hidden="1" outlineLevel="1">
      <c r="B134" s="1216" t="s">
        <v>1440</v>
      </c>
      <c r="E134" s="301"/>
      <c r="F134" s="301"/>
      <c r="G134" s="301"/>
      <c r="H134" s="301"/>
      <c r="I134" s="301"/>
      <c r="J134" s="301"/>
      <c r="K134" s="301"/>
      <c r="L134" s="1240"/>
      <c r="M134" s="1220"/>
      <c r="N134" s="301"/>
      <c r="O134" s="301"/>
      <c r="P134" s="301"/>
      <c r="Q134" s="301"/>
      <c r="R134" s="301"/>
      <c r="S134" s="301"/>
      <c r="T134" s="301"/>
      <c r="U134" s="301"/>
      <c r="V134" s="301"/>
      <c r="W134" s="301"/>
      <c r="X134" s="301"/>
      <c r="AA134" s="1239"/>
      <c r="AP134" s="1239"/>
      <c r="BE134" s="1239"/>
      <c r="BT134" s="1239"/>
      <c r="CI134" s="1239"/>
    </row>
    <row r="135" spans="2:87" ht="15.75" collapsed="1" thickBot="1">
      <c r="B135" s="1213" t="s">
        <v>1426</v>
      </c>
      <c r="C135" s="1213"/>
      <c r="D135" s="1213"/>
      <c r="E135" s="1217">
        <f t="shared" ref="E135:H135" si="464">SUM(E117,E124:E129)</f>
        <v>139693124.16999999</v>
      </c>
      <c r="F135" s="1217">
        <f t="shared" si="464"/>
        <v>124475752</v>
      </c>
      <c r="G135" s="1217">
        <f t="shared" si="464"/>
        <v>140620860.25</v>
      </c>
      <c r="H135" s="1217">
        <f t="shared" si="464"/>
        <v>152350921.28</v>
      </c>
      <c r="I135" s="1217">
        <f>SUM(I117,I124:I125,I127:I129)</f>
        <v>177921930.22999999</v>
      </c>
      <c r="J135" s="1217">
        <f t="shared" ref="J135:T135" si="465">SUM(J117,J124:J125,J127:J129)</f>
        <v>209072864.97000003</v>
      </c>
      <c r="K135" s="1217">
        <f t="shared" si="465"/>
        <v>131103530.66000001</v>
      </c>
      <c r="L135" s="1241">
        <f t="shared" si="465"/>
        <v>147836214.28000003</v>
      </c>
      <c r="M135" s="1217">
        <f t="shared" si="465"/>
        <v>190654184.59211826</v>
      </c>
      <c r="N135" s="1217">
        <f t="shared" si="465"/>
        <v>195456315.59149697</v>
      </c>
      <c r="O135" s="1217">
        <f t="shared" si="465"/>
        <v>216022432.20280832</v>
      </c>
      <c r="P135" s="1217">
        <f t="shared" si="465"/>
        <v>250670712.90357375</v>
      </c>
      <c r="Q135" s="1217">
        <f t="shared" si="465"/>
        <v>267666517.65706167</v>
      </c>
      <c r="R135" s="1217">
        <f t="shared" si="465"/>
        <v>293466678.99199939</v>
      </c>
      <c r="S135" s="1217">
        <f t="shared" si="465"/>
        <v>337852759.64627117</v>
      </c>
      <c r="T135" s="1217">
        <f t="shared" si="465"/>
        <v>382013800.90219808</v>
      </c>
      <c r="U135" s="1530"/>
      <c r="V135" s="1530"/>
      <c r="W135" s="1530"/>
      <c r="X135" s="1530"/>
    </row>
    <row r="136" spans="2:87" ht="15.75" thickTop="1"/>
    <row r="137" spans="2:87">
      <c r="B137" s="1135" t="s">
        <v>1442</v>
      </c>
    </row>
    <row r="138" spans="2:87">
      <c r="B138" s="220" t="s">
        <v>1425</v>
      </c>
      <c r="C138" s="220"/>
      <c r="D138" s="220"/>
      <c r="E138" s="4">
        <f t="shared" ref="E138:T139" si="466">IFERROR(E117/E70,"")</f>
        <v>0.18276951686776305</v>
      </c>
      <c r="F138" s="4">
        <f t="shared" si="466"/>
        <v>0.15564425691051478</v>
      </c>
      <c r="G138" s="4">
        <f t="shared" si="466"/>
        <v>0.18737427407148866</v>
      </c>
      <c r="H138" s="4">
        <f t="shared" si="466"/>
        <v>0.18836468778336349</v>
      </c>
      <c r="I138" s="4">
        <f t="shared" si="466"/>
        <v>0.18989975463945769</v>
      </c>
      <c r="J138" s="4">
        <f t="shared" si="466"/>
        <v>0.17730647604927344</v>
      </c>
      <c r="K138" s="4">
        <f t="shared" si="466"/>
        <v>0.19261511389979552</v>
      </c>
      <c r="L138" s="1250">
        <f t="shared" si="466"/>
        <v>0.18334269910006068</v>
      </c>
      <c r="M138" s="1534">
        <f t="shared" si="466"/>
        <v>0.19899397992016266</v>
      </c>
      <c r="N138" s="4">
        <f t="shared" si="466"/>
        <v>0.18867184620785343</v>
      </c>
      <c r="O138" s="4">
        <f t="shared" si="466"/>
        <v>0.16897230167368596</v>
      </c>
      <c r="P138" s="4">
        <f t="shared" si="466"/>
        <v>0.15865016796137668</v>
      </c>
      <c r="Q138" s="4">
        <f t="shared" si="466"/>
        <v>0.15301673965999649</v>
      </c>
      <c r="R138" s="4">
        <f t="shared" si="466"/>
        <v>0.15207201676954535</v>
      </c>
      <c r="S138" s="4">
        <f t="shared" si="466"/>
        <v>0.14921200224418529</v>
      </c>
      <c r="T138" s="4">
        <f t="shared" si="466"/>
        <v>0.13127652761167838</v>
      </c>
      <c r="U138" s="4"/>
      <c r="V138" s="4"/>
      <c r="W138" s="4"/>
      <c r="X138" s="4"/>
    </row>
    <row r="139" spans="2:87" s="220" customFormat="1">
      <c r="B139" s="220" t="s">
        <v>1441</v>
      </c>
      <c r="E139" s="4"/>
      <c r="F139" s="4"/>
      <c r="G139" s="4"/>
      <c r="H139" s="4"/>
      <c r="I139" s="4"/>
      <c r="J139" s="4"/>
      <c r="K139" s="4"/>
      <c r="L139" s="1250">
        <f>IFERROR(L118/L71,"")</f>
        <v>0.15509594263346652</v>
      </c>
      <c r="M139" s="1534">
        <f t="shared" si="466"/>
        <v>0.17304245251839084</v>
      </c>
      <c r="N139" s="1342">
        <f>M139-1%</f>
        <v>0.16304245251839083</v>
      </c>
      <c r="O139" s="1342">
        <f>N139-2%</f>
        <v>0.14304245251839084</v>
      </c>
      <c r="P139" s="1342">
        <f t="shared" ref="P139" si="467">O139-1%</f>
        <v>0.13304245251839084</v>
      </c>
      <c r="Q139" s="1342">
        <f>P139-0.5%</f>
        <v>0.12804245251839083</v>
      </c>
      <c r="R139" s="1342">
        <f>Q139</f>
        <v>0.12804245251839083</v>
      </c>
      <c r="S139" s="1342">
        <f>14%*0.9</f>
        <v>0.12600000000000003</v>
      </c>
      <c r="T139" s="1342">
        <f>14%*0.9</f>
        <v>0.12600000000000003</v>
      </c>
      <c r="U139" s="1342"/>
      <c r="V139" s="1342"/>
      <c r="W139" s="1342"/>
      <c r="X139" s="1342"/>
      <c r="AA139" s="1239"/>
      <c r="AP139" s="1239"/>
      <c r="BE139" s="1239"/>
      <c r="BT139" s="1239"/>
      <c r="CI139" s="1239"/>
    </row>
    <row r="140" spans="2:87" s="219" customFormat="1">
      <c r="B140" s="219" t="s">
        <v>1435</v>
      </c>
      <c r="E140" s="1237"/>
      <c r="F140" s="1237"/>
      <c r="G140" s="1237"/>
      <c r="H140" s="1237"/>
      <c r="I140" s="1237"/>
      <c r="J140" s="1237"/>
      <c r="K140" s="1237"/>
      <c r="L140" s="1251"/>
      <c r="M140" s="1535"/>
      <c r="N140" s="1237"/>
      <c r="O140" s="1237"/>
      <c r="P140" s="1237"/>
      <c r="Q140" s="1237"/>
      <c r="R140" s="1237"/>
      <c r="S140" s="1237"/>
      <c r="T140" s="1237"/>
      <c r="U140" s="1237"/>
      <c r="V140" s="1237"/>
      <c r="W140" s="1237"/>
      <c r="X140" s="1237"/>
      <c r="AA140" s="1347"/>
      <c r="AP140" s="1347"/>
      <c r="BE140" s="1347"/>
      <c r="BT140" s="1347"/>
      <c r="CI140" s="1347"/>
    </row>
    <row r="141" spans="2:87" s="219" customFormat="1">
      <c r="B141" s="219" t="s">
        <v>1436</v>
      </c>
      <c r="E141" s="1237"/>
      <c r="F141" s="1237"/>
      <c r="G141" s="1237"/>
      <c r="H141" s="1237"/>
      <c r="I141" s="1237"/>
      <c r="J141" s="1237"/>
      <c r="K141" s="1237"/>
      <c r="L141" s="1251"/>
      <c r="M141" s="1535"/>
      <c r="N141" s="1237"/>
      <c r="O141" s="1237"/>
      <c r="P141" s="1237"/>
      <c r="Q141" s="1237"/>
      <c r="R141" s="1237"/>
      <c r="S141" s="1237"/>
      <c r="T141" s="1237"/>
      <c r="U141" s="1237"/>
      <c r="V141" s="1237"/>
      <c r="W141" s="1237"/>
      <c r="X141" s="1237"/>
      <c r="AA141" s="1347"/>
      <c r="AP141" s="1347"/>
      <c r="BE141" s="1347"/>
      <c r="BT141" s="1347"/>
      <c r="CI141" s="1347"/>
    </row>
    <row r="142" spans="2:87" s="220" customFormat="1">
      <c r="B142" s="1214" t="s">
        <v>1434</v>
      </c>
      <c r="E142" s="4" t="str">
        <f t="shared" ref="E142:T142" si="468">IFERROR(E121/E74,"")</f>
        <v/>
      </c>
      <c r="F142" s="4" t="str">
        <f t="shared" si="468"/>
        <v/>
      </c>
      <c r="G142" s="4" t="str">
        <f t="shared" si="468"/>
        <v/>
      </c>
      <c r="H142" s="4" t="str">
        <f t="shared" si="468"/>
        <v/>
      </c>
      <c r="I142" s="4" t="str">
        <f t="shared" si="468"/>
        <v/>
      </c>
      <c r="J142" s="4" t="str">
        <f t="shared" si="468"/>
        <v/>
      </c>
      <c r="K142" s="4">
        <f t="shared" si="468"/>
        <v>0.43432034625659427</v>
      </c>
      <c r="L142" s="1250">
        <f t="shared" si="468"/>
        <v>0.68365986336272699</v>
      </c>
      <c r="M142" s="1534">
        <f t="shared" si="468"/>
        <v>0.58987474438741427</v>
      </c>
      <c r="N142" s="4">
        <f t="shared" si="468"/>
        <v>0.57470064686662681</v>
      </c>
      <c r="O142" s="4">
        <f t="shared" si="468"/>
        <v>0.55952654934583934</v>
      </c>
      <c r="P142" s="4">
        <f t="shared" si="468"/>
        <v>0.5443524518250521</v>
      </c>
      <c r="Q142" s="4">
        <f t="shared" si="468"/>
        <v>0.52917835430426463</v>
      </c>
      <c r="R142" s="4">
        <f t="shared" si="468"/>
        <v>0.51400425678347716</v>
      </c>
      <c r="S142" s="4">
        <f t="shared" si="468"/>
        <v>0.49883015926268975</v>
      </c>
      <c r="T142" s="4">
        <f t="shared" si="468"/>
        <v>0.21075135445538004</v>
      </c>
      <c r="U142" s="4"/>
      <c r="V142" s="4"/>
      <c r="W142" s="4"/>
      <c r="X142" s="4"/>
      <c r="AA142" s="1239"/>
      <c r="AP142" s="1239"/>
      <c r="BE142" s="1239"/>
      <c r="BT142" s="1239"/>
      <c r="CI142" s="1239"/>
    </row>
    <row r="143" spans="2:87">
      <c r="B143" s="1214" t="s">
        <v>1437</v>
      </c>
      <c r="C143" s="220"/>
      <c r="D143" s="220"/>
      <c r="E143" s="4" t="str">
        <f t="shared" ref="E143:M144" si="469">IFERROR(E122/E75,"")</f>
        <v/>
      </c>
      <c r="F143" s="4" t="str">
        <f t="shared" si="469"/>
        <v/>
      </c>
      <c r="G143" s="4" t="str">
        <f t="shared" si="469"/>
        <v/>
      </c>
      <c r="H143" s="4" t="str">
        <f t="shared" si="469"/>
        <v/>
      </c>
      <c r="I143" s="4" t="str">
        <f t="shared" si="469"/>
        <v/>
      </c>
      <c r="J143" s="4" t="str">
        <f t="shared" si="469"/>
        <v/>
      </c>
      <c r="K143" s="4">
        <f t="shared" si="469"/>
        <v>0</v>
      </c>
      <c r="L143" s="1250">
        <f t="shared" si="469"/>
        <v>1.4763824371202949</v>
      </c>
      <c r="M143" s="1534">
        <f t="shared" si="469"/>
        <v>1.3994565916592994</v>
      </c>
      <c r="N143" s="1218">
        <f>M143-0.036</f>
        <v>1.3634565916592993</v>
      </c>
      <c r="O143" s="1218">
        <f t="shared" ref="O143:S143" si="470">N143-0.036</f>
        <v>1.3274565916592993</v>
      </c>
      <c r="P143" s="1218">
        <f t="shared" si="470"/>
        <v>1.2914565916592993</v>
      </c>
      <c r="Q143" s="1218">
        <f t="shared" si="470"/>
        <v>1.2554565916592992</v>
      </c>
      <c r="R143" s="1218">
        <f t="shared" si="470"/>
        <v>1.2194565916592992</v>
      </c>
      <c r="S143" s="1218">
        <f t="shared" si="470"/>
        <v>1.1834565916592992</v>
      </c>
      <c r="T143" s="1218">
        <v>0.5</v>
      </c>
      <c r="U143" s="1218"/>
      <c r="V143" s="1218"/>
      <c r="W143" s="1218"/>
      <c r="X143" s="1218"/>
    </row>
    <row r="144" spans="2:87">
      <c r="B144" s="1214" t="s">
        <v>1438</v>
      </c>
      <c r="C144" s="220"/>
      <c r="D144" s="220"/>
      <c r="E144" s="4" t="str">
        <f t="shared" si="469"/>
        <v/>
      </c>
      <c r="F144" s="4" t="str">
        <f t="shared" si="469"/>
        <v/>
      </c>
      <c r="G144" s="4" t="str">
        <f t="shared" si="469"/>
        <v/>
      </c>
      <c r="H144" s="4" t="str">
        <f t="shared" si="469"/>
        <v/>
      </c>
      <c r="I144" s="4" t="str">
        <f t="shared" si="469"/>
        <v/>
      </c>
      <c r="J144" s="4" t="str">
        <f t="shared" si="469"/>
        <v/>
      </c>
      <c r="K144" s="4">
        <f t="shared" si="469"/>
        <v>0</v>
      </c>
      <c r="L144" s="1250">
        <f t="shared" si="469"/>
        <v>5.444592174378776E-3</v>
      </c>
      <c r="M144" s="1534">
        <f t="shared" si="469"/>
        <v>0</v>
      </c>
      <c r="N144" s="1218">
        <v>0</v>
      </c>
      <c r="O144" s="1218">
        <v>0</v>
      </c>
      <c r="P144" s="1218">
        <v>0</v>
      </c>
      <c r="Q144" s="1218">
        <v>0</v>
      </c>
      <c r="R144" s="1218">
        <v>0</v>
      </c>
      <c r="S144" s="1218">
        <v>0</v>
      </c>
      <c r="T144" s="1218">
        <v>0</v>
      </c>
      <c r="U144" s="1218"/>
      <c r="V144" s="1218"/>
      <c r="W144" s="1218"/>
      <c r="X144" s="1218"/>
    </row>
    <row r="145" spans="2:87">
      <c r="B145" s="1214" t="s">
        <v>1431</v>
      </c>
      <c r="C145" s="220"/>
      <c r="D145" s="220"/>
      <c r="E145" s="4">
        <f t="shared" ref="E145:K145" si="471">IFERROR(E124/E77,"")</f>
        <v>0.84066295164944571</v>
      </c>
      <c r="F145" s="4">
        <f t="shared" si="471"/>
        <v>-2.5195043449764896</v>
      </c>
      <c r="G145" s="4">
        <f t="shared" si="471"/>
        <v>-0.23480637948336006</v>
      </c>
      <c r="H145" s="4">
        <f t="shared" si="471"/>
        <v>0</v>
      </c>
      <c r="I145" s="4" t="str">
        <f t="shared" si="471"/>
        <v/>
      </c>
      <c r="J145" s="4">
        <f t="shared" si="471"/>
        <v>2.0336327739060733</v>
      </c>
      <c r="K145" s="1534">
        <f t="shared" si="471"/>
        <v>1.027553576825619</v>
      </c>
      <c r="L145" s="1250">
        <f t="shared" ref="L145:M145" si="472">IFERROR(L124/L77,"")</f>
        <v>0.82968863022423267</v>
      </c>
      <c r="M145" s="1534">
        <f t="shared" si="472"/>
        <v>0.77949786475291771</v>
      </c>
      <c r="N145" s="1218">
        <v>0.5880730535934966</v>
      </c>
      <c r="O145" s="1218">
        <v>0.47968613933973953</v>
      </c>
      <c r="P145" s="1218">
        <v>0.46388097861663624</v>
      </c>
      <c r="Q145" s="1218">
        <v>0.43372559717913495</v>
      </c>
      <c r="R145" s="1218">
        <v>0.41251493176043108</v>
      </c>
      <c r="S145" s="1218">
        <v>0.39794112876941901</v>
      </c>
      <c r="T145" s="1218">
        <v>0.38418323754848605</v>
      </c>
      <c r="U145" s="1218"/>
      <c r="V145" s="1218"/>
      <c r="W145" s="1218"/>
      <c r="X145" s="1218"/>
    </row>
    <row r="146" spans="2:87">
      <c r="B146" s="1214" t="s">
        <v>1432</v>
      </c>
      <c r="C146" s="220"/>
      <c r="D146" s="220"/>
      <c r="E146" s="4">
        <f t="shared" ref="E146:K146" si="473">IFERROR(E125/E78,"")</f>
        <v>7.382861321715695E-3</v>
      </c>
      <c r="F146" s="4">
        <f t="shared" si="473"/>
        <v>4.1344941230895577E-2</v>
      </c>
      <c r="G146" s="4">
        <f t="shared" si="473"/>
        <v>6.3384445922057822E-3</v>
      </c>
      <c r="H146" s="4">
        <f t="shared" si="473"/>
        <v>0</v>
      </c>
      <c r="I146" s="4">
        <f t="shared" si="473"/>
        <v>0</v>
      </c>
      <c r="J146" s="4">
        <f t="shared" si="473"/>
        <v>8.8312599616068143E-3</v>
      </c>
      <c r="K146" s="4">
        <f t="shared" si="473"/>
        <v>1.9949519538797729E-3</v>
      </c>
      <c r="L146" s="1250">
        <f t="shared" ref="L146:M146" si="474">IFERROR(L125/L78,"")</f>
        <v>4.3419010159525505E-3</v>
      </c>
      <c r="M146" s="1534">
        <f t="shared" si="474"/>
        <v>1.0444552844769438E-2</v>
      </c>
      <c r="N146" s="1218">
        <v>9.8238860048175738E-3</v>
      </c>
      <c r="O146" s="1218">
        <v>9.8238860048175738E-3</v>
      </c>
      <c r="P146" s="1218">
        <v>9.8238860048175738E-3</v>
      </c>
      <c r="Q146" s="1218">
        <v>9.8238860048175738E-3</v>
      </c>
      <c r="R146" s="1218">
        <v>9.8238860048175738E-3</v>
      </c>
      <c r="S146" s="1218">
        <v>9.8238860048175738E-3</v>
      </c>
      <c r="T146" s="1218">
        <v>9.8238860048175738E-3</v>
      </c>
      <c r="U146" s="1218"/>
      <c r="V146" s="1218"/>
      <c r="W146" s="1218"/>
      <c r="X146" s="1218"/>
    </row>
    <row r="147" spans="2:87" s="220" customFormat="1">
      <c r="B147" s="1216" t="s">
        <v>1451</v>
      </c>
      <c r="E147" s="4"/>
      <c r="F147" s="4"/>
      <c r="G147" s="4"/>
      <c r="H147" s="4"/>
      <c r="I147" s="4">
        <f>I126/SUM(I77,I70)</f>
        <v>0.18989975463945769</v>
      </c>
      <c r="J147" s="4">
        <f t="shared" ref="J147:T147" si="475">J126/SUM(J77,J70)</f>
        <v>0.23446918633055766</v>
      </c>
      <c r="K147" s="4">
        <f t="shared" si="475"/>
        <v>0.24955555146251646</v>
      </c>
      <c r="L147" s="1250">
        <f t="shared" si="475"/>
        <v>0.2187934873436472</v>
      </c>
      <c r="M147" s="1534">
        <f t="shared" si="475"/>
        <v>0.23407704020304598</v>
      </c>
      <c r="N147" s="4">
        <f t="shared" si="475"/>
        <v>0.22200291839152222</v>
      </c>
      <c r="O147" s="4">
        <f t="shared" si="475"/>
        <v>0.19301407527676123</v>
      </c>
      <c r="P147" s="4">
        <f t="shared" si="475"/>
        <v>0.18091508480622356</v>
      </c>
      <c r="Q147" s="4">
        <f t="shared" si="475"/>
        <v>0.17329933145698997</v>
      </c>
      <c r="R147" s="4">
        <f t="shared" si="475"/>
        <v>0.17059939090282872</v>
      </c>
      <c r="S147" s="4">
        <f t="shared" si="475"/>
        <v>0.16631059174519822</v>
      </c>
      <c r="T147" s="4">
        <f t="shared" si="475"/>
        <v>0.14879621780144384</v>
      </c>
      <c r="U147" s="4"/>
      <c r="V147" s="4"/>
      <c r="W147" s="4"/>
      <c r="X147" s="4"/>
      <c r="AA147" s="1239"/>
      <c r="AP147" s="1239"/>
      <c r="BE147" s="1239"/>
      <c r="BT147" s="1239"/>
      <c r="CI147" s="1239"/>
    </row>
    <row r="148" spans="2:87">
      <c r="B148" s="1216" t="s">
        <v>1429</v>
      </c>
      <c r="C148" s="220"/>
      <c r="D148" s="220"/>
      <c r="E148" s="4" t="str">
        <f t="shared" ref="E148:L149" si="476">IFERROR(E127/E79,"")</f>
        <v/>
      </c>
      <c r="F148" s="4" t="str">
        <f t="shared" si="476"/>
        <v/>
      </c>
      <c r="G148" s="4" t="str">
        <f t="shared" si="476"/>
        <v/>
      </c>
      <c r="H148" s="4" t="str">
        <f t="shared" si="476"/>
        <v/>
      </c>
      <c r="I148" s="4" t="str">
        <f t="shared" si="476"/>
        <v/>
      </c>
      <c r="J148" s="4" t="str">
        <f t="shared" si="476"/>
        <v/>
      </c>
      <c r="K148" s="4" t="str">
        <f t="shared" si="476"/>
        <v/>
      </c>
      <c r="L148" s="1250" t="str">
        <f t="shared" si="476"/>
        <v/>
      </c>
      <c r="M148" s="1547" t="e">
        <f>M127/M79</f>
        <v>#DIV/0!</v>
      </c>
      <c r="N148" s="1218" t="e">
        <f t="shared" ref="N148:T148" si="477">N127/N79</f>
        <v>#DIV/0!</v>
      </c>
      <c r="O148" s="1218" t="e">
        <f t="shared" si="477"/>
        <v>#DIV/0!</v>
      </c>
      <c r="P148" s="1218" t="e">
        <f t="shared" si="477"/>
        <v>#DIV/0!</v>
      </c>
      <c r="Q148" s="1218" t="e">
        <f t="shared" si="477"/>
        <v>#DIV/0!</v>
      </c>
      <c r="R148" s="1218" t="e">
        <f t="shared" si="477"/>
        <v>#DIV/0!</v>
      </c>
      <c r="S148" s="1218" t="e">
        <f t="shared" si="477"/>
        <v>#DIV/0!</v>
      </c>
      <c r="T148" s="1218" t="e">
        <f t="shared" si="477"/>
        <v>#DIV/0!</v>
      </c>
      <c r="U148" s="1218"/>
      <c r="V148" s="1218"/>
      <c r="W148" s="1218"/>
      <c r="X148" s="1218"/>
    </row>
    <row r="149" spans="2:87">
      <c r="B149" s="1216" t="s">
        <v>1430</v>
      </c>
      <c r="C149" s="220"/>
      <c r="D149" s="220"/>
      <c r="E149" s="4">
        <f t="shared" si="476"/>
        <v>0</v>
      </c>
      <c r="F149" s="4">
        <f t="shared" si="476"/>
        <v>6.6157429027151923E-2</v>
      </c>
      <c r="G149" s="4">
        <f t="shared" si="476"/>
        <v>0.15590698007852027</v>
      </c>
      <c r="H149" s="4">
        <f t="shared" si="476"/>
        <v>3.3182196102712426E-2</v>
      </c>
      <c r="I149" s="4">
        <f t="shared" si="476"/>
        <v>7.0703835757292915E-2</v>
      </c>
      <c r="J149" s="4">
        <f t="shared" si="476"/>
        <v>0.17846341944631788</v>
      </c>
      <c r="K149" s="4">
        <f t="shared" si="476"/>
        <v>0.22793637767084546</v>
      </c>
      <c r="L149" s="1250" t="str">
        <f t="shared" si="476"/>
        <v/>
      </c>
      <c r="M149" s="1547">
        <v>0.14260041766805312</v>
      </c>
      <c r="N149" s="1218">
        <v>0.14260041766805312</v>
      </c>
      <c r="O149" s="1218">
        <v>0.14260041766805312</v>
      </c>
      <c r="P149" s="1218">
        <v>0.14260041766805312</v>
      </c>
      <c r="Q149" s="1218">
        <v>0.14260041766805312</v>
      </c>
      <c r="R149" s="1218">
        <v>0.14260041766805312</v>
      </c>
      <c r="S149" s="1218">
        <v>0.14260041766805312</v>
      </c>
      <c r="T149" s="1218">
        <v>0.14260041766805312</v>
      </c>
      <c r="U149" s="1218"/>
      <c r="V149" s="1218"/>
      <c r="W149" s="1218"/>
      <c r="X149" s="1218"/>
    </row>
    <row r="150" spans="2:87">
      <c r="B150" s="220" t="s">
        <v>1420</v>
      </c>
      <c r="C150" s="220"/>
      <c r="D150" s="220"/>
      <c r="E150" s="4">
        <f t="shared" ref="E150:M150" si="478">IFERROR(E129/E81,"")</f>
        <v>0.62607465598910628</v>
      </c>
      <c r="F150" s="4">
        <f t="shared" si="478"/>
        <v>0.65723394476499686</v>
      </c>
      <c r="G150" s="4">
        <f t="shared" si="478"/>
        <v>0.69354910760080901</v>
      </c>
      <c r="H150" s="4">
        <f t="shared" si="478"/>
        <v>0.63810093316158734</v>
      </c>
      <c r="I150" s="4">
        <f t="shared" si="478"/>
        <v>0.66778490923787526</v>
      </c>
      <c r="J150" s="4">
        <f t="shared" si="478"/>
        <v>0.66287024612426015</v>
      </c>
      <c r="K150" s="4">
        <f t="shared" si="478"/>
        <v>0.67005749003511439</v>
      </c>
      <c r="L150" s="1250">
        <f t="shared" si="478"/>
        <v>0.66626569711517669</v>
      </c>
      <c r="M150" s="1547">
        <f t="shared" si="478"/>
        <v>0.66299999999999992</v>
      </c>
      <c r="N150" s="1218">
        <v>0.66300000000000003</v>
      </c>
      <c r="O150" s="1218">
        <v>0.66300000000000003</v>
      </c>
      <c r="P150" s="1218">
        <v>0.66300000000000003</v>
      </c>
      <c r="Q150" s="1218">
        <v>0.66300000000000003</v>
      </c>
      <c r="R150" s="1218">
        <v>0.66300000000000003</v>
      </c>
      <c r="S150" s="1218">
        <v>0.66300000000000003</v>
      </c>
      <c r="T150" s="1218">
        <v>0.66300000000000003</v>
      </c>
      <c r="U150" s="1218"/>
      <c r="V150" s="1218"/>
      <c r="W150" s="1218"/>
      <c r="X150" s="1218"/>
    </row>
    <row r="151" spans="2:87" s="220" customFormat="1" hidden="1" outlineLevel="1">
      <c r="B151" s="1216" t="s">
        <v>1439</v>
      </c>
      <c r="E151" s="4"/>
      <c r="F151" s="4"/>
      <c r="G151" s="4"/>
      <c r="H151" s="4"/>
      <c r="I151" s="4"/>
      <c r="J151" s="4"/>
      <c r="K151" s="4"/>
      <c r="L151" s="1250"/>
      <c r="M151" s="1547"/>
      <c r="N151" s="1218"/>
      <c r="O151" s="1218"/>
      <c r="P151" s="1218"/>
      <c r="Q151" s="1218"/>
      <c r="R151" s="1218"/>
      <c r="S151" s="1218"/>
      <c r="T151" s="1218"/>
      <c r="U151" s="1218"/>
      <c r="V151" s="1218"/>
      <c r="W151" s="1218"/>
      <c r="X151" s="1218"/>
      <c r="AA151" s="1239"/>
      <c r="AP151" s="1239"/>
      <c r="BE151" s="1239"/>
      <c r="BT151" s="1239"/>
      <c r="CI151" s="1239"/>
    </row>
    <row r="152" spans="2:87" s="220" customFormat="1" hidden="1" outlineLevel="1">
      <c r="B152" s="1216" t="s">
        <v>1440</v>
      </c>
      <c r="E152" s="4"/>
      <c r="F152" s="4"/>
      <c r="G152" s="4"/>
      <c r="H152" s="4"/>
      <c r="I152" s="4"/>
      <c r="J152" s="4"/>
      <c r="K152" s="4"/>
      <c r="L152" s="1250"/>
      <c r="M152" s="1547"/>
      <c r="N152" s="1218"/>
      <c r="O152" s="1218"/>
      <c r="P152" s="1218"/>
      <c r="Q152" s="1218"/>
      <c r="R152" s="1218"/>
      <c r="S152" s="1218"/>
      <c r="T152" s="1218"/>
      <c r="U152" s="1218"/>
      <c r="V152" s="1218"/>
      <c r="W152" s="1218"/>
      <c r="X152" s="1218"/>
      <c r="AA152" s="1239"/>
      <c r="AP152" s="1239"/>
      <c r="BE152" s="1239"/>
      <c r="BT152" s="1239"/>
      <c r="CI152" s="1239"/>
    </row>
    <row r="153" spans="2:87" hidden="1" outlineLevel="1">
      <c r="B153" s="220" t="s">
        <v>1421</v>
      </c>
      <c r="C153" s="220"/>
      <c r="D153" s="220"/>
      <c r="E153" s="4"/>
      <c r="F153" s="4"/>
      <c r="G153" s="4"/>
      <c r="H153" s="4"/>
      <c r="I153" s="4"/>
      <c r="J153" s="4"/>
      <c r="K153" s="4"/>
      <c r="L153" s="1250"/>
      <c r="M153" s="153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</row>
    <row r="154" spans="2:87" s="220" customFormat="1" hidden="1" outlineLevel="1">
      <c r="B154" s="1216" t="s">
        <v>1439</v>
      </c>
      <c r="E154" s="4"/>
      <c r="F154" s="4"/>
      <c r="G154" s="4"/>
      <c r="H154" s="4"/>
      <c r="I154" s="4"/>
      <c r="J154" s="4"/>
      <c r="K154" s="4"/>
      <c r="L154" s="1250"/>
      <c r="M154" s="153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AA154" s="1239"/>
      <c r="AP154" s="1239"/>
      <c r="BE154" s="1239"/>
      <c r="BT154" s="1239"/>
      <c r="CI154" s="1239"/>
    </row>
    <row r="155" spans="2:87" s="220" customFormat="1" hidden="1" outlineLevel="1">
      <c r="B155" s="1216" t="s">
        <v>1440</v>
      </c>
      <c r="E155" s="4"/>
      <c r="F155" s="4"/>
      <c r="G155" s="4"/>
      <c r="H155" s="4"/>
      <c r="I155" s="4"/>
      <c r="J155" s="4"/>
      <c r="K155" s="4"/>
      <c r="L155" s="1250"/>
      <c r="M155" s="153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AA155" s="1239"/>
      <c r="AP155" s="1239"/>
      <c r="BE155" s="1239"/>
      <c r="BT155" s="1239"/>
      <c r="CI155" s="1239"/>
    </row>
    <row r="156" spans="2:87" collapsed="1"/>
    <row r="157" spans="2:87" s="220" customFormat="1">
      <c r="L157" s="1239"/>
      <c r="M157" s="1214"/>
      <c r="AA157" s="1239"/>
      <c r="AP157" s="1239"/>
      <c r="BE157" s="1239"/>
      <c r="BT157" s="1239"/>
      <c r="CI157" s="1239"/>
    </row>
  </sheetData>
  <mergeCells count="2">
    <mergeCell ref="P1:R1"/>
    <mergeCell ref="P2:R2"/>
  </mergeCells>
  <phoneticPr fontId="301" type="noConversion"/>
  <conditionalFormatting sqref="M70:X70">
    <cfRule type="expression" dxfId="11" priority="11">
      <formula>(M$70-M$71-M$74)&gt;2</formula>
    </cfRule>
  </conditionalFormatting>
  <conditionalFormatting sqref="AB8:AB15 AB41 M8:X8">
    <cfRule type="expression" dxfId="10" priority="10">
      <formula>(M$8-M$9-M$12)&gt;1</formula>
    </cfRule>
  </conditionalFormatting>
  <conditionalFormatting sqref="AC8">
    <cfRule type="expression" dxfId="9" priority="8">
      <formula>(AC$8-AC$9-AC$12)&gt;1</formula>
    </cfRule>
  </conditionalFormatting>
  <conditionalFormatting sqref="AD8:AM8">
    <cfRule type="expression" dxfId="8" priority="7">
      <formula>(AD$8-AD$9-AD$12)&gt;1</formula>
    </cfRule>
  </conditionalFormatting>
  <conditionalFormatting sqref="AQ8:AQ15 AQ41">
    <cfRule type="expression" dxfId="7" priority="6">
      <formula>(AQ$8-AQ$9-AQ$12)&gt;1</formula>
    </cfRule>
  </conditionalFormatting>
  <conditionalFormatting sqref="AR8">
    <cfRule type="expression" dxfId="6" priority="5">
      <formula>(AR$8-AR$9-AR$12)&gt;1</formula>
    </cfRule>
  </conditionalFormatting>
  <conditionalFormatting sqref="AS8:BB8">
    <cfRule type="expression" dxfId="5" priority="4">
      <formula>(AS$8-AS$9-AS$12)&gt;1</formula>
    </cfRule>
  </conditionalFormatting>
  <conditionalFormatting sqref="BH8:BQ8">
    <cfRule type="expression" dxfId="4" priority="1">
      <formula>(BH$8-BH$9-BH$12)&gt;1</formula>
    </cfRule>
  </conditionalFormatting>
  <conditionalFormatting sqref="BF8:BF15 BF41">
    <cfRule type="expression" dxfId="3" priority="3">
      <formula>(BF$8-BF$9-BF$12)&gt;1</formula>
    </cfRule>
  </conditionalFormatting>
  <conditionalFormatting sqref="BG8">
    <cfRule type="expression" dxfId="2" priority="2">
      <formula>(BG$8-BG$9-BG$12)&gt;1</formula>
    </cfRule>
  </conditionalFormatting>
  <pageMargins left="0.7" right="0.7" top="0.75" bottom="0.75" header="0.3" footer="0.3"/>
  <pageSetup paperSize="9" orientation="portrait" verticalDpi="0" r:id="rId1"/>
  <ignoredErrors>
    <ignoredError sqref="M12" formula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tabColor rgb="FFFFC000"/>
  </sheetPr>
  <dimension ref="A1:CA87"/>
  <sheetViews>
    <sheetView zoomScale="86" zoomScaleNormal="86" workbookViewId="0">
      <pane xSplit="6" ySplit="6" topLeftCell="AS79" activePane="bottomRight" state="frozen"/>
      <selection pane="topRight" activeCell="G1" sqref="G1"/>
      <selection pane="bottomLeft" activeCell="A7" sqref="A7"/>
      <selection pane="bottomRight" activeCell="AZ90" sqref="AZ90"/>
    </sheetView>
  </sheetViews>
  <sheetFormatPr defaultColWidth="9.42578125" defaultRowHeight="14.25" outlineLevelCol="2"/>
  <cols>
    <col min="1" max="4" width="9.42578125" style="54"/>
    <col min="5" max="6" width="9.42578125" style="54" customWidth="1"/>
    <col min="7" max="7" width="16.42578125" style="54" customWidth="1" outlineLevel="1"/>
    <col min="8" max="8" width="13.42578125" style="54" customWidth="1" outlineLevel="1"/>
    <col min="9" max="9" width="5" style="54" customWidth="1" outlineLevel="1"/>
    <col min="10" max="10" width="13.5703125" style="54" customWidth="1" outlineLevel="1"/>
    <col min="11" max="11" width="13.42578125" style="54" customWidth="1" outlineLevel="1"/>
    <col min="12" max="12" width="5" style="54" customWidth="1" outlineLevel="1"/>
    <col min="13" max="13" width="13.5703125" style="54" customWidth="1" outlineLevel="1"/>
    <col min="14" max="14" width="13.42578125" style="54" customWidth="1" outlineLevel="1"/>
    <col min="15" max="15" width="5.5703125" style="54" customWidth="1" outlineLevel="1"/>
    <col min="16" max="16" width="13.5703125" style="54" customWidth="1" outlineLevel="1"/>
    <col min="17" max="17" width="13.42578125" style="54" customWidth="1" outlineLevel="1"/>
    <col min="18" max="18" width="5.5703125" style="54" customWidth="1" outlineLevel="1"/>
    <col min="19" max="19" width="13.5703125" style="54" hidden="1" customWidth="1" outlineLevel="2"/>
    <col min="20" max="20" width="13.42578125" style="54" hidden="1" customWidth="1" outlineLevel="2"/>
    <col min="21" max="21" width="5.5703125" style="54" customWidth="1" outlineLevel="1" collapsed="1"/>
    <col min="22" max="22" width="13.5703125" style="54" customWidth="1" outlineLevel="1"/>
    <col min="23" max="23" width="13.42578125" style="54" customWidth="1" outlineLevel="1"/>
    <col min="24" max="24" width="5.5703125" style="54" customWidth="1"/>
    <col min="25" max="25" width="13.5703125" style="54" customWidth="1"/>
    <col min="26" max="26" width="13.42578125" style="54" customWidth="1"/>
    <col min="27" max="27" width="5.5703125" style="54" customWidth="1"/>
    <col min="28" max="28" width="13.5703125" style="54" customWidth="1"/>
    <col min="29" max="29" width="13.42578125" style="54" customWidth="1"/>
    <col min="30" max="30" width="8.5703125" style="54" customWidth="1"/>
    <col min="31" max="31" width="13.5703125" style="54" customWidth="1"/>
    <col min="32" max="32" width="13.42578125" style="54" customWidth="1"/>
    <col min="33" max="33" width="4.42578125" style="54" customWidth="1"/>
    <col min="34" max="34" width="13.5703125" style="54" customWidth="1"/>
    <col min="35" max="35" width="13.42578125" style="54" customWidth="1"/>
    <col min="36" max="36" width="5.42578125" style="54" customWidth="1"/>
    <col min="37" max="37" width="13.5703125" style="54" customWidth="1"/>
    <col min="38" max="38" width="13.42578125" style="54" customWidth="1"/>
    <col min="39" max="39" width="5.5703125" style="54" customWidth="1"/>
    <col min="40" max="40" width="13.5703125" style="54" customWidth="1"/>
    <col min="41" max="41" width="13.42578125" style="54" customWidth="1"/>
    <col min="42" max="42" width="5.5703125" style="54" customWidth="1"/>
    <col min="43" max="43" width="13.5703125" style="54" customWidth="1"/>
    <col min="44" max="44" width="13.42578125" style="54" customWidth="1"/>
    <col min="45" max="45" width="14.5703125" style="54" customWidth="1"/>
    <col min="46" max="46" width="4.28515625" style="54" customWidth="1"/>
    <col min="47" max="47" width="13.5703125" style="54" customWidth="1"/>
    <col min="48" max="49" width="13.42578125" style="54" customWidth="1"/>
    <col min="50" max="50" width="3.7109375" style="54" customWidth="1"/>
    <col min="51" max="51" width="13.5703125" style="54" customWidth="1"/>
    <col min="52" max="53" width="13.42578125" style="54" customWidth="1"/>
    <col min="54" max="54" width="4.28515625" style="54" customWidth="1"/>
    <col min="55" max="55" width="13.5703125" style="54" customWidth="1"/>
    <col min="56" max="57" width="13.42578125" style="54" customWidth="1"/>
    <col min="58" max="58" width="4.28515625" style="54" customWidth="1"/>
    <col min="59" max="59" width="13.5703125" style="54" customWidth="1"/>
    <col min="60" max="61" width="13.42578125" style="54" customWidth="1"/>
    <col min="62" max="62" width="4.28515625" style="54" customWidth="1"/>
    <col min="63" max="63" width="13.5703125" style="54" customWidth="1"/>
    <col min="64" max="65" width="13.42578125" style="54" customWidth="1"/>
    <col min="66" max="66" width="4.28515625" style="54" customWidth="1"/>
    <col min="67" max="67" width="13.5703125" style="54" customWidth="1"/>
    <col min="68" max="69" width="13.42578125" style="54" customWidth="1"/>
    <col min="70" max="70" width="4.28515625" style="54" customWidth="1"/>
    <col min="71" max="71" width="13.5703125" style="54" customWidth="1"/>
    <col min="72" max="73" width="13.42578125" style="54" customWidth="1"/>
    <col min="74" max="74" width="4.28515625" style="54" customWidth="1"/>
    <col min="75" max="75" width="13.5703125" style="54" customWidth="1"/>
    <col min="76" max="77" width="13.42578125" style="54" customWidth="1"/>
    <col min="78" max="78" width="4.28515625" style="54" customWidth="1"/>
    <col min="79" max="16384" width="9.42578125" style="54"/>
  </cols>
  <sheetData>
    <row r="1" spans="1:78" ht="15.75">
      <c r="A1" s="100" t="s">
        <v>165</v>
      </c>
      <c r="AS1" s="54" t="s">
        <v>817</v>
      </c>
    </row>
    <row r="2" spans="1:78" ht="15" thickBot="1">
      <c r="A2" s="54" t="s">
        <v>166</v>
      </c>
      <c r="AE2" s="1664" t="s">
        <v>715</v>
      </c>
      <c r="AF2" s="1664"/>
      <c r="AG2" s="1664"/>
      <c r="AH2" s="1664"/>
      <c r="AI2" s="1664"/>
      <c r="AJ2" s="1664"/>
      <c r="AK2" s="1664"/>
      <c r="AL2" s="1664"/>
      <c r="AM2" s="1664"/>
      <c r="AN2" s="1664"/>
      <c r="AO2" s="1664"/>
      <c r="AP2" s="1664"/>
      <c r="AQ2" s="1664"/>
      <c r="AR2" s="1664"/>
      <c r="AS2" s="1664"/>
      <c r="AT2" s="1664"/>
      <c r="AU2" s="1664"/>
      <c r="AV2" s="1664"/>
      <c r="AW2" s="1664"/>
      <c r="AX2" s="1664"/>
      <c r="AY2" s="1664"/>
      <c r="AZ2" s="1664"/>
      <c r="BA2" s="1517"/>
    </row>
    <row r="3" spans="1:78" ht="16.5" customHeight="1" thickBot="1">
      <c r="G3" s="1669"/>
      <c r="H3" s="1669"/>
      <c r="I3" s="1669"/>
      <c r="J3" s="1669"/>
      <c r="K3" s="1669"/>
      <c r="L3" s="1669"/>
      <c r="M3" s="1669"/>
      <c r="N3" s="1669"/>
      <c r="O3" s="1669"/>
      <c r="P3" s="1669"/>
      <c r="Q3" s="1669"/>
      <c r="R3" s="1669"/>
      <c r="S3" s="1669"/>
      <c r="T3" s="1669"/>
      <c r="U3" s="1669"/>
      <c r="V3" s="1669"/>
      <c r="W3" s="1669"/>
      <c r="X3" s="1669"/>
      <c r="Y3" s="1669"/>
      <c r="Z3" s="1669"/>
      <c r="AA3" s="1669"/>
      <c r="AB3" s="1669"/>
      <c r="AC3" s="1669"/>
      <c r="AD3" s="1669"/>
      <c r="AE3" s="1669"/>
      <c r="AF3" s="1669"/>
      <c r="AG3" s="1669"/>
      <c r="AH3" s="1669"/>
      <c r="AI3" s="1669"/>
      <c r="AJ3" s="1669"/>
      <c r="AK3" s="1669"/>
      <c r="AL3" s="1669"/>
      <c r="AM3" s="1669"/>
      <c r="AN3" s="1669"/>
      <c r="AO3" s="1669"/>
      <c r="AP3" s="1670"/>
      <c r="AQ3" s="1661" t="s">
        <v>9</v>
      </c>
      <c r="AR3" s="1662"/>
      <c r="AS3" s="1662"/>
      <c r="AT3" s="1662"/>
      <c r="AU3" s="1662"/>
      <c r="AV3" s="1662"/>
      <c r="AW3" s="1662"/>
      <c r="AX3" s="1662"/>
      <c r="AY3" s="1662"/>
      <c r="AZ3" s="1662"/>
      <c r="BA3" s="1662"/>
      <c r="BB3" s="1662"/>
      <c r="BC3" s="1662"/>
      <c r="BD3" s="1662"/>
      <c r="BE3" s="1662"/>
      <c r="BF3" s="1662"/>
      <c r="BG3" s="1662"/>
      <c r="BH3" s="1662"/>
      <c r="BI3" s="1662"/>
      <c r="BJ3" s="1662"/>
      <c r="BK3" s="1662"/>
      <c r="BL3" s="1662"/>
      <c r="BM3" s="1662"/>
      <c r="BN3" s="1662"/>
      <c r="BO3" s="1662"/>
      <c r="BP3" s="1662"/>
      <c r="BQ3" s="1662"/>
      <c r="BR3" s="1662"/>
      <c r="BS3" s="1662"/>
      <c r="BT3" s="1662"/>
      <c r="BU3" s="1662"/>
      <c r="BV3" s="1662"/>
      <c r="BW3" s="1662"/>
      <c r="BX3" s="1662"/>
      <c r="BY3" s="1662"/>
      <c r="BZ3" s="1663"/>
    </row>
    <row r="4" spans="1:78" ht="15" thickBot="1"/>
    <row r="5" spans="1:78" ht="15" customHeight="1" thickBot="1">
      <c r="G5" s="1667" t="s">
        <v>167</v>
      </c>
      <c r="H5" s="1668"/>
      <c r="J5" s="1667" t="s">
        <v>51</v>
      </c>
      <c r="K5" s="1668"/>
      <c r="M5" s="1667" t="s">
        <v>51</v>
      </c>
      <c r="N5" s="1668"/>
      <c r="P5" s="1667" t="s">
        <v>51</v>
      </c>
      <c r="Q5" s="1668"/>
      <c r="S5" s="1671" t="s">
        <v>52</v>
      </c>
      <c r="T5" s="1660"/>
      <c r="V5" s="1667" t="s">
        <v>51</v>
      </c>
      <c r="W5" s="1668"/>
      <c r="Y5" s="1667" t="s">
        <v>51</v>
      </c>
      <c r="Z5" s="1668"/>
      <c r="AB5" s="1667" t="s">
        <v>51</v>
      </c>
      <c r="AC5" s="1668"/>
      <c r="AE5" s="1665" t="s">
        <v>51</v>
      </c>
      <c r="AF5" s="1666"/>
      <c r="AH5" s="1667" t="s">
        <v>52</v>
      </c>
      <c r="AI5" s="1668"/>
      <c r="AK5" s="1667" t="s">
        <v>53</v>
      </c>
      <c r="AL5" s="1668"/>
      <c r="AN5" s="1667" t="s">
        <v>53</v>
      </c>
      <c r="AO5" s="1668"/>
      <c r="AQ5" s="1852" t="s">
        <v>51</v>
      </c>
      <c r="AR5" s="1853"/>
      <c r="AU5" s="1667" t="s">
        <v>52</v>
      </c>
      <c r="AV5" s="1668"/>
      <c r="AY5" s="1667" t="s">
        <v>53</v>
      </c>
      <c r="AZ5" s="1668"/>
      <c r="BC5" s="1667" t="s">
        <v>53</v>
      </c>
      <c r="BD5" s="1668"/>
      <c r="BG5" s="1667" t="s">
        <v>53</v>
      </c>
      <c r="BH5" s="1668"/>
      <c r="BK5" s="1667" t="s">
        <v>53</v>
      </c>
      <c r="BL5" s="1668"/>
      <c r="BO5" s="1667" t="s">
        <v>53</v>
      </c>
      <c r="BP5" s="1668"/>
      <c r="BS5" s="1667" t="s">
        <v>53</v>
      </c>
      <c r="BT5" s="1668"/>
      <c r="BW5" s="1667" t="s">
        <v>53</v>
      </c>
      <c r="BX5" s="1668"/>
    </row>
    <row r="6" spans="1:78" ht="57">
      <c r="G6" s="57" t="s">
        <v>168</v>
      </c>
      <c r="H6" s="102" t="s">
        <v>169</v>
      </c>
      <c r="J6" s="57" t="s">
        <v>0</v>
      </c>
      <c r="K6" s="102" t="s">
        <v>170</v>
      </c>
      <c r="M6" s="57" t="str">
        <f>'12 years sales &amp; PL forecast'!I6</f>
        <v>2016-17</v>
      </c>
      <c r="N6" s="102" t="s">
        <v>170</v>
      </c>
      <c r="P6" s="57" t="str">
        <f>'12 years sales &amp; PL forecast'!J6</f>
        <v>2017-18</v>
      </c>
      <c r="Q6" s="102" t="s">
        <v>169</v>
      </c>
      <c r="S6" s="57" t="s">
        <v>3</v>
      </c>
      <c r="T6" s="102" t="s">
        <v>169</v>
      </c>
      <c r="V6" s="57" t="str">
        <f>'12 years sales &amp; PL forecast'!K6</f>
        <v>2018-19</v>
      </c>
      <c r="W6" s="102" t="s">
        <v>169</v>
      </c>
      <c r="Y6" s="57" t="str">
        <f>'12 years sales &amp; PL forecast'!L6</f>
        <v>2019-20</v>
      </c>
      <c r="Z6" s="102" t="s">
        <v>169</v>
      </c>
      <c r="AB6" s="57" t="str">
        <f>'12 years sales &amp; PL forecast'!M6</f>
        <v>2020-21</v>
      </c>
      <c r="AC6" s="102" t="s">
        <v>170</v>
      </c>
      <c r="AE6" s="57" t="str">
        <f>'12 years sales &amp; PL forecast'!N6</f>
        <v>2021-22</v>
      </c>
      <c r="AF6" s="102" t="s">
        <v>169</v>
      </c>
      <c r="AH6" s="57" t="str">
        <f>'12 years sales &amp; PL forecast'!O6</f>
        <v>2022-23</v>
      </c>
      <c r="AI6" s="102" t="s">
        <v>169</v>
      </c>
      <c r="AK6" s="57" t="str">
        <f>'12 years sales &amp; PL forecast'!P6</f>
        <v>2023-24</v>
      </c>
      <c r="AL6" s="102" t="s">
        <v>169</v>
      </c>
      <c r="AN6" s="60" t="s">
        <v>14</v>
      </c>
      <c r="AO6" s="102" t="s">
        <v>169</v>
      </c>
      <c r="AQ6" s="57" t="str">
        <f>'12 years sales &amp; PL forecast'!N6</f>
        <v>2021-22</v>
      </c>
      <c r="AR6" s="102" t="s">
        <v>1724</v>
      </c>
      <c r="AS6" s="54" t="s">
        <v>78</v>
      </c>
      <c r="AU6" s="57" t="str">
        <f>'12 years sales &amp; PL forecast'!O6</f>
        <v>2022-23</v>
      </c>
      <c r="AV6" s="102" t="s">
        <v>1724</v>
      </c>
      <c r="AY6" s="57" t="str">
        <f>'12 years sales &amp; PL forecast'!P6</f>
        <v>2023-24</v>
      </c>
      <c r="AZ6" s="102" t="s">
        <v>1724</v>
      </c>
      <c r="BC6" s="60" t="s">
        <v>14</v>
      </c>
      <c r="BD6" s="102" t="s">
        <v>1724</v>
      </c>
      <c r="BG6" s="60" t="s">
        <v>15</v>
      </c>
      <c r="BH6" s="102" t="s">
        <v>1724</v>
      </c>
      <c r="BI6" s="102"/>
      <c r="BK6" s="60" t="s">
        <v>16</v>
      </c>
      <c r="BL6" s="102" t="s">
        <v>1724</v>
      </c>
      <c r="BM6" s="102"/>
      <c r="BO6" s="60" t="s">
        <v>17</v>
      </c>
      <c r="BP6" s="102" t="s">
        <v>1724</v>
      </c>
      <c r="BQ6" s="102"/>
      <c r="BS6" s="60" t="s">
        <v>18</v>
      </c>
      <c r="BT6" s="102" t="s">
        <v>1724</v>
      </c>
      <c r="BU6" s="102"/>
      <c r="BW6" s="60" t="s">
        <v>19</v>
      </c>
      <c r="BX6" s="102" t="s">
        <v>1724</v>
      </c>
      <c r="BY6" s="102"/>
      <c r="BZ6" s="102"/>
    </row>
    <row r="7" spans="1:78">
      <c r="H7" s="103"/>
      <c r="K7" s="103"/>
      <c r="N7" s="103"/>
      <c r="Q7" s="103"/>
      <c r="T7" s="103"/>
      <c r="W7" s="103"/>
      <c r="Z7" s="103"/>
      <c r="AC7" s="103"/>
      <c r="AF7" s="103"/>
      <c r="AI7" s="103"/>
      <c r="AL7" s="103"/>
      <c r="AO7" s="103"/>
      <c r="AR7" s="103"/>
      <c r="AS7" s="54" t="s">
        <v>1723</v>
      </c>
      <c r="AV7" s="103"/>
      <c r="AW7" s="54" t="s">
        <v>1723</v>
      </c>
      <c r="AZ7" s="103"/>
      <c r="BA7" s="54" t="s">
        <v>1723</v>
      </c>
      <c r="BD7" s="103"/>
      <c r="BE7" s="54" t="s">
        <v>1723</v>
      </c>
      <c r="BH7" s="103"/>
      <c r="BI7" s="54" t="s">
        <v>1723</v>
      </c>
      <c r="BL7" s="103"/>
      <c r="BM7" s="54" t="s">
        <v>1723</v>
      </c>
      <c r="BP7" s="103"/>
      <c r="BQ7" s="54" t="s">
        <v>1723</v>
      </c>
      <c r="BT7" s="103"/>
      <c r="BU7" s="54" t="s">
        <v>1723</v>
      </c>
      <c r="BX7" s="103"/>
      <c r="BY7" s="54" t="s">
        <v>1723</v>
      </c>
      <c r="BZ7" s="103"/>
    </row>
    <row r="8" spans="1:78" ht="14.1" customHeight="1">
      <c r="A8" s="54" t="s">
        <v>711</v>
      </c>
      <c r="H8" s="103"/>
      <c r="K8" s="103"/>
      <c r="N8" s="103"/>
      <c r="Q8" s="103"/>
      <c r="T8" s="103"/>
      <c r="W8" s="103"/>
      <c r="Z8" s="103"/>
      <c r="AC8" s="103"/>
      <c r="AF8" s="103"/>
      <c r="AI8" s="103"/>
      <c r="AL8" s="103"/>
      <c r="AO8" s="103"/>
      <c r="AR8" s="103"/>
      <c r="AS8" s="59">
        <f>300000000</f>
        <v>300000000</v>
      </c>
      <c r="AT8" s="59"/>
      <c r="AV8" s="103"/>
      <c r="AW8" s="59">
        <f>300000000</f>
        <v>300000000</v>
      </c>
      <c r="AX8" s="59"/>
      <c r="AZ8" s="103"/>
      <c r="BA8" s="59">
        <f>300000000</f>
        <v>300000000</v>
      </c>
      <c r="BD8" s="103"/>
      <c r="BE8" s="59">
        <f>300000000</f>
        <v>300000000</v>
      </c>
      <c r="BH8" s="103"/>
      <c r="BI8" s="59">
        <f>300000000</f>
        <v>300000000</v>
      </c>
      <c r="BL8" s="103"/>
      <c r="BM8" s="59">
        <f>BM15</f>
        <v>294265120.50631487</v>
      </c>
      <c r="BP8" s="103"/>
      <c r="BQ8" s="468">
        <f>BQ15</f>
        <v>294813804.62953103</v>
      </c>
      <c r="BT8" s="103"/>
      <c r="BU8" s="468">
        <f>BU15</f>
        <v>334546017.87985861</v>
      </c>
      <c r="BX8" s="103"/>
      <c r="BY8" s="468">
        <f>BY15</f>
        <v>371053354.56351984</v>
      </c>
      <c r="BZ8" s="103"/>
    </row>
    <row r="9" spans="1:78">
      <c r="A9" s="54" t="s">
        <v>712</v>
      </c>
      <c r="H9" s="103"/>
      <c r="K9" s="103"/>
      <c r="N9" s="103"/>
      <c r="Q9" s="103"/>
      <c r="T9" s="103"/>
      <c r="W9" s="103"/>
      <c r="Z9" s="103"/>
      <c r="AC9" s="103"/>
      <c r="AF9" s="103"/>
      <c r="AI9" s="103"/>
      <c r="AL9" s="103"/>
      <c r="AO9" s="103"/>
      <c r="AR9" s="103"/>
      <c r="AV9" s="103"/>
      <c r="AZ9" s="103"/>
      <c r="BD9" s="103"/>
      <c r="BH9" s="103"/>
      <c r="BL9" s="103"/>
      <c r="BP9" s="103"/>
      <c r="BT9" s="103"/>
      <c r="BX9" s="103"/>
      <c r="BZ9" s="103"/>
    </row>
    <row r="10" spans="1:78">
      <c r="A10" s="54" t="s">
        <v>713</v>
      </c>
      <c r="H10" s="103"/>
      <c r="J10" s="428"/>
      <c r="K10" s="103"/>
      <c r="M10" s="428">
        <f>M15-M12</f>
        <v>-1382952</v>
      </c>
      <c r="N10" s="103"/>
      <c r="P10" s="428">
        <f>P15-P12</f>
        <v>-14206890</v>
      </c>
      <c r="Q10" s="103"/>
      <c r="S10" s="428"/>
      <c r="T10" s="103"/>
      <c r="V10" s="428">
        <f>V15-V12</f>
        <v>105269010</v>
      </c>
      <c r="W10" s="103"/>
      <c r="Y10" s="428">
        <f>Y15-Y12</f>
        <v>13415628</v>
      </c>
      <c r="Z10" s="103"/>
      <c r="AB10" s="428">
        <f>AB15-AB12</f>
        <v>-24879108</v>
      </c>
      <c r="AC10" s="103"/>
      <c r="AE10" s="428">
        <f>AE15+AU15-AE12</f>
        <v>-33356923</v>
      </c>
      <c r="AF10" s="103"/>
      <c r="AH10" s="428">
        <f>AH15+AY15-AH12</f>
        <v>39257577.259949207</v>
      </c>
      <c r="AI10" s="103"/>
      <c r="AK10" s="428">
        <f>AK15+BC15-AK12</f>
        <v>76790421.740050793</v>
      </c>
      <c r="AL10" s="103"/>
      <c r="AN10" s="428">
        <f>AN15+BF15-AN12</f>
        <v>-154265120.50631487</v>
      </c>
      <c r="AO10" s="103"/>
      <c r="AR10" s="103"/>
      <c r="AV10" s="103"/>
      <c r="AZ10" s="103"/>
      <c r="BC10" s="428"/>
      <c r="BD10" s="103"/>
      <c r="BG10" s="428"/>
      <c r="BH10" s="103"/>
      <c r="BK10" s="428"/>
      <c r="BL10" s="103"/>
      <c r="BO10" s="428"/>
      <c r="BP10" s="103"/>
      <c r="BS10" s="428"/>
      <c r="BT10" s="103"/>
      <c r="BW10" s="428"/>
      <c r="BX10" s="103"/>
      <c r="BZ10" s="103"/>
    </row>
    <row r="11" spans="1:78">
      <c r="A11" s="54" t="s">
        <v>714</v>
      </c>
      <c r="H11" s="103"/>
      <c r="K11" s="103"/>
      <c r="N11" s="103"/>
      <c r="Q11" s="103"/>
      <c r="T11" s="103"/>
      <c r="W11" s="103"/>
      <c r="Z11" s="103"/>
      <c r="AC11" s="103"/>
      <c r="AF11" s="103"/>
      <c r="AI11" s="103"/>
      <c r="AL11" s="103"/>
      <c r="AO11" s="103"/>
      <c r="AR11" s="103"/>
      <c r="AV11" s="103"/>
      <c r="AZ11" s="103"/>
      <c r="BD11" s="103"/>
      <c r="BH11" s="103"/>
      <c r="BL11" s="103"/>
      <c r="BP11" s="103"/>
      <c r="BT11" s="103"/>
      <c r="BX11" s="103"/>
      <c r="BZ11" s="103"/>
    </row>
    <row r="12" spans="1:78">
      <c r="A12" s="54" t="s">
        <v>171</v>
      </c>
      <c r="H12" s="103"/>
      <c r="J12" s="54">
        <f>'12 years sales &amp; PL forecast'!H52</f>
        <v>220567880</v>
      </c>
      <c r="K12" s="103"/>
      <c r="M12" s="54">
        <f>'12 years sales &amp; PL forecast'!I52</f>
        <v>225615872</v>
      </c>
      <c r="N12" s="103"/>
      <c r="P12" s="54">
        <f>'12 years sales &amp; PL forecast'!J52</f>
        <v>239630900</v>
      </c>
      <c r="Q12" s="103"/>
      <c r="S12" s="54">
        <v>273919828.98000002</v>
      </c>
      <c r="T12" s="103"/>
      <c r="V12" s="54">
        <f>'12 years sales &amp; PL forecast'!K52</f>
        <v>269981458</v>
      </c>
      <c r="W12" s="103"/>
      <c r="Y12" s="54">
        <f>'12 years sales &amp; PL forecast'!L52</f>
        <v>270712872</v>
      </c>
      <c r="Z12" s="103"/>
      <c r="AB12" s="54">
        <f>'12 years sales &amp; PL forecast'!M52</f>
        <v>145973662</v>
      </c>
      <c r="AC12" s="103"/>
      <c r="AE12" s="54">
        <f>'12 years sales &amp; PL forecast'!N52</f>
        <v>181397665</v>
      </c>
      <c r="AF12" s="103"/>
      <c r="AH12" s="54">
        <f>'12 years sales &amp; PL forecast'!O52</f>
        <v>213772250.25994921</v>
      </c>
      <c r="AI12" s="103"/>
      <c r="AK12" s="54">
        <f>'12 years sales &amp; PL forecast'!P52</f>
        <v>220286460.25994921</v>
      </c>
      <c r="AL12" s="103"/>
      <c r="AN12" s="54">
        <f>'12 years sales &amp; PL forecast'!S52</f>
        <v>294265120.50631487</v>
      </c>
      <c r="AO12" s="103"/>
      <c r="AR12" s="103"/>
      <c r="AS12" s="54" t="s">
        <v>1719</v>
      </c>
      <c r="AV12" s="103"/>
      <c r="AW12" s="54" t="s">
        <v>1719</v>
      </c>
      <c r="AZ12" s="103"/>
      <c r="BA12" s="54" t="s">
        <v>1719</v>
      </c>
      <c r="BD12" s="103"/>
      <c r="BE12" s="54" t="s">
        <v>1719</v>
      </c>
      <c r="BH12" s="103"/>
      <c r="BI12" s="54" t="s">
        <v>1719</v>
      </c>
      <c r="BL12" s="103"/>
      <c r="BM12" s="54" t="s">
        <v>1719</v>
      </c>
      <c r="BP12" s="103"/>
      <c r="BQ12" s="54" t="s">
        <v>1719</v>
      </c>
      <c r="BT12" s="103"/>
      <c r="BU12" s="54" t="s">
        <v>1719</v>
      </c>
      <c r="BX12" s="103"/>
      <c r="BY12" s="54" t="s">
        <v>1719</v>
      </c>
      <c r="BZ12" s="103"/>
    </row>
    <row r="13" spans="1:78">
      <c r="A13" s="54" t="s">
        <v>172</v>
      </c>
      <c r="H13" s="103"/>
      <c r="J13" s="62"/>
      <c r="K13" s="103"/>
      <c r="M13" s="62"/>
      <c r="N13" s="103"/>
      <c r="P13" s="62">
        <v>0.05</v>
      </c>
      <c r="Q13" s="103"/>
      <c r="S13" s="62">
        <v>0.05</v>
      </c>
      <c r="T13" s="103"/>
      <c r="V13" s="62">
        <v>0.05</v>
      </c>
      <c r="W13" s="103"/>
      <c r="Y13" s="62">
        <v>0.05</v>
      </c>
      <c r="Z13" s="103"/>
      <c r="AB13" s="62"/>
      <c r="AC13" s="103"/>
      <c r="AE13" s="62"/>
      <c r="AF13" s="103"/>
      <c r="AH13" s="62"/>
      <c r="AI13" s="103"/>
      <c r="AK13" s="62"/>
      <c r="AL13" s="103"/>
      <c r="AN13" s="62"/>
      <c r="AO13" s="103"/>
      <c r="AQ13" s="62"/>
      <c r="AR13" s="103"/>
      <c r="AS13" s="54">
        <f>'Production Plan'!F46+'Production Plan'!F51+'Production Plan'!F59+'Production Plan'!F67</f>
        <v>0</v>
      </c>
      <c r="AU13" s="62"/>
      <c r="AV13" s="103"/>
      <c r="AW13" s="54">
        <f>'Production Plan'!G46+'Production Plan'!G51+'Production Plan'!G59+'Production Plan'!G67</f>
        <v>3349517</v>
      </c>
      <c r="AY13" s="62"/>
      <c r="AZ13" s="103"/>
      <c r="BA13" s="54">
        <f>'Production Plan'!H46+'Production Plan'!H51+'Production Plan'!H59+'Production Plan'!H67</f>
        <v>2915987</v>
      </c>
      <c r="BC13" s="62"/>
      <c r="BD13" s="103"/>
      <c r="BE13" s="54">
        <f>'Production Plan'!I46+'Production Plan'!I51+'Production Plan'!I59+'Production Plan'!I67</f>
        <v>48387</v>
      </c>
      <c r="BG13" s="62"/>
      <c r="BH13" s="103"/>
      <c r="BI13" s="54">
        <f>'Production Plan'!J46+'Production Plan'!J51+'Production Plan'!J59+'Production Plan'!J67</f>
        <v>0</v>
      </c>
      <c r="BK13" s="62"/>
      <c r="BL13" s="103"/>
      <c r="BM13" s="54">
        <f>'Production Plan'!K46+'Production Plan'!K51+'Production Plan'!K59+'Production Plan'!K67</f>
        <v>0</v>
      </c>
      <c r="BO13" s="62"/>
      <c r="BP13" s="103"/>
      <c r="BQ13" s="54">
        <f>'Production Plan'!L46+'Production Plan'!L51+'Production Plan'!L59+'Production Plan'!L67</f>
        <v>0</v>
      </c>
      <c r="BS13" s="62"/>
      <c r="BT13" s="103"/>
      <c r="BU13" s="54">
        <f>'Production Plan'!M46+'Production Plan'!M51+'Production Plan'!M59+'Production Plan'!M67</f>
        <v>0</v>
      </c>
      <c r="BW13" s="62"/>
      <c r="BX13" s="103"/>
      <c r="BY13" s="54">
        <f>'Production Plan'!N46+'Production Plan'!N51+'Production Plan'!N59+'Production Plan'!N67</f>
        <v>0</v>
      </c>
      <c r="BZ13" s="103"/>
    </row>
    <row r="14" spans="1:78">
      <c r="A14" s="54" t="s">
        <v>173</v>
      </c>
      <c r="H14" s="103"/>
      <c r="K14" s="103"/>
      <c r="N14" s="103"/>
      <c r="Q14" s="103"/>
      <c r="S14" s="54">
        <v>409000000</v>
      </c>
      <c r="T14" s="103"/>
      <c r="V14" s="54">
        <v>375250468</v>
      </c>
      <c r="W14" s="103"/>
      <c r="Y14" s="54">
        <v>305642688</v>
      </c>
      <c r="Z14" s="103"/>
      <c r="AC14" s="103"/>
      <c r="AF14" s="103"/>
      <c r="AI14" s="103"/>
      <c r="AL14" s="103"/>
      <c r="AO14" s="103"/>
      <c r="AQ14" s="54" t="s">
        <v>1720</v>
      </c>
      <c r="AR14" s="54" t="s">
        <v>1721</v>
      </c>
      <c r="AS14" s="54" t="s">
        <v>1718</v>
      </c>
      <c r="AU14" s="54" t="s">
        <v>1720</v>
      </c>
      <c r="AV14" s="54" t="s">
        <v>1721</v>
      </c>
      <c r="AW14" s="54" t="s">
        <v>1718</v>
      </c>
      <c r="AY14" s="54" t="s">
        <v>1720</v>
      </c>
      <c r="AZ14" s="54" t="s">
        <v>1721</v>
      </c>
      <c r="BA14" s="54" t="s">
        <v>1718</v>
      </c>
      <c r="BC14" s="54" t="s">
        <v>1720</v>
      </c>
      <c r="BD14" s="54" t="s">
        <v>1721</v>
      </c>
      <c r="BE14" s="54" t="s">
        <v>1718</v>
      </c>
      <c r="BG14" s="54" t="s">
        <v>1720</v>
      </c>
      <c r="BH14" s="54" t="s">
        <v>1721</v>
      </c>
      <c r="BI14" s="54" t="s">
        <v>1718</v>
      </c>
      <c r="BK14" s="54" t="s">
        <v>1720</v>
      </c>
      <c r="BL14" s="54" t="s">
        <v>1721</v>
      </c>
      <c r="BM14" s="54" t="s">
        <v>1718</v>
      </c>
      <c r="BO14" s="54" t="s">
        <v>1720</v>
      </c>
      <c r="BP14" s="54" t="s">
        <v>1721</v>
      </c>
      <c r="BQ14" s="54" t="s">
        <v>1718</v>
      </c>
      <c r="BS14" s="54" t="s">
        <v>1720</v>
      </c>
      <c r="BT14" s="54" t="s">
        <v>1721</v>
      </c>
      <c r="BU14" s="54" t="s">
        <v>1718</v>
      </c>
      <c r="BW14" s="54" t="s">
        <v>1720</v>
      </c>
      <c r="BX14" s="54" t="s">
        <v>1721</v>
      </c>
      <c r="BY14" s="54" t="s">
        <v>1718</v>
      </c>
      <c r="BZ14" s="103"/>
    </row>
    <row r="15" spans="1:78" s="59" customFormat="1" ht="15">
      <c r="A15" s="59" t="s">
        <v>174</v>
      </c>
      <c r="G15" s="59">
        <v>268280704</v>
      </c>
      <c r="H15" s="104"/>
      <c r="J15" s="59">
        <v>238647150</v>
      </c>
      <c r="K15" s="104"/>
      <c r="M15" s="59">
        <v>224232920</v>
      </c>
      <c r="N15" s="104"/>
      <c r="P15" s="59">
        <v>225424010</v>
      </c>
      <c r="Q15" s="104"/>
      <c r="S15" s="59">
        <v>409000000</v>
      </c>
      <c r="T15" s="104"/>
      <c r="V15" s="59">
        <v>375250468</v>
      </c>
      <c r="W15" s="104"/>
      <c r="Y15" s="468">
        <v>284128500</v>
      </c>
      <c r="Z15" s="104"/>
      <c r="AB15" s="468">
        <f>'Production Plan'!E44</f>
        <v>121094554</v>
      </c>
      <c r="AC15" s="104"/>
      <c r="AE15" s="468">
        <f>'Production Plan'!F44</f>
        <v>120371742</v>
      </c>
      <c r="AF15" s="104"/>
      <c r="AH15" s="59">
        <f>'Core Opex Proj.'!I179</f>
        <v>213772250.25994921</v>
      </c>
      <c r="AI15" s="104"/>
      <c r="AK15" s="59">
        <f>'Core Opex Proj.'!J179</f>
        <v>210000000</v>
      </c>
      <c r="AL15" s="104"/>
      <c r="AN15" s="59">
        <f>'Core Opex Proj.'!K179</f>
        <v>140000000</v>
      </c>
      <c r="AO15" s="104"/>
      <c r="AQ15" s="59">
        <f>'Production Plan'!F76</f>
        <v>0</v>
      </c>
      <c r="AR15" s="54">
        <f>AS15-AS13-AQ15</f>
        <v>0</v>
      </c>
      <c r="AS15" s="1311">
        <f>'Production Plan'!F75</f>
        <v>0</v>
      </c>
      <c r="AT15" s="1311"/>
      <c r="AU15" s="59">
        <f>'Production Plan'!G76</f>
        <v>27669000</v>
      </c>
      <c r="AV15" s="59">
        <f>AW15-AW13-AU15</f>
        <v>65110000</v>
      </c>
      <c r="AW15" s="68">
        <f>'Production Plan'!G75</f>
        <v>96128517</v>
      </c>
      <c r="AX15" s="68"/>
      <c r="AY15" s="59">
        <f>'Production Plan'!H76</f>
        <v>39257577.259949215</v>
      </c>
      <c r="AZ15" s="59">
        <f>BA15-BA13-AY15</f>
        <v>38454999.999999993</v>
      </c>
      <c r="BA15" s="68">
        <f>'Production Plan'!H75</f>
        <v>80628564.259949207</v>
      </c>
      <c r="BC15" s="59">
        <f>'Production Plan'!I76</f>
        <v>87076882</v>
      </c>
      <c r="BD15" s="59">
        <f>BE15-BE13-BC15</f>
        <v>8456000</v>
      </c>
      <c r="BE15" s="68">
        <f>'Production Plan'!I75</f>
        <v>95581269</v>
      </c>
      <c r="BG15" s="59">
        <f>'Production Plan'!J76</f>
        <v>263055511</v>
      </c>
      <c r="BH15" s="59">
        <f>BI15-BI13-BG15</f>
        <v>0</v>
      </c>
      <c r="BI15" s="68">
        <f>'Production Plan'!J75</f>
        <v>263055511</v>
      </c>
      <c r="BK15" s="59">
        <f>'Production Plan'!K76</f>
        <v>294265120.50631487</v>
      </c>
      <c r="BL15" s="59">
        <f>BM15-BM13-BK15</f>
        <v>0</v>
      </c>
      <c r="BM15" s="68">
        <f>'Production Plan'!K75</f>
        <v>294265120.50631487</v>
      </c>
      <c r="BO15" s="59">
        <f>'Production Plan'!L76</f>
        <v>294813804.62953103</v>
      </c>
      <c r="BP15" s="59">
        <f>BQ15-BQ13-BO15</f>
        <v>0</v>
      </c>
      <c r="BQ15" s="68">
        <f>'Production Plan'!L75</f>
        <v>294813804.62953103</v>
      </c>
      <c r="BS15" s="59">
        <f>'Production Plan'!M76</f>
        <v>334546017.87985861</v>
      </c>
      <c r="BT15" s="59">
        <f>BU15-BU13-BS15</f>
        <v>0</v>
      </c>
      <c r="BU15" s="68">
        <f>'Production Plan'!M75</f>
        <v>334546017.87985861</v>
      </c>
      <c r="BW15" s="59">
        <f>'Production Plan'!N76</f>
        <v>371053354.56351984</v>
      </c>
      <c r="BX15" s="59">
        <f>BY15-BY13-BW15</f>
        <v>0</v>
      </c>
      <c r="BY15" s="68">
        <f>'Production Plan'!N75</f>
        <v>371053354.56351984</v>
      </c>
      <c r="BZ15" s="104"/>
    </row>
    <row r="16" spans="1:78" s="59" customFormat="1" ht="15">
      <c r="A16" s="59" t="s">
        <v>1722</v>
      </c>
      <c r="H16" s="104"/>
      <c r="K16" s="104"/>
      <c r="N16" s="104"/>
      <c r="Q16" s="104"/>
      <c r="T16" s="104"/>
      <c r="W16" s="104"/>
      <c r="Y16" s="468"/>
      <c r="Z16" s="104"/>
      <c r="AB16" s="468"/>
      <c r="AC16" s="104"/>
      <c r="AE16" s="468"/>
      <c r="AF16" s="104"/>
      <c r="AI16" s="104"/>
      <c r="AL16" s="104"/>
      <c r="AN16" s="108"/>
      <c r="AO16" s="104"/>
      <c r="AR16" s="104"/>
      <c r="AS16" s="1630">
        <f>1-((AQ15+AR15)/AS8)</f>
        <v>1</v>
      </c>
      <c r="AT16" s="1630"/>
      <c r="AV16" s="104"/>
      <c r="AW16" s="1630">
        <f>1-((AU15+AV15)/AW8)</f>
        <v>0.69073666666666667</v>
      </c>
      <c r="AX16" s="1630"/>
      <c r="AZ16" s="104"/>
      <c r="BA16" s="1630">
        <f>1-((AY15+AZ15)/BA8)</f>
        <v>0.74095807580016926</v>
      </c>
      <c r="BD16" s="104"/>
      <c r="BE16" s="1630">
        <f>1-((BC15+BD15)/BE8)</f>
        <v>0.68155706000000005</v>
      </c>
      <c r="BH16" s="104"/>
      <c r="BI16" s="1630">
        <f>1-((BG15+BH15)/BI8)</f>
        <v>0.12314829666666671</v>
      </c>
      <c r="BL16" s="104"/>
      <c r="BM16" s="1630">
        <f>1-((BK15+BL15)/BM8)</f>
        <v>0</v>
      </c>
      <c r="BP16" s="104"/>
      <c r="BQ16" s="1630">
        <f>1-((BO15+BP15)/BQ8)</f>
        <v>0</v>
      </c>
      <c r="BT16" s="104"/>
      <c r="BU16" s="1630">
        <f>1-((BS15+BT15)/BU8)</f>
        <v>0</v>
      </c>
      <c r="BX16" s="104"/>
      <c r="BY16" s="1630">
        <f>1-((BW15+BX15)/BY8)</f>
        <v>0</v>
      </c>
      <c r="BZ16" s="104"/>
    </row>
    <row r="17" spans="1:79" s="59" customFormat="1" ht="15">
      <c r="H17" s="104"/>
      <c r="K17" s="104"/>
      <c r="N17" s="104"/>
      <c r="Q17" s="104"/>
      <c r="T17" s="104"/>
      <c r="W17" s="104"/>
      <c r="Y17" s="468"/>
      <c r="Z17" s="104"/>
      <c r="AB17" s="468"/>
      <c r="AC17" s="104"/>
      <c r="AE17" s="468"/>
      <c r="AF17" s="104"/>
      <c r="AI17" s="104"/>
      <c r="AL17" s="104"/>
      <c r="AN17" s="108" t="s">
        <v>1452</v>
      </c>
      <c r="AO17" s="104"/>
      <c r="AR17" s="104"/>
      <c r="AV17" s="104"/>
      <c r="AZ17" s="104"/>
      <c r="BD17" s="104"/>
      <c r="BH17" s="104"/>
      <c r="BL17" s="104"/>
      <c r="BP17" s="104"/>
      <c r="BT17" s="104"/>
      <c r="BX17" s="104"/>
      <c r="BZ17" s="104"/>
    </row>
    <row r="18" spans="1:79">
      <c r="H18" s="103"/>
      <c r="K18" s="103"/>
      <c r="N18" s="103"/>
      <c r="Q18" s="103"/>
      <c r="T18" s="103"/>
      <c r="W18" s="103"/>
      <c r="Z18" s="103"/>
      <c r="AC18" s="103"/>
      <c r="AF18" s="103"/>
      <c r="AI18" s="103"/>
      <c r="AL18" s="103"/>
      <c r="AN18" s="1285">
        <v>6</v>
      </c>
      <c r="AO18" s="103"/>
      <c r="AR18" s="103"/>
      <c r="AV18" s="103"/>
      <c r="AZ18" s="103"/>
      <c r="BD18" s="103"/>
      <c r="BH18" s="103"/>
      <c r="BL18" s="103"/>
      <c r="BP18" s="103"/>
      <c r="BT18" s="103"/>
      <c r="BX18" s="103"/>
      <c r="BZ18" s="103"/>
    </row>
    <row r="19" spans="1:79">
      <c r="A19" s="54" t="s">
        <v>1346</v>
      </c>
      <c r="H19" s="103"/>
      <c r="K19" s="103"/>
      <c r="N19" s="103"/>
      <c r="Q19" s="103"/>
      <c r="T19" s="103"/>
      <c r="W19" s="103"/>
      <c r="Z19" s="103"/>
      <c r="AC19" s="103"/>
      <c r="AF19" s="103"/>
      <c r="AI19" s="103"/>
      <c r="AL19" s="103"/>
      <c r="AO19" s="103"/>
      <c r="AR19" s="103"/>
      <c r="AV19" s="103"/>
      <c r="AY19" s="149">
        <f>BA15/AW15-1</f>
        <v>-0.16124198337576345</v>
      </c>
      <c r="AZ19" s="103"/>
      <c r="BC19" s="149">
        <f>BE15/BA15-1</f>
        <v>0.18545170532669752</v>
      </c>
      <c r="BD19" s="103"/>
      <c r="BG19" s="149">
        <f>BI15/BE15-1</f>
        <v>1.752165918617381</v>
      </c>
      <c r="BH19" s="103"/>
      <c r="BK19" s="149">
        <f>BM15/BI15-1</f>
        <v>0.11864267502958681</v>
      </c>
      <c r="BL19" s="103"/>
      <c r="BO19" s="149">
        <f>BQ15/BM15-1</f>
        <v>1.8645910948333899E-3</v>
      </c>
      <c r="BP19" s="103"/>
      <c r="BS19" s="149">
        <f>BU15/BQ15-1</f>
        <v>0.13477053186249499</v>
      </c>
      <c r="BT19" s="103"/>
      <c r="BW19" s="149">
        <f>BY15/BU15-1</f>
        <v>0.10912500742056852</v>
      </c>
      <c r="BX19" s="103"/>
      <c r="BZ19" s="103"/>
    </row>
    <row r="20" spans="1:79">
      <c r="A20" s="54" t="s">
        <v>175</v>
      </c>
      <c r="H20" s="103"/>
      <c r="J20" s="62"/>
      <c r="K20" s="103"/>
      <c r="M20" s="62"/>
      <c r="N20" s="103"/>
      <c r="P20" s="74">
        <f>(Q26/N26-1)</f>
        <v>8.7762768172588324E-2</v>
      </c>
      <c r="Q20" s="103"/>
      <c r="S20" s="74">
        <f>-(T26/Q26-1)</f>
        <v>-1.9999993036230901E-2</v>
      </c>
      <c r="T20" s="103"/>
      <c r="V20" s="74">
        <f>(W26/Q26-1)</f>
        <v>5.0000000000000044E-2</v>
      </c>
      <c r="W20" s="103"/>
      <c r="Y20" s="62">
        <v>0.05</v>
      </c>
      <c r="Z20" s="103"/>
      <c r="AB20" s="62">
        <v>0</v>
      </c>
      <c r="AC20" s="103"/>
      <c r="AE20" s="62">
        <v>0.05</v>
      </c>
      <c r="AF20" s="103"/>
      <c r="AH20" s="62">
        <f>'Production Plan'!G147</f>
        <v>0.12</v>
      </c>
      <c r="AI20" s="103"/>
      <c r="AK20" s="62">
        <f>'Production Plan'!H147</f>
        <v>0.05</v>
      </c>
      <c r="AL20" s="103"/>
      <c r="AN20" s="62">
        <f>'Production Plan'!I147</f>
        <v>0.05</v>
      </c>
      <c r="AO20" s="103"/>
      <c r="AQ20" s="62">
        <v>0.05</v>
      </c>
      <c r="AR20" s="103"/>
      <c r="AU20" s="62">
        <f>'Production Plan'!G147</f>
        <v>0.12</v>
      </c>
      <c r="AV20" s="103"/>
      <c r="AY20" s="62">
        <f>'Production Plan'!H147</f>
        <v>0.05</v>
      </c>
      <c r="AZ20" s="103"/>
      <c r="BC20" s="62">
        <f>'Production Plan'!I147</f>
        <v>0.05</v>
      </c>
      <c r="BD20" s="103"/>
      <c r="BG20" s="62">
        <f>'Production Plan'!J147</f>
        <v>0.05</v>
      </c>
      <c r="BH20" s="103"/>
      <c r="BK20" s="62">
        <f>'Production Plan'!K147</f>
        <v>0.05</v>
      </c>
      <c r="BL20" s="103"/>
      <c r="BO20" s="62">
        <f>'Production Plan'!L147</f>
        <v>0.05</v>
      </c>
      <c r="BP20" s="103"/>
      <c r="BS20" s="62">
        <f>'Production Plan'!M147</f>
        <v>0.05</v>
      </c>
      <c r="BT20" s="103"/>
      <c r="BW20" s="62">
        <f>'Production Plan'!N147</f>
        <v>0.05</v>
      </c>
      <c r="BX20" s="103"/>
      <c r="BZ20" s="103"/>
    </row>
    <row r="21" spans="1:79">
      <c r="A21" s="54" t="s">
        <v>176</v>
      </c>
      <c r="H21" s="103"/>
      <c r="J21" s="62"/>
      <c r="K21" s="103"/>
      <c r="M21" s="62"/>
      <c r="N21" s="103"/>
      <c r="P21" s="74">
        <f>(Q28/N28-1)</f>
        <v>-0.13818616385319304</v>
      </c>
      <c r="Q21" s="103"/>
      <c r="S21" s="74">
        <f>-(T28/Q28-1)</f>
        <v>0.39337429032932036</v>
      </c>
      <c r="T21" s="103"/>
      <c r="V21" s="74">
        <f>-(W28/P28-1)</f>
        <v>0.99999999595561728</v>
      </c>
      <c r="W21" s="103"/>
      <c r="Y21" s="74">
        <f>-(Z28/W28-1)</f>
        <v>-0.12961528114161136</v>
      </c>
      <c r="Z21" s="103"/>
      <c r="AB21" s="62">
        <v>0.04</v>
      </c>
      <c r="AC21" s="103"/>
      <c r="AE21" s="62">
        <v>0.04</v>
      </c>
      <c r="AF21" s="103"/>
      <c r="AH21" s="62">
        <v>0.04</v>
      </c>
      <c r="AI21" s="103"/>
      <c r="AK21" s="62">
        <v>0.04</v>
      </c>
      <c r="AL21" s="103"/>
      <c r="AN21" s="62">
        <v>0.04</v>
      </c>
      <c r="AO21" s="103"/>
      <c r="AQ21" s="62">
        <v>0.04</v>
      </c>
      <c r="AR21" s="103"/>
      <c r="AU21" s="62">
        <v>0.04</v>
      </c>
      <c r="AV21" s="103"/>
      <c r="AY21" s="62">
        <v>0.04</v>
      </c>
      <c r="AZ21" s="103"/>
      <c r="BC21" s="62">
        <v>0.04</v>
      </c>
      <c r="BD21" s="103"/>
      <c r="BG21" s="62">
        <v>0.04</v>
      </c>
      <c r="BH21" s="103"/>
      <c r="BK21" s="62">
        <v>0.04</v>
      </c>
      <c r="BL21" s="103"/>
      <c r="BO21" s="62">
        <v>0.04</v>
      </c>
      <c r="BP21" s="103"/>
      <c r="BS21" s="62">
        <v>0.04</v>
      </c>
      <c r="BT21" s="103"/>
      <c r="BW21" s="62">
        <v>0.04</v>
      </c>
      <c r="BX21" s="103"/>
      <c r="BZ21" s="103"/>
    </row>
    <row r="22" spans="1:79">
      <c r="A22" s="54" t="s">
        <v>177</v>
      </c>
      <c r="H22" s="103"/>
      <c r="J22" s="62"/>
      <c r="K22" s="103"/>
      <c r="M22" s="62"/>
      <c r="N22" s="103"/>
      <c r="P22" s="74">
        <f>(Q55/N55-1)</f>
        <v>-3.0785489357202378E-3</v>
      </c>
      <c r="Q22" s="103"/>
      <c r="S22" s="74">
        <f>-(T55/Q55-1)</f>
        <v>0.25387499329685925</v>
      </c>
      <c r="T22" s="103"/>
      <c r="V22" s="74">
        <f>-(W55/P55-1)</f>
        <v>0.99999999687398866</v>
      </c>
      <c r="W22" s="103"/>
      <c r="Y22" s="74">
        <f>-(Z55/Q55-1)</f>
        <v>0.23762390442509462</v>
      </c>
      <c r="Z22" s="103"/>
      <c r="AB22" s="62">
        <v>0.05</v>
      </c>
      <c r="AC22" s="103"/>
      <c r="AE22" s="62">
        <v>0.05</v>
      </c>
      <c r="AF22" s="103"/>
      <c r="AH22" s="62">
        <v>0.05</v>
      </c>
      <c r="AI22" s="103"/>
      <c r="AK22" s="62">
        <v>0.05</v>
      </c>
      <c r="AL22" s="103"/>
      <c r="AN22" s="62">
        <v>0.05</v>
      </c>
      <c r="AO22" s="103"/>
      <c r="AQ22" s="62">
        <v>0.05</v>
      </c>
      <c r="AR22" s="103"/>
      <c r="AU22" s="62">
        <v>0.05</v>
      </c>
      <c r="AV22" s="103"/>
      <c r="AY22" s="62">
        <v>0.05</v>
      </c>
      <c r="AZ22" s="103"/>
      <c r="BC22" s="62">
        <v>0.05</v>
      </c>
      <c r="BD22" s="103"/>
      <c r="BG22" s="62">
        <v>0.05</v>
      </c>
      <c r="BH22" s="103"/>
      <c r="BK22" s="62">
        <v>0.05</v>
      </c>
      <c r="BL22" s="103"/>
      <c r="BO22" s="62">
        <v>0.05</v>
      </c>
      <c r="BP22" s="103"/>
      <c r="BS22" s="62">
        <v>0.05</v>
      </c>
      <c r="BT22" s="103"/>
      <c r="BW22" s="62">
        <v>0.05</v>
      </c>
      <c r="BX22" s="103"/>
      <c r="BZ22" s="103"/>
    </row>
    <row r="23" spans="1:79">
      <c r="H23" s="103"/>
      <c r="K23" s="103"/>
      <c r="N23" s="103"/>
      <c r="Q23" s="103"/>
      <c r="T23" s="103"/>
      <c r="W23" s="103"/>
      <c r="Z23" s="103"/>
      <c r="AC23" s="103"/>
      <c r="AF23" s="103"/>
      <c r="AI23" s="103"/>
      <c r="AL23" s="103"/>
      <c r="AO23" s="103"/>
      <c r="AR23" s="103"/>
      <c r="AV23" s="103"/>
      <c r="AZ23" s="103"/>
      <c r="BD23" s="103"/>
      <c r="BH23" s="103"/>
      <c r="BL23" s="103"/>
      <c r="BP23" s="103"/>
      <c r="BT23" s="103"/>
      <c r="BX23" s="103"/>
      <c r="BZ23" s="103"/>
    </row>
    <row r="24" spans="1:79">
      <c r="G24" s="105" t="s">
        <v>178</v>
      </c>
      <c r="H24" s="103"/>
      <c r="K24" s="103"/>
      <c r="N24" s="103"/>
      <c r="Q24" s="103"/>
      <c r="T24" s="103"/>
      <c r="W24" s="103"/>
      <c r="Z24" s="103"/>
      <c r="AC24" s="103"/>
      <c r="AF24" s="103"/>
      <c r="AI24" s="103"/>
      <c r="AL24" s="103"/>
      <c r="AO24" s="103"/>
      <c r="AZ24" s="103"/>
      <c r="BD24" s="103"/>
      <c r="BH24" s="103"/>
      <c r="BL24" s="103"/>
      <c r="BP24" s="103"/>
      <c r="BT24" s="103"/>
      <c r="BX24" s="103"/>
      <c r="BZ24" s="103"/>
    </row>
    <row r="25" spans="1:79" ht="15">
      <c r="A25" s="59" t="s">
        <v>179</v>
      </c>
      <c r="H25" s="103"/>
      <c r="K25" s="103"/>
      <c r="N25" s="103"/>
      <c r="Q25" s="103"/>
      <c r="T25" s="103"/>
      <c r="W25" s="103"/>
      <c r="Z25" s="106">
        <f>Z26/W26-1</f>
        <v>5.0000000000000044E-2</v>
      </c>
      <c r="AC25" s="106">
        <f>AC26/Z26-1</f>
        <v>4.5045218291537736E-2</v>
      </c>
      <c r="AF25" s="106">
        <f>AF26/AC26-1</f>
        <v>-0.18454601973139251</v>
      </c>
      <c r="AI25" s="103"/>
      <c r="AL25" s="103"/>
      <c r="AO25" s="103"/>
      <c r="AZ25" s="103"/>
      <c r="BD25" s="103"/>
      <c r="BH25" s="103"/>
      <c r="BL25" s="103"/>
      <c r="BP25" s="103"/>
      <c r="BT25" s="103"/>
      <c r="BX25" s="103"/>
      <c r="BZ25" s="103"/>
    </row>
    <row r="26" spans="1:79">
      <c r="A26" s="54" t="s">
        <v>180</v>
      </c>
      <c r="G26" s="54">
        <v>27233966.73</v>
      </c>
      <c r="H26" s="106">
        <f>G26/$G$15</f>
        <v>0.10151295387237391</v>
      </c>
      <c r="J26" s="54">
        <v>27190474</v>
      </c>
      <c r="K26" s="106">
        <f>J26/$J$15</f>
        <v>0.11393588400280498</v>
      </c>
      <c r="M26" s="54">
        <v>23960086.509999994</v>
      </c>
      <c r="N26" s="106">
        <f>M26/$M$15</f>
        <v>0.10685356329480968</v>
      </c>
      <c r="P26" s="54">
        <v>26201332</v>
      </c>
      <c r="Q26" s="106">
        <f>P26/$P$15</f>
        <v>0.11623132779866706</v>
      </c>
      <c r="S26" s="54">
        <v>48489385</v>
      </c>
      <c r="T26" s="106">
        <f>S26/$S$15</f>
        <v>0.11855595354523227</v>
      </c>
      <c r="V26" s="54">
        <f>W26*V15</f>
        <v>45796653.160346784</v>
      </c>
      <c r="W26" s="106">
        <f>Q26*(1.05)</f>
        <v>0.12204289418860041</v>
      </c>
      <c r="Y26" s="54">
        <f>Y15*Z26-4000000</f>
        <v>32409657.684539042</v>
      </c>
      <c r="Z26" s="106">
        <f>W26*(1+Y20)</f>
        <v>0.12814503889803044</v>
      </c>
      <c r="AB26" s="97">
        <v>16216663</v>
      </c>
      <c r="AC26" s="106">
        <f>AB26/AB15</f>
        <v>0.13391736014816982</v>
      </c>
      <c r="AE26" s="54">
        <f>'Production Plan'!F165</f>
        <v>13145008.829999996</v>
      </c>
      <c r="AF26" s="106">
        <f>AE26/AE$15</f>
        <v>0.10920344435988968</v>
      </c>
      <c r="AH26" s="87">
        <f>'Production Plan'!G165</f>
        <v>26116716.950180948</v>
      </c>
      <c r="AI26" s="106">
        <f>AH26/AH$15</f>
        <v>0.12217075377380721</v>
      </c>
      <c r="AK26" s="87">
        <f>'Production Plan'!H165</f>
        <v>26727734.039933778</v>
      </c>
      <c r="AL26" s="106">
        <f>'Production Plan'!H157</f>
        <v>0.12727492399968465</v>
      </c>
      <c r="AN26" s="87">
        <f>'Production Plan'!I165</f>
        <v>18448738.328091014</v>
      </c>
      <c r="AO26" s="106">
        <f>'Production Plan'!I157</f>
        <v>0.13177670234350725</v>
      </c>
      <c r="AQ26" s="87"/>
      <c r="AR26" s="106"/>
      <c r="AU26" s="68">
        <f>AV79</f>
        <v>7762964.2815109529</v>
      </c>
      <c r="AV26" s="1851">
        <f>'Production Plan'!G248</f>
        <v>8.3671566642353909E-2</v>
      </c>
      <c r="AW26" s="68"/>
      <c r="AX26" s="68"/>
      <c r="AY26" s="68">
        <f>AZ79</f>
        <v>8123012.2377608344</v>
      </c>
      <c r="AZ26" s="1851">
        <f>'Production Plan'!H248</f>
        <v>0.10452635241512186</v>
      </c>
      <c r="BA26" s="68"/>
      <c r="BB26" s="68"/>
      <c r="BC26" s="68">
        <f>BD79</f>
        <v>12734080.310922291</v>
      </c>
      <c r="BD26" s="1851">
        <f>'Production Plan'!I248</f>
        <v>0.13329525964601688</v>
      </c>
      <c r="BE26" s="68"/>
      <c r="BF26" s="68"/>
      <c r="BG26" s="68">
        <f>BH79</f>
        <v>37351872.237547092</v>
      </c>
      <c r="BH26" s="1851">
        <f>'Production Plan'!J248</f>
        <v>0.14199235779381597</v>
      </c>
      <c r="BI26" s="68"/>
      <c r="BJ26" s="68"/>
      <c r="BK26" s="68">
        <f>BL79</f>
        <v>43818469.057594225</v>
      </c>
      <c r="BL26" s="1851">
        <f>'Production Plan'!K248</f>
        <v>0.14890813081142551</v>
      </c>
      <c r="BM26" s="68"/>
      <c r="BN26" s="68"/>
      <c r="BO26" s="68">
        <f>BP79</f>
        <v>46153454.686337225</v>
      </c>
      <c r="BP26" s="1851">
        <f>'Production Plan'!L248</f>
        <v>0.1565511993047089</v>
      </c>
      <c r="BQ26" s="68"/>
      <c r="BR26" s="68"/>
      <c r="BS26" s="68">
        <f>BT79</f>
        <v>54927015.620948434</v>
      </c>
      <c r="BT26" s="1851">
        <f>'Production Plan'!M248</f>
        <v>0.16418373761864263</v>
      </c>
      <c r="BU26" s="68"/>
      <c r="BV26" s="68"/>
      <c r="BW26" s="68">
        <f>BX79</f>
        <v>63832305.501666278</v>
      </c>
      <c r="BX26" s="1851">
        <f>'Production Plan'!N248</f>
        <v>0.172029991688807</v>
      </c>
      <c r="BY26" s="68"/>
      <c r="BZ26" s="1851"/>
      <c r="CA26" s="68"/>
    </row>
    <row r="27" spans="1:79">
      <c r="H27" s="106"/>
      <c r="K27" s="106"/>
      <c r="N27" s="106"/>
      <c r="Q27" s="106"/>
      <c r="T27" s="106"/>
      <c r="W27" s="106"/>
      <c r="Z27" s="106"/>
      <c r="AB27" s="97"/>
      <c r="AC27" s="106"/>
      <c r="AF27" s="106"/>
      <c r="AH27" s="87"/>
      <c r="AI27" s="106"/>
      <c r="AK27" s="87"/>
      <c r="AL27" s="106"/>
      <c r="AN27" s="87"/>
      <c r="AO27" s="106"/>
      <c r="AQ27" s="87"/>
      <c r="AR27" s="106"/>
      <c r="AU27" s="68"/>
      <c r="AV27" s="1851"/>
      <c r="AW27" s="68"/>
      <c r="AX27" s="68"/>
      <c r="AY27" s="68"/>
      <c r="AZ27" s="1851"/>
      <c r="BA27" s="68"/>
      <c r="BB27" s="68"/>
      <c r="BC27" s="68"/>
      <c r="BD27" s="1851"/>
      <c r="BE27" s="68"/>
      <c r="BF27" s="68"/>
      <c r="BG27" s="68"/>
      <c r="BH27" s="1851"/>
      <c r="BI27" s="68"/>
      <c r="BJ27" s="68"/>
      <c r="BK27" s="68"/>
      <c r="BL27" s="1851"/>
      <c r="BM27" s="68"/>
      <c r="BN27" s="68"/>
      <c r="BO27" s="68"/>
      <c r="BP27" s="1851"/>
      <c r="BQ27" s="68"/>
      <c r="BR27" s="68"/>
      <c r="BS27" s="68"/>
      <c r="BT27" s="1851"/>
      <c r="BU27" s="68"/>
      <c r="BV27" s="68"/>
      <c r="BW27" s="68"/>
      <c r="BX27" s="1851"/>
      <c r="BY27" s="68"/>
      <c r="BZ27" s="1851"/>
      <c r="CA27" s="68"/>
    </row>
    <row r="28" spans="1:79">
      <c r="A28" s="54" t="s">
        <v>181</v>
      </c>
      <c r="G28" s="54">
        <v>23136891.699999999</v>
      </c>
      <c r="H28" s="106">
        <f>G28/$G$15</f>
        <v>8.6241355994056135E-2</v>
      </c>
      <c r="J28" s="54">
        <v>25976721</v>
      </c>
      <c r="K28" s="106">
        <f>J28/$J$15</f>
        <v>0.10884991084117283</v>
      </c>
      <c r="M28" s="54">
        <v>24897997.179999992</v>
      </c>
      <c r="N28" s="106">
        <f>M28/$M$15</f>
        <v>0.11103631518512086</v>
      </c>
      <c r="P28" s="68">
        <v>21571417</v>
      </c>
      <c r="Q28" s="106">
        <f>P28/$P$15</f>
        <v>9.5692632741294956E-2</v>
      </c>
      <c r="S28" s="54">
        <v>23742291</v>
      </c>
      <c r="T28" s="107">
        <f>S28/$S$15</f>
        <v>5.8049611246943765E-2</v>
      </c>
      <c r="V28" s="54">
        <f>27808026+1278793+1358163+2293019</f>
        <v>32738001</v>
      </c>
      <c r="W28" s="107">
        <f>V28/$V$15</f>
        <v>8.7243065077269935E-2</v>
      </c>
      <c r="Y28" s="54">
        <v>28001176.070000004</v>
      </c>
      <c r="Z28" s="107">
        <f>Y28/$Y$15</f>
        <v>9.8551099484916166E-2</v>
      </c>
      <c r="AB28" s="68">
        <f>19206149+875761+261824+1600512</f>
        <v>21944246</v>
      </c>
      <c r="AC28" s="107">
        <f>AB28/$AB$15</f>
        <v>0.18121579604645144</v>
      </c>
      <c r="AE28" s="409">
        <f>14908140+696615+523648+1135413</f>
        <v>17263816</v>
      </c>
      <c r="AF28" s="107">
        <f>AE28/AE$15</f>
        <v>0.14342083709314435</v>
      </c>
      <c r="AG28" s="149"/>
      <c r="AH28" s="1287">
        <f>14123578.32+640745.59+1084603.85</f>
        <v>15848927.76</v>
      </c>
      <c r="AI28" s="107">
        <f>AH28/AH$15</f>
        <v>7.4139312940419269E-2</v>
      </c>
      <c r="AJ28" s="149"/>
      <c r="AK28" s="1287">
        <v>19094695</v>
      </c>
      <c r="AL28" s="107">
        <f>AK28/AK$15</f>
        <v>9.0927119047619048E-2</v>
      </c>
      <c r="AN28" s="87">
        <v>9820616</v>
      </c>
      <c r="AO28" s="107">
        <f>AN28/AN$15</f>
        <v>7.0147257142857147E-2</v>
      </c>
      <c r="AQ28" s="97"/>
      <c r="AR28" s="107">
        <f>AQ28/$AU$15</f>
        <v>0</v>
      </c>
      <c r="AS28" s="68"/>
      <c r="AT28" s="68"/>
      <c r="AU28" s="54">
        <f>4448933.47+1007137.75+1811215.74</f>
        <v>7267286.96</v>
      </c>
      <c r="AV28" s="106">
        <f t="shared" ref="AV28:AV29" si="0">(AU28-AW28)/(AU$15+AV$15)</f>
        <v>7.8329007210683449E-2</v>
      </c>
      <c r="AW28" s="68"/>
      <c r="AX28" s="68"/>
      <c r="AY28" s="1341">
        <f>AY30-AY29</f>
        <v>9589437.4060300477</v>
      </c>
      <c r="AZ28" s="1867">
        <f t="shared" ref="AZ28:AZ29" si="1">(AY28-BA28)/(AY$15+AZ$15)</f>
        <v>0.12339620874949625</v>
      </c>
      <c r="BA28" s="1341"/>
      <c r="BB28" s="1341"/>
      <c r="BC28" s="1341">
        <f>BC30-BC29</f>
        <v>11336111.251617886</v>
      </c>
      <c r="BD28" s="1867">
        <f t="shared" ref="BD28:BD29" si="2">(BC28-BE28)/(BC$15+BD$15)</f>
        <v>0.1186618786567947</v>
      </c>
      <c r="BE28" s="1341"/>
      <c r="BF28" s="1341"/>
      <c r="BG28" s="1341">
        <f>BG30-BG29</f>
        <v>12963391.81677486</v>
      </c>
      <c r="BH28" s="1867">
        <f t="shared" ref="BH28:BH29" si="3">(BG28-BI28)/(BG$15+BH$15)</f>
        <v>4.9280061715851524E-2</v>
      </c>
      <c r="BI28" s="1341"/>
      <c r="BJ28" s="1341"/>
      <c r="BK28" s="1341">
        <f>BK30-BK29</f>
        <v>13845467.715183683</v>
      </c>
      <c r="BL28" s="1867">
        <f t="shared" ref="BL28:BL29" si="4">(BK28-BM28)/(BK$15+BL$15)</f>
        <v>4.7050998403620051E-2</v>
      </c>
      <c r="BM28" s="1341"/>
      <c r="BN28" s="1341"/>
      <c r="BO28" s="1341">
        <f>BO30-BO29</f>
        <v>14246037.177197896</v>
      </c>
      <c r="BP28" s="1867">
        <f t="shared" ref="BP28:BP29" si="5">(BO28-BQ28)/(BO$15+BP$15)</f>
        <v>4.8322150976273834E-2</v>
      </c>
      <c r="BQ28" s="1341"/>
      <c r="BR28" s="1341"/>
      <c r="BS28" s="1341">
        <f>BS30-BS29</f>
        <v>14657911.620590538</v>
      </c>
      <c r="BT28" s="1867">
        <f t="shared" ref="BT28:BT29" si="6">(BS28-BU28)/(BS$15+BT$15)</f>
        <v>4.3814335957376285E-2</v>
      </c>
      <c r="BU28" s="1341"/>
      <c r="BV28" s="1341"/>
      <c r="BW28" s="1341">
        <f>BW30-BW29</f>
        <v>15081480.462361492</v>
      </c>
      <c r="BX28" s="1867">
        <f t="shared" ref="BX28:BX29" si="7">(BW28-BY28)/(BW$15+BX$15)</f>
        <v>4.0645045454722403E-2</v>
      </c>
      <c r="BY28" s="1341"/>
      <c r="BZ28" s="106"/>
    </row>
    <row r="29" spans="1:79">
      <c r="A29" s="54" t="s">
        <v>182</v>
      </c>
      <c r="H29" s="106"/>
      <c r="K29" s="106"/>
      <c r="N29" s="106"/>
      <c r="P29" s="68">
        <v>0</v>
      </c>
      <c r="Q29" s="106">
        <f>P29/$S$15</f>
        <v>0</v>
      </c>
      <c r="S29" s="54">
        <v>16141050</v>
      </c>
      <c r="T29" s="106">
        <f>S29/$S$15</f>
        <v>3.9464669926650368E-2</v>
      </c>
      <c r="W29" s="106">
        <f>V29/$V$15</f>
        <v>0</v>
      </c>
      <c r="Z29" s="106">
        <f>Y29/$Y$15</f>
        <v>0</v>
      </c>
      <c r="AB29" s="68">
        <f>-1576982-3479442</f>
        <v>-5056424</v>
      </c>
      <c r="AC29" s="106">
        <f>AB29/AB$15</f>
        <v>-4.17559983746255E-2</v>
      </c>
      <c r="AF29" s="106">
        <f>AE29/AE$15</f>
        <v>0</v>
      </c>
      <c r="AH29" s="87">
        <f>1070236</f>
        <v>1070236</v>
      </c>
      <c r="AI29" s="106">
        <f>AH29/AH$15</f>
        <v>5.0064309034431841E-3</v>
      </c>
      <c r="AL29" s="106">
        <f>AK29/AK$15</f>
        <v>0</v>
      </c>
      <c r="AO29" s="106">
        <f>AN29/AN$15</f>
        <v>0</v>
      </c>
      <c r="AR29" s="106">
        <f>AQ29/$AU$15</f>
        <v>0</v>
      </c>
      <c r="AS29" s="68"/>
      <c r="AT29" s="68"/>
      <c r="AU29" s="54">
        <f>17795733.89</f>
        <v>17795733.890000001</v>
      </c>
      <c r="AV29" s="106">
        <f t="shared" si="0"/>
        <v>5.9319112966666671E-2</v>
      </c>
      <c r="AW29" s="68">
        <f>AU29*$AW$16</f>
        <v>12292165.908065634</v>
      </c>
      <c r="AX29" s="68"/>
      <c r="AY29" s="1341">
        <f>AU29/AU30*AY30</f>
        <v>23482088.593969952</v>
      </c>
      <c r="AZ29" s="1867">
        <f t="shared" si="1"/>
        <v>7.8273628646566548E-2</v>
      </c>
      <c r="BA29" s="1341">
        <f>AY29*BA$16</f>
        <v>17399243.180357076</v>
      </c>
      <c r="BB29" s="1341"/>
      <c r="BC29" s="1341">
        <f>AY29/AY30*BC30</f>
        <v>27759247.748382114</v>
      </c>
      <c r="BD29" s="1867">
        <f t="shared" si="2"/>
        <v>9.2530825827940366E-2</v>
      </c>
      <c r="BE29" s="1341">
        <f>BC29*BE$16</f>
        <v>18919511.283198934</v>
      </c>
      <c r="BF29" s="1341"/>
      <c r="BG29" s="1341">
        <f>BC29/BC30*BG30</f>
        <v>31744043.18322514</v>
      </c>
      <c r="BH29" s="1867">
        <f t="shared" si="3"/>
        <v>0.10581347727741713</v>
      </c>
      <c r="BI29" s="1341">
        <f>BG29*BI$16</f>
        <v>3909224.8473272887</v>
      </c>
      <c r="BJ29" s="1341"/>
      <c r="BK29" s="1341">
        <f>BG29/BG30*BK30</f>
        <v>33904022.284816317</v>
      </c>
      <c r="BL29" s="1867">
        <f t="shared" si="4"/>
        <v>0.11521590539334323</v>
      </c>
      <c r="BM29" s="1341">
        <f>BK29*BM$16</f>
        <v>0</v>
      </c>
      <c r="BN29" s="1341"/>
      <c r="BO29" s="1341">
        <f>BK29/BK30*BO30</f>
        <v>34884914.822802104</v>
      </c>
      <c r="BP29" s="1867">
        <f t="shared" si="5"/>
        <v>0.11832863412430497</v>
      </c>
      <c r="BQ29" s="1341">
        <f>BO29*BQ$16</f>
        <v>0</v>
      </c>
      <c r="BR29" s="1341"/>
      <c r="BS29" s="1341">
        <f>BO29/BO30*BS30</f>
        <v>35893490.379409462</v>
      </c>
      <c r="BT29" s="1867">
        <f t="shared" si="6"/>
        <v>0.10729014383994087</v>
      </c>
      <c r="BU29" s="1341">
        <f>BS29*BU$16</f>
        <v>0</v>
      </c>
      <c r="BV29" s="1341"/>
      <c r="BW29" s="1341">
        <f>BS29/BS30*BW30</f>
        <v>36930702.537638508</v>
      </c>
      <c r="BX29" s="1867">
        <f t="shared" si="7"/>
        <v>9.9529359008439899E-2</v>
      </c>
      <c r="BY29" s="1341">
        <f>BW29*BY$16</f>
        <v>0</v>
      </c>
      <c r="BZ29" s="106"/>
    </row>
    <row r="30" spans="1:79">
      <c r="A30" s="54" t="s">
        <v>1783</v>
      </c>
      <c r="H30" s="103"/>
      <c r="K30" s="103"/>
      <c r="N30" s="103"/>
      <c r="P30" s="68"/>
      <c r="Q30" s="103"/>
      <c r="T30" s="103"/>
      <c r="W30" s="103"/>
      <c r="Z30" s="103"/>
      <c r="AB30" s="68"/>
      <c r="AC30" s="103"/>
      <c r="AF30" s="103"/>
      <c r="AI30" s="103"/>
      <c r="AL30" s="103"/>
      <c r="AO30" s="103"/>
      <c r="AR30" s="103"/>
      <c r="AS30" s="68"/>
      <c r="AT30" s="68"/>
      <c r="AU30" s="1634">
        <f>SUM(AU28:AU29)</f>
        <v>25063020.850000001</v>
      </c>
      <c r="AV30" s="1869">
        <f>AU30/AW15</f>
        <v>0.26072409761611115</v>
      </c>
      <c r="AW30" s="1633"/>
      <c r="AX30" s="1633"/>
      <c r="AY30" s="1633">
        <v>33071526</v>
      </c>
      <c r="AZ30" s="1870">
        <f>AY30/BA15</f>
        <v>0.41017133696410973</v>
      </c>
      <c r="BA30" s="1633"/>
      <c r="BB30" s="1633"/>
      <c r="BC30" s="1633">
        <f>34332484+4762875</f>
        <v>39095359</v>
      </c>
      <c r="BD30" s="1870">
        <f>BC30/BE15</f>
        <v>0.40902741100874063</v>
      </c>
      <c r="BE30" s="1633"/>
      <c r="BF30" s="1633"/>
      <c r="BG30" s="1633">
        <v>44707435</v>
      </c>
      <c r="BH30" s="1870">
        <f>BG30/BI15</f>
        <v>0.16995437514327535</v>
      </c>
      <c r="BI30" s="1633"/>
      <c r="BJ30" s="1633"/>
      <c r="BK30" s="1633">
        <v>47749490</v>
      </c>
      <c r="BL30" s="1870">
        <f>BK30/BM15</f>
        <v>0.16226690379696326</v>
      </c>
      <c r="BM30" s="1633"/>
      <c r="BN30" s="1633"/>
      <c r="BO30" s="1633">
        <v>49130952</v>
      </c>
      <c r="BP30" s="1870">
        <f>BO30/BQ15</f>
        <v>0.16665078510057882</v>
      </c>
      <c r="BQ30" s="1633"/>
      <c r="BR30" s="1633"/>
      <c r="BS30" s="1633">
        <v>50551402</v>
      </c>
      <c r="BT30" s="1870">
        <f>BS30/BU15</f>
        <v>0.15110447979731714</v>
      </c>
      <c r="BU30" s="1633"/>
      <c r="BV30" s="1633"/>
      <c r="BW30" s="1633">
        <v>52012183</v>
      </c>
      <c r="BX30" s="1870">
        <f>BW30/BY15</f>
        <v>0.14017440446316232</v>
      </c>
      <c r="BY30" s="1633"/>
      <c r="BZ30" s="103"/>
    </row>
    <row r="31" spans="1:79">
      <c r="H31" s="103"/>
      <c r="K31" s="103"/>
      <c r="N31" s="103"/>
      <c r="P31" s="68"/>
      <c r="Q31" s="103"/>
      <c r="T31" s="103"/>
      <c r="W31" s="103"/>
      <c r="Z31" s="103"/>
      <c r="AB31" s="68"/>
      <c r="AC31" s="103"/>
      <c r="AF31" s="103"/>
      <c r="AI31" s="103"/>
      <c r="AL31" s="103"/>
      <c r="AO31" s="103"/>
      <c r="AR31" s="103"/>
      <c r="AS31" s="68"/>
      <c r="AT31" s="68"/>
      <c r="AV31" s="1866"/>
      <c r="AW31" s="68"/>
      <c r="AX31" s="68"/>
      <c r="AY31" s="1341"/>
      <c r="AZ31" s="1868"/>
      <c r="BA31" s="1341"/>
      <c r="BB31" s="1341"/>
      <c r="BC31" s="1341"/>
      <c r="BD31" s="1868"/>
      <c r="BE31" s="1341"/>
      <c r="BF31" s="1341"/>
      <c r="BG31" s="1341"/>
      <c r="BH31" s="1868"/>
      <c r="BI31" s="1341"/>
      <c r="BJ31" s="1341"/>
      <c r="BK31" s="1341"/>
      <c r="BL31" s="1868"/>
      <c r="BM31" s="1341"/>
      <c r="BN31" s="1341"/>
      <c r="BO31" s="1341"/>
      <c r="BP31" s="1868"/>
      <c r="BQ31" s="1341"/>
      <c r="BR31" s="1341"/>
      <c r="BS31" s="1341"/>
      <c r="BT31" s="1868"/>
      <c r="BU31" s="1341"/>
      <c r="BV31" s="1341"/>
      <c r="BW31" s="1341"/>
      <c r="BX31" s="1868"/>
      <c r="BY31" s="1341"/>
      <c r="BZ31" s="103"/>
    </row>
    <row r="32" spans="1:79" ht="15">
      <c r="A32" s="59" t="s">
        <v>183</v>
      </c>
      <c r="H32" s="103"/>
      <c r="K32" s="103"/>
      <c r="N32" s="103"/>
      <c r="P32" s="68"/>
      <c r="Q32" s="103"/>
      <c r="T32" s="103"/>
      <c r="W32" s="103"/>
      <c r="Z32" s="103"/>
      <c r="AB32" s="68"/>
      <c r="AC32" s="103"/>
      <c r="AF32" s="103"/>
      <c r="AI32" s="103"/>
      <c r="AL32" s="103"/>
      <c r="AO32" s="103"/>
      <c r="AR32" s="103"/>
      <c r="AS32" s="68"/>
      <c r="AT32" s="68"/>
      <c r="AV32" s="103"/>
      <c r="AW32" s="68"/>
      <c r="AX32" s="68"/>
      <c r="AZ32" s="103"/>
      <c r="BA32" s="68"/>
      <c r="BD32" s="103"/>
      <c r="BE32" s="68"/>
      <c r="BH32" s="103"/>
      <c r="BI32" s="68"/>
      <c r="BL32" s="103"/>
      <c r="BM32" s="68"/>
      <c r="BP32" s="103"/>
      <c r="BQ32" s="68"/>
      <c r="BT32" s="103"/>
      <c r="BU32" s="68"/>
      <c r="BX32" s="103"/>
      <c r="BY32" s="68"/>
      <c r="BZ32" s="103"/>
    </row>
    <row r="33" spans="1:78">
      <c r="A33" s="108" t="s">
        <v>184</v>
      </c>
      <c r="H33" s="103"/>
      <c r="K33" s="103"/>
      <c r="N33" s="103"/>
      <c r="P33" s="68"/>
      <c r="Q33" s="103"/>
      <c r="T33" s="103"/>
      <c r="W33" s="103"/>
      <c r="Z33" s="103"/>
      <c r="AB33" s="68"/>
      <c r="AC33" s="103"/>
      <c r="AF33" s="103"/>
      <c r="AI33" s="103"/>
      <c r="AL33" s="103"/>
      <c r="AO33" s="103"/>
      <c r="AR33" s="103"/>
      <c r="AS33" s="68"/>
      <c r="AT33" s="68"/>
      <c r="AV33" s="103"/>
      <c r="AW33" s="68"/>
      <c r="AX33" s="68"/>
      <c r="AZ33" s="103"/>
      <c r="BA33" s="68"/>
      <c r="BD33" s="103"/>
      <c r="BE33" s="68"/>
      <c r="BH33" s="103"/>
      <c r="BI33" s="68"/>
      <c r="BL33" s="103"/>
      <c r="BM33" s="68"/>
      <c r="BP33" s="103"/>
      <c r="BQ33" s="68"/>
      <c r="BT33" s="103"/>
      <c r="BU33" s="68"/>
      <c r="BX33" s="103"/>
      <c r="BY33" s="68"/>
      <c r="BZ33" s="103"/>
    </row>
    <row r="34" spans="1:78" ht="15" customHeight="1">
      <c r="B34" s="54" t="s">
        <v>185</v>
      </c>
      <c r="G34" s="54">
        <v>5304103.6000000006</v>
      </c>
      <c r="H34" s="106">
        <f>G34/$G$15</f>
        <v>1.9770723428547438E-2</v>
      </c>
      <c r="J34" s="54">
        <v>5656317</v>
      </c>
      <c r="K34" s="106">
        <f>J34/$J$15</f>
        <v>2.3701590402399525E-2</v>
      </c>
      <c r="M34" s="54">
        <v>5934815.5199999996</v>
      </c>
      <c r="N34" s="106">
        <f>M34/$M$15</f>
        <v>2.6467190990511116E-2</v>
      </c>
      <c r="P34" s="68">
        <v>6192268</v>
      </c>
      <c r="Q34" s="106">
        <f>P34/$P$15</f>
        <v>2.7469425284378537E-2</v>
      </c>
      <c r="S34" s="54">
        <v>6644596</v>
      </c>
      <c r="T34" s="106">
        <f>S34/$S$15</f>
        <v>1.6245955990220048E-2</v>
      </c>
      <c r="V34" s="54">
        <v>6637539</v>
      </c>
      <c r="W34" s="106">
        <f>V34/$V$15</f>
        <v>1.7688289731859843E-2</v>
      </c>
      <c r="Y34" s="54">
        <v>6690942.3600000022</v>
      </c>
      <c r="Z34" s="106">
        <f>Y34/$Y$15</f>
        <v>2.3549001103374011E-2</v>
      </c>
      <c r="AB34" s="68">
        <v>308838</v>
      </c>
      <c r="AC34" s="106">
        <f t="shared" ref="AC34:AC35" si="8">AB34/AB$15</f>
        <v>2.5503871957776071E-3</v>
      </c>
      <c r="AE34" s="68">
        <v>308838</v>
      </c>
      <c r="AF34" s="106">
        <f t="shared" ref="AF34:AF35" si="9">AE34/AE$15</f>
        <v>2.5657018405532421E-3</v>
      </c>
      <c r="AH34" s="97">
        <v>327520</v>
      </c>
      <c r="AI34" s="106">
        <f t="shared" ref="AI34:AI35" si="10">AH34/AH$15</f>
        <v>1.5320978265501363E-3</v>
      </c>
      <c r="AK34" s="97">
        <f>AH34</f>
        <v>327520</v>
      </c>
      <c r="AL34" s="106">
        <f t="shared" ref="AL34:AL35" si="11">AK34/AK$15</f>
        <v>1.5596190476190475E-3</v>
      </c>
      <c r="AN34" s="97">
        <f>AK34</f>
        <v>327520</v>
      </c>
      <c r="AO34" s="106">
        <f t="shared" ref="AO34:AO35" si="12">AN34/AN$15</f>
        <v>2.3394285714285713E-3</v>
      </c>
      <c r="AQ34" s="97"/>
      <c r="AR34" s="106">
        <f>AQ34/$AU$15</f>
        <v>0</v>
      </c>
      <c r="AS34" s="68"/>
      <c r="AT34" s="68"/>
      <c r="AU34" s="54">
        <v>0</v>
      </c>
      <c r="AV34" s="106">
        <f t="shared" ref="AV34:AV37" si="13">(AU34-AW34)/(AU$15+AV$15)</f>
        <v>0</v>
      </c>
      <c r="AW34" s="68">
        <f t="shared" ref="AW34:AW36" si="14">AU34*$AW$16</f>
        <v>0</v>
      </c>
      <c r="AX34" s="68"/>
      <c r="AY34" s="54">
        <v>0</v>
      </c>
      <c r="AZ34" s="106">
        <f t="shared" ref="AZ34:AZ37" si="15">(AY34-BA34)/(AY$15+AZ$15)</f>
        <v>0</v>
      </c>
      <c r="BA34" s="68">
        <f t="shared" ref="BA34:BA36" si="16">AY34*BA$16</f>
        <v>0</v>
      </c>
      <c r="BC34" s="54">
        <v>0</v>
      </c>
      <c r="BD34" s="106">
        <f t="shared" ref="BD34:BD37" si="17">(BC34-BE34)/(BC$15+BD$15)</f>
        <v>0</v>
      </c>
      <c r="BE34" s="68">
        <f t="shared" ref="BE34:BE36" si="18">BC34*BE$16</f>
        <v>0</v>
      </c>
      <c r="BG34" s="54">
        <v>0</v>
      </c>
      <c r="BH34" s="106">
        <f t="shared" ref="BH34:BH37" si="19">(BG34-BI34)/(BG$15+BH$15)</f>
        <v>0</v>
      </c>
      <c r="BI34" s="68">
        <f t="shared" ref="BI34:BI36" si="20">BG34*BI$16</f>
        <v>0</v>
      </c>
      <c r="BK34" s="54">
        <v>0</v>
      </c>
      <c r="BL34" s="106">
        <f t="shared" ref="BL34:BL37" si="21">(BK34-BM34)/(BK$15+BL$15)</f>
        <v>0</v>
      </c>
      <c r="BM34" s="68">
        <f t="shared" ref="BM34:BM36" si="22">BK34*BM$16</f>
        <v>0</v>
      </c>
      <c r="BO34" s="54">
        <v>0</v>
      </c>
      <c r="BP34" s="106">
        <f t="shared" ref="BP34:BP37" si="23">(BO34-BQ34)/(BO$15+BP$15)</f>
        <v>0</v>
      </c>
      <c r="BQ34" s="68">
        <f t="shared" ref="BQ34:BQ36" si="24">BO34*BQ$16</f>
        <v>0</v>
      </c>
      <c r="BS34" s="54">
        <v>0</v>
      </c>
      <c r="BT34" s="106">
        <f t="shared" ref="BT34:BT37" si="25">(BS34-BU34)/(BS$15+BT$15)</f>
        <v>0</v>
      </c>
      <c r="BU34" s="68">
        <f t="shared" ref="BU34:BU36" si="26">BS34*BU$16</f>
        <v>0</v>
      </c>
      <c r="BW34" s="54">
        <v>0</v>
      </c>
      <c r="BX34" s="106">
        <f t="shared" ref="BX34:BX37" si="27">(BW34-BY34)/(BW$15+BX$15)</f>
        <v>0</v>
      </c>
      <c r="BY34" s="68">
        <f t="shared" ref="BY34:BY36" si="28">BW34*BY$16</f>
        <v>0</v>
      </c>
      <c r="BZ34" s="107"/>
    </row>
    <row r="35" spans="1:78" ht="15" customHeight="1">
      <c r="B35" s="54" t="s">
        <v>186</v>
      </c>
      <c r="G35" s="54">
        <v>0</v>
      </c>
      <c r="H35" s="106">
        <f>G35/$G$15</f>
        <v>0</v>
      </c>
      <c r="J35" s="54">
        <v>0</v>
      </c>
      <c r="K35" s="106">
        <f>J35/$J$15</f>
        <v>0</v>
      </c>
      <c r="M35" s="54">
        <v>0</v>
      </c>
      <c r="N35" s="106">
        <f>M35/$M$15</f>
        <v>0</v>
      </c>
      <c r="P35" s="68">
        <f>G35</f>
        <v>0</v>
      </c>
      <c r="Q35" s="106">
        <f>P35/$P$15</f>
        <v>0</v>
      </c>
      <c r="S35" s="54">
        <v>0</v>
      </c>
      <c r="T35" s="106">
        <f>S35/$S$15</f>
        <v>0</v>
      </c>
      <c r="W35" s="106">
        <f>V35/$V$15</f>
        <v>0</v>
      </c>
      <c r="Y35" s="54">
        <f>V35</f>
        <v>0</v>
      </c>
      <c r="Z35" s="106">
        <f>Y35/$Y$15</f>
        <v>0</v>
      </c>
      <c r="AB35" s="68">
        <f>Y35</f>
        <v>0</v>
      </c>
      <c r="AC35" s="106">
        <f t="shared" si="8"/>
        <v>0</v>
      </c>
      <c r="AE35" s="54">
        <f>AB35</f>
        <v>0</v>
      </c>
      <c r="AF35" s="106">
        <f t="shared" si="9"/>
        <v>0</v>
      </c>
      <c r="AH35" s="54">
        <v>0</v>
      </c>
      <c r="AI35" s="106">
        <f t="shared" si="10"/>
        <v>0</v>
      </c>
      <c r="AL35" s="106">
        <f t="shared" si="11"/>
        <v>0</v>
      </c>
      <c r="AO35" s="106">
        <f t="shared" si="12"/>
        <v>0</v>
      </c>
      <c r="AQ35" s="97"/>
      <c r="AR35" s="106">
        <f>AQ35/$AU$15</f>
        <v>0</v>
      </c>
      <c r="AS35" s="68"/>
      <c r="AT35" s="68"/>
      <c r="AU35" s="87">
        <v>0</v>
      </c>
      <c r="AV35" s="106">
        <f t="shared" si="13"/>
        <v>0</v>
      </c>
      <c r="AW35" s="68">
        <f t="shared" si="14"/>
        <v>0</v>
      </c>
      <c r="AX35" s="68"/>
      <c r="AY35" s="87">
        <v>0</v>
      </c>
      <c r="AZ35" s="106">
        <f t="shared" si="15"/>
        <v>0</v>
      </c>
      <c r="BA35" s="68">
        <f t="shared" si="16"/>
        <v>0</v>
      </c>
      <c r="BC35" s="87">
        <v>0</v>
      </c>
      <c r="BD35" s="106">
        <f t="shared" si="17"/>
        <v>0</v>
      </c>
      <c r="BE35" s="68">
        <f t="shared" si="18"/>
        <v>0</v>
      </c>
      <c r="BG35" s="87">
        <v>0</v>
      </c>
      <c r="BH35" s="106">
        <f t="shared" si="19"/>
        <v>0</v>
      </c>
      <c r="BI35" s="68">
        <f t="shared" si="20"/>
        <v>0</v>
      </c>
      <c r="BK35" s="87">
        <v>0</v>
      </c>
      <c r="BL35" s="106">
        <f t="shared" si="21"/>
        <v>0</v>
      </c>
      <c r="BM35" s="68">
        <f t="shared" si="22"/>
        <v>0</v>
      </c>
      <c r="BO35" s="87">
        <v>0</v>
      </c>
      <c r="BP35" s="106">
        <f t="shared" si="23"/>
        <v>0</v>
      </c>
      <c r="BQ35" s="68">
        <f t="shared" si="24"/>
        <v>0</v>
      </c>
      <c r="BS35" s="87">
        <v>0</v>
      </c>
      <c r="BT35" s="106">
        <f t="shared" si="25"/>
        <v>0</v>
      </c>
      <c r="BU35" s="68">
        <f t="shared" si="26"/>
        <v>0</v>
      </c>
      <c r="BW35" s="87">
        <v>0</v>
      </c>
      <c r="BX35" s="106">
        <f t="shared" si="27"/>
        <v>0</v>
      </c>
      <c r="BY35" s="68">
        <f t="shared" si="28"/>
        <v>0</v>
      </c>
      <c r="BZ35" s="107"/>
    </row>
    <row r="36" spans="1:78" ht="15" customHeight="1">
      <c r="B36" s="54" t="s">
        <v>1323</v>
      </c>
      <c r="G36" s="98">
        <v>5120256</v>
      </c>
      <c r="H36" s="109">
        <f>G36/$G$15</f>
        <v>1.908544268617992E-2</v>
      </c>
      <c r="J36" s="98">
        <f>5605596+6649</f>
        <v>5612245</v>
      </c>
      <c r="K36" s="109">
        <f>J36/$J$15</f>
        <v>2.3516916083012096E-2</v>
      </c>
      <c r="M36" s="98">
        <v>6867602</v>
      </c>
      <c r="N36" s="109">
        <f>M36/$M$15</f>
        <v>3.062709079469687E-2</v>
      </c>
      <c r="P36" s="110">
        <v>6808608</v>
      </c>
      <c r="Q36" s="109">
        <f>P36/$P$15</f>
        <v>3.0203561723527145E-2</v>
      </c>
      <c r="S36" s="98">
        <v>8919676</v>
      </c>
      <c r="T36" s="109">
        <f>S36/$S$15</f>
        <v>2.1808498777506114E-2</v>
      </c>
      <c r="V36" s="98">
        <f>1155783+6480809</f>
        <v>7636592</v>
      </c>
      <c r="W36" s="109">
        <f>V36/$V$15</f>
        <v>2.0350652833829377E-2</v>
      </c>
      <c r="Y36" s="110">
        <v>7789023</v>
      </c>
      <c r="Z36" s="109">
        <f>Y36/$Y$15</f>
        <v>2.7413733574773384E-2</v>
      </c>
      <c r="AB36" s="292">
        <f>6056176+1159438</f>
        <v>7215614</v>
      </c>
      <c r="AC36" s="109">
        <f>AB36/AB$15</f>
        <v>5.9586610311145788E-2</v>
      </c>
      <c r="AE36" s="292">
        <v>7322107.5899999999</v>
      </c>
      <c r="AF36" s="109">
        <f>AE36/AE$15</f>
        <v>6.0829123748994178E-2</v>
      </c>
      <c r="AH36" s="292">
        <f>AE36</f>
        <v>7322107.5899999999</v>
      </c>
      <c r="AI36" s="109">
        <f>AH36/AH$15</f>
        <v>3.4251908660250539E-2</v>
      </c>
      <c r="AK36" s="292">
        <f>AH36</f>
        <v>7322107.5899999999</v>
      </c>
      <c r="AL36" s="109">
        <f>AK36/AK$15</f>
        <v>3.4867178999999998E-2</v>
      </c>
      <c r="AN36" s="292">
        <f>AH36</f>
        <v>7322107.5899999999</v>
      </c>
      <c r="AO36" s="109">
        <f>AN36/AN$15</f>
        <v>5.2300768499999997E-2</v>
      </c>
      <c r="AQ36" s="561"/>
      <c r="AR36" s="109">
        <f>AQ36/$AU$15</f>
        <v>0</v>
      </c>
      <c r="AS36" s="68"/>
      <c r="AT36" s="68"/>
      <c r="AU36" s="87">
        <f>7223523.89*12</f>
        <v>86682286.679999992</v>
      </c>
      <c r="AV36" s="109">
        <f t="shared" si="13"/>
        <v>0.28894095559999999</v>
      </c>
      <c r="AW36" s="68">
        <f t="shared" si="14"/>
        <v>59874633.760387592</v>
      </c>
      <c r="AX36" s="68"/>
      <c r="AY36" s="87">
        <f>AU36</f>
        <v>86682286.679999992</v>
      </c>
      <c r="AZ36" s="109">
        <f t="shared" si="15"/>
        <v>0.28894095559999999</v>
      </c>
      <c r="BA36" s="68">
        <f t="shared" si="16"/>
        <v>64227940.344371438</v>
      </c>
      <c r="BC36" s="87">
        <f>AY36</f>
        <v>86682286.679999992</v>
      </c>
      <c r="BD36" s="109">
        <f t="shared" si="17"/>
        <v>0.28894095559999988</v>
      </c>
      <c r="BE36" s="68">
        <f t="shared" si="18"/>
        <v>59078924.463697962</v>
      </c>
      <c r="BG36" s="87">
        <f>BC36</f>
        <v>86682286.679999992</v>
      </c>
      <c r="BH36" s="109">
        <f t="shared" si="19"/>
        <v>0.28894095559999994</v>
      </c>
      <c r="BI36" s="68">
        <f t="shared" si="20"/>
        <v>10674775.955813691</v>
      </c>
      <c r="BK36" s="87">
        <f>BG36</f>
        <v>86682286.679999992</v>
      </c>
      <c r="BL36" s="109">
        <f t="shared" si="21"/>
        <v>0.29457207341071812</v>
      </c>
      <c r="BM36" s="68">
        <f t="shared" si="22"/>
        <v>0</v>
      </c>
      <c r="BO36" s="87">
        <f>BK36</f>
        <v>86682286.679999992</v>
      </c>
      <c r="BP36" s="109">
        <f t="shared" si="23"/>
        <v>0.2940238391785171</v>
      </c>
      <c r="BQ36" s="68">
        <f t="shared" si="24"/>
        <v>0</v>
      </c>
      <c r="BS36" s="87">
        <f>BO36</f>
        <v>86682286.679999992</v>
      </c>
      <c r="BT36" s="109">
        <f t="shared" si="25"/>
        <v>0.25910422497131363</v>
      </c>
      <c r="BU36" s="68">
        <f t="shared" si="26"/>
        <v>0</v>
      </c>
      <c r="BW36" s="87">
        <f>BS36</f>
        <v>86682286.679999992</v>
      </c>
      <c r="BX36" s="109">
        <f t="shared" si="27"/>
        <v>0.2336113812580046</v>
      </c>
      <c r="BY36" s="68">
        <f t="shared" si="28"/>
        <v>0</v>
      </c>
      <c r="BZ36" s="1629"/>
    </row>
    <row r="37" spans="1:78">
      <c r="G37" s="54">
        <f>SUM(G34:G36)</f>
        <v>10424359.600000001</v>
      </c>
      <c r="H37" s="106">
        <f>SUM(H34:H36)</f>
        <v>3.8856166114727357E-2</v>
      </c>
      <c r="J37" s="54">
        <f>SUM(J34:J36)</f>
        <v>11268562</v>
      </c>
      <c r="K37" s="106">
        <f>J37/$J$15</f>
        <v>4.7218506485411621E-2</v>
      </c>
      <c r="M37" s="54">
        <f>SUM(M34:M36)</f>
        <v>12802417.52</v>
      </c>
      <c r="N37" s="106">
        <f>M37/$M$15</f>
        <v>5.7094281785207986E-2</v>
      </c>
      <c r="P37" s="68">
        <f>SUM(P34:P36)</f>
        <v>13000876</v>
      </c>
      <c r="Q37" s="106">
        <f>P37/$S$15</f>
        <v>3.1786982885085573E-2</v>
      </c>
      <c r="S37" s="54">
        <f>SUM(S34:S36)</f>
        <v>15564272</v>
      </c>
      <c r="T37" s="106">
        <f>S37/$S$15</f>
        <v>3.8054454767726162E-2</v>
      </c>
      <c r="V37" s="54">
        <f>SUM(V34:V36)</f>
        <v>14274131</v>
      </c>
      <c r="W37" s="106">
        <f>V37/$V$15</f>
        <v>3.8038942565689217E-2</v>
      </c>
      <c r="Y37" s="54">
        <f>SUM(Y34:Y36)</f>
        <v>14479965.360000003</v>
      </c>
      <c r="Z37" s="106">
        <f>Y37/$Y$15</f>
        <v>5.0962734678147402E-2</v>
      </c>
      <c r="AB37" s="68">
        <f>SUM(AB34:AB36)</f>
        <v>7524452</v>
      </c>
      <c r="AC37" s="106">
        <f t="shared" ref="AC37" si="29">AB37/AB$15</f>
        <v>6.2136997506923392E-2</v>
      </c>
      <c r="AE37" s="54">
        <f>SUM(AE34:AE36)</f>
        <v>7630945.5899999999</v>
      </c>
      <c r="AF37" s="106">
        <f t="shared" ref="AF37" si="30">AE37/AE$15</f>
        <v>6.3394825589547413E-2</v>
      </c>
      <c r="AH37" s="54">
        <f>SUM(AH34:AH36)</f>
        <v>7649627.5899999999</v>
      </c>
      <c r="AI37" s="106">
        <f t="shared" ref="AI37" si="31">AH37/AH$15</f>
        <v>3.5784006486800676E-2</v>
      </c>
      <c r="AK37" s="54">
        <f>SUM(AK34:AK36)</f>
        <v>7649627.5899999999</v>
      </c>
      <c r="AL37" s="106">
        <f t="shared" ref="AL37" si="32">AK37/AK$15</f>
        <v>3.6426798047619044E-2</v>
      </c>
      <c r="AN37" s="54">
        <f>SUM(AN34:AN36)</f>
        <v>7649627.5899999999</v>
      </c>
      <c r="AO37" s="106">
        <f t="shared" ref="AO37" si="33">AN37/AN$15</f>
        <v>5.4640197071428573E-2</v>
      </c>
      <c r="AQ37" s="54">
        <f>SUM(AQ34:AQ36)</f>
        <v>0</v>
      </c>
      <c r="AR37" s="106">
        <f>SUM(AR34:AR36)</f>
        <v>0</v>
      </c>
      <c r="AS37" s="1631"/>
      <c r="AT37" s="1633"/>
      <c r="AU37" s="562">
        <f>SUM(AU34:AU36)</f>
        <v>86682286.679999992</v>
      </c>
      <c r="AV37" s="106">
        <f t="shared" si="13"/>
        <v>0.28894095559999999</v>
      </c>
      <c r="AW37" s="562">
        <f>SUM(AW34:AW36)</f>
        <v>59874633.760387592</v>
      </c>
      <c r="AX37" s="1634"/>
      <c r="AY37" s="562">
        <f>SUM(AY34:AY36)</f>
        <v>86682286.679999992</v>
      </c>
      <c r="AZ37" s="106">
        <f t="shared" si="15"/>
        <v>0.28894095559999999</v>
      </c>
      <c r="BA37" s="562">
        <f>SUM(BA34:BA36)</f>
        <v>64227940.344371438</v>
      </c>
      <c r="BC37" s="562">
        <f>SUM(BC34:BC36)</f>
        <v>86682286.679999992</v>
      </c>
      <c r="BD37" s="106">
        <f t="shared" si="17"/>
        <v>0.28894095559999988</v>
      </c>
      <c r="BE37" s="562">
        <f>SUM(BE34:BE36)</f>
        <v>59078924.463697962</v>
      </c>
      <c r="BG37" s="562">
        <f>SUM(BG34:BG36)</f>
        <v>86682286.679999992</v>
      </c>
      <c r="BH37" s="106">
        <f t="shared" si="19"/>
        <v>0.28894095559999994</v>
      </c>
      <c r="BI37" s="562">
        <f>SUM(BI34:BI36)</f>
        <v>10674775.955813691</v>
      </c>
      <c r="BK37" s="562">
        <f>SUM(BK34:BK36)</f>
        <v>86682286.679999992</v>
      </c>
      <c r="BL37" s="106">
        <f t="shared" si="21"/>
        <v>0.29457207341071812</v>
      </c>
      <c r="BM37" s="562">
        <f>SUM(BM34:BM36)</f>
        <v>0</v>
      </c>
      <c r="BO37" s="562">
        <f>SUM(BO34:BO36)</f>
        <v>86682286.679999992</v>
      </c>
      <c r="BP37" s="106">
        <f t="shared" si="23"/>
        <v>0.2940238391785171</v>
      </c>
      <c r="BQ37" s="562">
        <f>SUM(BQ34:BQ36)</f>
        <v>0</v>
      </c>
      <c r="BS37" s="562">
        <f>SUM(BS34:BS36)</f>
        <v>86682286.679999992</v>
      </c>
      <c r="BT37" s="106">
        <f t="shared" si="25"/>
        <v>0.25910422497131363</v>
      </c>
      <c r="BU37" s="562">
        <f>SUM(BU34:BU36)</f>
        <v>0</v>
      </c>
      <c r="BW37" s="562">
        <f>SUM(BW34:BW36)</f>
        <v>86682286.679999992</v>
      </c>
      <c r="BX37" s="106">
        <f t="shared" si="27"/>
        <v>0.2336113812580046</v>
      </c>
      <c r="BY37" s="562">
        <f>SUM(BY34:BY36)</f>
        <v>0</v>
      </c>
      <c r="BZ37" s="107"/>
    </row>
    <row r="38" spans="1:78">
      <c r="A38" s="108" t="s">
        <v>187</v>
      </c>
      <c r="H38" s="103"/>
      <c r="K38" s="103"/>
      <c r="N38" s="103"/>
      <c r="P38" s="68"/>
      <c r="Q38" s="103"/>
      <c r="T38" s="103"/>
      <c r="W38" s="103"/>
      <c r="Z38" s="103"/>
      <c r="AB38" s="68"/>
      <c r="AC38" s="103"/>
      <c r="AF38" s="103"/>
      <c r="AI38" s="103"/>
      <c r="AL38" s="103"/>
      <c r="AO38" s="103"/>
      <c r="AR38" s="103"/>
      <c r="AS38" s="68"/>
      <c r="AT38" s="68"/>
      <c r="AV38" s="103"/>
      <c r="AW38" s="68"/>
      <c r="AX38" s="68"/>
      <c r="AZ38" s="103"/>
      <c r="BA38" s="68"/>
      <c r="BD38" s="103"/>
      <c r="BE38" s="68"/>
      <c r="BH38" s="103"/>
      <c r="BI38" s="68"/>
      <c r="BL38" s="103"/>
      <c r="BM38" s="68"/>
      <c r="BP38" s="103"/>
      <c r="BQ38" s="68"/>
      <c r="BT38" s="103"/>
      <c r="BU38" s="68"/>
      <c r="BX38" s="103"/>
      <c r="BY38" s="68"/>
      <c r="BZ38" s="103"/>
    </row>
    <row r="39" spans="1:78" ht="15" customHeight="1">
      <c r="B39" s="54" t="s">
        <v>188</v>
      </c>
      <c r="G39" s="54">
        <v>321672</v>
      </c>
      <c r="H39" s="106">
        <f>G39/$G$15</f>
        <v>1.1990128071230944E-3</v>
      </c>
      <c r="J39" s="54">
        <v>312660</v>
      </c>
      <c r="K39" s="106">
        <f t="shared" ref="K39:K53" si="34">J39/$J$15</f>
        <v>1.3101350676092299E-3</v>
      </c>
      <c r="M39" s="54">
        <v>312660.00000000006</v>
      </c>
      <c r="N39" s="106">
        <f t="shared" ref="N39:N50" si="35">M39/$M$15</f>
        <v>1.3943536925800192E-3</v>
      </c>
      <c r="P39" s="68">
        <v>312660</v>
      </c>
      <c r="Q39" s="106">
        <f t="shared" ref="Q39:Q53" si="36">P39/$P$15</f>
        <v>1.3869862398419759E-3</v>
      </c>
      <c r="S39" s="54">
        <v>328293</v>
      </c>
      <c r="T39" s="107">
        <f t="shared" ref="T39:T53" si="37">S39/$S$15</f>
        <v>8.0267237163814185E-4</v>
      </c>
      <c r="V39" s="54">
        <v>312660</v>
      </c>
      <c r="W39" s="107">
        <f t="shared" ref="W39:W53" si="38">V39/$V$15</f>
        <v>8.3320349116793111E-4</v>
      </c>
      <c r="Y39" s="54">
        <v>312660</v>
      </c>
      <c r="Z39" s="107">
        <f t="shared" ref="Z39:Z52" si="39">Y39/$Y$15</f>
        <v>1.1004175927441281E-3</v>
      </c>
      <c r="AB39" s="68">
        <v>410568</v>
      </c>
      <c r="AC39" s="107">
        <f t="shared" ref="AC39:AC45" si="40">AB39/$AB$15</f>
        <v>3.3904745212571656E-3</v>
      </c>
      <c r="AE39" s="54">
        <v>409220</v>
      </c>
      <c r="AF39" s="107">
        <f>AE39/AE$15</f>
        <v>3.3996351070502908E-3</v>
      </c>
      <c r="AH39" s="54">
        <v>408440</v>
      </c>
      <c r="AI39" s="107">
        <f>AH39/AH$15</f>
        <v>1.9106315225822475E-3</v>
      </c>
      <c r="AK39" s="54">
        <f>AH39*(1+AK$22)</f>
        <v>428862</v>
      </c>
      <c r="AL39" s="107">
        <f t="shared" ref="AL39:AL45" si="41">AK39/AK$15</f>
        <v>2.0422000000000001E-3</v>
      </c>
      <c r="AN39" s="54">
        <f>AK39*(1+AN$22)*AN$18/12</f>
        <v>225152.55000000002</v>
      </c>
      <c r="AO39" s="107">
        <f t="shared" ref="AO39:AO45" si="42">AN39/AN$15</f>
        <v>1.6082325000000002E-3</v>
      </c>
      <c r="AQ39" s="506"/>
      <c r="AR39" s="107">
        <f t="shared" ref="AR39:AR45" si="43">AQ39/$AU$15</f>
        <v>0</v>
      </c>
      <c r="AS39" s="90"/>
      <c r="AT39" s="90"/>
      <c r="AV39" s="106"/>
      <c r="AW39" s="68"/>
      <c r="AX39" s="68"/>
      <c r="AZ39" s="107"/>
      <c r="BA39" s="68"/>
      <c r="BD39" s="107"/>
      <c r="BE39" s="68"/>
      <c r="BH39" s="107"/>
      <c r="BI39" s="68"/>
      <c r="BL39" s="107"/>
      <c r="BM39" s="68"/>
      <c r="BP39" s="107"/>
      <c r="BQ39" s="68"/>
      <c r="BT39" s="107"/>
      <c r="BU39" s="68"/>
      <c r="BX39" s="107"/>
      <c r="BY39" s="68"/>
      <c r="BZ39" s="107"/>
    </row>
    <row r="40" spans="1:78" ht="15" customHeight="1">
      <c r="B40" s="54" t="s">
        <v>189</v>
      </c>
      <c r="E40" s="112" t="s">
        <v>190</v>
      </c>
      <c r="G40" s="54">
        <v>3089412.92</v>
      </c>
      <c r="H40" s="106">
        <f t="shared" ref="H40:H52" si="44">G40/$G$15</f>
        <v>1.1515598676824704E-2</v>
      </c>
      <c r="J40" s="54">
        <v>3194406</v>
      </c>
      <c r="K40" s="106">
        <f t="shared" si="34"/>
        <v>1.3385477262142037E-2</v>
      </c>
      <c r="M40" s="54">
        <v>3071841.3100000005</v>
      </c>
      <c r="N40" s="106">
        <f t="shared" si="35"/>
        <v>1.3699332417381001E-2</v>
      </c>
      <c r="P40" s="68">
        <v>2625250</v>
      </c>
      <c r="Q40" s="106">
        <f t="shared" si="36"/>
        <v>1.1645831338019406E-2</v>
      </c>
      <c r="S40" s="54">
        <v>4369900</v>
      </c>
      <c r="T40" s="107">
        <f t="shared" si="37"/>
        <v>1.0684352078239609E-2</v>
      </c>
      <c r="V40" s="54">
        <v>3230540</v>
      </c>
      <c r="W40" s="107">
        <f t="shared" si="38"/>
        <v>8.6090232404453654E-3</v>
      </c>
      <c r="Y40" s="54">
        <v>3400516</v>
      </c>
      <c r="Z40" s="107">
        <f t="shared" si="39"/>
        <v>1.1968232683451326E-2</v>
      </c>
      <c r="AB40" s="68">
        <f>2632404+2793</f>
        <v>2635197</v>
      </c>
      <c r="AC40" s="107">
        <f>AB40/$AB$15</f>
        <v>2.1761482353698583E-2</v>
      </c>
      <c r="AE40" s="54">
        <f>2751040+15160</f>
        <v>2766200</v>
      </c>
      <c r="AF40" s="107">
        <f t="shared" ref="AF40:AF51" si="45">AE40/AE$15</f>
        <v>2.2980476597239907E-2</v>
      </c>
      <c r="AH40" s="54">
        <f>2897460+2404</f>
        <v>2899864</v>
      </c>
      <c r="AI40" s="107">
        <f t="shared" ref="AI40:AI51" si="46">AH40/AH$15</f>
        <v>1.3565203137796118E-2</v>
      </c>
      <c r="AK40" s="54">
        <f t="shared" ref="AK40:AK45" si="47">AH40*(1+AK$22)</f>
        <v>3044857.2</v>
      </c>
      <c r="AL40" s="107">
        <f t="shared" si="41"/>
        <v>1.4499320000000001E-2</v>
      </c>
      <c r="AN40" s="54">
        <f t="shared" ref="AN40:AN45" si="48">AK40*(1+AN$22)*AN$18/12</f>
        <v>1598550.0300000003</v>
      </c>
      <c r="AO40" s="107">
        <f t="shared" si="42"/>
        <v>1.1418214500000003E-2</v>
      </c>
      <c r="AQ40" s="506"/>
      <c r="AR40" s="107">
        <f t="shared" si="43"/>
        <v>0</v>
      </c>
      <c r="AS40" s="90"/>
      <c r="AT40" s="90"/>
      <c r="AU40" s="54">
        <f>160000+12000000</f>
        <v>12160000</v>
      </c>
      <c r="AV40" s="106">
        <f t="shared" ref="AV40:AV45" si="49">(AU40-AW40)/(AU$15+AV$15)</f>
        <v>4.0533333333333331E-2</v>
      </c>
      <c r="AW40" s="68">
        <f t="shared" ref="AW39:AW45" si="50">AU40*$AW$16</f>
        <v>8399357.8666666672</v>
      </c>
      <c r="AX40" s="68"/>
      <c r="AY40" s="54">
        <f t="shared" ref="AY40:AY45" si="51">AU40*(1+AY$22)</f>
        <v>12768000</v>
      </c>
      <c r="AZ40" s="106">
        <f t="shared" ref="AZ40:AZ45" si="52">(AY40-BA40)/(AY$15+AZ$15)</f>
        <v>4.2560000000000014E-2</v>
      </c>
      <c r="BA40" s="68">
        <f t="shared" ref="BA40:BA45" si="53">AY40*BA$16</f>
        <v>9460552.7118165605</v>
      </c>
      <c r="BC40" s="54">
        <f t="shared" ref="BC40:BC45" si="54">AY40*(1+BC$22)</f>
        <v>13406400</v>
      </c>
      <c r="BD40" s="106">
        <f t="shared" ref="BD40:BD45" si="55">(BC40-BE40)/(BC$15+BD$15)</f>
        <v>4.4687999999999985E-2</v>
      </c>
      <c r="BE40" s="68">
        <f t="shared" ref="BE40:BE45" si="56">BC40*BE$16</f>
        <v>9137226.5691840015</v>
      </c>
      <c r="BG40" s="54">
        <f t="shared" ref="BG40:BG45" si="57">BC40*(1+BG$22)</f>
        <v>14076720</v>
      </c>
      <c r="BH40" s="106">
        <f t="shared" ref="BH40:BH45" si="58">(BG40-BI40)/(BG$15+BH$15)</f>
        <v>4.6922399999999996E-2</v>
      </c>
      <c r="BI40" s="68">
        <f t="shared" ref="BI40:BI45" si="59">BG40*BI$16</f>
        <v>1733524.0906536006</v>
      </c>
      <c r="BK40" s="54">
        <f t="shared" ref="BK40:BK45" si="60">BG40*(1+BK$22)</f>
        <v>14780556</v>
      </c>
      <c r="BL40" s="106">
        <f t="shared" ref="BL40:BL45" si="61">(BK40-BM40)/(BK$15+BL$15)</f>
        <v>5.0228705238896339E-2</v>
      </c>
      <c r="BM40" s="68">
        <f t="shared" ref="BM40:BM45" si="62">BK40*BM$16</f>
        <v>0</v>
      </c>
      <c r="BO40" s="54">
        <f t="shared" ref="BO40:BO45" si="63">BK40*(1+BO$22)</f>
        <v>15519583.800000001</v>
      </c>
      <c r="BP40" s="106">
        <f t="shared" ref="BP40:BP45" si="64">(BO40-BQ40)/(BO$15+BP$15)</f>
        <v>5.2641984724908733E-2</v>
      </c>
      <c r="BQ40" s="68">
        <f t="shared" ref="BQ40:BQ45" si="65">BO40*BQ$16</f>
        <v>0</v>
      </c>
      <c r="BS40" s="54">
        <f t="shared" ref="BS40:BS45" si="66">BO40*(1+BS$22)</f>
        <v>16295562.990000002</v>
      </c>
      <c r="BT40" s="106">
        <f t="shared" ref="BT40:BT45" si="67">(BS40-BU40)/(BS$15+BT$15)</f>
        <v>4.8709481264404192E-2</v>
      </c>
      <c r="BU40" s="68">
        <f t="shared" ref="BU40:BU45" si="68">BS40*BU$16</f>
        <v>0</v>
      </c>
      <c r="BW40" s="54">
        <f t="shared" ref="BW40:BW45" si="69">BS40*(1+BW$22)</f>
        <v>17110341.139500003</v>
      </c>
      <c r="BX40" s="106">
        <f t="shared" ref="BX40:BX45" si="70">(BW40-BY40)/(BW$15+BX$15)</f>
        <v>4.6112886271106115E-2</v>
      </c>
      <c r="BY40" s="68">
        <f t="shared" ref="BY40:BY45" si="71">BW40*BY$16</f>
        <v>0</v>
      </c>
      <c r="BZ40" s="107"/>
    </row>
    <row r="41" spans="1:78" ht="15" customHeight="1">
      <c r="B41" s="54" t="s">
        <v>191</v>
      </c>
      <c r="G41" s="54">
        <v>2866047.1599999997</v>
      </c>
      <c r="H41" s="106">
        <f t="shared" si="44"/>
        <v>1.0683016397631041E-2</v>
      </c>
      <c r="J41" s="54">
        <v>2426157</v>
      </c>
      <c r="K41" s="106">
        <f t="shared" si="34"/>
        <v>1.016629362638523E-2</v>
      </c>
      <c r="M41" s="54">
        <v>2164635.08</v>
      </c>
      <c r="N41" s="106">
        <f t="shared" si="35"/>
        <v>9.6535115361294863E-3</v>
      </c>
      <c r="P41" s="68">
        <v>2600171</v>
      </c>
      <c r="Q41" s="106">
        <f t="shared" si="36"/>
        <v>1.1534578770025429E-2</v>
      </c>
      <c r="S41" s="54">
        <v>3370560</v>
      </c>
      <c r="T41" s="107">
        <f t="shared" si="37"/>
        <v>8.2409779951100239E-3</v>
      </c>
      <c r="V41" s="54">
        <v>4183243</v>
      </c>
      <c r="W41" s="107">
        <f t="shared" si="38"/>
        <v>1.1147868841565309E-2</v>
      </c>
      <c r="Y41" s="54">
        <v>4264365.4533333331</v>
      </c>
      <c r="Z41" s="107">
        <f t="shared" si="39"/>
        <v>1.5008580460366816E-2</v>
      </c>
      <c r="AB41" s="68">
        <f>2273946+961255</f>
        <v>3235201</v>
      </c>
      <c r="AC41" s="107">
        <f t="shared" si="40"/>
        <v>2.6716321198061475E-2</v>
      </c>
      <c r="AE41" s="54">
        <v>2660000</v>
      </c>
      <c r="AF41" s="107">
        <f t="shared" si="45"/>
        <v>2.2098209727661831E-2</v>
      </c>
      <c r="AH41" s="54">
        <v>2412000</v>
      </c>
      <c r="AI41" s="107">
        <f t="shared" si="46"/>
        <v>1.1283036021125211E-2</v>
      </c>
      <c r="AK41" s="54">
        <f t="shared" si="47"/>
        <v>2532600</v>
      </c>
      <c r="AL41" s="107">
        <f t="shared" si="41"/>
        <v>1.206E-2</v>
      </c>
      <c r="AN41" s="54">
        <f t="shared" si="48"/>
        <v>1329615</v>
      </c>
      <c r="AO41" s="107">
        <f t="shared" si="42"/>
        <v>9.4972500000000005E-3</v>
      </c>
      <c r="AQ41" s="506"/>
      <c r="AR41" s="107">
        <f t="shared" si="43"/>
        <v>0</v>
      </c>
      <c r="AS41" s="90"/>
      <c r="AT41" s="90"/>
      <c r="AU41" s="54">
        <v>8717159.8800000008</v>
      </c>
      <c r="AV41" s="106">
        <f t="shared" si="49"/>
        <v>2.9057199600000003E-2</v>
      </c>
      <c r="AW41" s="68">
        <f t="shared" si="50"/>
        <v>6021261.9583116006</v>
      </c>
      <c r="AX41" s="68"/>
      <c r="AY41" s="54">
        <f t="shared" si="51"/>
        <v>9153017.8740000017</v>
      </c>
      <c r="AZ41" s="106">
        <f t="shared" si="52"/>
        <v>3.0510059580000012E-2</v>
      </c>
      <c r="BA41" s="68">
        <f t="shared" si="53"/>
        <v>6782002.5116835972</v>
      </c>
      <c r="BC41" s="54">
        <f t="shared" si="54"/>
        <v>9610668.7677000016</v>
      </c>
      <c r="BD41" s="106">
        <f t="shared" si="55"/>
        <v>3.2035562559000003E-2</v>
      </c>
      <c r="BE41" s="68">
        <f t="shared" si="56"/>
        <v>6550219.1499474365</v>
      </c>
      <c r="BG41" s="54">
        <f t="shared" si="57"/>
        <v>10091202.206085002</v>
      </c>
      <c r="BH41" s="106">
        <f t="shared" si="58"/>
        <v>3.3637340686950006E-2</v>
      </c>
      <c r="BI41" s="68">
        <f t="shared" si="59"/>
        <v>1242714.3629982774</v>
      </c>
      <c r="BK41" s="54">
        <f t="shared" si="60"/>
        <v>10595762.316389253</v>
      </c>
      <c r="BL41" s="106">
        <f t="shared" si="61"/>
        <v>3.6007537346451735E-2</v>
      </c>
      <c r="BM41" s="68">
        <f t="shared" si="62"/>
        <v>0</v>
      </c>
      <c r="BO41" s="54">
        <f t="shared" si="63"/>
        <v>11125550.432208717</v>
      </c>
      <c r="BP41" s="106">
        <f t="shared" si="64"/>
        <v>3.7737549115752257E-2</v>
      </c>
      <c r="BQ41" s="68">
        <f t="shared" si="65"/>
        <v>0</v>
      </c>
      <c r="BS41" s="54">
        <f t="shared" si="66"/>
        <v>11681827.953819154</v>
      </c>
      <c r="BT41" s="106">
        <f t="shared" si="67"/>
        <v>3.4918448672177305E-2</v>
      </c>
      <c r="BU41" s="68">
        <f t="shared" si="68"/>
        <v>0</v>
      </c>
      <c r="BW41" s="54">
        <f t="shared" si="69"/>
        <v>12265919.351510111</v>
      </c>
      <c r="BX41" s="106">
        <f t="shared" si="70"/>
        <v>3.3057023203411938E-2</v>
      </c>
      <c r="BY41" s="68">
        <f t="shared" si="71"/>
        <v>0</v>
      </c>
      <c r="BZ41" s="107"/>
    </row>
    <row r="42" spans="1:78" ht="15" customHeight="1">
      <c r="B42" s="54" t="s">
        <v>1202</v>
      </c>
      <c r="G42" s="54">
        <v>399172.82</v>
      </c>
      <c r="H42" s="106">
        <f t="shared" si="44"/>
        <v>1.487892397956433E-3</v>
      </c>
      <c r="J42" s="54">
        <v>323454</v>
      </c>
      <c r="K42" s="106">
        <f t="shared" si="34"/>
        <v>1.3553650232152365E-3</v>
      </c>
      <c r="M42" s="54">
        <v>390911.69000000006</v>
      </c>
      <c r="N42" s="106">
        <f t="shared" si="35"/>
        <v>1.7433287226514289E-3</v>
      </c>
      <c r="P42" s="68">
        <v>373161</v>
      </c>
      <c r="Q42" s="106">
        <f t="shared" si="36"/>
        <v>1.6553737998006512E-3</v>
      </c>
      <c r="S42" s="54">
        <v>1041915</v>
      </c>
      <c r="T42" s="107">
        <f t="shared" si="37"/>
        <v>2.5474694376528117E-3</v>
      </c>
      <c r="V42" s="54">
        <v>576781</v>
      </c>
      <c r="W42" s="107">
        <f t="shared" si="38"/>
        <v>1.5370560443911292E-3</v>
      </c>
      <c r="Y42" s="54">
        <v>316893.21333333338</v>
      </c>
      <c r="Z42" s="107">
        <f t="shared" si="39"/>
        <v>1.1153165322497862E-3</v>
      </c>
      <c r="AB42" s="68">
        <f>144760+1691</f>
        <v>146451</v>
      </c>
      <c r="AC42" s="107">
        <f t="shared" si="40"/>
        <v>1.2093937767011387E-3</v>
      </c>
      <c r="AE42" s="54">
        <f>118996+2426</f>
        <v>121422</v>
      </c>
      <c r="AF42" s="107">
        <f t="shared" si="45"/>
        <v>1.0087251208842688E-3</v>
      </c>
      <c r="AH42" s="54">
        <f>110400+1730</f>
        <v>112130</v>
      </c>
      <c r="AI42" s="107">
        <f t="shared" si="46"/>
        <v>5.2453019446466415E-4</v>
      </c>
      <c r="AK42" s="54">
        <f t="shared" si="47"/>
        <v>117736.5</v>
      </c>
      <c r="AL42" s="107">
        <f t="shared" si="41"/>
        <v>5.6064999999999999E-4</v>
      </c>
      <c r="AN42" s="54">
        <f t="shared" si="48"/>
        <v>61811.662500000006</v>
      </c>
      <c r="AO42" s="107">
        <f t="shared" si="42"/>
        <v>4.4151187500000004E-4</v>
      </c>
      <c r="AQ42" s="506"/>
      <c r="AR42" s="107">
        <f t="shared" si="43"/>
        <v>0</v>
      </c>
      <c r="AS42" s="90"/>
      <c r="AT42" s="90"/>
      <c r="AU42" s="54">
        <f>122400+9000</f>
        <v>131400</v>
      </c>
      <c r="AV42" s="106">
        <f t="shared" si="49"/>
        <v>4.3800000000000008E-4</v>
      </c>
      <c r="AW42" s="68">
        <f t="shared" si="50"/>
        <v>90762.797999999995</v>
      </c>
      <c r="AX42" s="68"/>
      <c r="AY42" s="54">
        <f t="shared" si="51"/>
        <v>137970</v>
      </c>
      <c r="AZ42" s="106">
        <f t="shared" si="52"/>
        <v>4.5990000000000001E-4</v>
      </c>
      <c r="BA42" s="68">
        <f t="shared" si="53"/>
        <v>102229.98571814936</v>
      </c>
      <c r="BC42" s="54">
        <f t="shared" si="54"/>
        <v>144868.5</v>
      </c>
      <c r="BD42" s="106">
        <f t="shared" si="55"/>
        <v>4.8289499999999995E-4</v>
      </c>
      <c r="BE42" s="68">
        <f t="shared" si="56"/>
        <v>98736.148946610003</v>
      </c>
      <c r="BG42" s="54">
        <f t="shared" si="57"/>
        <v>152111.92500000002</v>
      </c>
      <c r="BH42" s="106">
        <f t="shared" si="58"/>
        <v>5.0703974999999997E-4</v>
      </c>
      <c r="BI42" s="68">
        <f t="shared" si="59"/>
        <v>18732.32446643776</v>
      </c>
      <c r="BK42" s="54">
        <f t="shared" si="60"/>
        <v>159717.52125000002</v>
      </c>
      <c r="BL42" s="106">
        <f t="shared" si="61"/>
        <v>5.4276742338741604E-4</v>
      </c>
      <c r="BM42" s="68">
        <f t="shared" si="62"/>
        <v>0</v>
      </c>
      <c r="BO42" s="54">
        <f t="shared" si="63"/>
        <v>167703.39731250002</v>
      </c>
      <c r="BP42" s="106">
        <f t="shared" si="64"/>
        <v>5.688451309912014E-4</v>
      </c>
      <c r="BQ42" s="68">
        <f t="shared" si="65"/>
        <v>0</v>
      </c>
      <c r="BS42" s="54">
        <f t="shared" si="66"/>
        <v>176088.56717812503</v>
      </c>
      <c r="BT42" s="106">
        <f t="shared" si="67"/>
        <v>5.2635080905778873E-4</v>
      </c>
      <c r="BU42" s="68">
        <f t="shared" si="68"/>
        <v>0</v>
      </c>
      <c r="BW42" s="54">
        <f t="shared" si="69"/>
        <v>184892.9955370313</v>
      </c>
      <c r="BX42" s="106">
        <f t="shared" si="70"/>
        <v>4.9829220855455135E-4</v>
      </c>
      <c r="BY42" s="68">
        <f t="shared" si="71"/>
        <v>0</v>
      </c>
      <c r="BZ42" s="107"/>
    </row>
    <row r="43" spans="1:78" ht="15" customHeight="1">
      <c r="B43" s="54" t="s">
        <v>192</v>
      </c>
      <c r="G43" s="54">
        <v>1271231.51</v>
      </c>
      <c r="H43" s="106">
        <f t="shared" si="44"/>
        <v>4.7384381025032648E-3</v>
      </c>
      <c r="J43" s="54">
        <v>1287496</v>
      </c>
      <c r="K43" s="106">
        <f t="shared" si="34"/>
        <v>5.3949774803512211E-3</v>
      </c>
      <c r="M43" s="54">
        <v>567505.24</v>
      </c>
      <c r="N43" s="106">
        <f t="shared" si="35"/>
        <v>2.5308738788220749E-3</v>
      </c>
      <c r="P43" s="68">
        <v>474324</v>
      </c>
      <c r="Q43" s="106">
        <f t="shared" si="36"/>
        <v>2.1041414355107957E-3</v>
      </c>
      <c r="S43" s="54">
        <v>1311645</v>
      </c>
      <c r="T43" s="107">
        <f t="shared" si="37"/>
        <v>3.2069559902200488E-3</v>
      </c>
      <c r="V43" s="54">
        <v>827939</v>
      </c>
      <c r="W43" s="107">
        <f t="shared" si="38"/>
        <v>2.2063636706776872E-3</v>
      </c>
      <c r="Y43" s="54">
        <v>849597</v>
      </c>
      <c r="Z43" s="107">
        <f t="shared" si="39"/>
        <v>2.9901857786177734E-3</v>
      </c>
      <c r="AB43" s="68">
        <v>430633</v>
      </c>
      <c r="AC43" s="107">
        <f t="shared" si="40"/>
        <v>3.5561714856309724E-3</v>
      </c>
      <c r="AE43" s="54">
        <v>418040</v>
      </c>
      <c r="AF43" s="107">
        <f t="shared" si="45"/>
        <v>3.4729081182525382E-3</v>
      </c>
      <c r="AH43" s="54">
        <v>289800</v>
      </c>
      <c r="AI43" s="107">
        <f t="shared" si="46"/>
        <v>1.3556483577620588E-3</v>
      </c>
      <c r="AK43" s="54">
        <f t="shared" si="47"/>
        <v>304290</v>
      </c>
      <c r="AL43" s="107">
        <f t="shared" si="41"/>
        <v>1.449E-3</v>
      </c>
      <c r="AN43" s="54">
        <f t="shared" si="48"/>
        <v>159752.25</v>
      </c>
      <c r="AO43" s="107">
        <f t="shared" si="42"/>
        <v>1.1410875E-3</v>
      </c>
      <c r="AQ43" s="506"/>
      <c r="AR43" s="107">
        <f t="shared" si="43"/>
        <v>0</v>
      </c>
      <c r="AS43" s="90"/>
      <c r="AT43" s="90"/>
      <c r="AU43" s="54">
        <v>405000</v>
      </c>
      <c r="AV43" s="106">
        <f t="shared" si="49"/>
        <v>1.3500000000000003E-3</v>
      </c>
      <c r="AW43" s="68">
        <f t="shared" si="50"/>
        <v>279748.34999999998</v>
      </c>
      <c r="AX43" s="68"/>
      <c r="AY43" s="54">
        <f t="shared" si="51"/>
        <v>425250</v>
      </c>
      <c r="AZ43" s="106">
        <f t="shared" si="52"/>
        <v>1.4175000000000004E-3</v>
      </c>
      <c r="BA43" s="68">
        <f t="shared" si="53"/>
        <v>315092.42173402198</v>
      </c>
      <c r="BC43" s="54">
        <f t="shared" si="54"/>
        <v>446512.5</v>
      </c>
      <c r="BD43" s="106">
        <f t="shared" si="55"/>
        <v>1.4883749999999999E-3</v>
      </c>
      <c r="BE43" s="68">
        <f t="shared" si="56"/>
        <v>304323.74675325002</v>
      </c>
      <c r="BG43" s="54">
        <f t="shared" si="57"/>
        <v>468838.125</v>
      </c>
      <c r="BH43" s="106">
        <f t="shared" si="58"/>
        <v>1.5627937499999999E-3</v>
      </c>
      <c r="BI43" s="68">
        <f t="shared" si="59"/>
        <v>57736.616506143771</v>
      </c>
      <c r="BK43" s="54">
        <f t="shared" si="60"/>
        <v>492280.03125</v>
      </c>
      <c r="BL43" s="106">
        <f t="shared" si="61"/>
        <v>1.6729132912625835E-3</v>
      </c>
      <c r="BM43" s="68">
        <f t="shared" si="62"/>
        <v>0</v>
      </c>
      <c r="BO43" s="54">
        <f t="shared" si="63"/>
        <v>516894.03281250002</v>
      </c>
      <c r="BP43" s="106">
        <f t="shared" si="64"/>
        <v>1.7532897873016478E-3</v>
      </c>
      <c r="BQ43" s="68">
        <f t="shared" si="65"/>
        <v>0</v>
      </c>
      <c r="BS43" s="54">
        <f t="shared" si="66"/>
        <v>542738.73445312504</v>
      </c>
      <c r="BT43" s="106">
        <f t="shared" si="67"/>
        <v>1.622314137506883E-3</v>
      </c>
      <c r="BU43" s="68">
        <f t="shared" si="68"/>
        <v>0</v>
      </c>
      <c r="BW43" s="54">
        <f t="shared" si="69"/>
        <v>569875.67117578129</v>
      </c>
      <c r="BX43" s="106">
        <f t="shared" si="70"/>
        <v>1.5358321496544386E-3</v>
      </c>
      <c r="BY43" s="68">
        <f t="shared" si="71"/>
        <v>0</v>
      </c>
      <c r="BZ43" s="107"/>
    </row>
    <row r="44" spans="1:78" ht="15" customHeight="1">
      <c r="B44" s="54" t="s">
        <v>193</v>
      </c>
      <c r="G44" s="54">
        <v>215690.58000000002</v>
      </c>
      <c r="H44" s="106">
        <f t="shared" si="44"/>
        <v>8.0397351275774201E-4</v>
      </c>
      <c r="J44" s="54">
        <v>245376</v>
      </c>
      <c r="K44" s="106">
        <f t="shared" si="34"/>
        <v>1.0281958112636166E-3</v>
      </c>
      <c r="M44" s="54">
        <v>214967.67</v>
      </c>
      <c r="N44" s="106">
        <f t="shared" si="35"/>
        <v>9.5868024195555233E-4</v>
      </c>
      <c r="P44" s="68">
        <v>208282</v>
      </c>
      <c r="Q44" s="106">
        <f t="shared" si="36"/>
        <v>9.2395659184662713E-4</v>
      </c>
      <c r="S44" s="54">
        <v>648228</v>
      </c>
      <c r="T44" s="107">
        <f t="shared" si="37"/>
        <v>1.5849095354523227E-3</v>
      </c>
      <c r="V44" s="54">
        <v>209969</v>
      </c>
      <c r="W44" s="107">
        <f t="shared" si="38"/>
        <v>5.5954360595227828E-4</v>
      </c>
      <c r="Y44" s="54">
        <f>121209.786666667+137133</f>
        <v>258342.786666667</v>
      </c>
      <c r="Z44" s="107">
        <f t="shared" si="39"/>
        <v>9.0924629759656984E-4</v>
      </c>
      <c r="AB44" s="68">
        <v>20329</v>
      </c>
      <c r="AC44" s="107">
        <f t="shared" si="40"/>
        <v>1.6787707893122923E-4</v>
      </c>
      <c r="AE44" s="54">
        <v>20600</v>
      </c>
      <c r="AF44" s="107">
        <f t="shared" si="45"/>
        <v>1.7113651142474951E-4</v>
      </c>
      <c r="AH44" s="54">
        <v>27600</v>
      </c>
      <c r="AI44" s="107">
        <f t="shared" si="46"/>
        <v>1.2910936740591036E-4</v>
      </c>
      <c r="AK44" s="54">
        <f t="shared" si="47"/>
        <v>28980</v>
      </c>
      <c r="AL44" s="107">
        <f t="shared" si="41"/>
        <v>1.3799999999999999E-4</v>
      </c>
      <c r="AN44" s="54">
        <f t="shared" si="48"/>
        <v>15214.5</v>
      </c>
      <c r="AO44" s="107">
        <f t="shared" si="42"/>
        <v>1.08675E-4</v>
      </c>
      <c r="AQ44" s="506"/>
      <c r="AR44" s="107">
        <f t="shared" si="43"/>
        <v>0</v>
      </c>
      <c r="AS44" s="90"/>
      <c r="AT44" s="90"/>
      <c r="AU44" s="54">
        <v>0</v>
      </c>
      <c r="AV44" s="106">
        <f t="shared" si="49"/>
        <v>0</v>
      </c>
      <c r="AW44" s="68">
        <f t="shared" si="50"/>
        <v>0</v>
      </c>
      <c r="AX44" s="68"/>
      <c r="AY44" s="54">
        <f t="shared" si="51"/>
        <v>0</v>
      </c>
      <c r="AZ44" s="106">
        <f t="shared" si="52"/>
        <v>0</v>
      </c>
      <c r="BA44" s="68">
        <f t="shared" si="53"/>
        <v>0</v>
      </c>
      <c r="BC44" s="54">
        <f t="shared" si="54"/>
        <v>0</v>
      </c>
      <c r="BD44" s="106">
        <f t="shared" si="55"/>
        <v>0</v>
      </c>
      <c r="BE44" s="68">
        <f t="shared" si="56"/>
        <v>0</v>
      </c>
      <c r="BG44" s="54">
        <f t="shared" si="57"/>
        <v>0</v>
      </c>
      <c r="BH44" s="106">
        <f t="shared" si="58"/>
        <v>0</v>
      </c>
      <c r="BI44" s="68">
        <f t="shared" si="59"/>
        <v>0</v>
      </c>
      <c r="BK44" s="54">
        <f t="shared" si="60"/>
        <v>0</v>
      </c>
      <c r="BL44" s="106">
        <f t="shared" si="61"/>
        <v>0</v>
      </c>
      <c r="BM44" s="68">
        <f t="shared" si="62"/>
        <v>0</v>
      </c>
      <c r="BO44" s="54">
        <f t="shared" si="63"/>
        <v>0</v>
      </c>
      <c r="BP44" s="106">
        <f t="shared" si="64"/>
        <v>0</v>
      </c>
      <c r="BQ44" s="68">
        <f t="shared" si="65"/>
        <v>0</v>
      </c>
      <c r="BS44" s="54">
        <f t="shared" si="66"/>
        <v>0</v>
      </c>
      <c r="BT44" s="106">
        <f t="shared" si="67"/>
        <v>0</v>
      </c>
      <c r="BU44" s="68">
        <f t="shared" si="68"/>
        <v>0</v>
      </c>
      <c r="BW44" s="54">
        <f t="shared" si="69"/>
        <v>0</v>
      </c>
      <c r="BX44" s="106">
        <f t="shared" si="70"/>
        <v>0</v>
      </c>
      <c r="BY44" s="68">
        <f t="shared" si="71"/>
        <v>0</v>
      </c>
      <c r="BZ44" s="107"/>
    </row>
    <row r="45" spans="1:78" ht="15" customHeight="1">
      <c r="B45" s="54" t="s">
        <v>194</v>
      </c>
      <c r="G45" s="54">
        <v>302156.35000000003</v>
      </c>
      <c r="H45" s="106">
        <f t="shared" si="44"/>
        <v>1.1262694092229609E-3</v>
      </c>
      <c r="J45" s="54">
        <v>306129</v>
      </c>
      <c r="K45" s="106">
        <f t="shared" si="34"/>
        <v>1.2827683045869183E-3</v>
      </c>
      <c r="M45" s="54">
        <v>303389.61</v>
      </c>
      <c r="N45" s="106">
        <f t="shared" si="35"/>
        <v>1.3530110119424033E-3</v>
      </c>
      <c r="P45" s="68">
        <v>285905</v>
      </c>
      <c r="Q45" s="106">
        <f t="shared" si="36"/>
        <v>1.2682987939039857E-3</v>
      </c>
      <c r="S45" s="54">
        <v>721709</v>
      </c>
      <c r="T45" s="107">
        <f t="shared" si="37"/>
        <v>1.7645696821515892E-3</v>
      </c>
      <c r="V45" s="54">
        <v>330981</v>
      </c>
      <c r="W45" s="107">
        <f t="shared" si="38"/>
        <v>8.8202688130957908E-4</v>
      </c>
      <c r="Y45" s="54">
        <v>508551.2</v>
      </c>
      <c r="Z45" s="107">
        <f t="shared" si="39"/>
        <v>1.789863389276331E-3</v>
      </c>
      <c r="AB45" s="68">
        <f>302970+10245</f>
        <v>313215</v>
      </c>
      <c r="AC45" s="107">
        <f t="shared" si="40"/>
        <v>2.5865325041785118E-3</v>
      </c>
      <c r="AE45" s="54">
        <f>241638+157739</f>
        <v>399377</v>
      </c>
      <c r="AF45" s="107">
        <f t="shared" si="45"/>
        <v>3.3178634234603001E-3</v>
      </c>
      <c r="AH45" s="54">
        <f>300116.62+221876.46</f>
        <v>521993.07999999996</v>
      </c>
      <c r="AI45" s="107">
        <f t="shared" si="46"/>
        <v>2.4418187082993754E-3</v>
      </c>
      <c r="AK45" s="54">
        <f t="shared" si="47"/>
        <v>548092.73399999994</v>
      </c>
      <c r="AL45" s="107">
        <f t="shared" si="41"/>
        <v>2.6099653999999998E-3</v>
      </c>
      <c r="AN45" s="54">
        <f t="shared" si="48"/>
        <v>287748.68534999999</v>
      </c>
      <c r="AO45" s="107">
        <f t="shared" si="42"/>
        <v>2.0553477524999997E-3</v>
      </c>
      <c r="AQ45" s="506"/>
      <c r="AR45" s="107">
        <f t="shared" si="43"/>
        <v>0</v>
      </c>
      <c r="AS45" s="90"/>
      <c r="AT45" s="90"/>
      <c r="AU45" s="54">
        <f>340805.31+265723.59</f>
        <v>606528.9</v>
      </c>
      <c r="AV45" s="106">
        <f t="shared" si="49"/>
        <v>2.0217629999999998E-3</v>
      </c>
      <c r="AW45" s="68">
        <f t="shared" si="50"/>
        <v>418951.75062300003</v>
      </c>
      <c r="AX45" s="68"/>
      <c r="AY45" s="54">
        <f t="shared" si="51"/>
        <v>636855.34500000009</v>
      </c>
      <c r="AZ45" s="106">
        <f t="shared" si="52"/>
        <v>2.1228511500000005E-3</v>
      </c>
      <c r="BA45" s="68">
        <f t="shared" si="53"/>
        <v>471883.11099425302</v>
      </c>
      <c r="BC45" s="54">
        <f t="shared" si="54"/>
        <v>668698.11225000012</v>
      </c>
      <c r="BD45" s="106">
        <f t="shared" si="55"/>
        <v>2.2289937074999999E-3</v>
      </c>
      <c r="BE45" s="68">
        <f t="shared" si="56"/>
        <v>455755.91941266012</v>
      </c>
      <c r="BG45" s="54">
        <f t="shared" si="57"/>
        <v>702133.01786250016</v>
      </c>
      <c r="BH45" s="106">
        <f t="shared" si="58"/>
        <v>2.3404433928750005E-3</v>
      </c>
      <c r="BI45" s="68">
        <f t="shared" si="59"/>
        <v>86466.485183193174</v>
      </c>
      <c r="BK45" s="54">
        <f t="shared" si="60"/>
        <v>737239.66875562514</v>
      </c>
      <c r="BL45" s="106">
        <f t="shared" si="61"/>
        <v>2.5053586625799376E-3</v>
      </c>
      <c r="BM45" s="68">
        <f t="shared" si="62"/>
        <v>0</v>
      </c>
      <c r="BO45" s="54">
        <f t="shared" si="63"/>
        <v>774101.65219340648</v>
      </c>
      <c r="BP45" s="106">
        <f t="shared" si="64"/>
        <v>2.6257306816624758E-3</v>
      </c>
      <c r="BQ45" s="68">
        <f t="shared" si="65"/>
        <v>0</v>
      </c>
      <c r="BS45" s="54">
        <f t="shared" si="66"/>
        <v>812806.73480307683</v>
      </c>
      <c r="BT45" s="106">
        <f t="shared" si="67"/>
        <v>2.4295812574728361E-3</v>
      </c>
      <c r="BU45" s="68">
        <f t="shared" si="68"/>
        <v>0</v>
      </c>
      <c r="BW45" s="54">
        <f t="shared" si="69"/>
        <v>853447.07154323068</v>
      </c>
      <c r="BX45" s="106">
        <f t="shared" si="70"/>
        <v>2.3000656402828207E-3</v>
      </c>
      <c r="BY45" s="68">
        <f t="shared" si="71"/>
        <v>0</v>
      </c>
      <c r="BZ45" s="107"/>
    </row>
    <row r="46" spans="1:78" ht="15" customHeight="1">
      <c r="A46" s="108" t="s">
        <v>195</v>
      </c>
      <c r="H46" s="106"/>
      <c r="K46" s="106"/>
      <c r="N46" s="106"/>
      <c r="P46" s="68"/>
      <c r="Q46" s="106">
        <f t="shared" si="36"/>
        <v>0</v>
      </c>
      <c r="T46" s="106">
        <f t="shared" si="37"/>
        <v>0</v>
      </c>
      <c r="W46" s="106">
        <f t="shared" si="38"/>
        <v>0</v>
      </c>
      <c r="Z46" s="106">
        <f t="shared" si="39"/>
        <v>0</v>
      </c>
      <c r="AB46" s="68"/>
      <c r="AC46" s="106"/>
      <c r="AF46" s="106"/>
      <c r="AI46" s="106"/>
      <c r="AL46" s="106"/>
      <c r="AO46" s="106"/>
      <c r="AR46" s="106"/>
      <c r="AS46" s="68"/>
      <c r="AT46" s="68"/>
      <c r="AV46" s="106"/>
      <c r="AW46" s="68"/>
      <c r="AX46" s="68"/>
      <c r="AZ46" s="106"/>
      <c r="BA46" s="68"/>
      <c r="BD46" s="106"/>
      <c r="BE46" s="68"/>
      <c r="BH46" s="106"/>
      <c r="BI46" s="68"/>
      <c r="BL46" s="106"/>
      <c r="BM46" s="68"/>
      <c r="BP46" s="106"/>
      <c r="BQ46" s="68"/>
      <c r="BT46" s="106"/>
      <c r="BU46" s="68"/>
      <c r="BX46" s="106"/>
      <c r="BY46" s="68"/>
      <c r="BZ46" s="106"/>
    </row>
    <row r="47" spans="1:78" ht="15" customHeight="1">
      <c r="B47" s="54" t="s">
        <v>1201</v>
      </c>
      <c r="G47" s="54">
        <v>605207.60000000009</v>
      </c>
      <c r="H47" s="106">
        <f t="shared" si="44"/>
        <v>2.2558745037436615E-3</v>
      </c>
      <c r="J47" s="54">
        <v>564160</v>
      </c>
      <c r="K47" s="106">
        <f t="shared" si="34"/>
        <v>2.3639921951718258E-3</v>
      </c>
      <c r="M47" s="54">
        <v>454887.80000000005</v>
      </c>
      <c r="N47" s="106">
        <f t="shared" si="35"/>
        <v>2.0286396841284501E-3</v>
      </c>
      <c r="P47" s="54">
        <v>371020</v>
      </c>
      <c r="Q47" s="106">
        <f t="shared" si="36"/>
        <v>1.6458761424747966E-3</v>
      </c>
      <c r="S47" s="54">
        <v>867909</v>
      </c>
      <c r="T47" s="106">
        <f t="shared" si="37"/>
        <v>2.1220268948655258E-3</v>
      </c>
      <c r="V47" s="54">
        <v>128450</v>
      </c>
      <c r="W47" s="106">
        <f t="shared" si="38"/>
        <v>3.4230470300172951E-4</v>
      </c>
      <c r="Y47" s="54">
        <v>134731.37333333335</v>
      </c>
      <c r="Z47" s="106">
        <f t="shared" si="39"/>
        <v>4.7419168908903312E-4</v>
      </c>
      <c r="AB47" s="68">
        <f>-6905+121314+6264</f>
        <v>120673</v>
      </c>
      <c r="AC47" s="106">
        <f t="shared" ref="AC47:AC52" si="72">AB47/$AB$15</f>
        <v>9.9651880298431928E-4</v>
      </c>
      <c r="AE47" s="54">
        <f>400+142996+5740</f>
        <v>149136</v>
      </c>
      <c r="AF47" s="107">
        <f t="shared" si="45"/>
        <v>1.2389618819340505E-3</v>
      </c>
      <c r="AH47" s="54">
        <f>0+7200+180</f>
        <v>7380</v>
      </c>
      <c r="AI47" s="107">
        <f t="shared" si="46"/>
        <v>3.4522722154189074E-5</v>
      </c>
      <c r="AK47" s="54">
        <f>AL47*AK$15</f>
        <v>7612.2602349986919</v>
      </c>
      <c r="AL47" s="410">
        <f>AI47*(1+AK$22)</f>
        <v>3.6248858261898531E-5</v>
      </c>
      <c r="AN47" s="54">
        <f>AO47*AN$15</f>
        <v>5328.5821644990847</v>
      </c>
      <c r="AO47" s="410">
        <f>AL47*(1+AN$22)</f>
        <v>3.806130117499346E-5</v>
      </c>
      <c r="AQ47" s="506"/>
      <c r="AR47" s="107"/>
      <c r="AS47" s="68"/>
      <c r="AT47" s="68"/>
      <c r="AU47" s="54">
        <f>0+1236000+0</f>
        <v>1236000</v>
      </c>
      <c r="AV47" s="107">
        <f t="shared" ref="AV47:AV50" si="73">(AU47-AW47)/(AU$15+AV$15)</f>
        <v>4.1199999999999995E-3</v>
      </c>
      <c r="AW47" s="68">
        <f t="shared" ref="AW47:AW51" si="74">AU47*$AW$16</f>
        <v>853750.52</v>
      </c>
      <c r="AX47" s="68"/>
      <c r="AY47" s="87">
        <f>AZ47*SUM(AY$15:AZ$15)</f>
        <v>336184.60922654025</v>
      </c>
      <c r="AZ47" s="107">
        <f>AV47*(1+AY$22)</f>
        <v>4.326E-3</v>
      </c>
      <c r="BA47" s="68">
        <f t="shared" ref="BA47:BA51" si="75">AY47*BA$16</f>
        <v>249098.70116612909</v>
      </c>
      <c r="BC47" s="87">
        <f>BD47*SUM(BC$15:BD$15)</f>
        <v>433939.00990860001</v>
      </c>
      <c r="BD47" s="107">
        <f>AZ47*(1+BC$22)</f>
        <v>4.5423E-3</v>
      </c>
      <c r="BE47" s="68">
        <f t="shared" ref="BE47:BE51" si="76">BC47*BE$16</f>
        <v>295754.19581261632</v>
      </c>
      <c r="BG47" s="87">
        <f>BH47*SUM(BG$15:BH$15)</f>
        <v>1254620.8999960651</v>
      </c>
      <c r="BH47" s="107">
        <f>BD47*(1+BG$22)</f>
        <v>4.7694149999999999E-3</v>
      </c>
      <c r="BI47" s="68">
        <f t="shared" ref="BI47:BI51" si="77">BG47*BI$16</f>
        <v>154504.42679691582</v>
      </c>
      <c r="BK47" s="87">
        <f>BL47*SUM(BK$15:BL$15)</f>
        <v>1473646.1037056069</v>
      </c>
      <c r="BL47" s="107">
        <f>BH47*(1+BK$22)</f>
        <v>5.0078857499999997E-3</v>
      </c>
      <c r="BM47" s="68">
        <f t="shared" ref="BM47:BM51" si="78">BK47*BM$16</f>
        <v>0</v>
      </c>
      <c r="BO47" s="87">
        <f>BP47*SUM(BO$15:BP$15)</f>
        <v>1550213.5436628882</v>
      </c>
      <c r="BP47" s="107">
        <f>BL47*(1+BO$22)</f>
        <v>5.2582800375000002E-3</v>
      </c>
      <c r="BQ47" s="68">
        <f t="shared" ref="BQ47:BQ51" si="79">BO47*BQ$16</f>
        <v>0</v>
      </c>
      <c r="BS47" s="87">
        <f>BT47*SUM(BS$15:BT$15)</f>
        <v>1847093.4798149178</v>
      </c>
      <c r="BT47" s="107">
        <f>BP47*(1+BS$22)</f>
        <v>5.5211940393750008E-3</v>
      </c>
      <c r="BU47" s="68">
        <f t="shared" ref="BU47:BU51" si="80">BS47*BU$16</f>
        <v>0</v>
      </c>
      <c r="BW47" s="87">
        <f>BX47*SUM(BW$15:BX$15)</f>
        <v>2151090.4479815145</v>
      </c>
      <c r="BX47" s="107">
        <f>BT47*(1+BW$22)</f>
        <v>5.7972537413437508E-3</v>
      </c>
      <c r="BY47" s="68">
        <f t="shared" ref="BY47:BY51" si="81">BW47*BY$16</f>
        <v>0</v>
      </c>
      <c r="BZ47" s="106"/>
    </row>
    <row r="48" spans="1:78" ht="15" customHeight="1">
      <c r="B48" s="54" t="s">
        <v>1200</v>
      </c>
      <c r="G48" s="54">
        <v>63448</v>
      </c>
      <c r="H48" s="106">
        <f t="shared" si="44"/>
        <v>2.3649855935967725E-4</v>
      </c>
      <c r="J48" s="54">
        <v>33295</v>
      </c>
      <c r="K48" s="106">
        <f t="shared" si="34"/>
        <v>1.3951559865684547E-4</v>
      </c>
      <c r="M48" s="54">
        <v>40817</v>
      </c>
      <c r="N48" s="106">
        <f t="shared" si="35"/>
        <v>1.8202947185453413E-4</v>
      </c>
      <c r="P48" s="54">
        <v>41051</v>
      </c>
      <c r="Q48" s="106">
        <f t="shared" si="36"/>
        <v>1.8210571269670876E-4</v>
      </c>
      <c r="S48" s="54">
        <v>117721</v>
      </c>
      <c r="T48" s="106">
        <f t="shared" si="37"/>
        <v>2.8782640586797067E-4</v>
      </c>
      <c r="V48" s="54">
        <f>58919</f>
        <v>58919</v>
      </c>
      <c r="W48" s="106">
        <f t="shared" si="38"/>
        <v>1.5701246240684236E-4</v>
      </c>
      <c r="Y48" s="54">
        <v>124296</v>
      </c>
      <c r="Z48" s="106">
        <f t="shared" si="39"/>
        <v>4.3746403475892072E-4</v>
      </c>
      <c r="AB48" s="68">
        <v>102901</v>
      </c>
      <c r="AC48" s="106">
        <f t="shared" si="72"/>
        <v>8.4975745482327803E-4</v>
      </c>
      <c r="AE48" s="54">
        <v>165000</v>
      </c>
      <c r="AF48" s="107">
        <f t="shared" si="45"/>
        <v>1.3707536109263917E-3</v>
      </c>
      <c r="AH48" s="54">
        <v>48000</v>
      </c>
      <c r="AI48" s="107">
        <f t="shared" si="46"/>
        <v>2.2453803027114847E-4</v>
      </c>
      <c r="AK48" s="54">
        <f>AL48*AK$15</f>
        <v>49510.635674788238</v>
      </c>
      <c r="AL48" s="410">
        <f>AI48*(1+AK$22)</f>
        <v>2.3576493178470591E-4</v>
      </c>
      <c r="AN48" s="54">
        <f>AO48*AN$15</f>
        <v>34657.444972351776</v>
      </c>
      <c r="AO48" s="410">
        <f>AL48*(1+AN$22)</f>
        <v>2.4755317837394123E-4</v>
      </c>
      <c r="AQ48" s="506"/>
      <c r="AR48" s="107"/>
      <c r="AS48" s="68"/>
      <c r="AT48" s="68"/>
      <c r="AU48" s="87">
        <v>100000</v>
      </c>
      <c r="AV48" s="107">
        <f t="shared" si="73"/>
        <v>3.3333333333333327E-4</v>
      </c>
      <c r="AW48" s="68">
        <f t="shared" si="74"/>
        <v>69073.666666666672</v>
      </c>
      <c r="AX48" s="68"/>
      <c r="AY48" s="87">
        <f t="shared" ref="AY48:AY51" si="82">AZ48*SUM(AY$15:AZ$15)</f>
        <v>27199.402040982219</v>
      </c>
      <c r="AZ48" s="107">
        <f t="shared" ref="AZ48:AZ51" si="83">AV48*(1+AY$22)</f>
        <v>3.4999999999999994E-4</v>
      </c>
      <c r="BA48" s="68">
        <f t="shared" si="75"/>
        <v>20153.616599201381</v>
      </c>
      <c r="BC48" s="87">
        <f t="shared" ref="BC48:BC50" si="84">BD48*SUM(BC$15:BD$15)</f>
        <v>35108.33413499999</v>
      </c>
      <c r="BD48" s="107">
        <f t="shared" ref="BD48:BD51" si="85">AZ48*(1+BC$22)</f>
        <v>3.6749999999999993E-4</v>
      </c>
      <c r="BE48" s="68">
        <f t="shared" si="76"/>
        <v>23928.332994548236</v>
      </c>
      <c r="BG48" s="87">
        <f t="shared" ref="BG48:BG50" si="86">BH48*SUM(BG$15:BH$15)</f>
        <v>101506.54530712498</v>
      </c>
      <c r="BH48" s="107">
        <f t="shared" ref="BH48:BH51" si="87">BD48*(1+BG$22)</f>
        <v>3.8587499999999993E-4</v>
      </c>
      <c r="BI48" s="68">
        <f t="shared" si="77"/>
        <v>12500.358155090273</v>
      </c>
      <c r="BK48" s="87">
        <f t="shared" ref="BK48:BK50" si="88">BL48*SUM(BK$15:BL$15)</f>
        <v>119227.03104414295</v>
      </c>
      <c r="BL48" s="107">
        <f t="shared" ref="BL48:BL51" si="89">BH48*(1+BK$22)</f>
        <v>4.0516874999999995E-4</v>
      </c>
      <c r="BM48" s="68">
        <f t="shared" si="78"/>
        <v>0</v>
      </c>
      <c r="BO48" s="87">
        <f t="shared" ref="BO48:BO50" si="90">BP48*SUM(BO$15:BP$15)</f>
        <v>125421.80773971586</v>
      </c>
      <c r="BP48" s="107">
        <f t="shared" ref="BP48:BP51" si="91">BL48*(1+BO$22)</f>
        <v>4.2542718749999999E-4</v>
      </c>
      <c r="BQ48" s="68">
        <f t="shared" si="79"/>
        <v>0</v>
      </c>
      <c r="BS48" s="87">
        <f t="shared" ref="BS48:BS50" si="92">BT48*SUM(BS$15:BT$15)</f>
        <v>149441.22004975061</v>
      </c>
      <c r="BT48" s="107">
        <f t="shared" ref="BT48:BT51" si="93">BP48*(1+BS$22)</f>
        <v>4.4669854687500002E-4</v>
      </c>
      <c r="BU48" s="68">
        <f t="shared" si="80"/>
        <v>0</v>
      </c>
      <c r="BW48" s="87">
        <f t="shared" ref="BW48:BW50" si="94">BX48*SUM(BW$15:BX$15)</f>
        <v>174036.44401144941</v>
      </c>
      <c r="BX48" s="107">
        <f t="shared" ref="BX48:BX51" si="95">BT48*(1+BW$22)</f>
        <v>4.6903347421875004E-4</v>
      </c>
      <c r="BY48" s="68">
        <f t="shared" si="81"/>
        <v>0</v>
      </c>
      <c r="BZ48" s="106"/>
    </row>
    <row r="49" spans="1:78" ht="15" customHeight="1">
      <c r="B49" s="54" t="s">
        <v>196</v>
      </c>
      <c r="G49" s="54">
        <v>1752656.7199999969</v>
      </c>
      <c r="H49" s="106">
        <f t="shared" si="44"/>
        <v>6.5329212793477573E-3</v>
      </c>
      <c r="J49" s="54">
        <v>2162913</v>
      </c>
      <c r="K49" s="106">
        <f t="shared" si="34"/>
        <v>9.0632257707665906E-3</v>
      </c>
      <c r="M49" s="54">
        <f>1187225.87+319029.5</f>
        <v>1506255.37</v>
      </c>
      <c r="N49" s="106">
        <f t="shared" si="35"/>
        <v>6.717369465643136E-3</v>
      </c>
      <c r="P49" s="54">
        <v>1729434</v>
      </c>
      <c r="Q49" s="106">
        <f t="shared" si="36"/>
        <v>7.6719156934525294E-3</v>
      </c>
      <c r="S49" s="54">
        <v>1543740</v>
      </c>
      <c r="T49" s="106">
        <f t="shared" si="37"/>
        <v>3.7744254278728605E-3</v>
      </c>
      <c r="V49" s="54">
        <f>416449+1321033</f>
        <v>1737482</v>
      </c>
      <c r="W49" s="106">
        <f t="shared" si="38"/>
        <v>4.6301927596796499E-3</v>
      </c>
      <c r="Y49" s="54">
        <v>1287047.0533333332</v>
      </c>
      <c r="Z49" s="106">
        <f t="shared" si="39"/>
        <v>4.5298062437711568E-3</v>
      </c>
      <c r="AB49" s="68">
        <v>1428107</v>
      </c>
      <c r="AC49" s="106">
        <f t="shared" si="72"/>
        <v>1.1793321440367996E-2</v>
      </c>
      <c r="AE49" s="54">
        <v>800000</v>
      </c>
      <c r="AF49" s="107">
        <f t="shared" si="45"/>
        <v>6.6460781135825051E-3</v>
      </c>
      <c r="AH49" s="54">
        <v>540000</v>
      </c>
      <c r="AI49" s="107">
        <f t="shared" si="46"/>
        <v>2.5260528405504201E-3</v>
      </c>
      <c r="AK49" s="54">
        <f>AL49*AK$15</f>
        <v>556994.65134136763</v>
      </c>
      <c r="AL49" s="410">
        <f>AI49*(1+AK$22)</f>
        <v>2.6523554825779411E-3</v>
      </c>
      <c r="AN49" s="54">
        <f>AO49*AN$15</f>
        <v>389896.25593895733</v>
      </c>
      <c r="AO49" s="410">
        <f>AL49*(1+AN$22)</f>
        <v>2.7849732567068381E-3</v>
      </c>
      <c r="AQ49" s="97"/>
      <c r="AR49" s="106"/>
      <c r="AS49" s="68"/>
      <c r="AT49" s="68"/>
      <c r="AU49" s="54">
        <v>600000</v>
      </c>
      <c r="AV49" s="107">
        <f t="shared" si="73"/>
        <v>2E-3</v>
      </c>
      <c r="AW49" s="68">
        <f t="shared" si="74"/>
        <v>414442</v>
      </c>
      <c r="AX49" s="68"/>
      <c r="AY49" s="87">
        <f t="shared" si="82"/>
        <v>163196.41224589336</v>
      </c>
      <c r="AZ49" s="107">
        <f t="shared" si="83"/>
        <v>2.1000000000000003E-3</v>
      </c>
      <c r="BA49" s="68">
        <f t="shared" si="75"/>
        <v>120921.69959520832</v>
      </c>
      <c r="BC49" s="87">
        <f t="shared" si="84"/>
        <v>210650.00481000004</v>
      </c>
      <c r="BD49" s="107">
        <f t="shared" si="85"/>
        <v>2.2050000000000004E-3</v>
      </c>
      <c r="BE49" s="68">
        <f t="shared" si="76"/>
        <v>143569.9979672895</v>
      </c>
      <c r="BG49" s="87">
        <f t="shared" si="86"/>
        <v>609039.27184275014</v>
      </c>
      <c r="BH49" s="107">
        <f t="shared" si="87"/>
        <v>2.3152500000000005E-3</v>
      </c>
      <c r="BI49" s="68">
        <f t="shared" si="77"/>
        <v>75002.148930541662</v>
      </c>
      <c r="BK49" s="87">
        <f t="shared" si="88"/>
        <v>715362.186264858</v>
      </c>
      <c r="BL49" s="107">
        <f t="shared" si="89"/>
        <v>2.4310125000000008E-3</v>
      </c>
      <c r="BM49" s="68">
        <f t="shared" si="78"/>
        <v>0</v>
      </c>
      <c r="BO49" s="87">
        <f t="shared" si="90"/>
        <v>752530.84643829556</v>
      </c>
      <c r="BP49" s="107">
        <f t="shared" si="91"/>
        <v>2.5525631250000011E-3</v>
      </c>
      <c r="BQ49" s="68">
        <f t="shared" si="79"/>
        <v>0</v>
      </c>
      <c r="BS49" s="87">
        <f t="shared" si="92"/>
        <v>896647.32029850408</v>
      </c>
      <c r="BT49" s="107">
        <f t="shared" si="93"/>
        <v>2.6801912812500013E-3</v>
      </c>
      <c r="BU49" s="68">
        <f t="shared" si="80"/>
        <v>0</v>
      </c>
      <c r="BW49" s="87">
        <f t="shared" si="94"/>
        <v>1044218.6640686969</v>
      </c>
      <c r="BX49" s="107">
        <f t="shared" si="95"/>
        <v>2.8142008453125016E-3</v>
      </c>
      <c r="BY49" s="68">
        <f t="shared" si="81"/>
        <v>0</v>
      </c>
      <c r="BZ49" s="106"/>
    </row>
    <row r="50" spans="1:78" ht="15" customHeight="1">
      <c r="B50" s="54" t="s">
        <v>197</v>
      </c>
      <c r="G50" s="54">
        <v>802460.5</v>
      </c>
      <c r="H50" s="106">
        <f t="shared" si="44"/>
        <v>2.9911226861846912E-3</v>
      </c>
      <c r="J50" s="54">
        <v>862420</v>
      </c>
      <c r="K50" s="106">
        <f t="shared" si="34"/>
        <v>3.6137871330120639E-3</v>
      </c>
      <c r="M50" s="54">
        <v>392026.15</v>
      </c>
      <c r="N50" s="106">
        <f t="shared" si="35"/>
        <v>1.748298822492255E-3</v>
      </c>
      <c r="P50" s="54">
        <v>249446</v>
      </c>
      <c r="Q50" s="106">
        <f t="shared" si="36"/>
        <v>1.1065635821135469E-3</v>
      </c>
      <c r="S50" s="54">
        <v>264000</v>
      </c>
      <c r="T50" s="106">
        <f t="shared" si="37"/>
        <v>6.4547677261613695E-4</v>
      </c>
      <c r="V50" s="54">
        <v>254297</v>
      </c>
      <c r="W50" s="106">
        <f t="shared" si="38"/>
        <v>6.7767270579393386E-4</v>
      </c>
      <c r="Y50" s="54">
        <v>747463</v>
      </c>
      <c r="Z50" s="106">
        <f t="shared" si="39"/>
        <v>2.630721662909564E-3</v>
      </c>
      <c r="AB50" s="68">
        <f>216045+281699</f>
        <v>497744</v>
      </c>
      <c r="AC50" s="106">
        <f t="shared" si="72"/>
        <v>4.1103747737491151E-3</v>
      </c>
      <c r="AE50" s="54">
        <f>223534+280000</f>
        <v>503534</v>
      </c>
      <c r="AF50" s="107">
        <f t="shared" si="45"/>
        <v>4.1831578710558167E-3</v>
      </c>
      <c r="AH50" s="54">
        <f>135000+200000</f>
        <v>335000</v>
      </c>
      <c r="AI50" s="107">
        <f t="shared" si="46"/>
        <v>1.5670883362673904E-3</v>
      </c>
      <c r="AK50" s="54">
        <f>AL50*AK$15</f>
        <v>345542.97814695956</v>
      </c>
      <c r="AL50" s="410">
        <f>AI50*(1+AK$22)</f>
        <v>1.6454427530807599E-3</v>
      </c>
      <c r="AN50" s="54">
        <f>AO50*AN$15</f>
        <v>241880.08470287171</v>
      </c>
      <c r="AO50" s="410">
        <f>AL50*(1+AN$22)</f>
        <v>1.727714890734798E-3</v>
      </c>
      <c r="AQ50" s="97"/>
      <c r="AR50" s="106"/>
      <c r="AS50" s="68"/>
      <c r="AT50" s="68"/>
      <c r="AU50" s="54">
        <f>525600+240000</f>
        <v>765600</v>
      </c>
      <c r="AV50" s="107">
        <f t="shared" si="73"/>
        <v>2.5520000000000004E-3</v>
      </c>
      <c r="AW50" s="68">
        <f t="shared" si="74"/>
        <v>528827.99199999997</v>
      </c>
      <c r="AX50" s="68"/>
      <c r="AY50" s="87">
        <f t="shared" si="82"/>
        <v>208238.62202575995</v>
      </c>
      <c r="AZ50" s="107">
        <f t="shared" si="83"/>
        <v>2.6796000000000007E-3</v>
      </c>
      <c r="BA50" s="68">
        <f t="shared" si="75"/>
        <v>154296.08868348584</v>
      </c>
      <c r="BC50" s="87">
        <f t="shared" si="84"/>
        <v>268789.40613756009</v>
      </c>
      <c r="BD50" s="107">
        <f t="shared" si="85"/>
        <v>2.8135800000000009E-3</v>
      </c>
      <c r="BE50" s="68">
        <f t="shared" si="76"/>
        <v>183195.31740626143</v>
      </c>
      <c r="BG50" s="87">
        <f t="shared" si="86"/>
        <v>777134.11087134934</v>
      </c>
      <c r="BH50" s="107">
        <f t="shared" si="87"/>
        <v>2.9542590000000012E-3</v>
      </c>
      <c r="BI50" s="68">
        <f t="shared" si="77"/>
        <v>95702.742035371193</v>
      </c>
      <c r="BK50" s="87">
        <f t="shared" si="88"/>
        <v>912802.14967395889</v>
      </c>
      <c r="BL50" s="107">
        <f t="shared" si="89"/>
        <v>3.1019719500000012E-3</v>
      </c>
      <c r="BM50" s="68">
        <f t="shared" si="78"/>
        <v>0</v>
      </c>
      <c r="BO50" s="87">
        <f t="shared" si="90"/>
        <v>960229.36005526502</v>
      </c>
      <c r="BP50" s="107">
        <f t="shared" si="91"/>
        <v>3.2570705475000014E-3</v>
      </c>
      <c r="BQ50" s="68">
        <f t="shared" si="79"/>
        <v>0</v>
      </c>
      <c r="BS50" s="87">
        <f t="shared" si="92"/>
        <v>1144121.9807008912</v>
      </c>
      <c r="BT50" s="107">
        <f t="shared" si="93"/>
        <v>3.4199240748750016E-3</v>
      </c>
      <c r="BU50" s="68">
        <f t="shared" si="80"/>
        <v>0</v>
      </c>
      <c r="BW50" s="87">
        <f t="shared" si="94"/>
        <v>1332423.0153516571</v>
      </c>
      <c r="BX50" s="107">
        <f t="shared" si="95"/>
        <v>3.5909202786187518E-3</v>
      </c>
      <c r="BY50" s="68">
        <f t="shared" si="81"/>
        <v>0</v>
      </c>
      <c r="BZ50" s="106"/>
    </row>
    <row r="51" spans="1:78" ht="15" customHeight="1">
      <c r="B51" s="54" t="s">
        <v>1324</v>
      </c>
      <c r="H51" s="106"/>
      <c r="K51" s="106"/>
      <c r="N51" s="106"/>
      <c r="Q51" s="106"/>
      <c r="T51" s="106"/>
      <c r="W51" s="106"/>
      <c r="Z51" s="106"/>
      <c r="AB51" s="68"/>
      <c r="AC51" s="106">
        <f t="shared" si="72"/>
        <v>0</v>
      </c>
      <c r="AE51" s="68"/>
      <c r="AF51" s="107">
        <f t="shared" si="45"/>
        <v>0</v>
      </c>
      <c r="AH51" s="54">
        <v>3000000</v>
      </c>
      <c r="AI51" s="107">
        <f t="shared" si="46"/>
        <v>1.4033626891946779E-2</v>
      </c>
      <c r="AL51" s="410">
        <f>AI51*(1+AK$22)</f>
        <v>1.4735308236544118E-2</v>
      </c>
      <c r="AO51" s="410">
        <f>AL51*(1+AN$22)</f>
        <v>1.5472073648371325E-2</v>
      </c>
      <c r="AQ51" s="97"/>
      <c r="AR51" s="106"/>
      <c r="AS51" s="68"/>
      <c r="AT51" s="68"/>
      <c r="AU51" s="54">
        <v>0</v>
      </c>
      <c r="AV51" s="107">
        <f t="shared" ref="AV51:AV57" si="96">(AU51-AW51)/($AU$15+$AV$15)</f>
        <v>0</v>
      </c>
      <c r="AW51" s="68">
        <f t="shared" si="74"/>
        <v>0</v>
      </c>
      <c r="AX51" s="68"/>
      <c r="AY51" s="68">
        <f t="shared" si="82"/>
        <v>0</v>
      </c>
      <c r="AZ51" s="107">
        <f t="shared" si="83"/>
        <v>0</v>
      </c>
      <c r="BA51" s="68">
        <f t="shared" si="75"/>
        <v>0</v>
      </c>
      <c r="BC51" s="54">
        <f t="shared" ref="BC51" si="97">AY51*(1+BC$22)</f>
        <v>0</v>
      </c>
      <c r="BD51" s="107">
        <f t="shared" si="85"/>
        <v>0</v>
      </c>
      <c r="BE51" s="68">
        <f t="shared" si="76"/>
        <v>0</v>
      </c>
      <c r="BG51" s="54">
        <f t="shared" ref="BG51" si="98">BC51*(1+BG$22)</f>
        <v>0</v>
      </c>
      <c r="BH51" s="107">
        <f t="shared" si="87"/>
        <v>0</v>
      </c>
      <c r="BI51" s="68">
        <f t="shared" si="77"/>
        <v>0</v>
      </c>
      <c r="BK51" s="54">
        <f t="shared" ref="BK51" si="99">BG51*(1+BK$22)</f>
        <v>0</v>
      </c>
      <c r="BL51" s="107">
        <f t="shared" si="89"/>
        <v>0</v>
      </c>
      <c r="BM51" s="68">
        <f t="shared" si="78"/>
        <v>0</v>
      </c>
      <c r="BO51" s="54">
        <f t="shared" ref="BO51" si="100">BK51*(1+BO$22)</f>
        <v>0</v>
      </c>
      <c r="BP51" s="107">
        <f t="shared" si="91"/>
        <v>0</v>
      </c>
      <c r="BQ51" s="68">
        <f t="shared" si="79"/>
        <v>0</v>
      </c>
      <c r="BS51" s="54">
        <f t="shared" ref="BS51" si="101">BO51*(1+BS$22)</f>
        <v>0</v>
      </c>
      <c r="BT51" s="107">
        <f t="shared" si="93"/>
        <v>0</v>
      </c>
      <c r="BU51" s="68">
        <f t="shared" si="80"/>
        <v>0</v>
      </c>
      <c r="BW51" s="54">
        <f t="shared" ref="BW51" si="102">BS51*(1+BW$22)</f>
        <v>0</v>
      </c>
      <c r="BX51" s="107">
        <f t="shared" si="95"/>
        <v>0</v>
      </c>
      <c r="BY51" s="68">
        <f t="shared" si="81"/>
        <v>0</v>
      </c>
      <c r="BZ51" s="106"/>
    </row>
    <row r="52" spans="1:78" ht="15" customHeight="1">
      <c r="B52" s="54" t="s">
        <v>780</v>
      </c>
      <c r="G52" s="98">
        <v>0</v>
      </c>
      <c r="H52" s="109">
        <f t="shared" si="44"/>
        <v>0</v>
      </c>
      <c r="J52" s="98">
        <v>0</v>
      </c>
      <c r="K52" s="109">
        <f t="shared" si="34"/>
        <v>0</v>
      </c>
      <c r="M52" s="98">
        <v>0</v>
      </c>
      <c r="N52" s="109">
        <f>M52/$M$15</f>
        <v>0</v>
      </c>
      <c r="P52" s="98">
        <v>0</v>
      </c>
      <c r="Q52" s="109">
        <f t="shared" si="36"/>
        <v>0</v>
      </c>
      <c r="S52" s="98">
        <v>0</v>
      </c>
      <c r="T52" s="106">
        <f t="shared" si="37"/>
        <v>0</v>
      </c>
      <c r="V52" s="98"/>
      <c r="W52" s="106">
        <f t="shared" si="38"/>
        <v>0</v>
      </c>
      <c r="Y52" s="98">
        <v>-5283386.1099999994</v>
      </c>
      <c r="Z52" s="106">
        <f t="shared" si="39"/>
        <v>-1.859505860904485E-2</v>
      </c>
      <c r="AB52" s="98">
        <f>-1201425-2635136</f>
        <v>-3836561</v>
      </c>
      <c r="AC52" s="106">
        <f t="shared" si="72"/>
        <v>-3.1682357903560221E-2</v>
      </c>
      <c r="AE52" s="98"/>
      <c r="AF52" s="109"/>
      <c r="AH52" s="98"/>
      <c r="AI52" s="109"/>
      <c r="AK52" s="98"/>
      <c r="AL52" s="109"/>
      <c r="AN52" s="98"/>
      <c r="AO52" s="109"/>
      <c r="AQ52" s="98"/>
      <c r="AR52" s="109"/>
      <c r="AU52" s="98"/>
      <c r="AV52" s="98"/>
      <c r="AW52" s="98"/>
      <c r="AX52" s="98"/>
      <c r="AY52" s="98"/>
      <c r="AZ52" s="109"/>
      <c r="BA52" s="98"/>
      <c r="BC52" s="98"/>
      <c r="BD52" s="109"/>
      <c r="BE52" s="98"/>
      <c r="BG52" s="98"/>
      <c r="BH52" s="109"/>
      <c r="BI52" s="98"/>
      <c r="BK52" s="98"/>
      <c r="BL52" s="109"/>
      <c r="BM52" s="98"/>
      <c r="BO52" s="98"/>
      <c r="BP52" s="109"/>
      <c r="BQ52" s="98"/>
      <c r="BS52" s="98"/>
      <c r="BT52" s="109"/>
      <c r="BU52" s="98"/>
      <c r="BW52" s="98"/>
      <c r="BX52" s="109"/>
      <c r="BY52" s="98"/>
      <c r="BZ52" s="1627"/>
    </row>
    <row r="53" spans="1:78">
      <c r="G53" s="54">
        <f>SUM(G39:G52)</f>
        <v>11689156.159999996</v>
      </c>
      <c r="H53" s="106">
        <f>G53/G15</f>
        <v>4.3570618332655027E-2</v>
      </c>
      <c r="J53" s="54">
        <f>SUM(J39:J52)</f>
        <v>11718466</v>
      </c>
      <c r="K53" s="106">
        <f t="shared" si="34"/>
        <v>4.9103733273160817E-2</v>
      </c>
      <c r="M53" s="54">
        <f>SUM(M39:M52)</f>
        <v>9419896.9200000018</v>
      </c>
      <c r="N53" s="106">
        <f>M53/$M$15</f>
        <v>4.2009428945580345E-2</v>
      </c>
      <c r="P53" s="54">
        <f>SUM(P39:P52)</f>
        <v>9270704</v>
      </c>
      <c r="Q53" s="106">
        <f t="shared" si="36"/>
        <v>4.1125628099686451E-2</v>
      </c>
      <c r="S53" s="54">
        <f>SUM(S39:S52)</f>
        <v>14585620</v>
      </c>
      <c r="T53" s="216">
        <f t="shared" si="37"/>
        <v>3.5661662591687043E-2</v>
      </c>
      <c r="V53" s="54">
        <f>SUM(V39:V52)</f>
        <v>11851261</v>
      </c>
      <c r="W53" s="216">
        <f t="shared" si="38"/>
        <v>3.1582268406391431E-2</v>
      </c>
      <c r="Y53" s="54">
        <f>SUM(Y39:Y52)</f>
        <v>6921076.9699999988</v>
      </c>
      <c r="Z53" s="107">
        <f>Y53/$Y$15</f>
        <v>2.435896775578655E-2</v>
      </c>
      <c r="AB53" s="54">
        <f>SUM(AB39:AB52)</f>
        <v>5504458</v>
      </c>
      <c r="AC53" s="107">
        <f>AB53/AB15</f>
        <v>4.5455867486823558E-2</v>
      </c>
      <c r="AE53" s="54">
        <f>SUM(AE39:AE52)</f>
        <v>8412529</v>
      </c>
      <c r="AF53" s="107">
        <f>AE53/AE$15</f>
        <v>6.9887906083472645E-2</v>
      </c>
      <c r="AH53" s="54">
        <f>SUM(AH39:AH52)</f>
        <v>10602207.08</v>
      </c>
      <c r="AI53" s="107">
        <f>AH53/AH$15</f>
        <v>4.959580613062551E-2</v>
      </c>
      <c r="AK53" s="54">
        <f>SUM(AK39:AK52)</f>
        <v>7965078.9593981151</v>
      </c>
      <c r="AL53" s="107">
        <f>AK53/AK15</f>
        <v>3.7928947425705309E-2</v>
      </c>
      <c r="AN53" s="54">
        <f>SUM(AN39:AN52)</f>
        <v>4349607.0456286799</v>
      </c>
      <c r="AO53" s="107">
        <f>AN53/AN15</f>
        <v>3.1068621754490572E-2</v>
      </c>
      <c r="AQ53" s="54">
        <f>SUM(AQ39:AQ52)</f>
        <v>0</v>
      </c>
      <c r="AR53" s="107">
        <f>AQ53/AU15</f>
        <v>0</v>
      </c>
      <c r="AU53" s="54">
        <f>SUM(AU39:AU51)</f>
        <v>24721688.780000001</v>
      </c>
      <c r="AV53" s="107">
        <f>(AU53-AW53)/(AU$15+AV$15)</f>
        <v>8.2405629266666683E-2</v>
      </c>
      <c r="AW53" s="54">
        <f>SUM(AW39:AW51)</f>
        <v>17076176.902267933</v>
      </c>
      <c r="AY53" s="54">
        <f>SUM(AY39:AY51)</f>
        <v>23855912.264539175</v>
      </c>
      <c r="AZ53" s="107">
        <f>(AY53-BA53)/(AY$15+AZ$15)</f>
        <v>7.951970754846388E-2</v>
      </c>
      <c r="BA53" s="54">
        <f>SUM(BA39:BA51)</f>
        <v>17676230.84799061</v>
      </c>
      <c r="BC53" s="54">
        <f>SUM(BC39:BC51)</f>
        <v>25225634.634941164</v>
      </c>
      <c r="BD53" s="107">
        <f>(BC53-BE53)/(BC$15+BD$15)</f>
        <v>8.4085448783137243E-2</v>
      </c>
      <c r="BE53" s="54">
        <f>SUM(BE39:BE51)</f>
        <v>17192709.378424671</v>
      </c>
      <c r="BG53" s="54">
        <f>SUM(BG39:BG51)</f>
        <v>28233306.101964794</v>
      </c>
      <c r="BH53" s="107">
        <f>(BG53-BI53)/(BG$15+BH$15)</f>
        <v>9.4111020339882653E-2</v>
      </c>
      <c r="BI53" s="54">
        <f>SUM(BI39:BI51)</f>
        <v>3476883.5557255722</v>
      </c>
      <c r="BK53" s="54">
        <f>SUM(BK39:BK51)</f>
        <v>29986593.008333445</v>
      </c>
      <c r="BL53" s="107">
        <f>(BK53-BM53)/(BK$15+BL$15)</f>
        <v>0.101903320912578</v>
      </c>
      <c r="BM53" s="54">
        <f>SUM(BM39:BM51)</f>
        <v>0</v>
      </c>
      <c r="BO53" s="54">
        <f>SUM(BO39:BO51)</f>
        <v>31492228.872423284</v>
      </c>
      <c r="BP53" s="107">
        <f>(BO53-BQ53)/(BO$15+BP$15)</f>
        <v>0.1068207403381163</v>
      </c>
      <c r="BQ53" s="54">
        <f>SUM(BQ39:BQ51)</f>
        <v>0</v>
      </c>
      <c r="BS53" s="54">
        <f>SUM(BS39:BS51)</f>
        <v>33546328.98111755</v>
      </c>
      <c r="BT53" s="107">
        <f>(BS53-BU53)/(BS$15+BT$15)</f>
        <v>0.10027418408299402</v>
      </c>
      <c r="BU53" s="54">
        <f>SUM(BU39:BU51)</f>
        <v>0</v>
      </c>
      <c r="BW53" s="54">
        <f>SUM(BW39:BW51)</f>
        <v>35686244.800679483</v>
      </c>
      <c r="BX53" s="107">
        <f>(BW53-BY53)/(BW$15+BX$15)</f>
        <v>9.6175507812503627E-2</v>
      </c>
      <c r="BY53" s="54">
        <f>SUM(BY39:BY51)</f>
        <v>0</v>
      </c>
      <c r="BZ53" s="107"/>
    </row>
    <row r="54" spans="1:78">
      <c r="A54" s="54" t="s">
        <v>198</v>
      </c>
      <c r="H54" s="103"/>
      <c r="J54" s="54">
        <v>89905</v>
      </c>
      <c r="K54" s="106">
        <f>J54/$J$15</f>
        <v>3.7672773381119365E-4</v>
      </c>
      <c r="N54" s="103"/>
      <c r="Q54" s="103"/>
      <c r="T54" s="103"/>
      <c r="W54" s="103"/>
      <c r="Z54" s="103">
        <f>Y54/$Y$15</f>
        <v>0</v>
      </c>
      <c r="AC54" s="103"/>
      <c r="AF54" s="103"/>
      <c r="AI54" s="103"/>
      <c r="AL54" s="103"/>
      <c r="AO54" s="103"/>
      <c r="AR54" s="103"/>
      <c r="AV54" s="103">
        <f t="shared" si="96"/>
        <v>0</v>
      </c>
      <c r="AZ54" s="103">
        <f t="shared" ref="AZ54:AZ58" si="103">(AY54-BA54)/($AU$15+$AV$15)</f>
        <v>0</v>
      </c>
      <c r="BD54" s="103">
        <f t="shared" ref="BD54:BD58" si="104">(BC54-BE54)/($AU$15+$AV$15)</f>
        <v>0</v>
      </c>
      <c r="BH54" s="103">
        <f t="shared" ref="BH54:BH58" si="105">(BG54-BI54)/($AU$15+$AV$15)</f>
        <v>0</v>
      </c>
      <c r="BL54" s="103">
        <f t="shared" ref="BL54:BL57" si="106">(BK54-BM54)/($AU$15+$AV$15)</f>
        <v>0</v>
      </c>
      <c r="BP54" s="103">
        <f t="shared" ref="BP54:BP57" si="107">(BO54-BQ54)/($AU$15+$AV$15)</f>
        <v>0</v>
      </c>
      <c r="BT54" s="103">
        <f t="shared" ref="BT54:BT57" si="108">(BS54-BU54)/($AU$15+$AV$15)</f>
        <v>0</v>
      </c>
      <c r="BX54" s="103">
        <f t="shared" ref="BX54:BX57" si="109">(BW54-BY54)/($AU$15+$AV$15)</f>
        <v>0</v>
      </c>
      <c r="BZ54" s="103"/>
    </row>
    <row r="55" spans="1:78" ht="15">
      <c r="A55" s="59" t="s">
        <v>199</v>
      </c>
      <c r="G55" s="54">
        <f>G37+G53</f>
        <v>22113515.759999998</v>
      </c>
      <c r="H55" s="106">
        <f>G55/G15</f>
        <v>8.2426784447382384E-2</v>
      </c>
      <c r="J55" s="54">
        <f>J37+J53+J54</f>
        <v>23076933</v>
      </c>
      <c r="K55" s="106">
        <f>J55/$J$15</f>
        <v>9.6698967492383631E-2</v>
      </c>
      <c r="M55" s="54">
        <f>M37+M53</f>
        <v>22222314.440000001</v>
      </c>
      <c r="N55" s="106">
        <f>M55/$M$15</f>
        <v>9.910371073078833E-2</v>
      </c>
      <c r="P55" s="54">
        <f>P37+P53</f>
        <v>22271580</v>
      </c>
      <c r="Q55" s="106">
        <f>P55/$P$15</f>
        <v>9.8798615107592136E-2</v>
      </c>
      <c r="S55" s="54">
        <f>S37+S53</f>
        <v>30149892</v>
      </c>
      <c r="T55" s="107">
        <f>S55/$S$15</f>
        <v>7.3716117359413205E-2</v>
      </c>
      <c r="V55" s="54">
        <f>V37+V53</f>
        <v>26125392</v>
      </c>
      <c r="W55" s="107">
        <f>V55/$V$15</f>
        <v>6.9621210972080655E-2</v>
      </c>
      <c r="Y55" s="54">
        <f>Y37+Y53+Y54</f>
        <v>21401042.330000002</v>
      </c>
      <c r="Z55" s="107">
        <f>Y55/$Y$15</f>
        <v>7.5321702433933949E-2</v>
      </c>
      <c r="AB55" s="68">
        <f>AB37+AB53</f>
        <v>13028910</v>
      </c>
      <c r="AC55" s="107">
        <f>AB55/AB15</f>
        <v>0.10759286499374696</v>
      </c>
      <c r="AE55" s="54">
        <f>AE37+AE53</f>
        <v>16043474.59</v>
      </c>
      <c r="AF55" s="107">
        <f>AE55/AE$15</f>
        <v>0.13328273167302007</v>
      </c>
      <c r="AH55" s="54">
        <f>AH37+AH53</f>
        <v>18251834.670000002</v>
      </c>
      <c r="AI55" s="107">
        <f>AH55/AH$15</f>
        <v>8.5379812617426193E-2</v>
      </c>
      <c r="AK55" s="54">
        <f>AK37+AK53</f>
        <v>15614706.549398115</v>
      </c>
      <c r="AL55" s="107">
        <f>AK55/AK15</f>
        <v>7.4355745473324353E-2</v>
      </c>
      <c r="AN55" s="54">
        <f>AN37+AN53</f>
        <v>11999234.63562868</v>
      </c>
      <c r="AO55" s="107">
        <f>AN55/AN15</f>
        <v>8.5708818825919145E-2</v>
      </c>
      <c r="AQ55" s="54">
        <f>AQ37+AQ53</f>
        <v>0</v>
      </c>
      <c r="AR55" s="107">
        <f>AQ55/AU15</f>
        <v>0</v>
      </c>
      <c r="AU55" s="54">
        <f>AU37+AU53</f>
        <v>111403975.45999999</v>
      </c>
      <c r="AV55" s="106">
        <f>(AU55-AW55)/(AU$15+AV$15)</f>
        <v>0.37134658486666661</v>
      </c>
      <c r="AW55" s="54">
        <f>AW37+AW53</f>
        <v>76950810.662655532</v>
      </c>
      <c r="AY55" s="54">
        <f>AY37+AY53</f>
        <v>110538198.94453916</v>
      </c>
      <c r="AZ55" s="106">
        <f>(AY55-BA55)/(AY$15+AZ$15)</f>
        <v>0.36846066314846387</v>
      </c>
      <c r="BA55" s="54">
        <f>BA37+BA53</f>
        <v>81904171.19236204</v>
      </c>
      <c r="BC55" s="54">
        <f>BC37+BC53</f>
        <v>111907921.31494115</v>
      </c>
      <c r="BD55" s="106">
        <f>(BC55-BE55)/(BC$15+BD$15)</f>
        <v>0.37302640438313717</v>
      </c>
      <c r="BE55" s="54">
        <f>BE37+BE53</f>
        <v>76271633.842122629</v>
      </c>
      <c r="BG55" s="54">
        <f>BG37+BG53</f>
        <v>114915592.78196478</v>
      </c>
      <c r="BH55" s="106">
        <f>(BG55-BI55)/(BG$15+BH$15)</f>
        <v>0.38305197593988255</v>
      </c>
      <c r="BI55" s="54">
        <f>BI37+BI53</f>
        <v>14151659.511539264</v>
      </c>
      <c r="BK55" s="54">
        <f>BK37+BK53</f>
        <v>116668879.68833344</v>
      </c>
      <c r="BL55" s="106">
        <f>(BK55-BM55)/(BK$15+BL$15)</f>
        <v>0.39647539432329609</v>
      </c>
      <c r="BM55" s="54">
        <f>BM37+BM53</f>
        <v>0</v>
      </c>
      <c r="BO55" s="54">
        <f>BO37+BO53</f>
        <v>118174515.55242327</v>
      </c>
      <c r="BP55" s="106">
        <f>(BO55-BQ55)/(BO$15+BP$15)</f>
        <v>0.40084457951663338</v>
      </c>
      <c r="BQ55" s="54">
        <f>BQ37+BQ53</f>
        <v>0</v>
      </c>
      <c r="BS55" s="54">
        <f>BS37+BS53</f>
        <v>120228615.66111754</v>
      </c>
      <c r="BT55" s="106">
        <f>(BS55-BU55)/(BS$15+BT$15)</f>
        <v>0.35937840905430762</v>
      </c>
      <c r="BU55" s="54">
        <f>BU37+BU53</f>
        <v>0</v>
      </c>
      <c r="BW55" s="54">
        <f>BW37+BW53</f>
        <v>122368531.48067948</v>
      </c>
      <c r="BX55" s="106">
        <f>(BW55-BY55)/(BW$15+BX$15)</f>
        <v>0.32978688907050824</v>
      </c>
      <c r="BY55" s="54">
        <f>BY37+BY53</f>
        <v>0</v>
      </c>
      <c r="BZ55" s="107"/>
    </row>
    <row r="56" spans="1:78">
      <c r="G56" s="98"/>
      <c r="H56" s="113"/>
      <c r="J56" s="98"/>
      <c r="K56" s="113"/>
      <c r="M56" s="98"/>
      <c r="N56" s="113"/>
      <c r="P56" s="98"/>
      <c r="Q56" s="113"/>
      <c r="S56" s="98"/>
      <c r="T56" s="113"/>
      <c r="V56" s="98"/>
      <c r="W56" s="113"/>
      <c r="Y56" s="98"/>
      <c r="Z56" s="113"/>
      <c r="AB56" s="98"/>
      <c r="AC56" s="113"/>
      <c r="AE56" s="98"/>
      <c r="AF56" s="113"/>
      <c r="AH56" s="98"/>
      <c r="AI56" s="113"/>
      <c r="AK56" s="98"/>
      <c r="AL56" s="113"/>
      <c r="AN56" s="98"/>
      <c r="AO56" s="113"/>
      <c r="AQ56" s="98"/>
      <c r="AR56" s="113"/>
      <c r="AU56" s="98"/>
      <c r="AV56" s="113">
        <f t="shared" si="96"/>
        <v>0</v>
      </c>
      <c r="AW56" s="98"/>
      <c r="AX56" s="98"/>
      <c r="AY56" s="98"/>
      <c r="AZ56" s="113">
        <f t="shared" si="103"/>
        <v>0</v>
      </c>
      <c r="BA56" s="98"/>
      <c r="BC56" s="98"/>
      <c r="BD56" s="113">
        <f t="shared" si="104"/>
        <v>0</v>
      </c>
      <c r="BE56" s="98"/>
      <c r="BG56" s="98"/>
      <c r="BH56" s="113">
        <f t="shared" si="105"/>
        <v>0</v>
      </c>
      <c r="BI56" s="98"/>
      <c r="BK56" s="98"/>
      <c r="BL56" s="113">
        <f t="shared" si="106"/>
        <v>0</v>
      </c>
      <c r="BM56" s="98"/>
      <c r="BO56" s="98"/>
      <c r="BP56" s="113">
        <f t="shared" si="107"/>
        <v>0</v>
      </c>
      <c r="BQ56" s="98"/>
      <c r="BS56" s="98"/>
      <c r="BT56" s="113">
        <f t="shared" si="108"/>
        <v>0</v>
      </c>
      <c r="BU56" s="98"/>
      <c r="BW56" s="98"/>
      <c r="BX56" s="113">
        <f t="shared" si="109"/>
        <v>0</v>
      </c>
      <c r="BY56" s="98"/>
      <c r="BZ56" s="1628"/>
    </row>
    <row r="57" spans="1:78">
      <c r="H57" s="103"/>
      <c r="K57" s="103"/>
      <c r="N57" s="103"/>
      <c r="Q57" s="103"/>
      <c r="T57" s="103"/>
      <c r="W57" s="103"/>
      <c r="Z57" s="103"/>
      <c r="AC57" s="103"/>
      <c r="AF57" s="103"/>
      <c r="AI57" s="103"/>
      <c r="AL57" s="103"/>
      <c r="AO57" s="103"/>
      <c r="AR57" s="103"/>
      <c r="AV57" s="103">
        <f t="shared" si="96"/>
        <v>0</v>
      </c>
      <c r="AZ57" s="103">
        <f t="shared" si="103"/>
        <v>0</v>
      </c>
      <c r="BD57" s="103">
        <f t="shared" si="104"/>
        <v>0</v>
      </c>
      <c r="BH57" s="103">
        <f t="shared" si="105"/>
        <v>0</v>
      </c>
      <c r="BL57" s="103">
        <f t="shared" si="106"/>
        <v>0</v>
      </c>
      <c r="BP57" s="103">
        <f t="shared" si="107"/>
        <v>0</v>
      </c>
      <c r="BT57" s="103">
        <f t="shared" si="108"/>
        <v>0</v>
      </c>
      <c r="BX57" s="103">
        <f t="shared" si="109"/>
        <v>0</v>
      </c>
      <c r="BZ57" s="103"/>
    </row>
    <row r="58" spans="1:78" ht="15.75" thickBot="1">
      <c r="A58" s="59" t="s">
        <v>200</v>
      </c>
      <c r="G58" s="114">
        <f>G26+G28+G55</f>
        <v>72484374.189999998</v>
      </c>
      <c r="H58" s="115">
        <f>H26+H28+H55</f>
        <v>0.27018109431381243</v>
      </c>
      <c r="J58" s="114">
        <f>J26+J28+J55</f>
        <v>76244128</v>
      </c>
      <c r="K58" s="115">
        <f>J58/$J$15</f>
        <v>0.31948476233636142</v>
      </c>
      <c r="M58" s="114">
        <f>M26+M28+M55</f>
        <v>71080398.12999998</v>
      </c>
      <c r="N58" s="115">
        <f>M58/$M$15</f>
        <v>0.31699358921071885</v>
      </c>
      <c r="P58" s="114">
        <f>P26+P28+P29+P55</f>
        <v>70044329</v>
      </c>
      <c r="Q58" s="115">
        <f>P58/$P$15</f>
        <v>0.31072257564755412</v>
      </c>
      <c r="S58" s="114">
        <f>S26+S28+S29+S55</f>
        <v>118522618</v>
      </c>
      <c r="T58" s="116">
        <f>S58/$S$15</f>
        <v>0.28978635207823961</v>
      </c>
      <c r="V58" s="114">
        <f>V26+V28+V29+V55</f>
        <v>104660046.16034678</v>
      </c>
      <c r="W58" s="116">
        <f>V58/$V$15</f>
        <v>0.27890717023795097</v>
      </c>
      <c r="Y58" s="114">
        <f>Y26+Y28+Y29+Y55</f>
        <v>81811876.084539041</v>
      </c>
      <c r="Z58" s="116">
        <f>Y58/$Y$15</f>
        <v>0.28793970363599231</v>
      </c>
      <c r="AB58" s="114">
        <f>AB26+AB28+AB29+AB55</f>
        <v>46133395</v>
      </c>
      <c r="AC58" s="116">
        <f>AB58/AB15</f>
        <v>0.3809700228137427</v>
      </c>
      <c r="AE58" s="114">
        <f>AE26+AE28+AE29+AE55</f>
        <v>46452299.420000002</v>
      </c>
      <c r="AF58" s="116">
        <f>AE58/AE$15</f>
        <v>0.38590701312605413</v>
      </c>
      <c r="AH58" s="114">
        <f>AH26+AH28+AH29+AH55</f>
        <v>61287715.380180947</v>
      </c>
      <c r="AI58" s="116">
        <f>AH58/AH$15</f>
        <v>0.28669631023509584</v>
      </c>
      <c r="AK58" s="114">
        <f>AK26+AK28+AK29+AK55</f>
        <v>61437135.589331895</v>
      </c>
      <c r="AL58" s="116">
        <f>AK58/AK15</f>
        <v>0.29255778852062808</v>
      </c>
      <c r="AN58" s="114">
        <f>AN26+AN28+AN29+AN55</f>
        <v>40268588.963719696</v>
      </c>
      <c r="AO58" s="116">
        <f>IFERROR(AN58/AN15,0)</f>
        <v>0.28763277831228357</v>
      </c>
      <c r="AQ58" s="114">
        <f>AQ26+AQ28+AQ29+AQ55</f>
        <v>0</v>
      </c>
      <c r="AR58" s="116">
        <f>AQ58/AU15</f>
        <v>0</v>
      </c>
      <c r="AS58" s="1140"/>
      <c r="AT58" s="1140"/>
      <c r="AU58" s="114">
        <f>AU26+AU28+AU29+AU55</f>
        <v>144229960.59151095</v>
      </c>
      <c r="AV58" s="116">
        <f>(AU58-AW58)/(AU$15+AV$15)</f>
        <v>0.59266627168637065</v>
      </c>
      <c r="AW58" s="114">
        <f>AW26+AW28+AW29+AW55</f>
        <v>89242976.570721164</v>
      </c>
      <c r="AX58" s="114"/>
      <c r="AY58" s="114">
        <f>AY26+AY28+AY29+AY55</f>
        <v>151732737.1823</v>
      </c>
      <c r="AZ58" s="116">
        <f>(AY58-BA58)/(AY$15+AZ$15)</f>
        <v>0.67465685295964872</v>
      </c>
      <c r="BA58" s="114">
        <f>BA26+BA28+BA29+BA55</f>
        <v>99303414.372719109</v>
      </c>
      <c r="BC58" s="114">
        <f>BC26+BC28+BC29+BC55</f>
        <v>163737360.62586343</v>
      </c>
      <c r="BD58" s="116">
        <f>(BC58-BE58)/(BC$15+BD$15)</f>
        <v>0.71751436851388894</v>
      </c>
      <c r="BE58" s="114">
        <f>BE26+BE28+BE29+BE55</f>
        <v>95191145.125321567</v>
      </c>
      <c r="BG58" s="114">
        <f>BG26+BG28+BG29+BG55</f>
        <v>196974900.01951188</v>
      </c>
      <c r="BH58" s="116">
        <f>(BG58-BI58)/(BG$15+BH$15)</f>
        <v>0.68013787272696724</v>
      </c>
      <c r="BI58" s="114">
        <f>BI26+BI28+BI29+BI55</f>
        <v>18060884.358866554</v>
      </c>
      <c r="BK58" s="114">
        <f>BK26+BK28+BK29+BK55</f>
        <v>208236838.74592766</v>
      </c>
      <c r="BL58" s="116">
        <f>(BK58-BM58)/(BK$15+BL$15)</f>
        <v>0.70765042893168484</v>
      </c>
      <c r="BM58" s="114">
        <f>BM26+BM28+BM29+BM55</f>
        <v>0</v>
      </c>
      <c r="BO58" s="114">
        <f>BO26+BO28+BO29+BO55</f>
        <v>213458922.2387605</v>
      </c>
      <c r="BP58" s="116">
        <f>(BO58-BQ58)/(BO$15+BP$15)</f>
        <v>0.72404656392192113</v>
      </c>
      <c r="BQ58" s="114">
        <f>BQ26+BQ28+BQ29+BQ55</f>
        <v>0</v>
      </c>
      <c r="BS58" s="114">
        <f>BS26+BS28+BS29+BS55</f>
        <v>225707033.28206599</v>
      </c>
      <c r="BT58" s="116">
        <f>(BS58-BU58)/(BS$15+BT$15)</f>
        <v>0.67466662647026743</v>
      </c>
      <c r="BU58" s="114">
        <f>BU26+BU28+BU29+BU55</f>
        <v>0</v>
      </c>
      <c r="BW58" s="114">
        <f>BW26+BW28+BW29+BW55</f>
        <v>238213019.98234576</v>
      </c>
      <c r="BX58" s="116">
        <f>(BW58-BY58)/(BW$15+BX$15)</f>
        <v>0.64199128522247761</v>
      </c>
      <c r="BY58" s="114">
        <f>BY26+BY28+BY29+BY55</f>
        <v>0</v>
      </c>
      <c r="BZ58" s="1629"/>
    </row>
    <row r="59" spans="1:78">
      <c r="K59" s="65">
        <f>(K58/H58-1)</f>
        <v>0.18248378239701446</v>
      </c>
      <c r="N59" s="65">
        <f>(N58/K58-1)</f>
        <v>-7.7974708634767076E-3</v>
      </c>
      <c r="Q59" s="65">
        <f>(Q58/N58-1)</f>
        <v>-1.9782777244104266E-2</v>
      </c>
      <c r="T59" s="65">
        <f>(T58/N58-1)</f>
        <v>-8.5828982220815364E-2</v>
      </c>
      <c r="W59" s="65">
        <f>(W58/Q58-1)</f>
        <v>-0.10239167637980273</v>
      </c>
      <c r="Z59" s="65">
        <f>(Z58/W58-1)</f>
        <v>3.2385447065900852E-2</v>
      </c>
      <c r="AC59" s="65">
        <f>(AC58/Z58-1)</f>
        <v>0.32308958439214575</v>
      </c>
      <c r="AF59" s="65">
        <f>(AF58/AC58-1)</f>
        <v>1.2958999440029872E-2</v>
      </c>
      <c r="AI59" s="65">
        <f>(AI58/AF58-1)</f>
        <v>-0.25708447764993514</v>
      </c>
      <c r="AL59" s="65">
        <f>(AL58/AI58-1)</f>
        <v>2.0444903112724955E-2</v>
      </c>
      <c r="AO59" s="65">
        <f>(AO58/AL58-1)</f>
        <v>-1.6834315822691792E-2</v>
      </c>
      <c r="AR59" s="65">
        <f>(AR58/AC58-1)</f>
        <v>-1</v>
      </c>
      <c r="AV59" s="65" t="e">
        <f>(AV58/AR58-1)</f>
        <v>#DIV/0!</v>
      </c>
      <c r="AZ59" s="65">
        <f>(AZ58/AV58-1)</f>
        <v>0.13834190536941193</v>
      </c>
      <c r="BD59" s="65">
        <f>(BD58/AZ58-1)</f>
        <v>6.3524909539166119E-2</v>
      </c>
      <c r="BG59" s="427">
        <f>BG58/BG15</f>
        <v>0.74879594527678184</v>
      </c>
      <c r="BH59" s="65">
        <f>(BH58/BD58-1)</f>
        <v>-5.2091633878127985E-2</v>
      </c>
      <c r="BL59" s="65">
        <f>(BL58/BH58-1)</f>
        <v>4.0451439785889054E-2</v>
      </c>
      <c r="BP59" s="65">
        <f>(BP58/BL58-1)</f>
        <v>2.3169822725874534E-2</v>
      </c>
      <c r="BT59" s="65">
        <f>(BT58/BP58-1)</f>
        <v>-6.8199947230159985E-2</v>
      </c>
      <c r="BX59" s="65">
        <f>(BX58/BT58-1)</f>
        <v>-4.8431832798283225E-2</v>
      </c>
      <c r="BZ59" s="65"/>
    </row>
    <row r="60" spans="1:78">
      <c r="BC60" s="58" t="s">
        <v>78</v>
      </c>
      <c r="BK60" s="58"/>
      <c r="BO60" s="58"/>
      <c r="BS60" s="58"/>
      <c r="BW60" s="58"/>
    </row>
    <row r="61" spans="1:78">
      <c r="A61" s="54" t="s">
        <v>139</v>
      </c>
      <c r="V61" s="54">
        <f>SUM('12 years sales &amp; PL forecast'!K76:K78)</f>
        <v>77430662.410825789</v>
      </c>
      <c r="Y61" s="54">
        <f>SUM('12 years sales &amp; PL forecast'!L76:L78)</f>
        <v>80962844.742391631</v>
      </c>
      <c r="Z61" s="427">
        <f>Z58-Z36</f>
        <v>0.26052597006121891</v>
      </c>
      <c r="AB61" s="54">
        <f>SUM('12 years sales &amp; PL forecast'!M76:M78)</f>
        <v>51527134.084068105</v>
      </c>
      <c r="AC61" s="427">
        <f>AC58-AC36</f>
        <v>0.32138341250259694</v>
      </c>
      <c r="AE61" s="54">
        <f>SUM('12 years sales &amp; PL forecast'!N76:N78)</f>
        <v>72395050.845410377</v>
      </c>
      <c r="AQ61" s="58" t="s">
        <v>202</v>
      </c>
      <c r="AR61" s="65">
        <f>-(AR58/$AC$58-1)</f>
        <v>1</v>
      </c>
      <c r="AU61" s="58" t="s">
        <v>202</v>
      </c>
      <c r="AV61" s="65">
        <f>-(AV58/$AC$58-1)</f>
        <v>-0.55567691995579094</v>
      </c>
      <c r="AY61" s="58" t="s">
        <v>202</v>
      </c>
      <c r="AZ61" s="65">
        <f>-(AZ58/$AC$58-1)</f>
        <v>-0.77089222920169309</v>
      </c>
      <c r="BC61" s="58" t="s">
        <v>202</v>
      </c>
      <c r="BD61" s="65">
        <f>-(BD58/$AC$58-1)</f>
        <v>-0.88338799786534317</v>
      </c>
      <c r="BG61" s="58" t="s">
        <v>202</v>
      </c>
      <c r="BH61" s="65">
        <f>-(BH58/$AC$58-1)</f>
        <v>-0.78527923983008119</v>
      </c>
      <c r="BI61" s="65"/>
      <c r="BK61" s="58" t="s">
        <v>202</v>
      </c>
      <c r="BL61" s="65">
        <f>-(BL58/$AC$58-1)</f>
        <v>-0.85749635550106551</v>
      </c>
      <c r="BM61" s="65"/>
      <c r="BO61" s="58" t="s">
        <v>202</v>
      </c>
      <c r="BP61" s="65">
        <f>-(BP58/$AC$58-1)</f>
        <v>-0.90053421677198342</v>
      </c>
      <c r="BQ61" s="65"/>
      <c r="BS61" s="58" t="s">
        <v>202</v>
      </c>
      <c r="BT61" s="65">
        <f>-(BT58/$AC$58-1)</f>
        <v>-0.77091788347902068</v>
      </c>
      <c r="BU61" s="65"/>
      <c r="BW61" s="58" t="s">
        <v>202</v>
      </c>
      <c r="BX61" s="65">
        <f>-(BX58/$AC$58-1)</f>
        <v>-0.68514908464687507</v>
      </c>
      <c r="BY61" s="65"/>
      <c r="BZ61" s="65"/>
    </row>
    <row r="62" spans="1:78">
      <c r="A62" s="54" t="s">
        <v>775</v>
      </c>
      <c r="V62" s="54">
        <f>-'Cashflow forecast'!L17</f>
        <v>27217988.616179653</v>
      </c>
      <c r="Y62" s="54">
        <f>-'Cashflow forecast'!M17</f>
        <v>7293050</v>
      </c>
      <c r="AB62" s="54">
        <f>-'Cashflow forecast'!N17</f>
        <v>-2206555</v>
      </c>
      <c r="AE62" s="54">
        <f>-'Cashflow forecast'!O17</f>
        <v>0</v>
      </c>
      <c r="AQ62" s="58" t="s">
        <v>201</v>
      </c>
      <c r="AU62" s="58" t="s">
        <v>201</v>
      </c>
      <c r="AY62" s="58" t="s">
        <v>201</v>
      </c>
      <c r="BC62" s="58" t="s">
        <v>201</v>
      </c>
      <c r="BG62" s="58" t="s">
        <v>201</v>
      </c>
      <c r="BK62" s="58" t="s">
        <v>201</v>
      </c>
      <c r="BO62" s="58" t="s">
        <v>201</v>
      </c>
      <c r="BS62" s="58" t="s">
        <v>201</v>
      </c>
      <c r="BW62" s="58" t="s">
        <v>201</v>
      </c>
    </row>
    <row r="63" spans="1:78">
      <c r="A63" s="54" t="s">
        <v>776</v>
      </c>
      <c r="Y63" s="54">
        <f>-'Cashflow forecast'!M15</f>
        <v>-7789023</v>
      </c>
      <c r="AB63" s="54">
        <f>-SUM(AB35:AB36)</f>
        <v>-7215614</v>
      </c>
    </row>
    <row r="64" spans="1:78">
      <c r="A64" s="54" t="s">
        <v>777</v>
      </c>
      <c r="Y64" s="54">
        <f>SUM(Y61:Y63)</f>
        <v>80466871.742391631</v>
      </c>
      <c r="AB64" s="54">
        <f>SUM(AB61:AB63)</f>
        <v>42104965.084068105</v>
      </c>
    </row>
    <row r="65" spans="1:78">
      <c r="AU65" s="54">
        <v>-49474641.180312052</v>
      </c>
    </row>
    <row r="66" spans="1:78">
      <c r="A66" s="54" t="s">
        <v>778</v>
      </c>
      <c r="Y66" s="54">
        <f>Y58-Y36</f>
        <v>74022853.084539041</v>
      </c>
      <c r="AB66" s="54">
        <f>AB58-AB36</f>
        <v>38917781</v>
      </c>
      <c r="BD66" s="427">
        <f>BD58-BD35-BD36</f>
        <v>0.42857341291388906</v>
      </c>
    </row>
    <row r="68" spans="1:78">
      <c r="A68" s="54" t="s">
        <v>779</v>
      </c>
      <c r="Y68" s="54">
        <f>Y66-Y64</f>
        <v>-6444018.6578525901</v>
      </c>
      <c r="AB68" s="54">
        <f>AB66-AB64</f>
        <v>-3187184.0840681046</v>
      </c>
    </row>
    <row r="70" spans="1:78">
      <c r="A70" s="54" t="s">
        <v>1567</v>
      </c>
      <c r="AB70" s="1345">
        <f>AB55+SUM(AB28:AB29)</f>
        <v>29916732</v>
      </c>
      <c r="AE70" s="1345">
        <f>AE55+SUM(AE28:AE29)</f>
        <v>33307290.59</v>
      </c>
      <c r="AH70" s="1345">
        <f>AH55+SUM(AH28:AH29)</f>
        <v>35170998.43</v>
      </c>
      <c r="AK70" s="1345">
        <f>AK55+SUM(AK28:AK29)</f>
        <v>34709401.549398117</v>
      </c>
      <c r="AN70" s="1345">
        <f>AN55+SUM(AN28:AN29)</f>
        <v>21819850.635628678</v>
      </c>
      <c r="AQ70" s="1345">
        <f>AQ55+SUM(AQ28:AQ29)</f>
        <v>0</v>
      </c>
      <c r="AU70" s="1345">
        <f>AU55+SUM(AU28:AU29)</f>
        <v>136466996.31</v>
      </c>
      <c r="AV70" s="106">
        <f>(AU70-AW70)/(AU$15+AV$15)</f>
        <v>0.50899470504401678</v>
      </c>
      <c r="AW70" s="1345">
        <f>AW55+SUM(AW28:AW29)</f>
        <v>89242976.570721164</v>
      </c>
      <c r="AY70" s="1345">
        <f>AY55+SUM(AY28:AY29)</f>
        <v>143609724.94453916</v>
      </c>
      <c r="AZ70" s="106">
        <f>(AY70-BA70)/(AY$15+AZ$15)</f>
        <v>0.57013050054452674</v>
      </c>
      <c r="BA70" s="1345">
        <f>BA55+SUM(BA28:BA29)</f>
        <v>99303414.372719109</v>
      </c>
      <c r="BC70" s="1345">
        <f>BC55+SUM(BC28:BC29)</f>
        <v>151003280.31494117</v>
      </c>
      <c r="BD70" s="106">
        <f>(BC70-BE70)/(BC$15+BD$15)</f>
        <v>0.58421910886787232</v>
      </c>
      <c r="BE70" s="1345">
        <f>BE55+SUM(BE28:BE29)</f>
        <v>95191145.125321567</v>
      </c>
      <c r="BG70" s="1345">
        <f>BG55+SUM(BG28:BG29)</f>
        <v>159623027.78196478</v>
      </c>
      <c r="BH70" s="106">
        <f>(BG70-BI70)/(BG$15+BH$15)</f>
        <v>0.53814551493315121</v>
      </c>
      <c r="BI70" s="1345">
        <f>BI55+SUM(BI28:BI29)</f>
        <v>18060884.358866554</v>
      </c>
      <c r="BK70" s="1345">
        <f>BK55+SUM(BK28:BK29)</f>
        <v>164418369.68833345</v>
      </c>
      <c r="BL70" s="106">
        <f>(BK70-BM70)/(BK$15+BL$15)</f>
        <v>0.55874229812025944</v>
      </c>
      <c r="BM70" s="1345">
        <f>BM55+SUM(BM28:BM29)</f>
        <v>0</v>
      </c>
      <c r="BO70" s="1345">
        <f>BO55+SUM(BO28:BO29)</f>
        <v>167305467.55242327</v>
      </c>
      <c r="BP70" s="106">
        <f>(BO70-BQ70)/(BO$15+BP$15)</f>
        <v>0.56749536461721217</v>
      </c>
      <c r="BQ70" s="1345">
        <f>BQ55+SUM(BQ28:BQ29)</f>
        <v>0</v>
      </c>
      <c r="BS70" s="1345">
        <f>BS55+SUM(BS28:BS29)</f>
        <v>170780017.66111755</v>
      </c>
      <c r="BT70" s="106">
        <f>(BS70-BU70)/(BS$15+BT$15)</f>
        <v>0.51048288885162485</v>
      </c>
      <c r="BU70" s="1345">
        <f>BU55+SUM(BU28:BU29)</f>
        <v>0</v>
      </c>
      <c r="BW70" s="1345">
        <f>BW55+SUM(BW28:BW29)</f>
        <v>174380714.48067948</v>
      </c>
      <c r="BX70" s="106">
        <f>(BW70-BY70)/(BW$15+BX$15)</f>
        <v>0.46996129353367055</v>
      </c>
      <c r="BY70" s="1345">
        <f>BY55+SUM(BY28:BY29)</f>
        <v>0</v>
      </c>
    </row>
    <row r="71" spans="1:78">
      <c r="AC71" s="420"/>
      <c r="AE71" s="149"/>
      <c r="AF71" s="420"/>
      <c r="AI71" s="420"/>
      <c r="AL71" s="420"/>
      <c r="AO71" s="420"/>
      <c r="AR71" s="420"/>
      <c r="AS71" s="420"/>
      <c r="AT71" s="420"/>
      <c r="AV71" s="420"/>
      <c r="AW71" s="420"/>
      <c r="AX71" s="420"/>
      <c r="AZ71" s="420"/>
      <c r="BA71" s="420"/>
      <c r="BD71" s="420"/>
      <c r="BE71" s="420"/>
      <c r="BH71" s="420"/>
      <c r="BI71" s="420"/>
      <c r="BL71" s="420"/>
      <c r="BM71" s="420"/>
      <c r="BP71" s="420"/>
      <c r="BQ71" s="420"/>
      <c r="BT71" s="420"/>
      <c r="BU71" s="420"/>
      <c r="BX71" s="420"/>
      <c r="BY71" s="420"/>
      <c r="BZ71" s="420"/>
    </row>
    <row r="73" spans="1:78">
      <c r="AU73" s="1831" t="s">
        <v>1771</v>
      </c>
      <c r="AV73" s="1831" t="s">
        <v>1769</v>
      </c>
      <c r="AW73" s="1831" t="s">
        <v>1770</v>
      </c>
      <c r="AY73" s="1831" t="s">
        <v>1751</v>
      </c>
      <c r="AZ73" s="1831" t="s">
        <v>1752</v>
      </c>
      <c r="BA73" s="1831" t="s">
        <v>1753</v>
      </c>
      <c r="BC73" s="1831" t="s">
        <v>1751</v>
      </c>
      <c r="BD73" s="1831" t="s">
        <v>1752</v>
      </c>
      <c r="BE73" s="1831" t="s">
        <v>1753</v>
      </c>
      <c r="BG73" s="1831" t="s">
        <v>1751</v>
      </c>
      <c r="BH73" s="1831" t="s">
        <v>1752</v>
      </c>
      <c r="BI73" s="1831" t="s">
        <v>1753</v>
      </c>
      <c r="BK73" s="1831" t="s">
        <v>1751</v>
      </c>
      <c r="BL73" s="1831" t="s">
        <v>1752</v>
      </c>
      <c r="BM73" s="1831" t="s">
        <v>1753</v>
      </c>
      <c r="BO73" s="1831" t="s">
        <v>1751</v>
      </c>
      <c r="BP73" s="1831" t="s">
        <v>1752</v>
      </c>
      <c r="BQ73" s="1831" t="s">
        <v>1753</v>
      </c>
      <c r="BS73" s="1831" t="s">
        <v>1751</v>
      </c>
      <c r="BT73" s="1831" t="s">
        <v>1752</v>
      </c>
      <c r="BU73" s="1831" t="s">
        <v>1753</v>
      </c>
      <c r="BW73" s="1831" t="s">
        <v>1751</v>
      </c>
      <c r="BX73" s="1831" t="s">
        <v>1752</v>
      </c>
      <c r="BY73" s="1831" t="s">
        <v>1753</v>
      </c>
    </row>
    <row r="74" spans="1:78">
      <c r="A74" s="54" t="s">
        <v>1774</v>
      </c>
      <c r="AU74" s="54">
        <f>'Production Plan'!G47+'Production Plan'!G52+'Production Plan'!G60+'Production Plan'!G68</f>
        <v>60010000</v>
      </c>
      <c r="AV74" s="824">
        <f>'Production Plan'!G255+'Production Plan'!G258</f>
        <v>3634228.9893964725</v>
      </c>
      <c r="AW74" s="54">
        <f>'Production Plan'!G267+'Production Plan'!G270+'Production Plan'!G280+'Production Plan'!G283</f>
        <v>30544772.249691442</v>
      </c>
      <c r="AY74" s="54">
        <f>'Production Plan'!H47+'Production Plan'!H52+'Production Plan'!H60+'Production Plan'!H68</f>
        <v>31555000</v>
      </c>
      <c r="AZ74" s="824">
        <f>'Production Plan'!H255+'Production Plan'!H258</f>
        <v>2037776.0694267778</v>
      </c>
      <c r="BA74" s="54">
        <f>'Production Plan'!H267+'Production Plan'!H270+'Production Plan'!H280+'Production Plan'!H283</f>
        <v>17990467.944682539</v>
      </c>
      <c r="BC74" s="54">
        <f>'Production Plan'!I47+'Production Plan'!I52+'Production Plan'!I60+'Production Plan'!I68</f>
        <v>8456000</v>
      </c>
      <c r="BD74" s="824">
        <f>'Production Plan'!I255+'Production Plan'!I258</f>
        <v>578411.65835270623</v>
      </c>
      <c r="BE74" s="54">
        <f>'Production Plan'!I267+'Production Plan'!I270+'Production Plan'!I280+'Production Plan'!I283</f>
        <v>4940156.7845867276</v>
      </c>
      <c r="BG74" s="54">
        <f>'Production Plan'!J47+'Production Plan'!J52+'Production Plan'!J60+'Production Plan'!J68</f>
        <v>0</v>
      </c>
      <c r="BH74" s="824">
        <f>'Production Plan'!J255+'Production Plan'!J258</f>
        <v>0</v>
      </c>
      <c r="BI74" s="54">
        <f>'Production Plan'!J267+'Production Plan'!J270+'Production Plan'!J280+'Production Plan'!J283</f>
        <v>0</v>
      </c>
      <c r="BK74" s="54">
        <f>'Production Plan'!K47+'Production Plan'!K52+'Production Plan'!K60+'Production Plan'!K68</f>
        <v>0</v>
      </c>
      <c r="BL74" s="824">
        <f>'Production Plan'!K255+'Production Plan'!K258</f>
        <v>0</v>
      </c>
      <c r="BM74" s="54">
        <f>'Production Plan'!K267+'Production Plan'!K270+'Production Plan'!K280+'Production Plan'!K283</f>
        <v>0</v>
      </c>
      <c r="BO74" s="54">
        <f>'Production Plan'!L47+'Production Plan'!L52+'Production Plan'!L60+'Production Plan'!L68</f>
        <v>0</v>
      </c>
      <c r="BP74" s="824">
        <f>'Production Plan'!L255+'Production Plan'!L258</f>
        <v>0</v>
      </c>
      <c r="BQ74" s="54">
        <f>'Production Plan'!L267+'Production Plan'!L270+'Production Plan'!L280+'Production Plan'!L283</f>
        <v>0</v>
      </c>
      <c r="BS74" s="54">
        <f>'Production Plan'!M47+'Production Plan'!M52+'Production Plan'!M60+'Production Plan'!M68</f>
        <v>0</v>
      </c>
      <c r="BT74" s="824">
        <f>'Production Plan'!M255+'Production Plan'!M258</f>
        <v>0</v>
      </c>
      <c r="BU74" s="54">
        <f>'Production Plan'!M267+'Production Plan'!M270+'Production Plan'!M280+'Production Plan'!M283</f>
        <v>0</v>
      </c>
      <c r="BW74" s="54">
        <f>'Production Plan'!N47+'Production Plan'!N52+'Production Plan'!N60+'Production Plan'!N68</f>
        <v>0</v>
      </c>
      <c r="BX74" s="824">
        <f>'Production Plan'!N255+'Production Plan'!N258</f>
        <v>0</v>
      </c>
      <c r="BY74" s="54">
        <f>'Production Plan'!N267+'Production Plan'!N270+'Production Plan'!N280+'Production Plan'!N283</f>
        <v>0</v>
      </c>
    </row>
    <row r="75" spans="1:78">
      <c r="A75" s="54" t="s">
        <v>1750</v>
      </c>
      <c r="AL75" s="105"/>
      <c r="AO75" s="105"/>
      <c r="AR75" s="103"/>
      <c r="AU75" s="54">
        <f>'Production Plan'!G48+'Production Plan'!G53+'Production Plan'!G61+'Production Plan'!G69</f>
        <v>5100000</v>
      </c>
      <c r="AV75" s="54">
        <f>'Production Plan'!G256+'Production Plan'!G259</f>
        <v>625326.23151268775</v>
      </c>
      <c r="AW75" s="54">
        <f>'Production Plan'!G268+'Production Plan'!G271+'Production Plan'!G281+'Production Plan'!G284</f>
        <v>2595872.9957244853</v>
      </c>
      <c r="AY75" s="54">
        <f>'Production Plan'!H48+'Production Plan'!H53+'Production Plan'!H61+'Production Plan'!H69</f>
        <v>6900000</v>
      </c>
      <c r="AZ75" s="54">
        <f>'Production Plan'!H256+'Production Plan'!H259</f>
        <v>865961.18682876194</v>
      </c>
      <c r="BA75" s="54">
        <f>'Production Plan'!H268+'Production Plan'!H271+'Production Plan'!H281+'Production Plan'!H284</f>
        <v>3933900.4537572339</v>
      </c>
      <c r="BC75" s="54">
        <f>'Production Plan'!I48+'Production Plan'!I53+'Production Plan'!I61+'Production Plan'!I69</f>
        <v>0</v>
      </c>
      <c r="BD75" s="54">
        <f>'Production Plan'!I256+'Production Plan'!I259</f>
        <v>0</v>
      </c>
      <c r="BE75" s="54">
        <f>'Production Plan'!I268+'Production Plan'!I271+'Production Plan'!I281+'Production Plan'!I284</f>
        <v>0</v>
      </c>
      <c r="BG75" s="54">
        <f>'Production Plan'!J48+'Production Plan'!J53+'Production Plan'!J61+'Production Plan'!J69</f>
        <v>0</v>
      </c>
      <c r="BH75" s="54">
        <f>'Production Plan'!J256+'Production Plan'!J259</f>
        <v>0</v>
      </c>
      <c r="BI75" s="54">
        <f>'Production Plan'!J268+'Production Plan'!J271+'Production Plan'!J281+'Production Plan'!J284</f>
        <v>0</v>
      </c>
      <c r="BK75" s="54">
        <f>'Production Plan'!K48+'Production Plan'!K53+'Production Plan'!K61+'Production Plan'!K69</f>
        <v>0</v>
      </c>
      <c r="BL75" s="54">
        <f>'Production Plan'!K256+'Production Plan'!K259</f>
        <v>0</v>
      </c>
      <c r="BM75" s="54">
        <f>'Production Plan'!K268+'Production Plan'!K271+'Production Plan'!K281+'Production Plan'!K284</f>
        <v>0</v>
      </c>
      <c r="BO75" s="54">
        <f>'Production Plan'!L48+'Production Plan'!L53+'Production Plan'!L61+'Production Plan'!L69</f>
        <v>0</v>
      </c>
      <c r="BP75" s="54">
        <f>'Production Plan'!L256+'Production Plan'!L259</f>
        <v>0</v>
      </c>
      <c r="BQ75" s="54">
        <f>'Production Plan'!L268+'Production Plan'!L271+'Production Plan'!L281+'Production Plan'!L284</f>
        <v>0</v>
      </c>
      <c r="BS75" s="54">
        <f>'Production Plan'!M48+'Production Plan'!M53+'Production Plan'!M61+'Production Plan'!M69</f>
        <v>0</v>
      </c>
      <c r="BT75" s="54">
        <f>'Production Plan'!M256+'Production Plan'!M259</f>
        <v>0</v>
      </c>
      <c r="BU75" s="54">
        <f>'Production Plan'!M268+'Production Plan'!M271+'Production Plan'!M281+'Production Plan'!M284</f>
        <v>0</v>
      </c>
      <c r="BW75" s="54">
        <f>'Production Plan'!N48+'Production Plan'!N53+'Production Plan'!N61+'Production Plan'!N69</f>
        <v>0</v>
      </c>
      <c r="BX75" s="54">
        <f>'Production Plan'!N256+'Production Plan'!N259</f>
        <v>0</v>
      </c>
      <c r="BY75" s="54">
        <f>'Production Plan'!N268+'Production Plan'!N271+'Production Plan'!N281+'Production Plan'!N284</f>
        <v>0</v>
      </c>
    </row>
    <row r="76" spans="1:78">
      <c r="A76" s="72" t="s">
        <v>1773</v>
      </c>
      <c r="AL76" s="105"/>
      <c r="AO76" s="105"/>
      <c r="AR76" s="103"/>
      <c r="AU76" s="1634">
        <f>SUM(AU74:AU75)</f>
        <v>65110000</v>
      </c>
      <c r="AV76" s="1634">
        <f t="shared" ref="AV76" si="110">SUM(AV74:AV75)</f>
        <v>4259555.2209091606</v>
      </c>
      <c r="AW76" s="1634">
        <f t="shared" ref="AW76" si="111">SUM(AW74:AW75)</f>
        <v>33140645.245415926</v>
      </c>
      <c r="AX76" s="1634"/>
      <c r="AY76" s="1634">
        <f>SUM(AY74:AY75)</f>
        <v>38455000</v>
      </c>
      <c r="AZ76" s="1634">
        <f t="shared" ref="AZ76:BA76" si="112">SUM(AZ74:AZ75)</f>
        <v>2903737.2562555396</v>
      </c>
      <c r="BA76" s="1634">
        <f t="shared" si="112"/>
        <v>21924368.398439772</v>
      </c>
      <c r="BB76" s="1634"/>
      <c r="BC76" s="1634">
        <f>SUM(BC74:BC75)</f>
        <v>8456000</v>
      </c>
      <c r="BD76" s="1634">
        <f t="shared" ref="BD76:BE76" si="113">SUM(BD74:BD75)</f>
        <v>578411.65835270623</v>
      </c>
      <c r="BE76" s="1634">
        <f t="shared" si="113"/>
        <v>4940156.7845867276</v>
      </c>
      <c r="BF76" s="1634"/>
      <c r="BG76" s="1634">
        <f>SUM(BG74:BG75)</f>
        <v>0</v>
      </c>
      <c r="BH76" s="1634">
        <f t="shared" ref="BH76:BI76" si="114">SUM(BH74:BH75)</f>
        <v>0</v>
      </c>
      <c r="BI76" s="1634">
        <f t="shared" si="114"/>
        <v>0</v>
      </c>
      <c r="BJ76" s="1634"/>
      <c r="BK76" s="1634">
        <f>SUM(BK74:BK75)</f>
        <v>0</v>
      </c>
      <c r="BL76" s="1634">
        <f t="shared" ref="BL76:BM76" si="115">SUM(BL74:BL75)</f>
        <v>0</v>
      </c>
      <c r="BM76" s="1634">
        <f t="shared" si="115"/>
        <v>0</v>
      </c>
      <c r="BN76" s="1634"/>
      <c r="BO76" s="1634">
        <f>SUM(BO74:BO75)</f>
        <v>0</v>
      </c>
      <c r="BP76" s="1634">
        <f t="shared" ref="BP76:BQ76" si="116">SUM(BP74:BP75)</f>
        <v>0</v>
      </c>
      <c r="BQ76" s="1634">
        <f t="shared" si="116"/>
        <v>0</v>
      </c>
      <c r="BR76" s="1634"/>
      <c r="BS76" s="1634">
        <f>SUM(BS74:BS75)</f>
        <v>0</v>
      </c>
      <c r="BT76" s="1634">
        <f t="shared" ref="BT76:BU76" si="117">SUM(BT74:BT75)</f>
        <v>0</v>
      </c>
      <c r="BU76" s="1634">
        <f t="shared" si="117"/>
        <v>0</v>
      </c>
      <c r="BV76" s="1634"/>
      <c r="BW76" s="1634">
        <f>SUM(BW74:BW75)</f>
        <v>0</v>
      </c>
      <c r="BX76" s="1634">
        <f t="shared" ref="BX76:BY76" si="118">SUM(BX74:BX75)</f>
        <v>0</v>
      </c>
      <c r="BY76" s="1634">
        <f t="shared" si="118"/>
        <v>0</v>
      </c>
    </row>
    <row r="78" spans="1:78">
      <c r="A78" s="54" t="s">
        <v>1772</v>
      </c>
      <c r="AL78" s="105"/>
      <c r="AO78" s="105"/>
      <c r="AU78" s="54">
        <f>AU15</f>
        <v>27669000</v>
      </c>
      <c r="AV78" s="54">
        <f>'Production Plan'!G257+'Production Plan'!G260</f>
        <v>3503409.0606017923</v>
      </c>
      <c r="AW78" s="54">
        <f>'Production Plan'!G269+'Production Plan'!G272+'Production Plan'!G282+'Production Plan'!G285</f>
        <v>14083374.493862897</v>
      </c>
      <c r="AY78" s="54">
        <f>AY15</f>
        <v>39257577.259949215</v>
      </c>
      <c r="AZ78" s="54">
        <f>'Production Plan'!H257+'Production Plan'!H260</f>
        <v>5219274.9815052953</v>
      </c>
      <c r="BA78" s="54">
        <f>'Production Plan'!H269+'Production Plan'!H272+'Production Plan'!H282+'Production Plan'!H285</f>
        <v>22381942.173380274</v>
      </c>
      <c r="BC78" s="54">
        <f>BC15</f>
        <v>87076882</v>
      </c>
      <c r="BD78" s="54">
        <f>'Production Plan'!I257+'Production Plan'!I260</f>
        <v>12155668.652569585</v>
      </c>
      <c r="BE78" s="54">
        <f>'Production Plan'!I269+'Production Plan'!I272+'Production Plan'!I282+'Production Plan'!I285</f>
        <v>50871978.405032858</v>
      </c>
      <c r="BG78" s="54">
        <f>BG15</f>
        <v>263055511</v>
      </c>
      <c r="BH78" s="54">
        <f>'Production Plan'!J257+'Production Plan'!J260</f>
        <v>37351872.237547092</v>
      </c>
      <c r="BI78" s="54">
        <f>'Production Plan'!J269+'Production Plan'!J272+'Production Plan'!J282+'Production Plan'!J285</f>
        <v>141562143.42309824</v>
      </c>
      <c r="BK78" s="54">
        <f>BK15</f>
        <v>294265120.50631487</v>
      </c>
      <c r="BL78" s="54">
        <f>'Production Plan'!K257+'Production Plan'!K260</f>
        <v>43818469.057594225</v>
      </c>
      <c r="BM78" s="54">
        <f>'Production Plan'!K269+'Production Plan'!K272+'Production Plan'!K282+'Production Plan'!K285</f>
        <v>164418369.68833345</v>
      </c>
      <c r="BO78" s="54">
        <f>BO15</f>
        <v>294813804.62953103</v>
      </c>
      <c r="BP78" s="54">
        <f>'Production Plan'!L257+'Production Plan'!L260</f>
        <v>46153454.686337225</v>
      </c>
      <c r="BQ78" s="54">
        <f>'Production Plan'!L269+'Production Plan'!L272+'Production Plan'!L282+'Production Plan'!L285</f>
        <v>167305467.55242327</v>
      </c>
      <c r="BS78" s="54">
        <f>BS15</f>
        <v>334546017.87985861</v>
      </c>
      <c r="BT78" s="54">
        <f>'Production Plan'!M257+'Production Plan'!M260</f>
        <v>54927015.620948434</v>
      </c>
      <c r="BU78" s="54">
        <f>'Production Plan'!M269+'Production Plan'!M272+'Production Plan'!M282+'Production Plan'!M285</f>
        <v>170780017.66111749</v>
      </c>
      <c r="BW78" s="54">
        <f>BW15</f>
        <v>371053354.56351984</v>
      </c>
      <c r="BX78" s="54">
        <f>'Production Plan'!N257+'Production Plan'!N260</f>
        <v>63832305.501666278</v>
      </c>
      <c r="BY78" s="54">
        <f>'Production Plan'!N269+'Production Plan'!N272+'Production Plan'!N282+'Production Plan'!N285</f>
        <v>174380714.48067948</v>
      </c>
    </row>
    <row r="79" spans="1:78">
      <c r="A79" s="54" t="s">
        <v>54</v>
      </c>
      <c r="AL79" s="105"/>
      <c r="AO79" s="105"/>
      <c r="AU79" s="1634">
        <f>AU76+AU78</f>
        <v>92779000</v>
      </c>
      <c r="AV79" s="1634">
        <f t="shared" ref="AV79:AW79" si="119">AV76+AV78</f>
        <v>7762964.2815109529</v>
      </c>
      <c r="AW79" s="1634">
        <f t="shared" si="119"/>
        <v>47224019.739278823</v>
      </c>
      <c r="AX79" s="1634"/>
      <c r="AY79" s="1634">
        <f>AY76+AY78</f>
        <v>77712577.259949207</v>
      </c>
      <c r="AZ79" s="1634">
        <f t="shared" ref="AZ79:BA79" si="120">AZ76+AZ78</f>
        <v>8123012.2377608344</v>
      </c>
      <c r="BA79" s="1634">
        <f t="shared" si="120"/>
        <v>44306310.57182005</v>
      </c>
      <c r="BB79" s="1634"/>
      <c r="BC79" s="1634">
        <f>BC76+BC78</f>
        <v>95532882</v>
      </c>
      <c r="BD79" s="1634">
        <f t="shared" ref="BD79:BE79" si="121">BD76+BD78</f>
        <v>12734080.310922291</v>
      </c>
      <c r="BE79" s="1634">
        <f t="shared" si="121"/>
        <v>55812135.189619586</v>
      </c>
      <c r="BF79" s="1634"/>
      <c r="BG79" s="1634">
        <f>BG76+BG78</f>
        <v>263055511</v>
      </c>
      <c r="BH79" s="1634">
        <f t="shared" ref="BH79:BI79" si="122">BH76+BH78</f>
        <v>37351872.237547092</v>
      </c>
      <c r="BI79" s="1634">
        <f t="shared" si="122"/>
        <v>141562143.42309824</v>
      </c>
      <c r="BJ79" s="1634"/>
      <c r="BK79" s="1634">
        <f>BK76+BK78</f>
        <v>294265120.50631487</v>
      </c>
      <c r="BL79" s="1634">
        <f t="shared" ref="BL79:BM79" si="123">BL76+BL78</f>
        <v>43818469.057594225</v>
      </c>
      <c r="BM79" s="1634">
        <f t="shared" si="123"/>
        <v>164418369.68833345</v>
      </c>
      <c r="BN79" s="1634"/>
      <c r="BO79" s="1634">
        <f>BO76+BO78</f>
        <v>294813804.62953103</v>
      </c>
      <c r="BP79" s="1634">
        <f t="shared" ref="BP79:BQ79" si="124">BP76+BP78</f>
        <v>46153454.686337225</v>
      </c>
      <c r="BQ79" s="1634">
        <f t="shared" si="124"/>
        <v>167305467.55242327</v>
      </c>
      <c r="BR79" s="1634"/>
      <c r="BS79" s="1634">
        <f>BS76+BS78</f>
        <v>334546017.87985861</v>
      </c>
      <c r="BT79" s="1634">
        <f t="shared" ref="BT79:BU79" si="125">BT76+BT78</f>
        <v>54927015.620948434</v>
      </c>
      <c r="BU79" s="1634">
        <f t="shared" si="125"/>
        <v>170780017.66111749</v>
      </c>
      <c r="BV79" s="1634"/>
      <c r="BW79" s="1634">
        <f>BW76+BW78</f>
        <v>371053354.56351984</v>
      </c>
      <c r="BX79" s="1634">
        <f t="shared" ref="BX79:BY79" si="126">BX76+BX78</f>
        <v>63832305.501666278</v>
      </c>
      <c r="BY79" s="1634">
        <f t="shared" si="126"/>
        <v>174380714.48067948</v>
      </c>
    </row>
    <row r="81" spans="1:77">
      <c r="AU81" s="1831" t="s">
        <v>1771</v>
      </c>
      <c r="AV81" s="1831" t="s">
        <v>1769</v>
      </c>
      <c r="AW81" s="1831" t="s">
        <v>1770</v>
      </c>
    </row>
    <row r="82" spans="1:77">
      <c r="A82" s="54" t="s">
        <v>1844</v>
      </c>
      <c r="AU82" s="54">
        <f>AU74</f>
        <v>60010000</v>
      </c>
      <c r="AV82" s="54">
        <v>0</v>
      </c>
      <c r="AW82" s="54">
        <f>'Production Plan'!G325+'Production Plan'!G328</f>
        <v>17339346.745556001</v>
      </c>
      <c r="AY82" s="54">
        <f>AY74</f>
        <v>31555000</v>
      </c>
      <c r="AZ82" s="54">
        <v>0</v>
      </c>
      <c r="BA82" s="54">
        <f>'Production Plan'!H325+'Production Plan'!H328</f>
        <v>9117531.8539579995</v>
      </c>
      <c r="BC82" s="54">
        <f>BC74</f>
        <v>8456000</v>
      </c>
      <c r="BD82" s="54">
        <v>0</v>
      </c>
      <c r="BE82" s="54">
        <f>'Production Plan'!I325+'Production Plan'!I328</f>
        <v>2443284.7205535993</v>
      </c>
      <c r="BG82" s="54">
        <f>BG74</f>
        <v>0</v>
      </c>
      <c r="BH82" s="54">
        <v>0</v>
      </c>
      <c r="BI82" s="54">
        <f>'Production Plan'!J325+'Production Plan'!J328</f>
        <v>0</v>
      </c>
      <c r="BK82" s="54">
        <f>BK74</f>
        <v>0</v>
      </c>
      <c r="BL82" s="54">
        <v>0</v>
      </c>
      <c r="BM82" s="54">
        <f>'Production Plan'!K325+'Production Plan'!K328</f>
        <v>0</v>
      </c>
      <c r="BO82" s="54">
        <f>BO74</f>
        <v>0</v>
      </c>
      <c r="BP82" s="54">
        <v>0</v>
      </c>
      <c r="BQ82" s="54">
        <f>'Production Plan'!L325+'Production Plan'!L328</f>
        <v>0</v>
      </c>
      <c r="BS82" s="54">
        <f>BS74</f>
        <v>0</v>
      </c>
      <c r="BT82" s="54">
        <v>0</v>
      </c>
      <c r="BU82" s="54">
        <f>'Production Plan'!M325+'Production Plan'!M328</f>
        <v>0</v>
      </c>
      <c r="BW82" s="54">
        <f>BW74</f>
        <v>0</v>
      </c>
      <c r="BX82" s="54">
        <v>0</v>
      </c>
      <c r="BY82" s="54">
        <f>'Production Plan'!N325+'Production Plan'!N328</f>
        <v>0</v>
      </c>
    </row>
    <row r="83" spans="1:77">
      <c r="A83" s="54" t="s">
        <v>1845</v>
      </c>
      <c r="AU83" s="54">
        <f>AU75</f>
        <v>5100000</v>
      </c>
      <c r="AV83" s="54">
        <v>0</v>
      </c>
      <c r="AW83" s="54">
        <f>'Production Plan'!G326+'Production Plan'!G329</f>
        <v>1473598.87356</v>
      </c>
      <c r="AY83" s="54">
        <f>AY75</f>
        <v>6900000</v>
      </c>
      <c r="AZ83" s="54">
        <v>0</v>
      </c>
      <c r="BA83" s="54">
        <f>'Production Plan'!H326+'Production Plan'!H329</f>
        <v>1993692.5936400001</v>
      </c>
      <c r="BC83" s="54">
        <f>BC75</f>
        <v>0</v>
      </c>
      <c r="BD83" s="54">
        <v>0</v>
      </c>
      <c r="BE83" s="54">
        <f>'Production Plan'!I326+'Production Plan'!I329</f>
        <v>0</v>
      </c>
      <c r="BG83" s="54">
        <f>BG75</f>
        <v>0</v>
      </c>
      <c r="BH83" s="54">
        <v>0</v>
      </c>
      <c r="BI83" s="54">
        <f>'Production Plan'!J326+'Production Plan'!J329</f>
        <v>0</v>
      </c>
      <c r="BK83" s="54">
        <f>BK75</f>
        <v>0</v>
      </c>
      <c r="BL83" s="54">
        <v>0</v>
      </c>
      <c r="BM83" s="54">
        <f>'Production Plan'!K326+'Production Plan'!K329</f>
        <v>0</v>
      </c>
      <c r="BO83" s="54">
        <f>BO75</f>
        <v>0</v>
      </c>
      <c r="BP83" s="54">
        <v>0</v>
      </c>
      <c r="BQ83" s="54">
        <f>'Production Plan'!L326+'Production Plan'!L329</f>
        <v>0</v>
      </c>
      <c r="BS83" s="54">
        <f>BS75</f>
        <v>0</v>
      </c>
      <c r="BT83" s="54">
        <v>0</v>
      </c>
      <c r="BU83" s="54">
        <f>'Production Plan'!M326+'Production Plan'!M329</f>
        <v>0</v>
      </c>
      <c r="BW83" s="54">
        <f>BW75</f>
        <v>0</v>
      </c>
      <c r="BX83" s="54">
        <v>0</v>
      </c>
      <c r="BY83" s="54">
        <f>'Production Plan'!N326+'Production Plan'!N329</f>
        <v>0</v>
      </c>
    </row>
    <row r="84" spans="1:77">
      <c r="A84" s="72" t="s">
        <v>1846</v>
      </c>
      <c r="AU84" s="1634">
        <f>SUM(AU82:AU83)</f>
        <v>65110000</v>
      </c>
      <c r="AV84" s="1634">
        <f t="shared" ref="AV84" si="127">SUM(AV82:AV83)</f>
        <v>0</v>
      </c>
      <c r="AW84" s="1634">
        <f t="shared" ref="AW84" si="128">SUM(AW82:AW83)</f>
        <v>18812945.619116001</v>
      </c>
      <c r="AY84" s="1634">
        <f>SUM(AY82:AY83)</f>
        <v>38455000</v>
      </c>
      <c r="AZ84" s="1634">
        <f t="shared" ref="AZ84:BA84" si="129">SUM(AZ82:AZ83)</f>
        <v>0</v>
      </c>
      <c r="BA84" s="1634">
        <f t="shared" si="129"/>
        <v>11111224.447597999</v>
      </c>
      <c r="BC84" s="1634">
        <f>SUM(BC82:BC83)</f>
        <v>8456000</v>
      </c>
      <c r="BD84" s="1634">
        <f t="shared" ref="BD84:BE84" si="130">SUM(BD82:BD83)</f>
        <v>0</v>
      </c>
      <c r="BE84" s="1634">
        <f t="shared" si="130"/>
        <v>2443284.7205535993</v>
      </c>
      <c r="BG84" s="1634">
        <f>SUM(BG82:BG83)</f>
        <v>0</v>
      </c>
      <c r="BH84" s="1634">
        <f t="shared" ref="BH84:BI84" si="131">SUM(BH82:BH83)</f>
        <v>0</v>
      </c>
      <c r="BI84" s="1634">
        <f t="shared" si="131"/>
        <v>0</v>
      </c>
      <c r="BK84" s="1634">
        <f>SUM(BK82:BK83)</f>
        <v>0</v>
      </c>
      <c r="BL84" s="1634">
        <f t="shared" ref="BL84:BM84" si="132">SUM(BL82:BL83)</f>
        <v>0</v>
      </c>
      <c r="BM84" s="1634">
        <f t="shared" si="132"/>
        <v>0</v>
      </c>
      <c r="BO84" s="1634">
        <f>SUM(BO82:BO83)</f>
        <v>0</v>
      </c>
      <c r="BP84" s="1634">
        <f t="shared" ref="BP84:BQ84" si="133">SUM(BP82:BP83)</f>
        <v>0</v>
      </c>
      <c r="BQ84" s="1634">
        <f t="shared" si="133"/>
        <v>0</v>
      </c>
      <c r="BS84" s="1634">
        <f>SUM(BS82:BS83)</f>
        <v>0</v>
      </c>
      <c r="BT84" s="1634">
        <f t="shared" ref="BT84:BU84" si="134">SUM(BT82:BT83)</f>
        <v>0</v>
      </c>
      <c r="BU84" s="1634">
        <f t="shared" si="134"/>
        <v>0</v>
      </c>
      <c r="BW84" s="1634">
        <f>SUM(BW82:BW83)</f>
        <v>0</v>
      </c>
      <c r="BX84" s="1634">
        <f t="shared" ref="BX84:BY84" si="135">SUM(BX82:BX83)</f>
        <v>0</v>
      </c>
      <c r="BY84" s="1634">
        <f t="shared" si="135"/>
        <v>0</v>
      </c>
    </row>
    <row r="86" spans="1:77">
      <c r="A86" s="54" t="s">
        <v>1772</v>
      </c>
      <c r="AU86" s="54">
        <f>AU78</f>
        <v>27669000</v>
      </c>
      <c r="AV86" s="54">
        <v>0</v>
      </c>
      <c r="AW86" s="54">
        <f>'Production Plan'!G327+'Production Plan'!G330</f>
        <v>7994707.3004963994</v>
      </c>
      <c r="AY86" s="54">
        <f>AY78</f>
        <v>39257577.259949215</v>
      </c>
      <c r="AZ86" s="54">
        <v>0</v>
      </c>
      <c r="BA86" s="54">
        <f>'Production Plan'!H327+'Production Plan'!H330</f>
        <v>11343121.888030557</v>
      </c>
      <c r="BC86" s="54">
        <f>BC78</f>
        <v>87076882</v>
      </c>
      <c r="BD86" s="54">
        <v>0</v>
      </c>
      <c r="BE86" s="54">
        <f>'Production Plan'!I327+'Production Plan'!I330</f>
        <v>25160077.49574843</v>
      </c>
      <c r="BG86" s="54">
        <f>BG78</f>
        <v>263055511</v>
      </c>
      <c r="BH86" s="54">
        <v>0</v>
      </c>
      <c r="BI86" s="54">
        <f>'Production Plan'!J327+'Production Plan'!J330</f>
        <v>76007510.724186301</v>
      </c>
      <c r="BK86" s="54">
        <f>BK78</f>
        <v>294265120.50631487</v>
      </c>
      <c r="BL86" s="54">
        <v>0</v>
      </c>
      <c r="BM86" s="54">
        <f>'Production Plan'!K327+'Production Plan'!K330</f>
        <v>86682286.679999992</v>
      </c>
      <c r="BO86" s="54">
        <f>BO78</f>
        <v>294813804.62953103</v>
      </c>
      <c r="BP86" s="54">
        <v>0</v>
      </c>
      <c r="BQ86" s="54">
        <f>'Production Plan'!L327+'Production Plan'!L330</f>
        <v>86682286.679999992</v>
      </c>
      <c r="BS86" s="54">
        <f>BS78</f>
        <v>334546017.87985861</v>
      </c>
      <c r="BT86" s="54">
        <v>0</v>
      </c>
      <c r="BU86" s="54">
        <f>'Production Plan'!M327+'Production Plan'!M330</f>
        <v>86682286.679999977</v>
      </c>
      <c r="BW86" s="54">
        <f>BW78</f>
        <v>371053354.56351984</v>
      </c>
      <c r="BX86" s="54">
        <v>0</v>
      </c>
      <c r="BY86" s="54">
        <f>'Production Plan'!N327+'Production Plan'!N330</f>
        <v>86682286.679999977</v>
      </c>
    </row>
    <row r="87" spans="1:77">
      <c r="A87" s="54" t="s">
        <v>54</v>
      </c>
      <c r="AU87" s="1634">
        <f>AU84+AU86</f>
        <v>92779000</v>
      </c>
      <c r="AV87" s="1634">
        <f t="shared" ref="AV87" si="136">AV84+AV86</f>
        <v>0</v>
      </c>
      <c r="AW87" s="1634">
        <f t="shared" ref="AW87" si="137">AW84+AW86</f>
        <v>26807652.9196124</v>
      </c>
      <c r="AX87" s="1634"/>
      <c r="AY87" s="1634">
        <f>AY84+AY86</f>
        <v>77712577.259949207</v>
      </c>
      <c r="AZ87" s="1634">
        <f t="shared" ref="AZ87" si="138">AZ84+AZ86</f>
        <v>0</v>
      </c>
      <c r="BA87" s="1634">
        <f t="shared" ref="BA87" si="139">BA84+BA86</f>
        <v>22454346.335628554</v>
      </c>
      <c r="BB87" s="1634"/>
      <c r="BC87" s="1634">
        <f>BC84+BC86</f>
        <v>95532882</v>
      </c>
      <c r="BD87" s="1634">
        <f t="shared" ref="BD87" si="140">BD84+BD86</f>
        <v>0</v>
      </c>
      <c r="BE87" s="1634">
        <f t="shared" ref="BE87" si="141">BE84+BE86</f>
        <v>27603362.21630203</v>
      </c>
      <c r="BF87" s="1634"/>
      <c r="BG87" s="1634">
        <f>BG84+BG86</f>
        <v>263055511</v>
      </c>
      <c r="BH87" s="1634">
        <f t="shared" ref="BH87" si="142">BH84+BH86</f>
        <v>0</v>
      </c>
      <c r="BI87" s="1634">
        <f t="shared" ref="BI87" si="143">BI84+BI86</f>
        <v>76007510.724186301</v>
      </c>
      <c r="BJ87" s="1634"/>
      <c r="BK87" s="1634">
        <f>BK84+BK86</f>
        <v>294265120.50631487</v>
      </c>
      <c r="BL87" s="1634">
        <f t="shared" ref="BL87" si="144">BL84+BL86</f>
        <v>0</v>
      </c>
      <c r="BM87" s="1634">
        <f t="shared" ref="BM87" si="145">BM84+BM86</f>
        <v>86682286.679999992</v>
      </c>
      <c r="BN87" s="1634"/>
      <c r="BO87" s="1634">
        <f>BO84+BO86</f>
        <v>294813804.62953103</v>
      </c>
      <c r="BP87" s="1634">
        <f t="shared" ref="BP87" si="146">BP84+BP86</f>
        <v>0</v>
      </c>
      <c r="BQ87" s="1634">
        <f t="shared" ref="BQ87" si="147">BQ84+BQ86</f>
        <v>86682286.679999992</v>
      </c>
      <c r="BR87" s="1634"/>
      <c r="BS87" s="1634">
        <f>BS84+BS86</f>
        <v>334546017.87985861</v>
      </c>
      <c r="BT87" s="1634">
        <f t="shared" ref="BT87" si="148">BT84+BT86</f>
        <v>0</v>
      </c>
      <c r="BU87" s="1634">
        <f t="shared" ref="BU87" si="149">BU84+BU86</f>
        <v>86682286.679999977</v>
      </c>
      <c r="BV87" s="1634"/>
      <c r="BW87" s="1634">
        <f>BW84+BW86</f>
        <v>371053354.56351984</v>
      </c>
      <c r="BX87" s="1634">
        <f t="shared" ref="BX87" si="150">BX84+BX86</f>
        <v>0</v>
      </c>
      <c r="BY87" s="1634">
        <f t="shared" ref="BY87" si="151">BY84+BY86</f>
        <v>86682286.679999977</v>
      </c>
    </row>
  </sheetData>
  <mergeCells count="24">
    <mergeCell ref="S5:T5"/>
    <mergeCell ref="AU5:AV5"/>
    <mergeCell ref="AY5:AZ5"/>
    <mergeCell ref="BO5:BP5"/>
    <mergeCell ref="BS5:BT5"/>
    <mergeCell ref="BW5:BX5"/>
    <mergeCell ref="AB5:AC5"/>
    <mergeCell ref="AQ5:AR5"/>
    <mergeCell ref="AE2:AZ2"/>
    <mergeCell ref="AE5:AF5"/>
    <mergeCell ref="AH5:AI5"/>
    <mergeCell ref="AK5:AL5"/>
    <mergeCell ref="AN5:AO5"/>
    <mergeCell ref="G3:AP3"/>
    <mergeCell ref="G5:H5"/>
    <mergeCell ref="J5:K5"/>
    <mergeCell ref="M5:N5"/>
    <mergeCell ref="V5:W5"/>
    <mergeCell ref="P5:Q5"/>
    <mergeCell ref="Y5:Z5"/>
    <mergeCell ref="AQ3:BZ3"/>
    <mergeCell ref="BC5:BD5"/>
    <mergeCell ref="BG5:BH5"/>
    <mergeCell ref="BK5:BL5"/>
  </mergeCells>
  <phoneticPr fontId="301" type="noConversion"/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tabColor rgb="FFFFFF00"/>
  </sheetPr>
  <dimension ref="A1:Z349"/>
  <sheetViews>
    <sheetView zoomScale="85" zoomScaleNormal="85" workbookViewId="0">
      <pane xSplit="2" ySplit="4" topLeftCell="E318" activePane="bottomRight" state="frozen"/>
      <selection pane="topRight" activeCell="C1" sqref="C1"/>
      <selection pane="bottomLeft" activeCell="A5" sqref="A5"/>
      <selection pane="bottomRight" activeCell="G135" sqref="G135"/>
    </sheetView>
  </sheetViews>
  <sheetFormatPr defaultColWidth="9.42578125" defaultRowHeight="15" outlineLevelRow="1" outlineLevelCol="1"/>
  <cols>
    <col min="1" max="1" width="33.5703125" style="521" customWidth="1"/>
    <col min="2" max="2" width="1.5703125" style="521" customWidth="1"/>
    <col min="3" max="5" width="15.140625" style="521" customWidth="1" outlineLevel="1"/>
    <col min="6" max="6" width="15.140625" style="1558" customWidth="1"/>
    <col min="7" max="14" width="15.140625" style="521" customWidth="1"/>
    <col min="15" max="15" width="14.5703125" style="521" customWidth="1"/>
    <col min="16" max="16" width="24" style="521" customWidth="1"/>
    <col min="17" max="21" width="15.42578125" style="521" customWidth="1"/>
    <col min="22" max="22" width="16.7109375" style="521" customWidth="1"/>
    <col min="23" max="26" width="16" style="521" customWidth="1"/>
    <col min="27" max="16384" width="9.42578125" style="521"/>
  </cols>
  <sheetData>
    <row r="1" spans="1:26">
      <c r="A1" s="520" t="s">
        <v>1508</v>
      </c>
    </row>
    <row r="2" spans="1:26">
      <c r="A2" s="522" t="s">
        <v>798</v>
      </c>
    </row>
    <row r="3" spans="1:26" s="523" customFormat="1">
      <c r="C3" s="523" t="s">
        <v>51</v>
      </c>
      <c r="D3" s="523" t="s">
        <v>53</v>
      </c>
      <c r="E3" s="523" t="s">
        <v>51</v>
      </c>
      <c r="F3" s="1343" t="s">
        <v>51</v>
      </c>
      <c r="G3" s="523" t="s">
        <v>52</v>
      </c>
      <c r="H3" s="523" t="s">
        <v>53</v>
      </c>
      <c r="I3" s="523" t="s">
        <v>53</v>
      </c>
      <c r="J3" s="523" t="s">
        <v>53</v>
      </c>
      <c r="K3" s="523" t="s">
        <v>53</v>
      </c>
      <c r="L3" s="523" t="s">
        <v>53</v>
      </c>
      <c r="M3" s="523" t="s">
        <v>53</v>
      </c>
      <c r="N3" s="523" t="s">
        <v>53</v>
      </c>
    </row>
    <row r="4" spans="1:26" s="523" customFormat="1">
      <c r="C4" s="523" t="s">
        <v>3</v>
      </c>
      <c r="D4" s="523" t="s">
        <v>4</v>
      </c>
      <c r="E4" s="523" t="s">
        <v>5</v>
      </c>
      <c r="F4" s="1343" t="s">
        <v>6</v>
      </c>
      <c r="G4" s="523" t="s">
        <v>7</v>
      </c>
      <c r="H4" s="523" t="s">
        <v>13</v>
      </c>
      <c r="I4" s="523" t="s">
        <v>14</v>
      </c>
      <c r="J4" s="523" t="s">
        <v>15</v>
      </c>
      <c r="K4" s="523" t="s">
        <v>16</v>
      </c>
      <c r="L4" s="523" t="s">
        <v>17</v>
      </c>
      <c r="M4" s="523" t="s">
        <v>18</v>
      </c>
      <c r="N4" s="523" t="s">
        <v>19</v>
      </c>
      <c r="Q4" s="1343" t="s">
        <v>5</v>
      </c>
      <c r="R4" s="1343" t="s">
        <v>6</v>
      </c>
      <c r="S4" s="1344" t="s">
        <v>7</v>
      </c>
      <c r="T4" s="1344" t="s">
        <v>13</v>
      </c>
      <c r="U4" s="1344" t="s">
        <v>14</v>
      </c>
      <c r="V4" s="1343" t="s">
        <v>15</v>
      </c>
      <c r="W4" s="1343" t="s">
        <v>16</v>
      </c>
      <c r="X4" s="1343" t="s">
        <v>17</v>
      </c>
      <c r="Y4" s="1343" t="s">
        <v>18</v>
      </c>
      <c r="Z4" s="1343" t="s">
        <v>19</v>
      </c>
    </row>
    <row r="5" spans="1:26" s="523" customFormat="1">
      <c r="A5" s="1092" t="s">
        <v>1320</v>
      </c>
      <c r="E5" s="530">
        <v>0.83</v>
      </c>
      <c r="F5" s="1559">
        <v>0.85650000000000004</v>
      </c>
      <c r="G5" s="1283">
        <f>F5</f>
        <v>0.85650000000000004</v>
      </c>
      <c r="H5" s="1283">
        <f t="shared" ref="H5:N5" si="0">G5</f>
        <v>0.85650000000000004</v>
      </c>
      <c r="I5" s="1283">
        <f t="shared" si="0"/>
        <v>0.85650000000000004</v>
      </c>
      <c r="J5" s="1283">
        <f t="shared" si="0"/>
        <v>0.85650000000000004</v>
      </c>
      <c r="K5" s="1283">
        <f t="shared" si="0"/>
        <v>0.85650000000000004</v>
      </c>
      <c r="L5" s="1283">
        <f t="shared" si="0"/>
        <v>0.85650000000000004</v>
      </c>
      <c r="M5" s="1283">
        <f t="shared" si="0"/>
        <v>0.85650000000000004</v>
      </c>
      <c r="N5" s="1283">
        <f t="shared" si="0"/>
        <v>0.85650000000000004</v>
      </c>
    </row>
    <row r="6" spans="1:26" s="523" customFormat="1">
      <c r="F6" s="1560"/>
    </row>
    <row r="7" spans="1:26">
      <c r="A7" s="520" t="s">
        <v>799</v>
      </c>
    </row>
    <row r="8" spans="1:26">
      <c r="A8" s="524" t="s">
        <v>800</v>
      </c>
      <c r="C8" s="525"/>
      <c r="D8" s="525"/>
      <c r="E8" s="525">
        <f>E10*E$5</f>
        <v>41331528.259999998</v>
      </c>
      <c r="F8" s="1561">
        <f>F10*F$5</f>
        <v>81948149.614500001</v>
      </c>
      <c r="G8" s="1284">
        <f t="shared" ref="G8:N8" si="1">G10*G$5</f>
        <v>66985492.030500002</v>
      </c>
      <c r="H8" s="1284">
        <f t="shared" si="1"/>
        <v>69806246.305500001</v>
      </c>
      <c r="I8" s="1284">
        <f t="shared" si="1"/>
        <v>85199377.363499999</v>
      </c>
      <c r="J8" s="1284">
        <f t="shared" si="1"/>
        <v>96481894.267499998</v>
      </c>
      <c r="K8" s="1284">
        <f t="shared" si="1"/>
        <v>102914413.971</v>
      </c>
      <c r="L8" s="1284">
        <f t="shared" si="1"/>
        <v>108625228.788</v>
      </c>
      <c r="M8" s="1284">
        <f t="shared" si="1"/>
        <v>115326134.47950001</v>
      </c>
      <c r="N8" s="1284">
        <f t="shared" si="1"/>
        <v>116955127.24650003</v>
      </c>
    </row>
    <row r="9" spans="1:26">
      <c r="A9" s="524" t="s">
        <v>801</v>
      </c>
      <c r="C9" s="525"/>
      <c r="D9" s="525"/>
      <c r="E9" s="525">
        <f>E10*(1-E$5)</f>
        <v>8465493.7400000021</v>
      </c>
      <c r="F9" s="1561">
        <f>F10*(1-F$5)</f>
        <v>13729783.385499997</v>
      </c>
      <c r="G9" s="1284">
        <f t="shared" ref="G9:N9" si="2">G10*(1-G$5)</f>
        <v>11222904.969499998</v>
      </c>
      <c r="H9" s="1284">
        <f t="shared" si="2"/>
        <v>11695500.694499997</v>
      </c>
      <c r="I9" s="1284">
        <f t="shared" si="2"/>
        <v>14274501.636499995</v>
      </c>
      <c r="J9" s="1284">
        <f t="shared" si="2"/>
        <v>16164800.732499996</v>
      </c>
      <c r="K9" s="1284">
        <f t="shared" si="2"/>
        <v>17242520.028999995</v>
      </c>
      <c r="L9" s="1284">
        <f t="shared" si="2"/>
        <v>18199323.211999994</v>
      </c>
      <c r="M9" s="1284">
        <f t="shared" si="2"/>
        <v>19322008.520499993</v>
      </c>
      <c r="N9" s="1284">
        <f t="shared" si="2"/>
        <v>19594933.7535</v>
      </c>
    </row>
    <row r="10" spans="1:26">
      <c r="A10" s="521" t="s">
        <v>802</v>
      </c>
      <c r="C10" s="526"/>
      <c r="D10" s="526"/>
      <c r="E10" s="526">
        <f>'12 years sales &amp; PL forecast'!M49</f>
        <v>49797022</v>
      </c>
      <c r="F10" s="1562">
        <f>'12 years sales &amp; PL forecast'!N49</f>
        <v>95677933</v>
      </c>
      <c r="G10" s="526">
        <f>'12 years sales &amp; PL forecast'!O49</f>
        <v>78208397</v>
      </c>
      <c r="H10" s="526">
        <f>'12 years sales &amp; PL forecast'!P49</f>
        <v>81501747</v>
      </c>
      <c r="I10" s="526">
        <f>'12 years sales &amp; PL forecast'!Q49</f>
        <v>99473879</v>
      </c>
      <c r="J10" s="526">
        <f>'12 years sales &amp; PL forecast'!R49</f>
        <v>112646695</v>
      </c>
      <c r="K10" s="526">
        <f>'12 years sales &amp; PL forecast'!S49</f>
        <v>120156934</v>
      </c>
      <c r="L10" s="526">
        <f>'12 years sales &amp; PL forecast'!T49</f>
        <v>126824552</v>
      </c>
      <c r="M10" s="526">
        <f>'12 years sales &amp; PL forecast'!U49</f>
        <v>134648143</v>
      </c>
      <c r="N10" s="526">
        <f>'12 years sales &amp; PL forecast'!V49</f>
        <v>136550061.00000003</v>
      </c>
      <c r="O10" s="528"/>
      <c r="P10" s="528"/>
      <c r="Q10" s="528"/>
      <c r="R10" s="528"/>
      <c r="S10" s="528"/>
      <c r="T10" s="528"/>
      <c r="U10" s="528"/>
      <c r="V10" s="528"/>
      <c r="W10" s="528"/>
    </row>
    <row r="11" spans="1:26">
      <c r="A11" s="521" t="s">
        <v>713</v>
      </c>
      <c r="C11" s="526"/>
      <c r="D11" s="526"/>
      <c r="E11" s="526">
        <f>'12 years sales &amp; PL forecast'!M50</f>
        <v>93666384</v>
      </c>
      <c r="F11" s="1562">
        <f>'12 years sales &amp; PL forecast'!N50</f>
        <v>85719732</v>
      </c>
      <c r="G11" s="526">
        <f>'12 years sales &amp; PL forecast'!O50</f>
        <v>134046276</v>
      </c>
      <c r="H11" s="531">
        <f>'12 years sales &amp; PL forecast'!P50</f>
        <v>137267136</v>
      </c>
      <c r="I11" s="531">
        <f>'12 years sales &amp; PL forecast'!Q50</f>
        <v>133278048</v>
      </c>
      <c r="J11" s="531">
        <f>'12 years sales &amp; PL forecast'!R50</f>
        <v>158321952</v>
      </c>
      <c r="K11" s="531">
        <f>'12 years sales &amp; PL forecast'!S50</f>
        <v>170566506.50631487</v>
      </c>
      <c r="L11" s="531">
        <f>'12 years sales &amp; PL forecast'!T50</f>
        <v>164447572.62953103</v>
      </c>
      <c r="M11" s="531">
        <f>'12 years sales &amp; PL forecast'!U50</f>
        <v>193473986.87985858</v>
      </c>
      <c r="N11" s="531">
        <f>'12 years sales &amp; PL forecast'!V50</f>
        <v>228079405.56351978</v>
      </c>
      <c r="O11" s="528"/>
      <c r="P11" s="528"/>
      <c r="Q11" s="528"/>
      <c r="R11" s="528"/>
      <c r="S11" s="528"/>
      <c r="T11" s="528"/>
      <c r="U11" s="528"/>
      <c r="V11" s="528"/>
      <c r="W11" s="528"/>
    </row>
    <row r="12" spans="1:26">
      <c r="A12" s="521" t="s">
        <v>714</v>
      </c>
      <c r="C12" s="526"/>
      <c r="D12" s="526"/>
      <c r="E12" s="526">
        <f>'12 years sales &amp; PL forecast'!M51</f>
        <v>2510256</v>
      </c>
      <c r="F12" s="1562">
        <f>'12 years sales &amp; PL forecast'!N51</f>
        <v>0</v>
      </c>
      <c r="G12" s="526">
        <f>'12 years sales &amp; PL forecast'!O51</f>
        <v>1517577.2599492124</v>
      </c>
      <c r="H12" s="526">
        <f>'12 years sales &amp; PL forecast'!P51</f>
        <v>1517577.2599492124</v>
      </c>
      <c r="I12" s="526">
        <f>'12 years sales &amp; PL forecast'!Q51</f>
        <v>2510256</v>
      </c>
      <c r="J12" s="526">
        <f>'12 years sales &amp; PL forecast'!R51</f>
        <v>3541680</v>
      </c>
      <c r="K12" s="526">
        <f>'12 years sales &amp; PL forecast'!S51</f>
        <v>3541680</v>
      </c>
      <c r="L12" s="526">
        <f>'12 years sales &amp; PL forecast'!T51</f>
        <v>3541680</v>
      </c>
      <c r="M12" s="526">
        <f>'12 years sales &amp; PL forecast'!U51</f>
        <v>6423888</v>
      </c>
      <c r="N12" s="526">
        <f>'12 years sales &amp; PL forecast'!V51</f>
        <v>6423888</v>
      </c>
      <c r="O12" s="528"/>
      <c r="P12" s="528"/>
      <c r="Q12" s="528"/>
      <c r="R12" s="1324"/>
      <c r="T12" s="1323"/>
      <c r="U12" s="528"/>
      <c r="V12" s="528"/>
      <c r="W12" s="528"/>
    </row>
    <row r="13" spans="1:26">
      <c r="C13" s="527">
        <f t="shared" ref="C13:N13" si="3">SUM(C10:C12)</f>
        <v>0</v>
      </c>
      <c r="D13" s="527">
        <f t="shared" si="3"/>
        <v>0</v>
      </c>
      <c r="E13" s="527">
        <f t="shared" si="3"/>
        <v>145973662</v>
      </c>
      <c r="F13" s="1563">
        <f t="shared" si="3"/>
        <v>181397665</v>
      </c>
      <c r="G13" s="527">
        <f t="shared" si="3"/>
        <v>213772250.25994921</v>
      </c>
      <c r="H13" s="527">
        <f t="shared" si="3"/>
        <v>220286460.25994921</v>
      </c>
      <c r="I13" s="527">
        <f t="shared" si="3"/>
        <v>235262183</v>
      </c>
      <c r="J13" s="527">
        <f t="shared" si="3"/>
        <v>274510327</v>
      </c>
      <c r="K13" s="527">
        <f t="shared" si="3"/>
        <v>294265120.50631487</v>
      </c>
      <c r="L13" s="527">
        <f t="shared" si="3"/>
        <v>294813804.62953103</v>
      </c>
      <c r="M13" s="527">
        <f t="shared" si="3"/>
        <v>334546017.87985861</v>
      </c>
      <c r="N13" s="527">
        <f t="shared" si="3"/>
        <v>371053354.56351984</v>
      </c>
      <c r="P13" s="1322"/>
      <c r="Q13" s="1322"/>
      <c r="R13" s="1324"/>
      <c r="T13" s="1323"/>
    </row>
    <row r="14" spans="1:26">
      <c r="A14" s="521" t="s">
        <v>1347</v>
      </c>
      <c r="E14" s="1141"/>
      <c r="F14" s="1564">
        <f t="shared" ref="F14:M14" si="4">F13/E13-1</f>
        <v>0.24267393524730507</v>
      </c>
      <c r="G14" s="1141">
        <f t="shared" si="4"/>
        <v>0.17847299886660184</v>
      </c>
      <c r="H14" s="1141">
        <f t="shared" si="4"/>
        <v>3.0472664211929512E-2</v>
      </c>
      <c r="I14" s="1141">
        <f t="shared" si="4"/>
        <v>6.7982946942715783E-2</v>
      </c>
      <c r="J14" s="1141">
        <f t="shared" si="4"/>
        <v>0.16682725417029731</v>
      </c>
      <c r="K14" s="1141">
        <f t="shared" si="4"/>
        <v>7.1963753503214711E-2</v>
      </c>
      <c r="L14" s="1141">
        <f t="shared" si="4"/>
        <v>1.8645910948333899E-3</v>
      </c>
      <c r="M14" s="1141">
        <f t="shared" si="4"/>
        <v>0.13477053186249499</v>
      </c>
      <c r="N14" s="1141">
        <f>N13/M13-1</f>
        <v>0.10912500742056852</v>
      </c>
      <c r="P14" s="529"/>
    </row>
    <row r="16" spans="1:26">
      <c r="A16" s="521" t="s">
        <v>803</v>
      </c>
      <c r="C16" s="526"/>
      <c r="D16" s="526"/>
      <c r="E16" s="1093"/>
      <c r="F16" s="1804"/>
      <c r="G16" s="1805">
        <f>G49+G50</f>
        <v>16944000</v>
      </c>
      <c r="H16" s="1805">
        <f>H39-H8+H49+H50</f>
        <v>7353753.6944999993</v>
      </c>
      <c r="I16" s="531">
        <f>-SUM(G16:H16)+15000000</f>
        <v>-9297753.6944999993</v>
      </c>
      <c r="J16" s="1093"/>
      <c r="K16" s="1093"/>
      <c r="L16" s="1093"/>
      <c r="M16" s="1093"/>
      <c r="N16" s="1093"/>
    </row>
    <row r="17" spans="1:14">
      <c r="A17" s="521" t="s">
        <v>804</v>
      </c>
      <c r="C17" s="526"/>
      <c r="D17" s="526"/>
      <c r="E17" s="1093"/>
      <c r="F17" s="1804"/>
      <c r="G17" s="1805">
        <f>G54+G55</f>
        <v>10725000</v>
      </c>
      <c r="H17" s="1805">
        <f>H40-H9+H54+H55</f>
        <v>-1115500.6944999974</v>
      </c>
      <c r="I17" s="531">
        <f>-SUM(G17:H17)+4000000</f>
        <v>-5609499.3055000026</v>
      </c>
      <c r="J17" s="1093"/>
      <c r="K17" s="1093"/>
      <c r="L17" s="1093"/>
      <c r="M17" s="1093"/>
      <c r="N17" s="1093"/>
    </row>
    <row r="18" spans="1:14">
      <c r="A18" s="521" t="s">
        <v>805</v>
      </c>
      <c r="C18" s="526"/>
      <c r="D18" s="526"/>
      <c r="E18" s="532"/>
      <c r="F18" s="1804"/>
      <c r="G18" s="1093"/>
      <c r="H18" s="1093">
        <f>H42-H11</f>
        <v>22732864</v>
      </c>
      <c r="I18" s="1093">
        <f>I42-I11</f>
        <v>6721952</v>
      </c>
      <c r="J18" s="531">
        <f>-(H18+I18)+18000000</f>
        <v>-11454816</v>
      </c>
      <c r="K18" s="1262"/>
      <c r="L18" s="1262"/>
      <c r="M18" s="1262"/>
      <c r="N18" s="1262"/>
    </row>
    <row r="20" spans="1:14" s="1253" customFormat="1" ht="15" hidden="1" customHeight="1" outlineLevel="1">
      <c r="A20" s="1255" t="s">
        <v>1443</v>
      </c>
      <c r="F20" s="1565"/>
    </row>
    <row r="21" spans="1:14" s="1281" customFormat="1" ht="15" hidden="1" customHeight="1" outlineLevel="1">
      <c r="A21" s="1281" t="str">
        <f t="shared" ref="A21:N21" si="5">A91</f>
        <v>HK &amp; Overseas Core Stock / month of sales</v>
      </c>
      <c r="B21" s="1281">
        <f t="shared" si="5"/>
        <v>0</v>
      </c>
      <c r="C21" s="1282">
        <f t="shared" si="5"/>
        <v>0</v>
      </c>
      <c r="D21" s="1282">
        <f t="shared" si="5"/>
        <v>0</v>
      </c>
      <c r="E21" s="1282">
        <f t="shared" si="5"/>
        <v>14.455111254146438</v>
      </c>
      <c r="F21" s="1566">
        <f t="shared" si="5"/>
        <v>-4.341874136851076</v>
      </c>
      <c r="G21" s="1282">
        <f t="shared" si="5"/>
        <v>-2.2329924328733188</v>
      </c>
      <c r="H21" s="1282">
        <f t="shared" si="5"/>
        <v>-0.90337609711227407</v>
      </c>
      <c r="I21" s="1282">
        <f t="shared" si="5"/>
        <v>-2.0127044715965856</v>
      </c>
      <c r="J21" s="1282">
        <f t="shared" si="5"/>
        <v>-1.7666476921327956</v>
      </c>
      <c r="K21" s="1282">
        <f t="shared" si="5"/>
        <v>-1.6593874248777742</v>
      </c>
      <c r="L21" s="1282">
        <f t="shared" si="5"/>
        <v>-1.5745175832527689</v>
      </c>
      <c r="M21" s="1282">
        <f t="shared" si="5"/>
        <v>-1.4550292009789656</v>
      </c>
      <c r="N21" s="1282">
        <f t="shared" si="5"/>
        <v>-1.4356736033528026</v>
      </c>
    </row>
    <row r="22" spans="1:14" s="1281" customFormat="1" ht="15" hidden="1" customHeight="1" outlineLevel="1">
      <c r="A22" s="1281" t="str">
        <f t="shared" ref="A22:N22" si="6">A92</f>
        <v>HK &amp; Overseas Star Stock / month of sales</v>
      </c>
      <c r="B22" s="1281">
        <f t="shared" si="6"/>
        <v>0</v>
      </c>
      <c r="C22" s="1282">
        <f t="shared" si="6"/>
        <v>0</v>
      </c>
      <c r="D22" s="1282">
        <f t="shared" si="6"/>
        <v>0</v>
      </c>
      <c r="E22" s="1282">
        <f t="shared" si="6"/>
        <v>19.338550127709926</v>
      </c>
      <c r="F22" s="1566">
        <f t="shared" si="6"/>
        <v>0.52481347823810764</v>
      </c>
      <c r="G22" s="1282">
        <f t="shared" si="6"/>
        <v>11.879154680739852</v>
      </c>
      <c r="H22" s="1282">
        <f t="shared" si="6"/>
        <v>10.284291035559573</v>
      </c>
      <c r="I22" s="1282">
        <f t="shared" si="6"/>
        <v>3.7722322430594395</v>
      </c>
      <c r="J22" s="1282">
        <f t="shared" si="6"/>
        <v>3.3110699958367316</v>
      </c>
      <c r="K22" s="1282">
        <f t="shared" si="6"/>
        <v>3.1100416559843307</v>
      </c>
      <c r="L22" s="1282">
        <f t="shared" si="6"/>
        <v>2.9509776912745824</v>
      </c>
      <c r="M22" s="1282">
        <f t="shared" si="6"/>
        <v>2.7270312874954405</v>
      </c>
      <c r="N22" s="1282">
        <f t="shared" si="6"/>
        <v>2.6907548194498463</v>
      </c>
    </row>
    <row r="23" spans="1:14" s="1253" customFormat="1" ht="15" hidden="1" customHeight="1" outlineLevel="1">
      <c r="A23" s="1253" t="str">
        <f t="shared" ref="A23:N23" si="7">A93</f>
        <v>HK &amp; Overseas Stock / month of sales</v>
      </c>
      <c r="B23" s="1253">
        <f t="shared" si="7"/>
        <v>0</v>
      </c>
      <c r="C23" s="1254">
        <f t="shared" si="7"/>
        <v>0</v>
      </c>
      <c r="D23" s="1254">
        <f t="shared" si="7"/>
        <v>0</v>
      </c>
      <c r="E23" s="1254">
        <f t="shared" si="7"/>
        <v>15.154809776184493</v>
      </c>
      <c r="F23" s="1567">
        <f t="shared" si="7"/>
        <v>0.94213523613642447</v>
      </c>
      <c r="G23" s="1254">
        <f t="shared" si="7"/>
        <v>5.2952573602111395</v>
      </c>
      <c r="H23" s="1254">
        <f t="shared" si="7"/>
        <v>5.9869023559347392</v>
      </c>
      <c r="I23" s="1254">
        <f t="shared" si="7"/>
        <v>3.1195200312283871</v>
      </c>
      <c r="J23" s="1254">
        <f t="shared" si="7"/>
        <v>2.7381530381159043</v>
      </c>
      <c r="K23" s="1254">
        <f t="shared" si="7"/>
        <v>2.5719087846853319</v>
      </c>
      <c r="L23" s="1254">
        <f t="shared" si="7"/>
        <v>2.4403677786744655</v>
      </c>
      <c r="M23" s="1254">
        <f t="shared" si="7"/>
        <v>2.2551709913356248</v>
      </c>
      <c r="N23" s="1254">
        <f t="shared" si="7"/>
        <v>2.2251714681252874</v>
      </c>
    </row>
    <row r="24" spans="1:14" s="1253" customFormat="1" ht="15" hidden="1" customHeight="1" outlineLevel="1">
      <c r="A24" s="1253" t="str">
        <f t="shared" ref="A24:N24" si="8">A94</f>
        <v>China Stock / month of sales</v>
      </c>
      <c r="B24" s="1253">
        <f t="shared" si="8"/>
        <v>0</v>
      </c>
      <c r="C24" s="1254">
        <f t="shared" si="8"/>
        <v>0</v>
      </c>
      <c r="D24" s="1254">
        <f t="shared" si="8"/>
        <v>0</v>
      </c>
      <c r="E24" s="1254">
        <f t="shared" si="8"/>
        <v>0.58924824086301864</v>
      </c>
      <c r="F24" s="1567">
        <f t="shared" si="8"/>
        <v>3.1473069001195664</v>
      </c>
      <c r="G24" s="1254">
        <f t="shared" si="8"/>
        <v>2.0126355766869644</v>
      </c>
      <c r="H24" s="1254">
        <f t="shared" si="8"/>
        <v>3.95273543115229</v>
      </c>
      <c r="I24" s="1254">
        <f t="shared" si="8"/>
        <v>4.6762696884636243</v>
      </c>
      <c r="J24" s="1254">
        <f t="shared" si="8"/>
        <v>3.0683445843315527</v>
      </c>
      <c r="K24" s="1254">
        <f t="shared" si="8"/>
        <v>2.8480755920390193</v>
      </c>
      <c r="L24" s="1254">
        <f t="shared" si="8"/>
        <v>2.9540497085620339</v>
      </c>
      <c r="M24" s="1254">
        <f t="shared" si="8"/>
        <v>2.5108610818138484</v>
      </c>
      <c r="N24" s="1254">
        <f t="shared" si="8"/>
        <v>2.1298999039381012</v>
      </c>
    </row>
    <row r="25" spans="1:14" collapsed="1"/>
    <row r="26" spans="1:14">
      <c r="C26" s="526"/>
      <c r="D26" s="526"/>
      <c r="E26" s="526"/>
      <c r="F26" s="1562"/>
      <c r="G26" s="526"/>
      <c r="H26" s="526"/>
      <c r="I26" s="526"/>
      <c r="J26" s="526"/>
      <c r="K26" s="526"/>
      <c r="L26" s="526"/>
      <c r="M26" s="526"/>
      <c r="N26" s="526"/>
    </row>
    <row r="27" spans="1:14">
      <c r="A27" s="533" t="s">
        <v>806</v>
      </c>
      <c r="B27" s="534"/>
      <c r="C27" s="535"/>
      <c r="D27" s="535"/>
      <c r="E27" s="535"/>
      <c r="F27" s="1569"/>
      <c r="G27" s="535"/>
      <c r="H27" s="535"/>
      <c r="I27" s="535"/>
      <c r="J27" s="535"/>
      <c r="K27" s="535"/>
      <c r="L27" s="535"/>
      <c r="M27" s="535"/>
      <c r="N27" s="535"/>
    </row>
    <row r="28" spans="1:14">
      <c r="A28" s="536" t="s">
        <v>800</v>
      </c>
      <c r="B28" s="536"/>
      <c r="C28" s="537">
        <v>0</v>
      </c>
      <c r="D28" s="537">
        <v>0</v>
      </c>
      <c r="E28" s="537">
        <v>0</v>
      </c>
      <c r="F28" s="1570"/>
      <c r="G28" s="538">
        <f t="shared" ref="G28" si="9">G8+G16</f>
        <v>83929492.030499995</v>
      </c>
      <c r="H28" s="538">
        <f t="shared" ref="H28:N29" si="10">H8+H16</f>
        <v>77160000</v>
      </c>
      <c r="I28" s="538">
        <f t="shared" si="10"/>
        <v>75901623.669</v>
      </c>
      <c r="J28" s="538">
        <f t="shared" si="10"/>
        <v>96481894.267499998</v>
      </c>
      <c r="K28" s="538">
        <f t="shared" si="10"/>
        <v>102914413.971</v>
      </c>
      <c r="L28" s="538">
        <f t="shared" si="10"/>
        <v>108625228.788</v>
      </c>
      <c r="M28" s="538">
        <f t="shared" si="10"/>
        <v>115326134.47950001</v>
      </c>
      <c r="N28" s="538">
        <f t="shared" si="10"/>
        <v>116955127.24650003</v>
      </c>
    </row>
    <row r="29" spans="1:14">
      <c r="A29" s="536" t="s">
        <v>801</v>
      </c>
      <c r="B29" s="536"/>
      <c r="C29" s="537">
        <v>0</v>
      </c>
      <c r="D29" s="537">
        <v>0</v>
      </c>
      <c r="E29" s="537">
        <v>0</v>
      </c>
      <c r="F29" s="1570"/>
      <c r="G29" s="538">
        <f t="shared" ref="G29" si="11">G9+G17</f>
        <v>21947904.969499998</v>
      </c>
      <c r="H29" s="538">
        <f t="shared" si="10"/>
        <v>10580000</v>
      </c>
      <c r="I29" s="538">
        <f t="shared" si="10"/>
        <v>8665002.3309999928</v>
      </c>
      <c r="J29" s="538">
        <f t="shared" si="10"/>
        <v>16164800.732499996</v>
      </c>
      <c r="K29" s="538">
        <f t="shared" si="10"/>
        <v>17242520.028999995</v>
      </c>
      <c r="L29" s="538">
        <f t="shared" si="10"/>
        <v>18199323.211999994</v>
      </c>
      <c r="M29" s="538">
        <f t="shared" si="10"/>
        <v>19322008.520499993</v>
      </c>
      <c r="N29" s="538">
        <f t="shared" si="10"/>
        <v>19594933.7535</v>
      </c>
    </row>
    <row r="30" spans="1:14">
      <c r="A30" s="534" t="s">
        <v>807</v>
      </c>
      <c r="B30" s="534"/>
      <c r="C30" s="539"/>
      <c r="D30" s="539"/>
      <c r="E30" s="540">
        <v>54826648</v>
      </c>
      <c r="F30" s="1571">
        <v>47219076</v>
      </c>
      <c r="G30" s="541">
        <f t="shared" ref="G30:H30" si="12">SUM(G28:G29)</f>
        <v>105877397</v>
      </c>
      <c r="H30" s="541">
        <f t="shared" si="12"/>
        <v>87740000</v>
      </c>
      <c r="I30" s="541">
        <f t="shared" ref="I30:N30" si="13">SUM(I28:I29)</f>
        <v>84566626</v>
      </c>
      <c r="J30" s="541">
        <f t="shared" si="13"/>
        <v>112646695</v>
      </c>
      <c r="K30" s="541">
        <f t="shared" si="13"/>
        <v>120156934</v>
      </c>
      <c r="L30" s="541">
        <f t="shared" si="13"/>
        <v>126824552</v>
      </c>
      <c r="M30" s="541">
        <f t="shared" si="13"/>
        <v>134648143</v>
      </c>
      <c r="N30" s="541">
        <f t="shared" si="13"/>
        <v>136550061.00000003</v>
      </c>
    </row>
    <row r="31" spans="1:14">
      <c r="A31" s="534" t="s">
        <v>713</v>
      </c>
      <c r="B31" s="534"/>
      <c r="C31" s="537">
        <v>0</v>
      </c>
      <c r="D31" s="537">
        <v>0</v>
      </c>
      <c r="E31" s="539">
        <v>63072150</v>
      </c>
      <c r="F31" s="1572">
        <v>73152666</v>
      </c>
      <c r="G31" s="539">
        <v>134046276</v>
      </c>
      <c r="H31" s="542">
        <f t="shared" ref="H31:N31" si="14">H11+H18</f>
        <v>160000000</v>
      </c>
      <c r="I31" s="542">
        <f t="shared" si="14"/>
        <v>140000000</v>
      </c>
      <c r="J31" s="542">
        <f t="shared" si="14"/>
        <v>146867136</v>
      </c>
      <c r="K31" s="542">
        <f t="shared" si="14"/>
        <v>170566506.50631487</v>
      </c>
      <c r="L31" s="542">
        <f t="shared" si="14"/>
        <v>164447572.62953103</v>
      </c>
      <c r="M31" s="542">
        <f t="shared" si="14"/>
        <v>193473986.87985858</v>
      </c>
      <c r="N31" s="542">
        <f t="shared" si="14"/>
        <v>228079405.56351978</v>
      </c>
    </row>
    <row r="32" spans="1:14">
      <c r="A32" s="534" t="s">
        <v>714</v>
      </c>
      <c r="B32" s="534"/>
      <c r="C32" s="537">
        <v>0</v>
      </c>
      <c r="D32" s="537">
        <v>0</v>
      </c>
      <c r="E32" s="539">
        <v>0</v>
      </c>
      <c r="F32" s="1572">
        <v>0</v>
      </c>
      <c r="G32" s="539">
        <v>1517577.2599492124</v>
      </c>
      <c r="H32" s="542">
        <f>H12</f>
        <v>1517577.2599492124</v>
      </c>
      <c r="I32" s="542">
        <f t="shared" ref="I32:N32" si="15">I12</f>
        <v>2510256</v>
      </c>
      <c r="J32" s="542">
        <f t="shared" si="15"/>
        <v>3541680</v>
      </c>
      <c r="K32" s="542">
        <f t="shared" si="15"/>
        <v>3541680</v>
      </c>
      <c r="L32" s="542">
        <f t="shared" si="15"/>
        <v>3541680</v>
      </c>
      <c r="M32" s="542">
        <f t="shared" si="15"/>
        <v>6423888</v>
      </c>
      <c r="N32" s="542">
        <f t="shared" si="15"/>
        <v>6423888</v>
      </c>
    </row>
    <row r="33" spans="1:14" ht="8.25" customHeight="1">
      <c r="A33" s="534"/>
      <c r="B33" s="534"/>
      <c r="C33" s="535"/>
      <c r="D33" s="535"/>
      <c r="E33" s="535"/>
      <c r="F33" s="1569"/>
      <c r="G33" s="535"/>
      <c r="H33" s="535"/>
      <c r="I33" s="535"/>
      <c r="J33" s="535"/>
      <c r="K33" s="535"/>
      <c r="L33" s="535"/>
      <c r="M33" s="535"/>
      <c r="N33" s="535"/>
    </row>
    <row r="34" spans="1:14">
      <c r="A34" s="534"/>
      <c r="B34" s="534"/>
      <c r="C34" s="543">
        <f>SUM(C28:C33)</f>
        <v>0</v>
      </c>
      <c r="D34" s="543">
        <f>SUM(D28:D33)</f>
        <v>0</v>
      </c>
      <c r="E34" s="543">
        <f>SUM(E30:E33)</f>
        <v>117898798</v>
      </c>
      <c r="F34" s="1573">
        <f t="shared" ref="F34:N34" si="16">SUM(F30:F33)</f>
        <v>120371742</v>
      </c>
      <c r="G34" s="543">
        <f t="shared" si="16"/>
        <v>241441250.25994921</v>
      </c>
      <c r="H34" s="543">
        <f t="shared" si="16"/>
        <v>249257577.25994921</v>
      </c>
      <c r="I34" s="543">
        <f t="shared" si="16"/>
        <v>227076882</v>
      </c>
      <c r="J34" s="543">
        <f t="shared" si="16"/>
        <v>263055511</v>
      </c>
      <c r="K34" s="543">
        <f t="shared" si="16"/>
        <v>294265120.50631487</v>
      </c>
      <c r="L34" s="543">
        <f t="shared" si="16"/>
        <v>294813804.62953103</v>
      </c>
      <c r="M34" s="543">
        <f t="shared" si="16"/>
        <v>334546017.87985861</v>
      </c>
      <c r="N34" s="543">
        <f t="shared" si="16"/>
        <v>371053354.56351984</v>
      </c>
    </row>
    <row r="35" spans="1:14">
      <c r="A35" s="534" t="s">
        <v>884</v>
      </c>
      <c r="B35" s="534"/>
      <c r="C35" s="1797"/>
      <c r="D35" s="1797"/>
      <c r="E35" s="1797"/>
      <c r="F35" s="1569">
        <f t="shared" ref="F35:N35" si="17">F77</f>
        <v>120371742</v>
      </c>
      <c r="G35" s="1797">
        <f t="shared" si="17"/>
        <v>241441250.25994921</v>
      </c>
      <c r="H35" s="1797">
        <f t="shared" si="17"/>
        <v>249257577.25994921</v>
      </c>
      <c r="I35" s="1797">
        <f t="shared" si="17"/>
        <v>227076882</v>
      </c>
      <c r="J35" s="1797">
        <f t="shared" si="17"/>
        <v>263055511</v>
      </c>
      <c r="K35" s="1797">
        <f t="shared" si="17"/>
        <v>294265120.50631487</v>
      </c>
      <c r="L35" s="1797">
        <f t="shared" si="17"/>
        <v>294813804.62953103</v>
      </c>
      <c r="M35" s="1797">
        <f t="shared" si="17"/>
        <v>334546017.87985861</v>
      </c>
      <c r="N35" s="1797">
        <f t="shared" si="17"/>
        <v>371053354.56351984</v>
      </c>
    </row>
    <row r="36" spans="1:14">
      <c r="C36" s="526"/>
      <c r="D36" s="526"/>
      <c r="E36" s="526"/>
      <c r="F36" s="1562"/>
      <c r="G36" s="526"/>
      <c r="H36" s="526"/>
      <c r="I36" s="526"/>
      <c r="J36" s="526"/>
      <c r="K36" s="526"/>
      <c r="L36" s="526"/>
      <c r="M36" s="526"/>
      <c r="N36" s="526"/>
    </row>
    <row r="37" spans="1:14" ht="15.75" thickBot="1">
      <c r="A37" s="520" t="s">
        <v>1551</v>
      </c>
      <c r="E37" s="523"/>
      <c r="F37" s="1560"/>
      <c r="G37" s="523"/>
      <c r="H37" s="544"/>
    </row>
    <row r="38" spans="1:14">
      <c r="A38" s="1112" t="s">
        <v>1321</v>
      </c>
      <c r="B38" s="1094"/>
      <c r="C38" s="1094"/>
      <c r="D38" s="1094"/>
      <c r="E38" s="1113"/>
      <c r="F38" s="1574"/>
      <c r="G38" s="1113"/>
      <c r="H38" s="1114"/>
      <c r="I38" s="1094"/>
      <c r="J38" s="1094"/>
      <c r="K38" s="1094"/>
      <c r="L38" s="1094"/>
      <c r="M38" s="1094"/>
      <c r="N38" s="1095"/>
    </row>
    <row r="39" spans="1:14">
      <c r="A39" s="1096" t="s">
        <v>1446</v>
      </c>
      <c r="B39" s="1097"/>
      <c r="C39" s="1097"/>
      <c r="D39" s="1097"/>
      <c r="E39" s="1098">
        <f t="shared" ref="E39" si="18">E28</f>
        <v>0</v>
      </c>
      <c r="F39" s="1575"/>
      <c r="G39" s="1267">
        <f>G8</f>
        <v>66985492.030500002</v>
      </c>
      <c r="H39" s="1256">
        <v>45000000</v>
      </c>
      <c r="I39" s="1256"/>
      <c r="J39" s="1097"/>
      <c r="K39" s="1097"/>
      <c r="L39" s="1097"/>
      <c r="M39" s="1097"/>
      <c r="N39" s="1099"/>
    </row>
    <row r="40" spans="1:14">
      <c r="A40" s="1096" t="s">
        <v>1447</v>
      </c>
      <c r="B40" s="1097"/>
      <c r="C40" s="1097"/>
      <c r="D40" s="1097"/>
      <c r="E40" s="1098">
        <f>E29</f>
        <v>0</v>
      </c>
      <c r="F40" s="1575"/>
      <c r="G40" s="1267">
        <f>G9</f>
        <v>11222904.969499998</v>
      </c>
      <c r="H40" s="1256">
        <f>H41-H39</f>
        <v>5000000</v>
      </c>
      <c r="I40" s="1256">
        <v>0</v>
      </c>
      <c r="J40" s="1097"/>
      <c r="K40" s="1097"/>
      <c r="L40" s="1097"/>
      <c r="M40" s="1097"/>
      <c r="N40" s="1099"/>
    </row>
    <row r="41" spans="1:14">
      <c r="A41" s="1257" t="s">
        <v>802</v>
      </c>
      <c r="B41" s="1258"/>
      <c r="C41" s="1258"/>
      <c r="D41" s="1258"/>
      <c r="E41" s="1259">
        <v>54826648</v>
      </c>
      <c r="F41" s="1635">
        <v>47219076</v>
      </c>
      <c r="G41" s="1599">
        <f>G10</f>
        <v>78208397</v>
      </c>
      <c r="H41" s="1798">
        <v>50000000</v>
      </c>
      <c r="I41" s="1799">
        <v>0</v>
      </c>
      <c r="J41" s="1637">
        <v>0</v>
      </c>
      <c r="K41" s="1637">
        <v>0</v>
      </c>
      <c r="L41" s="1637">
        <v>0</v>
      </c>
      <c r="M41" s="1637">
        <v>0</v>
      </c>
      <c r="N41" s="1638">
        <v>0</v>
      </c>
    </row>
    <row r="42" spans="1:14">
      <c r="A42" s="1100" t="s">
        <v>713</v>
      </c>
      <c r="B42" s="1097"/>
      <c r="C42" s="1097"/>
      <c r="D42" s="1097"/>
      <c r="E42" s="1098">
        <f>E31</f>
        <v>63072150</v>
      </c>
      <c r="F42" s="1568">
        <v>73152666</v>
      </c>
      <c r="G42" s="1598">
        <f>G11</f>
        <v>134046276</v>
      </c>
      <c r="H42" s="1800">
        <v>160000000</v>
      </c>
      <c r="I42" s="1256">
        <v>140000000</v>
      </c>
      <c r="J42" s="1286">
        <v>0</v>
      </c>
      <c r="K42" s="1286">
        <v>0</v>
      </c>
      <c r="L42" s="1286">
        <v>0</v>
      </c>
      <c r="M42" s="1286">
        <v>0</v>
      </c>
      <c r="N42" s="1640">
        <v>0</v>
      </c>
    </row>
    <row r="43" spans="1:14">
      <c r="A43" s="1100" t="s">
        <v>714</v>
      </c>
      <c r="B43" s="1097"/>
      <c r="C43" s="1097"/>
      <c r="D43" s="1097"/>
      <c r="E43" s="1098">
        <v>3195756</v>
      </c>
      <c r="F43" s="1636">
        <f>F32-F73</f>
        <v>0</v>
      </c>
      <c r="G43" s="1598">
        <f>G12</f>
        <v>1517577.2599492124</v>
      </c>
      <c r="H43" s="1639">
        <v>0</v>
      </c>
      <c r="I43" s="1286">
        <v>0</v>
      </c>
      <c r="J43" s="1286">
        <v>0</v>
      </c>
      <c r="K43" s="1286">
        <v>0</v>
      </c>
      <c r="L43" s="1286">
        <v>0</v>
      </c>
      <c r="M43" s="1286">
        <v>0</v>
      </c>
      <c r="N43" s="1640">
        <v>0</v>
      </c>
    </row>
    <row r="44" spans="1:14" ht="15.75" thickBot="1">
      <c r="A44" s="1101" t="s">
        <v>54</v>
      </c>
      <c r="B44" s="1102"/>
      <c r="C44" s="1103">
        <f>C28+C29+C31+C32</f>
        <v>0</v>
      </c>
      <c r="D44" s="1103">
        <f>D28+D29+D31+D32</f>
        <v>0</v>
      </c>
      <c r="E44" s="1103">
        <f>SUM(E41:E43)</f>
        <v>121094554</v>
      </c>
      <c r="F44" s="1576">
        <f t="shared" ref="F44:N44" si="19">SUM(F41:F43)</f>
        <v>120371742</v>
      </c>
      <c r="G44" s="1103">
        <f t="shared" si="19"/>
        <v>213772250.25994921</v>
      </c>
      <c r="H44" s="1260">
        <f>SUM(H41:H43)</f>
        <v>210000000</v>
      </c>
      <c r="I44" s="1260">
        <f>SUM(I41:I43)</f>
        <v>140000000</v>
      </c>
      <c r="J44" s="1260">
        <f t="shared" si="19"/>
        <v>0</v>
      </c>
      <c r="K44" s="1260">
        <f t="shared" si="19"/>
        <v>0</v>
      </c>
      <c r="L44" s="1260">
        <f t="shared" si="19"/>
        <v>0</v>
      </c>
      <c r="M44" s="1260">
        <f t="shared" si="19"/>
        <v>0</v>
      </c>
      <c r="N44" s="1261">
        <f t="shared" si="19"/>
        <v>0</v>
      </c>
    </row>
    <row r="45" spans="1:14">
      <c r="A45" s="1115" t="s">
        <v>1322</v>
      </c>
      <c r="B45" s="1116"/>
      <c r="C45" s="1117"/>
      <c r="D45" s="1117"/>
      <c r="E45" s="1117"/>
      <c r="F45" s="1577"/>
      <c r="G45" s="1117"/>
      <c r="H45" s="1118"/>
      <c r="I45" s="1116"/>
      <c r="J45" s="1116"/>
      <c r="K45" s="1116"/>
      <c r="L45" s="1116"/>
      <c r="M45" s="1116"/>
      <c r="N45" s="1119"/>
    </row>
    <row r="46" spans="1:14" s="1263" customFormat="1">
      <c r="A46" s="1591" t="s">
        <v>1687</v>
      </c>
      <c r="B46" s="1268"/>
      <c r="C46" s="1269"/>
      <c r="D46" s="1269"/>
      <c r="E46" s="1269"/>
      <c r="F46" s="1578"/>
      <c r="G46" s="1592">
        <v>2260802</v>
      </c>
      <c r="H46" s="1597">
        <v>1752837</v>
      </c>
      <c r="I46" s="1597">
        <v>48387</v>
      </c>
      <c r="J46" s="1268"/>
      <c r="K46" s="1268"/>
      <c r="L46" s="1268"/>
      <c r="M46" s="1268"/>
      <c r="N46" s="1270"/>
    </row>
    <row r="47" spans="1:14" s="1263" customFormat="1">
      <c r="A47" s="1591" t="s">
        <v>1688</v>
      </c>
      <c r="B47" s="1268"/>
      <c r="C47" s="1269"/>
      <c r="D47" s="1269"/>
      <c r="E47" s="1269"/>
      <c r="F47" s="1578"/>
      <c r="G47" s="1592">
        <v>14460000</v>
      </c>
      <c r="H47" s="1597">
        <v>15700000</v>
      </c>
      <c r="I47" s="1597">
        <v>0</v>
      </c>
      <c r="J47" s="1268"/>
      <c r="K47" s="1268"/>
      <c r="L47" s="1268"/>
      <c r="M47" s="1268"/>
      <c r="N47" s="1270"/>
    </row>
    <row r="48" spans="1:14" s="1263" customFormat="1">
      <c r="A48" s="1591" t="s">
        <v>1689</v>
      </c>
      <c r="B48" s="1268"/>
      <c r="C48" s="1269"/>
      <c r="D48" s="1269"/>
      <c r="E48" s="1269"/>
      <c r="F48" s="1578"/>
      <c r="G48" s="1592">
        <v>2100000</v>
      </c>
      <c r="H48" s="1597"/>
      <c r="I48" s="1597"/>
      <c r="J48" s="1268"/>
      <c r="K48" s="1268"/>
      <c r="L48" s="1268"/>
      <c r="M48" s="1268"/>
      <c r="N48" s="1270"/>
    </row>
    <row r="49" spans="1:14" s="1274" customFormat="1">
      <c r="A49" s="1591" t="s">
        <v>1690</v>
      </c>
      <c r="B49" s="1271"/>
      <c r="C49" s="1272"/>
      <c r="D49" s="1272"/>
      <c r="E49" s="1272"/>
      <c r="F49" s="1579"/>
      <c r="G49" s="1592">
        <v>8036000</v>
      </c>
      <c r="H49" s="1597">
        <v>10380000</v>
      </c>
      <c r="I49" s="1597">
        <v>0</v>
      </c>
      <c r="J49" s="1271"/>
      <c r="K49" s="1271"/>
      <c r="L49" s="1271"/>
      <c r="M49" s="1271"/>
      <c r="N49" s="1273"/>
    </row>
    <row r="50" spans="1:14" s="1274" customFormat="1">
      <c r="A50" s="1591" t="s">
        <v>1714</v>
      </c>
      <c r="B50" s="1271"/>
      <c r="C50" s="1272"/>
      <c r="D50" s="1272"/>
      <c r="E50" s="1272"/>
      <c r="F50" s="1579"/>
      <c r="G50" s="1801">
        <v>8908000</v>
      </c>
      <c r="H50" s="1632">
        <v>21780000</v>
      </c>
      <c r="I50" s="1275">
        <f>I28-I39-I49</f>
        <v>75901623.669</v>
      </c>
      <c r="J50" s="1275">
        <f>J28-J39-J49</f>
        <v>96481894.267499998</v>
      </c>
      <c r="K50" s="1275">
        <f>K28-K39-K49</f>
        <v>102914413.971</v>
      </c>
      <c r="L50" s="1275">
        <f>L28-L39-L49</f>
        <v>108625228.788</v>
      </c>
      <c r="M50" s="1275">
        <f>M28-M39-M49</f>
        <v>115326134.47950001</v>
      </c>
      <c r="N50" s="1276">
        <f>N28-N39-N49</f>
        <v>116955127.24650003</v>
      </c>
    </row>
    <row r="51" spans="1:14" s="1274" customFormat="1">
      <c r="A51" s="1591" t="s">
        <v>1691</v>
      </c>
      <c r="B51" s="1271"/>
      <c r="C51" s="1272"/>
      <c r="D51" s="1272"/>
      <c r="E51" s="1272"/>
      <c r="F51" s="1579"/>
      <c r="G51" s="1593"/>
      <c r="H51" s="1597"/>
      <c r="I51" s="1597"/>
      <c r="J51" s="1275"/>
      <c r="K51" s="1275"/>
      <c r="L51" s="1275"/>
      <c r="M51" s="1275"/>
      <c r="N51" s="1276"/>
    </row>
    <row r="52" spans="1:14" s="1274" customFormat="1">
      <c r="A52" s="1591" t="s">
        <v>1692</v>
      </c>
      <c r="B52" s="1271"/>
      <c r="C52" s="1272"/>
      <c r="D52" s="1272"/>
      <c r="E52" s="1272"/>
      <c r="F52" s="1579"/>
      <c r="G52" s="1593">
        <v>19950000</v>
      </c>
      <c r="H52" s="1597">
        <v>10955000</v>
      </c>
      <c r="I52" s="1597">
        <v>3440000</v>
      </c>
      <c r="J52" s="1275"/>
      <c r="K52" s="1275"/>
      <c r="L52" s="1275"/>
      <c r="M52" s="1275"/>
      <c r="N52" s="1276"/>
    </row>
    <row r="53" spans="1:14" s="1274" customFormat="1">
      <c r="A53" s="1591" t="s">
        <v>1693</v>
      </c>
      <c r="B53" s="1271"/>
      <c r="C53" s="1272"/>
      <c r="D53" s="1272"/>
      <c r="E53" s="1272"/>
      <c r="F53" s="1579"/>
      <c r="G53" s="1592">
        <v>120000</v>
      </c>
      <c r="H53" s="1597"/>
      <c r="I53" s="1597"/>
      <c r="J53" s="1275"/>
      <c r="K53" s="1275"/>
      <c r="L53" s="1275"/>
      <c r="M53" s="1275"/>
      <c r="N53" s="1276"/>
    </row>
    <row r="54" spans="1:14" s="1274" customFormat="1">
      <c r="A54" s="1591" t="s">
        <v>1694</v>
      </c>
      <c r="B54" s="1271"/>
      <c r="C54" s="1272"/>
      <c r="D54" s="1272"/>
      <c r="E54" s="1272"/>
      <c r="F54" s="1579"/>
      <c r="G54" s="1592">
        <v>10065000</v>
      </c>
      <c r="H54" s="1597">
        <v>5580000</v>
      </c>
      <c r="I54" s="1597">
        <v>2580000</v>
      </c>
      <c r="J54" s="1271"/>
      <c r="K54" s="1271"/>
      <c r="L54" s="1271"/>
      <c r="M54" s="1271"/>
      <c r="N54" s="1273"/>
    </row>
    <row r="55" spans="1:14" s="1274" customFormat="1">
      <c r="A55" s="1591" t="s">
        <v>1715</v>
      </c>
      <c r="B55" s="1271"/>
      <c r="C55" s="1272"/>
      <c r="D55" s="1272"/>
      <c r="E55" s="1272"/>
      <c r="F55" s="1579"/>
      <c r="G55" s="1802">
        <v>660000</v>
      </c>
      <c r="H55" s="1803">
        <v>0</v>
      </c>
      <c r="I55" s="1275">
        <f>I29-I40-I54</f>
        <v>6085002.3309999928</v>
      </c>
      <c r="J55" s="1275">
        <f>J29-J40-J54</f>
        <v>16164800.732499996</v>
      </c>
      <c r="K55" s="1275">
        <f>K29-K40-K54</f>
        <v>17242520.028999995</v>
      </c>
      <c r="L55" s="1275">
        <f>L29-L40-L54</f>
        <v>18199323.211999994</v>
      </c>
      <c r="M55" s="1275">
        <f>M29-M40-M54</f>
        <v>19322008.520499993</v>
      </c>
      <c r="N55" s="1276">
        <f>N29-N40-N54</f>
        <v>19594933.7535</v>
      </c>
    </row>
    <row r="56" spans="1:14">
      <c r="A56" s="1600" t="s">
        <v>1700</v>
      </c>
      <c r="B56" s="1601"/>
      <c r="C56" s="1602"/>
      <c r="D56" s="1602"/>
      <c r="E56" s="1602"/>
      <c r="F56" s="1603"/>
      <c r="G56" s="1604">
        <f>SUM(G46:G55)</f>
        <v>66559802</v>
      </c>
      <c r="H56" s="1605">
        <f t="shared" ref="H56:N56" si="20">SUM(H46:H55)</f>
        <v>66147837</v>
      </c>
      <c r="I56" s="1605">
        <f t="shared" si="20"/>
        <v>88055013</v>
      </c>
      <c r="J56" s="1605">
        <f t="shared" si="20"/>
        <v>112646695</v>
      </c>
      <c r="K56" s="1605">
        <f t="shared" si="20"/>
        <v>120156934</v>
      </c>
      <c r="L56" s="1605">
        <f t="shared" si="20"/>
        <v>126824552</v>
      </c>
      <c r="M56" s="1605">
        <f t="shared" si="20"/>
        <v>134648143</v>
      </c>
      <c r="N56" s="1606">
        <f t="shared" si="20"/>
        <v>136550061.00000003</v>
      </c>
    </row>
    <row r="57" spans="1:14">
      <c r="A57" s="1607" t="s">
        <v>1701</v>
      </c>
      <c r="B57" s="1608"/>
      <c r="C57" s="1609"/>
      <c r="D57" s="1609"/>
      <c r="E57" s="1609"/>
      <c r="F57" s="1610"/>
      <c r="G57" s="1611">
        <f t="shared" ref="G57:N57" si="21">SUM(G49:G50,G54:G55)</f>
        <v>27669000</v>
      </c>
      <c r="H57" s="1612">
        <f t="shared" si="21"/>
        <v>37740000</v>
      </c>
      <c r="I57" s="1612">
        <f t="shared" si="21"/>
        <v>84566626</v>
      </c>
      <c r="J57" s="1612">
        <f t="shared" si="21"/>
        <v>112646695</v>
      </c>
      <c r="K57" s="1612">
        <f t="shared" si="21"/>
        <v>120156934</v>
      </c>
      <c r="L57" s="1612">
        <f t="shared" si="21"/>
        <v>126824552</v>
      </c>
      <c r="M57" s="1612">
        <f t="shared" si="21"/>
        <v>134648143</v>
      </c>
      <c r="N57" s="1613">
        <f t="shared" si="21"/>
        <v>136550061.00000003</v>
      </c>
    </row>
    <row r="58" spans="1:14">
      <c r="A58" s="1100"/>
      <c r="B58" s="1097"/>
      <c r="C58" s="1104"/>
      <c r="D58" s="1104"/>
      <c r="E58" s="1104"/>
      <c r="F58" s="1580"/>
      <c r="G58" s="1594"/>
      <c r="H58" s="1595"/>
      <c r="I58" s="1595"/>
      <c r="J58" s="1595"/>
      <c r="K58" s="1595"/>
      <c r="L58" s="1595"/>
      <c r="M58" s="1595"/>
      <c r="N58" s="1596"/>
    </row>
    <row r="59" spans="1:14">
      <c r="A59" s="1591" t="s">
        <v>1695</v>
      </c>
      <c r="B59" s="1097"/>
      <c r="C59" s="1104"/>
      <c r="D59" s="1104"/>
      <c r="E59" s="1104"/>
      <c r="F59" s="1580"/>
      <c r="G59" s="1594">
        <v>1088715</v>
      </c>
      <c r="H59" s="1595">
        <v>0</v>
      </c>
      <c r="I59" s="1595"/>
      <c r="J59" s="1595"/>
      <c r="K59" s="1595"/>
      <c r="L59" s="1595"/>
      <c r="M59" s="1595"/>
      <c r="N59" s="1596"/>
    </row>
    <row r="60" spans="1:14">
      <c r="A60" s="1591" t="s">
        <v>1696</v>
      </c>
      <c r="B60" s="1097"/>
      <c r="C60" s="1104"/>
      <c r="D60" s="1104"/>
      <c r="E60" s="1104"/>
      <c r="F60" s="1580"/>
      <c r="G60" s="1594">
        <v>25600000</v>
      </c>
      <c r="H60" s="1595">
        <v>4900000</v>
      </c>
      <c r="I60" s="1595"/>
      <c r="J60" s="1595"/>
      <c r="K60" s="1595"/>
      <c r="L60" s="1595"/>
      <c r="M60" s="1595"/>
      <c r="N60" s="1596"/>
    </row>
    <row r="61" spans="1:14">
      <c r="A61" s="1591" t="s">
        <v>1697</v>
      </c>
      <c r="B61" s="1097"/>
      <c r="C61" s="1104"/>
      <c r="D61" s="1104"/>
      <c r="E61" s="1104"/>
      <c r="F61" s="1580"/>
      <c r="G61" s="1594">
        <v>2880000</v>
      </c>
      <c r="H61" s="1595">
        <v>6900000</v>
      </c>
      <c r="I61" s="1595"/>
      <c r="J61" s="1595"/>
      <c r="K61" s="1595"/>
      <c r="L61" s="1595"/>
      <c r="M61" s="1595"/>
      <c r="N61" s="1596"/>
    </row>
    <row r="62" spans="1:14">
      <c r="A62" s="1591" t="s">
        <v>1698</v>
      </c>
      <c r="B62" s="1097"/>
      <c r="C62" s="1104"/>
      <c r="D62" s="1104"/>
      <c r="E62" s="1104"/>
      <c r="F62" s="1580"/>
      <c r="G62" s="1594"/>
      <c r="H62" s="1595"/>
      <c r="I62" s="1595"/>
      <c r="J62" s="1595"/>
      <c r="K62" s="1595"/>
      <c r="L62" s="1595"/>
      <c r="M62" s="1595"/>
      <c r="N62" s="1596"/>
    </row>
    <row r="63" spans="1:14">
      <c r="A63" s="1591" t="s">
        <v>1699</v>
      </c>
      <c r="B63" s="1097"/>
      <c r="C63" s="1104"/>
      <c r="D63" s="1104"/>
      <c r="E63" s="1104"/>
      <c r="F63" s="1580"/>
      <c r="G63" s="1594"/>
      <c r="H63" s="1595"/>
      <c r="I63" s="1595"/>
      <c r="J63" s="1595">
        <f t="shared" ref="J63:N63" si="22">J31-J42</f>
        <v>146867136</v>
      </c>
      <c r="K63" s="1595">
        <f t="shared" si="22"/>
        <v>170566506.50631487</v>
      </c>
      <c r="L63" s="1595">
        <f t="shared" si="22"/>
        <v>164447572.62953103</v>
      </c>
      <c r="M63" s="1595">
        <f t="shared" si="22"/>
        <v>193473986.87985858</v>
      </c>
      <c r="N63" s="1596">
        <f t="shared" si="22"/>
        <v>228079405.56351978</v>
      </c>
    </row>
    <row r="64" spans="1:14">
      <c r="A64" s="1600" t="s">
        <v>1702</v>
      </c>
      <c r="B64" s="1601"/>
      <c r="C64" s="1602"/>
      <c r="D64" s="1602"/>
      <c r="E64" s="1602"/>
      <c r="F64" s="1603"/>
      <c r="G64" s="1604">
        <f>SUM(G59:G63)</f>
        <v>29568715</v>
      </c>
      <c r="H64" s="1605">
        <f t="shared" ref="H64:N64" si="23">SUM(H59:H63)</f>
        <v>11800000</v>
      </c>
      <c r="I64" s="1605">
        <f t="shared" si="23"/>
        <v>0</v>
      </c>
      <c r="J64" s="1605">
        <f t="shared" si="23"/>
        <v>146867136</v>
      </c>
      <c r="K64" s="1605">
        <f t="shared" si="23"/>
        <v>170566506.50631487</v>
      </c>
      <c r="L64" s="1605">
        <f t="shared" si="23"/>
        <v>164447572.62953103</v>
      </c>
      <c r="M64" s="1605">
        <f t="shared" si="23"/>
        <v>193473986.87985858</v>
      </c>
      <c r="N64" s="1606">
        <f t="shared" si="23"/>
        <v>228079405.56351978</v>
      </c>
    </row>
    <row r="65" spans="1:16">
      <c r="A65" s="1607" t="s">
        <v>1703</v>
      </c>
      <c r="B65" s="1608"/>
      <c r="C65" s="1609"/>
      <c r="D65" s="1609"/>
      <c r="E65" s="1609"/>
      <c r="F65" s="1610"/>
      <c r="G65" s="1611">
        <f>SUM(G62:G63)</f>
        <v>0</v>
      </c>
      <c r="H65" s="1612">
        <f t="shared" ref="H65:N65" si="24">SUM(H62:H63)</f>
        <v>0</v>
      </c>
      <c r="I65" s="1612">
        <f t="shared" si="24"/>
        <v>0</v>
      </c>
      <c r="J65" s="1612">
        <f t="shared" si="24"/>
        <v>146867136</v>
      </c>
      <c r="K65" s="1612">
        <f t="shared" si="24"/>
        <v>170566506.50631487</v>
      </c>
      <c r="L65" s="1612">
        <f t="shared" si="24"/>
        <v>164447572.62953103</v>
      </c>
      <c r="M65" s="1612">
        <f t="shared" si="24"/>
        <v>193473986.87985858</v>
      </c>
      <c r="N65" s="1613">
        <f t="shared" si="24"/>
        <v>228079405.56351978</v>
      </c>
    </row>
    <row r="66" spans="1:16">
      <c r="A66" s="1100"/>
      <c r="B66" s="1097"/>
      <c r="C66" s="1104"/>
      <c r="D66" s="1104"/>
      <c r="E66" s="1104"/>
      <c r="F66" s="1580"/>
      <c r="G66" s="1594"/>
      <c r="H66" s="1595"/>
      <c r="I66" s="1595"/>
      <c r="J66" s="1595"/>
      <c r="K66" s="1595"/>
      <c r="L66" s="1595"/>
      <c r="M66" s="1595"/>
      <c r="N66" s="1596"/>
    </row>
    <row r="67" spans="1:16">
      <c r="A67" s="1591" t="s">
        <v>1704</v>
      </c>
      <c r="B67" s="1097"/>
      <c r="C67" s="1104"/>
      <c r="D67" s="1104"/>
      <c r="E67" s="1104"/>
      <c r="F67" s="1580"/>
      <c r="G67" s="1594">
        <v>0</v>
      </c>
      <c r="H67" s="1595">
        <v>1163150</v>
      </c>
      <c r="I67" s="1595">
        <v>0</v>
      </c>
      <c r="J67" s="1595"/>
      <c r="K67" s="1595"/>
      <c r="L67" s="1595"/>
      <c r="M67" s="1595"/>
      <c r="N67" s="1596"/>
    </row>
    <row r="68" spans="1:16">
      <c r="A68" s="1591" t="s">
        <v>1705</v>
      </c>
      <c r="B68" s="1097"/>
      <c r="C68" s="1104"/>
      <c r="D68" s="1104"/>
      <c r="E68" s="1104"/>
      <c r="F68" s="1580"/>
      <c r="G68" s="1594"/>
      <c r="H68" s="1595"/>
      <c r="I68" s="1595">
        <v>5016000</v>
      </c>
      <c r="J68" s="1595"/>
      <c r="K68" s="1595"/>
      <c r="L68" s="1595"/>
      <c r="M68" s="1595"/>
      <c r="N68" s="1596"/>
    </row>
    <row r="69" spans="1:16">
      <c r="A69" s="1591" t="s">
        <v>1706</v>
      </c>
      <c r="B69" s="1097"/>
      <c r="C69" s="1104"/>
      <c r="D69" s="1104"/>
      <c r="E69" s="1104"/>
      <c r="F69" s="1580"/>
      <c r="G69" s="1594"/>
      <c r="H69" s="1595"/>
      <c r="I69" s="1595"/>
      <c r="J69" s="1595"/>
      <c r="K69" s="1595"/>
      <c r="L69" s="1595"/>
      <c r="M69" s="1595"/>
      <c r="N69" s="1596"/>
    </row>
    <row r="70" spans="1:16">
      <c r="A70" s="1591" t="s">
        <v>1707</v>
      </c>
      <c r="B70" s="1097"/>
      <c r="C70" s="1104"/>
      <c r="D70" s="1104"/>
      <c r="E70" s="1104"/>
      <c r="F70" s="1580"/>
      <c r="G70" s="1594"/>
      <c r="H70" s="1595"/>
      <c r="I70" s="1595">
        <v>2508000</v>
      </c>
      <c r="J70" s="1595"/>
      <c r="K70" s="1595"/>
      <c r="L70" s="1595"/>
      <c r="M70" s="1595"/>
      <c r="N70" s="1596"/>
    </row>
    <row r="71" spans="1:16">
      <c r="A71" s="1591" t="s">
        <v>1708</v>
      </c>
      <c r="B71" s="1097"/>
      <c r="C71" s="1104"/>
      <c r="D71" s="1104"/>
      <c r="E71" s="1104"/>
      <c r="F71" s="1580"/>
      <c r="G71" s="1594">
        <f>G32-G43-G70</f>
        <v>0</v>
      </c>
      <c r="H71" s="1595">
        <f t="shared" ref="H71:N71" si="25">H32-H43-H70</f>
        <v>1517577.2599492124</v>
      </c>
      <c r="I71" s="1595">
        <f t="shared" si="25"/>
        <v>2256</v>
      </c>
      <c r="J71" s="1595">
        <f t="shared" si="25"/>
        <v>3541680</v>
      </c>
      <c r="K71" s="1595">
        <f t="shared" si="25"/>
        <v>3541680</v>
      </c>
      <c r="L71" s="1595">
        <f t="shared" si="25"/>
        <v>3541680</v>
      </c>
      <c r="M71" s="1595">
        <f t="shared" si="25"/>
        <v>6423888</v>
      </c>
      <c r="N71" s="1596">
        <f t="shared" si="25"/>
        <v>6423888</v>
      </c>
    </row>
    <row r="72" spans="1:16">
      <c r="A72" s="1600" t="s">
        <v>1709</v>
      </c>
      <c r="B72" s="1601"/>
      <c r="C72" s="1602"/>
      <c r="D72" s="1602"/>
      <c r="E72" s="1602"/>
      <c r="F72" s="1603"/>
      <c r="G72" s="1604">
        <f>SUM(G67:G71)</f>
        <v>0</v>
      </c>
      <c r="H72" s="1605">
        <f t="shared" ref="H72" si="26">SUM(H67:H71)</f>
        <v>2680727.2599492124</v>
      </c>
      <c r="I72" s="1605">
        <f t="shared" ref="I72" si="27">SUM(I67:I71)</f>
        <v>7526256</v>
      </c>
      <c r="J72" s="1605">
        <f t="shared" ref="J72" si="28">SUM(J67:J71)</f>
        <v>3541680</v>
      </c>
      <c r="K72" s="1605">
        <f t="shared" ref="K72" si="29">SUM(K67:K71)</f>
        <v>3541680</v>
      </c>
      <c r="L72" s="1605">
        <f t="shared" ref="L72" si="30">SUM(L67:L71)</f>
        <v>3541680</v>
      </c>
      <c r="M72" s="1605">
        <f t="shared" ref="M72" si="31">SUM(M67:M71)</f>
        <v>6423888</v>
      </c>
      <c r="N72" s="1606">
        <f t="shared" ref="N72" si="32">SUM(N67:N71)</f>
        <v>6423888</v>
      </c>
    </row>
    <row r="73" spans="1:16">
      <c r="A73" s="1607" t="s">
        <v>1710</v>
      </c>
      <c r="B73" s="1608"/>
      <c r="C73" s="1609"/>
      <c r="D73" s="1609"/>
      <c r="E73" s="1609"/>
      <c r="F73" s="1610"/>
      <c r="G73" s="1611">
        <f>SUM(G70:G71)</f>
        <v>0</v>
      </c>
      <c r="H73" s="1612">
        <f t="shared" ref="H73:N73" si="33">SUM(H70:H71)</f>
        <v>1517577.2599492124</v>
      </c>
      <c r="I73" s="1612">
        <f t="shared" si="33"/>
        <v>2510256</v>
      </c>
      <c r="J73" s="1612">
        <f t="shared" si="33"/>
        <v>3541680</v>
      </c>
      <c r="K73" s="1612">
        <f t="shared" si="33"/>
        <v>3541680</v>
      </c>
      <c r="L73" s="1612">
        <f t="shared" si="33"/>
        <v>3541680</v>
      </c>
      <c r="M73" s="1612">
        <f t="shared" si="33"/>
        <v>6423888</v>
      </c>
      <c r="N73" s="1613">
        <f t="shared" si="33"/>
        <v>6423888</v>
      </c>
    </row>
    <row r="74" spans="1:16">
      <c r="A74" s="1100"/>
      <c r="B74" s="1097"/>
      <c r="C74" s="1104"/>
      <c r="D74" s="1104"/>
      <c r="E74" s="1104"/>
      <c r="F74" s="1580"/>
      <c r="G74" s="1104"/>
      <c r="H74" s="1105"/>
      <c r="I74" s="1105"/>
      <c r="J74" s="1105"/>
      <c r="K74" s="1105"/>
      <c r="L74" s="1105"/>
      <c r="M74" s="1105"/>
      <c r="N74" s="1106"/>
    </row>
    <row r="75" spans="1:16" ht="15.75" thickBot="1">
      <c r="A75" s="1101" t="s">
        <v>1711</v>
      </c>
      <c r="B75" s="1102"/>
      <c r="C75" s="1102"/>
      <c r="D75" s="1102"/>
      <c r="E75" s="1103">
        <f>SUM(E56:E73)</f>
        <v>0</v>
      </c>
      <c r="F75" s="1581">
        <f>SUM(F56:F73)</f>
        <v>0</v>
      </c>
      <c r="G75" s="1107">
        <f t="shared" ref="G75:N76" si="34">G56+G64+G72</f>
        <v>96128517</v>
      </c>
      <c r="H75" s="1108">
        <f t="shared" si="34"/>
        <v>80628564.259949207</v>
      </c>
      <c r="I75" s="1103">
        <f t="shared" si="34"/>
        <v>95581269</v>
      </c>
      <c r="J75" s="1103">
        <f t="shared" si="34"/>
        <v>263055511</v>
      </c>
      <c r="K75" s="1103">
        <f t="shared" si="34"/>
        <v>294265120.50631487</v>
      </c>
      <c r="L75" s="1103">
        <f t="shared" si="34"/>
        <v>294813804.62953103</v>
      </c>
      <c r="M75" s="1103">
        <f t="shared" si="34"/>
        <v>334546017.87985861</v>
      </c>
      <c r="N75" s="1109">
        <f t="shared" si="34"/>
        <v>371053354.56351984</v>
      </c>
      <c r="P75" s="528"/>
    </row>
    <row r="76" spans="1:16" ht="15.75" thickBot="1">
      <c r="A76" s="1101" t="s">
        <v>1712</v>
      </c>
      <c r="B76" s="1102"/>
      <c r="C76" s="1102"/>
      <c r="D76" s="1102"/>
      <c r="E76" s="1103"/>
      <c r="F76" s="1581"/>
      <c r="G76" s="1107">
        <f t="shared" si="34"/>
        <v>27669000</v>
      </c>
      <c r="H76" s="1108">
        <f t="shared" si="34"/>
        <v>39257577.259949215</v>
      </c>
      <c r="I76" s="1103">
        <f t="shared" si="34"/>
        <v>87076882</v>
      </c>
      <c r="J76" s="1103">
        <f t="shared" si="34"/>
        <v>263055511</v>
      </c>
      <c r="K76" s="1103">
        <f t="shared" si="34"/>
        <v>294265120.50631487</v>
      </c>
      <c r="L76" s="1103">
        <f t="shared" si="34"/>
        <v>294813804.62953103</v>
      </c>
      <c r="M76" s="1103">
        <f t="shared" si="34"/>
        <v>334546017.87985861</v>
      </c>
      <c r="N76" s="1109">
        <f t="shared" si="34"/>
        <v>371053354.56351984</v>
      </c>
      <c r="P76" s="528"/>
    </row>
    <row r="77" spans="1:16" ht="15.75" thickBot="1">
      <c r="A77" s="1110" t="s">
        <v>1713</v>
      </c>
      <c r="B77" s="1110"/>
      <c r="C77" s="1111">
        <f t="shared" ref="C77:N77" si="35">C44+C76</f>
        <v>0</v>
      </c>
      <c r="D77" s="1111">
        <f t="shared" si="35"/>
        <v>0</v>
      </c>
      <c r="E77" s="1111">
        <f t="shared" si="35"/>
        <v>121094554</v>
      </c>
      <c r="F77" s="1582">
        <f t="shared" si="35"/>
        <v>120371742</v>
      </c>
      <c r="G77" s="1111">
        <f t="shared" si="35"/>
        <v>241441250.25994921</v>
      </c>
      <c r="H77" s="1111">
        <f t="shared" si="35"/>
        <v>249257577.25994921</v>
      </c>
      <c r="I77" s="1111">
        <f t="shared" si="35"/>
        <v>227076882</v>
      </c>
      <c r="J77" s="1111">
        <f t="shared" si="35"/>
        <v>263055511</v>
      </c>
      <c r="K77" s="1111">
        <f t="shared" si="35"/>
        <v>294265120.50631487</v>
      </c>
      <c r="L77" s="1111">
        <f t="shared" si="35"/>
        <v>294813804.62953103</v>
      </c>
      <c r="M77" s="1111">
        <f t="shared" si="35"/>
        <v>334546017.87985861</v>
      </c>
      <c r="N77" s="1111">
        <f t="shared" si="35"/>
        <v>371053354.56351984</v>
      </c>
    </row>
    <row r="78" spans="1:16" ht="15.75" thickTop="1">
      <c r="C78" s="545"/>
      <c r="D78" s="545"/>
      <c r="E78" s="544"/>
      <c r="F78" s="1583"/>
      <c r="G78" s="544"/>
      <c r="H78" s="544"/>
      <c r="I78" s="544"/>
      <c r="J78" s="544"/>
      <c r="K78" s="544"/>
      <c r="L78" s="544"/>
      <c r="M78" s="544"/>
      <c r="N78" s="544"/>
    </row>
    <row r="79" spans="1:16">
      <c r="C79" s="545"/>
      <c r="D79" s="545"/>
      <c r="E79" s="544"/>
      <c r="F79" s="1583"/>
      <c r="G79" s="544"/>
      <c r="H79" s="544"/>
      <c r="I79" s="544"/>
      <c r="J79" s="544"/>
      <c r="K79" s="544"/>
      <c r="L79" s="544"/>
      <c r="M79" s="544"/>
      <c r="N79" s="544"/>
    </row>
    <row r="80" spans="1:16">
      <c r="C80" s="545"/>
      <c r="D80" s="545"/>
      <c r="E80" s="544"/>
      <c r="F80" s="1583"/>
      <c r="G80" s="544"/>
      <c r="H80" s="544"/>
      <c r="I80" s="544"/>
      <c r="J80" s="544"/>
      <c r="K80" s="544"/>
      <c r="L80" s="544"/>
      <c r="M80" s="544"/>
      <c r="N80" s="544"/>
    </row>
    <row r="81" spans="1:14" ht="21">
      <c r="A81" s="1873" t="s">
        <v>1784</v>
      </c>
      <c r="B81" s="1873"/>
      <c r="C81" s="1873"/>
      <c r="D81" s="1873"/>
      <c r="E81" s="1873"/>
      <c r="F81" s="1873"/>
      <c r="G81" s="1873"/>
      <c r="H81" s="1873"/>
      <c r="I81" s="1873"/>
      <c r="J81" s="1873"/>
      <c r="K81" s="1873"/>
      <c r="L81" s="1873"/>
      <c r="M81" s="1873"/>
      <c r="N81" s="1873"/>
    </row>
    <row r="82" spans="1:14" s="1089" customFormat="1">
      <c r="A82" s="1877" t="s">
        <v>1444</v>
      </c>
      <c r="B82" s="1090"/>
      <c r="C82" s="1091"/>
      <c r="D82" s="1091"/>
      <c r="E82" s="1091">
        <v>52297437</v>
      </c>
      <c r="F82" s="1584">
        <f t="shared" ref="F82:N82" si="36">E82+F28+F32*F$5-F8-F12*F$5</f>
        <v>-29650712.614500001</v>
      </c>
      <c r="G82" s="1129">
        <f t="shared" si="36"/>
        <v>-12706712.614500009</v>
      </c>
      <c r="H82" s="1129">
        <f t="shared" si="36"/>
        <v>-5352958.9200000083</v>
      </c>
      <c r="I82" s="1129">
        <f t="shared" si="36"/>
        <v>-14650712.614500003</v>
      </c>
      <c r="J82" s="1129">
        <f t="shared" si="36"/>
        <v>-14650712.614499999</v>
      </c>
      <c r="K82" s="1129">
        <f t="shared" si="36"/>
        <v>-14650712.614499999</v>
      </c>
      <c r="L82" s="1129">
        <f t="shared" si="36"/>
        <v>-14650712.614499999</v>
      </c>
      <c r="M82" s="1129">
        <f t="shared" si="36"/>
        <v>-14650712.614500005</v>
      </c>
      <c r="N82" s="1129">
        <f t="shared" si="36"/>
        <v>-14650712.614500005</v>
      </c>
    </row>
    <row r="83" spans="1:14" s="1089" customFormat="1">
      <c r="A83" s="1877" t="s">
        <v>1445</v>
      </c>
      <c r="B83" s="1090"/>
      <c r="C83" s="1091"/>
      <c r="D83" s="1091"/>
      <c r="E83" s="1091">
        <v>14330248</v>
      </c>
      <c r="F83" s="1584">
        <f t="shared" ref="F83:N83" si="37">E83+F29+F32*(1-F$5)-F9-F12*(1-F$5)</f>
        <v>600464.61450000294</v>
      </c>
      <c r="G83" s="1129">
        <f t="shared" si="37"/>
        <v>11325464.614500003</v>
      </c>
      <c r="H83" s="1129">
        <f t="shared" si="37"/>
        <v>10209963.920000006</v>
      </c>
      <c r="I83" s="1129">
        <f t="shared" si="37"/>
        <v>4600464.6145000048</v>
      </c>
      <c r="J83" s="1129">
        <f t="shared" si="37"/>
        <v>4600464.6145000048</v>
      </c>
      <c r="K83" s="1129">
        <f t="shared" si="37"/>
        <v>4600464.6145000029</v>
      </c>
      <c r="L83" s="1129">
        <f t="shared" si="37"/>
        <v>4600464.6145000029</v>
      </c>
      <c r="M83" s="1129">
        <f t="shared" si="37"/>
        <v>4600464.6145000048</v>
      </c>
      <c r="N83" s="1129">
        <f t="shared" si="37"/>
        <v>4600464.6145000048</v>
      </c>
    </row>
    <row r="84" spans="1:14">
      <c r="A84" s="1874" t="s">
        <v>1351</v>
      </c>
      <c r="C84" s="545"/>
      <c r="D84" s="544">
        <v>81611354</v>
      </c>
      <c r="E84" s="1880">
        <v>66058904</v>
      </c>
      <c r="F84" s="1881">
        <v>7511796</v>
      </c>
      <c r="G84" s="1618">
        <f>F84+G30+G32-G10-G12</f>
        <v>35180795.999999993</v>
      </c>
      <c r="H84" s="544">
        <f t="shared" ref="H84:N84" si="38">G84+H30+H32-H10-H12</f>
        <v>41419048.999999993</v>
      </c>
      <c r="I84" s="544">
        <f t="shared" si="38"/>
        <v>26511796</v>
      </c>
      <c r="J84" s="544">
        <f t="shared" si="38"/>
        <v>26511796</v>
      </c>
      <c r="K84" s="544">
        <f t="shared" si="38"/>
        <v>26511796</v>
      </c>
      <c r="L84" s="544">
        <f t="shared" si="38"/>
        <v>26511796</v>
      </c>
      <c r="M84" s="544">
        <f t="shared" si="38"/>
        <v>26511796</v>
      </c>
      <c r="N84" s="544">
        <f t="shared" si="38"/>
        <v>26511796</v>
      </c>
    </row>
    <row r="85" spans="1:14" s="1614" customFormat="1" hidden="1" outlineLevel="1">
      <c r="A85" s="1874" t="s">
        <v>1510</v>
      </c>
      <c r="C85" s="1615"/>
      <c r="D85" s="1616"/>
      <c r="E85" s="1880"/>
      <c r="F85" s="1881">
        <f>E84+F30+F32-F84-F10-F12</f>
        <v>10088251</v>
      </c>
      <c r="G85" s="1616">
        <f t="shared" ref="G85:N85" si="39">F84+G30+G32-G84-G10-G12</f>
        <v>-5.1222741603851318E-9</v>
      </c>
      <c r="H85" s="1616">
        <f t="shared" si="39"/>
        <v>-5.1222741603851318E-9</v>
      </c>
      <c r="I85" s="1616">
        <f t="shared" si="39"/>
        <v>0</v>
      </c>
      <c r="J85" s="1616">
        <f t="shared" si="39"/>
        <v>0</v>
      </c>
      <c r="K85" s="1616">
        <f t="shared" si="39"/>
        <v>0</v>
      </c>
      <c r="L85" s="1616">
        <f t="shared" si="39"/>
        <v>0</v>
      </c>
      <c r="M85" s="1616">
        <f t="shared" si="39"/>
        <v>0</v>
      </c>
      <c r="N85" s="1616">
        <f t="shared" si="39"/>
        <v>0</v>
      </c>
    </row>
    <row r="86" spans="1:14" s="1614" customFormat="1" hidden="1" outlineLevel="1">
      <c r="A86" s="1874" t="s">
        <v>1348</v>
      </c>
      <c r="C86" s="1615"/>
      <c r="D86" s="1616">
        <f>SUM(D84:D85)</f>
        <v>81611354</v>
      </c>
      <c r="E86" s="1880">
        <f t="shared" ref="E86:N86" si="40">SUM(E84:E85)</f>
        <v>66058904</v>
      </c>
      <c r="F86" s="1881">
        <f t="shared" si="40"/>
        <v>17600047</v>
      </c>
      <c r="G86" s="1616">
        <f t="shared" si="40"/>
        <v>35180795.999999985</v>
      </c>
      <c r="H86" s="1616">
        <f t="shared" si="40"/>
        <v>41419048.999999985</v>
      </c>
      <c r="I86" s="1616">
        <f t="shared" si="40"/>
        <v>26511796</v>
      </c>
      <c r="J86" s="1616">
        <f t="shared" si="40"/>
        <v>26511796</v>
      </c>
      <c r="K86" s="1616">
        <f t="shared" si="40"/>
        <v>26511796</v>
      </c>
      <c r="L86" s="1616">
        <f t="shared" si="40"/>
        <v>26511796</v>
      </c>
      <c r="M86" s="1616">
        <f t="shared" si="40"/>
        <v>26511796</v>
      </c>
      <c r="N86" s="1616">
        <f t="shared" si="40"/>
        <v>26511796</v>
      </c>
    </row>
    <row r="87" spans="1:14" collapsed="1">
      <c r="A87" s="1874" t="s">
        <v>1350</v>
      </c>
      <c r="C87" s="545"/>
      <c r="D87" s="544">
        <v>85062090</v>
      </c>
      <c r="E87" s="1880">
        <v>4599396</v>
      </c>
      <c r="F87" s="1881">
        <v>22482192</v>
      </c>
      <c r="G87" s="544">
        <f t="shared" ref="G87:N87" si="41">F87+G31-G11</f>
        <v>22482192</v>
      </c>
      <c r="H87" s="544">
        <f t="shared" si="41"/>
        <v>45215056</v>
      </c>
      <c r="I87" s="544">
        <f t="shared" si="41"/>
        <v>51937008</v>
      </c>
      <c r="J87" s="544">
        <f t="shared" si="41"/>
        <v>40482192</v>
      </c>
      <c r="K87" s="544">
        <f t="shared" si="41"/>
        <v>40482192</v>
      </c>
      <c r="L87" s="544">
        <f t="shared" si="41"/>
        <v>40482192</v>
      </c>
      <c r="M87" s="544">
        <f t="shared" si="41"/>
        <v>40482192</v>
      </c>
      <c r="N87" s="544">
        <f t="shared" si="41"/>
        <v>40482192</v>
      </c>
    </row>
    <row r="88" spans="1:14" s="1614" customFormat="1" hidden="1" outlineLevel="1">
      <c r="A88" s="1874" t="s">
        <v>1511</v>
      </c>
      <c r="C88" s="1615"/>
      <c r="D88" s="1616"/>
      <c r="E88" s="1616"/>
      <c r="F88" s="1617">
        <f>E87+F31-F87-F11</f>
        <v>-30449862</v>
      </c>
      <c r="G88" s="1616"/>
      <c r="H88" s="1616"/>
      <c r="I88" s="1616"/>
      <c r="J88" s="1616"/>
      <c r="K88" s="1616"/>
      <c r="L88" s="1616"/>
      <c r="M88" s="1616"/>
      <c r="N88" s="1616"/>
    </row>
    <row r="89" spans="1:14" s="1614" customFormat="1" hidden="1" outlineLevel="1">
      <c r="A89" s="1874" t="s">
        <v>1349</v>
      </c>
      <c r="C89" s="1615"/>
      <c r="D89" s="1616">
        <f>SUM(D87:D88)</f>
        <v>85062090</v>
      </c>
      <c r="E89" s="1616">
        <f t="shared" ref="E89" si="42">SUM(E87:E88)</f>
        <v>4599396</v>
      </c>
      <c r="F89" s="1617">
        <f t="shared" ref="F89" si="43">SUM(F87:F88)</f>
        <v>-7967670</v>
      </c>
      <c r="G89" s="1616">
        <f t="shared" ref="G89" si="44">SUM(G87:G88)</f>
        <v>22482192</v>
      </c>
      <c r="H89" s="1616">
        <f t="shared" ref="H89" si="45">SUM(H87:H88)</f>
        <v>45215056</v>
      </c>
      <c r="I89" s="1616">
        <f t="shared" ref="I89" si="46">SUM(I87:I88)</f>
        <v>51937008</v>
      </c>
      <c r="J89" s="1616">
        <f t="shared" ref="J89" si="47">SUM(J87:J88)</f>
        <v>40482192</v>
      </c>
      <c r="K89" s="1616">
        <f t="shared" ref="K89" si="48">SUM(K87:K88)</f>
        <v>40482192</v>
      </c>
      <c r="L89" s="1616">
        <f t="shared" ref="L89" si="49">SUM(L87:L88)</f>
        <v>40482192</v>
      </c>
      <c r="M89" s="1616">
        <f t="shared" ref="M89" si="50">SUM(M87:M88)</f>
        <v>40482192</v>
      </c>
      <c r="N89" s="1616">
        <f t="shared" ref="N89" si="51">SUM(N87:N88)</f>
        <v>40482192</v>
      </c>
    </row>
    <row r="90" spans="1:14" collapsed="1">
      <c r="A90" s="1874"/>
      <c r="C90" s="545"/>
      <c r="D90" s="544"/>
      <c r="E90" s="544"/>
      <c r="F90" s="1583"/>
      <c r="G90" s="544"/>
      <c r="H90" s="544"/>
      <c r="I90" s="544"/>
      <c r="J90" s="544"/>
      <c r="K90" s="544"/>
      <c r="L90" s="544"/>
      <c r="M90" s="544"/>
      <c r="N90" s="544"/>
    </row>
    <row r="91" spans="1:14" s="1263" customFormat="1">
      <c r="A91" s="1878" t="s">
        <v>1449</v>
      </c>
      <c r="C91" s="1264"/>
      <c r="D91" s="1265"/>
      <c r="E91" s="1266">
        <f t="shared" ref="E91:N91" si="52">E82/((E8+E12*E$5)/12)</f>
        <v>14.455111254146438</v>
      </c>
      <c r="F91" s="1585">
        <f t="shared" si="52"/>
        <v>-4.341874136851076</v>
      </c>
      <c r="G91" s="1266">
        <f t="shared" si="52"/>
        <v>-2.2329924328733188</v>
      </c>
      <c r="H91" s="1266">
        <f t="shared" si="52"/>
        <v>-0.90337609711227407</v>
      </c>
      <c r="I91" s="1266">
        <f t="shared" si="52"/>
        <v>-2.0127044715965856</v>
      </c>
      <c r="J91" s="1266">
        <f t="shared" si="52"/>
        <v>-1.7666476921327956</v>
      </c>
      <c r="K91" s="1266">
        <f t="shared" si="52"/>
        <v>-1.6593874248777742</v>
      </c>
      <c r="L91" s="1266">
        <f t="shared" si="52"/>
        <v>-1.5745175832527689</v>
      </c>
      <c r="M91" s="1266">
        <f t="shared" si="52"/>
        <v>-1.4550292009789656</v>
      </c>
      <c r="N91" s="1266">
        <f t="shared" si="52"/>
        <v>-1.4356736033528026</v>
      </c>
    </row>
    <row r="92" spans="1:14" s="1263" customFormat="1">
      <c r="A92" s="1878" t="s">
        <v>1450</v>
      </c>
      <c r="C92" s="1264"/>
      <c r="D92" s="1265"/>
      <c r="E92" s="1266">
        <f t="shared" ref="E92:N92" si="53">E83/((E9+E12*(1-E$5))/12)</f>
        <v>19.338550127709926</v>
      </c>
      <c r="F92" s="1585">
        <f t="shared" si="53"/>
        <v>0.52481347823810764</v>
      </c>
      <c r="G92" s="1266">
        <f t="shared" si="53"/>
        <v>11.879154680739852</v>
      </c>
      <c r="H92" s="1266">
        <f t="shared" si="53"/>
        <v>10.284291035559573</v>
      </c>
      <c r="I92" s="1266">
        <f t="shared" si="53"/>
        <v>3.7722322430594395</v>
      </c>
      <c r="J92" s="1266">
        <f t="shared" si="53"/>
        <v>3.3110699958367316</v>
      </c>
      <c r="K92" s="1266">
        <f t="shared" si="53"/>
        <v>3.1100416559843307</v>
      </c>
      <c r="L92" s="1266">
        <f t="shared" si="53"/>
        <v>2.9509776912745824</v>
      </c>
      <c r="M92" s="1266">
        <f t="shared" si="53"/>
        <v>2.7270312874954405</v>
      </c>
      <c r="N92" s="1266">
        <f t="shared" si="53"/>
        <v>2.6907548194498463</v>
      </c>
    </row>
    <row r="93" spans="1:14">
      <c r="A93" s="1879" t="s">
        <v>1448</v>
      </c>
      <c r="B93" s="629"/>
      <c r="C93" s="630"/>
      <c r="D93" s="631"/>
      <c r="E93" s="632">
        <f t="shared" ref="E93:N93" si="54">E84/((E10+E12)/12)</f>
        <v>15.154809776184493</v>
      </c>
      <c r="F93" s="1586">
        <f t="shared" si="54"/>
        <v>0.94213523613642447</v>
      </c>
      <c r="G93" s="632">
        <f t="shared" si="54"/>
        <v>5.2952573602111395</v>
      </c>
      <c r="H93" s="632">
        <f t="shared" si="54"/>
        <v>5.9869023559347392</v>
      </c>
      <c r="I93" s="632">
        <f t="shared" si="54"/>
        <v>3.1195200312283871</v>
      </c>
      <c r="J93" s="632">
        <f t="shared" si="54"/>
        <v>2.7381530381159043</v>
      </c>
      <c r="K93" s="632">
        <f t="shared" si="54"/>
        <v>2.5719087846853319</v>
      </c>
      <c r="L93" s="632">
        <f t="shared" si="54"/>
        <v>2.4403677786744655</v>
      </c>
      <c r="M93" s="632">
        <f t="shared" si="54"/>
        <v>2.2551709913356248</v>
      </c>
      <c r="N93" s="632">
        <f t="shared" si="54"/>
        <v>2.2251714681252874</v>
      </c>
    </row>
    <row r="94" spans="1:14">
      <c r="A94" s="1879" t="s">
        <v>842</v>
      </c>
      <c r="B94" s="629"/>
      <c r="C94" s="630"/>
      <c r="D94" s="631"/>
      <c r="E94" s="632">
        <f t="shared" ref="E94:N94" si="55">E87/(E11/12)</f>
        <v>0.58924824086301864</v>
      </c>
      <c r="F94" s="1586">
        <f t="shared" si="55"/>
        <v>3.1473069001195664</v>
      </c>
      <c r="G94" s="632">
        <f t="shared" si="55"/>
        <v>2.0126355766869644</v>
      </c>
      <c r="H94" s="632">
        <f t="shared" si="55"/>
        <v>3.95273543115229</v>
      </c>
      <c r="I94" s="632">
        <f t="shared" si="55"/>
        <v>4.6762696884636243</v>
      </c>
      <c r="J94" s="632">
        <f t="shared" si="55"/>
        <v>3.0683445843315527</v>
      </c>
      <c r="K94" s="632">
        <f t="shared" si="55"/>
        <v>2.8480755920390193</v>
      </c>
      <c r="L94" s="632">
        <f t="shared" si="55"/>
        <v>2.9540497085620339</v>
      </c>
      <c r="M94" s="632">
        <f t="shared" si="55"/>
        <v>2.5108610818138484</v>
      </c>
      <c r="N94" s="632">
        <f t="shared" si="55"/>
        <v>2.1298999039381012</v>
      </c>
    </row>
    <row r="95" spans="1:14">
      <c r="A95" s="1874"/>
      <c r="C95" s="545"/>
      <c r="D95" s="545"/>
      <c r="E95" s="545"/>
      <c r="F95" s="1587"/>
    </row>
    <row r="96" spans="1:14" ht="14.25" customHeight="1">
      <c r="A96" s="1874"/>
    </row>
    <row r="97" spans="1:14">
      <c r="A97" s="1874"/>
      <c r="F97" s="521"/>
    </row>
    <row r="98" spans="1:14">
      <c r="A98" s="1874"/>
      <c r="C98" s="523" t="s">
        <v>3</v>
      </c>
      <c r="D98" s="523" t="s">
        <v>4</v>
      </c>
      <c r="E98" s="523" t="s">
        <v>5</v>
      </c>
      <c r="F98" s="1560" t="s">
        <v>6</v>
      </c>
      <c r="G98" s="523" t="s">
        <v>7</v>
      </c>
      <c r="H98" s="523" t="s">
        <v>13</v>
      </c>
      <c r="I98" s="523" t="s">
        <v>14</v>
      </c>
      <c r="J98" s="523" t="s">
        <v>15</v>
      </c>
      <c r="K98" s="523" t="s">
        <v>16</v>
      </c>
      <c r="L98" s="523" t="s">
        <v>17</v>
      </c>
      <c r="M98" s="523" t="s">
        <v>18</v>
      </c>
      <c r="N98" s="523" t="s">
        <v>19</v>
      </c>
    </row>
    <row r="99" spans="1:14">
      <c r="A99" s="1874"/>
      <c r="C99" s="523" t="s">
        <v>594</v>
      </c>
      <c r="D99" s="523" t="s">
        <v>594</v>
      </c>
      <c r="E99" s="523" t="s">
        <v>594</v>
      </c>
      <c r="F99" s="1560" t="s">
        <v>594</v>
      </c>
      <c r="G99" s="523" t="s">
        <v>594</v>
      </c>
      <c r="H99" s="523" t="s">
        <v>594</v>
      </c>
      <c r="I99" s="523" t="s">
        <v>594</v>
      </c>
      <c r="J99" s="523" t="s">
        <v>594</v>
      </c>
      <c r="K99" s="523" t="s">
        <v>594</v>
      </c>
      <c r="L99" s="523" t="s">
        <v>594</v>
      </c>
      <c r="M99" s="523" t="s">
        <v>594</v>
      </c>
      <c r="N99" s="523" t="s">
        <v>594</v>
      </c>
    </row>
    <row r="100" spans="1:14">
      <c r="A100" s="1874" t="s">
        <v>1541</v>
      </c>
    </row>
    <row r="101" spans="1:14">
      <c r="A101" s="1875" t="s">
        <v>1546</v>
      </c>
      <c r="C101" s="1337"/>
      <c r="D101" s="1337"/>
      <c r="E101" s="1340">
        <f>E107/D84</f>
        <v>0.31618633532097246</v>
      </c>
      <c r="F101" s="1588">
        <f>F107/E84</f>
        <v>0.38917861083082594</v>
      </c>
      <c r="G101" s="1340">
        <f>G107/F84</f>
        <v>0.46960828910113561</v>
      </c>
      <c r="H101" s="1340">
        <f>H107/G84</f>
        <v>0.4159223336575712</v>
      </c>
      <c r="I101" s="1340">
        <f>I107/H84</f>
        <v>0.61791159990547184</v>
      </c>
      <c r="J101" s="1340">
        <f>J107/I84</f>
        <v>0.73262651666919332</v>
      </c>
      <c r="K101" s="1340">
        <f>K107/J84</f>
        <v>0.69362229199670156</v>
      </c>
      <c r="L101" s="1340">
        <f>L107/K84</f>
        <v>0.70928996839766234</v>
      </c>
      <c r="M101" s="1340">
        <f>M107/L84</f>
        <v>0.72574910780965673</v>
      </c>
      <c r="N101" s="1340">
        <f>N107/M84</f>
        <v>0.6873754683461929</v>
      </c>
    </row>
    <row r="102" spans="1:14">
      <c r="A102" s="1875" t="s">
        <v>1548</v>
      </c>
      <c r="C102" s="1337"/>
      <c r="D102" s="1337"/>
      <c r="E102" s="1340">
        <f>E108/(E41+E43+E56+E73)</f>
        <v>0.4950674011016919</v>
      </c>
      <c r="F102" s="1588">
        <f>F108/(F41+F43+F56+F73)</f>
        <v>0.46797656099835577</v>
      </c>
      <c r="G102" s="1340">
        <f>G108/(G41+G43+SUM(G49:G50)+SUM(G54:G55)+SUM(G70:G71))</f>
        <v>0.41216724224723184</v>
      </c>
      <c r="H102" s="1340">
        <f t="shared" ref="H102:N102" si="56">H108/(H41+H43+SUM(H49:H50)+SUM(H54:H55)+SUM(H70:H71))</f>
        <v>0.69752549250936269</v>
      </c>
      <c r="I102" s="1340">
        <f t="shared" si="56"/>
        <v>0.787191892109112</v>
      </c>
      <c r="J102" s="1340">
        <f t="shared" si="56"/>
        <v>0.68472233063950672</v>
      </c>
      <c r="K102" s="1340">
        <f t="shared" si="56"/>
        <v>0.71264795461193264</v>
      </c>
      <c r="L102" s="1340">
        <f t="shared" si="56"/>
        <v>0.72909630393346914</v>
      </c>
      <c r="M102" s="1340">
        <f t="shared" si="56"/>
        <v>0.68016387513369458</v>
      </c>
      <c r="N102" s="1340">
        <f t="shared" si="56"/>
        <v>0.64812632912984391</v>
      </c>
    </row>
    <row r="103" spans="1:14" outlineLevel="1">
      <c r="A103" s="1875" t="s">
        <v>1547</v>
      </c>
      <c r="C103" s="1337"/>
      <c r="D103" s="1337"/>
      <c r="E103" s="1340">
        <f>E109/(D84+E41+E43+E56+E73)</f>
        <v>0.39051728233078853</v>
      </c>
      <c r="F103" s="1588">
        <f>F109/(E84+F41+F43+F56+F73)</f>
        <v>0.42202494511048738</v>
      </c>
      <c r="G103" s="1340">
        <f>G109/(F84+G41+G43+SUM(G49:G50)+SUM(G54:G55)+SUM(G70:G71))</f>
        <v>0.41592233365757109</v>
      </c>
      <c r="H103" s="1340">
        <f t="shared" ref="H103:N103" si="57">H109/(G84+H41+H43+SUM(H49:H50)+SUM(H54:H55)+SUM(H70:H71))</f>
        <v>0.61791159990547195</v>
      </c>
      <c r="I103" s="1340">
        <f t="shared" si="57"/>
        <v>0.73262651666919332</v>
      </c>
      <c r="J103" s="1340">
        <f t="shared" si="57"/>
        <v>0.69362229199670167</v>
      </c>
      <c r="K103" s="1340">
        <f t="shared" si="57"/>
        <v>0.70928996839766278</v>
      </c>
      <c r="L103" s="1340">
        <f t="shared" si="57"/>
        <v>0.72574910780965729</v>
      </c>
      <c r="M103" s="1340">
        <f t="shared" si="57"/>
        <v>0.68737546834619256</v>
      </c>
      <c r="N103" s="1340">
        <f t="shared" si="57"/>
        <v>0.65426587303118777</v>
      </c>
    </row>
    <row r="104" spans="1:14" outlineLevel="1">
      <c r="A104" s="1875" t="s">
        <v>1791</v>
      </c>
      <c r="C104" s="1337"/>
      <c r="D104" s="1337"/>
      <c r="E104" s="1340">
        <f>E112/E84</f>
        <v>0.38917861083082594</v>
      </c>
      <c r="F104" s="1883">
        <f>F112/F84</f>
        <v>0.46960828910113561</v>
      </c>
      <c r="G104" s="1340">
        <f t="shared" ref="G104:N104" si="58">G112/G84</f>
        <v>0.4159223336575712</v>
      </c>
      <c r="H104" s="1340">
        <f t="shared" si="58"/>
        <v>0.61791159990547184</v>
      </c>
      <c r="I104" s="1651">
        <f t="shared" si="58"/>
        <v>0.73262651666919332</v>
      </c>
      <c r="J104" s="1340">
        <f t="shared" si="58"/>
        <v>0.69362229199670156</v>
      </c>
      <c r="K104" s="1340">
        <f t="shared" si="58"/>
        <v>0.70928996839766234</v>
      </c>
      <c r="L104" s="1340">
        <f t="shared" si="58"/>
        <v>0.72574910780965673</v>
      </c>
      <c r="M104" s="1340">
        <f t="shared" si="58"/>
        <v>0.6873754683461929</v>
      </c>
      <c r="N104" s="1340">
        <f t="shared" si="58"/>
        <v>0.65426587303118688</v>
      </c>
    </row>
    <row r="105" spans="1:14">
      <c r="A105" s="1875"/>
      <c r="C105" s="1337"/>
      <c r="D105" s="1337"/>
      <c r="E105" s="1340"/>
      <c r="F105" s="1588"/>
      <c r="G105" s="1340"/>
      <c r="H105" s="1340"/>
      <c r="I105" s="1340"/>
      <c r="J105" s="1340"/>
      <c r="K105" s="1340"/>
      <c r="L105" s="1340"/>
      <c r="M105" s="1340"/>
      <c r="N105" s="1340"/>
    </row>
    <row r="106" spans="1:14">
      <c r="A106" s="1875" t="s">
        <v>1552</v>
      </c>
      <c r="C106" s="1337"/>
      <c r="D106" s="1337"/>
      <c r="E106" s="1337"/>
      <c r="F106" s="1589"/>
      <c r="G106" s="1337"/>
      <c r="H106" s="1337"/>
      <c r="I106" s="1337"/>
      <c r="J106" s="1337"/>
      <c r="K106" s="1337"/>
      <c r="L106" s="1337"/>
      <c r="M106" s="1337"/>
      <c r="N106" s="1337"/>
    </row>
    <row r="107" spans="1:14">
      <c r="A107" s="1875" t="s">
        <v>1542</v>
      </c>
      <c r="C107" s="1337">
        <f t="shared" ref="C107:D107" si="59">B112</f>
        <v>0</v>
      </c>
      <c r="D107" s="1337">
        <f t="shared" si="59"/>
        <v>0</v>
      </c>
      <c r="E107" s="1337">
        <v>25804394.941842586</v>
      </c>
      <c r="F107" s="1589">
        <f>E112</f>
        <v>25708712.49172689</v>
      </c>
      <c r="G107" s="1337">
        <f t="shared" ref="G107:N107" si="60">F112</f>
        <v>3527601.667636754</v>
      </c>
      <c r="H107" s="1337">
        <f t="shared" si="60"/>
        <v>14632478.772250943</v>
      </c>
      <c r="I107" s="1337">
        <f t="shared" si="60"/>
        <v>25593310.834153131</v>
      </c>
      <c r="J107" s="1337">
        <f t="shared" si="60"/>
        <v>19423244.754124254</v>
      </c>
      <c r="K107" s="1337">
        <f t="shared" si="60"/>
        <v>18389172.706468984</v>
      </c>
      <c r="L107" s="1337">
        <f t="shared" si="60"/>
        <v>18804550.947005272</v>
      </c>
      <c r="M107" s="1337">
        <f t="shared" si="60"/>
        <v>19240912.293431625</v>
      </c>
      <c r="N107" s="1337">
        <f t="shared" si="60"/>
        <v>18223558.192198724</v>
      </c>
    </row>
    <row r="108" spans="1:14">
      <c r="A108" s="1875" t="s">
        <v>1543</v>
      </c>
      <c r="C108" s="1338"/>
      <c r="D108" s="1338"/>
      <c r="E108" s="1338">
        <f>E109-E107</f>
        <v>28725000.753952414</v>
      </c>
      <c r="F108" s="1590">
        <f t="shared" ref="F108:N108" si="61">F188</f>
        <v>22097420.799999997</v>
      </c>
      <c r="G108" s="1338">
        <f>G188+SUM(G294)</f>
        <v>44264690.37193571</v>
      </c>
      <c r="H108" s="1338">
        <f t="shared" ref="H108:N108" si="62">H188+SUM(H292:H294)</f>
        <v>62259435.538438559</v>
      </c>
      <c r="I108" s="1338">
        <f t="shared" si="62"/>
        <v>68546215.500541881</v>
      </c>
      <c r="J108" s="1338">
        <f t="shared" si="62"/>
        <v>79556774.923216999</v>
      </c>
      <c r="K108" s="1338">
        <f t="shared" si="62"/>
        <v>88153564.255430982</v>
      </c>
      <c r="L108" s="1338">
        <f t="shared" si="62"/>
        <v>95049537.908933148</v>
      </c>
      <c r="M108" s="1338">
        <f t="shared" si="62"/>
        <v>95952099.277940691</v>
      </c>
      <c r="N108" s="1338">
        <f t="shared" si="62"/>
        <v>92665180.726567537</v>
      </c>
    </row>
    <row r="109" spans="1:14">
      <c r="A109" s="1875"/>
      <c r="C109" s="1337"/>
      <c r="D109" s="1337"/>
      <c r="E109" s="1337">
        <f>E112-E110-E111</f>
        <v>54529395.695795</v>
      </c>
      <c r="F109" s="1589">
        <f t="shared" ref="F109:N109" si="63">SUM(F107:F108)</f>
        <v>47806133.291726887</v>
      </c>
      <c r="G109" s="1337">
        <f t="shared" si="63"/>
        <v>47792292.039572462</v>
      </c>
      <c r="H109" s="1337">
        <f t="shared" si="63"/>
        <v>76891914.310689509</v>
      </c>
      <c r="I109" s="1337">
        <f t="shared" si="63"/>
        <v>94139526.334695011</v>
      </c>
      <c r="J109" s="1337">
        <f t="shared" si="63"/>
        <v>98980019.677341253</v>
      </c>
      <c r="K109" s="1337">
        <f t="shared" si="63"/>
        <v>106542736.96189997</v>
      </c>
      <c r="L109" s="1337">
        <f t="shared" si="63"/>
        <v>113854088.85593842</v>
      </c>
      <c r="M109" s="1337">
        <f t="shared" si="63"/>
        <v>115193011.57137232</v>
      </c>
      <c r="N109" s="1337">
        <f t="shared" si="63"/>
        <v>110888738.91876626</v>
      </c>
    </row>
    <row r="110" spans="1:14">
      <c r="A110" s="1875" t="s">
        <v>139</v>
      </c>
      <c r="C110" s="1337"/>
      <c r="D110" s="1337"/>
      <c r="E110" s="1337">
        <f>-('Core P&amp;L'!BN47+'Core P&amp;L'!BN49)</f>
        <v>-21391850.121068101</v>
      </c>
      <c r="F110" s="1589">
        <f>-('Core P&amp;L'!AJ47+'Core P&amp;L'!AJ49)</f>
        <v>-38192374.300457031</v>
      </c>
      <c r="G110" s="1337">
        <f>-(G10+G12)*G103</f>
        <v>-33159813.26732152</v>
      </c>
      <c r="H110" s="1337">
        <f>-(H10+H12)*H103</f>
        <v>-51298603.476536378</v>
      </c>
      <c r="I110" s="1337">
        <f>-(I10+I12)*I103</f>
        <v>-74716281.580570757</v>
      </c>
      <c r="J110" s="1337">
        <f>-(J10+J12)*J103</f>
        <v>-80590846.970872268</v>
      </c>
      <c r="K110" s="1337">
        <f>-(K10+K12)*K103</f>
        <v>-87738186.014894694</v>
      </c>
      <c r="L110" s="1337">
        <f>-(L10+L12)*L103</f>
        <v>-94613176.562506795</v>
      </c>
      <c r="M110" s="1337">
        <f>-(M10+M12)*M103</f>
        <v>-96969453.379173592</v>
      </c>
      <c r="N110" s="1337">
        <f>-(N10+N12)*N103</f>
        <v>-93542975.563201532</v>
      </c>
    </row>
    <row r="111" spans="1:14">
      <c r="A111" s="1875" t="s">
        <v>1544</v>
      </c>
      <c r="C111" s="1337"/>
      <c r="D111" s="1337"/>
      <c r="E111" s="1337">
        <f>-'Core P&amp;L'!BN80</f>
        <v>-7428833.0830000006</v>
      </c>
      <c r="F111" s="1864">
        <f>-(F109+F110-F112)</f>
        <v>-6086157.3236331027</v>
      </c>
      <c r="G111" s="1337"/>
      <c r="H111" s="1337"/>
      <c r="I111" s="1337"/>
      <c r="J111" s="1337"/>
      <c r="K111" s="1337"/>
      <c r="L111" s="1337"/>
      <c r="M111" s="1337"/>
      <c r="N111" s="1337"/>
    </row>
    <row r="112" spans="1:14" ht="15.75" thickBot="1">
      <c r="A112" s="1876" t="s">
        <v>1545</v>
      </c>
      <c r="B112" s="1120"/>
      <c r="C112" s="1339"/>
      <c r="D112" s="1339"/>
      <c r="E112" s="1620">
        <v>25708712.49172689</v>
      </c>
      <c r="F112" s="1863">
        <v>3527601.667636754</v>
      </c>
      <c r="G112" s="1339">
        <f t="shared" ref="G112:N112" si="64">SUM(G109:G111)</f>
        <v>14632478.772250943</v>
      </c>
      <c r="H112" s="1339">
        <f t="shared" si="64"/>
        <v>25593310.834153131</v>
      </c>
      <c r="I112" s="1339">
        <f t="shared" si="64"/>
        <v>19423244.754124254</v>
      </c>
      <c r="J112" s="1339">
        <f t="shared" si="64"/>
        <v>18389172.706468984</v>
      </c>
      <c r="K112" s="1339">
        <f t="shared" si="64"/>
        <v>18804550.947005272</v>
      </c>
      <c r="L112" s="1339">
        <f t="shared" si="64"/>
        <v>19240912.293431625</v>
      </c>
      <c r="M112" s="1339">
        <f t="shared" si="64"/>
        <v>18223558.192198724</v>
      </c>
      <c r="N112" s="1339">
        <f t="shared" si="64"/>
        <v>17345763.355564728</v>
      </c>
    </row>
    <row r="113" spans="1:14" ht="15.75" thickTop="1">
      <c r="A113" s="1875"/>
      <c r="C113" s="1337"/>
      <c r="D113" s="1337"/>
      <c r="E113" s="1621">
        <v>25671449.343257517</v>
      </c>
      <c r="F113" s="1622"/>
      <c r="G113" s="1337"/>
      <c r="H113" s="1337"/>
      <c r="I113" s="1337"/>
      <c r="J113" s="1337"/>
      <c r="K113" s="1337"/>
      <c r="L113" s="1337"/>
      <c r="M113" s="1337"/>
      <c r="N113" s="1337"/>
    </row>
    <row r="114" spans="1:14">
      <c r="A114" s="1874"/>
      <c r="C114" s="1337"/>
      <c r="D114" s="1337"/>
      <c r="E114" s="1621">
        <f>E113-E112</f>
        <v>-37263.148469373584</v>
      </c>
      <c r="F114" s="1623">
        <f>F102/E102-1</f>
        <v>-5.4721518813498626E-2</v>
      </c>
      <c r="G114" s="1337"/>
      <c r="H114" s="1337"/>
      <c r="I114" s="1337"/>
      <c r="J114" s="1337"/>
      <c r="K114" s="1337"/>
      <c r="L114" s="1337"/>
      <c r="M114" s="1337"/>
      <c r="N114" s="1337"/>
    </row>
    <row r="115" spans="1:14">
      <c r="A115" s="1874" t="s">
        <v>713</v>
      </c>
      <c r="C115" s="1337"/>
      <c r="D115" s="1337"/>
      <c r="E115" s="1621"/>
      <c r="F115" s="1623">
        <f>F117/E117-1</f>
        <v>5.1043499619194632E-2</v>
      </c>
      <c r="G115" s="1337"/>
      <c r="H115" s="1337"/>
      <c r="I115" s="1337"/>
      <c r="J115" s="1337"/>
      <c r="K115" s="1337"/>
      <c r="L115" s="1337"/>
      <c r="M115" s="1337"/>
      <c r="N115" s="1337"/>
    </row>
    <row r="116" spans="1:14">
      <c r="A116" s="1875" t="s">
        <v>1546</v>
      </c>
      <c r="C116" s="1337"/>
      <c r="D116" s="1337"/>
      <c r="E116" s="1340">
        <f>E121/D87</f>
        <v>0.22352044289182102</v>
      </c>
      <c r="F116" s="1588">
        <f>F121/E87</f>
        <v>0.26674677228948451</v>
      </c>
      <c r="G116" s="1340">
        <f>G121/F87</f>
        <v>0.28974582707644347</v>
      </c>
      <c r="H116" s="1340">
        <f>H121/G87</f>
        <v>0.26272492412205362</v>
      </c>
      <c r="I116" s="1340">
        <f t="shared" ref="I116:N116" si="65">I121/H87</f>
        <v>0.31517406941150539</v>
      </c>
      <c r="J116" s="1340">
        <f t="shared" si="65"/>
        <v>0.29435621131096823</v>
      </c>
      <c r="K116" s="1340">
        <f t="shared" si="65"/>
        <v>0.5766742047345641</v>
      </c>
      <c r="L116" s="1340">
        <f t="shared" si="65"/>
        <v>0.679598175127894</v>
      </c>
      <c r="M116" s="1340">
        <f t="shared" si="65"/>
        <v>0.71205375364578294</v>
      </c>
      <c r="N116" s="1340">
        <f t="shared" si="65"/>
        <v>0.67782108398585594</v>
      </c>
    </row>
    <row r="117" spans="1:14">
      <c r="A117" s="1875" t="s">
        <v>1548</v>
      </c>
      <c r="C117" s="1337"/>
      <c r="D117" s="1337"/>
      <c r="E117" s="1340">
        <f>E122/(E42+E64)</f>
        <v>0.27600762374594151</v>
      </c>
      <c r="F117" s="1588">
        <f>F122/(F42+F64)</f>
        <v>0.29009601878351232</v>
      </c>
      <c r="G117" s="1340">
        <f>G122/(G42+SUM(G62:G63))</f>
        <v>0.25819298823870296</v>
      </c>
      <c r="H117" s="1340">
        <f t="shared" ref="H117:N117" si="66">H122/(H42+SUM(H62:H63))</f>
        <v>0.32254389287796381</v>
      </c>
      <c r="I117" s="1340">
        <f t="shared" si="66"/>
        <v>0.28763277831228357</v>
      </c>
      <c r="J117" s="1340">
        <f t="shared" si="66"/>
        <v>0.67651105239383391</v>
      </c>
      <c r="K117" s="1340">
        <f t="shared" si="66"/>
        <v>0.70402611245397606</v>
      </c>
      <c r="L117" s="1340">
        <f t="shared" si="66"/>
        <v>0.72004336966761473</v>
      </c>
      <c r="M117" s="1340">
        <f t="shared" si="66"/>
        <v>0.67065829415454747</v>
      </c>
      <c r="N117" s="1340">
        <f t="shared" si="66"/>
        <v>0.63814546910173953</v>
      </c>
    </row>
    <row r="118" spans="1:14" outlineLevel="1">
      <c r="A118" s="1875" t="s">
        <v>1547</v>
      </c>
      <c r="C118" s="1337"/>
      <c r="D118" s="1337"/>
      <c r="E118" s="1340">
        <f>E123/(D87+E42+E64)</f>
        <v>0.24586827647781853</v>
      </c>
      <c r="F118" s="1588">
        <f>F123/(E87+F42+F64)</f>
        <v>0.28871480228371521</v>
      </c>
      <c r="G118" s="1340">
        <f>G123/(F87+G42+SUM(G62:G63))</f>
        <v>0.26272492412205384</v>
      </c>
      <c r="H118" s="1651">
        <f>H123/(G87+H42+SUM(H62:H63))</f>
        <v>0.31517406941150539</v>
      </c>
      <c r="I118" s="1651">
        <f t="shared" ref="I118:N118" si="67">I123/(H87+I42+SUM(I62:I63))</f>
        <v>0.29435621131096812</v>
      </c>
      <c r="J118" s="1651">
        <f t="shared" si="67"/>
        <v>0.57667420473456421</v>
      </c>
      <c r="K118" s="1651">
        <f t="shared" si="67"/>
        <v>0.67959817512789367</v>
      </c>
      <c r="L118" s="1651">
        <f t="shared" si="67"/>
        <v>0.71205375364578294</v>
      </c>
      <c r="M118" s="1651">
        <f t="shared" si="67"/>
        <v>0.67782108398585583</v>
      </c>
      <c r="N118" s="1651">
        <f t="shared" si="67"/>
        <v>0.64412605558181868</v>
      </c>
    </row>
    <row r="119" spans="1:14" outlineLevel="1">
      <c r="A119" s="1875" t="s">
        <v>1791</v>
      </c>
      <c r="C119" s="1337"/>
      <c r="D119" s="1337"/>
      <c r="E119" s="1340">
        <f t="shared" ref="E119:N119" si="68">E126/E87</f>
        <v>0.26674677228948451</v>
      </c>
      <c r="F119" s="1588">
        <f>F126/F87</f>
        <v>0.28974582707644347</v>
      </c>
      <c r="G119" s="1340">
        <f t="shared" ref="G119:N119" si="69">G126/G87</f>
        <v>0.26272492412205362</v>
      </c>
      <c r="H119" s="1651">
        <f t="shared" si="69"/>
        <v>0.31517406941150539</v>
      </c>
      <c r="I119" s="1340">
        <f t="shared" si="69"/>
        <v>0.29435621131096823</v>
      </c>
      <c r="J119" s="1340">
        <f t="shared" si="69"/>
        <v>0.5766742047345641</v>
      </c>
      <c r="K119" s="1340">
        <f t="shared" si="69"/>
        <v>0.679598175127894</v>
      </c>
      <c r="L119" s="1340">
        <f t="shared" si="69"/>
        <v>0.71205375364578294</v>
      </c>
      <c r="M119" s="1340">
        <f t="shared" si="69"/>
        <v>0.67782108398585594</v>
      </c>
      <c r="N119" s="1340">
        <f t="shared" si="69"/>
        <v>0.64412605558181857</v>
      </c>
    </row>
    <row r="120" spans="1:14">
      <c r="A120" s="1874"/>
      <c r="C120" s="1337"/>
      <c r="D120" s="1337"/>
      <c r="E120" s="1337"/>
      <c r="F120" s="1589"/>
      <c r="G120" s="1337"/>
      <c r="H120" s="1337"/>
      <c r="I120" s="1337"/>
      <c r="J120" s="1337"/>
      <c r="K120" s="1337"/>
      <c r="L120" s="1337"/>
      <c r="M120" s="1337"/>
      <c r="N120" s="1337"/>
    </row>
    <row r="121" spans="1:14">
      <c r="A121" s="1875" t="s">
        <v>1542</v>
      </c>
      <c r="C121" s="1337">
        <f t="shared" ref="C121:D121" si="70">B126</f>
        <v>0</v>
      </c>
      <c r="D121" s="1337">
        <f t="shared" si="70"/>
        <v>0</v>
      </c>
      <c r="E121" s="1337">
        <v>19013116.030103941</v>
      </c>
      <c r="F121" s="1589">
        <f>E126</f>
        <v>1226874.037481166</v>
      </c>
      <c r="G121" s="1337">
        <f t="shared" ref="G121:N121" si="71">F126</f>
        <v>6514121.315531401</v>
      </c>
      <c r="H121" s="1337">
        <f t="shared" si="71"/>
        <v>5906632.1872974411</v>
      </c>
      <c r="I121" s="1337">
        <f t="shared" si="71"/>
        <v>14250613.198189102</v>
      </c>
      <c r="J121" s="1337">
        <f t="shared" si="71"/>
        <v>15287980.901707448</v>
      </c>
      <c r="K121" s="1337">
        <f t="shared" si="71"/>
        <v>23345035.877511933</v>
      </c>
      <c r="L121" s="1337">
        <f t="shared" si="71"/>
        <v>27511623.808377028</v>
      </c>
      <c r="M121" s="1337">
        <f t="shared" si="71"/>
        <v>28825496.769409284</v>
      </c>
      <c r="N121" s="1337">
        <f t="shared" si="71"/>
        <v>27439683.263563544</v>
      </c>
    </row>
    <row r="122" spans="1:14">
      <c r="A122" s="1875" t="s">
        <v>1543</v>
      </c>
      <c r="C122" s="1338"/>
      <c r="D122" s="1338"/>
      <c r="E122" s="1338">
        <f>'Manufacturing cost analysis'!AB58-E108</f>
        <v>17408394.246047586</v>
      </c>
      <c r="F122" s="1590">
        <f t="shared" ref="F122:N122" si="72">F189</f>
        <v>21221297.170000002</v>
      </c>
      <c r="G122" s="1338">
        <f>G189+SUM(G297)</f>
        <v>34609808.562709928</v>
      </c>
      <c r="H122" s="1338">
        <f t="shared" ref="H122:N122" si="73">H189+SUM(H295:H297)</f>
        <v>51607022.860474214</v>
      </c>
      <c r="I122" s="1338">
        <f t="shared" si="73"/>
        <v>40268588.963719696</v>
      </c>
      <c r="J122" s="1338">
        <f t="shared" si="73"/>
        <v>99357240.737428337</v>
      </c>
      <c r="K122" s="1338">
        <f t="shared" si="73"/>
        <v>120083274.49049668</v>
      </c>
      <c r="L122" s="1338">
        <f t="shared" si="73"/>
        <v>118409384.32982734</v>
      </c>
      <c r="M122" s="1338">
        <f t="shared" si="73"/>
        <v>129754934.00412525</v>
      </c>
      <c r="N122" s="1338">
        <f t="shared" si="73"/>
        <v>145547839.25577822</v>
      </c>
    </row>
    <row r="123" spans="1:14">
      <c r="A123" s="1875" t="s">
        <v>1552</v>
      </c>
      <c r="C123" s="1337"/>
      <c r="D123" s="1337"/>
      <c r="E123" s="1337">
        <f>SUM(E121:E122)</f>
        <v>36421510.276151523</v>
      </c>
      <c r="F123" s="1589">
        <f t="shared" ref="F123" si="74">SUM(F121:F122)</f>
        <v>22448171.207481168</v>
      </c>
      <c r="G123" s="1337">
        <f t="shared" ref="G123" si="75">SUM(G121:G122)</f>
        <v>41123929.87824133</v>
      </c>
      <c r="H123" s="1337">
        <f t="shared" ref="H123" si="76">SUM(H121:H122)</f>
        <v>57513655.047771655</v>
      </c>
      <c r="I123" s="1337">
        <f t="shared" ref="I123" si="77">SUM(I121:I122)</f>
        <v>54519202.161908798</v>
      </c>
      <c r="J123" s="1337">
        <f t="shared" ref="J123" si="78">SUM(J121:J122)</f>
        <v>114645221.63913578</v>
      </c>
      <c r="K123" s="1337">
        <f t="shared" ref="K123" si="79">SUM(K121:K122)</f>
        <v>143428310.36800861</v>
      </c>
      <c r="L123" s="1337">
        <f t="shared" ref="L123" si="80">SUM(L121:L122)</f>
        <v>145921008.13820437</v>
      </c>
      <c r="M123" s="1337">
        <f t="shared" ref="M123" si="81">SUM(M121:M122)</f>
        <v>158580430.77353454</v>
      </c>
      <c r="N123" s="1337">
        <f t="shared" ref="N123" si="82">SUM(N121:N122)</f>
        <v>172987522.51934177</v>
      </c>
    </row>
    <row r="124" spans="1:14">
      <c r="A124" s="1875" t="s">
        <v>139</v>
      </c>
      <c r="C124" s="1337"/>
      <c r="D124" s="1337"/>
      <c r="E124" s="1337">
        <f>-('Core P&amp;L'!BN48)</f>
        <v>-21786055.82</v>
      </c>
      <c r="F124" s="1619">
        <f>-'Core P&amp;L'!AJ48</f>
        <v>-24246253.649999999</v>
      </c>
      <c r="G124" s="1337">
        <f>-(G11)*G118</f>
        <v>-35217297.690943889</v>
      </c>
      <c r="H124" s="1337">
        <f>-(H11)*H118</f>
        <v>-43263041.849582553</v>
      </c>
      <c r="I124" s="1337">
        <f>-(I11)*I118</f>
        <v>-39231221.26020135</v>
      </c>
      <c r="J124" s="1337">
        <f>-(J11)*J118</f>
        <v>-91300185.761623845</v>
      </c>
      <c r="K124" s="1337">
        <f>-(K11)*K118</f>
        <v>-115916686.55963159</v>
      </c>
      <c r="L124" s="1337">
        <f>-(L11)*L118</f>
        <v>-117095511.36879508</v>
      </c>
      <c r="M124" s="1337">
        <f>-(M11)*M118</f>
        <v>-131140747.50997099</v>
      </c>
      <c r="N124" s="1337">
        <f>-(N11)*N118</f>
        <v>-146911887.86507592</v>
      </c>
    </row>
    <row r="125" spans="1:14">
      <c r="A125" s="1875" t="s">
        <v>1544</v>
      </c>
      <c r="C125" s="1337"/>
      <c r="D125" s="1337"/>
      <c r="E125" s="1337"/>
      <c r="F125" s="1619"/>
      <c r="G125" s="1337"/>
      <c r="H125" s="1337"/>
      <c r="I125" s="1337"/>
      <c r="J125" s="1337"/>
      <c r="K125" s="1337"/>
      <c r="L125" s="1337"/>
      <c r="M125" s="1337"/>
      <c r="N125" s="1337"/>
    </row>
    <row r="126" spans="1:14" ht="15.75" thickBot="1">
      <c r="A126" s="1876" t="s">
        <v>1545</v>
      </c>
      <c r="B126" s="1120"/>
      <c r="C126" s="1339"/>
      <c r="D126" s="1339"/>
      <c r="E126" s="1620">
        <v>1226874.037481166</v>
      </c>
      <c r="F126" s="1863">
        <v>6514121.315531401</v>
      </c>
      <c r="G126" s="1339">
        <f t="shared" ref="F126:N126" si="83">SUM(G123:G125)</f>
        <v>5906632.1872974411</v>
      </c>
      <c r="H126" s="1339">
        <f t="shared" si="83"/>
        <v>14250613.198189102</v>
      </c>
      <c r="I126" s="1339">
        <f t="shared" si="83"/>
        <v>15287980.901707448</v>
      </c>
      <c r="J126" s="1339">
        <f t="shared" si="83"/>
        <v>23345035.877511933</v>
      </c>
      <c r="K126" s="1339">
        <f t="shared" si="83"/>
        <v>27511623.808377028</v>
      </c>
      <c r="L126" s="1339">
        <f t="shared" si="83"/>
        <v>28825496.769409284</v>
      </c>
      <c r="M126" s="1339">
        <f t="shared" si="83"/>
        <v>27439683.263563544</v>
      </c>
      <c r="N126" s="1339">
        <f t="shared" si="83"/>
        <v>26075634.654265851</v>
      </c>
    </row>
    <row r="127" spans="1:14" ht="15.75" thickTop="1">
      <c r="A127" s="1874"/>
      <c r="C127" s="1337"/>
      <c r="D127" s="1337"/>
      <c r="E127" s="1621">
        <v>12949301.893537251</v>
      </c>
      <c r="F127" s="1622"/>
      <c r="G127" s="1337"/>
      <c r="H127" s="1337"/>
      <c r="I127" s="1337"/>
      <c r="J127" s="1337"/>
      <c r="K127" s="1337"/>
      <c r="L127" s="1337"/>
      <c r="M127" s="1337"/>
      <c r="N127" s="1337"/>
    </row>
    <row r="128" spans="1:14">
      <c r="A128" s="1874"/>
      <c r="E128" s="1621">
        <f>E127-E126</f>
        <v>11722427.856056085</v>
      </c>
      <c r="F128" s="1624"/>
    </row>
    <row r="129" spans="1:14">
      <c r="A129" s="1874"/>
      <c r="E129" s="1625">
        <f>E112+E126</f>
        <v>26935586.529208057</v>
      </c>
      <c r="F129" s="1624"/>
    </row>
    <row r="130" spans="1:14">
      <c r="E130" s="1625">
        <f>E113+E127</f>
        <v>38620751.23679477</v>
      </c>
      <c r="F130" s="1624"/>
      <c r="I130" s="1141"/>
    </row>
    <row r="133" spans="1:14">
      <c r="A133" s="521" t="s">
        <v>1541</v>
      </c>
    </row>
    <row r="134" spans="1:14">
      <c r="A134" s="521" t="s">
        <v>1776</v>
      </c>
      <c r="G134" s="1862">
        <f>'12 years sales &amp; PL forecast'!N31</f>
        <v>6.0829123748994178E-2</v>
      </c>
      <c r="H134" s="1862">
        <f>G136</f>
        <v>0.14839911548542059</v>
      </c>
      <c r="I134" s="1862">
        <f t="shared" ref="I134:N134" si="84">H136</f>
        <v>0.17606652324933911</v>
      </c>
      <c r="J134" s="1862">
        <f t="shared" si="84"/>
        <v>0.25480378345323251</v>
      </c>
      <c r="K134" s="1862">
        <f t="shared" si="84"/>
        <v>0.28259872252746931</v>
      </c>
      <c r="L134" s="1862">
        <f t="shared" si="84"/>
        <v>0.29245880419020859</v>
      </c>
      <c r="M134" s="1862">
        <f t="shared" si="84"/>
        <v>0.29375935415870991</v>
      </c>
      <c r="N134" s="1862">
        <f t="shared" si="84"/>
        <v>0.26458667355729737</v>
      </c>
    </row>
    <row r="135" spans="1:14">
      <c r="A135" s="521" t="s">
        <v>1777</v>
      </c>
      <c r="G135" s="1862">
        <f>(G209+SUM(G325:G327))/(G196+SUM(G304:G306))</f>
        <v>0.15296643387603837</v>
      </c>
      <c r="H135" s="1862">
        <f t="shared" ref="H135:N135" si="85">(H209+SUM(H325:H327))/(H196+SUM(H304:H306))</f>
        <v>0.1844638986800341</v>
      </c>
      <c r="I135" s="1862">
        <f t="shared" si="85"/>
        <v>0.28894095559999988</v>
      </c>
      <c r="J135" s="1862">
        <f t="shared" si="85"/>
        <v>0.28894095559999994</v>
      </c>
      <c r="K135" s="1862">
        <f t="shared" si="85"/>
        <v>0.29457207341071812</v>
      </c>
      <c r="L135" s="1862">
        <f t="shared" si="85"/>
        <v>0.2940238391785171</v>
      </c>
      <c r="M135" s="1862">
        <f t="shared" si="85"/>
        <v>0.25910422497131363</v>
      </c>
      <c r="N135" s="1862">
        <f t="shared" si="85"/>
        <v>0.23361138125800457</v>
      </c>
    </row>
    <row r="136" spans="1:14">
      <c r="A136" s="521" t="s">
        <v>1778</v>
      </c>
      <c r="G136" s="1862">
        <f>((G134*F84)+(G135*(G196+SUM(G304:G306))))/(F84+(G196+SUM(G304:G306)))</f>
        <v>0.14839911548542059</v>
      </c>
      <c r="H136" s="1862">
        <f>((H134*G84)+(H135*(H196+SUM(H304:H306))))/(G84+(H196+SUM(H304:H306)))</f>
        <v>0.17606652324933911</v>
      </c>
      <c r="I136" s="1862">
        <f>((I134*H84)+(I135*(I196+SUM(I304:I306))))/(H84+(I196+SUM(I304:I306)))</f>
        <v>0.25480378345323251</v>
      </c>
      <c r="J136" s="1862">
        <f>((J134*I84)+(J135*(J196+SUM(J304:J306))))/(I84+(J196+SUM(J304:J306)))</f>
        <v>0.28259872252746931</v>
      </c>
      <c r="K136" s="1862">
        <f>((K134*J84)+(K135*(K196+SUM(K304:K306))))/(J84+(K196+SUM(K304:K306)))</f>
        <v>0.29245880419020859</v>
      </c>
      <c r="L136" s="1862">
        <f>((L134*K84)+(L135*(L196+SUM(L304:L306))))/(K84+(L196+SUM(L304:L306)))</f>
        <v>0.29375935415870991</v>
      </c>
      <c r="M136" s="1862">
        <f>((M134*L84)+(M135*(M196+SUM(M304:M306))))/(L84+(M196+SUM(M304:M306)))</f>
        <v>0.26458667355729737</v>
      </c>
      <c r="N136" s="1862">
        <f>((N134*M84)+(N135*(N196+SUM(N304:N306))))/(M84+(N196+SUM(N304:N306)))</f>
        <v>0.23845668922463753</v>
      </c>
    </row>
    <row r="138" spans="1:14">
      <c r="A138" s="521" t="s">
        <v>713</v>
      </c>
    </row>
    <row r="139" spans="1:14">
      <c r="A139" s="521" t="s">
        <v>1776</v>
      </c>
      <c r="G139" s="1862">
        <f>'12 years sales &amp; PL forecast'!N31</f>
        <v>6.0829123748994178E-2</v>
      </c>
      <c r="H139" s="1862">
        <f>G141</f>
        <v>8.7127764644153144E-2</v>
      </c>
      <c r="I139" s="1862">
        <f t="shared" ref="I139:N139" si="86">H141</f>
        <v>5.3291508835088298E-2</v>
      </c>
      <c r="J139" s="1862">
        <f t="shared" si="86"/>
        <v>5.2542629937725002E-2</v>
      </c>
      <c r="K139" s="1862">
        <f t="shared" si="86"/>
        <v>0.22718257630229186</v>
      </c>
      <c r="L139" s="1862">
        <f t="shared" si="86"/>
        <v>0.28164579345715973</v>
      </c>
      <c r="M139" s="1862">
        <f t="shared" si="86"/>
        <v>0.29157865790198256</v>
      </c>
      <c r="N139" s="1862">
        <f t="shared" si="86"/>
        <v>0.26472338081188479</v>
      </c>
    </row>
    <row r="140" spans="1:14">
      <c r="A140" s="521" t="s">
        <v>1777</v>
      </c>
      <c r="G140" s="1862">
        <f>(G210+SUM(G328:G330))/(G197+SUM(G307:G309))</f>
        <v>7.4441955514810101E-2</v>
      </c>
      <c r="H140" s="1862">
        <f>(H210+SUM(H328:H330))/(H197+SUM(H307:H309))</f>
        <v>4.8863608953478813E-2</v>
      </c>
      <c r="I140" s="1862">
        <f>(I210+SUM(I328:I330))/(I197+SUM(I307:I309))</f>
        <v>5.2300768499999997E-2</v>
      </c>
      <c r="J140" s="1862">
        <f>(J210+SUM(J328:J330))/(J197+SUM(J307:J309))</f>
        <v>0.28894095559999994</v>
      </c>
      <c r="K140" s="1862">
        <f>(K210+SUM(K328:K330))/(K197+SUM(K307:K309))</f>
        <v>0.29457207341071812</v>
      </c>
      <c r="L140" s="1862">
        <f>(L210+SUM(L328:L330))/(L197+SUM(L307:L309))</f>
        <v>0.2940238391785171</v>
      </c>
      <c r="M140" s="1862">
        <f>(M210+SUM(M328:M330))/(M197+SUM(M307:M309))</f>
        <v>0.25910422497131363</v>
      </c>
      <c r="N140" s="1862">
        <f>(N210+SUM(N328:N330))/(N197+SUM(N307:N309))</f>
        <v>0.2336113812580046</v>
      </c>
    </row>
    <row r="141" spans="1:14">
      <c r="A141" s="521" t="s">
        <v>1778</v>
      </c>
      <c r="G141" s="1862">
        <f>((G139*F87)+(G140*(G197+SUM(G307:G309))))/(F89+(G197+SUM(G307:G309)))</f>
        <v>8.7127764644153144E-2</v>
      </c>
      <c r="H141" s="1862">
        <f>((H139*G87)+(H140*(H197+SUM(H307:H309))))/(G89+(H197+SUM(H307:H309)))</f>
        <v>5.3291508835088298E-2</v>
      </c>
      <c r="I141" s="1862">
        <f>((I139*H87)+(I140*(I197+SUM(I307:I309))))/(H89+(I197+SUM(I307:I309)))</f>
        <v>5.2542629937725002E-2</v>
      </c>
      <c r="J141" s="1862">
        <f>((J139*I87)+(J140*(J197+SUM(J307:J309))))/(I89+(J197+SUM(J307:J309)))</f>
        <v>0.22718257630229186</v>
      </c>
      <c r="K141" s="1862">
        <f>((K139*J87)+(K140*(K197+SUM(K307:K309))))/(J89+(K197+SUM(K307:K309)))</f>
        <v>0.28164579345715973</v>
      </c>
      <c r="L141" s="1862">
        <f>((L139*K87)+(L140*(L197+SUM(L307:L309))))/(K89+(L197+SUM(L307:L309)))</f>
        <v>0.29157865790198256</v>
      </c>
      <c r="M141" s="1862">
        <f>((M139*L87)+(M140*(M197+SUM(M307:M309))))/(L89+(M197+SUM(M307:M309)))</f>
        <v>0.26472338081188479</v>
      </c>
      <c r="N141" s="1862">
        <f>((N139*M87)+(N140*(N197+SUM(N307:N309))))/(M89+(N197+SUM(N307:N309)))</f>
        <v>0.23830111333761139</v>
      </c>
    </row>
    <row r="144" spans="1:14">
      <c r="J144" s="528"/>
      <c r="K144" s="528"/>
    </row>
    <row r="145" spans="1:14" ht="23.25">
      <c r="A145" s="1641" t="s">
        <v>1717</v>
      </c>
      <c r="B145" s="1642"/>
      <c r="C145" s="1642"/>
      <c r="D145" s="1642"/>
      <c r="E145" s="1642"/>
      <c r="F145" s="1642"/>
      <c r="G145" s="1642"/>
      <c r="H145" s="1642"/>
      <c r="I145" s="1642"/>
      <c r="J145" s="1642"/>
      <c r="K145" s="1642"/>
      <c r="L145" s="1642"/>
      <c r="M145" s="1642"/>
      <c r="N145" s="1642"/>
    </row>
    <row r="146" spans="1:14">
      <c r="A146" s="1642"/>
      <c r="B146" s="1480"/>
      <c r="C146" s="1480"/>
      <c r="D146" s="1480"/>
      <c r="E146" s="1480"/>
      <c r="F146" s="1480"/>
      <c r="G146" s="1480"/>
      <c r="H146" s="1480"/>
      <c r="I146" s="1480"/>
      <c r="J146" s="1480"/>
      <c r="K146" s="1480"/>
      <c r="L146" s="1480"/>
      <c r="M146" s="1480"/>
      <c r="N146" s="1480"/>
    </row>
    <row r="147" spans="1:14">
      <c r="A147" s="1642" t="s">
        <v>1716</v>
      </c>
      <c r="B147" s="1480"/>
      <c r="C147" s="1480"/>
      <c r="D147" s="1480"/>
      <c r="E147" s="1480"/>
      <c r="F147" s="1480"/>
      <c r="G147" s="1835">
        <f>12%</f>
        <v>0.12</v>
      </c>
      <c r="H147" s="1835">
        <v>0.05</v>
      </c>
      <c r="I147" s="1835">
        <v>0.05</v>
      </c>
      <c r="J147" s="1835">
        <v>0.05</v>
      </c>
      <c r="K147" s="1835">
        <v>0.05</v>
      </c>
      <c r="L147" s="1835">
        <v>0.05</v>
      </c>
      <c r="M147" s="1835">
        <v>0.05</v>
      </c>
      <c r="N147" s="1835">
        <v>0.05</v>
      </c>
    </row>
    <row r="148" spans="1:14">
      <c r="A148" s="1642"/>
      <c r="B148" s="1480"/>
      <c r="C148" s="1480"/>
      <c r="D148" s="1650"/>
      <c r="E148" s="1480"/>
      <c r="F148" s="1480"/>
      <c r="G148" s="1480"/>
      <c r="H148" s="1480"/>
      <c r="I148" s="1480"/>
      <c r="J148" s="1480"/>
      <c r="K148" s="1480"/>
      <c r="L148" s="1480"/>
      <c r="M148" s="1480"/>
      <c r="N148" s="1480"/>
    </row>
    <row r="149" spans="1:14">
      <c r="A149" s="1642" t="s">
        <v>1569</v>
      </c>
      <c r="B149" s="1480"/>
      <c r="C149" s="1480"/>
      <c r="D149" s="1650"/>
      <c r="E149" s="1651">
        <f>E163/E196</f>
        <v>0.15930911635443437</v>
      </c>
      <c r="F149" s="1651">
        <f>F163/F196</f>
        <v>0.11305228971443648</v>
      </c>
      <c r="G149" s="1834">
        <f t="shared" ref="G149:N149" si="87">F149*(1+G$147)</f>
        <v>0.12661856448016887</v>
      </c>
      <c r="H149" s="1834">
        <f t="shared" si="87"/>
        <v>0.1329494927041773</v>
      </c>
      <c r="I149" s="1834">
        <f t="shared" si="87"/>
        <v>0.13959696733938617</v>
      </c>
      <c r="J149" s="1834">
        <f t="shared" si="87"/>
        <v>0.1465768157063555</v>
      </c>
      <c r="K149" s="1834">
        <f t="shared" si="87"/>
        <v>0.15390565649167329</v>
      </c>
      <c r="L149" s="1834">
        <f t="shared" si="87"/>
        <v>0.16160093931625696</v>
      </c>
      <c r="M149" s="1834">
        <f t="shared" si="87"/>
        <v>0.16968098628206982</v>
      </c>
      <c r="N149" s="1834">
        <f t="shared" si="87"/>
        <v>0.1781650355961733</v>
      </c>
    </row>
    <row r="150" spans="1:14">
      <c r="A150" s="1642" t="s">
        <v>1757</v>
      </c>
      <c r="B150" s="1480"/>
      <c r="C150" s="1480"/>
      <c r="D150" s="1480"/>
      <c r="E150" s="1480"/>
      <c r="F150" s="1652">
        <f>F163</f>
        <v>5338224.6599999946</v>
      </c>
      <c r="G150" s="1652">
        <f>G149*G196</f>
        <v>10094788.412577663</v>
      </c>
      <c r="H150" s="1652">
        <f>H149*H196</f>
        <v>6647474.6352088647</v>
      </c>
      <c r="I150" s="1652">
        <f>I149*I196</f>
        <v>0</v>
      </c>
      <c r="J150" s="1652">
        <f>J149*J196</f>
        <v>0</v>
      </c>
      <c r="K150" s="1652">
        <f>K149*K196</f>
        <v>0</v>
      </c>
      <c r="L150" s="1652">
        <f>L149*L196</f>
        <v>0</v>
      </c>
      <c r="M150" s="1652">
        <f>M149*M196</f>
        <v>0</v>
      </c>
      <c r="N150" s="1652">
        <f>N149*N196</f>
        <v>0</v>
      </c>
    </row>
    <row r="151" spans="1:14">
      <c r="A151" s="1642"/>
      <c r="B151" s="1480"/>
      <c r="C151" s="1480"/>
      <c r="D151" s="1480"/>
      <c r="E151" s="1649"/>
      <c r="F151" s="1649">
        <f>IFERROR(F150/F165,"")</f>
        <v>0.40610278235925656</v>
      </c>
      <c r="G151" s="1649">
        <f>IFERROR(G150/G165,"")</f>
        <v>0.38652593401513746</v>
      </c>
      <c r="H151" s="1649">
        <f>IFERROR(H150/H165,"")</f>
        <v>0.24871074462492423</v>
      </c>
      <c r="I151" s="1649">
        <f>IFERROR(I150/I165,"")</f>
        <v>0</v>
      </c>
      <c r="J151" s="1649" t="str">
        <f>IFERROR(J150/J165,"")</f>
        <v/>
      </c>
      <c r="K151" s="1649" t="str">
        <f>IFERROR(K150/K165,"")</f>
        <v/>
      </c>
      <c r="L151" s="1649" t="str">
        <f>IFERROR(L150/L165,"")</f>
        <v/>
      </c>
      <c r="M151" s="1649" t="str">
        <f>IFERROR(M150/M165,"")</f>
        <v/>
      </c>
      <c r="N151" s="1649" t="str">
        <f>IFERROR(N150/N165,"")</f>
        <v/>
      </c>
    </row>
    <row r="152" spans="1:14">
      <c r="A152" s="1642"/>
      <c r="B152" s="1480"/>
      <c r="C152" s="1480"/>
      <c r="D152" s="1480"/>
      <c r="E152" s="1480"/>
      <c r="F152" s="1480"/>
      <c r="G152" s="1480"/>
      <c r="H152" s="1480"/>
      <c r="I152" s="1480"/>
      <c r="J152" s="1480"/>
      <c r="K152" s="1480"/>
      <c r="L152" s="1480"/>
      <c r="M152" s="1480"/>
      <c r="N152" s="1480"/>
    </row>
    <row r="153" spans="1:14">
      <c r="A153" s="1642" t="s">
        <v>1568</v>
      </c>
      <c r="B153" s="1480"/>
      <c r="C153" s="1480"/>
      <c r="D153" s="1480"/>
      <c r="E153" s="1651">
        <f>E164/E197</f>
        <v>0.11055854430204141</v>
      </c>
      <c r="F153" s="1651">
        <f>F164/F197</f>
        <v>0.10671906571388665</v>
      </c>
      <c r="G153" s="1834">
        <f t="shared" ref="G153:N153" si="88">F153*(1+G$147)</f>
        <v>0.11952535359955306</v>
      </c>
      <c r="H153" s="1834">
        <f t="shared" si="88"/>
        <v>0.12550162127953071</v>
      </c>
      <c r="I153" s="1834">
        <f t="shared" si="88"/>
        <v>0.13177670234350725</v>
      </c>
      <c r="J153" s="1834">
        <f t="shared" si="88"/>
        <v>0.13836553746068261</v>
      </c>
      <c r="K153" s="1834">
        <f t="shared" si="88"/>
        <v>0.14528381433371676</v>
      </c>
      <c r="L153" s="1834">
        <f t="shared" si="88"/>
        <v>0.15254800505040261</v>
      </c>
      <c r="M153" s="1834">
        <f t="shared" si="88"/>
        <v>0.16017540530292276</v>
      </c>
      <c r="N153" s="1834">
        <f t="shared" si="88"/>
        <v>0.16818417556806892</v>
      </c>
    </row>
    <row r="154" spans="1:14">
      <c r="A154" s="1642" t="s">
        <v>1756</v>
      </c>
      <c r="B154" s="1480"/>
      <c r="C154" s="1480"/>
      <c r="D154" s="1480"/>
      <c r="E154" s="1480"/>
      <c r="F154" s="1652">
        <f>F164</f>
        <v>7806784.1700000018</v>
      </c>
      <c r="G154" s="1652">
        <f t="shared" ref="G154:N154" si="89">G153*G197</f>
        <v>16021928.537603283</v>
      </c>
      <c r="H154" s="1652">
        <f t="shared" si="89"/>
        <v>20080259.404724915</v>
      </c>
      <c r="I154" s="1652">
        <f t="shared" si="89"/>
        <v>18448738.328091014</v>
      </c>
      <c r="J154" s="1652">
        <f t="shared" si="89"/>
        <v>0</v>
      </c>
      <c r="K154" s="1652">
        <f t="shared" si="89"/>
        <v>0</v>
      </c>
      <c r="L154" s="1652">
        <f t="shared" si="89"/>
        <v>0</v>
      </c>
      <c r="M154" s="1652">
        <f t="shared" si="89"/>
        <v>0</v>
      </c>
      <c r="N154" s="1652">
        <f t="shared" si="89"/>
        <v>0</v>
      </c>
    </row>
    <row r="155" spans="1:14">
      <c r="A155" s="1642"/>
      <c r="B155" s="1480"/>
      <c r="C155" s="1480"/>
      <c r="D155" s="1480"/>
      <c r="E155" s="1649"/>
      <c r="F155" s="1649">
        <f t="shared" ref="F155:I155" si="90">IFERROR(F154/F165,"")</f>
        <v>0.59389721764074344</v>
      </c>
      <c r="G155" s="1649">
        <f t="shared" si="90"/>
        <v>0.61347406598486254</v>
      </c>
      <c r="H155" s="1649">
        <f t="shared" si="90"/>
        <v>0.75128925537507574</v>
      </c>
      <c r="I155" s="1649">
        <f t="shared" si="90"/>
        <v>1</v>
      </c>
      <c r="J155" s="1649" t="str">
        <f>IFERROR(J154/J165,"")</f>
        <v/>
      </c>
      <c r="K155" s="1649" t="str">
        <f t="shared" ref="K155:N155" si="91">IFERROR(K154/K165,"")</f>
        <v/>
      </c>
      <c r="L155" s="1649" t="str">
        <f t="shared" si="91"/>
        <v/>
      </c>
      <c r="M155" s="1649" t="str">
        <f t="shared" si="91"/>
        <v/>
      </c>
      <c r="N155" s="1649" t="str">
        <f t="shared" si="91"/>
        <v/>
      </c>
    </row>
    <row r="156" spans="1:14">
      <c r="A156" s="1642"/>
      <c r="B156" s="1480"/>
      <c r="C156" s="1480"/>
      <c r="D156" s="1480"/>
      <c r="E156" s="1649"/>
      <c r="F156" s="1649"/>
      <c r="G156" s="1649"/>
      <c r="H156" s="1649"/>
      <c r="I156" s="1649"/>
      <c r="J156" s="1649"/>
      <c r="K156" s="1649"/>
      <c r="L156" s="1649"/>
      <c r="M156" s="1649"/>
      <c r="N156" s="1649"/>
    </row>
    <row r="157" spans="1:14">
      <c r="A157" s="1642" t="s">
        <v>1754</v>
      </c>
      <c r="B157" s="1480"/>
      <c r="C157" s="1480"/>
      <c r="D157" s="1480"/>
      <c r="E157" s="1651">
        <f>E165/E198</f>
        <v>0.13391736014816982</v>
      </c>
      <c r="F157" s="1651">
        <f>IFERROR(F165/F198,0)</f>
        <v>0.10920344435988968</v>
      </c>
      <c r="G157" s="1651">
        <f t="shared" ref="G157:N157" si="92">IFERROR(G165/G198,0)</f>
        <v>0.12217075377380721</v>
      </c>
      <c r="H157" s="1651">
        <f t="shared" si="92"/>
        <v>0.12727492399968465</v>
      </c>
      <c r="I157" s="1651">
        <f t="shared" si="92"/>
        <v>0.13177670234350725</v>
      </c>
      <c r="J157" s="1651">
        <f t="shared" si="92"/>
        <v>0</v>
      </c>
      <c r="K157" s="1651">
        <f t="shared" si="92"/>
        <v>0</v>
      </c>
      <c r="L157" s="1651">
        <f t="shared" si="92"/>
        <v>0</v>
      </c>
      <c r="M157" s="1651">
        <f t="shared" si="92"/>
        <v>0</v>
      </c>
      <c r="N157" s="1651">
        <f t="shared" si="92"/>
        <v>0</v>
      </c>
    </row>
    <row r="158" spans="1:14">
      <c r="A158" s="1642" t="s">
        <v>1755</v>
      </c>
      <c r="B158" s="1480"/>
      <c r="C158" s="1480"/>
      <c r="D158" s="1480"/>
      <c r="E158" s="1649"/>
      <c r="F158" s="1833">
        <f>F165</f>
        <v>13145008.829999996</v>
      </c>
      <c r="G158" s="1833">
        <f t="shared" ref="G158:N158" si="93">G165</f>
        <v>26116716.950180948</v>
      </c>
      <c r="H158" s="1833">
        <f t="shared" si="93"/>
        <v>26727734.039933778</v>
      </c>
      <c r="I158" s="1833">
        <f t="shared" si="93"/>
        <v>18448738.328091014</v>
      </c>
      <c r="J158" s="1833">
        <f t="shared" si="93"/>
        <v>0</v>
      </c>
      <c r="K158" s="1833">
        <f t="shared" si="93"/>
        <v>0</v>
      </c>
      <c r="L158" s="1833">
        <f t="shared" si="93"/>
        <v>0</v>
      </c>
      <c r="M158" s="1833">
        <f t="shared" si="93"/>
        <v>0</v>
      </c>
      <c r="N158" s="1833">
        <f t="shared" si="93"/>
        <v>0</v>
      </c>
    </row>
    <row r="159" spans="1:14">
      <c r="A159" s="1642"/>
      <c r="B159" s="1480"/>
      <c r="C159" s="1480"/>
      <c r="D159" s="1480"/>
      <c r="E159" s="1480"/>
      <c r="F159" s="1480"/>
      <c r="G159" s="1480"/>
      <c r="H159" s="1480"/>
      <c r="I159" s="1480"/>
      <c r="J159" s="1480"/>
      <c r="K159" s="1480"/>
      <c r="L159" s="1480"/>
      <c r="M159" s="1480"/>
      <c r="N159" s="1480"/>
    </row>
    <row r="160" spans="1:14">
      <c r="A160" s="1642"/>
      <c r="B160" s="1480"/>
      <c r="C160" s="1480"/>
      <c r="D160" s="1480"/>
      <c r="E160" s="1482" t="s">
        <v>5</v>
      </c>
      <c r="F160" s="1482" t="s">
        <v>6</v>
      </c>
      <c r="G160" s="1484" t="s">
        <v>7</v>
      </c>
      <c r="H160" s="1484" t="s">
        <v>13</v>
      </c>
      <c r="I160" s="1484" t="s">
        <v>14</v>
      </c>
      <c r="J160" s="1482" t="s">
        <v>15</v>
      </c>
      <c r="K160" s="1482" t="s">
        <v>16</v>
      </c>
      <c r="L160" s="1482" t="s">
        <v>17</v>
      </c>
      <c r="M160" s="1482" t="s">
        <v>18</v>
      </c>
      <c r="N160" s="1482" t="s">
        <v>19</v>
      </c>
    </row>
    <row r="161" spans="1:14">
      <c r="A161" s="1642"/>
      <c r="B161" s="1480"/>
      <c r="C161" s="1480"/>
      <c r="D161" s="1480"/>
      <c r="E161" s="1480"/>
      <c r="F161" s="1480"/>
      <c r="G161" s="1480"/>
      <c r="H161" s="1480"/>
      <c r="I161" s="1480"/>
      <c r="J161" s="1480"/>
      <c r="K161" s="1480"/>
      <c r="L161" s="1480"/>
      <c r="M161" s="1480"/>
      <c r="N161" s="1480"/>
    </row>
    <row r="162" spans="1:14">
      <c r="A162" s="1643" t="s">
        <v>1553</v>
      </c>
      <c r="B162" s="1480"/>
      <c r="C162" s="1480"/>
      <c r="D162" s="1480"/>
      <c r="E162" s="1480"/>
      <c r="F162" s="1480"/>
      <c r="G162" s="1480"/>
      <c r="H162" s="1480"/>
      <c r="I162" s="1480"/>
      <c r="J162" s="1480"/>
      <c r="K162" s="1480"/>
      <c r="L162" s="1480"/>
      <c r="M162" s="1480"/>
      <c r="N162" s="1480"/>
    </row>
    <row r="163" spans="1:14">
      <c r="A163" s="1642" t="s">
        <v>1555</v>
      </c>
      <c r="B163" s="1480"/>
      <c r="C163" s="1480"/>
      <c r="D163" s="1480"/>
      <c r="E163" s="1652">
        <f>E165*0.57</f>
        <v>9243497.9099999983</v>
      </c>
      <c r="F163" s="1652">
        <v>5338224.6599999946</v>
      </c>
      <c r="G163" s="1652">
        <f>G150</f>
        <v>10094788.412577663</v>
      </c>
      <c r="H163" s="1652">
        <f>H150</f>
        <v>6647474.6352088647</v>
      </c>
      <c r="I163" s="1652">
        <f>I150</f>
        <v>0</v>
      </c>
      <c r="J163" s="1652">
        <f>J150</f>
        <v>0</v>
      </c>
      <c r="K163" s="1652">
        <f>K150</f>
        <v>0</v>
      </c>
      <c r="L163" s="1652">
        <f>L150</f>
        <v>0</v>
      </c>
      <c r="M163" s="1652">
        <f>M150</f>
        <v>0</v>
      </c>
      <c r="N163" s="1652">
        <f>N150</f>
        <v>0</v>
      </c>
    </row>
    <row r="164" spans="1:14">
      <c r="A164" s="1642" t="s">
        <v>1549</v>
      </c>
      <c r="B164" s="1480"/>
      <c r="C164" s="1480"/>
      <c r="D164" s="1480"/>
      <c r="E164" s="1652">
        <f>E165-E163</f>
        <v>6973165.0900000017</v>
      </c>
      <c r="F164" s="1652">
        <v>7806784.1700000018</v>
      </c>
      <c r="G164" s="1652">
        <f>G154</f>
        <v>16021928.537603283</v>
      </c>
      <c r="H164" s="1652">
        <f t="shared" ref="H164:I164" si="94">H154</f>
        <v>20080259.404724915</v>
      </c>
      <c r="I164" s="1652">
        <f t="shared" si="94"/>
        <v>18448738.328091014</v>
      </c>
      <c r="J164" s="1652">
        <f t="shared" ref="J164:N164" si="95">J154</f>
        <v>0</v>
      </c>
      <c r="K164" s="1652">
        <f t="shared" si="95"/>
        <v>0</v>
      </c>
      <c r="L164" s="1652">
        <f t="shared" si="95"/>
        <v>0</v>
      </c>
      <c r="M164" s="1652">
        <f t="shared" si="95"/>
        <v>0</v>
      </c>
      <c r="N164" s="1652">
        <f t="shared" si="95"/>
        <v>0</v>
      </c>
    </row>
    <row r="165" spans="1:14">
      <c r="A165" s="1848" t="s">
        <v>54</v>
      </c>
      <c r="B165" s="1842"/>
      <c r="C165" s="1842"/>
      <c r="D165" s="1843"/>
      <c r="E165" s="1844">
        <f>'Manufacturing cost analysis'!AB26</f>
        <v>16216663</v>
      </c>
      <c r="F165" s="1653">
        <f>SUM(F163:F164)</f>
        <v>13145008.829999996</v>
      </c>
      <c r="G165" s="1653">
        <f>SUM(G163:G164)</f>
        <v>26116716.950180948</v>
      </c>
      <c r="H165" s="1653">
        <f>SUM(H163:H164)</f>
        <v>26727734.039933778</v>
      </c>
      <c r="I165" s="1653">
        <f>SUM(I163:I164)</f>
        <v>18448738.328091014</v>
      </c>
      <c r="J165" s="1653">
        <f t="shared" ref="J165:N165" si="96">SUM(J163:J164)</f>
        <v>0</v>
      </c>
      <c r="K165" s="1653">
        <f t="shared" si="96"/>
        <v>0</v>
      </c>
      <c r="L165" s="1653">
        <f t="shared" si="96"/>
        <v>0</v>
      </c>
      <c r="M165" s="1653">
        <f t="shared" si="96"/>
        <v>0</v>
      </c>
      <c r="N165" s="1653">
        <f t="shared" si="96"/>
        <v>0</v>
      </c>
    </row>
    <row r="166" spans="1:14">
      <c r="A166" s="1642"/>
      <c r="B166" s="1480"/>
      <c r="C166" s="1480"/>
      <c r="D166" s="1480"/>
      <c r="E166" s="1480"/>
      <c r="F166" s="1480"/>
      <c r="G166" s="1480"/>
      <c r="H166" s="1480"/>
      <c r="I166" s="1480"/>
      <c r="J166" s="1480"/>
      <c r="K166" s="1480"/>
      <c r="L166" s="1480"/>
      <c r="M166" s="1480"/>
      <c r="N166" s="1480"/>
    </row>
    <row r="167" spans="1:14">
      <c r="A167" s="1642" t="s">
        <v>1555</v>
      </c>
      <c r="B167" s="1480"/>
      <c r="C167" s="1480"/>
      <c r="D167" s="1480"/>
      <c r="E167" s="1649">
        <f>IFERROR(E163/E165,0)</f>
        <v>0.56999999999999984</v>
      </c>
      <c r="F167" s="1649">
        <f t="shared" ref="F167:N167" si="97">IFERROR(F163/F165,0)</f>
        <v>0.40610278235925656</v>
      </c>
      <c r="G167" s="1649">
        <f t="shared" si="97"/>
        <v>0.38652593401513746</v>
      </c>
      <c r="H167" s="1649">
        <f t="shared" si="97"/>
        <v>0.24871074462492423</v>
      </c>
      <c r="I167" s="1649">
        <f t="shared" si="97"/>
        <v>0</v>
      </c>
      <c r="J167" s="1649">
        <f t="shared" si="97"/>
        <v>0</v>
      </c>
      <c r="K167" s="1649">
        <f t="shared" si="97"/>
        <v>0</v>
      </c>
      <c r="L167" s="1649">
        <f t="shared" si="97"/>
        <v>0</v>
      </c>
      <c r="M167" s="1649">
        <f t="shared" si="97"/>
        <v>0</v>
      </c>
      <c r="N167" s="1649">
        <f t="shared" si="97"/>
        <v>0</v>
      </c>
    </row>
    <row r="168" spans="1:14">
      <c r="A168" s="1642" t="s">
        <v>1549</v>
      </c>
      <c r="B168" s="1480"/>
      <c r="C168" s="1480"/>
      <c r="D168" s="1480"/>
      <c r="E168" s="1649">
        <f>IFERROR(E164/E165,0)</f>
        <v>0.4300000000000001</v>
      </c>
      <c r="F168" s="1649">
        <f t="shared" ref="F168:N168" si="98">IFERROR(F164/F165,0)</f>
        <v>0.59389721764074344</v>
      </c>
      <c r="G168" s="1649">
        <f t="shared" si="98"/>
        <v>0.61347406598486254</v>
      </c>
      <c r="H168" s="1649">
        <f t="shared" si="98"/>
        <v>0.75128925537507574</v>
      </c>
      <c r="I168" s="1649">
        <f t="shared" si="98"/>
        <v>1</v>
      </c>
      <c r="J168" s="1649">
        <f t="shared" si="98"/>
        <v>0</v>
      </c>
      <c r="K168" s="1649">
        <f t="shared" si="98"/>
        <v>0</v>
      </c>
      <c r="L168" s="1649">
        <f t="shared" si="98"/>
        <v>0</v>
      </c>
      <c r="M168" s="1649">
        <f t="shared" si="98"/>
        <v>0</v>
      </c>
      <c r="N168" s="1649">
        <f t="shared" si="98"/>
        <v>0</v>
      </c>
    </row>
    <row r="169" spans="1:14">
      <c r="A169" s="1642"/>
      <c r="B169" s="1480"/>
      <c r="C169" s="1480"/>
      <c r="D169" s="1480"/>
      <c r="E169" s="1480"/>
      <c r="F169" s="1480"/>
      <c r="G169" s="1480"/>
      <c r="H169" s="1480"/>
      <c r="I169" s="1480"/>
      <c r="J169" s="1480"/>
      <c r="K169" s="1480"/>
      <c r="L169" s="1480"/>
      <c r="M169" s="1480"/>
      <c r="N169" s="1480"/>
    </row>
    <row r="170" spans="1:14">
      <c r="A170" s="1643" t="s">
        <v>1726</v>
      </c>
      <c r="B170" s="1480"/>
      <c r="C170" s="1480"/>
      <c r="D170" s="1480"/>
      <c r="E170" s="1480"/>
      <c r="F170" s="1480"/>
      <c r="G170" s="1480"/>
      <c r="H170" s="1480"/>
      <c r="I170" s="1480"/>
      <c r="J170" s="1480"/>
      <c r="K170" s="1480"/>
      <c r="L170" s="1480"/>
      <c r="M170" s="1480"/>
      <c r="N170" s="1480"/>
    </row>
    <row r="171" spans="1:14">
      <c r="A171" s="1642" t="s">
        <v>1555</v>
      </c>
      <c r="B171" s="1480"/>
      <c r="C171" s="1480"/>
      <c r="D171" s="1480"/>
      <c r="E171" s="1652"/>
      <c r="F171" s="1652">
        <v>8898543.1400000006</v>
      </c>
      <c r="G171" s="1652">
        <f>G173*(G$230/(1+G$230))</f>
        <v>7977382.1747562103</v>
      </c>
      <c r="H171" s="1652">
        <f t="shared" ref="H171:N171" si="99">H173*(H$230/(1+H$230))</f>
        <v>6094051.5957446815</v>
      </c>
      <c r="I171" s="1652">
        <f t="shared" si="99"/>
        <v>0</v>
      </c>
      <c r="J171" s="1652">
        <f t="shared" si="99"/>
        <v>0</v>
      </c>
      <c r="K171" s="1652">
        <f t="shared" si="99"/>
        <v>0</v>
      </c>
      <c r="L171" s="1652">
        <f t="shared" si="99"/>
        <v>0</v>
      </c>
      <c r="M171" s="1652">
        <f t="shared" si="99"/>
        <v>0</v>
      </c>
      <c r="N171" s="1652">
        <f t="shared" si="99"/>
        <v>0</v>
      </c>
    </row>
    <row r="172" spans="1:14">
      <c r="A172" s="1642" t="s">
        <v>1549</v>
      </c>
      <c r="B172" s="1480"/>
      <c r="C172" s="1480"/>
      <c r="D172" s="1480"/>
      <c r="E172" s="1652"/>
      <c r="F172" s="1652">
        <v>6879147</v>
      </c>
      <c r="G172" s="1652">
        <f>G173/(G$230+1)</f>
        <v>8941781.5852437876</v>
      </c>
      <c r="H172" s="1652">
        <f t="shared" ref="H172:N172" si="100">H173/(H$230+1)</f>
        <v>13000643.404255319</v>
      </c>
      <c r="I172" s="1652">
        <f t="shared" si="100"/>
        <v>9820616</v>
      </c>
      <c r="J172" s="1652">
        <f t="shared" si="100"/>
        <v>0</v>
      </c>
      <c r="K172" s="1652">
        <f t="shared" si="100"/>
        <v>0</v>
      </c>
      <c r="L172" s="1652">
        <f t="shared" si="100"/>
        <v>0</v>
      </c>
      <c r="M172" s="1652">
        <f t="shared" si="100"/>
        <v>0</v>
      </c>
      <c r="N172" s="1652">
        <f t="shared" si="100"/>
        <v>0</v>
      </c>
    </row>
    <row r="173" spans="1:14">
      <c r="A173" s="1848" t="s">
        <v>54</v>
      </c>
      <c r="B173" s="1842"/>
      <c r="C173" s="1842"/>
      <c r="D173" s="1842"/>
      <c r="E173" s="1844"/>
      <c r="F173" s="1653">
        <f>SUM(F171:F172)</f>
        <v>15777690.140000001</v>
      </c>
      <c r="G173" s="1836">
        <f>SUM('Manufacturing cost analysis'!AH28:AH29)</f>
        <v>16919163.759999998</v>
      </c>
      <c r="H173" s="1836">
        <f>SUM('Manufacturing cost analysis'!AK28:AK29)</f>
        <v>19094695</v>
      </c>
      <c r="I173" s="1836">
        <f>SUM('Manufacturing cost analysis'!AN28:AN29)</f>
        <v>9820616</v>
      </c>
      <c r="J173" s="1653">
        <v>0</v>
      </c>
      <c r="K173" s="1653">
        <v>0</v>
      </c>
      <c r="L173" s="1653">
        <v>0</v>
      </c>
      <c r="M173" s="1653">
        <v>0</v>
      </c>
      <c r="N173" s="1653">
        <v>0</v>
      </c>
    </row>
    <row r="174" spans="1:14">
      <c r="A174" s="1642"/>
      <c r="B174" s="1480"/>
      <c r="C174" s="1480"/>
      <c r="D174" s="1480"/>
      <c r="E174" s="1652"/>
      <c r="F174" s="1652"/>
      <c r="G174" s="1652"/>
      <c r="H174" s="1652"/>
      <c r="I174" s="1652"/>
      <c r="J174" s="1652"/>
      <c r="K174" s="1652"/>
      <c r="L174" s="1652"/>
      <c r="M174" s="1652"/>
      <c r="N174" s="1652"/>
    </row>
    <row r="175" spans="1:14">
      <c r="A175" s="1642" t="s">
        <v>1555</v>
      </c>
      <c r="B175" s="1480"/>
      <c r="C175" s="1480"/>
      <c r="D175" s="1480"/>
      <c r="E175" s="1649">
        <f>IFERROR(E171/E173,0)</f>
        <v>0</v>
      </c>
      <c r="F175" s="1649">
        <f t="shared" ref="F175:N175" si="101">IFERROR(F171/F173,0)</f>
        <v>0.56399530356095584</v>
      </c>
      <c r="G175" s="1649">
        <f t="shared" si="101"/>
        <v>0.47149979088305788</v>
      </c>
      <c r="H175" s="1649">
        <f t="shared" si="101"/>
        <v>0.31914893617021278</v>
      </c>
      <c r="I175" s="1649">
        <f t="shared" si="101"/>
        <v>0</v>
      </c>
      <c r="J175" s="1649">
        <f t="shared" si="101"/>
        <v>0</v>
      </c>
      <c r="K175" s="1649">
        <f t="shared" si="101"/>
        <v>0</v>
      </c>
      <c r="L175" s="1649">
        <f t="shared" si="101"/>
        <v>0</v>
      </c>
      <c r="M175" s="1649">
        <f t="shared" si="101"/>
        <v>0</v>
      </c>
      <c r="N175" s="1649">
        <f t="shared" si="101"/>
        <v>0</v>
      </c>
    </row>
    <row r="176" spans="1:14">
      <c r="A176" s="1642" t="s">
        <v>1549</v>
      </c>
      <c r="B176" s="1480"/>
      <c r="C176" s="1480"/>
      <c r="D176" s="1480"/>
      <c r="E176" s="1649">
        <f>IFERROR(E172/E173,0)</f>
        <v>0</v>
      </c>
      <c r="F176" s="1649">
        <f t="shared" ref="F176:N176" si="102">IFERROR(F172/F173,0)</f>
        <v>0.43600469643904416</v>
      </c>
      <c r="G176" s="1649">
        <f t="shared" si="102"/>
        <v>0.52850020911694207</v>
      </c>
      <c r="H176" s="1649">
        <f t="shared" si="102"/>
        <v>0.68085106382978722</v>
      </c>
      <c r="I176" s="1649">
        <f t="shared" si="102"/>
        <v>1</v>
      </c>
      <c r="J176" s="1649">
        <f t="shared" si="102"/>
        <v>0</v>
      </c>
      <c r="K176" s="1649">
        <f t="shared" si="102"/>
        <v>0</v>
      </c>
      <c r="L176" s="1649">
        <f t="shared" si="102"/>
        <v>0</v>
      </c>
      <c r="M176" s="1649">
        <f t="shared" si="102"/>
        <v>0</v>
      </c>
      <c r="N176" s="1649">
        <f t="shared" si="102"/>
        <v>0</v>
      </c>
    </row>
    <row r="177" spans="1:14">
      <c r="A177" s="1642"/>
      <c r="B177" s="1480"/>
      <c r="C177" s="1480"/>
      <c r="D177" s="1480"/>
      <c r="E177" s="1480"/>
      <c r="F177" s="1480"/>
      <c r="G177" s="1480"/>
      <c r="H177" s="1480"/>
      <c r="I177" s="1480"/>
      <c r="J177" s="1480"/>
      <c r="K177" s="1480"/>
      <c r="L177" s="1480"/>
      <c r="M177" s="1480"/>
      <c r="N177" s="1480"/>
    </row>
    <row r="178" spans="1:14">
      <c r="A178" s="1642"/>
      <c r="B178" s="1480"/>
      <c r="C178" s="1480"/>
      <c r="D178" s="1480"/>
      <c r="E178" s="1480"/>
      <c r="F178" s="1480"/>
      <c r="G178" s="1480"/>
      <c r="H178" s="1480"/>
      <c r="I178" s="1480"/>
      <c r="J178" s="1480"/>
      <c r="K178" s="1480"/>
      <c r="L178" s="1480"/>
      <c r="M178" s="1480"/>
      <c r="N178" s="1480"/>
    </row>
    <row r="179" spans="1:14">
      <c r="A179" s="1643" t="s">
        <v>1554</v>
      </c>
      <c r="B179" s="1480"/>
      <c r="C179" s="1480"/>
      <c r="D179" s="1480"/>
      <c r="E179" s="1484" t="s">
        <v>1758</v>
      </c>
      <c r="F179" s="1480"/>
      <c r="G179" s="1480"/>
      <c r="H179" s="1480"/>
      <c r="I179" s="1480"/>
      <c r="J179" s="1480"/>
      <c r="K179" s="1480"/>
      <c r="L179" s="1480"/>
      <c r="M179" s="1480"/>
      <c r="N179" s="1480"/>
    </row>
    <row r="180" spans="1:14">
      <c r="A180" s="1642" t="s">
        <v>1555</v>
      </c>
      <c r="B180" s="1480"/>
      <c r="C180" s="1480"/>
      <c r="D180" s="1480"/>
      <c r="E180" s="1837">
        <f>E182*0.58</f>
        <v>17351704.559999999</v>
      </c>
      <c r="F180" s="1652">
        <v>7860653</v>
      </c>
      <c r="G180" s="1652">
        <f>G182*(G$230/(1+G$230))</f>
        <v>8605736.230137147</v>
      </c>
      <c r="H180" s="1652">
        <f t="shared" ref="H180:N180" si="103">H182*(H$230/(1+H$230))</f>
        <v>4983416.9838504624</v>
      </c>
      <c r="I180" s="1652">
        <f t="shared" si="103"/>
        <v>0</v>
      </c>
      <c r="J180" s="1652">
        <f t="shared" si="103"/>
        <v>0</v>
      </c>
      <c r="K180" s="1652">
        <f t="shared" si="103"/>
        <v>0</v>
      </c>
      <c r="L180" s="1652">
        <f t="shared" si="103"/>
        <v>0</v>
      </c>
      <c r="M180" s="1652">
        <f t="shared" si="103"/>
        <v>0</v>
      </c>
      <c r="N180" s="1652">
        <f t="shared" si="103"/>
        <v>0</v>
      </c>
    </row>
    <row r="181" spans="1:14">
      <c r="A181" s="1642" t="s">
        <v>1549</v>
      </c>
      <c r="B181" s="1480"/>
      <c r="C181" s="1480"/>
      <c r="D181" s="1480"/>
      <c r="E181" s="1837">
        <f>E182-E180</f>
        <v>12565027.440000001</v>
      </c>
      <c r="F181" s="1652">
        <v>6535366</v>
      </c>
      <c r="G181" s="1652">
        <f>G182/(G$230+1)</f>
        <v>9646098.4398628566</v>
      </c>
      <c r="H181" s="1652">
        <f t="shared" ref="H181:N181" si="104">H182/(H$230+1)</f>
        <v>10631289.565547653</v>
      </c>
      <c r="I181" s="1652">
        <f t="shared" si="104"/>
        <v>11999234.63562868</v>
      </c>
      <c r="J181" s="1652">
        <f t="shared" si="104"/>
        <v>0</v>
      </c>
      <c r="K181" s="1652">
        <f t="shared" si="104"/>
        <v>0</v>
      </c>
      <c r="L181" s="1652">
        <f t="shared" si="104"/>
        <v>0</v>
      </c>
      <c r="M181" s="1652">
        <f t="shared" si="104"/>
        <v>0</v>
      </c>
      <c r="N181" s="1652">
        <f t="shared" si="104"/>
        <v>0</v>
      </c>
    </row>
    <row r="182" spans="1:14">
      <c r="A182" s="1848" t="s">
        <v>54</v>
      </c>
      <c r="B182" s="1842"/>
      <c r="C182" s="1842"/>
      <c r="D182" s="1842"/>
      <c r="E182" s="1845">
        <f>E190-E165</f>
        <v>29916732</v>
      </c>
      <c r="F182" s="1653">
        <f>SUM(F180:F181)</f>
        <v>14396019</v>
      </c>
      <c r="G182" s="1836">
        <f>'Manufacturing cost analysis'!AH55</f>
        <v>18251834.670000002</v>
      </c>
      <c r="H182" s="1836">
        <f>'Manufacturing cost analysis'!AK55</f>
        <v>15614706.549398115</v>
      </c>
      <c r="I182" s="1836">
        <f>'Manufacturing cost analysis'!AN55</f>
        <v>11999234.63562868</v>
      </c>
      <c r="J182" s="1653">
        <v>0</v>
      </c>
      <c r="K182" s="1653">
        <v>0</v>
      </c>
      <c r="L182" s="1653">
        <v>0</v>
      </c>
      <c r="M182" s="1653">
        <v>0</v>
      </c>
      <c r="N182" s="1653">
        <v>0</v>
      </c>
    </row>
    <row r="183" spans="1:14">
      <c r="A183" s="1642"/>
      <c r="B183" s="1480"/>
      <c r="C183" s="1480"/>
      <c r="D183" s="1480"/>
      <c r="E183" s="1652"/>
      <c r="F183" s="1652"/>
      <c r="G183" s="1652"/>
      <c r="H183" s="1652"/>
      <c r="I183" s="1652"/>
      <c r="J183" s="1652"/>
      <c r="K183" s="1652"/>
      <c r="L183" s="1652"/>
      <c r="M183" s="1652"/>
      <c r="N183" s="1652"/>
    </row>
    <row r="184" spans="1:14">
      <c r="A184" s="1642" t="s">
        <v>1555</v>
      </c>
      <c r="B184" s="1480"/>
      <c r="C184" s="1480"/>
      <c r="D184" s="1480"/>
      <c r="E184" s="1649">
        <f>IFERROR(E180/E182,0)</f>
        <v>0.57999999999999996</v>
      </c>
      <c r="F184" s="1649">
        <f t="shared" ref="F184:N184" si="105">IFERROR(F180/F182,0)</f>
        <v>0.54602963499839785</v>
      </c>
      <c r="G184" s="1649">
        <f t="shared" si="105"/>
        <v>0.47149979088305788</v>
      </c>
      <c r="H184" s="1649">
        <f t="shared" si="105"/>
        <v>0.31914893617021278</v>
      </c>
      <c r="I184" s="1649">
        <f t="shared" si="105"/>
        <v>0</v>
      </c>
      <c r="J184" s="1649">
        <f t="shared" si="105"/>
        <v>0</v>
      </c>
      <c r="K184" s="1649">
        <f t="shared" si="105"/>
        <v>0</v>
      </c>
      <c r="L184" s="1649">
        <f t="shared" si="105"/>
        <v>0</v>
      </c>
      <c r="M184" s="1649">
        <f t="shared" si="105"/>
        <v>0</v>
      </c>
      <c r="N184" s="1649">
        <f t="shared" si="105"/>
        <v>0</v>
      </c>
    </row>
    <row r="185" spans="1:14">
      <c r="A185" s="1642" t="s">
        <v>1549</v>
      </c>
      <c r="B185" s="1480"/>
      <c r="C185" s="1480"/>
      <c r="D185" s="1480"/>
      <c r="E185" s="1649">
        <f>IFERROR(E181/E182,0)</f>
        <v>0.42000000000000004</v>
      </c>
      <c r="F185" s="1649">
        <f t="shared" ref="F185:N185" si="106">IFERROR(F181/F182,0)</f>
        <v>0.45397036500160221</v>
      </c>
      <c r="G185" s="1649">
        <f t="shared" si="106"/>
        <v>0.52850020911694218</v>
      </c>
      <c r="H185" s="1649">
        <f t="shared" si="106"/>
        <v>0.68085106382978722</v>
      </c>
      <c r="I185" s="1649">
        <f t="shared" si="106"/>
        <v>1</v>
      </c>
      <c r="J185" s="1649">
        <f t="shared" si="106"/>
        <v>0</v>
      </c>
      <c r="K185" s="1649">
        <f t="shared" si="106"/>
        <v>0</v>
      </c>
      <c r="L185" s="1649">
        <f t="shared" si="106"/>
        <v>0</v>
      </c>
      <c r="M185" s="1649">
        <f t="shared" si="106"/>
        <v>0</v>
      </c>
      <c r="N185" s="1649">
        <f t="shared" si="106"/>
        <v>0</v>
      </c>
    </row>
    <row r="186" spans="1:14">
      <c r="A186" s="1642"/>
      <c r="B186" s="1480"/>
      <c r="C186" s="1480"/>
      <c r="D186" s="1480"/>
      <c r="E186" s="1480"/>
      <c r="F186" s="1480"/>
      <c r="G186" s="1480"/>
      <c r="H186" s="1480"/>
      <c r="I186" s="1480"/>
      <c r="J186" s="1480"/>
      <c r="K186" s="1480"/>
      <c r="L186" s="1480"/>
      <c r="M186" s="1480"/>
      <c r="N186" s="1480"/>
    </row>
    <row r="187" spans="1:14">
      <c r="A187" s="1643" t="s">
        <v>1556</v>
      </c>
      <c r="B187" s="1480"/>
      <c r="C187" s="1480"/>
      <c r="D187" s="1480"/>
      <c r="E187" s="1480"/>
      <c r="F187" s="1480"/>
      <c r="G187" s="1480"/>
      <c r="H187" s="1480"/>
      <c r="I187" s="1480"/>
      <c r="J187" s="1480"/>
      <c r="K187" s="1480"/>
      <c r="L187" s="1480"/>
      <c r="M187" s="1480"/>
      <c r="N187" s="1480"/>
    </row>
    <row r="188" spans="1:14">
      <c r="A188" s="1642" t="s">
        <v>1555</v>
      </c>
      <c r="B188" s="1480"/>
      <c r="C188" s="1480"/>
      <c r="D188" s="1480"/>
      <c r="E188" s="1652">
        <v>28687737.60548304</v>
      </c>
      <c r="F188" s="1652">
        <f>F163+F171+F180</f>
        <v>22097420.799999997</v>
      </c>
      <c r="G188" s="1652">
        <f t="shared" ref="G188:N188" si="107">G163+G171+G180</f>
        <v>26677906.81747102</v>
      </c>
      <c r="H188" s="1652">
        <f t="shared" si="107"/>
        <v>17724943.214804009</v>
      </c>
      <c r="I188" s="1652">
        <f t="shared" si="107"/>
        <v>0</v>
      </c>
      <c r="J188" s="1652">
        <f t="shared" si="107"/>
        <v>0</v>
      </c>
      <c r="K188" s="1652">
        <f t="shared" si="107"/>
        <v>0</v>
      </c>
      <c r="L188" s="1652">
        <f t="shared" si="107"/>
        <v>0</v>
      </c>
      <c r="M188" s="1652">
        <f t="shared" si="107"/>
        <v>0</v>
      </c>
      <c r="N188" s="1652">
        <f t="shared" si="107"/>
        <v>0</v>
      </c>
    </row>
    <row r="189" spans="1:14">
      <c r="A189" s="1642" t="s">
        <v>1549</v>
      </c>
      <c r="B189" s="1480"/>
      <c r="C189" s="1480"/>
      <c r="D189" s="1480"/>
      <c r="E189" s="1652">
        <v>17445657.39451696</v>
      </c>
      <c r="F189" s="1652">
        <f>F164+F172+F181</f>
        <v>21221297.170000002</v>
      </c>
      <c r="G189" s="1652">
        <f t="shared" ref="G189:N189" si="108">G164+G172+G181</f>
        <v>34609808.562709928</v>
      </c>
      <c r="H189" s="1652">
        <f t="shared" si="108"/>
        <v>43712192.374527887</v>
      </c>
      <c r="I189" s="1652">
        <f t="shared" si="108"/>
        <v>40268588.963719696</v>
      </c>
      <c r="J189" s="1652">
        <f t="shared" si="108"/>
        <v>0</v>
      </c>
      <c r="K189" s="1652">
        <f t="shared" si="108"/>
        <v>0</v>
      </c>
      <c r="L189" s="1652">
        <f t="shared" si="108"/>
        <v>0</v>
      </c>
      <c r="M189" s="1652">
        <f t="shared" si="108"/>
        <v>0</v>
      </c>
      <c r="N189" s="1652">
        <f t="shared" si="108"/>
        <v>0</v>
      </c>
    </row>
    <row r="190" spans="1:14">
      <c r="A190" s="1848" t="s">
        <v>54</v>
      </c>
      <c r="B190" s="1842"/>
      <c r="C190" s="1842"/>
      <c r="D190" s="1842"/>
      <c r="E190" s="1844">
        <f>'Manufacturing cost analysis'!AB58</f>
        <v>46133395</v>
      </c>
      <c r="F190" s="1653">
        <f>SUM(F188:F189)</f>
        <v>43318717.969999999</v>
      </c>
      <c r="G190" s="1653">
        <f>'Manufacturing cost analysis'!AH58+'Manufacturing cost analysis'!AU58</f>
        <v>205517675.97169191</v>
      </c>
      <c r="H190" s="1654">
        <f>SUM(H188:H189)</f>
        <v>61437135.589331895</v>
      </c>
      <c r="I190" s="1654">
        <f>SUM(I188:I189)</f>
        <v>40268588.963719696</v>
      </c>
      <c r="J190" s="1653">
        <f>'Manufacturing cost analysis'!BG58</f>
        <v>196974900.01951188</v>
      </c>
      <c r="K190" s="1653">
        <f>'Manufacturing cost analysis'!BK58</f>
        <v>208236838.74592766</v>
      </c>
      <c r="L190" s="1653">
        <f>'Manufacturing cost analysis'!BO58</f>
        <v>213458922.2387605</v>
      </c>
      <c r="M190" s="1653">
        <f>'Manufacturing cost analysis'!BS58</f>
        <v>225707033.28206599</v>
      </c>
      <c r="N190" s="1653">
        <f>'Manufacturing cost analysis'!BW58</f>
        <v>238213019.98234576</v>
      </c>
    </row>
    <row r="191" spans="1:14">
      <c r="A191" s="1642"/>
      <c r="B191" s="1480"/>
      <c r="C191" s="1480"/>
      <c r="D191" s="1480"/>
      <c r="E191" s="1480"/>
      <c r="F191" s="1480"/>
      <c r="G191" s="1480"/>
      <c r="H191" s="1480"/>
      <c r="I191" s="1480"/>
      <c r="J191" s="1480"/>
      <c r="K191" s="1480"/>
      <c r="L191" s="1480"/>
      <c r="M191" s="1480"/>
      <c r="N191" s="1480"/>
    </row>
    <row r="192" spans="1:14">
      <c r="A192" s="1642" t="s">
        <v>1555</v>
      </c>
      <c r="B192" s="1480"/>
      <c r="C192" s="1480"/>
      <c r="D192" s="1480"/>
      <c r="E192" s="1649">
        <f>IFERROR(E188/E190,0)</f>
        <v>0.62184319201920957</v>
      </c>
      <c r="F192" s="1649">
        <f t="shared" ref="F192:N192" si="109">IFERROR(F188/F190,0)</f>
        <v>0.51011252953754016</v>
      </c>
      <c r="G192" s="1649">
        <f t="shared" si="109"/>
        <v>0.12980833250151022</v>
      </c>
      <c r="H192" s="1649">
        <f t="shared" si="109"/>
        <v>0.28850536478920435</v>
      </c>
      <c r="I192" s="1649">
        <f t="shared" si="109"/>
        <v>0</v>
      </c>
      <c r="J192" s="1649">
        <f t="shared" si="109"/>
        <v>0</v>
      </c>
      <c r="K192" s="1649">
        <f t="shared" si="109"/>
        <v>0</v>
      </c>
      <c r="L192" s="1649">
        <f t="shared" si="109"/>
        <v>0</v>
      </c>
      <c r="M192" s="1649">
        <f t="shared" si="109"/>
        <v>0</v>
      </c>
      <c r="N192" s="1649">
        <f t="shared" si="109"/>
        <v>0</v>
      </c>
    </row>
    <row r="193" spans="1:14">
      <c r="A193" s="1642" t="s">
        <v>1549</v>
      </c>
      <c r="B193" s="1480"/>
      <c r="C193" s="1480"/>
      <c r="D193" s="1480"/>
      <c r="E193" s="1649">
        <f>IFERROR(E189/E190,0)</f>
        <v>0.37815680798079049</v>
      </c>
      <c r="F193" s="1649">
        <f t="shared" ref="F193:N193" si="110">IFERROR(F189/F190,0)</f>
        <v>0.48988747046245984</v>
      </c>
      <c r="G193" s="1649">
        <f t="shared" si="110"/>
        <v>0.16840307481618805</v>
      </c>
      <c r="H193" s="1649">
        <f t="shared" si="110"/>
        <v>0.71149463521079559</v>
      </c>
      <c r="I193" s="1649">
        <f t="shared" si="110"/>
        <v>1</v>
      </c>
      <c r="J193" s="1649">
        <f t="shared" si="110"/>
        <v>0</v>
      </c>
      <c r="K193" s="1649">
        <f t="shared" si="110"/>
        <v>0</v>
      </c>
      <c r="L193" s="1649">
        <f t="shared" si="110"/>
        <v>0</v>
      </c>
      <c r="M193" s="1649">
        <f t="shared" si="110"/>
        <v>0</v>
      </c>
      <c r="N193" s="1649">
        <f t="shared" si="110"/>
        <v>0</v>
      </c>
    </row>
    <row r="194" spans="1:14">
      <c r="A194" s="1642"/>
      <c r="B194" s="1480"/>
      <c r="C194" s="1480"/>
      <c r="D194" s="1480"/>
      <c r="E194" s="1480"/>
      <c r="F194" s="1480"/>
      <c r="G194" s="1480"/>
      <c r="H194" s="1480"/>
      <c r="I194" s="1480"/>
      <c r="J194" s="1480"/>
      <c r="K194" s="1480"/>
      <c r="L194" s="1480"/>
      <c r="M194" s="1480"/>
      <c r="N194" s="1480"/>
    </row>
    <row r="195" spans="1:14">
      <c r="A195" s="1643" t="s">
        <v>1550</v>
      </c>
      <c r="B195" s="1480"/>
      <c r="C195" s="1480"/>
      <c r="D195" s="1480"/>
      <c r="E195" s="1480"/>
      <c r="F195" s="1480"/>
      <c r="G195" s="1480"/>
      <c r="H195" s="1480"/>
      <c r="I195" s="1480"/>
      <c r="J195" s="1480"/>
      <c r="K195" s="1480"/>
      <c r="L195" s="1480"/>
      <c r="M195" s="1480"/>
      <c r="N195" s="1480"/>
    </row>
    <row r="196" spans="1:14">
      <c r="A196" s="1642" t="s">
        <v>1555</v>
      </c>
      <c r="B196" s="1480"/>
      <c r="C196" s="1480"/>
      <c r="D196" s="1480"/>
      <c r="E196" s="1655">
        <f>E41+E43</f>
        <v>58022404</v>
      </c>
      <c r="F196" s="1655">
        <f>F41+F43</f>
        <v>47219076</v>
      </c>
      <c r="G196" s="1655">
        <f>G41+G43</f>
        <v>79725974.259949207</v>
      </c>
      <c r="H196" s="1655">
        <f>H41+H43</f>
        <v>50000000</v>
      </c>
      <c r="I196" s="1655">
        <f>I41+I43</f>
        <v>0</v>
      </c>
      <c r="J196" s="1655">
        <f>J41+J43</f>
        <v>0</v>
      </c>
      <c r="K196" s="1655">
        <f>K41+K43</f>
        <v>0</v>
      </c>
      <c r="L196" s="1655">
        <f>L41+L43</f>
        <v>0</v>
      </c>
      <c r="M196" s="1655">
        <f>M41+M43</f>
        <v>0</v>
      </c>
      <c r="N196" s="1655">
        <f>N41+N43</f>
        <v>0</v>
      </c>
    </row>
    <row r="197" spans="1:14">
      <c r="A197" s="1642" t="s">
        <v>1549</v>
      </c>
      <c r="B197" s="1480"/>
      <c r="C197" s="1480"/>
      <c r="D197" s="1480"/>
      <c r="E197" s="1655">
        <f>E42</f>
        <v>63072150</v>
      </c>
      <c r="F197" s="1655">
        <f>F42</f>
        <v>73152666</v>
      </c>
      <c r="G197" s="1655">
        <f>G42</f>
        <v>134046276</v>
      </c>
      <c r="H197" s="1655">
        <f>H42</f>
        <v>160000000</v>
      </c>
      <c r="I197" s="1655">
        <f>I42</f>
        <v>140000000</v>
      </c>
      <c r="J197" s="1655">
        <f>J42</f>
        <v>0</v>
      </c>
      <c r="K197" s="1655">
        <f>K42</f>
        <v>0</v>
      </c>
      <c r="L197" s="1655">
        <f>L42</f>
        <v>0</v>
      </c>
      <c r="M197" s="1655">
        <f>M42</f>
        <v>0</v>
      </c>
      <c r="N197" s="1655">
        <f>N42</f>
        <v>0</v>
      </c>
    </row>
    <row r="198" spans="1:14">
      <c r="A198" s="1848" t="s">
        <v>54</v>
      </c>
      <c r="B198" s="1842"/>
      <c r="C198" s="1842"/>
      <c r="D198" s="1842"/>
      <c r="E198" s="1846">
        <f>SUM(E196:E197)</f>
        <v>121094554</v>
      </c>
      <c r="F198" s="1656">
        <f t="shared" ref="F198:N198" si="111">SUM(F196:F197)</f>
        <v>120371742</v>
      </c>
      <c r="G198" s="1656">
        <f t="shared" si="111"/>
        <v>213772250.25994921</v>
      </c>
      <c r="H198" s="1656">
        <f t="shared" si="111"/>
        <v>210000000</v>
      </c>
      <c r="I198" s="1656">
        <f t="shared" si="111"/>
        <v>140000000</v>
      </c>
      <c r="J198" s="1656">
        <f t="shared" si="111"/>
        <v>0</v>
      </c>
      <c r="K198" s="1656">
        <f t="shared" si="111"/>
        <v>0</v>
      </c>
      <c r="L198" s="1656">
        <f t="shared" si="111"/>
        <v>0</v>
      </c>
      <c r="M198" s="1656">
        <f t="shared" si="111"/>
        <v>0</v>
      </c>
      <c r="N198" s="1656">
        <f t="shared" si="111"/>
        <v>0</v>
      </c>
    </row>
    <row r="199" spans="1:14">
      <c r="A199" s="1642"/>
      <c r="B199" s="1480"/>
      <c r="C199" s="1480"/>
      <c r="D199" s="1480"/>
      <c r="E199" s="1480"/>
      <c r="F199" s="1480"/>
      <c r="G199" s="1480"/>
      <c r="H199" s="1480"/>
      <c r="I199" s="1480"/>
      <c r="J199" s="1480"/>
      <c r="K199" s="1480"/>
      <c r="L199" s="1480"/>
      <c r="M199" s="1480"/>
      <c r="N199" s="1480"/>
    </row>
    <row r="200" spans="1:14">
      <c r="A200" s="1642" t="s">
        <v>1555</v>
      </c>
      <c r="B200" s="1480"/>
      <c r="C200" s="1480"/>
      <c r="D200" s="1480"/>
      <c r="E200" s="1649">
        <f>IFERROR(E196/E198,0)</f>
        <v>0.47914957430703281</v>
      </c>
      <c r="F200" s="1649">
        <f t="shared" ref="F200:N200" si="112">IFERROR(F196/F198,0)</f>
        <v>0.39227708443398618</v>
      </c>
      <c r="G200" s="1649">
        <f t="shared" si="112"/>
        <v>0.37294819212035996</v>
      </c>
      <c r="H200" s="1649">
        <f t="shared" si="112"/>
        <v>0.23809523809523808</v>
      </c>
      <c r="I200" s="1649">
        <f t="shared" si="112"/>
        <v>0</v>
      </c>
      <c r="J200" s="1649">
        <f t="shared" si="112"/>
        <v>0</v>
      </c>
      <c r="K200" s="1649">
        <f t="shared" si="112"/>
        <v>0</v>
      </c>
      <c r="L200" s="1649">
        <f t="shared" si="112"/>
        <v>0</v>
      </c>
      <c r="M200" s="1649">
        <f t="shared" si="112"/>
        <v>0</v>
      </c>
      <c r="N200" s="1649">
        <f t="shared" si="112"/>
        <v>0</v>
      </c>
    </row>
    <row r="201" spans="1:14">
      <c r="A201" s="1642" t="s">
        <v>1549</v>
      </c>
      <c r="B201" s="1480"/>
      <c r="C201" s="1480"/>
      <c r="D201" s="1480"/>
      <c r="E201" s="1649">
        <f>IFERROR(E197/E198,0)</f>
        <v>0.52085042569296713</v>
      </c>
      <c r="F201" s="1649">
        <f t="shared" ref="F201:N201" si="113">IFERROR(F197/F198,0)</f>
        <v>0.60772291556601388</v>
      </c>
      <c r="G201" s="1649">
        <f t="shared" si="113"/>
        <v>0.62705180787963999</v>
      </c>
      <c r="H201" s="1649">
        <f t="shared" si="113"/>
        <v>0.76190476190476186</v>
      </c>
      <c r="I201" s="1649">
        <f t="shared" si="113"/>
        <v>1</v>
      </c>
      <c r="J201" s="1649">
        <f t="shared" si="113"/>
        <v>0</v>
      </c>
      <c r="K201" s="1649">
        <f t="shared" si="113"/>
        <v>0</v>
      </c>
      <c r="L201" s="1649">
        <f t="shared" si="113"/>
        <v>0</v>
      </c>
      <c r="M201" s="1649">
        <f t="shared" si="113"/>
        <v>0</v>
      </c>
      <c r="N201" s="1649">
        <f t="shared" si="113"/>
        <v>0</v>
      </c>
    </row>
    <row r="202" spans="1:14">
      <c r="A202" s="1642"/>
      <c r="B202" s="1480"/>
      <c r="C202" s="1480"/>
      <c r="D202" s="1480"/>
      <c r="E202" s="1480"/>
      <c r="F202" s="1480"/>
      <c r="G202" s="1480"/>
      <c r="H202" s="1480"/>
      <c r="I202" s="1480"/>
      <c r="J202" s="1480"/>
      <c r="K202" s="1480"/>
      <c r="L202" s="1480"/>
      <c r="M202" s="1480"/>
      <c r="N202" s="1480"/>
    </row>
    <row r="203" spans="1:14">
      <c r="A203" s="1643" t="s">
        <v>1557</v>
      </c>
      <c r="B203" s="1480"/>
      <c r="C203" s="1480"/>
      <c r="D203" s="1480"/>
      <c r="E203" s="1480"/>
      <c r="F203" s="1480"/>
      <c r="G203" s="1480"/>
      <c r="H203" s="1480"/>
      <c r="I203" s="1480"/>
      <c r="J203" s="1480"/>
      <c r="K203" s="1480"/>
      <c r="L203" s="1480"/>
      <c r="M203" s="1480"/>
      <c r="N203" s="1480"/>
    </row>
    <row r="204" spans="1:14">
      <c r="A204" s="1642" t="s">
        <v>1555</v>
      </c>
      <c r="B204" s="1480"/>
      <c r="C204" s="1480"/>
      <c r="D204" s="1480"/>
      <c r="E204" s="1651">
        <f>IFERROR(E188/E196,0)</f>
        <v>0.49442518109871902</v>
      </c>
      <c r="F204" s="1651">
        <f t="shared" ref="F204:N204" si="114">IFERROR(F188/F196,0)</f>
        <v>0.46797656099835577</v>
      </c>
      <c r="G204" s="1651">
        <f t="shared" si="114"/>
        <v>0.33462001643889372</v>
      </c>
      <c r="H204" s="1651">
        <f t="shared" si="114"/>
        <v>0.35449886429608019</v>
      </c>
      <c r="I204" s="1651">
        <f t="shared" si="114"/>
        <v>0</v>
      </c>
      <c r="J204" s="1651">
        <f t="shared" si="114"/>
        <v>0</v>
      </c>
      <c r="K204" s="1651">
        <f t="shared" si="114"/>
        <v>0</v>
      </c>
      <c r="L204" s="1651">
        <f t="shared" si="114"/>
        <v>0</v>
      </c>
      <c r="M204" s="1651">
        <f t="shared" si="114"/>
        <v>0</v>
      </c>
      <c r="N204" s="1651">
        <f t="shared" si="114"/>
        <v>0</v>
      </c>
    </row>
    <row r="205" spans="1:14">
      <c r="A205" s="1642" t="s">
        <v>1549</v>
      </c>
      <c r="B205" s="1480"/>
      <c r="C205" s="1480"/>
      <c r="D205" s="1480"/>
      <c r="E205" s="1651">
        <f>IFERROR(E189/E197,0)</f>
        <v>0.27659842568418802</v>
      </c>
      <c r="F205" s="1651">
        <f t="shared" ref="F205:N205" si="115">IFERROR(F189/F197,0)</f>
        <v>0.29009601878351232</v>
      </c>
      <c r="G205" s="1651">
        <f t="shared" si="115"/>
        <v>0.25819298823870296</v>
      </c>
      <c r="H205" s="1651">
        <f t="shared" si="115"/>
        <v>0.27320120234079931</v>
      </c>
      <c r="I205" s="1651">
        <f t="shared" si="115"/>
        <v>0.28763277831228357</v>
      </c>
      <c r="J205" s="1651">
        <f t="shared" si="115"/>
        <v>0</v>
      </c>
      <c r="K205" s="1651">
        <f t="shared" si="115"/>
        <v>0</v>
      </c>
      <c r="L205" s="1651">
        <f t="shared" si="115"/>
        <v>0</v>
      </c>
      <c r="M205" s="1651">
        <f t="shared" si="115"/>
        <v>0</v>
      </c>
      <c r="N205" s="1651">
        <f t="shared" si="115"/>
        <v>0</v>
      </c>
    </row>
    <row r="206" spans="1:14">
      <c r="A206" s="1848" t="s">
        <v>54</v>
      </c>
      <c r="B206" s="1842"/>
      <c r="C206" s="1842"/>
      <c r="D206" s="1842"/>
      <c r="E206" s="1847">
        <f>IFERROR(E190/E198,0)</f>
        <v>0.3809700228137427</v>
      </c>
      <c r="F206" s="1657">
        <f t="shared" ref="F206:N206" si="116">IFERROR(F190/F198,0)</f>
        <v>0.35987447926108768</v>
      </c>
      <c r="G206" s="1657">
        <f t="shared" si="116"/>
        <v>0.96138612809557999</v>
      </c>
      <c r="H206" s="1657">
        <f t="shared" si="116"/>
        <v>0.29255778852062808</v>
      </c>
      <c r="I206" s="1657">
        <f t="shared" si="116"/>
        <v>0.28763277831228357</v>
      </c>
      <c r="J206" s="1657">
        <f t="shared" si="116"/>
        <v>0</v>
      </c>
      <c r="K206" s="1657">
        <f t="shared" si="116"/>
        <v>0</v>
      </c>
      <c r="L206" s="1657">
        <f t="shared" si="116"/>
        <v>0</v>
      </c>
      <c r="M206" s="1657">
        <f t="shared" si="116"/>
        <v>0</v>
      </c>
      <c r="N206" s="1657">
        <f t="shared" si="116"/>
        <v>0</v>
      </c>
    </row>
    <row r="207" spans="1:14">
      <c r="A207" s="1642"/>
      <c r="B207" s="1480"/>
      <c r="C207" s="1480"/>
      <c r="D207" s="1480"/>
      <c r="E207" s="1480"/>
      <c r="F207" s="1480"/>
      <c r="G207" s="1480"/>
      <c r="H207" s="1480"/>
      <c r="I207" s="1480"/>
      <c r="J207" s="1480"/>
      <c r="K207" s="1480"/>
      <c r="L207" s="1480"/>
      <c r="M207" s="1480"/>
      <c r="N207" s="1480"/>
    </row>
    <row r="208" spans="1:14">
      <c r="A208" s="1643" t="s">
        <v>326</v>
      </c>
      <c r="B208" s="1480"/>
      <c r="C208" s="1480"/>
      <c r="D208" s="1480"/>
      <c r="E208" s="1480"/>
      <c r="F208" s="1480"/>
      <c r="G208" s="1480"/>
      <c r="H208" s="1480"/>
      <c r="I208" s="1480"/>
      <c r="J208" s="1480"/>
      <c r="K208" s="1480"/>
      <c r="L208" s="1480"/>
      <c r="M208" s="1480"/>
      <c r="N208" s="1480"/>
    </row>
    <row r="209" spans="1:14">
      <c r="A209" s="1642" t="s">
        <v>1555</v>
      </c>
      <c r="B209" s="1480"/>
      <c r="C209" s="1480"/>
      <c r="D209" s="1480"/>
      <c r="E209" s="1652"/>
      <c r="F209" s="1652"/>
      <c r="G209" s="1652">
        <f t="shared" ref="G209:N209" si="117">G211*(G$230/(1+G$230))</f>
        <v>3452372.1975082508</v>
      </c>
      <c r="H209" s="1652">
        <f t="shared" si="117"/>
        <v>2336842.8478723406</v>
      </c>
      <c r="I209" s="1652">
        <f t="shared" si="117"/>
        <v>0</v>
      </c>
      <c r="J209" s="1652">
        <f t="shared" si="117"/>
        <v>0</v>
      </c>
      <c r="K209" s="1652">
        <f t="shared" si="117"/>
        <v>0</v>
      </c>
      <c r="L209" s="1652">
        <f t="shared" si="117"/>
        <v>0</v>
      </c>
      <c r="M209" s="1652">
        <f t="shared" si="117"/>
        <v>0</v>
      </c>
      <c r="N209" s="1652">
        <f t="shared" si="117"/>
        <v>0</v>
      </c>
    </row>
    <row r="210" spans="1:14">
      <c r="A210" s="1642" t="s">
        <v>1549</v>
      </c>
      <c r="B210" s="1480"/>
      <c r="C210" s="1480"/>
      <c r="D210" s="1480"/>
      <c r="E210" s="1652"/>
      <c r="F210" s="1652"/>
      <c r="G210" s="1652">
        <f t="shared" ref="G210:N210" si="118">G211/(G$230+1)</f>
        <v>3869735.392491749</v>
      </c>
      <c r="H210" s="1652">
        <f t="shared" si="118"/>
        <v>4985264.7421276597</v>
      </c>
      <c r="I210" s="1652">
        <f t="shared" si="118"/>
        <v>7322107.5899999999</v>
      </c>
      <c r="J210" s="1652">
        <f t="shared" si="118"/>
        <v>0</v>
      </c>
      <c r="K210" s="1652">
        <f t="shared" si="118"/>
        <v>0</v>
      </c>
      <c r="L210" s="1652">
        <f t="shared" si="118"/>
        <v>0</v>
      </c>
      <c r="M210" s="1652">
        <f t="shared" si="118"/>
        <v>0</v>
      </c>
      <c r="N210" s="1652">
        <f t="shared" si="118"/>
        <v>0</v>
      </c>
    </row>
    <row r="211" spans="1:14">
      <c r="A211" s="1848" t="s">
        <v>54</v>
      </c>
      <c r="B211" s="1842"/>
      <c r="C211" s="1842"/>
      <c r="D211" s="1842"/>
      <c r="E211" s="1844"/>
      <c r="F211" s="1653"/>
      <c r="G211" s="1836">
        <f>SUM('Manufacturing cost analysis'!AH35:AH36)</f>
        <v>7322107.5899999999</v>
      </c>
      <c r="H211" s="1836">
        <f>SUM('Manufacturing cost analysis'!AK35:AK36)</f>
        <v>7322107.5899999999</v>
      </c>
      <c r="I211" s="1836">
        <f>SUM('Manufacturing cost analysis'!AN35:AN36)</f>
        <v>7322107.5899999999</v>
      </c>
      <c r="J211" s="1653">
        <v>0</v>
      </c>
      <c r="K211" s="1653">
        <v>0</v>
      </c>
      <c r="L211" s="1653">
        <v>0</v>
      </c>
      <c r="M211" s="1653">
        <v>0</v>
      </c>
      <c r="N211" s="1653">
        <v>0</v>
      </c>
    </row>
    <row r="212" spans="1:14">
      <c r="A212" s="1642"/>
      <c r="B212" s="1480"/>
      <c r="C212" s="1480"/>
      <c r="D212" s="1480"/>
      <c r="E212" s="1480"/>
      <c r="F212" s="1480"/>
      <c r="G212" s="1480"/>
      <c r="H212" s="1480"/>
      <c r="I212" s="1480"/>
      <c r="J212" s="1480"/>
      <c r="K212" s="1480"/>
      <c r="L212" s="1480"/>
      <c r="M212" s="1480"/>
      <c r="N212" s="1480"/>
    </row>
    <row r="213" spans="1:14">
      <c r="A213" s="1642"/>
      <c r="B213" s="1480"/>
      <c r="C213" s="1480"/>
      <c r="D213" s="1480"/>
      <c r="E213" s="1480"/>
      <c r="F213" s="1480"/>
      <c r="G213" s="1480"/>
      <c r="H213" s="1480"/>
      <c r="I213" s="1480"/>
      <c r="J213" s="1480"/>
      <c r="K213" s="1480"/>
      <c r="L213" s="1480"/>
      <c r="M213" s="1480"/>
      <c r="N213" s="1480"/>
    </row>
    <row r="214" spans="1:14">
      <c r="A214" s="1642" t="s">
        <v>1555</v>
      </c>
      <c r="B214" s="1480"/>
      <c r="C214" s="1480"/>
      <c r="D214" s="1480"/>
      <c r="E214" s="1480"/>
      <c r="F214" s="1658">
        <f>F204/E204-1</f>
        <v>-5.3493675305106292E-2</v>
      </c>
      <c r="G214" s="1658">
        <f t="shared" ref="G214:N214" si="119">G204/F204-1</f>
        <v>-0.28496415349300064</v>
      </c>
      <c r="H214" s="1658">
        <f t="shared" si="119"/>
        <v>5.9407228738860063E-2</v>
      </c>
      <c r="I214" s="1658">
        <f t="shared" si="119"/>
        <v>-1</v>
      </c>
      <c r="J214" s="1658" t="e">
        <f t="shared" si="119"/>
        <v>#DIV/0!</v>
      </c>
      <c r="K214" s="1658" t="e">
        <f t="shared" si="119"/>
        <v>#DIV/0!</v>
      </c>
      <c r="L214" s="1658" t="e">
        <f t="shared" si="119"/>
        <v>#DIV/0!</v>
      </c>
      <c r="M214" s="1658" t="e">
        <f t="shared" si="119"/>
        <v>#DIV/0!</v>
      </c>
      <c r="N214" s="1658" t="e">
        <f t="shared" si="119"/>
        <v>#DIV/0!</v>
      </c>
    </row>
    <row r="215" spans="1:14">
      <c r="A215" s="1642" t="s">
        <v>1549</v>
      </c>
      <c r="B215" s="1480"/>
      <c r="C215" s="1480"/>
      <c r="D215" s="1480"/>
      <c r="E215" s="1480"/>
      <c r="F215" s="1658">
        <f>F205/E205-1</f>
        <v>4.879851743890784E-2</v>
      </c>
      <c r="G215" s="1658">
        <f>G205/F205-1</f>
        <v>-0.10997403783268522</v>
      </c>
      <c r="H215" s="1658">
        <f>H205/G205-1</f>
        <v>5.8127891870638493E-2</v>
      </c>
      <c r="I215" s="1658">
        <f>I205/H205-1</f>
        <v>5.2823984110735633E-2</v>
      </c>
      <c r="J215" s="1658">
        <f>J205/I205-1</f>
        <v>-1</v>
      </c>
      <c r="K215" s="1658" t="e">
        <f>K205/J205-1</f>
        <v>#DIV/0!</v>
      </c>
      <c r="L215" s="1658" t="e">
        <f>L205/K205-1</f>
        <v>#DIV/0!</v>
      </c>
      <c r="M215" s="1658" t="e">
        <f>M205/L205-1</f>
        <v>#DIV/0!</v>
      </c>
      <c r="N215" s="1658" t="e">
        <f>N205/M205-1</f>
        <v>#DIV/0!</v>
      </c>
    </row>
    <row r="216" spans="1:14">
      <c r="A216" s="1848" t="s">
        <v>54</v>
      </c>
      <c r="B216" s="1842"/>
      <c r="C216" s="1842"/>
      <c r="D216" s="1842"/>
      <c r="E216" s="1842"/>
      <c r="F216" s="1849">
        <f>F206/E206-1</f>
        <v>-5.5373237497399308E-2</v>
      </c>
      <c r="G216" s="1346">
        <f>G206/F206-1</f>
        <v>1.6714484730052162</v>
      </c>
      <c r="H216" s="1346">
        <f>H206/G206-1</f>
        <v>-0.69569168935258208</v>
      </c>
      <c r="I216" s="1346">
        <f>I206/H206-1</f>
        <v>-1.6834315822691792E-2</v>
      </c>
      <c r="J216" s="1346">
        <f>J206/I206-1</f>
        <v>-1</v>
      </c>
      <c r="K216" s="1346" t="e">
        <f>K206/J206-1</f>
        <v>#DIV/0!</v>
      </c>
      <c r="L216" s="1346" t="e">
        <f>L206/K206-1</f>
        <v>#DIV/0!</v>
      </c>
      <c r="M216" s="1346" t="e">
        <f>M206/L206-1</f>
        <v>#DIV/0!</v>
      </c>
      <c r="N216" s="1346" t="e">
        <f>N206/M206-1</f>
        <v>#DIV/0!</v>
      </c>
    </row>
    <row r="217" spans="1:14">
      <c r="A217" s="1642"/>
      <c r="B217" s="1480"/>
      <c r="C217" s="1480"/>
      <c r="D217" s="1480"/>
      <c r="E217" s="1480"/>
      <c r="F217" s="1480"/>
      <c r="G217" s="1480"/>
      <c r="H217" s="1480"/>
      <c r="I217" s="1480"/>
      <c r="J217" s="1480"/>
      <c r="K217" s="1480"/>
      <c r="L217" s="1480"/>
      <c r="M217" s="1480"/>
      <c r="N217" s="1480"/>
    </row>
    <row r="218" spans="1:14">
      <c r="A218" s="1642"/>
      <c r="B218" s="1480"/>
      <c r="C218" s="1480"/>
      <c r="D218" s="1838"/>
      <c r="E218" s="1838"/>
      <c r="F218" s="1838"/>
      <c r="G218" s="1838"/>
      <c r="H218" s="1838"/>
      <c r="I218" s="1838"/>
      <c r="J218" s="1838"/>
      <c r="K218" s="1838"/>
      <c r="L218" s="1838"/>
      <c r="M218" s="1838"/>
      <c r="N218" s="1838"/>
    </row>
    <row r="219" spans="1:14" ht="20.25">
      <c r="A219" s="1642"/>
      <c r="B219" s="1480"/>
      <c r="C219" s="1480"/>
      <c r="D219" s="1839" t="s">
        <v>1560</v>
      </c>
      <c r="E219" s="1838">
        <f>E163/E164/(E196/E197)</f>
        <v>1.4409480276730886</v>
      </c>
      <c r="F219" s="1838">
        <f>F163/F164/(F196/F197)</f>
        <v>1.0593448223912416</v>
      </c>
      <c r="G219" s="1838">
        <f>G163/G164/(G196/G197)</f>
        <v>1.0593448223912416</v>
      </c>
      <c r="H219" s="1838"/>
      <c r="I219" s="1838"/>
      <c r="J219" s="1840" t="s">
        <v>1558</v>
      </c>
      <c r="K219" s="1838"/>
      <c r="L219" s="1838"/>
      <c r="M219" s="1838"/>
      <c r="N219" s="1838"/>
    </row>
    <row r="220" spans="1:14" ht="18.75">
      <c r="A220" s="1642"/>
      <c r="B220" s="1480"/>
      <c r="C220" s="1480"/>
      <c r="D220" s="1839"/>
      <c r="E220" s="1838"/>
      <c r="F220" s="1838"/>
      <c r="G220" s="1838"/>
      <c r="H220" s="1838"/>
      <c r="I220" s="1838"/>
      <c r="J220" s="1838"/>
      <c r="K220" s="1838"/>
      <c r="L220" s="1838"/>
      <c r="M220" s="1838"/>
      <c r="N220" s="1838"/>
    </row>
    <row r="221" spans="1:14" ht="18.75">
      <c r="A221" s="1642"/>
      <c r="B221" s="1480"/>
      <c r="C221" s="1480"/>
      <c r="D221" s="1483"/>
      <c r="E221" s="1480"/>
      <c r="F221" s="1480"/>
      <c r="H221" s="1480"/>
      <c r="I221" s="1480"/>
      <c r="J221" s="1480"/>
      <c r="K221" s="1480"/>
      <c r="L221" s="1480"/>
      <c r="M221" s="1480"/>
      <c r="N221" s="1480"/>
    </row>
    <row r="222" spans="1:14">
      <c r="A222" s="1642"/>
      <c r="B222" s="1480"/>
      <c r="C222" s="1480"/>
      <c r="D222" s="1480"/>
      <c r="E222" s="1480"/>
      <c r="F222" s="1480"/>
      <c r="H222" s="1480"/>
      <c r="I222" s="1480"/>
      <c r="J222" s="1480"/>
      <c r="K222" s="1480"/>
      <c r="L222" s="1480"/>
      <c r="M222" s="1480"/>
      <c r="N222" s="1480"/>
    </row>
    <row r="223" spans="1:14" ht="20.25">
      <c r="A223" s="1642"/>
      <c r="B223" s="1480"/>
      <c r="C223" s="1480"/>
      <c r="D223" s="1483" t="s">
        <v>1561</v>
      </c>
      <c r="E223" s="1480">
        <f>E180/E181/(E196/E197)</f>
        <v>1.5011380037663675</v>
      </c>
      <c r="F223" s="1480">
        <f>(F171+F180)/(F172+F181)/(F196/F197)</f>
        <v>1.9354900675504163</v>
      </c>
      <c r="G223" s="1480">
        <f>(G171+G180)/(G172+G181)/(G196/G197)</f>
        <v>1.5</v>
      </c>
      <c r="H223" s="1480"/>
      <c r="I223" s="1480"/>
      <c r="J223" s="1481" t="s">
        <v>1559</v>
      </c>
      <c r="K223" s="1480"/>
      <c r="L223" s="1480"/>
      <c r="M223" s="1480"/>
      <c r="N223" s="1480"/>
    </row>
    <row r="224" spans="1:14">
      <c r="A224" s="1642"/>
      <c r="B224" s="1480"/>
      <c r="C224" s="1480"/>
      <c r="D224" s="1480"/>
      <c r="E224" s="1480"/>
      <c r="F224" s="1480"/>
      <c r="G224" s="1480"/>
      <c r="H224" s="1480"/>
      <c r="I224" s="1480"/>
      <c r="J224" s="1480"/>
      <c r="K224" s="1480"/>
      <c r="L224" s="1480"/>
      <c r="M224" s="1480"/>
      <c r="N224" s="1480"/>
    </row>
    <row r="225" spans="1:14">
      <c r="A225" s="1642"/>
      <c r="B225" s="1480"/>
      <c r="C225" s="1480"/>
      <c r="D225" s="1480"/>
      <c r="E225" s="1838" t="s">
        <v>1563</v>
      </c>
      <c r="F225" s="1480" t="s">
        <v>1564</v>
      </c>
      <c r="G225" s="1480"/>
      <c r="H225" s="1480"/>
      <c r="I225" s="1480"/>
    </row>
    <row r="226" spans="1:14">
      <c r="A226" s="1645" t="s">
        <v>1562</v>
      </c>
      <c r="B226" s="1480"/>
      <c r="C226" s="1480"/>
      <c r="D226" s="1480"/>
      <c r="E226" s="1838">
        <v>1.5</v>
      </c>
      <c r="F226" s="1480">
        <v>1.5</v>
      </c>
      <c r="G226" s="1480"/>
      <c r="H226" s="1480"/>
      <c r="I226" s="1480"/>
      <c r="J226" s="1480"/>
      <c r="K226" s="1480"/>
      <c r="L226" s="1480"/>
      <c r="M226" s="1480"/>
      <c r="N226" s="1480"/>
    </row>
    <row r="227" spans="1:14">
      <c r="A227" s="1642"/>
      <c r="B227" s="1480"/>
      <c r="C227" s="1480"/>
      <c r="D227" s="1480"/>
      <c r="E227" s="1480"/>
      <c r="F227" s="1480"/>
      <c r="G227" s="1480"/>
      <c r="H227" s="1480"/>
      <c r="I227" s="1480"/>
      <c r="J227" s="1480"/>
      <c r="K227" s="1480"/>
      <c r="L227" s="1480"/>
      <c r="M227" s="1480"/>
      <c r="N227" s="1480"/>
    </row>
    <row r="228" spans="1:14">
      <c r="A228" s="1642"/>
      <c r="B228" s="1480"/>
      <c r="C228" s="1480"/>
      <c r="D228" s="1480"/>
      <c r="E228" s="1482" t="s">
        <v>5</v>
      </c>
      <c r="F228" s="1482" t="s">
        <v>6</v>
      </c>
      <c r="G228" s="1484" t="s">
        <v>7</v>
      </c>
      <c r="H228" s="1484" t="s">
        <v>13</v>
      </c>
      <c r="I228" s="1484" t="s">
        <v>14</v>
      </c>
      <c r="J228" s="1482" t="s">
        <v>15</v>
      </c>
      <c r="K228" s="1482" t="s">
        <v>16</v>
      </c>
      <c r="L228" s="1482" t="s">
        <v>17</v>
      </c>
      <c r="M228" s="1482" t="s">
        <v>18</v>
      </c>
      <c r="N228" s="1482" t="s">
        <v>19</v>
      </c>
    </row>
    <row r="229" spans="1:14">
      <c r="A229" s="1644" t="s">
        <v>1565</v>
      </c>
      <c r="B229" s="1480"/>
      <c r="C229" s="1480"/>
      <c r="D229" s="1480"/>
      <c r="E229" s="1480">
        <f t="shared" ref="E229:I229" si="120">IFERROR($E$226*E196/E197,0)</f>
        <v>1.3799054891897613</v>
      </c>
      <c r="F229" s="1480">
        <f t="shared" si="120"/>
        <v>0.96823011207821186</v>
      </c>
      <c r="G229" s="1480">
        <f t="shared" si="120"/>
        <v>0.89214683882694223</v>
      </c>
      <c r="H229" s="1480">
        <f t="shared" si="120"/>
        <v>0.46875</v>
      </c>
      <c r="I229" s="1480">
        <f t="shared" si="120"/>
        <v>0</v>
      </c>
      <c r="J229" s="1480">
        <f>IFERROR($E$226*J196/J197,0)</f>
        <v>0</v>
      </c>
      <c r="K229" s="1480">
        <f t="shared" ref="K229:N229" si="121">IFERROR($E$226*K196/K197,0)</f>
        <v>0</v>
      </c>
      <c r="L229" s="1480">
        <f t="shared" si="121"/>
        <v>0</v>
      </c>
      <c r="M229" s="1480">
        <f t="shared" si="121"/>
        <v>0</v>
      </c>
      <c r="N229" s="1480">
        <f t="shared" si="121"/>
        <v>0</v>
      </c>
    </row>
    <row r="230" spans="1:14">
      <c r="A230" s="1644" t="s">
        <v>1566</v>
      </c>
      <c r="B230" s="1480"/>
      <c r="C230" s="1480"/>
      <c r="D230" s="1480"/>
      <c r="E230" s="1480">
        <f t="shared" ref="E230:I230" si="122">IFERROR($F$226*E196/E197,0)</f>
        <v>1.3799054891897613</v>
      </c>
      <c r="F230" s="1480">
        <f t="shared" si="122"/>
        <v>0.96823011207821186</v>
      </c>
      <c r="G230" s="1480">
        <f t="shared" si="122"/>
        <v>0.89214683882694223</v>
      </c>
      <c r="H230" s="1480">
        <f t="shared" si="122"/>
        <v>0.46875</v>
      </c>
      <c r="I230" s="1480">
        <f t="shared" si="122"/>
        <v>0</v>
      </c>
      <c r="J230" s="1480">
        <f>IFERROR($F$226*J196/J197,0)</f>
        <v>0</v>
      </c>
      <c r="K230" s="1480">
        <f t="shared" ref="K230:N230" si="123">IFERROR($F$226*K196/K197,0)</f>
        <v>0</v>
      </c>
      <c r="L230" s="1480">
        <f t="shared" si="123"/>
        <v>0</v>
      </c>
      <c r="M230" s="1480">
        <f t="shared" si="123"/>
        <v>0</v>
      </c>
      <c r="N230" s="1480">
        <f t="shared" si="123"/>
        <v>0</v>
      </c>
    </row>
    <row r="236" spans="1:14" ht="23.25">
      <c r="A236" s="1646" t="s">
        <v>1725</v>
      </c>
      <c r="B236" s="1647"/>
      <c r="C236" s="1647"/>
      <c r="D236" s="1647"/>
      <c r="E236" s="1647"/>
      <c r="F236" s="1647"/>
      <c r="G236" s="1647"/>
      <c r="H236" s="1647"/>
      <c r="I236" s="1647"/>
      <c r="J236" s="1647"/>
      <c r="K236" s="1647"/>
      <c r="L236" s="1647"/>
      <c r="M236" s="1647"/>
      <c r="N236" s="1647"/>
    </row>
    <row r="237" spans="1:14">
      <c r="A237" s="1647"/>
      <c r="B237" s="1480"/>
      <c r="C237" s="1480"/>
      <c r="D237" s="1480"/>
      <c r="E237" s="1480"/>
      <c r="F237" s="1480"/>
      <c r="G237" s="1480"/>
      <c r="H237" s="1480"/>
      <c r="I237" s="1480"/>
      <c r="J237" s="1480"/>
      <c r="K237" s="1480"/>
      <c r="L237" s="1480"/>
      <c r="M237" s="1480"/>
      <c r="N237" s="1480"/>
    </row>
    <row r="238" spans="1:14">
      <c r="A238" s="1647" t="s">
        <v>1716</v>
      </c>
      <c r="B238" s="1480"/>
      <c r="C238" s="1480"/>
      <c r="D238" s="1480"/>
      <c r="E238" s="1480"/>
      <c r="F238" s="1480"/>
      <c r="G238" s="1835">
        <f>12%</f>
        <v>0.12</v>
      </c>
      <c r="H238" s="1835">
        <v>0.05</v>
      </c>
      <c r="I238" s="1835">
        <v>0.05</v>
      </c>
      <c r="J238" s="1835">
        <v>0.05</v>
      </c>
      <c r="K238" s="1835">
        <v>0.05</v>
      </c>
      <c r="L238" s="1835">
        <v>0.05</v>
      </c>
      <c r="M238" s="1835">
        <v>0.05</v>
      </c>
      <c r="N238" s="1835">
        <v>0.05</v>
      </c>
    </row>
    <row r="239" spans="1:14">
      <c r="A239" s="1647"/>
      <c r="B239" s="1480"/>
      <c r="C239" s="1480"/>
      <c r="D239" s="1650"/>
      <c r="E239" s="1480"/>
      <c r="F239" s="1480"/>
      <c r="G239" s="1480"/>
      <c r="H239" s="1480"/>
      <c r="I239" s="1480"/>
      <c r="J239" s="1480"/>
      <c r="K239" s="1480"/>
      <c r="L239" s="1480"/>
      <c r="M239" s="1480"/>
      <c r="N239" s="1480"/>
    </row>
    <row r="240" spans="1:14">
      <c r="A240" s="1647" t="s">
        <v>1569</v>
      </c>
      <c r="B240" s="1480"/>
      <c r="C240" s="1480"/>
      <c r="D240" s="1650"/>
      <c r="E240" s="1651"/>
      <c r="F240" s="1651"/>
      <c r="G240" s="1834">
        <f>G149</f>
        <v>0.12661856448016887</v>
      </c>
      <c r="H240" s="1834">
        <f t="shared" ref="H240" si="124">G240*(1+H$147)</f>
        <v>0.1329494927041773</v>
      </c>
      <c r="I240" s="1834">
        <f t="shared" ref="I240" si="125">H240*(1+I$147)</f>
        <v>0.13959696733938617</v>
      </c>
      <c r="J240" s="1834">
        <f t="shared" ref="J240" si="126">I240*(1+J$147)</f>
        <v>0.1465768157063555</v>
      </c>
      <c r="K240" s="1834">
        <f t="shared" ref="K240" si="127">J240*(1+K$147)</f>
        <v>0.15390565649167329</v>
      </c>
      <c r="L240" s="1834">
        <f t="shared" ref="L240" si="128">K240*(1+L$147)</f>
        <v>0.16160093931625696</v>
      </c>
      <c r="M240" s="1834">
        <f t="shared" ref="M240" si="129">L240*(1+M$147)</f>
        <v>0.16968098628206982</v>
      </c>
      <c r="N240" s="1834">
        <f t="shared" ref="N240" si="130">M240*(1+N$147)</f>
        <v>0.1781650355961733</v>
      </c>
    </row>
    <row r="241" spans="1:14">
      <c r="A241" s="1647" t="s">
        <v>1757</v>
      </c>
      <c r="B241" s="1480"/>
      <c r="C241" s="1480"/>
      <c r="D241" s="1480"/>
      <c r="E241" s="1652"/>
      <c r="F241" s="1652"/>
      <c r="G241" s="1652">
        <f>SUM(G255:G257)</f>
        <v>5919405.2275914466</v>
      </c>
      <c r="H241" s="1652">
        <f t="shared" ref="H241:N241" si="131">SUM(H255:H257)</f>
        <v>6955721.6582399197</v>
      </c>
      <c r="I241" s="1652">
        <f t="shared" si="131"/>
        <v>12734080.310922291</v>
      </c>
      <c r="J241" s="1652">
        <f t="shared" si="131"/>
        <v>17030522.029595923</v>
      </c>
      <c r="K241" s="1652">
        <f t="shared" si="131"/>
        <v>19037916.394780088</v>
      </c>
      <c r="L241" s="1652">
        <f t="shared" si="131"/>
        <v>21067305.546321075</v>
      </c>
      <c r="M241" s="1652">
        <f t="shared" si="131"/>
        <v>23937241.356894728</v>
      </c>
      <c r="N241" s="1652">
        <f t="shared" si="131"/>
        <v>25472958.712910473</v>
      </c>
    </row>
    <row r="242" spans="1:14">
      <c r="A242" s="1647"/>
      <c r="B242" s="1480"/>
      <c r="C242" s="1480"/>
      <c r="D242" s="1480"/>
      <c r="E242" s="1649"/>
      <c r="F242" s="1649"/>
      <c r="G242" s="1649">
        <f>IFERROR(G241/G261,"")</f>
        <v>0.76251867365790804</v>
      </c>
      <c r="H242" s="1649">
        <f>IFERROR(H241/H261,"")</f>
        <v>0.8562983108538702</v>
      </c>
      <c r="I242" s="1649">
        <f>IFERROR(I241/I261,"")</f>
        <v>1</v>
      </c>
      <c r="J242" s="1649">
        <f>IFERROR(J241/J261,"")</f>
        <v>0.45594828342972299</v>
      </c>
      <c r="K242" s="1649">
        <f>IFERROR(K241/K261,"")</f>
        <v>0.43447242234220884</v>
      </c>
      <c r="L242" s="1649">
        <f>IFERROR(L241/L261,"")</f>
        <v>0.45646215845587862</v>
      </c>
      <c r="M242" s="1649">
        <f>IFERROR(M241/M261,"")</f>
        <v>0.43580087296360193</v>
      </c>
      <c r="N242" s="1649">
        <f>IFERROR(N241/N261,"")</f>
        <v>0.39906060908681307</v>
      </c>
    </row>
    <row r="243" spans="1:14">
      <c r="A243" s="1647"/>
      <c r="B243" s="1480"/>
      <c r="C243" s="1480"/>
      <c r="D243" s="1480"/>
      <c r="E243" s="1480"/>
      <c r="F243" s="1480"/>
      <c r="G243" s="1480"/>
      <c r="H243" s="1480"/>
      <c r="I243" s="1480"/>
      <c r="J243" s="1480"/>
      <c r="K243" s="1480"/>
      <c r="L243" s="1480"/>
      <c r="M243" s="1480"/>
      <c r="N243" s="1480"/>
    </row>
    <row r="244" spans="1:14">
      <c r="A244" s="1647" t="s">
        <v>1568</v>
      </c>
      <c r="B244" s="1480"/>
      <c r="C244" s="1480"/>
      <c r="D244" s="1480"/>
      <c r="E244" s="1651"/>
      <c r="F244" s="1651"/>
      <c r="G244" s="1834">
        <f>G153</f>
        <v>0.11952535359955306</v>
      </c>
      <c r="H244" s="1834">
        <f t="shared" ref="H244" si="132">G244*(1+H$147)</f>
        <v>0.12550162127953071</v>
      </c>
      <c r="I244" s="1834">
        <f t="shared" ref="I244" si="133">H244*(1+I$147)</f>
        <v>0.13177670234350725</v>
      </c>
      <c r="J244" s="1834">
        <f t="shared" ref="J244" si="134">I244*(1+J$147)</f>
        <v>0.13836553746068261</v>
      </c>
      <c r="K244" s="1834">
        <f t="shared" ref="K244" si="135">J244*(1+K$147)</f>
        <v>0.14528381433371676</v>
      </c>
      <c r="L244" s="1834">
        <f t="shared" ref="L244" si="136">K244*(1+L$147)</f>
        <v>0.15254800505040261</v>
      </c>
      <c r="M244" s="1834">
        <f t="shared" ref="M244" si="137">L244*(1+M$147)</f>
        <v>0.16017540530292276</v>
      </c>
      <c r="N244" s="1834">
        <f t="shared" ref="N244" si="138">M244*(1+N$147)</f>
        <v>0.16818417556806892</v>
      </c>
    </row>
    <row r="245" spans="1:14">
      <c r="A245" s="1647" t="s">
        <v>1756</v>
      </c>
      <c r="B245" s="1480"/>
      <c r="C245" s="1480"/>
      <c r="D245" s="1480"/>
      <c r="E245" s="1480"/>
      <c r="F245" s="1652"/>
      <c r="G245" s="1652">
        <f>SUM(G258:G260)</f>
        <v>1843559.0539195063</v>
      </c>
      <c r="H245" s="1652">
        <f t="shared" ref="H245:N245" si="139">SUM(H258:H260)</f>
        <v>1167290.5795209152</v>
      </c>
      <c r="I245" s="1652">
        <f t="shared" si="139"/>
        <v>0</v>
      </c>
      <c r="J245" s="1652">
        <f t="shared" si="139"/>
        <v>20321350.207951169</v>
      </c>
      <c r="K245" s="1652">
        <f t="shared" si="139"/>
        <v>24780552.66281414</v>
      </c>
      <c r="L245" s="1652">
        <f t="shared" si="139"/>
        <v>25086149.14001615</v>
      </c>
      <c r="M245" s="1652">
        <f t="shared" si="139"/>
        <v>30989774.26405371</v>
      </c>
      <c r="N245" s="1652">
        <f t="shared" si="139"/>
        <v>38359346.788755804</v>
      </c>
    </row>
    <row r="246" spans="1:14">
      <c r="A246" s="1647"/>
      <c r="B246" s="1480"/>
      <c r="C246" s="1480"/>
      <c r="D246" s="1480"/>
      <c r="E246" s="1649"/>
      <c r="F246" s="1649"/>
      <c r="G246" s="1649">
        <f>IFERROR(G245/G261,"")</f>
        <v>0.23748132634209199</v>
      </c>
      <c r="H246" s="1649">
        <f>IFERROR(H245/H261,"")</f>
        <v>0.14370168914612971</v>
      </c>
      <c r="I246" s="1649">
        <f>IFERROR(I245/I261,"")</f>
        <v>0</v>
      </c>
      <c r="J246" s="1649">
        <f>IFERROR(J245/J261,"")</f>
        <v>0.54405171657027707</v>
      </c>
      <c r="K246" s="1649">
        <f>IFERROR(K245/K261,"")</f>
        <v>0.56552757765779127</v>
      </c>
      <c r="L246" s="1649">
        <f>IFERROR(L245/L261,"")</f>
        <v>0.54353784154412144</v>
      </c>
      <c r="M246" s="1649">
        <f>IFERROR(M245/M261,"")</f>
        <v>0.56419912703639807</v>
      </c>
      <c r="N246" s="1649">
        <f>IFERROR(N245/N261,"")</f>
        <v>0.60093939091318693</v>
      </c>
    </row>
    <row r="247" spans="1:14">
      <c r="A247" s="1647"/>
      <c r="B247" s="1480"/>
      <c r="C247" s="1480"/>
      <c r="D247" s="1480"/>
      <c r="E247" s="1649"/>
      <c r="F247" s="1649"/>
      <c r="H247" s="1649"/>
      <c r="I247" s="1649"/>
      <c r="J247" s="1649"/>
      <c r="K247" s="1649"/>
      <c r="L247" s="1649"/>
      <c r="M247" s="1649"/>
      <c r="N247" s="1649"/>
    </row>
    <row r="248" spans="1:14">
      <c r="A248" s="1647" t="s">
        <v>1767</v>
      </c>
      <c r="B248" s="1480"/>
      <c r="C248" s="1480"/>
      <c r="D248" s="1480"/>
      <c r="E248" s="1651"/>
      <c r="F248" s="1651"/>
      <c r="G248" s="1651">
        <f>IFERROR(G261/G310,0)</f>
        <v>8.3671566642353909E-2</v>
      </c>
      <c r="H248" s="1651">
        <f>IFERROR(H261/H310,0)</f>
        <v>0.10452635241512186</v>
      </c>
      <c r="I248" s="1651">
        <f>IFERROR(I261/I310,0)</f>
        <v>0.13329525964601688</v>
      </c>
      <c r="J248" s="1651">
        <f>IFERROR(J261/J310,0)</f>
        <v>0.14199235779381597</v>
      </c>
      <c r="K248" s="1651">
        <f>IFERROR(K261/K310,0)</f>
        <v>0.14890813081142551</v>
      </c>
      <c r="L248" s="1651">
        <f>IFERROR(L261/L310,0)</f>
        <v>0.1565511993047089</v>
      </c>
      <c r="M248" s="1651">
        <f>IFERROR(M261/M310,0)</f>
        <v>0.16418373761864263</v>
      </c>
      <c r="N248" s="1651">
        <f>IFERROR(N261/N310,0)</f>
        <v>0.172029991688807</v>
      </c>
    </row>
    <row r="249" spans="1:14">
      <c r="A249" s="1647" t="s">
        <v>1768</v>
      </c>
      <c r="B249" s="1480"/>
      <c r="C249" s="1480"/>
      <c r="D249" s="1480"/>
      <c r="E249" s="1649"/>
      <c r="F249" s="1833"/>
      <c r="G249" s="1833">
        <f t="shared" ref="G249" si="140">G261</f>
        <v>7762964.2815109529</v>
      </c>
      <c r="H249" s="1833">
        <f t="shared" ref="G249:N249" si="141">H261</f>
        <v>8123012.2377608353</v>
      </c>
      <c r="I249" s="1833">
        <f t="shared" si="141"/>
        <v>12734080.310922291</v>
      </c>
      <c r="J249" s="1833">
        <f t="shared" si="141"/>
        <v>37351872.237547092</v>
      </c>
      <c r="K249" s="1833">
        <f t="shared" si="141"/>
        <v>43818469.057594225</v>
      </c>
      <c r="L249" s="1833">
        <f t="shared" si="141"/>
        <v>46153454.686337225</v>
      </c>
      <c r="M249" s="1833">
        <f t="shared" si="141"/>
        <v>54927015.620948434</v>
      </c>
      <c r="N249" s="1833">
        <f t="shared" si="141"/>
        <v>63832305.501666278</v>
      </c>
    </row>
    <row r="250" spans="1:14">
      <c r="A250" s="1647"/>
      <c r="B250" s="1480"/>
      <c r="C250" s="1480"/>
      <c r="D250" s="1480"/>
      <c r="E250" s="1649"/>
      <c r="F250" s="1833"/>
      <c r="G250" s="1833"/>
      <c r="H250" s="1833"/>
      <c r="I250" s="1833"/>
      <c r="J250" s="1833"/>
      <c r="K250" s="1833"/>
      <c r="L250" s="1833"/>
      <c r="M250" s="1833"/>
      <c r="N250" s="1833"/>
    </row>
    <row r="251" spans="1:14">
      <c r="A251" s="1647"/>
      <c r="B251" s="1480"/>
      <c r="C251" s="1480"/>
      <c r="D251" s="1480"/>
      <c r="E251" s="1480"/>
      <c r="F251" s="1480"/>
      <c r="G251" s="1480"/>
      <c r="H251" s="1480"/>
      <c r="I251" s="1480"/>
      <c r="J251" s="1480"/>
      <c r="K251" s="1480"/>
      <c r="L251" s="1480"/>
      <c r="M251" s="1480"/>
      <c r="N251" s="1480"/>
    </row>
    <row r="252" spans="1:14">
      <c r="A252" s="1647"/>
      <c r="B252" s="1480"/>
      <c r="C252" s="1480"/>
      <c r="D252" s="1480"/>
      <c r="E252" s="1482" t="s">
        <v>5</v>
      </c>
      <c r="F252" s="1482" t="s">
        <v>6</v>
      </c>
      <c r="G252" s="1484" t="s">
        <v>7</v>
      </c>
      <c r="H252" s="1484" t="s">
        <v>13</v>
      </c>
      <c r="I252" s="1484" t="s">
        <v>14</v>
      </c>
      <c r="J252" s="1482" t="s">
        <v>15</v>
      </c>
      <c r="K252" s="1482" t="s">
        <v>16</v>
      </c>
      <c r="L252" s="1482" t="s">
        <v>17</v>
      </c>
      <c r="M252" s="1482" t="s">
        <v>18</v>
      </c>
      <c r="N252" s="1482" t="s">
        <v>19</v>
      </c>
    </row>
    <row r="253" spans="1:14">
      <c r="A253" s="1647"/>
      <c r="B253" s="1480"/>
      <c r="C253" s="1480"/>
      <c r="D253" s="1480"/>
      <c r="E253" s="1480"/>
      <c r="F253" s="1480"/>
      <c r="G253" s="1480"/>
      <c r="H253" s="1480"/>
      <c r="I253" s="1480"/>
      <c r="J253" s="1480"/>
      <c r="K253" s="1480"/>
      <c r="L253" s="1480"/>
      <c r="M253" s="1480"/>
      <c r="N253" s="1480"/>
    </row>
    <row r="254" spans="1:14">
      <c r="A254" s="1648" t="s">
        <v>1553</v>
      </c>
      <c r="B254" s="1480"/>
      <c r="C254" s="1480"/>
      <c r="D254" s="1480"/>
      <c r="E254" s="1480"/>
      <c r="F254" s="1480"/>
      <c r="G254" s="1480"/>
      <c r="H254" s="1480"/>
      <c r="I254" s="1480"/>
      <c r="J254" s="1480"/>
      <c r="K254" s="1480"/>
      <c r="L254" s="1480"/>
      <c r="M254" s="1480"/>
      <c r="N254" s="1480"/>
    </row>
    <row r="255" spans="1:14">
      <c r="A255" s="1647" t="s">
        <v>1759</v>
      </c>
      <c r="B255" s="1480"/>
      <c r="C255" s="1480"/>
      <c r="D255" s="1480"/>
      <c r="E255" s="1652"/>
      <c r="F255" s="1652"/>
      <c r="G255" s="1850">
        <f>G$240*G304*49%</f>
        <v>2134902.9538436793</v>
      </c>
      <c r="H255" s="1850">
        <f t="shared" ref="H255:N255" si="142">H$240*H304*49%</f>
        <v>1736446.6767346247</v>
      </c>
      <c r="I255" s="1850">
        <f t="shared" si="142"/>
        <v>578411.65835270623</v>
      </c>
      <c r="J255" s="1850">
        <f t="shared" si="142"/>
        <v>0</v>
      </c>
      <c r="K255" s="1850">
        <f t="shared" si="142"/>
        <v>0</v>
      </c>
      <c r="L255" s="1850">
        <f t="shared" si="142"/>
        <v>0</v>
      </c>
      <c r="M255" s="1850">
        <f t="shared" si="142"/>
        <v>0</v>
      </c>
      <c r="N255" s="1850">
        <f t="shared" si="142"/>
        <v>0</v>
      </c>
    </row>
    <row r="256" spans="1:14">
      <c r="A256" s="1647" t="s">
        <v>1760</v>
      </c>
      <c r="B256" s="1480"/>
      <c r="C256" s="1480"/>
      <c r="D256" s="1480"/>
      <c r="E256" s="1652"/>
      <c r="F256" s="1652"/>
      <c r="G256" s="1652">
        <f t="shared" ref="G256:N257" si="143">G$240*G305</f>
        <v>281093.21314597491</v>
      </c>
      <c r="H256" s="1652">
        <f t="shared" si="143"/>
        <v>0</v>
      </c>
      <c r="I256" s="1652">
        <f t="shared" si="143"/>
        <v>0</v>
      </c>
      <c r="J256" s="1652">
        <f t="shared" si="143"/>
        <v>0</v>
      </c>
      <c r="K256" s="1652">
        <f t="shared" si="143"/>
        <v>0</v>
      </c>
      <c r="L256" s="1652">
        <f t="shared" si="143"/>
        <v>0</v>
      </c>
      <c r="M256" s="1652">
        <f t="shared" si="143"/>
        <v>0</v>
      </c>
      <c r="N256" s="1652">
        <f t="shared" si="143"/>
        <v>0</v>
      </c>
    </row>
    <row r="257" spans="1:14">
      <c r="A257" s="1647" t="s">
        <v>1761</v>
      </c>
      <c r="B257" s="1480"/>
      <c r="C257" s="1480"/>
      <c r="D257" s="1480"/>
      <c r="E257" s="1652"/>
      <c r="F257" s="1652"/>
      <c r="G257" s="1652">
        <f t="shared" si="143"/>
        <v>3503409.0606017923</v>
      </c>
      <c r="H257" s="1652">
        <f t="shared" si="143"/>
        <v>5219274.9815052953</v>
      </c>
      <c r="I257" s="1652">
        <f t="shared" si="143"/>
        <v>12155668.652569585</v>
      </c>
      <c r="J257" s="1652">
        <f t="shared" si="143"/>
        <v>17030522.029595923</v>
      </c>
      <c r="K257" s="1652">
        <f t="shared" si="143"/>
        <v>19037916.394780088</v>
      </c>
      <c r="L257" s="1652">
        <f t="shared" si="143"/>
        <v>21067305.546321075</v>
      </c>
      <c r="M257" s="1652">
        <f t="shared" si="143"/>
        <v>23937241.356894728</v>
      </c>
      <c r="N257" s="1652">
        <f t="shared" si="143"/>
        <v>25472958.712910473</v>
      </c>
    </row>
    <row r="258" spans="1:14">
      <c r="A258" s="1647" t="s">
        <v>1762</v>
      </c>
      <c r="B258" s="1480"/>
      <c r="C258" s="1480"/>
      <c r="D258" s="1480"/>
      <c r="E258" s="1652"/>
      <c r="F258" s="1652"/>
      <c r="G258" s="1850">
        <f>G$244*G307*49%</f>
        <v>1499326.0355527934</v>
      </c>
      <c r="H258" s="1850">
        <f t="shared" ref="H258:N258" si="144">H$244*H307*49%</f>
        <v>301329.39269215323</v>
      </c>
      <c r="I258" s="1850">
        <f t="shared" si="144"/>
        <v>0</v>
      </c>
      <c r="J258" s="1850">
        <f t="shared" si="144"/>
        <v>0</v>
      </c>
      <c r="K258" s="1850">
        <f t="shared" si="144"/>
        <v>0</v>
      </c>
      <c r="L258" s="1850">
        <f t="shared" si="144"/>
        <v>0</v>
      </c>
      <c r="M258" s="1850">
        <f t="shared" si="144"/>
        <v>0</v>
      </c>
      <c r="N258" s="1850">
        <f t="shared" si="144"/>
        <v>0</v>
      </c>
    </row>
    <row r="259" spans="1:14">
      <c r="A259" s="1647" t="s">
        <v>1763</v>
      </c>
      <c r="B259" s="1480"/>
      <c r="C259" s="1480"/>
      <c r="D259" s="1480"/>
      <c r="E259" s="1652"/>
      <c r="F259" s="1652"/>
      <c r="G259" s="1652">
        <f>G$244*G308</f>
        <v>344233.01836671284</v>
      </c>
      <c r="H259" s="1652">
        <f t="shared" ref="H259:N259" si="145">H$244*H308</f>
        <v>865961.18682876194</v>
      </c>
      <c r="I259" s="1652">
        <f t="shared" si="145"/>
        <v>0</v>
      </c>
      <c r="J259" s="1652">
        <f t="shared" si="145"/>
        <v>0</v>
      </c>
      <c r="K259" s="1652">
        <f t="shared" si="145"/>
        <v>0</v>
      </c>
      <c r="L259" s="1652">
        <f t="shared" si="145"/>
        <v>0</v>
      </c>
      <c r="M259" s="1652">
        <f t="shared" si="145"/>
        <v>0</v>
      </c>
      <c r="N259" s="1652">
        <f t="shared" si="145"/>
        <v>0</v>
      </c>
    </row>
    <row r="260" spans="1:14">
      <c r="A260" s="1647" t="s">
        <v>1764</v>
      </c>
      <c r="B260" s="1480"/>
      <c r="C260" s="1480"/>
      <c r="D260" s="1480"/>
      <c r="E260" s="1652"/>
      <c r="F260" s="1652"/>
      <c r="G260" s="1652">
        <f t="shared" ref="G260:N260" si="146">G$244*G309</f>
        <v>0</v>
      </c>
      <c r="H260" s="1652">
        <f t="shared" si="146"/>
        <v>0</v>
      </c>
      <c r="I260" s="1652">
        <f t="shared" si="146"/>
        <v>0</v>
      </c>
      <c r="J260" s="1652">
        <f t="shared" si="146"/>
        <v>20321350.207951169</v>
      </c>
      <c r="K260" s="1652">
        <f t="shared" si="146"/>
        <v>24780552.66281414</v>
      </c>
      <c r="L260" s="1652">
        <f t="shared" si="146"/>
        <v>25086149.14001615</v>
      </c>
      <c r="M260" s="1652">
        <f t="shared" si="146"/>
        <v>30989774.26405371</v>
      </c>
      <c r="N260" s="1652">
        <f t="shared" si="146"/>
        <v>38359346.788755804</v>
      </c>
    </row>
    <row r="261" spans="1:14">
      <c r="A261" s="1841" t="s">
        <v>54</v>
      </c>
      <c r="B261" s="1842"/>
      <c r="C261" s="1842"/>
      <c r="D261" s="1843"/>
      <c r="E261" s="1653"/>
      <c r="F261" s="1653"/>
      <c r="G261" s="1653">
        <f t="shared" ref="G261:M261" si="147">SUM(G255:G260)</f>
        <v>7762964.2815109529</v>
      </c>
      <c r="H261" s="1653">
        <f t="shared" si="147"/>
        <v>8123012.2377608353</v>
      </c>
      <c r="I261" s="1653">
        <f t="shared" si="147"/>
        <v>12734080.310922291</v>
      </c>
      <c r="J261" s="1653">
        <f t="shared" si="147"/>
        <v>37351872.237547092</v>
      </c>
      <c r="K261" s="1653">
        <f t="shared" si="147"/>
        <v>43818469.057594225</v>
      </c>
      <c r="L261" s="1653">
        <f t="shared" si="147"/>
        <v>46153454.686337225</v>
      </c>
      <c r="M261" s="1653">
        <f t="shared" si="147"/>
        <v>54927015.620948434</v>
      </c>
      <c r="N261" s="1653">
        <f>SUM(N255:N260)</f>
        <v>63832305.501666278</v>
      </c>
    </row>
    <row r="262" spans="1:14">
      <c r="A262" s="1647"/>
      <c r="B262" s="1480"/>
      <c r="C262" s="1480"/>
      <c r="D262" s="1480"/>
      <c r="E262" s="1480"/>
      <c r="F262" s="1480"/>
      <c r="G262" s="1480"/>
      <c r="H262" s="1480"/>
      <c r="I262" s="1480"/>
      <c r="J262" s="1480"/>
      <c r="K262" s="1480"/>
      <c r="L262" s="1480"/>
      <c r="M262" s="1480"/>
      <c r="N262" s="1480"/>
    </row>
    <row r="263" spans="1:14">
      <c r="A263" s="1647" t="s">
        <v>1555</v>
      </c>
      <c r="B263" s="1480"/>
      <c r="C263" s="1480"/>
      <c r="D263" s="1480"/>
      <c r="E263" s="1649"/>
      <c r="F263" s="1649"/>
      <c r="G263" s="1649">
        <f t="shared" ref="G263:N263" si="148">IFERROR(SUM(G255:G257)/G261,0)</f>
        <v>0.76251867365790804</v>
      </c>
      <c r="H263" s="1649">
        <f t="shared" si="148"/>
        <v>0.8562983108538702</v>
      </c>
      <c r="I263" s="1649">
        <f t="shared" si="148"/>
        <v>1</v>
      </c>
      <c r="J263" s="1649">
        <f t="shared" si="148"/>
        <v>0.45594828342972299</v>
      </c>
      <c r="K263" s="1649">
        <f t="shared" si="148"/>
        <v>0.43447242234220884</v>
      </c>
      <c r="L263" s="1649">
        <f t="shared" si="148"/>
        <v>0.45646215845587862</v>
      </c>
      <c r="M263" s="1649">
        <f t="shared" si="148"/>
        <v>0.43580087296360193</v>
      </c>
      <c r="N263" s="1649">
        <f t="shared" si="148"/>
        <v>0.39906060908681307</v>
      </c>
    </row>
    <row r="264" spans="1:14">
      <c r="A264" s="1647" t="s">
        <v>1549</v>
      </c>
      <c r="B264" s="1480"/>
      <c r="C264" s="1480"/>
      <c r="D264" s="1480"/>
      <c r="E264" s="1649"/>
      <c r="F264" s="1649"/>
      <c r="G264" s="1649">
        <f>IFERROR(SUM(G258:G260)/G261,0)</f>
        <v>0.23748132634209199</v>
      </c>
      <c r="H264" s="1649">
        <f t="shared" ref="H264:N264" si="149">IFERROR(SUM(H258:H260)/H261,0)</f>
        <v>0.14370168914612971</v>
      </c>
      <c r="I264" s="1649">
        <f t="shared" si="149"/>
        <v>0</v>
      </c>
      <c r="J264" s="1649">
        <f t="shared" si="149"/>
        <v>0.54405171657027707</v>
      </c>
      <c r="K264" s="1649">
        <f t="shared" si="149"/>
        <v>0.56552757765779127</v>
      </c>
      <c r="L264" s="1649">
        <f t="shared" si="149"/>
        <v>0.54353784154412144</v>
      </c>
      <c r="M264" s="1649">
        <f t="shared" si="149"/>
        <v>0.56419912703639807</v>
      </c>
      <c r="N264" s="1649">
        <f t="shared" si="149"/>
        <v>0.60093939091318693</v>
      </c>
    </row>
    <row r="265" spans="1:14">
      <c r="A265" s="1647"/>
      <c r="B265" s="1480"/>
      <c r="C265" s="1480"/>
      <c r="D265" s="1480"/>
      <c r="E265" s="1480"/>
      <c r="F265" s="1480"/>
      <c r="G265" s="1480"/>
      <c r="H265" s="1480"/>
      <c r="I265" s="1480"/>
      <c r="J265" s="1480"/>
      <c r="K265" s="1480"/>
      <c r="L265" s="1480"/>
      <c r="M265" s="1480"/>
      <c r="N265" s="1480"/>
    </row>
    <row r="266" spans="1:14">
      <c r="A266" s="1648" t="s">
        <v>1726</v>
      </c>
      <c r="B266" s="1480"/>
      <c r="C266" s="1480"/>
      <c r="D266" s="1480"/>
      <c r="E266" s="1480"/>
      <c r="F266" s="1480"/>
      <c r="G266" s="1480"/>
      <c r="H266" s="1480"/>
      <c r="I266" s="1480"/>
      <c r="J266" s="1480"/>
      <c r="K266" s="1480"/>
      <c r="L266" s="1480"/>
      <c r="M266" s="1480"/>
      <c r="N266" s="1480"/>
    </row>
    <row r="267" spans="1:14">
      <c r="A267" s="1647" t="s">
        <v>1765</v>
      </c>
      <c r="B267" s="1480"/>
      <c r="C267" s="1480"/>
      <c r="D267" s="1480"/>
      <c r="E267" s="1652"/>
      <c r="F267" s="1652"/>
      <c r="G267" s="1652">
        <f>G$273*(G304/G$310)</f>
        <v>4736471.8153026178</v>
      </c>
      <c r="H267" s="1652">
        <f t="shared" ref="H267:N267" si="150">H$273*(H304/H$310)</f>
        <v>5375509.5157920532</v>
      </c>
      <c r="I267" s="1652">
        <f t="shared" si="150"/>
        <v>1785845.5091229198</v>
      </c>
      <c r="J267" s="1652">
        <f t="shared" si="150"/>
        <v>0</v>
      </c>
      <c r="K267" s="1652">
        <f t="shared" si="150"/>
        <v>0</v>
      </c>
      <c r="L267" s="1652">
        <f t="shared" si="150"/>
        <v>0</v>
      </c>
      <c r="M267" s="1652">
        <f t="shared" si="150"/>
        <v>0</v>
      </c>
      <c r="N267" s="1652">
        <f t="shared" si="150"/>
        <v>0</v>
      </c>
    </row>
    <row r="268" spans="1:14">
      <c r="A268" s="1647" t="s">
        <v>1760</v>
      </c>
      <c r="B268" s="1480"/>
      <c r="C268" s="1480"/>
      <c r="D268" s="1480"/>
      <c r="E268" s="1652"/>
      <c r="F268" s="1652"/>
      <c r="G268" s="1652">
        <f t="shared" ref="G268:N272" si="151">G$273*(G305/G$310)</f>
        <v>305578.82679371728</v>
      </c>
      <c r="H268" s="1652">
        <f t="shared" ref="H268:N268" si="152">H$273*(H305/H$310)</f>
        <v>0</v>
      </c>
      <c r="I268" s="1652">
        <f t="shared" si="152"/>
        <v>0</v>
      </c>
      <c r="J268" s="1652">
        <f t="shared" si="152"/>
        <v>0</v>
      </c>
      <c r="K268" s="1652">
        <f t="shared" si="152"/>
        <v>0</v>
      </c>
      <c r="L268" s="1652">
        <f t="shared" si="152"/>
        <v>0</v>
      </c>
      <c r="M268" s="1652">
        <f t="shared" si="152"/>
        <v>0</v>
      </c>
      <c r="N268" s="1652">
        <f t="shared" si="152"/>
        <v>0</v>
      </c>
    </row>
    <row r="269" spans="1:14">
      <c r="A269" s="1647" t="s">
        <v>1761</v>
      </c>
      <c r="B269" s="1480"/>
      <c r="C269" s="1480"/>
      <c r="D269" s="1480"/>
      <c r="E269" s="1652"/>
      <c r="F269" s="1652"/>
      <c r="G269" s="1652">
        <f t="shared" si="151"/>
        <v>3808585.8371871002</v>
      </c>
      <c r="H269" s="1652">
        <f t="shared" ref="H269:N269" si="153">H$273*(H306/H$310)</f>
        <v>7917069.2225773307</v>
      </c>
      <c r="I269" s="1652">
        <f t="shared" si="153"/>
        <v>18390002.207678147</v>
      </c>
      <c r="J269" s="1652">
        <f t="shared" si="153"/>
        <v>18020066.268627021</v>
      </c>
      <c r="K269" s="1652">
        <f t="shared" si="153"/>
        <v>20072191.097755693</v>
      </c>
      <c r="L269" s="1652">
        <f t="shared" si="153"/>
        <v>21725634.9134042</v>
      </c>
      <c r="M269" s="1652">
        <f t="shared" si="153"/>
        <v>21316615.858206</v>
      </c>
      <c r="N269" s="1652">
        <f t="shared" si="153"/>
        <v>20041288.154821545</v>
      </c>
    </row>
    <row r="270" spans="1:14">
      <c r="A270" s="1647" t="s">
        <v>1766</v>
      </c>
      <c r="B270" s="1480"/>
      <c r="C270" s="1480"/>
      <c r="D270" s="1480"/>
      <c r="E270" s="1652"/>
      <c r="F270" s="1652"/>
      <c r="G270" s="1652">
        <f t="shared" si="151"/>
        <v>3523791.8765401635</v>
      </c>
      <c r="H270" s="1652">
        <f t="shared" ref="H270:N270" si="154">H$273*(H307/H$310)</f>
        <v>988182.20324070763</v>
      </c>
      <c r="I270" s="1652">
        <f t="shared" si="154"/>
        <v>0</v>
      </c>
      <c r="J270" s="1652">
        <f t="shared" si="154"/>
        <v>0</v>
      </c>
      <c r="K270" s="1652">
        <f t="shared" si="154"/>
        <v>0</v>
      </c>
      <c r="L270" s="1652">
        <f t="shared" si="154"/>
        <v>0</v>
      </c>
      <c r="M270" s="1652">
        <f t="shared" si="154"/>
        <v>0</v>
      </c>
      <c r="N270" s="1652">
        <f t="shared" si="154"/>
        <v>0</v>
      </c>
    </row>
    <row r="271" spans="1:14">
      <c r="A271" s="1647" t="s">
        <v>1763</v>
      </c>
      <c r="B271" s="1480"/>
      <c r="C271" s="1480"/>
      <c r="D271" s="1480"/>
      <c r="E271" s="1652"/>
      <c r="F271" s="1652"/>
      <c r="G271" s="1652">
        <f t="shared" si="151"/>
        <v>396426.58611076837</v>
      </c>
      <c r="H271" s="1652">
        <f t="shared" ref="H271:N271" si="155">H$273*(H308/H$310)</f>
        <v>1391521.8780328333</v>
      </c>
      <c r="I271" s="1652">
        <f t="shared" si="155"/>
        <v>0</v>
      </c>
      <c r="J271" s="1652">
        <f t="shared" si="155"/>
        <v>0</v>
      </c>
      <c r="K271" s="1652">
        <f t="shared" si="155"/>
        <v>0</v>
      </c>
      <c r="L271" s="1652">
        <f t="shared" si="155"/>
        <v>0</v>
      </c>
      <c r="M271" s="1652">
        <f t="shared" si="155"/>
        <v>0</v>
      </c>
      <c r="N271" s="1652">
        <f t="shared" si="155"/>
        <v>0</v>
      </c>
    </row>
    <row r="272" spans="1:14">
      <c r="A272" s="1647" t="s">
        <v>1764</v>
      </c>
      <c r="B272" s="1480"/>
      <c r="C272" s="1480"/>
      <c r="D272" s="1480"/>
      <c r="E272" s="1652"/>
      <c r="F272" s="1652"/>
      <c r="G272" s="1652">
        <f t="shared" si="151"/>
        <v>0</v>
      </c>
      <c r="H272" s="1652">
        <f t="shared" ref="H272:N272" si="156">H$273*(H309/H$310)</f>
        <v>0</v>
      </c>
      <c r="I272" s="1652">
        <f t="shared" si="156"/>
        <v>0</v>
      </c>
      <c r="J272" s="1652">
        <f t="shared" si="156"/>
        <v>22778143.88404569</v>
      </c>
      <c r="K272" s="1652">
        <f t="shared" si="156"/>
        <v>27677298.902244303</v>
      </c>
      <c r="L272" s="1652">
        <f t="shared" si="156"/>
        <v>27405317.0865958</v>
      </c>
      <c r="M272" s="1652">
        <f t="shared" si="156"/>
        <v>29234786.141793992</v>
      </c>
      <c r="N272" s="1652">
        <f t="shared" si="156"/>
        <v>31970894.845178455</v>
      </c>
    </row>
    <row r="273" spans="1:14">
      <c r="A273" s="1841" t="s">
        <v>54</v>
      </c>
      <c r="B273" s="1842"/>
      <c r="C273" s="1842"/>
      <c r="D273" s="1842"/>
      <c r="E273" s="1653"/>
      <c r="F273" s="1653"/>
      <c r="G273" s="1653">
        <f>SUM('Manufacturing cost analysis'!AU28:AU29)-SUM('Manufacturing cost analysis'!AW28:AW29)</f>
        <v>12770854.941934368</v>
      </c>
      <c r="H273" s="1653">
        <f>SUM('Manufacturing cost analysis'!AY28:AY29)-SUM('Manufacturing cost analysis'!BA28:BA29)</f>
        <v>15672282.819642924</v>
      </c>
      <c r="I273" s="1653">
        <f>SUM('Manufacturing cost analysis'!BC28:BC29)-SUM('Manufacturing cost analysis'!BE28:BE29)</f>
        <v>20175847.716801066</v>
      </c>
      <c r="J273" s="1653">
        <f>SUM('Manufacturing cost analysis'!BG28:BG29)-SUM('Manufacturing cost analysis'!BI28:BI29)</f>
        <v>40798210.152672708</v>
      </c>
      <c r="K273" s="1653">
        <f>SUM('Manufacturing cost analysis'!BK28:BK29)-SUM('Manufacturing cost analysis'!BM28:BM29)</f>
        <v>47749490</v>
      </c>
      <c r="L273" s="1653">
        <f>SUM('Manufacturing cost analysis'!BO28:BO29)-SUM('Manufacturing cost analysis'!BQ28:BQ29)</f>
        <v>49130952</v>
      </c>
      <c r="M273" s="1653">
        <f>SUM('Manufacturing cost analysis'!BS28:BS29)-SUM('Manufacturing cost analysis'!BU28:BU29)</f>
        <v>50551402</v>
      </c>
      <c r="N273" s="1653">
        <f>SUM('Manufacturing cost analysis'!BW28:BW29)-SUM('Manufacturing cost analysis'!BY28:BY29)</f>
        <v>52012183</v>
      </c>
    </row>
    <row r="274" spans="1:14">
      <c r="A274" s="1647"/>
      <c r="B274" s="1480"/>
      <c r="C274" s="1480"/>
      <c r="D274" s="1480"/>
      <c r="E274" s="1652"/>
      <c r="F274" s="1652"/>
      <c r="G274" s="1652"/>
      <c r="H274" s="1652"/>
      <c r="I274" s="1652"/>
      <c r="J274" s="1652"/>
      <c r="K274" s="1652"/>
      <c r="L274" s="1652"/>
      <c r="M274" s="1652"/>
      <c r="N274" s="1652"/>
    </row>
    <row r="275" spans="1:14">
      <c r="A275" s="1647" t="s">
        <v>1555</v>
      </c>
      <c r="B275" s="1480"/>
      <c r="C275" s="1480"/>
      <c r="D275" s="1480"/>
      <c r="E275" s="1649"/>
      <c r="F275" s="1649"/>
      <c r="G275" s="1649">
        <f t="shared" ref="G275:N275" si="157">IFERROR(SUM(G267:G269)/G273,0)</f>
        <v>0.69303398398344451</v>
      </c>
      <c r="H275" s="1649">
        <f t="shared" si="157"/>
        <v>0.84815842665301266</v>
      </c>
      <c r="I275" s="1649">
        <f t="shared" si="157"/>
        <v>1</v>
      </c>
      <c r="J275" s="1649">
        <f t="shared" si="157"/>
        <v>0.44168766720876651</v>
      </c>
      <c r="K275" s="1649">
        <f t="shared" si="157"/>
        <v>0.42036451274674752</v>
      </c>
      <c r="L275" s="1649">
        <f t="shared" si="157"/>
        <v>0.44219853328720765</v>
      </c>
      <c r="M275" s="1649">
        <f t="shared" si="157"/>
        <v>0.42168199129681905</v>
      </c>
      <c r="N275" s="1649">
        <f t="shared" si="157"/>
        <v>0.38531911177082384</v>
      </c>
    </row>
    <row r="276" spans="1:14">
      <c r="A276" s="1647" t="s">
        <v>1549</v>
      </c>
      <c r="B276" s="1480"/>
      <c r="C276" s="1480"/>
      <c r="D276" s="1480"/>
      <c r="E276" s="1649"/>
      <c r="F276" s="1649"/>
      <c r="G276" s="1649">
        <f>IFERROR(SUM(G270:G272)/G273,0)</f>
        <v>0.30696601601655549</v>
      </c>
      <c r="H276" s="1649">
        <f t="shared" ref="H276:N276" si="158">IFERROR(SUM(H270:H272)/H273,0)</f>
        <v>0.15184157334698736</v>
      </c>
      <c r="I276" s="1649">
        <f t="shared" si="158"/>
        <v>0</v>
      </c>
      <c r="J276" s="1649">
        <f t="shared" si="158"/>
        <v>0.5583123327912336</v>
      </c>
      <c r="K276" s="1649">
        <f t="shared" si="158"/>
        <v>0.57963548725325242</v>
      </c>
      <c r="L276" s="1649">
        <f t="shared" si="158"/>
        <v>0.5578014667127924</v>
      </c>
      <c r="M276" s="1649">
        <f t="shared" si="158"/>
        <v>0.57831800870318084</v>
      </c>
      <c r="N276" s="1649">
        <f t="shared" si="158"/>
        <v>0.6146808882291761</v>
      </c>
    </row>
    <row r="277" spans="1:14">
      <c r="A277" s="1647"/>
      <c r="B277" s="1480"/>
      <c r="C277" s="1480"/>
      <c r="D277" s="1480"/>
      <c r="E277" s="1480"/>
      <c r="F277" s="1480"/>
      <c r="G277" s="1480"/>
      <c r="H277" s="1480"/>
      <c r="I277" s="1480"/>
      <c r="J277" s="1480"/>
      <c r="K277" s="1480"/>
      <c r="L277" s="1480"/>
      <c r="M277" s="1480"/>
      <c r="N277" s="1480"/>
    </row>
    <row r="278" spans="1:14">
      <c r="A278" s="1647"/>
      <c r="B278" s="1480"/>
      <c r="C278" s="1480"/>
      <c r="D278" s="1480"/>
      <c r="E278" s="1480"/>
      <c r="F278" s="1480"/>
      <c r="G278" s="1480"/>
      <c r="H278" s="1480"/>
      <c r="I278" s="1480"/>
      <c r="J278" s="1480"/>
      <c r="K278" s="1480"/>
      <c r="L278" s="1480"/>
      <c r="M278" s="1480"/>
      <c r="N278" s="1480"/>
    </row>
    <row r="279" spans="1:14">
      <c r="A279" s="1648" t="s">
        <v>1554</v>
      </c>
      <c r="B279" s="1480"/>
      <c r="C279" s="1480"/>
      <c r="D279" s="1480"/>
      <c r="E279" s="1480"/>
      <c r="F279" s="1652"/>
      <c r="G279" s="1480"/>
      <c r="H279" s="1480"/>
      <c r="I279" s="1480"/>
      <c r="J279" s="1480"/>
      <c r="K279" s="1480"/>
      <c r="L279" s="1480"/>
      <c r="M279" s="1480"/>
      <c r="N279" s="1480"/>
    </row>
    <row r="280" spans="1:14">
      <c r="A280" s="1647" t="s">
        <v>1765</v>
      </c>
      <c r="B280" s="1480"/>
      <c r="C280" s="1480"/>
      <c r="D280" s="1480"/>
      <c r="E280" s="1480"/>
      <c r="F280" s="1652"/>
      <c r="G280" s="1652">
        <f>G$286*(G304/G$310)</f>
        <v>12778035.985261997</v>
      </c>
      <c r="H280" s="1652">
        <f t="shared" ref="H280:N280" si="159">H$286*(H304/H$310)</f>
        <v>9821318.9762223046</v>
      </c>
      <c r="I280" s="1652">
        <f t="shared" si="159"/>
        <v>3154311.2754638079</v>
      </c>
      <c r="J280" s="1652">
        <f t="shared" si="159"/>
        <v>0</v>
      </c>
      <c r="K280" s="1652">
        <f t="shared" si="159"/>
        <v>0</v>
      </c>
      <c r="L280" s="1652">
        <f t="shared" si="159"/>
        <v>0</v>
      </c>
      <c r="M280" s="1652">
        <f t="shared" si="159"/>
        <v>0</v>
      </c>
      <c r="N280" s="1652">
        <f t="shared" si="159"/>
        <v>0</v>
      </c>
    </row>
    <row r="281" spans="1:14">
      <c r="A281" s="1647" t="s">
        <v>1760</v>
      </c>
      <c r="B281" s="1480"/>
      <c r="C281" s="1480"/>
      <c r="D281" s="1480"/>
      <c r="E281" s="1480"/>
      <c r="F281" s="1652"/>
      <c r="G281" s="1652">
        <f t="shared" ref="G281:N281" si="160">G$286*(G305/G$310)</f>
        <v>824389.41840399988</v>
      </c>
      <c r="H281" s="1652">
        <f t="shared" si="160"/>
        <v>0</v>
      </c>
      <c r="I281" s="1652">
        <f t="shared" si="160"/>
        <v>0</v>
      </c>
      <c r="J281" s="1652">
        <f t="shared" si="160"/>
        <v>0</v>
      </c>
      <c r="K281" s="1652">
        <f t="shared" si="160"/>
        <v>0</v>
      </c>
      <c r="L281" s="1652">
        <f t="shared" si="160"/>
        <v>0</v>
      </c>
      <c r="M281" s="1652">
        <f t="shared" si="160"/>
        <v>0</v>
      </c>
      <c r="N281" s="1652">
        <f t="shared" si="160"/>
        <v>0</v>
      </c>
    </row>
    <row r="282" spans="1:14">
      <c r="A282" s="1647" t="s">
        <v>1761</v>
      </c>
      <c r="B282" s="1480"/>
      <c r="C282" s="1480"/>
      <c r="D282" s="1480"/>
      <c r="E282" s="1480"/>
      <c r="F282" s="1652"/>
      <c r="G282" s="1652">
        <f t="shared" ref="G282:N282" si="161">G$286*(G306/G$310)</f>
        <v>10274788.656675797</v>
      </c>
      <c r="H282" s="1652">
        <f t="shared" si="161"/>
        <v>14464872.950802943</v>
      </c>
      <c r="I282" s="1652">
        <f t="shared" si="161"/>
        <v>32481976.197354715</v>
      </c>
      <c r="J282" s="1652">
        <f t="shared" si="161"/>
        <v>44506186.624994054</v>
      </c>
      <c r="K282" s="1652">
        <f t="shared" si="161"/>
        <v>49043456.762895197</v>
      </c>
      <c r="L282" s="1652">
        <f t="shared" si="161"/>
        <v>52256597.449207872</v>
      </c>
      <c r="M282" s="1652">
        <f t="shared" si="161"/>
        <v>50698242.06283997</v>
      </c>
      <c r="N282" s="1652">
        <f t="shared" si="161"/>
        <v>47150933.858835511</v>
      </c>
    </row>
    <row r="283" spans="1:14">
      <c r="A283" s="1647" t="s">
        <v>1766</v>
      </c>
      <c r="B283" s="1480"/>
      <c r="C283" s="1480"/>
      <c r="D283" s="1480"/>
      <c r="E283" s="1480"/>
      <c r="F283" s="1652"/>
      <c r="G283" s="1652">
        <f t="shared" ref="G283:N283" si="162">G$286*(G307/G$310)</f>
        <v>9506472.5725866649</v>
      </c>
      <c r="H283" s="1652">
        <f t="shared" si="162"/>
        <v>1805457.2494274729</v>
      </c>
      <c r="I283" s="1652">
        <f t="shared" si="162"/>
        <v>0</v>
      </c>
      <c r="J283" s="1652">
        <f t="shared" si="162"/>
        <v>0</v>
      </c>
      <c r="K283" s="1652">
        <f t="shared" si="162"/>
        <v>0</v>
      </c>
      <c r="L283" s="1652">
        <f t="shared" si="162"/>
        <v>0</v>
      </c>
      <c r="M283" s="1652">
        <f t="shared" si="162"/>
        <v>0</v>
      </c>
      <c r="N283" s="1652">
        <f t="shared" si="162"/>
        <v>0</v>
      </c>
    </row>
    <row r="284" spans="1:14">
      <c r="A284" s="1647" t="s">
        <v>1763</v>
      </c>
      <c r="B284" s="1480"/>
      <c r="C284" s="1480"/>
      <c r="D284" s="1480"/>
      <c r="E284" s="1480"/>
      <c r="F284" s="1652"/>
      <c r="G284" s="1652">
        <f t="shared" ref="G284:N284" si="163">G$286*(G308/G$310)</f>
        <v>1069478.1644159998</v>
      </c>
      <c r="H284" s="1652">
        <f t="shared" si="163"/>
        <v>2542378.5757244006</v>
      </c>
      <c r="I284" s="1652">
        <f t="shared" si="163"/>
        <v>0</v>
      </c>
      <c r="J284" s="1652">
        <f t="shared" si="163"/>
        <v>0</v>
      </c>
      <c r="K284" s="1652">
        <f t="shared" si="163"/>
        <v>0</v>
      </c>
      <c r="L284" s="1652">
        <f t="shared" si="163"/>
        <v>0</v>
      </c>
      <c r="M284" s="1652">
        <f t="shared" si="163"/>
        <v>0</v>
      </c>
      <c r="N284" s="1652">
        <f t="shared" si="163"/>
        <v>0</v>
      </c>
    </row>
    <row r="285" spans="1:14">
      <c r="A285" s="1647" t="s">
        <v>1764</v>
      </c>
      <c r="B285" s="1480"/>
      <c r="C285" s="1480"/>
      <c r="D285" s="1480"/>
      <c r="E285" s="1480"/>
      <c r="F285" s="1652"/>
      <c r="G285" s="1652">
        <f t="shared" ref="G285:N285" si="164">G$286*(G309/G$310)</f>
        <v>0</v>
      </c>
      <c r="H285" s="1652">
        <f t="shared" si="164"/>
        <v>0</v>
      </c>
      <c r="I285" s="1652">
        <f t="shared" si="164"/>
        <v>0</v>
      </c>
      <c r="J285" s="1652">
        <f t="shared" si="164"/>
        <v>56257746.645431466</v>
      </c>
      <c r="K285" s="1652">
        <f t="shared" si="164"/>
        <v>67625422.92543824</v>
      </c>
      <c r="L285" s="1652">
        <f t="shared" si="164"/>
        <v>65917918.103215396</v>
      </c>
      <c r="M285" s="1652">
        <f t="shared" si="164"/>
        <v>69530373.598277554</v>
      </c>
      <c r="N285" s="1652">
        <f t="shared" si="164"/>
        <v>75217597.621843964</v>
      </c>
    </row>
    <row r="286" spans="1:14">
      <c r="A286" s="1841" t="s">
        <v>54</v>
      </c>
      <c r="B286" s="1842"/>
      <c r="C286" s="1842"/>
      <c r="D286" s="1842"/>
      <c r="E286" s="1653"/>
      <c r="F286" s="1653"/>
      <c r="G286" s="1653">
        <f>SUM('Manufacturing cost analysis'!AU55:AU55)-SUM('Manufacturing cost analysis'!AW55:AW55)</f>
        <v>34453164.797344461</v>
      </c>
      <c r="H286" s="1653">
        <f>SUM('Manufacturing cost analysis'!AY55:AY55)-SUM('Manufacturing cost analysis'!BA55:BA55)</f>
        <v>28634027.752177119</v>
      </c>
      <c r="I286" s="1653">
        <f>SUM('Manufacturing cost analysis'!BC55:BC55)-SUM('Manufacturing cost analysis'!BE55:BE55)</f>
        <v>35636287.472818524</v>
      </c>
      <c r="J286" s="1653">
        <f>SUM('Manufacturing cost analysis'!BG55:BG55)-SUM('Manufacturing cost analysis'!BI55:BI55)</f>
        <v>100763933.27042551</v>
      </c>
      <c r="K286" s="1653">
        <f>SUM('Manufacturing cost analysis'!BK55:BK55)-SUM('Manufacturing cost analysis'!BM55:BM55)</f>
        <v>116668879.68833344</v>
      </c>
      <c r="L286" s="1653">
        <f>SUM('Manufacturing cost analysis'!BO55:BO55)-SUM('Manufacturing cost analysis'!BQ55:BQ55)</f>
        <v>118174515.55242327</v>
      </c>
      <c r="M286" s="1653">
        <f>SUM('Manufacturing cost analysis'!BS55:BS55)-SUM('Manufacturing cost analysis'!BU55:BU55)</f>
        <v>120228615.66111754</v>
      </c>
      <c r="N286" s="1653">
        <f>SUM('Manufacturing cost analysis'!BW55:BW55)-SUM('Manufacturing cost analysis'!BY55:BY55)</f>
        <v>122368531.48067948</v>
      </c>
    </row>
    <row r="287" spans="1:14">
      <c r="A287" s="1647"/>
      <c r="B287" s="1480"/>
      <c r="C287" s="1480"/>
      <c r="D287" s="1480"/>
      <c r="E287" s="1652"/>
      <c r="F287" s="1652"/>
      <c r="G287" s="1652"/>
      <c r="H287" s="1652"/>
      <c r="I287" s="1652"/>
      <c r="J287" s="1652"/>
      <c r="K287" s="1652"/>
      <c r="L287" s="1652"/>
      <c r="M287" s="1652"/>
      <c r="N287" s="1652"/>
    </row>
    <row r="288" spans="1:14">
      <c r="A288" s="1647" t="s">
        <v>1555</v>
      </c>
      <c r="B288" s="1480"/>
      <c r="C288" s="1480"/>
      <c r="D288" s="1480"/>
      <c r="E288" s="1649"/>
      <c r="F288" s="1649"/>
      <c r="G288" s="1649">
        <f t="shared" ref="G288:N288" si="165">IFERROR(SUM(G280:G282)/G286,0)</f>
        <v>0.69303398398344451</v>
      </c>
      <c r="H288" s="1649">
        <f t="shared" si="165"/>
        <v>0.84815842665301266</v>
      </c>
      <c r="I288" s="1649">
        <f t="shared" si="165"/>
        <v>1</v>
      </c>
      <c r="J288" s="1649">
        <f t="shared" si="165"/>
        <v>0.44168766720876645</v>
      </c>
      <c r="K288" s="1649">
        <f t="shared" si="165"/>
        <v>0.42036451274674752</v>
      </c>
      <c r="L288" s="1649">
        <f t="shared" si="165"/>
        <v>0.4421985332872076</v>
      </c>
      <c r="M288" s="1649">
        <f t="shared" si="165"/>
        <v>0.42168199129681905</v>
      </c>
      <c r="N288" s="1649">
        <f t="shared" si="165"/>
        <v>0.38531911177082384</v>
      </c>
    </row>
    <row r="289" spans="1:14">
      <c r="A289" s="1647" t="s">
        <v>1549</v>
      </c>
      <c r="B289" s="1480"/>
      <c r="C289" s="1480"/>
      <c r="D289" s="1480"/>
      <c r="E289" s="1649"/>
      <c r="F289" s="1649"/>
      <c r="G289" s="1649">
        <f>IFERROR(SUM(G283:G285)/G286,0)</f>
        <v>0.30696601601655549</v>
      </c>
      <c r="H289" s="1649">
        <f t="shared" ref="H289:N289" si="166">IFERROR(SUM(H283:H285)/H286,0)</f>
        <v>0.15184157334698736</v>
      </c>
      <c r="I289" s="1649">
        <f t="shared" si="166"/>
        <v>0</v>
      </c>
      <c r="J289" s="1649">
        <f t="shared" si="166"/>
        <v>0.5583123327912336</v>
      </c>
      <c r="K289" s="1649">
        <f t="shared" si="166"/>
        <v>0.57963548725325242</v>
      </c>
      <c r="L289" s="1649">
        <f t="shared" si="166"/>
        <v>0.5578014667127924</v>
      </c>
      <c r="M289" s="1649">
        <f t="shared" si="166"/>
        <v>0.57831800870318084</v>
      </c>
      <c r="N289" s="1649">
        <f t="shared" si="166"/>
        <v>0.6146808882291761</v>
      </c>
    </row>
    <row r="290" spans="1:14">
      <c r="A290" s="1647"/>
      <c r="B290" s="1480"/>
      <c r="C290" s="1480"/>
      <c r="D290" s="1480"/>
      <c r="E290" s="1480"/>
      <c r="F290" s="1480"/>
      <c r="G290" s="1480"/>
      <c r="H290" s="1480"/>
      <c r="I290" s="1480"/>
      <c r="J290" s="1480"/>
      <c r="K290" s="1480"/>
      <c r="L290" s="1480"/>
      <c r="M290" s="1480"/>
      <c r="N290" s="1480"/>
    </row>
    <row r="291" spans="1:14">
      <c r="A291" s="1648" t="s">
        <v>1556</v>
      </c>
      <c r="B291" s="1480"/>
      <c r="C291" s="1480"/>
      <c r="D291" s="1480"/>
      <c r="E291" s="1480"/>
      <c r="F291" s="1480"/>
      <c r="G291" s="1480"/>
      <c r="H291" s="1480"/>
      <c r="I291" s="1480"/>
      <c r="J291" s="1480"/>
      <c r="K291" s="1480"/>
      <c r="L291" s="1480"/>
      <c r="M291" s="1480"/>
      <c r="N291" s="1480"/>
    </row>
    <row r="292" spans="1:14">
      <c r="A292" s="1647" t="s">
        <v>1765</v>
      </c>
      <c r="B292" s="1480"/>
      <c r="C292" s="1480"/>
      <c r="D292" s="1480"/>
      <c r="E292" s="1652"/>
      <c r="F292" s="1652"/>
      <c r="G292" s="1652">
        <f t="shared" ref="G292:N292" si="167">G255+G267+G280</f>
        <v>19649410.754408292</v>
      </c>
      <c r="H292" s="1652">
        <f t="shared" si="167"/>
        <v>16933275.168748982</v>
      </c>
      <c r="I292" s="1652">
        <f t="shared" si="167"/>
        <v>5518568.4429394342</v>
      </c>
      <c r="J292" s="1652">
        <f t="shared" si="167"/>
        <v>0</v>
      </c>
      <c r="K292" s="1652">
        <f t="shared" si="167"/>
        <v>0</v>
      </c>
      <c r="L292" s="1652">
        <f t="shared" si="167"/>
        <v>0</v>
      </c>
      <c r="M292" s="1652">
        <f t="shared" si="167"/>
        <v>0</v>
      </c>
      <c r="N292" s="1652">
        <f t="shared" si="167"/>
        <v>0</v>
      </c>
    </row>
    <row r="293" spans="1:14">
      <c r="A293" s="1647" t="s">
        <v>1760</v>
      </c>
      <c r="B293" s="1480"/>
      <c r="C293" s="1480"/>
      <c r="D293" s="1480"/>
      <c r="E293" s="1652"/>
      <c r="F293" s="1652"/>
      <c r="G293" s="1652">
        <f t="shared" ref="G293:N293" si="168">G256+G268+G281</f>
        <v>1411061.4583436921</v>
      </c>
      <c r="H293" s="1652">
        <f t="shared" si="168"/>
        <v>0</v>
      </c>
      <c r="I293" s="1652">
        <f t="shared" si="168"/>
        <v>0</v>
      </c>
      <c r="J293" s="1652">
        <f t="shared" si="168"/>
        <v>0</v>
      </c>
      <c r="K293" s="1652">
        <f t="shared" si="168"/>
        <v>0</v>
      </c>
      <c r="L293" s="1652">
        <f t="shared" si="168"/>
        <v>0</v>
      </c>
      <c r="M293" s="1652">
        <f t="shared" si="168"/>
        <v>0</v>
      </c>
      <c r="N293" s="1652">
        <f t="shared" si="168"/>
        <v>0</v>
      </c>
    </row>
    <row r="294" spans="1:14">
      <c r="A294" s="1647" t="s">
        <v>1761</v>
      </c>
      <c r="B294" s="1480"/>
      <c r="C294" s="1480"/>
      <c r="D294" s="1480"/>
      <c r="E294" s="1652"/>
      <c r="F294" s="1652"/>
      <c r="G294" s="1652">
        <f t="shared" ref="G294:N294" si="169">G257+G269+G282</f>
        <v>17586783.55446469</v>
      </c>
      <c r="H294" s="1652">
        <f t="shared" si="169"/>
        <v>27601217.154885568</v>
      </c>
      <c r="I294" s="1652">
        <f t="shared" si="169"/>
        <v>63027647.05760245</v>
      </c>
      <c r="J294" s="1652">
        <f t="shared" si="169"/>
        <v>79556774.923216999</v>
      </c>
      <c r="K294" s="1652">
        <f t="shared" si="169"/>
        <v>88153564.255430982</v>
      </c>
      <c r="L294" s="1652">
        <f t="shared" si="169"/>
        <v>95049537.908933148</v>
      </c>
      <c r="M294" s="1652">
        <f t="shared" si="169"/>
        <v>95952099.277940691</v>
      </c>
      <c r="N294" s="1652">
        <f t="shared" si="169"/>
        <v>92665180.726567537</v>
      </c>
    </row>
    <row r="295" spans="1:14">
      <c r="A295" s="1647" t="s">
        <v>1766</v>
      </c>
      <c r="B295" s="1480"/>
      <c r="C295" s="1480"/>
      <c r="D295" s="1480"/>
      <c r="E295" s="1652"/>
      <c r="F295" s="1652"/>
      <c r="G295" s="1652">
        <f t="shared" ref="G295:N295" si="170">G258+G270+G283</f>
        <v>14529590.484679621</v>
      </c>
      <c r="H295" s="1652">
        <f t="shared" si="170"/>
        <v>3094968.845360334</v>
      </c>
      <c r="I295" s="1652">
        <f t="shared" si="170"/>
        <v>0</v>
      </c>
      <c r="J295" s="1652">
        <f t="shared" si="170"/>
        <v>0</v>
      </c>
      <c r="K295" s="1652">
        <f t="shared" si="170"/>
        <v>0</v>
      </c>
      <c r="L295" s="1652">
        <f t="shared" si="170"/>
        <v>0</v>
      </c>
      <c r="M295" s="1652">
        <f t="shared" si="170"/>
        <v>0</v>
      </c>
      <c r="N295" s="1652">
        <f t="shared" si="170"/>
        <v>0</v>
      </c>
    </row>
    <row r="296" spans="1:14">
      <c r="A296" s="1647" t="s">
        <v>1763</v>
      </c>
      <c r="B296" s="1480"/>
      <c r="C296" s="1480"/>
      <c r="D296" s="1480"/>
      <c r="E296" s="1652"/>
      <c r="F296" s="1652"/>
      <c r="G296" s="1652">
        <f t="shared" ref="G296:N296" si="171">G259+G271+G284</f>
        <v>1810137.768893481</v>
      </c>
      <c r="H296" s="1652">
        <f t="shared" si="171"/>
        <v>4799861.6405859962</v>
      </c>
      <c r="I296" s="1652">
        <f t="shared" si="171"/>
        <v>0</v>
      </c>
      <c r="J296" s="1652">
        <f t="shared" si="171"/>
        <v>0</v>
      </c>
      <c r="K296" s="1652">
        <f t="shared" si="171"/>
        <v>0</v>
      </c>
      <c r="L296" s="1652">
        <f t="shared" si="171"/>
        <v>0</v>
      </c>
      <c r="M296" s="1652">
        <f t="shared" si="171"/>
        <v>0</v>
      </c>
      <c r="N296" s="1652">
        <f t="shared" si="171"/>
        <v>0</v>
      </c>
    </row>
    <row r="297" spans="1:14">
      <c r="A297" s="1647" t="s">
        <v>1764</v>
      </c>
      <c r="B297" s="1480"/>
      <c r="C297" s="1480"/>
      <c r="D297" s="1480"/>
      <c r="E297" s="1652"/>
      <c r="F297" s="1652"/>
      <c r="G297" s="1652">
        <f t="shared" ref="G297:N297" si="172">G260+G272+G285</f>
        <v>0</v>
      </c>
      <c r="H297" s="1652">
        <f t="shared" si="172"/>
        <v>0</v>
      </c>
      <c r="I297" s="1652">
        <f t="shared" si="172"/>
        <v>0</v>
      </c>
      <c r="J297" s="1652">
        <f t="shared" si="172"/>
        <v>99357240.737428337</v>
      </c>
      <c r="K297" s="1652">
        <f t="shared" si="172"/>
        <v>120083274.49049668</v>
      </c>
      <c r="L297" s="1652">
        <f t="shared" si="172"/>
        <v>118409384.32982734</v>
      </c>
      <c r="M297" s="1652">
        <f t="shared" si="172"/>
        <v>129754934.00412525</v>
      </c>
      <c r="N297" s="1652">
        <f t="shared" si="172"/>
        <v>145547839.25577822</v>
      </c>
    </row>
    <row r="298" spans="1:14">
      <c r="A298" s="1841" t="s">
        <v>54</v>
      </c>
      <c r="B298" s="1842"/>
      <c r="C298" s="1842"/>
      <c r="D298" s="1842"/>
      <c r="E298" s="1653"/>
      <c r="F298" s="1653"/>
      <c r="G298" s="1653">
        <f t="shared" ref="G298" si="173">SUM(G292:G297)</f>
        <v>54986984.020789772</v>
      </c>
      <c r="H298" s="1653">
        <f t="shared" ref="H298" si="174">SUM(H292:H297)</f>
        <v>52429322.809580877</v>
      </c>
      <c r="I298" s="1653">
        <f t="shared" ref="I298" si="175">SUM(I292:I297)</f>
        <v>68546215.500541881</v>
      </c>
      <c r="J298" s="1653">
        <f t="shared" ref="J298" si="176">SUM(J292:J297)</f>
        <v>178914015.66064534</v>
      </c>
      <c r="K298" s="1653">
        <f t="shared" ref="K298" si="177">SUM(K292:K297)</f>
        <v>208236838.74592766</v>
      </c>
      <c r="L298" s="1653">
        <f t="shared" ref="L298" si="178">SUM(L292:L297)</f>
        <v>213458922.23876047</v>
      </c>
      <c r="M298" s="1653">
        <f t="shared" ref="M298" si="179">SUM(M292:M297)</f>
        <v>225707033.28206593</v>
      </c>
      <c r="N298" s="1653">
        <f>SUM(N292:N297)</f>
        <v>238213019.98234576</v>
      </c>
    </row>
    <row r="299" spans="1:14">
      <c r="A299" s="1647"/>
      <c r="B299" s="1480"/>
      <c r="C299" s="1480"/>
      <c r="D299" s="1480"/>
      <c r="E299" s="1480"/>
      <c r="F299" s="1480"/>
      <c r="G299" s="1480"/>
      <c r="H299" s="1480"/>
      <c r="I299" s="1480"/>
      <c r="J299" s="1480"/>
      <c r="K299" s="1480"/>
      <c r="L299" s="1480"/>
      <c r="M299" s="1480"/>
      <c r="N299" s="1480"/>
    </row>
    <row r="300" spans="1:14">
      <c r="A300" s="1647" t="s">
        <v>1555</v>
      </c>
      <c r="B300" s="1480"/>
      <c r="C300" s="1480"/>
      <c r="D300" s="1480"/>
      <c r="E300" s="1649"/>
      <c r="F300" s="1649"/>
      <c r="G300" s="1649">
        <f t="shared" ref="G300:N300" si="180">IFERROR(SUM(G292:G294)/G298,0)</f>
        <v>0.70284370847844124</v>
      </c>
      <c r="H300" s="1649">
        <f t="shared" si="180"/>
        <v>0.84941956022167742</v>
      </c>
      <c r="I300" s="1649">
        <f t="shared" si="180"/>
        <v>1</v>
      </c>
      <c r="J300" s="1649">
        <f t="shared" si="180"/>
        <v>0.44466485551426049</v>
      </c>
      <c r="K300" s="1649">
        <f t="shared" si="180"/>
        <v>0.42333318535913922</v>
      </c>
      <c r="L300" s="1649">
        <f t="shared" si="180"/>
        <v>0.44528257199114529</v>
      </c>
      <c r="M300" s="1649">
        <f t="shared" si="180"/>
        <v>0.42511789678272638</v>
      </c>
      <c r="N300" s="1649">
        <f t="shared" si="180"/>
        <v>0.38900132634830398</v>
      </c>
    </row>
    <row r="301" spans="1:14">
      <c r="A301" s="1647" t="s">
        <v>1549</v>
      </c>
      <c r="B301" s="1480"/>
      <c r="C301" s="1480"/>
      <c r="D301" s="1480"/>
      <c r="E301" s="1649"/>
      <c r="F301" s="1649"/>
      <c r="G301" s="1649">
        <f>IFERROR(SUM(G295:G297)/G298,0)</f>
        <v>0.29715629152155881</v>
      </c>
      <c r="H301" s="1649">
        <f t="shared" ref="H301:N301" si="181">IFERROR(SUM(H295:H297)/H298,0)</f>
        <v>0.15058043977832264</v>
      </c>
      <c r="I301" s="1649">
        <f t="shared" si="181"/>
        <v>0</v>
      </c>
      <c r="J301" s="1649">
        <f t="shared" si="181"/>
        <v>0.55533514448573951</v>
      </c>
      <c r="K301" s="1649">
        <f t="shared" si="181"/>
        <v>0.57666681464086078</v>
      </c>
      <c r="L301" s="1649">
        <f t="shared" si="181"/>
        <v>0.55471742800885471</v>
      </c>
      <c r="M301" s="1649">
        <f t="shared" si="181"/>
        <v>0.57488210321727373</v>
      </c>
      <c r="N301" s="1649">
        <f t="shared" si="181"/>
        <v>0.61099867365169602</v>
      </c>
    </row>
    <row r="302" spans="1:14">
      <c r="A302" s="1647"/>
      <c r="B302" s="1480"/>
      <c r="C302" s="1480"/>
      <c r="D302" s="1480"/>
      <c r="E302" s="1480"/>
      <c r="F302" s="1480"/>
      <c r="G302" s="1480"/>
      <c r="H302" s="1480"/>
      <c r="I302" s="1480"/>
      <c r="J302" s="1480"/>
      <c r="K302" s="1480"/>
      <c r="L302" s="1480"/>
      <c r="M302" s="1480"/>
      <c r="N302" s="1480"/>
    </row>
    <row r="303" spans="1:14">
      <c r="A303" s="1648" t="s">
        <v>1550</v>
      </c>
      <c r="B303" s="1480"/>
      <c r="C303" s="1480"/>
      <c r="D303" s="1480"/>
      <c r="E303" s="1480"/>
      <c r="F303" s="1480"/>
      <c r="G303" s="1480"/>
      <c r="H303" s="1480"/>
      <c r="I303" s="1480"/>
      <c r="J303" s="1480"/>
      <c r="K303" s="1480"/>
      <c r="L303" s="1480"/>
      <c r="M303" s="1480"/>
      <c r="N303" s="1480"/>
    </row>
    <row r="304" spans="1:14">
      <c r="A304" s="1647" t="s">
        <v>1765</v>
      </c>
      <c r="B304" s="1480"/>
      <c r="C304" s="1480"/>
      <c r="D304" s="1480"/>
      <c r="E304" s="1652"/>
      <c r="F304" s="1652"/>
      <c r="G304" s="1655">
        <f>G47+G52+G68</f>
        <v>34410000</v>
      </c>
      <c r="H304" s="1655">
        <f>H47+H52+H68</f>
        <v>26655000</v>
      </c>
      <c r="I304" s="1655">
        <f>I47+I52+I68</f>
        <v>8456000</v>
      </c>
      <c r="J304" s="1655">
        <f>J47+J52+J68</f>
        <v>0</v>
      </c>
      <c r="K304" s="1655">
        <f>K47+K52+K68</f>
        <v>0</v>
      </c>
      <c r="L304" s="1655">
        <f>L47+L52+L68</f>
        <v>0</v>
      </c>
      <c r="M304" s="1655">
        <f>M47+M52+M68</f>
        <v>0</v>
      </c>
      <c r="N304" s="1655">
        <f>N47+N52+N68</f>
        <v>0</v>
      </c>
    </row>
    <row r="305" spans="1:14">
      <c r="A305" s="1647" t="s">
        <v>1760</v>
      </c>
      <c r="B305" s="1480"/>
      <c r="C305" s="1480"/>
      <c r="D305" s="1480"/>
      <c r="E305" s="1652"/>
      <c r="F305" s="1652"/>
      <c r="G305" s="1655">
        <f>G48+G53+G69</f>
        <v>2220000</v>
      </c>
      <c r="H305" s="1655">
        <f>H48+H53+H69</f>
        <v>0</v>
      </c>
      <c r="I305" s="1655">
        <f>I48+I53+I69</f>
        <v>0</v>
      </c>
      <c r="J305" s="1655">
        <f>J48+J53+J69</f>
        <v>0</v>
      </c>
      <c r="K305" s="1655">
        <f>K48+K53+K69</f>
        <v>0</v>
      </c>
      <c r="L305" s="1655">
        <f>L48+L53+L69</f>
        <v>0</v>
      </c>
      <c r="M305" s="1655">
        <f>M48+M53+M69</f>
        <v>0</v>
      </c>
      <c r="N305" s="1655">
        <f>N48+N53+N69</f>
        <v>0</v>
      </c>
    </row>
    <row r="306" spans="1:14">
      <c r="A306" s="1647" t="s">
        <v>1761</v>
      </c>
      <c r="B306" s="1480"/>
      <c r="C306" s="1480"/>
      <c r="D306" s="1480"/>
      <c r="E306" s="1652"/>
      <c r="F306" s="1652"/>
      <c r="G306" s="1655">
        <f>SUM(G49:G50)+SUM(G54:G55)+SUM(G70:G71)</f>
        <v>27669000</v>
      </c>
      <c r="H306" s="1655">
        <f>SUM(H49:H50)+SUM(H54:H55)+SUM(H70:H71)</f>
        <v>39257577.259949215</v>
      </c>
      <c r="I306" s="1655">
        <f>SUM(I49:I50)+SUM(I54:I55)+SUM(I70:I71)</f>
        <v>87076882</v>
      </c>
      <c r="J306" s="1655">
        <f>SUM(J49:J50)+SUM(J54:J55)+SUM(J70:J71)</f>
        <v>116188375</v>
      </c>
      <c r="K306" s="1655">
        <f>SUM(K49:K50)+SUM(K54:K55)+SUM(K70:K71)</f>
        <v>123698614</v>
      </c>
      <c r="L306" s="1655">
        <f>SUM(L49:L50)+SUM(L54:L55)+SUM(L70:L71)</f>
        <v>130366232</v>
      </c>
      <c r="M306" s="1655">
        <f>SUM(M49:M50)+SUM(M54:M55)+SUM(M70:M71)</f>
        <v>141072031</v>
      </c>
      <c r="N306" s="1655">
        <f>SUM(N49:N50)+SUM(N54:N55)+SUM(N70:N71)</f>
        <v>142973949.00000003</v>
      </c>
    </row>
    <row r="307" spans="1:14">
      <c r="A307" s="1647" t="s">
        <v>1766</v>
      </c>
      <c r="B307" s="1480"/>
      <c r="C307" s="1480"/>
      <c r="D307" s="1480"/>
      <c r="E307" s="1652"/>
      <c r="F307" s="1652"/>
      <c r="G307" s="1655">
        <f>G60</f>
        <v>25600000</v>
      </c>
      <c r="H307" s="1655">
        <f>H60</f>
        <v>4900000</v>
      </c>
      <c r="I307" s="1655">
        <f>I60</f>
        <v>0</v>
      </c>
      <c r="J307" s="1655">
        <f>J60</f>
        <v>0</v>
      </c>
      <c r="K307" s="1655">
        <f>K60</f>
        <v>0</v>
      </c>
      <c r="L307" s="1655">
        <f>L60</f>
        <v>0</v>
      </c>
      <c r="M307" s="1655">
        <f>M60</f>
        <v>0</v>
      </c>
      <c r="N307" s="1655">
        <f>N60</f>
        <v>0</v>
      </c>
    </row>
    <row r="308" spans="1:14">
      <c r="A308" s="1647" t="s">
        <v>1763</v>
      </c>
      <c r="B308" s="1480"/>
      <c r="C308" s="1480"/>
      <c r="D308" s="1480"/>
      <c r="E308" s="1652"/>
      <c r="F308" s="1652"/>
      <c r="G308" s="1655">
        <f>G61</f>
        <v>2880000</v>
      </c>
      <c r="H308" s="1655">
        <f>H61</f>
        <v>6900000</v>
      </c>
      <c r="I308" s="1655">
        <f>I61</f>
        <v>0</v>
      </c>
      <c r="J308" s="1655">
        <f>J61</f>
        <v>0</v>
      </c>
      <c r="K308" s="1655">
        <f>K61</f>
        <v>0</v>
      </c>
      <c r="L308" s="1655">
        <f>L61</f>
        <v>0</v>
      </c>
      <c r="M308" s="1655">
        <f>M61</f>
        <v>0</v>
      </c>
      <c r="N308" s="1655">
        <f>N61</f>
        <v>0</v>
      </c>
    </row>
    <row r="309" spans="1:14">
      <c r="A309" s="1647" t="s">
        <v>1764</v>
      </c>
      <c r="B309" s="1480"/>
      <c r="C309" s="1480"/>
      <c r="D309" s="1480"/>
      <c r="E309" s="1652"/>
      <c r="F309" s="1652"/>
      <c r="G309" s="1655">
        <f>SUM(G62:G63)</f>
        <v>0</v>
      </c>
      <c r="H309" s="1655">
        <f>SUM(H62:H63)</f>
        <v>0</v>
      </c>
      <c r="I309" s="1655">
        <f>SUM(I62:I63)</f>
        <v>0</v>
      </c>
      <c r="J309" s="1655">
        <f>SUM(J62:J63)</f>
        <v>146867136</v>
      </c>
      <c r="K309" s="1655">
        <f>SUM(K62:K63)</f>
        <v>170566506.50631487</v>
      </c>
      <c r="L309" s="1655">
        <f>SUM(L62:L63)</f>
        <v>164447572.62953103</v>
      </c>
      <c r="M309" s="1655">
        <f>SUM(M62:M63)</f>
        <v>193473986.87985858</v>
      </c>
      <c r="N309" s="1655">
        <f>SUM(N62:N63)</f>
        <v>228079405.56351978</v>
      </c>
    </row>
    <row r="310" spans="1:14">
      <c r="A310" s="1841" t="s">
        <v>54</v>
      </c>
      <c r="B310" s="1842"/>
      <c r="C310" s="1842"/>
      <c r="D310" s="1842"/>
      <c r="E310" s="1653"/>
      <c r="F310" s="1653"/>
      <c r="G310" s="1637">
        <f t="shared" ref="G310" si="182">SUM(G304:G309)</f>
        <v>92779000</v>
      </c>
      <c r="H310" s="1637">
        <f t="shared" ref="H310" si="183">SUM(H304:H309)</f>
        <v>77712577.259949207</v>
      </c>
      <c r="I310" s="1637">
        <f t="shared" ref="I310" si="184">SUM(I304:I309)</f>
        <v>95532882</v>
      </c>
      <c r="J310" s="1637">
        <f t="shared" ref="J310" si="185">SUM(J304:J309)</f>
        <v>263055511</v>
      </c>
      <c r="K310" s="1637">
        <f t="shared" ref="K310" si="186">SUM(K304:K309)</f>
        <v>294265120.50631487</v>
      </c>
      <c r="L310" s="1637">
        <f t="shared" ref="L310" si="187">SUM(L304:L309)</f>
        <v>294813804.62953103</v>
      </c>
      <c r="M310" s="1637">
        <f t="shared" ref="M310" si="188">SUM(M304:M309)</f>
        <v>334546017.87985861</v>
      </c>
      <c r="N310" s="1637">
        <f>SUM(N304:N309)</f>
        <v>371053354.56351984</v>
      </c>
    </row>
    <row r="311" spans="1:14">
      <c r="A311" s="1647"/>
      <c r="B311" s="1480"/>
      <c r="C311" s="1480"/>
      <c r="D311" s="1480"/>
      <c r="E311" s="1480"/>
      <c r="F311" s="1480"/>
      <c r="G311" s="1480"/>
      <c r="H311" s="1480"/>
      <c r="I311" s="1480"/>
      <c r="J311" s="1480"/>
      <c r="K311" s="1480"/>
      <c r="L311" s="1480"/>
      <c r="M311" s="1480"/>
      <c r="N311" s="1480"/>
    </row>
    <row r="312" spans="1:14">
      <c r="A312" s="1647" t="s">
        <v>1555</v>
      </c>
      <c r="B312" s="1480"/>
      <c r="C312" s="1480"/>
      <c r="D312" s="1480"/>
      <c r="E312" s="1649"/>
      <c r="F312" s="1649"/>
      <c r="G312" s="1649">
        <f t="shared" ref="G312:N312" si="189">IFERROR(SUM(G304:G306)/G310,0)</f>
        <v>0.69303398398344451</v>
      </c>
      <c r="H312" s="1649">
        <f t="shared" si="189"/>
        <v>0.84815842665301278</v>
      </c>
      <c r="I312" s="1649">
        <f t="shared" si="189"/>
        <v>1</v>
      </c>
      <c r="J312" s="1649">
        <f t="shared" si="189"/>
        <v>0.44168766720876645</v>
      </c>
      <c r="K312" s="1649">
        <f t="shared" si="189"/>
        <v>0.42036451274674752</v>
      </c>
      <c r="L312" s="1649">
        <f t="shared" si="189"/>
        <v>0.4421985332872076</v>
      </c>
      <c r="M312" s="1649">
        <f t="shared" si="189"/>
        <v>0.42168199129681905</v>
      </c>
      <c r="N312" s="1649">
        <f t="shared" si="189"/>
        <v>0.38531911177082384</v>
      </c>
    </row>
    <row r="313" spans="1:14">
      <c r="A313" s="1647" t="s">
        <v>1549</v>
      </c>
      <c r="B313" s="1480"/>
      <c r="C313" s="1480"/>
      <c r="D313" s="1480"/>
      <c r="E313" s="1649"/>
      <c r="F313" s="1649"/>
      <c r="G313" s="1649">
        <f>IFERROR(SUM(G307:G309)/G310,0)</f>
        <v>0.30696601601655549</v>
      </c>
      <c r="H313" s="1649">
        <f t="shared" ref="H313:N313" si="190">IFERROR(SUM(H307:H309)/H310,0)</f>
        <v>0.15184157334698736</v>
      </c>
      <c r="I313" s="1649">
        <f t="shared" si="190"/>
        <v>0</v>
      </c>
      <c r="J313" s="1649">
        <f t="shared" si="190"/>
        <v>0.5583123327912336</v>
      </c>
      <c r="K313" s="1649">
        <f t="shared" si="190"/>
        <v>0.57963548725325242</v>
      </c>
      <c r="L313" s="1649">
        <f t="shared" si="190"/>
        <v>0.5578014667127924</v>
      </c>
      <c r="M313" s="1649">
        <f t="shared" si="190"/>
        <v>0.57831800870318084</v>
      </c>
      <c r="N313" s="1649">
        <f t="shared" si="190"/>
        <v>0.6146808882291761</v>
      </c>
    </row>
    <row r="314" spans="1:14">
      <c r="A314" s="1647"/>
      <c r="B314" s="1480"/>
      <c r="C314" s="1480"/>
      <c r="D314" s="1480"/>
      <c r="E314" s="1480"/>
      <c r="F314" s="1480"/>
      <c r="G314" s="1480"/>
      <c r="H314" s="1480"/>
      <c r="I314" s="1480"/>
      <c r="J314" s="1480"/>
      <c r="K314" s="1480"/>
      <c r="L314" s="1480"/>
      <c r="M314" s="1480"/>
      <c r="N314" s="1480"/>
    </row>
    <row r="315" spans="1:14">
      <c r="A315" s="1648" t="s">
        <v>1557</v>
      </c>
      <c r="B315" s="1480"/>
      <c r="C315" s="1480"/>
      <c r="D315" s="1480"/>
      <c r="E315" s="1480"/>
      <c r="F315" s="1480"/>
      <c r="G315" s="1480"/>
      <c r="H315" s="1480"/>
      <c r="I315" s="1480"/>
      <c r="J315" s="1480"/>
      <c r="K315" s="1480"/>
      <c r="L315" s="1480"/>
      <c r="M315" s="1480"/>
      <c r="N315" s="1480"/>
    </row>
    <row r="316" spans="1:14">
      <c r="A316" s="1647" t="s">
        <v>1765</v>
      </c>
      <c r="B316" s="1480"/>
      <c r="C316" s="1480"/>
      <c r="D316" s="1480"/>
      <c r="E316" s="1652"/>
      <c r="F316" s="1652"/>
      <c r="G316" s="1651">
        <f t="shared" ref="G316" si="191">IFERROR(G292/G304,0)</f>
        <v>0.5710378016392994</v>
      </c>
      <c r="H316" s="1651">
        <f t="shared" ref="H316:N316" si="192">IFERROR(H292/H304,0)</f>
        <v>0.63527575196957353</v>
      </c>
      <c r="I316" s="1651">
        <f t="shared" si="192"/>
        <v>0.65262162286417147</v>
      </c>
      <c r="J316" s="1651">
        <f t="shared" si="192"/>
        <v>0</v>
      </c>
      <c r="K316" s="1651">
        <f t="shared" si="192"/>
        <v>0</v>
      </c>
      <c r="L316" s="1651">
        <f t="shared" si="192"/>
        <v>0</v>
      </c>
      <c r="M316" s="1651">
        <f t="shared" si="192"/>
        <v>0</v>
      </c>
      <c r="N316" s="1651">
        <f t="shared" si="192"/>
        <v>0</v>
      </c>
    </row>
    <row r="317" spans="1:14">
      <c r="A317" s="1647" t="s">
        <v>1760</v>
      </c>
      <c r="B317" s="1480"/>
      <c r="C317" s="1480"/>
      <c r="D317" s="1480"/>
      <c r="E317" s="1652"/>
      <c r="F317" s="1652"/>
      <c r="G317" s="1651">
        <f t="shared" ref="G317:N317" si="193">IFERROR(G293/G305,0)</f>
        <v>0.63561326952418562</v>
      </c>
      <c r="H317" s="1651">
        <f t="shared" si="193"/>
        <v>0</v>
      </c>
      <c r="I317" s="1651">
        <f t="shared" si="193"/>
        <v>0</v>
      </c>
      <c r="J317" s="1651">
        <f t="shared" si="193"/>
        <v>0</v>
      </c>
      <c r="K317" s="1651">
        <f t="shared" si="193"/>
        <v>0</v>
      </c>
      <c r="L317" s="1651">
        <f t="shared" si="193"/>
        <v>0</v>
      </c>
      <c r="M317" s="1651">
        <f t="shared" si="193"/>
        <v>0</v>
      </c>
      <c r="N317" s="1651">
        <f t="shared" si="193"/>
        <v>0</v>
      </c>
    </row>
    <row r="318" spans="1:14">
      <c r="A318" s="1647" t="s">
        <v>1761</v>
      </c>
      <c r="B318" s="1480"/>
      <c r="C318" s="1480"/>
      <c r="D318" s="1480"/>
      <c r="E318" s="1652"/>
      <c r="F318" s="1652"/>
      <c r="G318" s="1651">
        <f t="shared" ref="G318:N318" si="194">IFERROR(G294/G306,0)</f>
        <v>0.63561326952418562</v>
      </c>
      <c r="H318" s="1651">
        <f t="shared" si="194"/>
        <v>0.70307999324870396</v>
      </c>
      <c r="I318" s="1651">
        <f t="shared" si="194"/>
        <v>0.72381607620725841</v>
      </c>
      <c r="J318" s="1651">
        <f t="shared" si="194"/>
        <v>0.68472233063950672</v>
      </c>
      <c r="K318" s="1651">
        <f t="shared" si="194"/>
        <v>0.71264795461193264</v>
      </c>
      <c r="L318" s="1651">
        <f t="shared" si="194"/>
        <v>0.72909630393346914</v>
      </c>
      <c r="M318" s="1651">
        <f t="shared" si="194"/>
        <v>0.68016387513369458</v>
      </c>
      <c r="N318" s="1651">
        <f t="shared" si="194"/>
        <v>0.64812632912984391</v>
      </c>
    </row>
    <row r="319" spans="1:14">
      <c r="A319" s="1647" t="s">
        <v>1766</v>
      </c>
      <c r="B319" s="1480"/>
      <c r="C319" s="1480"/>
      <c r="D319" s="1480"/>
      <c r="E319" s="1652"/>
      <c r="F319" s="1652"/>
      <c r="G319" s="1651">
        <f t="shared" ref="G319" si="195">IFERROR(G295/G307,0)</f>
        <v>0.56756212830779773</v>
      </c>
      <c r="H319" s="1651">
        <f t="shared" ref="H319:N319" si="196">IFERROR(H295/H307,0)</f>
        <v>0.63162629497149669</v>
      </c>
      <c r="I319" s="1651">
        <f t="shared" si="196"/>
        <v>0</v>
      </c>
      <c r="J319" s="1651">
        <f t="shared" si="196"/>
        <v>0</v>
      </c>
      <c r="K319" s="1651">
        <f t="shared" si="196"/>
        <v>0</v>
      </c>
      <c r="L319" s="1651">
        <f t="shared" si="196"/>
        <v>0</v>
      </c>
      <c r="M319" s="1651">
        <f t="shared" si="196"/>
        <v>0</v>
      </c>
      <c r="N319" s="1651">
        <f t="shared" si="196"/>
        <v>0</v>
      </c>
    </row>
    <row r="320" spans="1:14">
      <c r="A320" s="1647" t="s">
        <v>1763</v>
      </c>
      <c r="B320" s="1480"/>
      <c r="C320" s="1480"/>
      <c r="D320" s="1480"/>
      <c r="E320" s="1652"/>
      <c r="F320" s="1652"/>
      <c r="G320" s="1651">
        <f t="shared" ref="G320:N320" si="197">IFERROR(G296/G308,0)</f>
        <v>0.62852005864356975</v>
      </c>
      <c r="H320" s="1651">
        <f t="shared" si="197"/>
        <v>0.69563212182405743</v>
      </c>
      <c r="I320" s="1651">
        <f t="shared" si="197"/>
        <v>0</v>
      </c>
      <c r="J320" s="1651">
        <f t="shared" si="197"/>
        <v>0</v>
      </c>
      <c r="K320" s="1651">
        <f t="shared" si="197"/>
        <v>0</v>
      </c>
      <c r="L320" s="1651">
        <f t="shared" si="197"/>
        <v>0</v>
      </c>
      <c r="M320" s="1651">
        <f t="shared" si="197"/>
        <v>0</v>
      </c>
      <c r="N320" s="1651">
        <f t="shared" si="197"/>
        <v>0</v>
      </c>
    </row>
    <row r="321" spans="1:14">
      <c r="A321" s="1647" t="s">
        <v>1764</v>
      </c>
      <c r="B321" s="1480"/>
      <c r="C321" s="1480"/>
      <c r="D321" s="1480"/>
      <c r="E321" s="1652"/>
      <c r="F321" s="1652"/>
      <c r="G321" s="1651">
        <f t="shared" ref="G321:N321" si="198">IFERROR(G297/G309,0)</f>
        <v>0</v>
      </c>
      <c r="H321" s="1651">
        <f t="shared" si="198"/>
        <v>0</v>
      </c>
      <c r="I321" s="1651">
        <f t="shared" si="198"/>
        <v>0</v>
      </c>
      <c r="J321" s="1651">
        <f t="shared" si="198"/>
        <v>0.67651105239383391</v>
      </c>
      <c r="K321" s="1651">
        <f t="shared" si="198"/>
        <v>0.70402611245397606</v>
      </c>
      <c r="L321" s="1651">
        <f t="shared" si="198"/>
        <v>0.72004336966761473</v>
      </c>
      <c r="M321" s="1651">
        <f t="shared" si="198"/>
        <v>0.67065829415454747</v>
      </c>
      <c r="N321" s="1651">
        <f t="shared" si="198"/>
        <v>0.63814546910173953</v>
      </c>
    </row>
    <row r="322" spans="1:14">
      <c r="A322" s="1841" t="s">
        <v>54</v>
      </c>
      <c r="B322" s="1842"/>
      <c r="C322" s="1842"/>
      <c r="D322" s="1842"/>
      <c r="E322" s="1653"/>
      <c r="F322" s="1653"/>
      <c r="G322" s="1657">
        <f t="shared" ref="G322" si="199">IFERROR(G298/G310,0)</f>
        <v>0.59266627168637054</v>
      </c>
      <c r="H322" s="1657">
        <f t="shared" ref="H322:N322" si="200">IFERROR(H298/H310,0)</f>
        <v>0.6746568529596485</v>
      </c>
      <c r="I322" s="1657">
        <f t="shared" si="200"/>
        <v>0.71751436851388906</v>
      </c>
      <c r="J322" s="1657">
        <f t="shared" si="200"/>
        <v>0.68013787272696724</v>
      </c>
      <c r="K322" s="1657">
        <f t="shared" si="200"/>
        <v>0.70765042893168484</v>
      </c>
      <c r="L322" s="1657">
        <f t="shared" si="200"/>
        <v>0.72404656392192102</v>
      </c>
      <c r="M322" s="1657">
        <f t="shared" si="200"/>
        <v>0.67466662647026732</v>
      </c>
      <c r="N322" s="1657">
        <f t="shared" si="200"/>
        <v>0.64199128522247761</v>
      </c>
    </row>
    <row r="323" spans="1:14">
      <c r="A323" s="1647"/>
      <c r="B323" s="1480"/>
      <c r="C323" s="1480"/>
      <c r="D323" s="1480"/>
      <c r="E323" s="1480"/>
      <c r="F323" s="1480"/>
      <c r="G323" s="1480"/>
      <c r="H323" s="1480"/>
      <c r="I323" s="1480"/>
      <c r="J323" s="1480"/>
      <c r="K323" s="1480"/>
      <c r="L323" s="1480"/>
      <c r="M323" s="1480"/>
      <c r="N323" s="1480"/>
    </row>
    <row r="324" spans="1:14">
      <c r="A324" s="1648" t="s">
        <v>326</v>
      </c>
      <c r="B324" s="1480"/>
      <c r="C324" s="1480"/>
      <c r="D324" s="1480"/>
      <c r="E324" s="1480"/>
      <c r="F324" s="1480"/>
      <c r="G324" s="1480"/>
      <c r="H324" s="1480"/>
      <c r="I324" s="1480"/>
      <c r="J324" s="1480"/>
      <c r="K324" s="1480"/>
      <c r="L324" s="1480"/>
      <c r="M324" s="1480"/>
      <c r="N324" s="1480"/>
    </row>
    <row r="325" spans="1:14">
      <c r="A325" s="1647" t="s">
        <v>1765</v>
      </c>
      <c r="B325" s="1480"/>
      <c r="C325" s="1480"/>
      <c r="D325" s="1480"/>
      <c r="E325" s="1652"/>
      <c r="F325" s="1652"/>
      <c r="G325" s="1652">
        <f>G$331*(G304/G$310)</f>
        <v>9942458.2821960002</v>
      </c>
      <c r="H325" s="1652">
        <f t="shared" ref="H325:N325" si="201">H$331*(H304/H$310)</f>
        <v>7701721.1715179998</v>
      </c>
      <c r="I325" s="1652">
        <f t="shared" si="201"/>
        <v>2443284.7205535993</v>
      </c>
      <c r="J325" s="1652">
        <f t="shared" si="201"/>
        <v>0</v>
      </c>
      <c r="K325" s="1652">
        <f t="shared" si="201"/>
        <v>0</v>
      </c>
      <c r="L325" s="1652">
        <f t="shared" si="201"/>
        <v>0</v>
      </c>
      <c r="M325" s="1652">
        <f t="shared" si="201"/>
        <v>0</v>
      </c>
      <c r="N325" s="1652">
        <f t="shared" si="201"/>
        <v>0</v>
      </c>
    </row>
    <row r="326" spans="1:14">
      <c r="A326" s="1647" t="s">
        <v>1760</v>
      </c>
      <c r="B326" s="1480"/>
      <c r="C326" s="1480"/>
      <c r="D326" s="1480"/>
      <c r="E326" s="1652"/>
      <c r="F326" s="1652"/>
      <c r="G326" s="1652">
        <f t="shared" ref="G326:N330" si="202">G$331*(G305/G$310)</f>
        <v>641448.921432</v>
      </c>
      <c r="H326" s="1652">
        <f t="shared" si="202"/>
        <v>0</v>
      </c>
      <c r="I326" s="1652">
        <f t="shared" si="202"/>
        <v>0</v>
      </c>
      <c r="J326" s="1652">
        <f t="shared" si="202"/>
        <v>0</v>
      </c>
      <c r="K326" s="1652">
        <f t="shared" si="202"/>
        <v>0</v>
      </c>
      <c r="L326" s="1652">
        <f t="shared" si="202"/>
        <v>0</v>
      </c>
      <c r="M326" s="1652">
        <f t="shared" si="202"/>
        <v>0</v>
      </c>
      <c r="N326" s="1652">
        <f t="shared" si="202"/>
        <v>0</v>
      </c>
    </row>
    <row r="327" spans="1:14">
      <c r="A327" s="1647" t="s">
        <v>1761</v>
      </c>
      <c r="B327" s="1480"/>
      <c r="C327" s="1480"/>
      <c r="D327" s="1480"/>
      <c r="E327" s="1652"/>
      <c r="F327" s="1652"/>
      <c r="G327" s="1652">
        <f t="shared" si="202"/>
        <v>7994707.3004963994</v>
      </c>
      <c r="H327" s="1652">
        <f t="shared" si="202"/>
        <v>11343121.888030557</v>
      </c>
      <c r="I327" s="1652">
        <f t="shared" si="202"/>
        <v>25160077.49574843</v>
      </c>
      <c r="J327" s="1652">
        <f t="shared" si="202"/>
        <v>33571580.102111146</v>
      </c>
      <c r="K327" s="1652">
        <f t="shared" si="202"/>
        <v>36438157.204012081</v>
      </c>
      <c r="L327" s="1652">
        <f t="shared" si="202"/>
        <v>38330780.031877249</v>
      </c>
      <c r="M327" s="1652">
        <f t="shared" si="202"/>
        <v>36552359.257384129</v>
      </c>
      <c r="N327" s="1652">
        <f t="shared" si="202"/>
        <v>33400341.70980151</v>
      </c>
    </row>
    <row r="328" spans="1:14">
      <c r="A328" s="1647" t="s">
        <v>1766</v>
      </c>
      <c r="B328" s="1480"/>
      <c r="C328" s="1480"/>
      <c r="D328" s="1480"/>
      <c r="E328" s="1652"/>
      <c r="F328" s="1652"/>
      <c r="G328" s="1652">
        <f t="shared" si="202"/>
        <v>7396888.4633600004</v>
      </c>
      <c r="H328" s="1652">
        <f t="shared" si="202"/>
        <v>1415810.6824399999</v>
      </c>
      <c r="I328" s="1652">
        <f t="shared" si="202"/>
        <v>0</v>
      </c>
      <c r="J328" s="1652">
        <f t="shared" si="202"/>
        <v>0</v>
      </c>
      <c r="K328" s="1652">
        <f t="shared" si="202"/>
        <v>0</v>
      </c>
      <c r="L328" s="1652">
        <f t="shared" si="202"/>
        <v>0</v>
      </c>
      <c r="M328" s="1652">
        <f t="shared" si="202"/>
        <v>0</v>
      </c>
      <c r="N328" s="1652">
        <f t="shared" si="202"/>
        <v>0</v>
      </c>
    </row>
    <row r="329" spans="1:14">
      <c r="A329" s="1647" t="s">
        <v>1763</v>
      </c>
      <c r="B329" s="1480"/>
      <c r="C329" s="1480"/>
      <c r="D329" s="1480"/>
      <c r="E329" s="1652"/>
      <c r="F329" s="1652"/>
      <c r="G329" s="1652">
        <f t="shared" si="202"/>
        <v>832149.95212799998</v>
      </c>
      <c r="H329" s="1652">
        <f t="shared" si="202"/>
        <v>1993692.5936400001</v>
      </c>
      <c r="I329" s="1652">
        <f t="shared" si="202"/>
        <v>0</v>
      </c>
      <c r="J329" s="1652">
        <f t="shared" si="202"/>
        <v>0</v>
      </c>
      <c r="K329" s="1652">
        <f t="shared" si="202"/>
        <v>0</v>
      </c>
      <c r="L329" s="1652">
        <f t="shared" si="202"/>
        <v>0</v>
      </c>
      <c r="M329" s="1652">
        <f t="shared" si="202"/>
        <v>0</v>
      </c>
      <c r="N329" s="1652">
        <f t="shared" si="202"/>
        <v>0</v>
      </c>
    </row>
    <row r="330" spans="1:14">
      <c r="A330" s="1647" t="s">
        <v>1764</v>
      </c>
      <c r="B330" s="1480"/>
      <c r="C330" s="1480"/>
      <c r="D330" s="1480"/>
      <c r="E330" s="1652"/>
      <c r="F330" s="1652"/>
      <c r="G330" s="1652">
        <f t="shared" si="202"/>
        <v>0</v>
      </c>
      <c r="H330" s="1652">
        <f t="shared" si="202"/>
        <v>0</v>
      </c>
      <c r="I330" s="1652">
        <f t="shared" si="202"/>
        <v>0</v>
      </c>
      <c r="J330" s="1652">
        <f t="shared" si="202"/>
        <v>42435930.622075155</v>
      </c>
      <c r="K330" s="1652">
        <f t="shared" si="202"/>
        <v>50244129.475987911</v>
      </c>
      <c r="L330" s="1652">
        <f t="shared" si="202"/>
        <v>48351506.648122743</v>
      </c>
      <c r="M330" s="1652">
        <f t="shared" si="202"/>
        <v>50129927.422615856</v>
      </c>
      <c r="N330" s="1652">
        <f t="shared" si="202"/>
        <v>53281944.970198475</v>
      </c>
    </row>
    <row r="331" spans="1:14">
      <c r="A331" s="1841" t="s">
        <v>54</v>
      </c>
      <c r="B331" s="1842"/>
      <c r="C331" s="1842"/>
      <c r="D331" s="1842"/>
      <c r="E331" s="1653"/>
      <c r="F331" s="1653"/>
      <c r="G331" s="1653">
        <f>SUM('Manufacturing cost analysis'!AU35:AU36)-SUM('Manufacturing cost analysis'!AW35:AW36)</f>
        <v>26807652.9196124</v>
      </c>
      <c r="H331" s="1653">
        <f>SUM('Manufacturing cost analysis'!AY35:AY36)-SUM('Manufacturing cost analysis'!BA35:BA36)</f>
        <v>22454346.335628554</v>
      </c>
      <c r="I331" s="1653">
        <f>SUM('Manufacturing cost analysis'!BC35:BC36)-SUM('Manufacturing cost analysis'!BE35:BE36)</f>
        <v>27603362.21630203</v>
      </c>
      <c r="J331" s="1653">
        <f>SUM('Manufacturing cost analysis'!BG35:BG36)-SUM('Manufacturing cost analysis'!BI35:BI36)</f>
        <v>76007510.724186301</v>
      </c>
      <c r="K331" s="1653">
        <f>SUM('Manufacturing cost analysis'!BK35:BK36)-SUM('Manufacturing cost analysis'!BM35:BM36)</f>
        <v>86682286.679999992</v>
      </c>
      <c r="L331" s="1653">
        <f>SUM('Manufacturing cost analysis'!BO35:BO36)-SUM('Manufacturing cost analysis'!BQ35:BQ36)</f>
        <v>86682286.679999992</v>
      </c>
      <c r="M331" s="1653">
        <f>SUM('Manufacturing cost analysis'!BS35:BS36)-SUM('Manufacturing cost analysis'!BU35:BU36)</f>
        <v>86682286.679999992</v>
      </c>
      <c r="N331" s="1653">
        <f>SUM('Manufacturing cost analysis'!BW35:BW36)-SUM('Manufacturing cost analysis'!BY35:BY36)</f>
        <v>86682286.679999992</v>
      </c>
    </row>
    <row r="332" spans="1:14">
      <c r="A332" s="1859"/>
      <c r="B332" s="1860"/>
      <c r="C332" s="1860"/>
      <c r="D332" s="1860"/>
      <c r="E332" s="1861"/>
      <c r="F332" s="1861"/>
      <c r="G332" s="1861"/>
      <c r="H332" s="1861"/>
      <c r="I332" s="1861"/>
      <c r="J332" s="1861"/>
      <c r="K332" s="1861"/>
      <c r="L332" s="1861"/>
      <c r="M332" s="1861"/>
      <c r="N332" s="1861"/>
    </row>
    <row r="333" spans="1:14">
      <c r="A333" s="1838" t="s">
        <v>1555</v>
      </c>
      <c r="B333" s="1838"/>
      <c r="C333" s="1838"/>
      <c r="D333" s="1838"/>
      <c r="E333" s="1838"/>
      <c r="F333" s="1854" t="e">
        <f>F316/E316-1</f>
        <v>#DIV/0!</v>
      </c>
      <c r="G333" s="1854" t="e">
        <f>G316/F316-1</f>
        <v>#DIV/0!</v>
      </c>
      <c r="H333" s="1854">
        <f>H316/G316-1</f>
        <v>0.11249334132672795</v>
      </c>
      <c r="I333" s="1854">
        <f>I316/H316-1</f>
        <v>2.7304475010764717E-2</v>
      </c>
      <c r="J333" s="1854">
        <f>J316/I316-1</f>
        <v>-1</v>
      </c>
      <c r="K333" s="1854" t="e">
        <f>K316/J316-1</f>
        <v>#DIV/0!</v>
      </c>
      <c r="L333" s="1854" t="e">
        <f>L316/K316-1</f>
        <v>#DIV/0!</v>
      </c>
      <c r="M333" s="1854" t="e">
        <f>M316/L316-1</f>
        <v>#DIV/0!</v>
      </c>
      <c r="N333" s="1854" t="e">
        <f>N316/M316-1</f>
        <v>#DIV/0!</v>
      </c>
    </row>
    <row r="334" spans="1:14">
      <c r="A334" s="1838" t="s">
        <v>1549</v>
      </c>
      <c r="B334" s="1838"/>
      <c r="C334" s="1838"/>
      <c r="D334" s="1838"/>
      <c r="E334" s="1838"/>
      <c r="F334" s="1854" t="e">
        <f>F319/E319-1</f>
        <v>#DIV/0!</v>
      </c>
      <c r="G334" s="1854" t="e">
        <f>G319/F319-1</f>
        <v>#DIV/0!</v>
      </c>
      <c r="H334" s="1854">
        <f>H319/G319-1</f>
        <v>0.11287604205500479</v>
      </c>
      <c r="I334" s="1854">
        <f>I319/H319-1</f>
        <v>-1</v>
      </c>
      <c r="J334" s="1854" t="e">
        <f>J319/I319-1</f>
        <v>#DIV/0!</v>
      </c>
      <c r="K334" s="1854" t="e">
        <f>K319/J319-1</f>
        <v>#DIV/0!</v>
      </c>
      <c r="L334" s="1854" t="e">
        <f>L319/K319-1</f>
        <v>#DIV/0!</v>
      </c>
      <c r="M334" s="1854" t="e">
        <f>M319/L319-1</f>
        <v>#DIV/0!</v>
      </c>
      <c r="N334" s="1854" t="e">
        <f>N319/M319-1</f>
        <v>#DIV/0!</v>
      </c>
    </row>
    <row r="335" spans="1:14">
      <c r="A335" s="1838" t="s">
        <v>54</v>
      </c>
      <c r="B335" s="1838"/>
      <c r="C335" s="1838"/>
      <c r="D335" s="1838"/>
      <c r="E335" s="1838"/>
      <c r="F335" s="1855" t="e">
        <f t="shared" ref="F335" si="203">F322/E322-1</f>
        <v>#DIV/0!</v>
      </c>
      <c r="G335" s="1855" t="e">
        <f t="shared" ref="G335" si="204">G322/F322-1</f>
        <v>#DIV/0!</v>
      </c>
      <c r="H335" s="1855">
        <f t="shared" ref="H335" si="205">H322/G322-1</f>
        <v>0.13834190536941171</v>
      </c>
      <c r="I335" s="1855">
        <f t="shared" ref="I335" si="206">I322/H322-1</f>
        <v>6.3524909539166785E-2</v>
      </c>
      <c r="J335" s="1855">
        <f t="shared" ref="J335" si="207">J322/I322-1</f>
        <v>-5.2091633878128096E-2</v>
      </c>
      <c r="K335" s="1855">
        <f t="shared" ref="K335" si="208">K322/J322-1</f>
        <v>4.0451439785889054E-2</v>
      </c>
      <c r="L335" s="1855">
        <f t="shared" ref="L335" si="209">L322/K322-1</f>
        <v>2.3169822725874534E-2</v>
      </c>
      <c r="M335" s="1855">
        <f t="shared" ref="M335" si="210">M322/L322-1</f>
        <v>-6.8199947230159985E-2</v>
      </c>
      <c r="N335" s="1855">
        <f t="shared" ref="N335" si="211">N322/M322-1</f>
        <v>-4.8431832798283114E-2</v>
      </c>
    </row>
    <row r="336" spans="1:14">
      <c r="A336" s="1838"/>
      <c r="B336" s="1838"/>
      <c r="C336" s="1838"/>
      <c r="D336" s="1838"/>
      <c r="E336" s="1838"/>
      <c r="F336" s="1838"/>
      <c r="G336" s="1838"/>
      <c r="H336" s="1838"/>
      <c r="I336" s="1838"/>
      <c r="J336" s="1838"/>
      <c r="K336" s="1838"/>
      <c r="L336" s="1838"/>
      <c r="M336" s="1838"/>
      <c r="N336" s="1838"/>
    </row>
    <row r="337" spans="1:14">
      <c r="A337" s="1838"/>
      <c r="B337" s="1838"/>
      <c r="C337" s="1838"/>
      <c r="D337" s="1838"/>
      <c r="E337" s="1838"/>
      <c r="F337" s="1838"/>
      <c r="G337" s="1838"/>
      <c r="H337" s="1838"/>
      <c r="I337" s="1838"/>
      <c r="J337" s="1838"/>
      <c r="K337" s="1838"/>
      <c r="L337" s="1838"/>
      <c r="M337" s="1838"/>
      <c r="N337" s="1838"/>
    </row>
    <row r="338" spans="1:14" ht="20.25">
      <c r="A338" s="1838"/>
      <c r="B338" s="1838"/>
      <c r="C338" s="1838"/>
      <c r="D338" s="1839" t="s">
        <v>1560</v>
      </c>
      <c r="E338" s="1838" t="e">
        <f>E255/E258/(E304/E307)</f>
        <v>#DIV/0!</v>
      </c>
      <c r="F338" s="1838" t="e">
        <f>F255/F258/(F304/F307)</f>
        <v>#DIV/0!</v>
      </c>
      <c r="G338" s="1838">
        <f>G255/G258/(G304/G307)</f>
        <v>1.0593448223912414</v>
      </c>
      <c r="H338" s="1838"/>
      <c r="I338" s="1838"/>
      <c r="J338" s="1840" t="s">
        <v>1558</v>
      </c>
      <c r="K338" s="1838"/>
      <c r="L338" s="1838"/>
      <c r="M338" s="1838"/>
      <c r="N338" s="1838"/>
    </row>
    <row r="339" spans="1:14" ht="18.75">
      <c r="A339" s="1838"/>
      <c r="B339" s="1838"/>
      <c r="C339" s="1838"/>
      <c r="D339" s="1839"/>
      <c r="E339" s="1838"/>
      <c r="F339" s="1838"/>
      <c r="G339" s="1838"/>
      <c r="H339" s="1838"/>
      <c r="I339" s="1838"/>
      <c r="J339" s="1838"/>
      <c r="K339" s="1838"/>
      <c r="L339" s="1838"/>
      <c r="M339" s="1838"/>
      <c r="N339" s="1838"/>
    </row>
    <row r="340" spans="1:14" ht="18.75">
      <c r="A340" s="1838"/>
      <c r="B340" s="1838"/>
      <c r="C340" s="1838"/>
      <c r="D340" s="1839"/>
      <c r="E340" s="1838"/>
      <c r="F340" s="1838"/>
      <c r="G340" s="1838"/>
      <c r="H340" s="1838"/>
      <c r="I340" s="1838"/>
      <c r="J340" s="1838"/>
      <c r="K340" s="1838"/>
      <c r="L340" s="1838"/>
      <c r="M340" s="1838"/>
      <c r="N340" s="1838"/>
    </row>
    <row r="341" spans="1:14">
      <c r="A341" s="1838"/>
      <c r="B341" s="1838"/>
      <c r="C341" s="1838"/>
      <c r="D341" s="1838"/>
      <c r="E341" s="1838"/>
      <c r="F341" s="1838"/>
      <c r="G341" s="1838"/>
      <c r="H341" s="1838"/>
      <c r="I341" s="1838"/>
      <c r="J341" s="1838"/>
      <c r="K341" s="1838"/>
      <c r="L341" s="1838"/>
      <c r="M341" s="1838"/>
      <c r="N341" s="1838"/>
    </row>
    <row r="342" spans="1:14" ht="20.25">
      <c r="A342" s="1838"/>
      <c r="B342" s="1838"/>
      <c r="C342" s="1838"/>
      <c r="D342" s="1839" t="s">
        <v>1561</v>
      </c>
      <c r="E342" s="1838" t="e">
        <f>E280/E283/(E304/E307)</f>
        <v>#DIV/0!</v>
      </c>
      <c r="F342" s="1838" t="e">
        <f>(F267+F280)/(F270+F283)/(F304/F307)</f>
        <v>#DIV/0!</v>
      </c>
      <c r="G342" s="1838">
        <f>(G267+G280)/(G270+G283)/(G304/G307)</f>
        <v>1</v>
      </c>
      <c r="H342" s="1838"/>
      <c r="I342" s="1838"/>
      <c r="J342" s="1840" t="s">
        <v>1559</v>
      </c>
      <c r="K342" s="1838"/>
      <c r="L342" s="1838"/>
      <c r="M342" s="1838"/>
      <c r="N342" s="1838"/>
    </row>
    <row r="343" spans="1:14">
      <c r="A343" s="1838"/>
      <c r="B343" s="1838"/>
      <c r="C343" s="1838"/>
      <c r="D343" s="1838"/>
      <c r="E343" s="1838"/>
      <c r="F343" s="1838"/>
      <c r="G343" s="1838"/>
      <c r="H343" s="1838"/>
      <c r="I343" s="1838"/>
      <c r="J343" s="1838"/>
      <c r="K343" s="1838"/>
      <c r="L343" s="1838"/>
      <c r="M343" s="1838"/>
      <c r="N343" s="1838"/>
    </row>
    <row r="344" spans="1:14">
      <c r="A344" s="1838"/>
      <c r="B344" s="1838"/>
      <c r="C344" s="1838"/>
      <c r="D344" s="1838"/>
      <c r="E344" s="1838" t="s">
        <v>1563</v>
      </c>
      <c r="F344" s="1838" t="s">
        <v>1564</v>
      </c>
      <c r="G344" s="1838"/>
      <c r="H344" s="1838"/>
      <c r="I344" s="1838"/>
      <c r="J344" s="1838"/>
      <c r="K344" s="1838"/>
      <c r="L344" s="1838"/>
      <c r="M344" s="1838"/>
      <c r="N344" s="1838"/>
    </row>
    <row r="345" spans="1:14">
      <c r="A345" s="1856" t="s">
        <v>1562</v>
      </c>
      <c r="B345" s="1838"/>
      <c r="C345" s="1838"/>
      <c r="D345" s="1838"/>
      <c r="E345" s="1838">
        <v>1.5</v>
      </c>
      <c r="F345" s="1838">
        <v>1.5</v>
      </c>
      <c r="G345" s="1838"/>
      <c r="H345" s="1838"/>
      <c r="I345" s="1838"/>
      <c r="J345" s="1838"/>
      <c r="K345" s="1838"/>
      <c r="L345" s="1838"/>
      <c r="M345" s="1838"/>
      <c r="N345" s="1838"/>
    </row>
    <row r="346" spans="1:14">
      <c r="A346" s="1838"/>
      <c r="B346" s="1838"/>
      <c r="C346" s="1838"/>
      <c r="D346" s="1838"/>
      <c r="E346" s="1838"/>
      <c r="F346" s="1838"/>
      <c r="G346" s="1838"/>
      <c r="H346" s="1838"/>
      <c r="I346" s="1838"/>
      <c r="J346" s="1838"/>
      <c r="K346" s="1838"/>
      <c r="L346" s="1838"/>
      <c r="M346" s="1838"/>
      <c r="N346" s="1838"/>
    </row>
    <row r="347" spans="1:14">
      <c r="A347" s="1838"/>
      <c r="B347" s="1838"/>
      <c r="C347" s="1838"/>
      <c r="D347" s="1838"/>
      <c r="E347" s="1857" t="s">
        <v>5</v>
      </c>
      <c r="F347" s="1857" t="s">
        <v>6</v>
      </c>
      <c r="G347" s="1858" t="s">
        <v>7</v>
      </c>
      <c r="H347" s="1858" t="s">
        <v>13</v>
      </c>
      <c r="I347" s="1858" t="s">
        <v>14</v>
      </c>
      <c r="J347" s="1857" t="s">
        <v>15</v>
      </c>
      <c r="K347" s="1857" t="s">
        <v>16</v>
      </c>
      <c r="L347" s="1857" t="s">
        <v>17</v>
      </c>
      <c r="M347" s="1857" t="s">
        <v>18</v>
      </c>
      <c r="N347" s="1857" t="s">
        <v>19</v>
      </c>
    </row>
    <row r="348" spans="1:14">
      <c r="A348" s="1840" t="s">
        <v>1565</v>
      </c>
      <c r="B348" s="1838"/>
      <c r="C348" s="1838"/>
      <c r="D348" s="1838"/>
      <c r="E348" s="1838">
        <f t="shared" ref="E348:I348" si="212">IFERROR($E$226*E304/E307,0)</f>
        <v>0</v>
      </c>
      <c r="F348" s="1838">
        <f t="shared" si="212"/>
        <v>0</v>
      </c>
      <c r="G348" s="1838">
        <f t="shared" si="212"/>
        <v>2.0162109374999999</v>
      </c>
      <c r="H348" s="1838">
        <f t="shared" si="212"/>
        <v>8.159693877551021</v>
      </c>
      <c r="I348" s="1838">
        <f t="shared" si="212"/>
        <v>0</v>
      </c>
      <c r="J348" s="1838">
        <f>IFERROR($E$226*J304/J307,0)</f>
        <v>0</v>
      </c>
      <c r="K348" s="1838">
        <f t="shared" ref="K348:N348" si="213">IFERROR($E$226*K304/K307,0)</f>
        <v>0</v>
      </c>
      <c r="L348" s="1838">
        <f t="shared" si="213"/>
        <v>0</v>
      </c>
      <c r="M348" s="1838">
        <f t="shared" si="213"/>
        <v>0</v>
      </c>
      <c r="N348" s="1838">
        <f t="shared" si="213"/>
        <v>0</v>
      </c>
    </row>
    <row r="349" spans="1:14">
      <c r="A349" s="1840" t="s">
        <v>1566</v>
      </c>
      <c r="B349" s="1838"/>
      <c r="C349" s="1838"/>
      <c r="D349" s="1838"/>
      <c r="E349" s="1838">
        <f t="shared" ref="E349:I349" si="214">IFERROR($F$226*E304/E307,0)</f>
        <v>0</v>
      </c>
      <c r="F349" s="1838">
        <f t="shared" si="214"/>
        <v>0</v>
      </c>
      <c r="G349" s="1838">
        <f t="shared" si="214"/>
        <v>2.0162109374999999</v>
      </c>
      <c r="H349" s="1838">
        <f t="shared" si="214"/>
        <v>8.159693877551021</v>
      </c>
      <c r="I349" s="1838">
        <f t="shared" si="214"/>
        <v>0</v>
      </c>
      <c r="J349" s="1838">
        <f>IFERROR($F$226*J304/J307,0)</f>
        <v>0</v>
      </c>
      <c r="K349" s="1838">
        <f t="shared" ref="K349:N349" si="215">IFERROR($F$226*K304/K307,0)</f>
        <v>0</v>
      </c>
      <c r="L349" s="1838">
        <f t="shared" si="215"/>
        <v>0</v>
      </c>
      <c r="M349" s="1838">
        <f t="shared" si="215"/>
        <v>0</v>
      </c>
      <c r="N349" s="1838">
        <f t="shared" si="215"/>
        <v>0</v>
      </c>
    </row>
  </sheetData>
  <mergeCells count="1">
    <mergeCell ref="A81:N81"/>
  </mergeCells>
  <phoneticPr fontId="301" type="noConversion"/>
  <conditionalFormatting sqref="F35:N35">
    <cfRule type="cellIs" dxfId="1" priority="2" operator="notEqual">
      <formula>F$34</formula>
    </cfRule>
  </conditionalFormatting>
  <conditionalFormatting sqref="G30:N32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rgb="FFFFC000"/>
  </sheetPr>
  <dimension ref="A1:XEG184"/>
  <sheetViews>
    <sheetView zoomScale="80" zoomScaleNormal="80" workbookViewId="0">
      <pane xSplit="3" ySplit="4" topLeftCell="V162" activePane="bottomRight" state="frozen"/>
      <selection pane="topRight" activeCell="D1" sqref="D1"/>
      <selection pane="bottomLeft" activeCell="A5" sqref="A5"/>
      <selection pane="bottomRight" activeCell="AB172" sqref="AB172:AD172"/>
    </sheetView>
  </sheetViews>
  <sheetFormatPr defaultColWidth="9.140625" defaultRowHeight="17.25" outlineLevelRow="2" outlineLevelCol="1"/>
  <cols>
    <col min="1" max="1" width="7.28515625" style="825" customWidth="1"/>
    <col min="2" max="2" width="3.5703125" style="825" customWidth="1"/>
    <col min="3" max="3" width="50.140625" style="839" bestFit="1" customWidth="1"/>
    <col min="4" max="4" width="14.5703125" style="839" customWidth="1"/>
    <col min="5" max="5" width="19.7109375" style="828" customWidth="1"/>
    <col min="6" max="6" width="6.85546875" style="839" customWidth="1"/>
    <col min="7" max="7" width="16.85546875" style="1366" hidden="1" customWidth="1" outlineLevel="1"/>
    <col min="8" max="8" width="19.7109375" style="828" customWidth="1" collapsed="1"/>
    <col min="9" max="9" width="15.5703125" style="1366" hidden="1" customWidth="1" outlineLevel="1"/>
    <col min="10" max="10" width="19.7109375" style="828" customWidth="1" collapsed="1"/>
    <col min="11" max="11" width="15.7109375" style="1365" hidden="1" customWidth="1" outlineLevel="1"/>
    <col min="12" max="12" width="19.7109375" style="828" customWidth="1" collapsed="1"/>
    <col min="13" max="13" width="9" style="839" bestFit="1" customWidth="1"/>
    <col min="14" max="14" width="14" style="1369" hidden="1" customWidth="1" outlineLevel="1"/>
    <col min="15" max="15" width="19.7109375" style="828" customWidth="1" collapsed="1"/>
    <col min="16" max="16" width="9.140625" style="839"/>
    <col min="17" max="17" width="2.5703125" style="825" customWidth="1"/>
    <col min="18" max="18" width="19.7109375" style="825" bestFit="1" customWidth="1" collapsed="1"/>
    <col min="19" max="19" width="3.140625" style="825" customWidth="1"/>
    <col min="20" max="20" width="19.7109375" style="828" customWidth="1"/>
    <col min="21" max="21" width="3.140625" style="825" customWidth="1"/>
    <col min="22" max="22" width="22.85546875" style="1365" customWidth="1"/>
    <col min="23" max="23" width="3.140625" style="825" customWidth="1"/>
    <col min="24" max="24" width="19.7109375" style="825" bestFit="1" customWidth="1" collapsed="1"/>
    <col min="25" max="25" width="2.5703125" style="825" customWidth="1"/>
    <col min="26" max="28" width="19.7109375" style="210" bestFit="1" customWidth="1" collapsed="1"/>
    <col min="29" max="29" width="3" style="210" customWidth="1"/>
    <col min="30" max="30" width="19.7109375" style="210" bestFit="1" customWidth="1" collapsed="1"/>
    <col min="31" max="31" width="2.5703125" style="825" customWidth="1"/>
    <col min="32" max="32" width="17.85546875" style="825" customWidth="1"/>
    <col min="33" max="33" width="2.5703125" style="825" customWidth="1"/>
    <col min="34" max="34" width="19.7109375" style="825" bestFit="1" customWidth="1" collapsed="1"/>
    <col min="35" max="35" width="2.85546875" style="825" customWidth="1"/>
    <col min="36" max="36" width="10.42578125" style="825" customWidth="1"/>
    <col min="37" max="37" width="19.28515625" style="825" customWidth="1"/>
    <col min="38" max="38" width="20" style="825" customWidth="1"/>
    <col min="39" max="39" width="20.28515625" style="825" bestFit="1" customWidth="1"/>
    <col min="40" max="45" width="16.28515625" style="825" customWidth="1"/>
    <col min="46" max="46" width="4.42578125" style="825" customWidth="1"/>
    <col min="47" max="47" width="20.5703125" style="711" customWidth="1"/>
    <col min="48" max="16384" width="9.140625" style="825"/>
  </cols>
  <sheetData>
    <row r="1" spans="1:47">
      <c r="A1" s="839"/>
      <c r="B1" s="965" t="s">
        <v>1112</v>
      </c>
      <c r="C1" s="826"/>
      <c r="D1" s="827" t="s">
        <v>1175</v>
      </c>
      <c r="E1" s="829" t="s">
        <v>378</v>
      </c>
      <c r="H1" s="829"/>
      <c r="I1" s="1367"/>
      <c r="J1" s="829"/>
      <c r="K1" s="1368"/>
      <c r="L1" s="829"/>
      <c r="O1" s="829"/>
      <c r="R1" s="839"/>
      <c r="T1" s="829"/>
      <c r="X1" s="839"/>
      <c r="Z1" s="330"/>
      <c r="AA1" s="330"/>
      <c r="AB1" s="1441"/>
      <c r="AD1" s="1442"/>
      <c r="AH1" s="839"/>
    </row>
    <row r="2" spans="1:47" ht="15" customHeight="1">
      <c r="A2" s="829"/>
      <c r="B2" s="829"/>
      <c r="C2" s="829"/>
      <c r="D2" s="829"/>
      <c r="E2" s="966" t="s">
        <v>721</v>
      </c>
      <c r="H2" s="966" t="s">
        <v>379</v>
      </c>
      <c r="I2" s="1370"/>
      <c r="J2" s="966" t="s">
        <v>1113</v>
      </c>
      <c r="K2" s="1371"/>
      <c r="L2" s="966" t="s">
        <v>1114</v>
      </c>
      <c r="M2" s="831" t="s">
        <v>1115</v>
      </c>
      <c r="N2" s="1372"/>
      <c r="O2" s="966" t="s">
        <v>1116</v>
      </c>
      <c r="P2" s="831" t="s">
        <v>1115</v>
      </c>
      <c r="R2" s="989" t="s">
        <v>1203</v>
      </c>
      <c r="T2" s="966" t="s">
        <v>1571</v>
      </c>
      <c r="V2" s="1473" t="s">
        <v>1572</v>
      </c>
      <c r="X2" s="1440" t="s">
        <v>1575</v>
      </c>
      <c r="Z2" s="1364" t="s">
        <v>1577</v>
      </c>
      <c r="AA2" s="1364" t="s">
        <v>1578</v>
      </c>
      <c r="AB2" s="1443" t="s">
        <v>1579</v>
      </c>
      <c r="AD2" s="1444" t="s">
        <v>1579</v>
      </c>
      <c r="AF2" s="1042" t="s">
        <v>1281</v>
      </c>
      <c r="AH2" s="1001" t="s">
        <v>1204</v>
      </c>
      <c r="AK2" s="1672" t="s">
        <v>542</v>
      </c>
      <c r="AL2" s="1672"/>
      <c r="AM2" s="1672"/>
      <c r="AN2" s="1672"/>
      <c r="AO2" s="1672"/>
      <c r="AP2" s="1672"/>
      <c r="AQ2" s="1672"/>
      <c r="AR2" s="1672"/>
      <c r="AS2" s="1672"/>
      <c r="AT2" s="1672"/>
      <c r="AU2" s="1672"/>
    </row>
    <row r="3" spans="1:47" ht="14.1" customHeight="1">
      <c r="A3" s="839" t="s">
        <v>819</v>
      </c>
      <c r="B3" s="831"/>
      <c r="D3" s="830"/>
      <c r="E3" s="967" t="s">
        <v>1117</v>
      </c>
      <c r="H3" s="967" t="s">
        <v>1570</v>
      </c>
      <c r="I3" s="1367"/>
      <c r="J3" s="967"/>
      <c r="K3" s="1368"/>
      <c r="L3" s="967" t="s">
        <v>54</v>
      </c>
      <c r="M3" s="968"/>
      <c r="N3" s="1372"/>
      <c r="O3" s="967" t="s">
        <v>820</v>
      </c>
      <c r="P3" s="968"/>
      <c r="R3" s="989"/>
      <c r="T3" s="967"/>
      <c r="V3" s="1473" t="s">
        <v>1573</v>
      </c>
      <c r="X3" s="1440" t="s">
        <v>1576</v>
      </c>
      <c r="Z3" s="1364" t="s">
        <v>1580</v>
      </c>
      <c r="AA3" s="1364" t="s">
        <v>1581</v>
      </c>
      <c r="AB3" s="1443" t="s">
        <v>6</v>
      </c>
      <c r="AD3" s="1444" t="s">
        <v>7</v>
      </c>
      <c r="AF3" s="990"/>
      <c r="AH3" s="1001" t="s">
        <v>1205</v>
      </c>
      <c r="AK3" s="1680" t="s">
        <v>1208</v>
      </c>
      <c r="AL3" s="1680" t="s">
        <v>1209</v>
      </c>
      <c r="AM3" s="1680" t="s">
        <v>543</v>
      </c>
      <c r="AN3" s="1680" t="s">
        <v>907</v>
      </c>
      <c r="AO3" s="1680" t="s">
        <v>1211</v>
      </c>
      <c r="AP3" s="1673" t="s">
        <v>1212</v>
      </c>
      <c r="AQ3" s="1673" t="s">
        <v>905</v>
      </c>
      <c r="AR3" s="1673" t="s">
        <v>906</v>
      </c>
      <c r="AS3" s="1681" t="s">
        <v>908</v>
      </c>
      <c r="AT3" s="985"/>
      <c r="AU3" s="1016" t="s">
        <v>88</v>
      </c>
    </row>
    <row r="4" spans="1:47">
      <c r="A4" s="831"/>
      <c r="B4" s="831"/>
      <c r="C4" s="831"/>
      <c r="D4" s="832"/>
      <c r="E4" s="969" t="s">
        <v>1118</v>
      </c>
      <c r="G4" s="1369"/>
      <c r="H4" s="969"/>
      <c r="J4" s="969"/>
      <c r="L4" s="969"/>
      <c r="O4" s="969"/>
      <c r="R4" s="990"/>
      <c r="T4" s="969" t="s">
        <v>1574</v>
      </c>
      <c r="V4" s="1373"/>
      <c r="X4" s="1440" t="s">
        <v>1206</v>
      </c>
      <c r="Z4" s="330"/>
      <c r="AA4" s="330"/>
      <c r="AB4" s="1441"/>
      <c r="AD4" s="1442"/>
      <c r="AF4" s="990"/>
      <c r="AH4" s="1002"/>
      <c r="AK4" s="1680"/>
      <c r="AL4" s="1680"/>
      <c r="AM4" s="1680"/>
      <c r="AN4" s="1680"/>
      <c r="AO4" s="1680"/>
      <c r="AP4" s="1673"/>
      <c r="AQ4" s="1673"/>
      <c r="AR4" s="1673"/>
      <c r="AS4" s="1681"/>
      <c r="AT4" s="293"/>
      <c r="AU4" s="1017"/>
    </row>
    <row r="5" spans="1:47">
      <c r="A5" s="835"/>
      <c r="B5" s="833" t="s">
        <v>1119</v>
      </c>
      <c r="C5" s="833"/>
      <c r="D5" s="834"/>
      <c r="E5" s="844"/>
      <c r="F5" s="330"/>
      <c r="G5" s="1374"/>
      <c r="H5" s="844"/>
      <c r="I5" s="1376"/>
      <c r="J5" s="844"/>
      <c r="K5" s="1377"/>
      <c r="L5" s="844"/>
      <c r="M5" s="1349"/>
      <c r="N5" s="1375"/>
      <c r="O5" s="844"/>
      <c r="R5" s="990"/>
      <c r="T5" s="844"/>
      <c r="V5" s="1377"/>
      <c r="X5" s="998"/>
      <c r="Z5" s="1349"/>
      <c r="AA5" s="1349"/>
      <c r="AB5" s="1445"/>
      <c r="AD5" s="1446"/>
      <c r="AF5" s="990"/>
      <c r="AH5" s="1002"/>
      <c r="AU5" s="1018"/>
    </row>
    <row r="6" spans="1:47">
      <c r="A6" s="835"/>
      <c r="B6" s="833"/>
      <c r="C6" s="836" t="s">
        <v>1120</v>
      </c>
      <c r="D6" s="837"/>
      <c r="E6" s="838">
        <f>SUM(D7:D29)</f>
        <v>77036528.589999989</v>
      </c>
      <c r="F6" s="330"/>
      <c r="G6" s="1378"/>
      <c r="H6" s="838">
        <f>SUM(G7:G29)</f>
        <v>74048580.349999979</v>
      </c>
      <c r="I6" s="1380"/>
      <c r="J6" s="838">
        <f>SUM(I7:I29)</f>
        <v>1870709.7</v>
      </c>
      <c r="K6" s="1381"/>
      <c r="L6" s="838">
        <f>SUM(K7:K29)</f>
        <v>75919290.049999982</v>
      </c>
      <c r="M6" s="1351">
        <f>L6/E6</f>
        <v>0.98549728861815522</v>
      </c>
      <c r="N6" s="1378"/>
      <c r="O6" s="838">
        <f>SUM(N7:N29)</f>
        <v>1117238.5399999998</v>
      </c>
      <c r="P6" s="840">
        <v>1.4502711381844731E-2</v>
      </c>
      <c r="R6" s="991">
        <v>-520000</v>
      </c>
      <c r="T6" s="838">
        <f t="shared" ref="T6:T37" si="0">E6+R6</f>
        <v>76516528.589999989</v>
      </c>
      <c r="V6" s="1379">
        <v>74048580.349999979</v>
      </c>
      <c r="X6" s="904">
        <f>T6-V6</f>
        <v>2467948.2400000095</v>
      </c>
      <c r="Z6" s="1350">
        <f>H6-V6</f>
        <v>0</v>
      </c>
      <c r="AA6" s="1350">
        <f>X6</f>
        <v>2467948.2400000095</v>
      </c>
      <c r="AB6" s="1447">
        <f>Z6+AA6</f>
        <v>2467948.2400000095</v>
      </c>
      <c r="AD6" s="1448">
        <f>X6-AB6</f>
        <v>0</v>
      </c>
      <c r="AF6" s="1043"/>
      <c r="AH6" s="1003">
        <f>T6+AF6</f>
        <v>76516528.589999989</v>
      </c>
      <c r="AL6" s="976">
        <f>AH6</f>
        <v>76516528.589999989</v>
      </c>
      <c r="AU6" s="1019">
        <f>SUM(AK6:AT6)</f>
        <v>76516528.589999989</v>
      </c>
    </row>
    <row r="7" spans="1:47" hidden="1" outlineLevel="1">
      <c r="A7" s="841">
        <v>1100</v>
      </c>
      <c r="B7" s="841"/>
      <c r="C7" s="842" t="s">
        <v>1121</v>
      </c>
      <c r="D7" s="843">
        <v>11602078</v>
      </c>
      <c r="E7" s="844"/>
      <c r="F7" s="330"/>
      <c r="G7" s="1382">
        <v>11602078</v>
      </c>
      <c r="H7" s="844"/>
      <c r="I7" s="1383">
        <v>0</v>
      </c>
      <c r="J7" s="844"/>
      <c r="K7" s="1384">
        <f t="shared" ref="K7:K29" si="1">G7+I7</f>
        <v>11602078</v>
      </c>
      <c r="L7" s="844"/>
      <c r="M7" s="330"/>
      <c r="N7" s="1382">
        <f t="shared" ref="N7:N29" si="2">D7-K7</f>
        <v>0</v>
      </c>
      <c r="O7" s="844"/>
      <c r="R7" s="425"/>
      <c r="T7" s="844">
        <f t="shared" si="0"/>
        <v>0</v>
      </c>
      <c r="V7" s="1374"/>
      <c r="X7" s="903">
        <f t="shared" ref="X7:X70" si="3">T7-V7</f>
        <v>0</v>
      </c>
      <c r="Z7" s="1352">
        <f t="shared" ref="Z7:Z70" si="4">H7-V7</f>
        <v>0</v>
      </c>
      <c r="AA7" s="1352"/>
      <c r="AB7" s="1449"/>
      <c r="AD7" s="1450"/>
      <c r="AF7" s="1043"/>
      <c r="AH7" s="1004">
        <f t="shared" ref="AH7:AH70" si="5">T7+AF7</f>
        <v>0</v>
      </c>
      <c r="AU7" s="1018"/>
    </row>
    <row r="8" spans="1:47" hidden="1" outlineLevel="1">
      <c r="A8" s="841">
        <v>1120</v>
      </c>
      <c r="B8" s="841"/>
      <c r="C8" s="842" t="s">
        <v>1122</v>
      </c>
      <c r="D8" s="843">
        <v>21460709.68</v>
      </c>
      <c r="E8" s="844"/>
      <c r="F8" s="330"/>
      <c r="G8" s="1382">
        <v>21168869.68</v>
      </c>
      <c r="H8" s="844"/>
      <c r="I8" s="1383">
        <v>291840</v>
      </c>
      <c r="J8" s="844"/>
      <c r="K8" s="1384">
        <f t="shared" si="1"/>
        <v>21460709.68</v>
      </c>
      <c r="L8" s="844"/>
      <c r="M8" s="330"/>
      <c r="N8" s="1382">
        <f t="shared" si="2"/>
        <v>0</v>
      </c>
      <c r="O8" s="844"/>
      <c r="R8" s="425"/>
      <c r="T8" s="844">
        <f t="shared" si="0"/>
        <v>0</v>
      </c>
      <c r="V8" s="1374"/>
      <c r="X8" s="903">
        <f t="shared" si="3"/>
        <v>0</v>
      </c>
      <c r="Z8" s="1352">
        <f t="shared" si="4"/>
        <v>0</v>
      </c>
      <c r="AA8" s="1352"/>
      <c r="AB8" s="1449"/>
      <c r="AD8" s="1450"/>
      <c r="AF8" s="1043"/>
      <c r="AH8" s="1004">
        <f t="shared" si="5"/>
        <v>0</v>
      </c>
      <c r="AU8" s="1018"/>
    </row>
    <row r="9" spans="1:47" hidden="1" outlineLevel="1">
      <c r="A9" s="841">
        <v>1140</v>
      </c>
      <c r="B9" s="841"/>
      <c r="C9" s="842" t="s">
        <v>1123</v>
      </c>
      <c r="D9" s="843">
        <v>10077124.84</v>
      </c>
      <c r="E9" s="844"/>
      <c r="F9" s="330"/>
      <c r="G9" s="1382">
        <v>9177954.8399999999</v>
      </c>
      <c r="H9" s="844"/>
      <c r="I9" s="1383">
        <v>132500</v>
      </c>
      <c r="J9" s="844"/>
      <c r="K9" s="1384">
        <f t="shared" si="1"/>
        <v>9310454.8399999999</v>
      </c>
      <c r="L9" s="844"/>
      <c r="M9" s="330"/>
      <c r="N9" s="1382">
        <f t="shared" si="2"/>
        <v>766670</v>
      </c>
      <c r="O9" s="844"/>
      <c r="R9" s="425"/>
      <c r="T9" s="844">
        <f t="shared" si="0"/>
        <v>0</v>
      </c>
      <c r="V9" s="1374"/>
      <c r="X9" s="903">
        <f t="shared" si="3"/>
        <v>0</v>
      </c>
      <c r="Z9" s="1352">
        <f t="shared" si="4"/>
        <v>0</v>
      </c>
      <c r="AA9" s="1352"/>
      <c r="AB9" s="1449"/>
      <c r="AD9" s="1450"/>
      <c r="AF9" s="1043"/>
      <c r="AH9" s="1004">
        <f t="shared" si="5"/>
        <v>0</v>
      </c>
      <c r="AU9" s="1018"/>
    </row>
    <row r="10" spans="1:47" hidden="1" outlineLevel="1">
      <c r="A10" s="841">
        <v>1160</v>
      </c>
      <c r="B10" s="841"/>
      <c r="C10" s="842" t="s">
        <v>1124</v>
      </c>
      <c r="D10" s="843">
        <v>8671150</v>
      </c>
      <c r="E10" s="844"/>
      <c r="F10" s="330"/>
      <c r="G10" s="1382">
        <v>8571150</v>
      </c>
      <c r="H10" s="844"/>
      <c r="I10" s="1383">
        <v>100000</v>
      </c>
      <c r="J10" s="844"/>
      <c r="K10" s="1384">
        <f t="shared" si="1"/>
        <v>8671150</v>
      </c>
      <c r="L10" s="844"/>
      <c r="M10" s="330"/>
      <c r="N10" s="1382">
        <f t="shared" si="2"/>
        <v>0</v>
      </c>
      <c r="O10" s="844"/>
      <c r="R10" s="425"/>
      <c r="T10" s="844">
        <f t="shared" si="0"/>
        <v>0</v>
      </c>
      <c r="V10" s="1374"/>
      <c r="X10" s="903">
        <f t="shared" si="3"/>
        <v>0</v>
      </c>
      <c r="Z10" s="1352">
        <f t="shared" si="4"/>
        <v>0</v>
      </c>
      <c r="AA10" s="1352"/>
      <c r="AB10" s="1449"/>
      <c r="AD10" s="1450"/>
      <c r="AF10" s="1043"/>
      <c r="AH10" s="1004">
        <f t="shared" si="5"/>
        <v>0</v>
      </c>
      <c r="AU10" s="1018"/>
    </row>
    <row r="11" spans="1:47" hidden="1" outlineLevel="1">
      <c r="A11" s="845">
        <v>1180</v>
      </c>
      <c r="B11" s="845"/>
      <c r="C11" s="842" t="s">
        <v>1125</v>
      </c>
      <c r="D11" s="843">
        <v>4240000</v>
      </c>
      <c r="E11" s="844"/>
      <c r="F11" s="330"/>
      <c r="G11" s="1382">
        <v>3902000</v>
      </c>
      <c r="H11" s="844"/>
      <c r="I11" s="1383">
        <v>132000</v>
      </c>
      <c r="J11" s="844"/>
      <c r="K11" s="1384">
        <f t="shared" si="1"/>
        <v>4034000</v>
      </c>
      <c r="L11" s="844"/>
      <c r="M11" s="330"/>
      <c r="N11" s="1382">
        <f t="shared" si="2"/>
        <v>206000</v>
      </c>
      <c r="O11" s="844"/>
      <c r="R11" s="425"/>
      <c r="T11" s="844">
        <f t="shared" si="0"/>
        <v>0</v>
      </c>
      <c r="V11" s="1374"/>
      <c r="X11" s="903">
        <f t="shared" si="3"/>
        <v>0</v>
      </c>
      <c r="Z11" s="1352">
        <f t="shared" si="4"/>
        <v>0</v>
      </c>
      <c r="AA11" s="1352"/>
      <c r="AB11" s="1449"/>
      <c r="AD11" s="1450"/>
      <c r="AF11" s="1043"/>
      <c r="AH11" s="1004">
        <f t="shared" si="5"/>
        <v>0</v>
      </c>
      <c r="AU11" s="1018"/>
    </row>
    <row r="12" spans="1:47" hidden="1" outlineLevel="1">
      <c r="A12" s="841">
        <v>1600</v>
      </c>
      <c r="B12" s="846"/>
      <c r="C12" s="842" t="s">
        <v>1126</v>
      </c>
      <c r="D12" s="843">
        <v>1291000</v>
      </c>
      <c r="E12" s="844"/>
      <c r="F12" s="330"/>
      <c r="G12" s="1382">
        <v>1102500</v>
      </c>
      <c r="H12" s="844"/>
      <c r="I12" s="1383">
        <v>144500</v>
      </c>
      <c r="J12" s="844"/>
      <c r="K12" s="1384">
        <f t="shared" si="1"/>
        <v>1247000</v>
      </c>
      <c r="L12" s="844"/>
      <c r="M12" s="330"/>
      <c r="N12" s="1382">
        <f t="shared" si="2"/>
        <v>44000</v>
      </c>
      <c r="O12" s="844"/>
      <c r="R12" s="425"/>
      <c r="T12" s="844">
        <f t="shared" si="0"/>
        <v>0</v>
      </c>
      <c r="V12" s="1374"/>
      <c r="X12" s="903">
        <f t="shared" si="3"/>
        <v>0</v>
      </c>
      <c r="Z12" s="1352">
        <f t="shared" si="4"/>
        <v>0</v>
      </c>
      <c r="AA12" s="1352"/>
      <c r="AB12" s="1449"/>
      <c r="AD12" s="1450"/>
      <c r="AF12" s="1043"/>
      <c r="AH12" s="1004">
        <f t="shared" si="5"/>
        <v>0</v>
      </c>
      <c r="AU12" s="1018"/>
    </row>
    <row r="13" spans="1:47" hidden="1" outlineLevel="1">
      <c r="A13" s="841">
        <v>1610</v>
      </c>
      <c r="B13" s="846"/>
      <c r="C13" s="847" t="s">
        <v>1127</v>
      </c>
      <c r="D13" s="843">
        <v>4593000</v>
      </c>
      <c r="E13" s="844"/>
      <c r="F13" s="330"/>
      <c r="G13" s="1382">
        <v>4443800</v>
      </c>
      <c r="H13" s="844"/>
      <c r="I13" s="1383">
        <v>149200</v>
      </c>
      <c r="J13" s="844"/>
      <c r="K13" s="1384">
        <f t="shared" si="1"/>
        <v>4593000</v>
      </c>
      <c r="L13" s="844"/>
      <c r="M13" s="330"/>
      <c r="N13" s="1382">
        <f t="shared" si="2"/>
        <v>0</v>
      </c>
      <c r="O13" s="844"/>
      <c r="R13" s="425"/>
      <c r="T13" s="844">
        <f t="shared" si="0"/>
        <v>0</v>
      </c>
      <c r="V13" s="1374"/>
      <c r="X13" s="903">
        <f t="shared" si="3"/>
        <v>0</v>
      </c>
      <c r="Z13" s="1352">
        <f t="shared" si="4"/>
        <v>0</v>
      </c>
      <c r="AA13" s="1352"/>
      <c r="AB13" s="1449"/>
      <c r="AD13" s="1450"/>
      <c r="AF13" s="1043"/>
      <c r="AH13" s="1004">
        <f t="shared" si="5"/>
        <v>0</v>
      </c>
      <c r="AU13" s="1018"/>
    </row>
    <row r="14" spans="1:47" hidden="1" outlineLevel="1">
      <c r="A14" s="841">
        <v>1020</v>
      </c>
      <c r="B14" s="833"/>
      <c r="C14" s="848" t="s">
        <v>381</v>
      </c>
      <c r="D14" s="843">
        <v>53300</v>
      </c>
      <c r="E14" s="844"/>
      <c r="F14" s="330"/>
      <c r="G14" s="1382">
        <v>49500</v>
      </c>
      <c r="H14" s="844"/>
      <c r="I14" s="1383">
        <v>3800</v>
      </c>
      <c r="J14" s="844"/>
      <c r="K14" s="1384">
        <f t="shared" si="1"/>
        <v>53300</v>
      </c>
      <c r="L14" s="844"/>
      <c r="M14" s="330"/>
      <c r="N14" s="1382">
        <f t="shared" si="2"/>
        <v>0</v>
      </c>
      <c r="O14" s="844"/>
      <c r="R14" s="425"/>
      <c r="T14" s="844">
        <f t="shared" si="0"/>
        <v>0</v>
      </c>
      <c r="V14" s="1374"/>
      <c r="X14" s="903">
        <f t="shared" si="3"/>
        <v>0</v>
      </c>
      <c r="Z14" s="1352">
        <f t="shared" si="4"/>
        <v>0</v>
      </c>
      <c r="AA14" s="1352"/>
      <c r="AB14" s="1449"/>
      <c r="AD14" s="1450"/>
      <c r="AF14" s="1043"/>
      <c r="AH14" s="1004">
        <f t="shared" si="5"/>
        <v>0</v>
      </c>
      <c r="AU14" s="1018"/>
    </row>
    <row r="15" spans="1:47" hidden="1" outlineLevel="1">
      <c r="A15" s="841">
        <v>1040</v>
      </c>
      <c r="B15" s="846"/>
      <c r="C15" s="842" t="s">
        <v>382</v>
      </c>
      <c r="D15" s="843">
        <v>218000</v>
      </c>
      <c r="E15" s="844"/>
      <c r="F15" s="330"/>
      <c r="G15" s="1382">
        <v>218000</v>
      </c>
      <c r="H15" s="844"/>
      <c r="I15" s="1383">
        <v>0</v>
      </c>
      <c r="J15" s="844"/>
      <c r="K15" s="1384">
        <f t="shared" si="1"/>
        <v>218000</v>
      </c>
      <c r="L15" s="844"/>
      <c r="M15" s="330"/>
      <c r="N15" s="1382">
        <f t="shared" si="2"/>
        <v>0</v>
      </c>
      <c r="O15" s="844"/>
      <c r="R15" s="425"/>
      <c r="T15" s="844">
        <f t="shared" si="0"/>
        <v>0</v>
      </c>
      <c r="V15" s="1374"/>
      <c r="X15" s="903">
        <f t="shared" si="3"/>
        <v>0</v>
      </c>
      <c r="Z15" s="1352">
        <f t="shared" si="4"/>
        <v>0</v>
      </c>
      <c r="AA15" s="1352"/>
      <c r="AB15" s="1449"/>
      <c r="AD15" s="1450"/>
      <c r="AF15" s="1043"/>
      <c r="AH15" s="1004">
        <f t="shared" si="5"/>
        <v>0</v>
      </c>
      <c r="AU15" s="1018"/>
    </row>
    <row r="16" spans="1:47" hidden="1" outlineLevel="1">
      <c r="A16" s="841">
        <v>1060</v>
      </c>
      <c r="B16" s="846"/>
      <c r="C16" s="842" t="s">
        <v>383</v>
      </c>
      <c r="D16" s="843">
        <v>227000</v>
      </c>
      <c r="E16" s="844"/>
      <c r="F16" s="330"/>
      <c r="G16" s="1382">
        <v>177400</v>
      </c>
      <c r="H16" s="844"/>
      <c r="I16" s="1383">
        <v>49600</v>
      </c>
      <c r="J16" s="844"/>
      <c r="K16" s="1384">
        <f t="shared" si="1"/>
        <v>227000</v>
      </c>
      <c r="L16" s="844"/>
      <c r="M16" s="330"/>
      <c r="N16" s="1382">
        <f t="shared" si="2"/>
        <v>0</v>
      </c>
      <c r="O16" s="844"/>
      <c r="R16" s="425"/>
      <c r="T16" s="844">
        <f t="shared" si="0"/>
        <v>0</v>
      </c>
      <c r="V16" s="1374"/>
      <c r="X16" s="903">
        <f t="shared" si="3"/>
        <v>0</v>
      </c>
      <c r="Z16" s="1352">
        <f t="shared" si="4"/>
        <v>0</v>
      </c>
      <c r="AA16" s="1352"/>
      <c r="AB16" s="1449"/>
      <c r="AD16" s="1450"/>
      <c r="AF16" s="1043"/>
      <c r="AH16" s="1004">
        <f t="shared" si="5"/>
        <v>0</v>
      </c>
      <c r="AU16" s="1018"/>
    </row>
    <row r="17" spans="1:47" hidden="1" outlineLevel="1">
      <c r="A17" s="841">
        <v>1080</v>
      </c>
      <c r="B17" s="846"/>
      <c r="C17" s="842" t="s">
        <v>384</v>
      </c>
      <c r="D17" s="843">
        <v>85336</v>
      </c>
      <c r="E17" s="844"/>
      <c r="F17" s="330"/>
      <c r="G17" s="1382">
        <v>75000</v>
      </c>
      <c r="H17" s="844"/>
      <c r="I17" s="1383">
        <v>0</v>
      </c>
      <c r="J17" s="844"/>
      <c r="K17" s="1384">
        <f t="shared" si="1"/>
        <v>75000</v>
      </c>
      <c r="L17" s="844"/>
      <c r="M17" s="330"/>
      <c r="N17" s="1382">
        <f t="shared" si="2"/>
        <v>10336</v>
      </c>
      <c r="O17" s="844"/>
      <c r="R17" s="425"/>
      <c r="T17" s="844">
        <f t="shared" si="0"/>
        <v>0</v>
      </c>
      <c r="V17" s="1374"/>
      <c r="X17" s="903">
        <f t="shared" si="3"/>
        <v>0</v>
      </c>
      <c r="Z17" s="1352">
        <f t="shared" si="4"/>
        <v>0</v>
      </c>
      <c r="AA17" s="1352"/>
      <c r="AB17" s="1449"/>
      <c r="AD17" s="1450"/>
      <c r="AF17" s="1043"/>
      <c r="AH17" s="1004">
        <f t="shared" si="5"/>
        <v>0</v>
      </c>
      <c r="AU17" s="1018"/>
    </row>
    <row r="18" spans="1:47" hidden="1" outlineLevel="1">
      <c r="A18" s="841">
        <v>1410</v>
      </c>
      <c r="B18" s="846"/>
      <c r="C18" s="849" t="s">
        <v>385</v>
      </c>
      <c r="D18" s="843">
        <v>286328</v>
      </c>
      <c r="E18" s="844"/>
      <c r="F18" s="330"/>
      <c r="G18" s="1382">
        <v>286327.87</v>
      </c>
      <c r="H18" s="844"/>
      <c r="I18" s="1383">
        <v>0</v>
      </c>
      <c r="J18" s="844"/>
      <c r="K18" s="1384">
        <f t="shared" si="1"/>
        <v>286327.87</v>
      </c>
      <c r="L18" s="844"/>
      <c r="M18" s="330"/>
      <c r="N18" s="1382">
        <f t="shared" si="2"/>
        <v>0.13000000000465661</v>
      </c>
      <c r="O18" s="844"/>
      <c r="R18" s="425"/>
      <c r="T18" s="844">
        <f t="shared" si="0"/>
        <v>0</v>
      </c>
      <c r="V18" s="1374"/>
      <c r="X18" s="903">
        <f t="shared" si="3"/>
        <v>0</v>
      </c>
      <c r="Z18" s="1352">
        <f t="shared" si="4"/>
        <v>0</v>
      </c>
      <c r="AA18" s="1352"/>
      <c r="AB18" s="1449"/>
      <c r="AD18" s="1450"/>
      <c r="AF18" s="1043"/>
      <c r="AH18" s="1004">
        <f t="shared" si="5"/>
        <v>0</v>
      </c>
      <c r="AU18" s="1018"/>
    </row>
    <row r="19" spans="1:47" hidden="1" outlineLevel="1">
      <c r="A19" s="841">
        <v>1420</v>
      </c>
      <c r="B19" s="846"/>
      <c r="C19" s="850" t="s">
        <v>386</v>
      </c>
      <c r="D19" s="843">
        <v>599276</v>
      </c>
      <c r="E19" s="844"/>
      <c r="F19" s="330"/>
      <c r="G19" s="1382">
        <v>599276</v>
      </c>
      <c r="H19" s="844"/>
      <c r="I19" s="1383">
        <v>0</v>
      </c>
      <c r="J19" s="844"/>
      <c r="K19" s="1384">
        <f t="shared" si="1"/>
        <v>599276</v>
      </c>
      <c r="L19" s="844"/>
      <c r="M19" s="330"/>
      <c r="N19" s="1382">
        <f t="shared" si="2"/>
        <v>0</v>
      </c>
      <c r="O19" s="844"/>
      <c r="R19" s="425"/>
      <c r="T19" s="844">
        <f t="shared" si="0"/>
        <v>0</v>
      </c>
      <c r="V19" s="1374"/>
      <c r="X19" s="903">
        <f t="shared" si="3"/>
        <v>0</v>
      </c>
      <c r="Z19" s="1352">
        <f t="shared" si="4"/>
        <v>0</v>
      </c>
      <c r="AA19" s="1352"/>
      <c r="AB19" s="1449"/>
      <c r="AD19" s="1450"/>
      <c r="AF19" s="1043"/>
      <c r="AH19" s="1004">
        <f t="shared" si="5"/>
        <v>0</v>
      </c>
      <c r="AU19" s="1018"/>
    </row>
    <row r="20" spans="1:47" hidden="1" outlineLevel="1">
      <c r="A20" s="841">
        <v>1440</v>
      </c>
      <c r="B20" s="846"/>
      <c r="C20" s="850" t="s">
        <v>387</v>
      </c>
      <c r="D20" s="843">
        <v>5483944</v>
      </c>
      <c r="E20" s="844"/>
      <c r="F20" s="330"/>
      <c r="G20" s="1382">
        <v>5483944</v>
      </c>
      <c r="H20" s="844"/>
      <c r="I20" s="1383">
        <v>0</v>
      </c>
      <c r="J20" s="844"/>
      <c r="K20" s="1384">
        <f t="shared" si="1"/>
        <v>5483944</v>
      </c>
      <c r="L20" s="844"/>
      <c r="M20" s="330"/>
      <c r="N20" s="1382">
        <f t="shared" si="2"/>
        <v>0</v>
      </c>
      <c r="O20" s="844"/>
      <c r="R20" s="425"/>
      <c r="T20" s="844">
        <f t="shared" si="0"/>
        <v>0</v>
      </c>
      <c r="V20" s="1374"/>
      <c r="X20" s="903">
        <f t="shared" si="3"/>
        <v>0</v>
      </c>
      <c r="Z20" s="1352">
        <f t="shared" si="4"/>
        <v>0</v>
      </c>
      <c r="AA20" s="1352"/>
      <c r="AB20" s="1449"/>
      <c r="AD20" s="1450"/>
      <c r="AF20" s="1043"/>
      <c r="AH20" s="1004">
        <f t="shared" si="5"/>
        <v>0</v>
      </c>
      <c r="AU20" s="1018"/>
    </row>
    <row r="21" spans="1:47" hidden="1" outlineLevel="1">
      <c r="A21" s="841">
        <v>1460</v>
      </c>
      <c r="B21" s="846"/>
      <c r="C21" s="850" t="s">
        <v>388</v>
      </c>
      <c r="D21" s="843">
        <v>140000</v>
      </c>
      <c r="E21" s="844"/>
      <c r="F21" s="330"/>
      <c r="G21" s="1382">
        <v>0</v>
      </c>
      <c r="H21" s="844"/>
      <c r="I21" s="1383">
        <v>6928</v>
      </c>
      <c r="J21" s="844"/>
      <c r="K21" s="1384">
        <f t="shared" si="1"/>
        <v>6928</v>
      </c>
      <c r="L21" s="844"/>
      <c r="M21" s="330"/>
      <c r="N21" s="1382">
        <f t="shared" si="2"/>
        <v>133072</v>
      </c>
      <c r="O21" s="844"/>
      <c r="R21" s="425"/>
      <c r="T21" s="844">
        <f t="shared" si="0"/>
        <v>0</v>
      </c>
      <c r="V21" s="1374"/>
      <c r="X21" s="903">
        <f t="shared" si="3"/>
        <v>0</v>
      </c>
      <c r="Z21" s="1352">
        <f t="shared" si="4"/>
        <v>0</v>
      </c>
      <c r="AA21" s="1352"/>
      <c r="AB21" s="1449"/>
      <c r="AD21" s="1450"/>
      <c r="AF21" s="1043"/>
      <c r="AH21" s="1004">
        <f t="shared" si="5"/>
        <v>0</v>
      </c>
      <c r="AU21" s="1018"/>
    </row>
    <row r="22" spans="1:47" hidden="1" outlineLevel="1">
      <c r="A22" s="841">
        <v>1480</v>
      </c>
      <c r="B22" s="846"/>
      <c r="C22" s="850" t="s">
        <v>389</v>
      </c>
      <c r="D22" s="843">
        <v>140000</v>
      </c>
      <c r="E22" s="844"/>
      <c r="F22" s="330"/>
      <c r="G22" s="1382">
        <v>0</v>
      </c>
      <c r="H22" s="844"/>
      <c r="I22" s="1383">
        <v>54264</v>
      </c>
      <c r="J22" s="844"/>
      <c r="K22" s="1384">
        <f t="shared" si="1"/>
        <v>54264</v>
      </c>
      <c r="L22" s="844"/>
      <c r="M22" s="330"/>
      <c r="N22" s="1382">
        <f t="shared" si="2"/>
        <v>85736</v>
      </c>
      <c r="O22" s="844"/>
      <c r="R22" s="425"/>
      <c r="T22" s="844">
        <f t="shared" si="0"/>
        <v>0</v>
      </c>
      <c r="V22" s="1374"/>
      <c r="X22" s="903">
        <f t="shared" si="3"/>
        <v>0</v>
      </c>
      <c r="Z22" s="1352">
        <f t="shared" si="4"/>
        <v>0</v>
      </c>
      <c r="AA22" s="1352"/>
      <c r="AB22" s="1449"/>
      <c r="AD22" s="1450"/>
      <c r="AF22" s="1043"/>
      <c r="AH22" s="1004">
        <f t="shared" si="5"/>
        <v>0</v>
      </c>
      <c r="AU22" s="1018"/>
    </row>
    <row r="23" spans="1:47" hidden="1" outlineLevel="1">
      <c r="A23" s="841">
        <v>1500</v>
      </c>
      <c r="B23" s="846"/>
      <c r="C23" s="850" t="s">
        <v>390</v>
      </c>
      <c r="D23" s="843">
        <v>180000</v>
      </c>
      <c r="E23" s="844"/>
      <c r="F23" s="330"/>
      <c r="G23" s="1382">
        <v>180000</v>
      </c>
      <c r="H23" s="844"/>
      <c r="I23" s="1383">
        <v>0</v>
      </c>
      <c r="J23" s="844"/>
      <c r="K23" s="1384">
        <f t="shared" si="1"/>
        <v>180000</v>
      </c>
      <c r="L23" s="844"/>
      <c r="M23" s="330"/>
      <c r="N23" s="1382">
        <f t="shared" si="2"/>
        <v>0</v>
      </c>
      <c r="O23" s="844"/>
      <c r="R23" s="425"/>
      <c r="T23" s="844">
        <f t="shared" si="0"/>
        <v>0</v>
      </c>
      <c r="V23" s="1374"/>
      <c r="X23" s="903">
        <f t="shared" si="3"/>
        <v>0</v>
      </c>
      <c r="Z23" s="1352">
        <f t="shared" si="4"/>
        <v>0</v>
      </c>
      <c r="AA23" s="1352"/>
      <c r="AB23" s="1449"/>
      <c r="AD23" s="1450"/>
      <c r="AF23" s="1043"/>
      <c r="AH23" s="1004">
        <f t="shared" si="5"/>
        <v>0</v>
      </c>
      <c r="AU23" s="1018"/>
    </row>
    <row r="24" spans="1:47" hidden="1" outlineLevel="1">
      <c r="A24" s="841">
        <v>1520</v>
      </c>
      <c r="B24" s="846"/>
      <c r="C24" s="850" t="s">
        <v>391</v>
      </c>
      <c r="D24" s="843">
        <v>330660</v>
      </c>
      <c r="E24" s="844"/>
      <c r="F24" s="330"/>
      <c r="G24" s="1382">
        <v>59744.25</v>
      </c>
      <c r="H24" s="844"/>
      <c r="I24" s="1383">
        <v>106421</v>
      </c>
      <c r="J24" s="844"/>
      <c r="K24" s="1384">
        <f t="shared" si="1"/>
        <v>166165.25</v>
      </c>
      <c r="L24" s="844"/>
      <c r="M24" s="330"/>
      <c r="N24" s="1382">
        <f t="shared" si="2"/>
        <v>164494.75</v>
      </c>
      <c r="O24" s="844"/>
      <c r="R24" s="425"/>
      <c r="T24" s="844">
        <f t="shared" si="0"/>
        <v>0</v>
      </c>
      <c r="V24" s="1374"/>
      <c r="X24" s="903">
        <f t="shared" si="3"/>
        <v>0</v>
      </c>
      <c r="Z24" s="1352">
        <f t="shared" si="4"/>
        <v>0</v>
      </c>
      <c r="AA24" s="1352"/>
      <c r="AB24" s="1449"/>
      <c r="AD24" s="1450"/>
      <c r="AF24" s="1043"/>
      <c r="AH24" s="1004">
        <f t="shared" si="5"/>
        <v>0</v>
      </c>
      <c r="AU24" s="1018"/>
    </row>
    <row r="25" spans="1:47" hidden="1" outlineLevel="1">
      <c r="A25" s="841">
        <v>1540</v>
      </c>
      <c r="B25" s="846"/>
      <c r="C25" s="850" t="s">
        <v>392</v>
      </c>
      <c r="D25" s="843">
        <v>51520</v>
      </c>
      <c r="E25" s="844"/>
      <c r="F25" s="330"/>
      <c r="G25" s="1382">
        <v>11040</v>
      </c>
      <c r="H25" s="844"/>
      <c r="I25" s="1383">
        <v>40480</v>
      </c>
      <c r="J25" s="844"/>
      <c r="K25" s="1384">
        <f t="shared" si="1"/>
        <v>51520</v>
      </c>
      <c r="L25" s="844"/>
      <c r="M25" s="330"/>
      <c r="N25" s="1382">
        <f t="shared" si="2"/>
        <v>0</v>
      </c>
      <c r="O25" s="844"/>
      <c r="R25" s="425"/>
      <c r="T25" s="844">
        <f t="shared" si="0"/>
        <v>0</v>
      </c>
      <c r="V25" s="1374"/>
      <c r="X25" s="903">
        <f t="shared" si="3"/>
        <v>0</v>
      </c>
      <c r="Z25" s="1352">
        <f t="shared" si="4"/>
        <v>0</v>
      </c>
      <c r="AA25" s="1352"/>
      <c r="AB25" s="1449"/>
      <c r="AD25" s="1450"/>
      <c r="AF25" s="1043"/>
      <c r="AH25" s="1004">
        <f t="shared" si="5"/>
        <v>0</v>
      </c>
      <c r="AU25" s="1018"/>
    </row>
    <row r="26" spans="1:47" hidden="1" outlineLevel="1">
      <c r="A26" s="841">
        <v>1560</v>
      </c>
      <c r="B26" s="846"/>
      <c r="C26" s="850" t="s">
        <v>393</v>
      </c>
      <c r="D26" s="843">
        <v>5222700</v>
      </c>
      <c r="E26" s="844"/>
      <c r="F26" s="330"/>
      <c r="G26" s="1382">
        <v>4880000</v>
      </c>
      <c r="H26" s="844"/>
      <c r="I26" s="1383">
        <v>342699.5</v>
      </c>
      <c r="J26" s="844"/>
      <c r="K26" s="1384">
        <f t="shared" si="1"/>
        <v>5222699.5</v>
      </c>
      <c r="L26" s="844"/>
      <c r="M26" s="330"/>
      <c r="N26" s="1382">
        <f t="shared" si="2"/>
        <v>0.5</v>
      </c>
      <c r="O26" s="844"/>
      <c r="R26" s="425"/>
      <c r="T26" s="844">
        <f t="shared" si="0"/>
        <v>0</v>
      </c>
      <c r="V26" s="1374"/>
      <c r="X26" s="903">
        <f t="shared" si="3"/>
        <v>0</v>
      </c>
      <c r="Z26" s="1352">
        <f t="shared" si="4"/>
        <v>0</v>
      </c>
      <c r="AA26" s="1352"/>
      <c r="AB26" s="1449"/>
      <c r="AD26" s="1450"/>
      <c r="AF26" s="1043"/>
      <c r="AH26" s="1004">
        <f t="shared" si="5"/>
        <v>0</v>
      </c>
      <c r="AU26" s="1018"/>
    </row>
    <row r="27" spans="1:47" hidden="1" outlineLevel="1">
      <c r="A27" s="841">
        <v>1580</v>
      </c>
      <c r="B27" s="846"/>
      <c r="C27" s="842" t="s">
        <v>394</v>
      </c>
      <c r="D27" s="843">
        <v>0</v>
      </c>
      <c r="E27" s="844"/>
      <c r="F27" s="330"/>
      <c r="G27" s="1382">
        <v>0</v>
      </c>
      <c r="H27" s="844"/>
      <c r="I27" s="1383">
        <v>0</v>
      </c>
      <c r="J27" s="844"/>
      <c r="K27" s="1384">
        <f t="shared" si="1"/>
        <v>0</v>
      </c>
      <c r="L27" s="844"/>
      <c r="M27" s="330"/>
      <c r="N27" s="1382">
        <f t="shared" si="2"/>
        <v>0</v>
      </c>
      <c r="O27" s="844"/>
      <c r="R27" s="425"/>
      <c r="T27" s="844">
        <f t="shared" si="0"/>
        <v>0</v>
      </c>
      <c r="V27" s="1374"/>
      <c r="X27" s="903">
        <f t="shared" si="3"/>
        <v>0</v>
      </c>
      <c r="Z27" s="1352">
        <f t="shared" si="4"/>
        <v>0</v>
      </c>
      <c r="AA27" s="1352"/>
      <c r="AB27" s="1449"/>
      <c r="AD27" s="1450"/>
      <c r="AF27" s="1043"/>
      <c r="AH27" s="1004">
        <f t="shared" si="5"/>
        <v>0</v>
      </c>
      <c r="AU27" s="1018"/>
    </row>
    <row r="28" spans="1:47" hidden="1" outlineLevel="1">
      <c r="A28" s="841">
        <v>1630</v>
      </c>
      <c r="B28" s="846"/>
      <c r="C28" s="847" t="s">
        <v>395</v>
      </c>
      <c r="D28" s="843">
        <v>2083402.07</v>
      </c>
      <c r="E28" s="844"/>
      <c r="F28" s="330"/>
      <c r="G28" s="1382">
        <v>2059995.71</v>
      </c>
      <c r="H28" s="844"/>
      <c r="I28" s="1383">
        <v>316477.2</v>
      </c>
      <c r="J28" s="844"/>
      <c r="K28" s="1384">
        <f t="shared" si="1"/>
        <v>2376472.91</v>
      </c>
      <c r="L28" s="844"/>
      <c r="M28" s="330"/>
      <c r="N28" s="1382">
        <f t="shared" si="2"/>
        <v>-293070.84000000008</v>
      </c>
      <c r="O28" s="844"/>
      <c r="R28" s="425"/>
      <c r="T28" s="844">
        <f t="shared" si="0"/>
        <v>0</v>
      </c>
      <c r="V28" s="1374"/>
      <c r="X28" s="903">
        <f t="shared" si="3"/>
        <v>0</v>
      </c>
      <c r="Z28" s="1352">
        <f t="shared" si="4"/>
        <v>0</v>
      </c>
      <c r="AA28" s="1352"/>
      <c r="AB28" s="1449"/>
      <c r="AD28" s="1450"/>
      <c r="AF28" s="1043"/>
      <c r="AH28" s="1004">
        <f t="shared" si="5"/>
        <v>0</v>
      </c>
      <c r="AU28" s="1018"/>
    </row>
    <row r="29" spans="1:47" hidden="1" outlineLevel="1">
      <c r="A29" s="841">
        <v>1899</v>
      </c>
      <c r="B29" s="846"/>
      <c r="C29" s="851" t="s">
        <v>821</v>
      </c>
      <c r="D29" s="852">
        <v>0</v>
      </c>
      <c r="E29" s="838"/>
      <c r="F29" s="330"/>
      <c r="G29" s="1378">
        <v>0</v>
      </c>
      <c r="H29" s="838"/>
      <c r="I29" s="1385"/>
      <c r="J29" s="838"/>
      <c r="K29" s="1386">
        <f t="shared" si="1"/>
        <v>0</v>
      </c>
      <c r="L29" s="838"/>
      <c r="M29" s="1353"/>
      <c r="N29" s="1378">
        <f t="shared" si="2"/>
        <v>0</v>
      </c>
      <c r="O29" s="838"/>
      <c r="R29" s="991"/>
      <c r="T29" s="838">
        <f t="shared" si="0"/>
        <v>0</v>
      </c>
      <c r="V29" s="1379"/>
      <c r="X29" s="904">
        <f t="shared" si="3"/>
        <v>0</v>
      </c>
      <c r="Z29" s="1350">
        <f t="shared" si="4"/>
        <v>0</v>
      </c>
      <c r="AA29" s="1350"/>
      <c r="AB29" s="1447"/>
      <c r="AD29" s="1448"/>
      <c r="AF29" s="1043"/>
      <c r="AH29" s="1003">
        <f t="shared" si="5"/>
        <v>0</v>
      </c>
      <c r="AU29" s="1018"/>
    </row>
    <row r="30" spans="1:47" collapsed="1">
      <c r="A30" s="841"/>
      <c r="B30" s="841"/>
      <c r="C30" s="853" t="s">
        <v>1128</v>
      </c>
      <c r="D30" s="854"/>
      <c r="E30" s="855">
        <f>SUM(E6:E29)</f>
        <v>77036528.589999989</v>
      </c>
      <c r="F30" s="330"/>
      <c r="G30" s="1387"/>
      <c r="H30" s="855">
        <f>SUM(H6:H29)</f>
        <v>74048580.349999979</v>
      </c>
      <c r="I30" s="1389"/>
      <c r="J30" s="855">
        <f>SUM(J6:J29)</f>
        <v>1870709.7</v>
      </c>
      <c r="K30" s="1390"/>
      <c r="L30" s="855">
        <f>SUM(L6:L29)</f>
        <v>75919290.049999982</v>
      </c>
      <c r="M30" s="1355">
        <f>L30/E30</f>
        <v>0.98549728861815522</v>
      </c>
      <c r="N30" s="1391"/>
      <c r="O30" s="855">
        <f>SUM(O6:O29)</f>
        <v>1117238.5399999998</v>
      </c>
      <c r="P30" s="840">
        <v>1.4502711381844731E-2</v>
      </c>
      <c r="R30" s="992">
        <f>SUM(R6:R29)</f>
        <v>-520000</v>
      </c>
      <c r="T30" s="855">
        <f t="shared" si="0"/>
        <v>76516528.589999989</v>
      </c>
      <c r="V30" s="1388">
        <f>SUM(V6:V29)</f>
        <v>74048580.349999979</v>
      </c>
      <c r="X30" s="905">
        <f t="shared" si="3"/>
        <v>2467948.2400000095</v>
      </c>
      <c r="Z30" s="1354">
        <f t="shared" si="4"/>
        <v>0</v>
      </c>
      <c r="AA30" s="1354">
        <f>SUM(AA6:AA29)</f>
        <v>2467948.2400000095</v>
      </c>
      <c r="AB30" s="1451">
        <f>SUM(AB6:AB29)</f>
        <v>2467948.2400000095</v>
      </c>
      <c r="AD30" s="1452">
        <f>SUM(AD6:AD29)</f>
        <v>0</v>
      </c>
      <c r="AF30" s="1044">
        <f>SUM(AF6:AF29)</f>
        <v>0</v>
      </c>
      <c r="AH30" s="1005">
        <f t="shared" si="5"/>
        <v>76516528.589999989</v>
      </c>
      <c r="AK30" s="1014">
        <f t="shared" ref="AK30:AS30" si="6">SUM(AK6:AK29)</f>
        <v>0</v>
      </c>
      <c r="AL30" s="1014">
        <f>SUM(AL6:AL29)</f>
        <v>76516528.589999989</v>
      </c>
      <c r="AM30" s="1014">
        <f t="shared" si="6"/>
        <v>0</v>
      </c>
      <c r="AN30" s="1014">
        <f t="shared" si="6"/>
        <v>0</v>
      </c>
      <c r="AO30" s="1014">
        <f t="shared" si="6"/>
        <v>0</v>
      </c>
      <c r="AP30" s="1014">
        <f t="shared" si="6"/>
        <v>0</v>
      </c>
      <c r="AQ30" s="1014">
        <f t="shared" si="6"/>
        <v>0</v>
      </c>
      <c r="AR30" s="1014">
        <f t="shared" si="6"/>
        <v>0</v>
      </c>
      <c r="AS30" s="1014">
        <f t="shared" si="6"/>
        <v>0</v>
      </c>
      <c r="AU30" s="1020">
        <f>SUM(AU6:AU29)</f>
        <v>76516528.589999989</v>
      </c>
    </row>
    <row r="31" spans="1:47">
      <c r="A31" s="841"/>
      <c r="B31" s="841"/>
      <c r="C31" s="857"/>
      <c r="D31" s="854"/>
      <c r="E31" s="844"/>
      <c r="F31" s="330"/>
      <c r="G31" s="1391"/>
      <c r="H31" s="844"/>
      <c r="I31" s="1389"/>
      <c r="J31" s="844"/>
      <c r="K31" s="1390"/>
      <c r="L31" s="844"/>
      <c r="M31" s="330"/>
      <c r="N31" s="1391"/>
      <c r="O31" s="844"/>
      <c r="R31" s="425"/>
      <c r="T31" s="844">
        <f t="shared" si="0"/>
        <v>0</v>
      </c>
      <c r="V31" s="1374"/>
      <c r="X31" s="903">
        <f t="shared" si="3"/>
        <v>0</v>
      </c>
      <c r="Z31" s="1352">
        <f t="shared" si="4"/>
        <v>0</v>
      </c>
      <c r="AA31" s="1352"/>
      <c r="AB31" s="1449"/>
      <c r="AD31" s="1450"/>
      <c r="AF31" s="1043"/>
      <c r="AH31" s="1004">
        <f t="shared" si="5"/>
        <v>0</v>
      </c>
      <c r="AU31" s="1018"/>
    </row>
    <row r="32" spans="1:47">
      <c r="A32" s="294"/>
      <c r="B32" s="833" t="s">
        <v>1129</v>
      </c>
      <c r="C32" s="858"/>
      <c r="D32" s="843"/>
      <c r="E32" s="844"/>
      <c r="F32" s="330"/>
      <c r="G32" s="1382"/>
      <c r="H32" s="844"/>
      <c r="I32" s="1392"/>
      <c r="J32" s="844"/>
      <c r="K32" s="1384"/>
      <c r="L32" s="844"/>
      <c r="M32" s="330"/>
      <c r="N32" s="1382"/>
      <c r="O32" s="844"/>
      <c r="R32" s="425"/>
      <c r="T32" s="844">
        <f t="shared" si="0"/>
        <v>0</v>
      </c>
      <c r="V32" s="1374"/>
      <c r="X32" s="903">
        <f t="shared" si="3"/>
        <v>0</v>
      </c>
      <c r="Z32" s="1352">
        <f t="shared" si="4"/>
        <v>0</v>
      </c>
      <c r="AA32" s="1352"/>
      <c r="AB32" s="1449"/>
      <c r="AD32" s="1450"/>
      <c r="AF32" s="1043"/>
      <c r="AH32" s="1004">
        <f t="shared" si="5"/>
        <v>0</v>
      </c>
      <c r="AJ32" s="568" t="s">
        <v>1207</v>
      </c>
      <c r="AK32" s="568"/>
      <c r="AU32" s="1018"/>
    </row>
    <row r="33" spans="1:47" s="839" customFormat="1">
      <c r="A33" s="294"/>
      <c r="B33" s="833"/>
      <c r="C33" s="857" t="s">
        <v>1130</v>
      </c>
      <c r="D33" s="843"/>
      <c r="E33" s="844">
        <f>SUM(D34:D48)</f>
        <v>639926115.8499999</v>
      </c>
      <c r="F33" s="330"/>
      <c r="G33" s="1382"/>
      <c r="H33" s="844">
        <f>SUM(G34:G48)</f>
        <v>591090000</v>
      </c>
      <c r="I33" s="1392"/>
      <c r="J33" s="844">
        <f>SUM(I34:I48)</f>
        <v>48234462</v>
      </c>
      <c r="K33" s="1384"/>
      <c r="L33" s="844">
        <f>SUM(K34:K48)</f>
        <v>639324462</v>
      </c>
      <c r="M33" s="1355">
        <f>L33/E33</f>
        <v>0.99905980731978605</v>
      </c>
      <c r="N33" s="1382"/>
      <c r="O33" s="844">
        <f>SUM(N34:N48)</f>
        <v>601653.84999993443</v>
      </c>
      <c r="P33" s="840">
        <v>9.4019268021398178E-4</v>
      </c>
      <c r="R33" s="425">
        <v>-40000000</v>
      </c>
      <c r="T33" s="844">
        <f t="shared" si="0"/>
        <v>599926115.8499999</v>
      </c>
      <c r="V33" s="1374">
        <v>591090000</v>
      </c>
      <c r="X33" s="903">
        <f t="shared" si="3"/>
        <v>8836115.8499999046</v>
      </c>
      <c r="Y33" s="825"/>
      <c r="Z33" s="1352">
        <f t="shared" si="4"/>
        <v>0</v>
      </c>
      <c r="AA33" s="1352">
        <v>0</v>
      </c>
      <c r="AB33" s="1449">
        <f t="shared" ref="AB33:AB61" si="7">Z33+AA33</f>
        <v>0</v>
      </c>
      <c r="AC33" s="330"/>
      <c r="AD33" s="1450">
        <f t="shared" ref="AD33:AD61" si="8">X33-AB33</f>
        <v>8836115.8499999046</v>
      </c>
      <c r="AE33" s="825"/>
      <c r="AF33" s="1043"/>
      <c r="AG33" s="825"/>
      <c r="AH33" s="1004">
        <f t="shared" si="5"/>
        <v>599926115.8499999</v>
      </c>
      <c r="AJ33" s="1012">
        <v>0.75</v>
      </c>
      <c r="AK33" s="1012"/>
      <c r="AL33" s="988">
        <f>AH33*AJ33</f>
        <v>449944586.88749993</v>
      </c>
      <c r="AM33" s="988">
        <f>AH33*(1-AJ33)</f>
        <v>149981528.96249998</v>
      </c>
      <c r="AU33" s="1019">
        <f t="shared" ref="AU33:AU61" si="9">SUM(AK33:AT33)</f>
        <v>599926115.8499999</v>
      </c>
    </row>
    <row r="34" spans="1:47" ht="14.1" hidden="1" customHeight="1" outlineLevel="1">
      <c r="A34" s="841">
        <v>2520</v>
      </c>
      <c r="B34" s="846"/>
      <c r="C34" s="857" t="s">
        <v>404</v>
      </c>
      <c r="D34" s="843">
        <v>78950000</v>
      </c>
      <c r="E34" s="844"/>
      <c r="F34" s="330"/>
      <c r="G34" s="1382">
        <v>591090000</v>
      </c>
      <c r="H34" s="844"/>
      <c r="I34" s="1383">
        <v>48234462</v>
      </c>
      <c r="J34" s="844"/>
      <c r="K34" s="1384">
        <f t="shared" ref="K34:K48" si="10">G34+I34</f>
        <v>639324462</v>
      </c>
      <c r="L34" s="844"/>
      <c r="M34" s="330"/>
      <c r="N34" s="1382">
        <f t="shared" ref="N34:N48" si="11">D34-K34</f>
        <v>-560374462</v>
      </c>
      <c r="O34" s="844"/>
      <c r="R34" s="425"/>
      <c r="T34" s="844">
        <f t="shared" si="0"/>
        <v>0</v>
      </c>
      <c r="V34" s="1374"/>
      <c r="X34" s="903">
        <f t="shared" si="3"/>
        <v>0</v>
      </c>
      <c r="Z34" s="1352">
        <f t="shared" si="4"/>
        <v>0</v>
      </c>
      <c r="AA34" s="1352"/>
      <c r="AB34" s="1449">
        <f t="shared" si="7"/>
        <v>0</v>
      </c>
      <c r="AD34" s="1450">
        <f t="shared" si="8"/>
        <v>0</v>
      </c>
      <c r="AF34" s="1043"/>
      <c r="AH34" s="1004">
        <f t="shared" si="5"/>
        <v>0</v>
      </c>
      <c r="AU34" s="1019">
        <f t="shared" si="9"/>
        <v>0</v>
      </c>
    </row>
    <row r="35" spans="1:47" ht="14.1" hidden="1" customHeight="1" outlineLevel="1">
      <c r="A35" s="841">
        <v>2540</v>
      </c>
      <c r="B35" s="846"/>
      <c r="C35" s="857" t="s">
        <v>405</v>
      </c>
      <c r="D35" s="843">
        <v>719835.07000000007</v>
      </c>
      <c r="E35" s="844"/>
      <c r="F35" s="330"/>
      <c r="G35" s="1382">
        <v>0</v>
      </c>
      <c r="H35" s="844"/>
      <c r="I35" s="1383">
        <v>0</v>
      </c>
      <c r="J35" s="844"/>
      <c r="K35" s="1384">
        <f t="shared" si="10"/>
        <v>0</v>
      </c>
      <c r="L35" s="844"/>
      <c r="M35" s="330"/>
      <c r="N35" s="1382">
        <f t="shared" si="11"/>
        <v>719835.07000000007</v>
      </c>
      <c r="O35" s="844"/>
      <c r="R35" s="425"/>
      <c r="T35" s="844">
        <f t="shared" si="0"/>
        <v>0</v>
      </c>
      <c r="V35" s="1374"/>
      <c r="X35" s="903">
        <f t="shared" si="3"/>
        <v>0</v>
      </c>
      <c r="Z35" s="1352">
        <f t="shared" si="4"/>
        <v>0</v>
      </c>
      <c r="AA35" s="1352"/>
      <c r="AB35" s="1449">
        <f t="shared" si="7"/>
        <v>0</v>
      </c>
      <c r="AD35" s="1450">
        <f t="shared" si="8"/>
        <v>0</v>
      </c>
      <c r="AF35" s="1043"/>
      <c r="AH35" s="1004">
        <f t="shared" si="5"/>
        <v>0</v>
      </c>
      <c r="AU35" s="1019">
        <f t="shared" si="9"/>
        <v>0</v>
      </c>
    </row>
    <row r="36" spans="1:47" ht="14.1" hidden="1" customHeight="1" outlineLevel="1">
      <c r="A36" s="841">
        <v>2560</v>
      </c>
      <c r="B36" s="846"/>
      <c r="C36" s="857" t="s">
        <v>406</v>
      </c>
      <c r="D36" s="843">
        <v>17619744.43</v>
      </c>
      <c r="E36" s="844"/>
      <c r="F36" s="330"/>
      <c r="G36" s="1382">
        <v>0</v>
      </c>
      <c r="H36" s="844"/>
      <c r="I36" s="1383">
        <v>0</v>
      </c>
      <c r="J36" s="844"/>
      <c r="K36" s="1384">
        <f t="shared" si="10"/>
        <v>0</v>
      </c>
      <c r="L36" s="844"/>
      <c r="M36" s="330"/>
      <c r="N36" s="1382">
        <f t="shared" si="11"/>
        <v>17619744.43</v>
      </c>
      <c r="O36" s="844"/>
      <c r="R36" s="425"/>
      <c r="T36" s="844">
        <f t="shared" si="0"/>
        <v>0</v>
      </c>
      <c r="V36" s="1374"/>
      <c r="X36" s="903">
        <f t="shared" si="3"/>
        <v>0</v>
      </c>
      <c r="Z36" s="1352">
        <f t="shared" si="4"/>
        <v>0</v>
      </c>
      <c r="AA36" s="1352"/>
      <c r="AB36" s="1449">
        <f t="shared" si="7"/>
        <v>0</v>
      </c>
      <c r="AD36" s="1450">
        <f t="shared" si="8"/>
        <v>0</v>
      </c>
      <c r="AF36" s="1043"/>
      <c r="AH36" s="1004">
        <f t="shared" si="5"/>
        <v>0</v>
      </c>
      <c r="AU36" s="1019">
        <f t="shared" si="9"/>
        <v>0</v>
      </c>
    </row>
    <row r="37" spans="1:47" ht="14.1" hidden="1" customHeight="1" outlineLevel="1">
      <c r="A37" s="841">
        <v>2580</v>
      </c>
      <c r="B37" s="846"/>
      <c r="C37" s="857" t="s">
        <v>407</v>
      </c>
      <c r="D37" s="843">
        <v>58256989.760000005</v>
      </c>
      <c r="E37" s="844"/>
      <c r="F37" s="330"/>
      <c r="G37" s="1382">
        <v>0</v>
      </c>
      <c r="H37" s="844"/>
      <c r="I37" s="1383">
        <v>0</v>
      </c>
      <c r="J37" s="844"/>
      <c r="K37" s="1384">
        <f t="shared" si="10"/>
        <v>0</v>
      </c>
      <c r="L37" s="844"/>
      <c r="M37" s="330"/>
      <c r="N37" s="1382">
        <f t="shared" si="11"/>
        <v>58256989.760000005</v>
      </c>
      <c r="O37" s="844"/>
      <c r="R37" s="425"/>
      <c r="T37" s="844">
        <f t="shared" si="0"/>
        <v>0</v>
      </c>
      <c r="V37" s="1374"/>
      <c r="X37" s="903">
        <f t="shared" si="3"/>
        <v>0</v>
      </c>
      <c r="Z37" s="1352">
        <f t="shared" si="4"/>
        <v>0</v>
      </c>
      <c r="AA37" s="1352"/>
      <c r="AB37" s="1449">
        <f t="shared" si="7"/>
        <v>0</v>
      </c>
      <c r="AD37" s="1450">
        <f t="shared" si="8"/>
        <v>0</v>
      </c>
      <c r="AF37" s="1043"/>
      <c r="AH37" s="1004">
        <f t="shared" si="5"/>
        <v>0</v>
      </c>
      <c r="AU37" s="1019">
        <f t="shared" si="9"/>
        <v>0</v>
      </c>
    </row>
    <row r="38" spans="1:47" ht="14.1" hidden="1" customHeight="1" outlineLevel="1">
      <c r="A38" s="841">
        <v>2600</v>
      </c>
      <c r="B38" s="846"/>
      <c r="C38" s="857" t="s">
        <v>408</v>
      </c>
      <c r="D38" s="843">
        <v>20543760.739999998</v>
      </c>
      <c r="E38" s="844"/>
      <c r="F38" s="330"/>
      <c r="G38" s="1382">
        <v>0</v>
      </c>
      <c r="H38" s="844"/>
      <c r="I38" s="1383">
        <v>0</v>
      </c>
      <c r="J38" s="844"/>
      <c r="K38" s="1384">
        <f t="shared" si="10"/>
        <v>0</v>
      </c>
      <c r="L38" s="844"/>
      <c r="M38" s="330"/>
      <c r="N38" s="1382">
        <f t="shared" si="11"/>
        <v>20543760.739999998</v>
      </c>
      <c r="O38" s="844"/>
      <c r="R38" s="425"/>
      <c r="T38" s="844">
        <f t="shared" ref="T38:T69" si="12">E38+R38</f>
        <v>0</v>
      </c>
      <c r="V38" s="1374"/>
      <c r="X38" s="903">
        <f t="shared" si="3"/>
        <v>0</v>
      </c>
      <c r="Z38" s="1352">
        <f t="shared" si="4"/>
        <v>0</v>
      </c>
      <c r="AA38" s="1352"/>
      <c r="AB38" s="1449">
        <f t="shared" si="7"/>
        <v>0</v>
      </c>
      <c r="AD38" s="1450">
        <f t="shared" si="8"/>
        <v>0</v>
      </c>
      <c r="AF38" s="1043"/>
      <c r="AH38" s="1004">
        <f t="shared" si="5"/>
        <v>0</v>
      </c>
      <c r="AU38" s="1019">
        <f t="shared" si="9"/>
        <v>0</v>
      </c>
    </row>
    <row r="39" spans="1:47" ht="14.1" hidden="1" customHeight="1" outlineLevel="1">
      <c r="A39" s="841">
        <v>2620</v>
      </c>
      <c r="B39" s="846"/>
      <c r="C39" s="857" t="s">
        <v>409</v>
      </c>
      <c r="D39" s="843">
        <v>28725167.600000001</v>
      </c>
      <c r="E39" s="844"/>
      <c r="F39" s="330"/>
      <c r="G39" s="1382">
        <v>0</v>
      </c>
      <c r="H39" s="844"/>
      <c r="I39" s="1383">
        <v>0</v>
      </c>
      <c r="J39" s="844"/>
      <c r="K39" s="1384">
        <f t="shared" si="10"/>
        <v>0</v>
      </c>
      <c r="L39" s="844"/>
      <c r="M39" s="330"/>
      <c r="N39" s="1382">
        <f t="shared" si="11"/>
        <v>28725167.600000001</v>
      </c>
      <c r="O39" s="844"/>
      <c r="R39" s="425"/>
      <c r="T39" s="844">
        <f t="shared" si="12"/>
        <v>0</v>
      </c>
      <c r="V39" s="1374"/>
      <c r="X39" s="903">
        <f t="shared" si="3"/>
        <v>0</v>
      </c>
      <c r="Z39" s="1352">
        <f t="shared" si="4"/>
        <v>0</v>
      </c>
      <c r="AA39" s="1352"/>
      <c r="AB39" s="1449">
        <f t="shared" si="7"/>
        <v>0</v>
      </c>
      <c r="AD39" s="1450">
        <f t="shared" si="8"/>
        <v>0</v>
      </c>
      <c r="AF39" s="1043"/>
      <c r="AH39" s="1004">
        <f t="shared" si="5"/>
        <v>0</v>
      </c>
      <c r="AU39" s="1019">
        <f t="shared" si="9"/>
        <v>0</v>
      </c>
    </row>
    <row r="40" spans="1:47" ht="14.1" hidden="1" customHeight="1" outlineLevel="1">
      <c r="A40" s="841">
        <v>2640</v>
      </c>
      <c r="B40" s="846"/>
      <c r="C40" s="857" t="s">
        <v>410</v>
      </c>
      <c r="D40" s="843">
        <v>40180649.049999997</v>
      </c>
      <c r="E40" s="844"/>
      <c r="F40" s="330"/>
      <c r="G40" s="1382">
        <v>0</v>
      </c>
      <c r="H40" s="844"/>
      <c r="I40" s="1383">
        <v>0</v>
      </c>
      <c r="J40" s="844"/>
      <c r="K40" s="1384">
        <f t="shared" si="10"/>
        <v>0</v>
      </c>
      <c r="L40" s="844"/>
      <c r="M40" s="330"/>
      <c r="N40" s="1382">
        <f t="shared" si="11"/>
        <v>40180649.049999997</v>
      </c>
      <c r="O40" s="844"/>
      <c r="R40" s="425"/>
      <c r="T40" s="844">
        <f t="shared" si="12"/>
        <v>0</v>
      </c>
      <c r="V40" s="1374"/>
      <c r="X40" s="903">
        <f t="shared" si="3"/>
        <v>0</v>
      </c>
      <c r="Z40" s="1352">
        <f t="shared" si="4"/>
        <v>0</v>
      </c>
      <c r="AA40" s="1352"/>
      <c r="AB40" s="1449">
        <f t="shared" si="7"/>
        <v>0</v>
      </c>
      <c r="AD40" s="1450">
        <f t="shared" si="8"/>
        <v>0</v>
      </c>
      <c r="AF40" s="1043"/>
      <c r="AH40" s="1004">
        <f t="shared" si="5"/>
        <v>0</v>
      </c>
      <c r="AU40" s="1019">
        <f t="shared" si="9"/>
        <v>0</v>
      </c>
    </row>
    <row r="41" spans="1:47" ht="14.1" hidden="1" customHeight="1" outlineLevel="1">
      <c r="A41" s="841">
        <v>2660</v>
      </c>
      <c r="B41" s="846"/>
      <c r="C41" s="857" t="s">
        <v>411</v>
      </c>
      <c r="D41" s="843">
        <v>34335326.599999994</v>
      </c>
      <c r="E41" s="844"/>
      <c r="F41" s="330"/>
      <c r="G41" s="1382">
        <v>0</v>
      </c>
      <c r="H41" s="844"/>
      <c r="I41" s="1383">
        <v>0</v>
      </c>
      <c r="J41" s="844"/>
      <c r="K41" s="1384">
        <f t="shared" si="10"/>
        <v>0</v>
      </c>
      <c r="L41" s="844"/>
      <c r="M41" s="330"/>
      <c r="N41" s="1382">
        <f t="shared" si="11"/>
        <v>34335326.599999994</v>
      </c>
      <c r="O41" s="844"/>
      <c r="R41" s="425"/>
      <c r="T41" s="844">
        <f t="shared" si="12"/>
        <v>0</v>
      </c>
      <c r="V41" s="1374"/>
      <c r="X41" s="903">
        <f t="shared" si="3"/>
        <v>0</v>
      </c>
      <c r="Z41" s="1352">
        <f t="shared" si="4"/>
        <v>0</v>
      </c>
      <c r="AA41" s="1352"/>
      <c r="AB41" s="1449">
        <f t="shared" si="7"/>
        <v>0</v>
      </c>
      <c r="AD41" s="1450">
        <f t="shared" si="8"/>
        <v>0</v>
      </c>
      <c r="AF41" s="1043"/>
      <c r="AH41" s="1004">
        <f t="shared" si="5"/>
        <v>0</v>
      </c>
      <c r="AU41" s="1019">
        <f t="shared" si="9"/>
        <v>0</v>
      </c>
    </row>
    <row r="42" spans="1:47" ht="14.1" hidden="1" customHeight="1" outlineLevel="1">
      <c r="A42" s="841">
        <v>2680</v>
      </c>
      <c r="B42" s="846"/>
      <c r="C42" s="857" t="s">
        <v>412</v>
      </c>
      <c r="D42" s="843">
        <v>51887731.890000001</v>
      </c>
      <c r="E42" s="844"/>
      <c r="F42" s="330"/>
      <c r="G42" s="1382">
        <v>0</v>
      </c>
      <c r="H42" s="844"/>
      <c r="I42" s="1383">
        <v>0</v>
      </c>
      <c r="J42" s="844"/>
      <c r="K42" s="1384">
        <f t="shared" si="10"/>
        <v>0</v>
      </c>
      <c r="L42" s="844"/>
      <c r="M42" s="330"/>
      <c r="N42" s="1382">
        <f t="shared" si="11"/>
        <v>51887731.890000001</v>
      </c>
      <c r="O42" s="844"/>
      <c r="R42" s="425"/>
      <c r="T42" s="844">
        <f t="shared" si="12"/>
        <v>0</v>
      </c>
      <c r="V42" s="1374"/>
      <c r="X42" s="903">
        <f t="shared" si="3"/>
        <v>0</v>
      </c>
      <c r="Z42" s="1352">
        <f t="shared" si="4"/>
        <v>0</v>
      </c>
      <c r="AA42" s="1352"/>
      <c r="AB42" s="1449">
        <f t="shared" si="7"/>
        <v>0</v>
      </c>
      <c r="AD42" s="1450">
        <f t="shared" si="8"/>
        <v>0</v>
      </c>
      <c r="AF42" s="1043"/>
      <c r="AH42" s="1004">
        <f t="shared" si="5"/>
        <v>0</v>
      </c>
      <c r="AU42" s="1019">
        <f t="shared" si="9"/>
        <v>0</v>
      </c>
    </row>
    <row r="43" spans="1:47" ht="14.1" hidden="1" customHeight="1" outlineLevel="1">
      <c r="A43" s="841">
        <v>2700</v>
      </c>
      <c r="B43" s="846"/>
      <c r="C43" s="857" t="s">
        <v>413</v>
      </c>
      <c r="D43" s="843">
        <v>13717465.029999999</v>
      </c>
      <c r="E43" s="844"/>
      <c r="F43" s="330"/>
      <c r="G43" s="1382">
        <v>0</v>
      </c>
      <c r="H43" s="844"/>
      <c r="I43" s="1383">
        <v>0</v>
      </c>
      <c r="J43" s="844"/>
      <c r="K43" s="1384">
        <f t="shared" si="10"/>
        <v>0</v>
      </c>
      <c r="L43" s="844"/>
      <c r="M43" s="330"/>
      <c r="N43" s="1382">
        <f t="shared" si="11"/>
        <v>13717465.029999999</v>
      </c>
      <c r="O43" s="844"/>
      <c r="R43" s="425"/>
      <c r="T43" s="844">
        <f t="shared" si="12"/>
        <v>0</v>
      </c>
      <c r="V43" s="1374"/>
      <c r="X43" s="903">
        <f t="shared" si="3"/>
        <v>0</v>
      </c>
      <c r="Z43" s="1352">
        <f t="shared" si="4"/>
        <v>0</v>
      </c>
      <c r="AA43" s="1352"/>
      <c r="AB43" s="1449">
        <f t="shared" si="7"/>
        <v>0</v>
      </c>
      <c r="AD43" s="1450">
        <f t="shared" si="8"/>
        <v>0</v>
      </c>
      <c r="AF43" s="1043"/>
      <c r="AH43" s="1004">
        <f t="shared" si="5"/>
        <v>0</v>
      </c>
      <c r="AU43" s="1019">
        <f t="shared" si="9"/>
        <v>0</v>
      </c>
    </row>
    <row r="44" spans="1:47" ht="14.1" hidden="1" customHeight="1" outlineLevel="1">
      <c r="A44" s="841">
        <v>2720</v>
      </c>
      <c r="B44" s="846"/>
      <c r="C44" s="857" t="s">
        <v>414</v>
      </c>
      <c r="D44" s="843">
        <v>180868176.29999998</v>
      </c>
      <c r="E44" s="844"/>
      <c r="F44" s="330"/>
      <c r="G44" s="1382">
        <v>0</v>
      </c>
      <c r="H44" s="844"/>
      <c r="I44" s="1383">
        <v>0</v>
      </c>
      <c r="J44" s="844"/>
      <c r="K44" s="1384">
        <f t="shared" si="10"/>
        <v>0</v>
      </c>
      <c r="L44" s="844"/>
      <c r="M44" s="330"/>
      <c r="N44" s="1382">
        <f t="shared" si="11"/>
        <v>180868176.29999998</v>
      </c>
      <c r="O44" s="844"/>
      <c r="R44" s="425"/>
      <c r="T44" s="844">
        <f t="shared" si="12"/>
        <v>0</v>
      </c>
      <c r="V44" s="1374"/>
      <c r="X44" s="903">
        <f t="shared" si="3"/>
        <v>0</v>
      </c>
      <c r="Z44" s="1352">
        <f t="shared" si="4"/>
        <v>0</v>
      </c>
      <c r="AA44" s="1352"/>
      <c r="AB44" s="1449">
        <f t="shared" si="7"/>
        <v>0</v>
      </c>
      <c r="AD44" s="1450">
        <f t="shared" si="8"/>
        <v>0</v>
      </c>
      <c r="AF44" s="1043"/>
      <c r="AH44" s="1004">
        <f t="shared" si="5"/>
        <v>0</v>
      </c>
      <c r="AU44" s="1019">
        <f t="shared" si="9"/>
        <v>0</v>
      </c>
    </row>
    <row r="45" spans="1:47" ht="14.1" hidden="1" customHeight="1" outlineLevel="1">
      <c r="A45" s="841">
        <v>2740</v>
      </c>
      <c r="B45" s="846"/>
      <c r="C45" s="857" t="s">
        <v>415</v>
      </c>
      <c r="D45" s="843">
        <v>39225108.280000001</v>
      </c>
      <c r="E45" s="844"/>
      <c r="F45" s="330"/>
      <c r="G45" s="1382">
        <v>0</v>
      </c>
      <c r="H45" s="844"/>
      <c r="I45" s="1383">
        <v>0</v>
      </c>
      <c r="J45" s="844"/>
      <c r="K45" s="1384">
        <f t="shared" si="10"/>
        <v>0</v>
      </c>
      <c r="L45" s="844"/>
      <c r="M45" s="330"/>
      <c r="N45" s="1382">
        <f t="shared" si="11"/>
        <v>39225108.280000001</v>
      </c>
      <c r="O45" s="844"/>
      <c r="R45" s="425"/>
      <c r="T45" s="844">
        <f t="shared" si="12"/>
        <v>0</v>
      </c>
      <c r="V45" s="1374"/>
      <c r="X45" s="903">
        <f t="shared" si="3"/>
        <v>0</v>
      </c>
      <c r="Z45" s="1352">
        <f t="shared" si="4"/>
        <v>0</v>
      </c>
      <c r="AA45" s="1352"/>
      <c r="AB45" s="1449">
        <f t="shared" si="7"/>
        <v>0</v>
      </c>
      <c r="AD45" s="1450">
        <f t="shared" si="8"/>
        <v>0</v>
      </c>
      <c r="AF45" s="1043"/>
      <c r="AH45" s="1004">
        <f t="shared" si="5"/>
        <v>0</v>
      </c>
      <c r="AU45" s="1019">
        <f t="shared" si="9"/>
        <v>0</v>
      </c>
    </row>
    <row r="46" spans="1:47" ht="14.1" hidden="1" customHeight="1" outlineLevel="1">
      <c r="A46" s="841">
        <v>2760</v>
      </c>
      <c r="B46" s="846"/>
      <c r="C46" s="857" t="s">
        <v>416</v>
      </c>
      <c r="D46" s="843">
        <v>961161.10000000009</v>
      </c>
      <c r="E46" s="844"/>
      <c r="F46" s="330"/>
      <c r="G46" s="1382">
        <v>0</v>
      </c>
      <c r="H46" s="844"/>
      <c r="I46" s="1383">
        <v>0</v>
      </c>
      <c r="J46" s="844"/>
      <c r="K46" s="1384">
        <f t="shared" si="10"/>
        <v>0</v>
      </c>
      <c r="L46" s="844"/>
      <c r="M46" s="330"/>
      <c r="N46" s="1382">
        <f t="shared" si="11"/>
        <v>961161.10000000009</v>
      </c>
      <c r="O46" s="844"/>
      <c r="R46" s="425"/>
      <c r="T46" s="844">
        <f t="shared" si="12"/>
        <v>0</v>
      </c>
      <c r="V46" s="1374"/>
      <c r="X46" s="903">
        <f t="shared" si="3"/>
        <v>0</v>
      </c>
      <c r="Z46" s="1352">
        <f t="shared" si="4"/>
        <v>0</v>
      </c>
      <c r="AA46" s="1352"/>
      <c r="AB46" s="1449">
        <f t="shared" si="7"/>
        <v>0</v>
      </c>
      <c r="AC46" s="330"/>
      <c r="AD46" s="1450">
        <f t="shared" si="8"/>
        <v>0</v>
      </c>
      <c r="AF46" s="1043"/>
      <c r="AH46" s="1004">
        <f t="shared" si="5"/>
        <v>0</v>
      </c>
      <c r="AU46" s="1019">
        <f t="shared" si="9"/>
        <v>0</v>
      </c>
    </row>
    <row r="47" spans="1:47" ht="14.1" hidden="1" customHeight="1" outlineLevel="1">
      <c r="A47" s="841">
        <v>2780</v>
      </c>
      <c r="B47" s="846"/>
      <c r="C47" s="857" t="s">
        <v>417</v>
      </c>
      <c r="D47" s="843">
        <v>780000</v>
      </c>
      <c r="E47" s="844"/>
      <c r="F47" s="330"/>
      <c r="G47" s="1382">
        <v>0</v>
      </c>
      <c r="H47" s="844"/>
      <c r="I47" s="1383">
        <v>0</v>
      </c>
      <c r="J47" s="844"/>
      <c r="K47" s="1384">
        <f t="shared" si="10"/>
        <v>0</v>
      </c>
      <c r="L47" s="844"/>
      <c r="M47" s="330"/>
      <c r="N47" s="1382">
        <f t="shared" si="11"/>
        <v>780000</v>
      </c>
      <c r="O47" s="844"/>
      <c r="R47" s="425"/>
      <c r="T47" s="844">
        <f t="shared" si="12"/>
        <v>0</v>
      </c>
      <c r="V47" s="1374"/>
      <c r="X47" s="903">
        <f t="shared" si="3"/>
        <v>0</v>
      </c>
      <c r="Z47" s="1352">
        <f t="shared" si="4"/>
        <v>0</v>
      </c>
      <c r="AA47" s="1352"/>
      <c r="AB47" s="1449">
        <f t="shared" si="7"/>
        <v>0</v>
      </c>
      <c r="AD47" s="1450">
        <f t="shared" si="8"/>
        <v>0</v>
      </c>
      <c r="AF47" s="1043"/>
      <c r="AH47" s="1004">
        <f t="shared" si="5"/>
        <v>0</v>
      </c>
      <c r="AU47" s="1019">
        <f t="shared" si="9"/>
        <v>0</v>
      </c>
    </row>
    <row r="48" spans="1:47" ht="14.1" hidden="1" customHeight="1" outlineLevel="1">
      <c r="A48" s="841">
        <v>2785</v>
      </c>
      <c r="B48" s="846"/>
      <c r="C48" s="857" t="s">
        <v>418</v>
      </c>
      <c r="D48" s="843">
        <v>73155000</v>
      </c>
      <c r="E48" s="844"/>
      <c r="F48" s="330"/>
      <c r="G48" s="1382">
        <v>0</v>
      </c>
      <c r="H48" s="844"/>
      <c r="I48" s="1383">
        <v>0</v>
      </c>
      <c r="J48" s="844"/>
      <c r="K48" s="1384">
        <f t="shared" si="10"/>
        <v>0</v>
      </c>
      <c r="L48" s="844"/>
      <c r="M48" s="330"/>
      <c r="N48" s="1382">
        <f t="shared" si="11"/>
        <v>73155000</v>
      </c>
      <c r="O48" s="844"/>
      <c r="R48" s="425"/>
      <c r="T48" s="844">
        <f t="shared" si="12"/>
        <v>0</v>
      </c>
      <c r="V48" s="1374"/>
      <c r="X48" s="903">
        <f t="shared" si="3"/>
        <v>0</v>
      </c>
      <c r="Z48" s="1352">
        <f t="shared" si="4"/>
        <v>0</v>
      </c>
      <c r="AA48" s="1352"/>
      <c r="AB48" s="1449">
        <f t="shared" si="7"/>
        <v>0</v>
      </c>
      <c r="AD48" s="1450">
        <f t="shared" si="8"/>
        <v>0</v>
      </c>
      <c r="AF48" s="1043"/>
      <c r="AH48" s="1004">
        <f t="shared" si="5"/>
        <v>0</v>
      </c>
      <c r="AU48" s="1019">
        <f t="shared" si="9"/>
        <v>0</v>
      </c>
    </row>
    <row r="49" spans="1:47 16361:16361" collapsed="1">
      <c r="A49" s="841">
        <v>2795</v>
      </c>
      <c r="B49" s="846"/>
      <c r="C49" s="857" t="s">
        <v>822</v>
      </c>
      <c r="D49" s="843"/>
      <c r="E49" s="844">
        <v>16210049.1</v>
      </c>
      <c r="F49" s="330"/>
      <c r="G49" s="1382"/>
      <c r="H49" s="844">
        <v>4559476.5999999996</v>
      </c>
      <c r="I49" s="1392"/>
      <c r="J49" s="844">
        <v>631475</v>
      </c>
      <c r="K49" s="1384"/>
      <c r="L49" s="844">
        <f>H49+J49</f>
        <v>5190951.5999999996</v>
      </c>
      <c r="M49" s="1355">
        <f>L49/E49</f>
        <v>0.3202304674080228</v>
      </c>
      <c r="N49" s="1382"/>
      <c r="O49" s="844">
        <f>E49-L49</f>
        <v>11019097.5</v>
      </c>
      <c r="P49" s="840">
        <v>0.67976953259197714</v>
      </c>
      <c r="R49" s="425">
        <v>0</v>
      </c>
      <c r="T49" s="844">
        <f t="shared" si="12"/>
        <v>16210049.1</v>
      </c>
      <c r="V49" s="1374">
        <v>3727604.6</v>
      </c>
      <c r="X49" s="903">
        <f t="shared" si="3"/>
        <v>12482444.5</v>
      </c>
      <c r="Z49" s="1352">
        <f t="shared" si="4"/>
        <v>831871.99999999953</v>
      </c>
      <c r="AA49" s="1352">
        <f>(X49-Z49)*0.5</f>
        <v>5825286.25</v>
      </c>
      <c r="AB49" s="1449">
        <f t="shared" si="7"/>
        <v>6657158.25</v>
      </c>
      <c r="AD49" s="1450">
        <f t="shared" si="8"/>
        <v>5825286.25</v>
      </c>
      <c r="AF49" s="1043"/>
      <c r="AH49" s="1004">
        <f t="shared" si="5"/>
        <v>16210049.1</v>
      </c>
      <c r="AJ49" s="1012">
        <v>0.75</v>
      </c>
      <c r="AK49" s="1012"/>
      <c r="AL49" s="988">
        <f>AH49*AJ49</f>
        <v>12157536.824999999</v>
      </c>
      <c r="AM49" s="988">
        <f t="shared" ref="AM49:AM56" si="13">AH49*(1-AJ49)</f>
        <v>4052512.2749999999</v>
      </c>
      <c r="AU49" s="1019">
        <f t="shared" si="9"/>
        <v>16210049.1</v>
      </c>
    </row>
    <row r="50" spans="1:47 16361:16361" s="839" customFormat="1">
      <c r="A50" s="294"/>
      <c r="B50" s="833"/>
      <c r="C50" s="857" t="s">
        <v>1131</v>
      </c>
      <c r="D50" s="843"/>
      <c r="E50" s="844">
        <f>SUM(D51:D52)</f>
        <v>247083900</v>
      </c>
      <c r="F50" s="330"/>
      <c r="G50" s="1382"/>
      <c r="H50" s="844">
        <f>SUM(G51:G52)</f>
        <v>219685500</v>
      </c>
      <c r="I50" s="1392"/>
      <c r="J50" s="844">
        <f>SUM(I51:I52)</f>
        <v>3662400</v>
      </c>
      <c r="K50" s="1384"/>
      <c r="L50" s="844">
        <f>SUM(K51:K52)</f>
        <v>223347900</v>
      </c>
      <c r="M50" s="1355">
        <f>L50/E50</f>
        <v>0.90393546483603338</v>
      </c>
      <c r="N50" s="1382"/>
      <c r="O50" s="844">
        <f>SUM(N51:N52)</f>
        <v>23736000</v>
      </c>
      <c r="P50" s="840">
        <v>9.6064535163966569E-2</v>
      </c>
      <c r="R50" s="425">
        <v>-8998400</v>
      </c>
      <c r="T50" s="844">
        <f t="shared" si="12"/>
        <v>238085500</v>
      </c>
      <c r="V50" s="1374">
        <v>214455500</v>
      </c>
      <c r="X50" s="903">
        <f t="shared" si="3"/>
        <v>23630000</v>
      </c>
      <c r="Y50" s="825"/>
      <c r="Z50" s="1352">
        <f t="shared" si="4"/>
        <v>5230000</v>
      </c>
      <c r="AA50" s="1352">
        <f>(X50-Z50)*0.5</f>
        <v>9200000</v>
      </c>
      <c r="AB50" s="1449">
        <f t="shared" si="7"/>
        <v>14430000</v>
      </c>
      <c r="AC50" s="330"/>
      <c r="AD50" s="1450">
        <f t="shared" si="8"/>
        <v>9200000</v>
      </c>
      <c r="AE50" s="825"/>
      <c r="AF50" s="1043"/>
      <c r="AG50" s="825"/>
      <c r="AH50" s="1004">
        <f t="shared" si="5"/>
        <v>238085500</v>
      </c>
      <c r="AJ50" s="1012">
        <v>0.65</v>
      </c>
      <c r="AK50" s="1012"/>
      <c r="AL50" s="988">
        <f>AH50*AJ50</f>
        <v>154755575</v>
      </c>
      <c r="AM50" s="988">
        <f t="shared" si="13"/>
        <v>83329925</v>
      </c>
      <c r="AU50" s="1019">
        <f t="shared" si="9"/>
        <v>238085500</v>
      </c>
    </row>
    <row r="51" spans="1:47 16361:16361" ht="15" hidden="1" customHeight="1" outlineLevel="1">
      <c r="A51" s="841">
        <v>4000</v>
      </c>
      <c r="B51" s="846"/>
      <c r="C51" s="859" t="s">
        <v>421</v>
      </c>
      <c r="D51" s="843">
        <v>247083900</v>
      </c>
      <c r="E51" s="844"/>
      <c r="F51" s="330"/>
      <c r="G51" s="1382">
        <f>216185500+3500000</f>
        <v>219685500</v>
      </c>
      <c r="H51" s="844"/>
      <c r="I51" s="1383">
        <f>7162400-3500000</f>
        <v>3662400</v>
      </c>
      <c r="J51" s="844"/>
      <c r="K51" s="1384">
        <f>G51+I51</f>
        <v>223347900</v>
      </c>
      <c r="L51" s="844"/>
      <c r="M51" s="330"/>
      <c r="N51" s="1382">
        <f>D51-K51</f>
        <v>23736000</v>
      </c>
      <c r="O51" s="844"/>
      <c r="R51" s="425"/>
      <c r="T51" s="844">
        <f t="shared" si="12"/>
        <v>0</v>
      </c>
      <c r="V51" s="1374"/>
      <c r="X51" s="903">
        <f t="shared" si="3"/>
        <v>0</v>
      </c>
      <c r="Z51" s="1352">
        <f t="shared" si="4"/>
        <v>0</v>
      </c>
      <c r="AA51" s="1352"/>
      <c r="AB51" s="1449">
        <f t="shared" si="7"/>
        <v>0</v>
      </c>
      <c r="AD51" s="1450">
        <f t="shared" si="8"/>
        <v>0</v>
      </c>
      <c r="AF51" s="1043"/>
      <c r="AH51" s="1004">
        <f t="shared" si="5"/>
        <v>0</v>
      </c>
      <c r="AM51" s="988">
        <f t="shared" si="13"/>
        <v>0</v>
      </c>
      <c r="AU51" s="1019">
        <f t="shared" si="9"/>
        <v>0</v>
      </c>
    </row>
    <row r="52" spans="1:47 16361:16361" ht="15" hidden="1" customHeight="1" outlineLevel="1">
      <c r="A52" s="841">
        <v>4050</v>
      </c>
      <c r="B52" s="846"/>
      <c r="C52" s="859"/>
      <c r="D52" s="843"/>
      <c r="E52" s="844"/>
      <c r="F52" s="330"/>
      <c r="G52" s="1382"/>
      <c r="H52" s="844"/>
      <c r="I52" s="1383"/>
      <c r="J52" s="844"/>
      <c r="K52" s="1384">
        <f>G52+I52</f>
        <v>0</v>
      </c>
      <c r="L52" s="844"/>
      <c r="M52" s="330"/>
      <c r="N52" s="1382">
        <f>D52-K52</f>
        <v>0</v>
      </c>
      <c r="O52" s="844"/>
      <c r="R52" s="425"/>
      <c r="T52" s="844">
        <f t="shared" si="12"/>
        <v>0</v>
      </c>
      <c r="V52" s="1374"/>
      <c r="X52" s="903">
        <f t="shared" si="3"/>
        <v>0</v>
      </c>
      <c r="Z52" s="1352">
        <f t="shared" si="4"/>
        <v>0</v>
      </c>
      <c r="AA52" s="1352"/>
      <c r="AB52" s="1449">
        <f t="shared" si="7"/>
        <v>0</v>
      </c>
      <c r="AD52" s="1450">
        <f t="shared" si="8"/>
        <v>0</v>
      </c>
      <c r="AF52" s="1043"/>
      <c r="AH52" s="1004">
        <f t="shared" si="5"/>
        <v>0</v>
      </c>
      <c r="AM52" s="988">
        <f t="shared" si="13"/>
        <v>0</v>
      </c>
      <c r="AU52" s="1019">
        <f t="shared" si="9"/>
        <v>0</v>
      </c>
    </row>
    <row r="53" spans="1:47 16361:16361" ht="15" customHeight="1" collapsed="1">
      <c r="A53" s="841"/>
      <c r="B53" s="846"/>
      <c r="C53" s="857" t="s">
        <v>1132</v>
      </c>
      <c r="D53" s="843"/>
      <c r="E53" s="844">
        <f>SUM(D54:D55)</f>
        <v>1514417.63</v>
      </c>
      <c r="F53" s="330"/>
      <c r="G53" s="1382"/>
      <c r="H53" s="844">
        <f>SUM(G54:G55)</f>
        <v>2004735.9200000002</v>
      </c>
      <c r="I53" s="1392"/>
      <c r="J53" s="844">
        <f>SUM(I54:I55)</f>
        <v>179890</v>
      </c>
      <c r="K53" s="1384"/>
      <c r="L53" s="844">
        <f>SUM(K54:K55)</f>
        <v>2184625.92</v>
      </c>
      <c r="M53" s="1355">
        <f>L53/E53</f>
        <v>1.442551827661964</v>
      </c>
      <c r="N53" s="1382"/>
      <c r="O53" s="844">
        <f>SUM(N54:N55)</f>
        <v>-670208.29</v>
      </c>
      <c r="P53" s="840">
        <v>-0.4425518276619641</v>
      </c>
      <c r="R53" s="425">
        <v>670208.29</v>
      </c>
      <c r="T53" s="844">
        <f t="shared" si="12"/>
        <v>2184625.92</v>
      </c>
      <c r="V53" s="1374">
        <v>1681572.9200000002</v>
      </c>
      <c r="X53" s="903">
        <f t="shared" si="3"/>
        <v>503052.99999999977</v>
      </c>
      <c r="Z53" s="1352">
        <f t="shared" si="4"/>
        <v>323163</v>
      </c>
      <c r="AA53" s="1352">
        <f>X53-Z53</f>
        <v>179889.99999999977</v>
      </c>
      <c r="AB53" s="1449">
        <f t="shared" si="7"/>
        <v>503052.99999999977</v>
      </c>
      <c r="AD53" s="1450">
        <f t="shared" si="8"/>
        <v>0</v>
      </c>
      <c r="AF53" s="1043"/>
      <c r="AH53" s="1004">
        <f t="shared" si="5"/>
        <v>2184625.92</v>
      </c>
      <c r="AJ53" s="1012">
        <v>0.65</v>
      </c>
      <c r="AK53" s="1012"/>
      <c r="AL53" s="988">
        <f>AH53*AJ53</f>
        <v>1420006.848</v>
      </c>
      <c r="AM53" s="988">
        <f t="shared" si="13"/>
        <v>764619.07199999993</v>
      </c>
      <c r="AU53" s="1019">
        <f t="shared" si="9"/>
        <v>2184625.92</v>
      </c>
    </row>
    <row r="54" spans="1:47 16361:16361" ht="17.25" hidden="1" customHeight="1" outlineLevel="1">
      <c r="A54" s="841">
        <v>4095</v>
      </c>
      <c r="B54" s="846"/>
      <c r="C54" s="859" t="s">
        <v>823</v>
      </c>
      <c r="D54" s="843">
        <v>1129461</v>
      </c>
      <c r="E54" s="844"/>
      <c r="F54" s="330"/>
      <c r="G54" s="1382">
        <f>1348150.35+271663</f>
        <v>1619813.35</v>
      </c>
      <c r="H54" s="844"/>
      <c r="I54" s="1383">
        <v>179890</v>
      </c>
      <c r="J54" s="844"/>
      <c r="K54" s="1384">
        <f>G54+I54</f>
        <v>1799703.35</v>
      </c>
      <c r="L54" s="844"/>
      <c r="M54" s="330"/>
      <c r="N54" s="1382">
        <f>D54-K54</f>
        <v>-670242.35000000009</v>
      </c>
      <c r="O54" s="844"/>
      <c r="R54" s="425"/>
      <c r="T54" s="844">
        <f t="shared" si="12"/>
        <v>0</v>
      </c>
      <c r="V54" s="1374"/>
      <c r="X54" s="903">
        <f t="shared" si="3"/>
        <v>0</v>
      </c>
      <c r="Z54" s="1352">
        <f t="shared" si="4"/>
        <v>0</v>
      </c>
      <c r="AA54" s="1352"/>
      <c r="AB54" s="1449">
        <f t="shared" si="7"/>
        <v>0</v>
      </c>
      <c r="AD54" s="1450">
        <f t="shared" si="8"/>
        <v>0</v>
      </c>
      <c r="AF54" s="1043"/>
      <c r="AH54" s="1004">
        <f t="shared" si="5"/>
        <v>0</v>
      </c>
      <c r="AL54" s="976"/>
      <c r="AM54" s="988">
        <f t="shared" si="13"/>
        <v>0</v>
      </c>
      <c r="AU54" s="1019">
        <f t="shared" si="9"/>
        <v>0</v>
      </c>
      <c r="XEG54" s="825">
        <f>SUM(A54:XEF54)</f>
        <v>4062720.35</v>
      </c>
    </row>
    <row r="55" spans="1:47 16361:16361" ht="15" hidden="1" customHeight="1" outlineLevel="1">
      <c r="A55" s="845">
        <v>4100</v>
      </c>
      <c r="B55" s="860"/>
      <c r="C55" s="859" t="s">
        <v>422</v>
      </c>
      <c r="D55" s="843">
        <v>384956.63</v>
      </c>
      <c r="E55" s="844"/>
      <c r="F55" s="330"/>
      <c r="G55" s="1382">
        <v>384922.57</v>
      </c>
      <c r="H55" s="844"/>
      <c r="I55" s="1383"/>
      <c r="J55" s="844"/>
      <c r="K55" s="1384">
        <f>G55+I55</f>
        <v>384922.57</v>
      </c>
      <c r="L55" s="844"/>
      <c r="M55" s="330"/>
      <c r="N55" s="1382">
        <f>D55-K55</f>
        <v>34.059999999997672</v>
      </c>
      <c r="O55" s="844"/>
      <c r="R55" s="425"/>
      <c r="T55" s="844">
        <f t="shared" si="12"/>
        <v>0</v>
      </c>
      <c r="V55" s="1374"/>
      <c r="X55" s="903">
        <f t="shared" si="3"/>
        <v>0</v>
      </c>
      <c r="Z55" s="1352">
        <f t="shared" si="4"/>
        <v>0</v>
      </c>
      <c r="AA55" s="1352"/>
      <c r="AB55" s="1449">
        <f t="shared" si="7"/>
        <v>0</v>
      </c>
      <c r="AD55" s="1450">
        <f t="shared" si="8"/>
        <v>0</v>
      </c>
      <c r="AF55" s="1043"/>
      <c r="AH55" s="1004">
        <f t="shared" si="5"/>
        <v>0</v>
      </c>
      <c r="AL55" s="976"/>
      <c r="AM55" s="988">
        <f t="shared" si="13"/>
        <v>0</v>
      </c>
      <c r="AU55" s="1019">
        <f t="shared" si="9"/>
        <v>0</v>
      </c>
      <c r="XEG55" s="825">
        <f>SUM(A55:XEF55)</f>
        <v>1158935.83</v>
      </c>
    </row>
    <row r="56" spans="1:47 16361:16361" collapsed="1">
      <c r="A56" s="841">
        <v>9930</v>
      </c>
      <c r="B56" s="846"/>
      <c r="C56" s="857" t="s">
        <v>901</v>
      </c>
      <c r="D56" s="843"/>
      <c r="E56" s="844">
        <v>19000000</v>
      </c>
      <c r="F56" s="330"/>
      <c r="G56" s="1382"/>
      <c r="H56" s="844">
        <f>9314192+490000</f>
        <v>9804192</v>
      </c>
      <c r="I56" s="1392"/>
      <c r="J56" s="844">
        <f>555000-490000</f>
        <v>65000</v>
      </c>
      <c r="K56" s="1384"/>
      <c r="L56" s="844">
        <f>H56+J56</f>
        <v>9869192</v>
      </c>
      <c r="M56" s="1355">
        <f>L56/E56</f>
        <v>0.51943115789473682</v>
      </c>
      <c r="N56" s="1382"/>
      <c r="O56" s="844">
        <f>E56-L56</f>
        <v>9130808</v>
      </c>
      <c r="P56" s="840">
        <v>0.48056884210526318</v>
      </c>
      <c r="R56" s="425">
        <v>-9130808</v>
      </c>
      <c r="T56" s="844">
        <f t="shared" si="12"/>
        <v>9869192</v>
      </c>
      <c r="V56" s="1374">
        <v>9286992</v>
      </c>
      <c r="X56" s="903">
        <f t="shared" si="3"/>
        <v>582200</v>
      </c>
      <c r="Z56" s="1352">
        <f t="shared" si="4"/>
        <v>517200</v>
      </c>
      <c r="AA56" s="1352">
        <f>X56-Z56</f>
        <v>65000</v>
      </c>
      <c r="AB56" s="1449">
        <f t="shared" si="7"/>
        <v>582200</v>
      </c>
      <c r="AD56" s="1450">
        <f t="shared" si="8"/>
        <v>0</v>
      </c>
      <c r="AF56" s="1043"/>
      <c r="AH56" s="1004">
        <f t="shared" si="5"/>
        <v>9869192</v>
      </c>
      <c r="AJ56" s="1012">
        <v>0.75</v>
      </c>
      <c r="AK56" s="1012"/>
      <c r="AL56" s="988">
        <f>AH56*AJ56</f>
        <v>7401894</v>
      </c>
      <c r="AM56" s="988">
        <f t="shared" si="13"/>
        <v>2467298</v>
      </c>
      <c r="AU56" s="1019">
        <f t="shared" si="9"/>
        <v>9869192</v>
      </c>
    </row>
    <row r="57" spans="1:47 16361:16361" s="839" customFormat="1">
      <c r="A57" s="294"/>
      <c r="B57" s="833"/>
      <c r="C57" s="857" t="s">
        <v>1133</v>
      </c>
      <c r="D57" s="843"/>
      <c r="E57" s="844">
        <f>SUM(D58:D60)</f>
        <v>24206490.460000001</v>
      </c>
      <c r="F57" s="330"/>
      <c r="G57" s="1382"/>
      <c r="H57" s="844">
        <f>SUM(G58:G60)</f>
        <v>24181129.739999998</v>
      </c>
      <c r="I57" s="1392"/>
      <c r="J57" s="844">
        <f>SUM(I58:I60)</f>
        <v>10555.55</v>
      </c>
      <c r="K57" s="1384"/>
      <c r="L57" s="844">
        <f>SUM(K58:K60)</f>
        <v>24191685.289999999</v>
      </c>
      <c r="M57" s="1355">
        <f>L57/E57</f>
        <v>0.99938838015265097</v>
      </c>
      <c r="N57" s="1382"/>
      <c r="O57" s="844">
        <f>SUM(N58:N60)</f>
        <v>14805.170000002254</v>
      </c>
      <c r="P57" s="840">
        <v>6.1161984734908379E-4</v>
      </c>
      <c r="R57" s="425">
        <v>0</v>
      </c>
      <c r="T57" s="844">
        <f t="shared" si="12"/>
        <v>24206490.460000001</v>
      </c>
      <c r="V57" s="1374">
        <v>24181129.739999998</v>
      </c>
      <c r="X57" s="903">
        <f t="shared" si="3"/>
        <v>25360.720000002533</v>
      </c>
      <c r="Y57" s="825"/>
      <c r="Z57" s="1352">
        <f t="shared" si="4"/>
        <v>0</v>
      </c>
      <c r="AA57" s="1352">
        <f>X57-Z57</f>
        <v>25360.720000002533</v>
      </c>
      <c r="AB57" s="1449">
        <f t="shared" si="7"/>
        <v>25360.720000002533</v>
      </c>
      <c r="AC57" s="330"/>
      <c r="AD57" s="1450">
        <f t="shared" si="8"/>
        <v>0</v>
      </c>
      <c r="AE57" s="825"/>
      <c r="AF57" s="1043"/>
      <c r="AG57" s="825"/>
      <c r="AH57" s="1004">
        <f t="shared" si="5"/>
        <v>24206490.460000001</v>
      </c>
      <c r="AQ57" s="988">
        <f>AH57</f>
        <v>24206490.460000001</v>
      </c>
      <c r="AU57" s="1019">
        <f t="shared" si="9"/>
        <v>24206490.460000001</v>
      </c>
    </row>
    <row r="58" spans="1:47 16361:16361" ht="14.1" hidden="1" customHeight="1" outlineLevel="2">
      <c r="A58" s="841">
        <v>2100</v>
      </c>
      <c r="B58" s="846"/>
      <c r="C58" s="861" t="s">
        <v>397</v>
      </c>
      <c r="D58" s="843">
        <v>30720</v>
      </c>
      <c r="E58" s="844"/>
      <c r="F58" s="330"/>
      <c r="G58" s="1382">
        <v>30720</v>
      </c>
      <c r="H58" s="844"/>
      <c r="I58" s="1383">
        <v>0</v>
      </c>
      <c r="J58" s="844"/>
      <c r="K58" s="1384">
        <f>G58+I58</f>
        <v>30720</v>
      </c>
      <c r="L58" s="844"/>
      <c r="M58" s="330"/>
      <c r="N58" s="1382">
        <f>D58-K58</f>
        <v>0</v>
      </c>
      <c r="O58" s="844"/>
      <c r="R58" s="425"/>
      <c r="T58" s="844">
        <f t="shared" si="12"/>
        <v>0</v>
      </c>
      <c r="V58" s="1374"/>
      <c r="X58" s="903">
        <f t="shared" si="3"/>
        <v>0</v>
      </c>
      <c r="Z58" s="1352">
        <f t="shared" si="4"/>
        <v>0</v>
      </c>
      <c r="AA58" s="1352"/>
      <c r="AB58" s="1449">
        <f t="shared" si="7"/>
        <v>0</v>
      </c>
      <c r="AD58" s="1450">
        <f t="shared" si="8"/>
        <v>0</v>
      </c>
      <c r="AF58" s="1043"/>
      <c r="AH58" s="1004">
        <f t="shared" si="5"/>
        <v>0</v>
      </c>
      <c r="AU58" s="1019">
        <f t="shared" si="9"/>
        <v>0</v>
      </c>
    </row>
    <row r="59" spans="1:47 16361:16361" ht="14.1" hidden="1" customHeight="1" outlineLevel="2">
      <c r="A59" s="841">
        <v>2890</v>
      </c>
      <c r="B59" s="846"/>
      <c r="C59" s="857" t="s">
        <v>420</v>
      </c>
      <c r="D59" s="843">
        <v>2375970</v>
      </c>
      <c r="E59" s="844"/>
      <c r="F59" s="330"/>
      <c r="G59" s="1382">
        <v>2350609.4499999997</v>
      </c>
      <c r="H59" s="844"/>
      <c r="I59" s="1383">
        <v>10555.55</v>
      </c>
      <c r="J59" s="844"/>
      <c r="K59" s="1384">
        <f>G59+I59</f>
        <v>2361164.9999999995</v>
      </c>
      <c r="L59" s="844"/>
      <c r="M59" s="330"/>
      <c r="N59" s="1382">
        <f>D59-K59</f>
        <v>14805.000000000466</v>
      </c>
      <c r="O59" s="844"/>
      <c r="R59" s="425"/>
      <c r="T59" s="844">
        <f t="shared" si="12"/>
        <v>0</v>
      </c>
      <c r="V59" s="1374"/>
      <c r="X59" s="903">
        <f t="shared" si="3"/>
        <v>0</v>
      </c>
      <c r="Z59" s="1352">
        <f t="shared" si="4"/>
        <v>0</v>
      </c>
      <c r="AA59" s="1352"/>
      <c r="AB59" s="1449">
        <f t="shared" si="7"/>
        <v>0</v>
      </c>
      <c r="AD59" s="1450">
        <f t="shared" si="8"/>
        <v>0</v>
      </c>
      <c r="AF59" s="1043"/>
      <c r="AH59" s="1004">
        <f t="shared" si="5"/>
        <v>0</v>
      </c>
      <c r="AU59" s="1019">
        <f t="shared" si="9"/>
        <v>0</v>
      </c>
    </row>
    <row r="60" spans="1:47 16361:16361" ht="14.1" hidden="1" customHeight="1" outlineLevel="2">
      <c r="A60" s="841">
        <v>2900</v>
      </c>
      <c r="B60" s="846"/>
      <c r="C60" s="857" t="s">
        <v>1134</v>
      </c>
      <c r="D60" s="843">
        <v>21799800.460000001</v>
      </c>
      <c r="E60" s="844"/>
      <c r="F60" s="330"/>
      <c r="G60" s="1382">
        <v>21799800.289999999</v>
      </c>
      <c r="H60" s="844"/>
      <c r="I60" s="1383">
        <v>0</v>
      </c>
      <c r="J60" s="844"/>
      <c r="K60" s="1384">
        <f>G60+I60</f>
        <v>21799800.289999999</v>
      </c>
      <c r="L60" s="844"/>
      <c r="M60" s="330"/>
      <c r="N60" s="1382">
        <f>D60-K60</f>
        <v>0.17000000178813934</v>
      </c>
      <c r="O60" s="844"/>
      <c r="R60" s="425"/>
      <c r="T60" s="844">
        <f t="shared" si="12"/>
        <v>0</v>
      </c>
      <c r="V60" s="1374"/>
      <c r="X60" s="903">
        <f t="shared" si="3"/>
        <v>0</v>
      </c>
      <c r="Z60" s="1352">
        <f t="shared" si="4"/>
        <v>0</v>
      </c>
      <c r="AA60" s="1352"/>
      <c r="AB60" s="1449">
        <f t="shared" si="7"/>
        <v>0</v>
      </c>
      <c r="AD60" s="1450">
        <f t="shared" si="8"/>
        <v>0</v>
      </c>
      <c r="AF60" s="1043"/>
      <c r="AH60" s="1004">
        <f t="shared" si="5"/>
        <v>0</v>
      </c>
      <c r="AU60" s="1019">
        <f t="shared" si="9"/>
        <v>0</v>
      </c>
    </row>
    <row r="61" spans="1:47 16361:16361" s="839" customFormat="1" collapsed="1">
      <c r="A61" s="294"/>
      <c r="B61" s="833"/>
      <c r="C61" s="857" t="s">
        <v>1135</v>
      </c>
      <c r="D61" s="843"/>
      <c r="E61" s="844">
        <f>SUM(D62:D70)</f>
        <v>27241504.219999999</v>
      </c>
      <c r="F61" s="330"/>
      <c r="G61" s="1382"/>
      <c r="H61" s="844">
        <f>SUM(G62:G70)</f>
        <v>27241504.219999999</v>
      </c>
      <c r="I61" s="1392"/>
      <c r="J61" s="844">
        <f>SUM(I62:I70)</f>
        <v>5500</v>
      </c>
      <c r="K61" s="1384"/>
      <c r="L61" s="844">
        <f>SUM(K62:K70)</f>
        <v>27247004.219999999</v>
      </c>
      <c r="M61" s="1355">
        <f>L61/E61</f>
        <v>1.0002018978084171</v>
      </c>
      <c r="N61" s="1382"/>
      <c r="O61" s="844">
        <f>SUM(N62:N70)</f>
        <v>-5500</v>
      </c>
      <c r="P61" s="840">
        <v>-2.0189780841698324E-4</v>
      </c>
      <c r="R61" s="425">
        <v>5500</v>
      </c>
      <c r="T61" s="844">
        <f t="shared" si="12"/>
        <v>27247004.219999999</v>
      </c>
      <c r="V61" s="1374">
        <v>27241504.219999999</v>
      </c>
      <c r="X61" s="903">
        <f t="shared" si="3"/>
        <v>5500</v>
      </c>
      <c r="Y61" s="825"/>
      <c r="Z61" s="1352">
        <f t="shared" si="4"/>
        <v>0</v>
      </c>
      <c r="AA61" s="1352">
        <f>X61-Z61</f>
        <v>5500</v>
      </c>
      <c r="AB61" s="1449">
        <f t="shared" si="7"/>
        <v>5500</v>
      </c>
      <c r="AC61" s="330"/>
      <c r="AD61" s="1450">
        <f t="shared" si="8"/>
        <v>0</v>
      </c>
      <c r="AE61" s="825"/>
      <c r="AF61" s="1045">
        <f>-SUM('Final Terms of Loan Financing'!AW25:AW90)</f>
        <v>66672328.560000002</v>
      </c>
      <c r="AG61" s="825"/>
      <c r="AH61" s="1004">
        <f t="shared" si="5"/>
        <v>93919332.780000001</v>
      </c>
      <c r="AJ61" s="1012">
        <v>0.75</v>
      </c>
      <c r="AK61" s="1012"/>
      <c r="AL61" s="988">
        <f>AH61*AJ61</f>
        <v>70439499.585000008</v>
      </c>
      <c r="AM61" s="988">
        <f>AH61*(1-AJ61)</f>
        <v>23479833.195</v>
      </c>
      <c r="AU61" s="1019">
        <f t="shared" si="9"/>
        <v>93919332.780000001</v>
      </c>
    </row>
    <row r="62" spans="1:47 16361:16361" ht="14.1" hidden="1" customHeight="1" outlineLevel="2">
      <c r="A62" s="841">
        <v>2020</v>
      </c>
      <c r="B62" s="846"/>
      <c r="C62" s="842" t="s">
        <v>396</v>
      </c>
      <c r="D62" s="843">
        <v>1940200</v>
      </c>
      <c r="E62" s="844"/>
      <c r="F62" s="330"/>
      <c r="G62" s="1382">
        <v>1940200</v>
      </c>
      <c r="H62" s="844"/>
      <c r="I62" s="1383">
        <v>0</v>
      </c>
      <c r="J62" s="844"/>
      <c r="K62" s="1384">
        <f t="shared" ref="K62:K70" si="14">G62+I62</f>
        <v>1940200</v>
      </c>
      <c r="L62" s="844"/>
      <c r="M62" s="330"/>
      <c r="N62" s="1382">
        <f t="shared" ref="N62:N70" si="15">D62-K62</f>
        <v>0</v>
      </c>
      <c r="O62" s="844"/>
      <c r="R62" s="425"/>
      <c r="T62" s="844">
        <f t="shared" si="12"/>
        <v>0</v>
      </c>
      <c r="V62" s="1374"/>
      <c r="X62" s="903">
        <f t="shared" si="3"/>
        <v>0</v>
      </c>
      <c r="Z62" s="1352">
        <f t="shared" si="4"/>
        <v>0</v>
      </c>
      <c r="AA62" s="1352"/>
      <c r="AB62" s="1449"/>
      <c r="AD62" s="1450"/>
      <c r="AF62" s="1043"/>
      <c r="AH62" s="1004">
        <f t="shared" si="5"/>
        <v>0</v>
      </c>
      <c r="AU62" s="1018"/>
    </row>
    <row r="63" spans="1:47 16361:16361" ht="14.1" hidden="1" customHeight="1" outlineLevel="2">
      <c r="A63" s="841">
        <v>2200</v>
      </c>
      <c r="B63" s="846"/>
      <c r="C63" s="842" t="s">
        <v>398</v>
      </c>
      <c r="D63" s="843"/>
      <c r="E63" s="844"/>
      <c r="F63" s="330"/>
      <c r="G63" s="1382">
        <v>0</v>
      </c>
      <c r="H63" s="844"/>
      <c r="I63" s="1383">
        <v>0</v>
      </c>
      <c r="J63" s="844"/>
      <c r="K63" s="1384">
        <f t="shared" si="14"/>
        <v>0</v>
      </c>
      <c r="L63" s="844"/>
      <c r="M63" s="330"/>
      <c r="N63" s="1382">
        <f t="shared" si="15"/>
        <v>0</v>
      </c>
      <c r="O63" s="844"/>
      <c r="R63" s="425"/>
      <c r="T63" s="844">
        <f t="shared" si="12"/>
        <v>0</v>
      </c>
      <c r="V63" s="1374"/>
      <c r="X63" s="903">
        <f t="shared" si="3"/>
        <v>0</v>
      </c>
      <c r="Z63" s="1352">
        <f t="shared" si="4"/>
        <v>0</v>
      </c>
      <c r="AA63" s="1352"/>
      <c r="AB63" s="1449"/>
      <c r="AD63" s="1450"/>
      <c r="AF63" s="1043"/>
      <c r="AH63" s="1004">
        <f t="shared" si="5"/>
        <v>0</v>
      </c>
      <c r="AU63" s="1018"/>
    </row>
    <row r="64" spans="1:47 16361:16361" ht="14.1" hidden="1" customHeight="1" outlineLevel="2">
      <c r="A64" s="841">
        <v>2300</v>
      </c>
      <c r="B64" s="846"/>
      <c r="C64" s="857" t="s">
        <v>399</v>
      </c>
      <c r="D64" s="843">
        <v>1754602.5</v>
      </c>
      <c r="E64" s="844"/>
      <c r="F64" s="330"/>
      <c r="G64" s="1382">
        <v>1754602.5</v>
      </c>
      <c r="H64" s="844"/>
      <c r="I64" s="1383">
        <v>5500</v>
      </c>
      <c r="J64" s="844"/>
      <c r="K64" s="1384">
        <f t="shared" si="14"/>
        <v>1760102.5</v>
      </c>
      <c r="L64" s="844"/>
      <c r="M64" s="330"/>
      <c r="N64" s="1382">
        <f t="shared" si="15"/>
        <v>-5500</v>
      </c>
      <c r="O64" s="844"/>
      <c r="R64" s="425"/>
      <c r="T64" s="844">
        <f t="shared" si="12"/>
        <v>0</v>
      </c>
      <c r="V64" s="1374"/>
      <c r="X64" s="903">
        <f t="shared" si="3"/>
        <v>0</v>
      </c>
      <c r="Z64" s="1352">
        <f t="shared" si="4"/>
        <v>0</v>
      </c>
      <c r="AA64" s="1352"/>
      <c r="AB64" s="1449"/>
      <c r="AD64" s="1450"/>
      <c r="AF64" s="1043"/>
      <c r="AH64" s="1004">
        <f t="shared" si="5"/>
        <v>0</v>
      </c>
      <c r="AU64" s="1018"/>
    </row>
    <row r="65" spans="1:47" ht="14.1" hidden="1" customHeight="1" outlineLevel="2">
      <c r="A65" s="841">
        <v>2420</v>
      </c>
      <c r="B65" s="846"/>
      <c r="C65" s="857" t="s">
        <v>400</v>
      </c>
      <c r="D65" s="843">
        <v>3330659</v>
      </c>
      <c r="E65" s="844"/>
      <c r="F65" s="330"/>
      <c r="G65" s="1382">
        <v>3330659</v>
      </c>
      <c r="H65" s="844"/>
      <c r="I65" s="1383">
        <v>0</v>
      </c>
      <c r="J65" s="844"/>
      <c r="K65" s="1384">
        <f t="shared" si="14"/>
        <v>3330659</v>
      </c>
      <c r="L65" s="844"/>
      <c r="M65" s="330"/>
      <c r="N65" s="1382">
        <f t="shared" si="15"/>
        <v>0</v>
      </c>
      <c r="O65" s="844"/>
      <c r="R65" s="425"/>
      <c r="T65" s="844">
        <f t="shared" si="12"/>
        <v>0</v>
      </c>
      <c r="V65" s="1374"/>
      <c r="X65" s="903">
        <f t="shared" si="3"/>
        <v>0</v>
      </c>
      <c r="Z65" s="1352">
        <f t="shared" si="4"/>
        <v>0</v>
      </c>
      <c r="AA65" s="1352"/>
      <c r="AB65" s="1449"/>
      <c r="AD65" s="1450"/>
      <c r="AF65" s="1043"/>
      <c r="AH65" s="1004">
        <f t="shared" si="5"/>
        <v>0</v>
      </c>
      <c r="AU65" s="1018"/>
    </row>
    <row r="66" spans="1:47" ht="14.1" hidden="1" customHeight="1" outlineLevel="2">
      <c r="A66" s="841">
        <v>2440</v>
      </c>
      <c r="B66" s="846"/>
      <c r="C66" s="857" t="s">
        <v>401</v>
      </c>
      <c r="D66" s="843">
        <v>1680000</v>
      </c>
      <c r="E66" s="844"/>
      <c r="F66" s="330"/>
      <c r="G66" s="1382">
        <v>1680000</v>
      </c>
      <c r="H66" s="844"/>
      <c r="I66" s="1383">
        <v>0</v>
      </c>
      <c r="J66" s="844"/>
      <c r="K66" s="1384">
        <f t="shared" si="14"/>
        <v>1680000</v>
      </c>
      <c r="L66" s="844"/>
      <c r="M66" s="330"/>
      <c r="N66" s="1382">
        <f t="shared" si="15"/>
        <v>0</v>
      </c>
      <c r="O66" s="844"/>
      <c r="R66" s="425"/>
      <c r="T66" s="844">
        <f t="shared" si="12"/>
        <v>0</v>
      </c>
      <c r="V66" s="1374"/>
      <c r="X66" s="903">
        <f t="shared" si="3"/>
        <v>0</v>
      </c>
      <c r="Z66" s="1352">
        <f t="shared" si="4"/>
        <v>0</v>
      </c>
      <c r="AA66" s="1352"/>
      <c r="AB66" s="1449"/>
      <c r="AD66" s="1450"/>
      <c r="AF66" s="1043"/>
      <c r="AH66" s="1004">
        <f t="shared" si="5"/>
        <v>0</v>
      </c>
      <c r="AU66" s="1018"/>
    </row>
    <row r="67" spans="1:47" ht="14.1" hidden="1" customHeight="1" outlineLevel="2">
      <c r="A67" s="841">
        <v>2460</v>
      </c>
      <c r="B67" s="846"/>
      <c r="C67" s="857" t="s">
        <v>402</v>
      </c>
      <c r="D67" s="843">
        <v>42000</v>
      </c>
      <c r="E67" s="844"/>
      <c r="F67" s="330"/>
      <c r="G67" s="1382">
        <v>42000</v>
      </c>
      <c r="H67" s="844"/>
      <c r="I67" s="1383">
        <v>0</v>
      </c>
      <c r="J67" s="844"/>
      <c r="K67" s="1384">
        <f t="shared" si="14"/>
        <v>42000</v>
      </c>
      <c r="L67" s="844"/>
      <c r="M67" s="330"/>
      <c r="N67" s="1382">
        <f t="shared" si="15"/>
        <v>0</v>
      </c>
      <c r="O67" s="844"/>
      <c r="R67" s="425"/>
      <c r="T67" s="844">
        <f t="shared" si="12"/>
        <v>0</v>
      </c>
      <c r="V67" s="1374"/>
      <c r="X67" s="903">
        <f t="shared" si="3"/>
        <v>0</v>
      </c>
      <c r="Z67" s="1352">
        <f t="shared" si="4"/>
        <v>0</v>
      </c>
      <c r="AA67" s="1352"/>
      <c r="AB67" s="1449"/>
      <c r="AD67" s="1450"/>
      <c r="AF67" s="1043"/>
      <c r="AH67" s="1004">
        <f t="shared" si="5"/>
        <v>0</v>
      </c>
      <c r="AU67" s="1018"/>
    </row>
    <row r="68" spans="1:47" hidden="1" outlineLevel="2">
      <c r="A68" s="841">
        <v>2480</v>
      </c>
      <c r="B68" s="846"/>
      <c r="C68" s="857" t="s">
        <v>403</v>
      </c>
      <c r="D68" s="843">
        <v>17934042.719999999</v>
      </c>
      <c r="E68" s="844"/>
      <c r="F68" s="330"/>
      <c r="G68" s="1382">
        <v>17934042.719999999</v>
      </c>
      <c r="H68" s="844"/>
      <c r="I68" s="1383">
        <v>0</v>
      </c>
      <c r="J68" s="844"/>
      <c r="K68" s="1384">
        <f t="shared" si="14"/>
        <v>17934042.719999999</v>
      </c>
      <c r="L68" s="844"/>
      <c r="M68" s="330"/>
      <c r="N68" s="1382">
        <f t="shared" si="15"/>
        <v>0</v>
      </c>
      <c r="O68" s="844"/>
      <c r="R68" s="425"/>
      <c r="T68" s="844">
        <f t="shared" si="12"/>
        <v>0</v>
      </c>
      <c r="V68" s="1374"/>
      <c r="X68" s="903">
        <f t="shared" si="3"/>
        <v>0</v>
      </c>
      <c r="Z68" s="1352">
        <f t="shared" si="4"/>
        <v>0</v>
      </c>
      <c r="AA68" s="1352"/>
      <c r="AB68" s="1449"/>
      <c r="AD68" s="1450"/>
      <c r="AF68" s="1043"/>
      <c r="AH68" s="1004">
        <f t="shared" si="5"/>
        <v>0</v>
      </c>
      <c r="AU68" s="1018"/>
    </row>
    <row r="69" spans="1:47" hidden="1" outlineLevel="2">
      <c r="A69" s="841">
        <v>2800</v>
      </c>
      <c r="B69" s="846"/>
      <c r="C69" s="857" t="s">
        <v>419</v>
      </c>
      <c r="D69" s="843">
        <v>560000</v>
      </c>
      <c r="E69" s="844"/>
      <c r="F69" s="330"/>
      <c r="G69" s="1382">
        <v>560000</v>
      </c>
      <c r="H69" s="844"/>
      <c r="I69" s="1383">
        <v>0</v>
      </c>
      <c r="J69" s="844"/>
      <c r="K69" s="1384">
        <f t="shared" si="14"/>
        <v>560000</v>
      </c>
      <c r="L69" s="844"/>
      <c r="M69" s="330"/>
      <c r="N69" s="1382">
        <f t="shared" si="15"/>
        <v>0</v>
      </c>
      <c r="O69" s="844"/>
      <c r="R69" s="425"/>
      <c r="T69" s="844">
        <f t="shared" si="12"/>
        <v>0</v>
      </c>
      <c r="V69" s="1374"/>
      <c r="X69" s="903">
        <f t="shared" si="3"/>
        <v>0</v>
      </c>
      <c r="Z69" s="1352">
        <f t="shared" si="4"/>
        <v>0</v>
      </c>
      <c r="AA69" s="1352"/>
      <c r="AB69" s="1449"/>
      <c r="AD69" s="1450"/>
      <c r="AF69" s="1043"/>
      <c r="AH69" s="1004">
        <f t="shared" si="5"/>
        <v>0</v>
      </c>
      <c r="AU69" s="1018"/>
    </row>
    <row r="70" spans="1:47" hidden="1" outlineLevel="2">
      <c r="A70" s="841"/>
      <c r="B70" s="846"/>
      <c r="C70" s="857" t="s">
        <v>821</v>
      </c>
      <c r="D70" s="843"/>
      <c r="E70" s="844"/>
      <c r="F70" s="330"/>
      <c r="G70" s="1382"/>
      <c r="H70" s="844"/>
      <c r="I70" s="1392"/>
      <c r="J70" s="844"/>
      <c r="K70" s="1384">
        <f t="shared" si="14"/>
        <v>0</v>
      </c>
      <c r="L70" s="844"/>
      <c r="M70" s="330"/>
      <c r="N70" s="1382">
        <f t="shared" si="15"/>
        <v>0</v>
      </c>
      <c r="O70" s="844"/>
      <c r="R70" s="425"/>
      <c r="T70" s="844">
        <f t="shared" ref="T70:T101" si="16">E70+R70</f>
        <v>0</v>
      </c>
      <c r="V70" s="1374"/>
      <c r="X70" s="903">
        <f t="shared" si="3"/>
        <v>0</v>
      </c>
      <c r="Z70" s="1352">
        <f t="shared" si="4"/>
        <v>0</v>
      </c>
      <c r="AA70" s="1352"/>
      <c r="AB70" s="1449"/>
      <c r="AD70" s="1450"/>
      <c r="AF70" s="1043"/>
      <c r="AH70" s="1004">
        <f t="shared" si="5"/>
        <v>0</v>
      </c>
      <c r="AU70" s="1018"/>
    </row>
    <row r="71" spans="1:47" ht="8.25" customHeight="1" collapsed="1">
      <c r="A71" s="841"/>
      <c r="B71" s="846"/>
      <c r="C71" s="836"/>
      <c r="D71" s="852"/>
      <c r="E71" s="838"/>
      <c r="F71" s="330"/>
      <c r="G71" s="1378"/>
      <c r="H71" s="838"/>
      <c r="I71" s="1385"/>
      <c r="J71" s="838"/>
      <c r="K71" s="1386"/>
      <c r="L71" s="838"/>
      <c r="M71" s="1356"/>
      <c r="N71" s="1378"/>
      <c r="O71" s="838"/>
      <c r="R71" s="991"/>
      <c r="T71" s="838">
        <f t="shared" si="16"/>
        <v>0</v>
      </c>
      <c r="V71" s="1379"/>
      <c r="X71" s="904">
        <f t="shared" ref="X71:X134" si="17">T71-V71</f>
        <v>0</v>
      </c>
      <c r="Z71" s="1350">
        <f t="shared" ref="Z71:Z134" si="18">H71-V71</f>
        <v>0</v>
      </c>
      <c r="AA71" s="1350"/>
      <c r="AB71" s="1447"/>
      <c r="AD71" s="1448"/>
      <c r="AF71" s="1043"/>
      <c r="AH71" s="1003">
        <f t="shared" ref="AH71:AH134" si="19">T71+AF71</f>
        <v>0</v>
      </c>
      <c r="AU71" s="1018"/>
    </row>
    <row r="72" spans="1:47">
      <c r="A72" s="841"/>
      <c r="B72" s="841"/>
      <c r="C72" s="862" t="s">
        <v>1136</v>
      </c>
      <c r="D72" s="854"/>
      <c r="E72" s="855">
        <f>SUM(E33:E61)</f>
        <v>975182477.25999999</v>
      </c>
      <c r="F72" s="330"/>
      <c r="G72" s="1391"/>
      <c r="H72" s="855">
        <f>SUM(H33:H61)</f>
        <v>878566538.48000002</v>
      </c>
      <c r="I72" s="1389"/>
      <c r="J72" s="855">
        <f>SUM(J33:J61)</f>
        <v>52789282.549999997</v>
      </c>
      <c r="K72" s="1390"/>
      <c r="L72" s="855">
        <f>SUM(L33:L61)</f>
        <v>931355821.02999997</v>
      </c>
      <c r="M72" s="1355">
        <f>L72/E72</f>
        <v>0.95505799452719753</v>
      </c>
      <c r="N72" s="1391"/>
      <c r="O72" s="855">
        <f>SUM(O33:O61)</f>
        <v>43826656.229999937</v>
      </c>
      <c r="P72" s="840">
        <v>4.4942005472802415E-2</v>
      </c>
      <c r="R72" s="992">
        <f>SUM(R33:R61)</f>
        <v>-57453499.710000001</v>
      </c>
      <c r="T72" s="855">
        <f t="shared" si="16"/>
        <v>917728977.54999995</v>
      </c>
      <c r="V72" s="1388">
        <f>SUM(V33:V61)</f>
        <v>871664303.48000002</v>
      </c>
      <c r="X72" s="905">
        <f t="shared" si="17"/>
        <v>46064674.069999933</v>
      </c>
      <c r="Z72" s="1354">
        <f t="shared" si="18"/>
        <v>6902235</v>
      </c>
      <c r="AA72" s="1354">
        <f>SUM(AA33:AA61)</f>
        <v>15301036.970000003</v>
      </c>
      <c r="AB72" s="1451">
        <f>SUM(AB33:AB61)</f>
        <v>22203271.970000003</v>
      </c>
      <c r="AD72" s="1452">
        <f>SUM(AD33:AD61)</f>
        <v>23861402.099999905</v>
      </c>
      <c r="AF72" s="1044">
        <f>SUM(AF33:AF61)</f>
        <v>66672328.560000002</v>
      </c>
      <c r="AH72" s="1005">
        <f t="shared" si="19"/>
        <v>984401306.1099999</v>
      </c>
      <c r="AK72" s="1014">
        <f t="shared" ref="AK72:AS72" si="20">SUM(AK33:AK61)</f>
        <v>0</v>
      </c>
      <c r="AL72" s="1014">
        <f t="shared" si="20"/>
        <v>696119099.14549994</v>
      </c>
      <c r="AM72" s="1014">
        <f t="shared" si="20"/>
        <v>264075716.50449997</v>
      </c>
      <c r="AN72" s="1014">
        <f t="shared" si="20"/>
        <v>0</v>
      </c>
      <c r="AO72" s="1014">
        <f t="shared" si="20"/>
        <v>0</v>
      </c>
      <c r="AP72" s="1014">
        <f t="shared" si="20"/>
        <v>0</v>
      </c>
      <c r="AQ72" s="1014">
        <f t="shared" si="20"/>
        <v>24206490.460000001</v>
      </c>
      <c r="AR72" s="1014">
        <f t="shared" si="20"/>
        <v>0</v>
      </c>
      <c r="AS72" s="1014">
        <f t="shared" si="20"/>
        <v>0</v>
      </c>
      <c r="AU72" s="1020">
        <f>SUM(AU33:AU61)</f>
        <v>984401306.1099999</v>
      </c>
    </row>
    <row r="73" spans="1:47">
      <c r="A73" s="841"/>
      <c r="B73" s="841"/>
      <c r="C73" s="857"/>
      <c r="D73" s="854"/>
      <c r="E73" s="844"/>
      <c r="F73" s="330"/>
      <c r="G73" s="1391"/>
      <c r="H73" s="844"/>
      <c r="I73" s="1389"/>
      <c r="J73" s="844"/>
      <c r="K73" s="1390"/>
      <c r="L73" s="844"/>
      <c r="M73" s="330"/>
      <c r="N73" s="1391"/>
      <c r="O73" s="844"/>
      <c r="R73" s="425"/>
      <c r="T73" s="844">
        <f t="shared" si="16"/>
        <v>0</v>
      </c>
      <c r="V73" s="1374"/>
      <c r="X73" s="903">
        <f t="shared" si="17"/>
        <v>0</v>
      </c>
      <c r="Z73" s="1352">
        <f t="shared" si="18"/>
        <v>0</v>
      </c>
      <c r="AA73" s="1352"/>
      <c r="AB73" s="1449"/>
      <c r="AD73" s="1450"/>
      <c r="AF73" s="1043"/>
      <c r="AH73" s="1004">
        <f t="shared" si="19"/>
        <v>0</v>
      </c>
      <c r="AU73" s="1018"/>
    </row>
    <row r="74" spans="1:47">
      <c r="A74" s="295"/>
      <c r="B74" s="833" t="s">
        <v>1137</v>
      </c>
      <c r="C74" s="863"/>
      <c r="D74" s="843"/>
      <c r="E74" s="844"/>
      <c r="F74" s="330"/>
      <c r="G74" s="1382"/>
      <c r="H74" s="844"/>
      <c r="I74" s="1392"/>
      <c r="J74" s="844"/>
      <c r="K74" s="1384"/>
      <c r="L74" s="844"/>
      <c r="M74" s="330"/>
      <c r="N74" s="1382"/>
      <c r="O74" s="844"/>
      <c r="R74" s="425"/>
      <c r="T74" s="844">
        <f t="shared" si="16"/>
        <v>0</v>
      </c>
      <c r="V74" s="1374"/>
      <c r="X74" s="903">
        <f t="shared" si="17"/>
        <v>0</v>
      </c>
      <c r="Z74" s="1352">
        <f t="shared" si="18"/>
        <v>0</v>
      </c>
      <c r="AA74" s="1352"/>
      <c r="AB74" s="1449"/>
      <c r="AD74" s="1450"/>
      <c r="AF74" s="1043"/>
      <c r="AH74" s="1004">
        <f t="shared" si="19"/>
        <v>0</v>
      </c>
      <c r="AU74" s="1018"/>
    </row>
    <row r="75" spans="1:47">
      <c r="A75" s="295"/>
      <c r="B75" s="833"/>
      <c r="C75" s="864" t="s">
        <v>1138</v>
      </c>
      <c r="D75" s="843"/>
      <c r="E75" s="844">
        <f>SUM(D76:D80)</f>
        <v>65251726.280000001</v>
      </c>
      <c r="F75" s="330"/>
      <c r="G75" s="1382"/>
      <c r="H75" s="844">
        <f>SUM(G76:G80)</f>
        <v>57207265.769999996</v>
      </c>
      <c r="I75" s="1392"/>
      <c r="J75" s="844">
        <f>SUM(I76:I80)</f>
        <v>6091055.3000000007</v>
      </c>
      <c r="K75" s="1384"/>
      <c r="L75" s="844">
        <f>SUM(K76:K80)</f>
        <v>63298321.069999993</v>
      </c>
      <c r="M75" s="1355">
        <f>L75/E75</f>
        <v>0.97006354741301704</v>
      </c>
      <c r="N75" s="1382"/>
      <c r="O75" s="844">
        <f>SUM(N76:N80)</f>
        <v>1953405.2100000067</v>
      </c>
      <c r="P75" s="840">
        <v>2.9936452586982909E-2</v>
      </c>
      <c r="R75" s="425">
        <v>0</v>
      </c>
      <c r="T75" s="844">
        <f t="shared" si="16"/>
        <v>65251726.280000001</v>
      </c>
      <c r="V75" s="1374">
        <v>56930558.859999999</v>
      </c>
      <c r="X75" s="903">
        <f t="shared" si="17"/>
        <v>8321167.4200000018</v>
      </c>
      <c r="Z75" s="1352">
        <f t="shared" si="18"/>
        <v>276706.90999999642</v>
      </c>
      <c r="AA75" s="1352">
        <f>(X75-Z75)*0.7</f>
        <v>5631122.3570000036</v>
      </c>
      <c r="AB75" s="1449">
        <f t="shared" ref="AB75:AB86" si="21">Z75+AA75</f>
        <v>5907829.267</v>
      </c>
      <c r="AD75" s="1450">
        <f t="shared" ref="AD75:AD86" si="22">X75-AB75</f>
        <v>2413338.1530000018</v>
      </c>
      <c r="AF75" s="1043"/>
      <c r="AH75" s="1004">
        <f t="shared" si="19"/>
        <v>65251726.280000001</v>
      </c>
      <c r="AM75" s="976">
        <f>AH75</f>
        <v>65251726.280000001</v>
      </c>
      <c r="AU75" s="1019">
        <f t="shared" ref="AU75:AU86" si="23">SUM(AK75:AT75)</f>
        <v>65251726.280000001</v>
      </c>
    </row>
    <row r="76" spans="1:47" hidden="1" outlineLevel="2">
      <c r="A76" s="841">
        <v>5100</v>
      </c>
      <c r="B76" s="846"/>
      <c r="C76" s="865" t="s">
        <v>423</v>
      </c>
      <c r="D76" s="856">
        <v>6977303.5300000003</v>
      </c>
      <c r="E76" s="844"/>
      <c r="F76" s="330"/>
      <c r="G76" s="1382">
        <v>6945704.3999999994</v>
      </c>
      <c r="H76" s="844"/>
      <c r="I76" s="1383">
        <v>0</v>
      </c>
      <c r="J76" s="844"/>
      <c r="K76" s="1384">
        <f>G76+I76</f>
        <v>6945704.3999999994</v>
      </c>
      <c r="L76" s="844"/>
      <c r="M76" s="330"/>
      <c r="N76" s="1382">
        <f>D76-K76</f>
        <v>31599.13000000082</v>
      </c>
      <c r="O76" s="844"/>
      <c r="R76" s="425"/>
      <c r="T76" s="844">
        <f t="shared" si="16"/>
        <v>0</v>
      </c>
      <c r="V76" s="1374"/>
      <c r="X76" s="903">
        <f t="shared" si="17"/>
        <v>0</v>
      </c>
      <c r="Z76" s="1352">
        <f t="shared" si="18"/>
        <v>0</v>
      </c>
      <c r="AA76" s="1352"/>
      <c r="AB76" s="1449">
        <f t="shared" si="21"/>
        <v>0</v>
      </c>
      <c r="AD76" s="1450">
        <f t="shared" si="22"/>
        <v>0</v>
      </c>
      <c r="AF76" s="1043"/>
      <c r="AH76" s="1004">
        <f t="shared" si="19"/>
        <v>0</v>
      </c>
      <c r="AU76" s="1019">
        <f t="shared" si="23"/>
        <v>0</v>
      </c>
    </row>
    <row r="77" spans="1:47" hidden="1" outlineLevel="2">
      <c r="A77" s="841">
        <v>5200</v>
      </c>
      <c r="B77" s="846"/>
      <c r="C77" s="866" t="s">
        <v>424</v>
      </c>
      <c r="D77" s="856">
        <v>2106664.6799999997</v>
      </c>
      <c r="E77" s="844"/>
      <c r="F77" s="330"/>
      <c r="G77" s="1382">
        <v>2043827.43</v>
      </c>
      <c r="H77" s="844"/>
      <c r="I77" s="1383">
        <v>0</v>
      </c>
      <c r="J77" s="844"/>
      <c r="K77" s="1384">
        <f>G77+I77</f>
        <v>2043827.43</v>
      </c>
      <c r="L77" s="844"/>
      <c r="M77" s="330"/>
      <c r="N77" s="1382">
        <f>D77-K77</f>
        <v>62837.249999999767</v>
      </c>
      <c r="O77" s="844"/>
      <c r="R77" s="425"/>
      <c r="T77" s="844">
        <f t="shared" si="16"/>
        <v>0</v>
      </c>
      <c r="V77" s="1374"/>
      <c r="X77" s="903">
        <f t="shared" si="17"/>
        <v>0</v>
      </c>
      <c r="Z77" s="1352">
        <f t="shared" si="18"/>
        <v>0</v>
      </c>
      <c r="AA77" s="1352"/>
      <c r="AB77" s="1449">
        <f t="shared" si="21"/>
        <v>0</v>
      </c>
      <c r="AD77" s="1450">
        <f t="shared" si="22"/>
        <v>0</v>
      </c>
      <c r="AF77" s="1043"/>
      <c r="AH77" s="1004">
        <f t="shared" si="19"/>
        <v>0</v>
      </c>
      <c r="AU77" s="1019">
        <f t="shared" si="23"/>
        <v>0</v>
      </c>
    </row>
    <row r="78" spans="1:47" hidden="1" outlineLevel="2">
      <c r="A78" s="841">
        <v>5300</v>
      </c>
      <c r="B78" s="846"/>
      <c r="C78" s="866" t="s">
        <v>425</v>
      </c>
      <c r="D78" s="856">
        <v>16675145.24</v>
      </c>
      <c r="E78" s="844"/>
      <c r="F78" s="330"/>
      <c r="G78" s="1382">
        <v>15792712.029999999</v>
      </c>
      <c r="H78" s="844"/>
      <c r="I78" s="1383">
        <v>166211</v>
      </c>
      <c r="J78" s="844"/>
      <c r="K78" s="1384">
        <f>G78+I78</f>
        <v>15958923.029999999</v>
      </c>
      <c r="L78" s="844"/>
      <c r="M78" s="330"/>
      <c r="N78" s="1382">
        <f>D78-K78</f>
        <v>716222.21000000089</v>
      </c>
      <c r="O78" s="844"/>
      <c r="R78" s="425"/>
      <c r="T78" s="844">
        <f t="shared" si="16"/>
        <v>0</v>
      </c>
      <c r="V78" s="1374"/>
      <c r="X78" s="903">
        <f t="shared" si="17"/>
        <v>0</v>
      </c>
      <c r="Z78" s="1352">
        <f t="shared" si="18"/>
        <v>0</v>
      </c>
      <c r="AA78" s="1352"/>
      <c r="AB78" s="1449">
        <f t="shared" si="21"/>
        <v>0</v>
      </c>
      <c r="AD78" s="1450">
        <f t="shared" si="22"/>
        <v>0</v>
      </c>
      <c r="AF78" s="1043"/>
      <c r="AH78" s="1004">
        <f t="shared" si="19"/>
        <v>0</v>
      </c>
      <c r="AU78" s="1019">
        <f t="shared" si="23"/>
        <v>0</v>
      </c>
    </row>
    <row r="79" spans="1:47" hidden="1" outlineLevel="2">
      <c r="A79" s="841">
        <v>5400</v>
      </c>
      <c r="B79" s="846"/>
      <c r="C79" s="866" t="s">
        <v>426</v>
      </c>
      <c r="D79" s="856">
        <v>34777651.890000001</v>
      </c>
      <c r="E79" s="844"/>
      <c r="F79" s="330"/>
      <c r="G79" s="1382">
        <v>28773956.399999999</v>
      </c>
      <c r="H79" s="844"/>
      <c r="I79" s="1383">
        <v>5382746.2300000004</v>
      </c>
      <c r="J79" s="844"/>
      <c r="K79" s="1384">
        <f>G79+I79</f>
        <v>34156702.629999995</v>
      </c>
      <c r="L79" s="844"/>
      <c r="M79" s="330"/>
      <c r="N79" s="1382">
        <f>D79-K79</f>
        <v>620949.26000000536</v>
      </c>
      <c r="O79" s="844"/>
      <c r="R79" s="425"/>
      <c r="T79" s="844">
        <f t="shared" si="16"/>
        <v>0</v>
      </c>
      <c r="V79" s="1374"/>
      <c r="X79" s="903">
        <f t="shared" si="17"/>
        <v>0</v>
      </c>
      <c r="Z79" s="1352">
        <f t="shared" si="18"/>
        <v>0</v>
      </c>
      <c r="AA79" s="1352"/>
      <c r="AB79" s="1449">
        <f t="shared" si="21"/>
        <v>0</v>
      </c>
      <c r="AD79" s="1450">
        <f t="shared" si="22"/>
        <v>0</v>
      </c>
      <c r="AF79" s="1043"/>
      <c r="AH79" s="1004">
        <f t="shared" si="19"/>
        <v>0</v>
      </c>
      <c r="AU79" s="1019">
        <f t="shared" si="23"/>
        <v>0</v>
      </c>
    </row>
    <row r="80" spans="1:47" hidden="1" outlineLevel="2">
      <c r="A80" s="841">
        <v>5500</v>
      </c>
      <c r="B80" s="846"/>
      <c r="C80" s="866" t="s">
        <v>427</v>
      </c>
      <c r="D80" s="856">
        <v>4714960.9399999995</v>
      </c>
      <c r="E80" s="844"/>
      <c r="F80" s="330"/>
      <c r="G80" s="1382">
        <v>3651065.51</v>
      </c>
      <c r="H80" s="844"/>
      <c r="I80" s="1383">
        <v>542098.06999999995</v>
      </c>
      <c r="J80" s="844"/>
      <c r="K80" s="1384">
        <f>G80+I80</f>
        <v>4193163.5799999996</v>
      </c>
      <c r="L80" s="844"/>
      <c r="M80" s="330"/>
      <c r="N80" s="1382">
        <f>D80-K80</f>
        <v>521797.35999999987</v>
      </c>
      <c r="O80" s="844"/>
      <c r="R80" s="425"/>
      <c r="T80" s="844">
        <f t="shared" si="16"/>
        <v>0</v>
      </c>
      <c r="V80" s="1374"/>
      <c r="X80" s="903">
        <f t="shared" si="17"/>
        <v>0</v>
      </c>
      <c r="Z80" s="1352">
        <f t="shared" si="18"/>
        <v>0</v>
      </c>
      <c r="AA80" s="1352"/>
      <c r="AB80" s="1449">
        <f t="shared" si="21"/>
        <v>0</v>
      </c>
      <c r="AD80" s="1450">
        <f t="shared" si="22"/>
        <v>0</v>
      </c>
      <c r="AF80" s="1043"/>
      <c r="AH80" s="1004">
        <f t="shared" si="19"/>
        <v>0</v>
      </c>
      <c r="AU80" s="1019">
        <f t="shared" si="23"/>
        <v>0</v>
      </c>
    </row>
    <row r="81" spans="1:47" collapsed="1">
      <c r="A81" s="841">
        <v>5600</v>
      </c>
      <c r="B81" s="846"/>
      <c r="C81" s="867" t="s">
        <v>428</v>
      </c>
      <c r="D81" s="843"/>
      <c r="E81" s="844">
        <v>28099871.350000001</v>
      </c>
      <c r="F81" s="330"/>
      <c r="G81" s="1382"/>
      <c r="H81" s="844">
        <v>26311904.200000003</v>
      </c>
      <c r="I81" s="1392"/>
      <c r="J81" s="844">
        <v>740258.72</v>
      </c>
      <c r="K81" s="1384"/>
      <c r="L81" s="844">
        <f>H81+J81</f>
        <v>27052162.920000002</v>
      </c>
      <c r="M81" s="1355">
        <f t="shared" ref="M81:M86" si="24">L81/E81</f>
        <v>0.96271483178872275</v>
      </c>
      <c r="N81" s="1382"/>
      <c r="O81" s="844">
        <f>E81-L81</f>
        <v>1047708.4299999997</v>
      </c>
      <c r="P81" s="840">
        <v>3.7285168211277225E-2</v>
      </c>
      <c r="R81" s="425">
        <v>0</v>
      </c>
      <c r="T81" s="844">
        <f t="shared" si="16"/>
        <v>28099871.350000001</v>
      </c>
      <c r="V81" s="1374">
        <v>26311904.199999999</v>
      </c>
      <c r="X81" s="903">
        <f t="shared" si="17"/>
        <v>1787967.1500000022</v>
      </c>
      <c r="Z81" s="1352">
        <f t="shared" si="18"/>
        <v>0</v>
      </c>
      <c r="AA81" s="1352">
        <f>X81-Z81</f>
        <v>1787967.1500000022</v>
      </c>
      <c r="AB81" s="1449">
        <f t="shared" si="21"/>
        <v>1787967.1500000022</v>
      </c>
      <c r="AD81" s="1450">
        <f t="shared" si="22"/>
        <v>0</v>
      </c>
      <c r="AF81" s="1043"/>
      <c r="AH81" s="1004">
        <f t="shared" si="19"/>
        <v>28099871.350000001</v>
      </c>
      <c r="AM81" s="976">
        <f t="shared" ref="AM81:AM86" si="25">AH81</f>
        <v>28099871.350000001</v>
      </c>
      <c r="AU81" s="1019">
        <f t="shared" si="23"/>
        <v>28099871.350000001</v>
      </c>
    </row>
    <row r="82" spans="1:47">
      <c r="A82" s="841">
        <v>5700</v>
      </c>
      <c r="B82" s="846"/>
      <c r="C82" s="867" t="s">
        <v>429</v>
      </c>
      <c r="D82" s="843"/>
      <c r="E82" s="844">
        <v>15059123.800000001</v>
      </c>
      <c r="F82" s="330"/>
      <c r="G82" s="1382"/>
      <c r="H82" s="844">
        <v>15105028.789999999</v>
      </c>
      <c r="I82" s="1392"/>
      <c r="J82" s="844">
        <v>0</v>
      </c>
      <c r="K82" s="1384"/>
      <c r="L82" s="844">
        <f>H82+J82</f>
        <v>15105028.789999999</v>
      </c>
      <c r="M82" s="1355">
        <f t="shared" si="24"/>
        <v>1.0030483174592135</v>
      </c>
      <c r="N82" s="1382"/>
      <c r="O82" s="844">
        <f>E82-L82</f>
        <v>-45904.989999998361</v>
      </c>
      <c r="P82" s="840">
        <v>-3.0483174592135539E-3</v>
      </c>
      <c r="R82" s="425">
        <v>45904.989999998361</v>
      </c>
      <c r="T82" s="844">
        <f t="shared" si="16"/>
        <v>15105028.789999999</v>
      </c>
      <c r="V82" s="1374">
        <v>15098178.789999999</v>
      </c>
      <c r="X82" s="903">
        <f t="shared" si="17"/>
        <v>6850</v>
      </c>
      <c r="Z82" s="1352">
        <f t="shared" si="18"/>
        <v>6850</v>
      </c>
      <c r="AA82" s="1352">
        <f>X82-Z82</f>
        <v>0</v>
      </c>
      <c r="AB82" s="1449">
        <f t="shared" si="21"/>
        <v>6850</v>
      </c>
      <c r="AD82" s="1450">
        <f t="shared" si="22"/>
        <v>0</v>
      </c>
      <c r="AF82" s="1043"/>
      <c r="AH82" s="1004">
        <f t="shared" si="19"/>
        <v>15105028.789999999</v>
      </c>
      <c r="AM82" s="976">
        <f t="shared" si="25"/>
        <v>15105028.789999999</v>
      </c>
      <c r="AU82" s="1019">
        <f t="shared" si="23"/>
        <v>15105028.789999999</v>
      </c>
    </row>
    <row r="83" spans="1:47">
      <c r="A83" s="841">
        <v>5800</v>
      </c>
      <c r="B83" s="846"/>
      <c r="C83" s="867" t="s">
        <v>430</v>
      </c>
      <c r="D83" s="843"/>
      <c r="E83" s="844">
        <v>2060383.93</v>
      </c>
      <c r="F83" s="330"/>
      <c r="G83" s="1382"/>
      <c r="H83" s="844">
        <v>1952010.67</v>
      </c>
      <c r="I83" s="1392"/>
      <c r="J83" s="844">
        <v>0</v>
      </c>
      <c r="K83" s="1384"/>
      <c r="L83" s="844">
        <f>H83+J83</f>
        <v>1952010.67</v>
      </c>
      <c r="M83" s="1355">
        <f t="shared" si="24"/>
        <v>0.94740142435492591</v>
      </c>
      <c r="N83" s="1382"/>
      <c r="O83" s="844">
        <f>E83-L83</f>
        <v>108373.26000000001</v>
      </c>
      <c r="P83" s="840">
        <v>5.2598575645074079E-2</v>
      </c>
      <c r="R83" s="425">
        <v>0</v>
      </c>
      <c r="T83" s="844">
        <f t="shared" si="16"/>
        <v>2060383.93</v>
      </c>
      <c r="V83" s="1374">
        <v>1952010.67</v>
      </c>
      <c r="X83" s="903">
        <f t="shared" si="17"/>
        <v>108373.26000000001</v>
      </c>
      <c r="Z83" s="1352">
        <f t="shared" si="18"/>
        <v>0</v>
      </c>
      <c r="AA83" s="1352">
        <f>X83-Z83</f>
        <v>108373.26000000001</v>
      </c>
      <c r="AB83" s="1449">
        <f t="shared" si="21"/>
        <v>108373.26000000001</v>
      </c>
      <c r="AD83" s="1450">
        <f t="shared" si="22"/>
        <v>0</v>
      </c>
      <c r="AF83" s="1043"/>
      <c r="AH83" s="1004">
        <f t="shared" si="19"/>
        <v>2060383.93</v>
      </c>
      <c r="AM83" s="976">
        <f t="shared" si="25"/>
        <v>2060383.93</v>
      </c>
      <c r="AU83" s="1019">
        <f t="shared" si="23"/>
        <v>2060383.93</v>
      </c>
    </row>
    <row r="84" spans="1:47">
      <c r="A84" s="841">
        <v>5900</v>
      </c>
      <c r="B84" s="846"/>
      <c r="C84" s="867" t="s">
        <v>431</v>
      </c>
      <c r="D84" s="843"/>
      <c r="E84" s="844">
        <v>26599686.140000001</v>
      </c>
      <c r="F84" s="330"/>
      <c r="G84" s="1382"/>
      <c r="H84" s="844">
        <v>25818251.379999999</v>
      </c>
      <c r="I84" s="1392"/>
      <c r="J84" s="844">
        <v>0</v>
      </c>
      <c r="K84" s="1384"/>
      <c r="L84" s="844">
        <f>H84+J84</f>
        <v>25818251.379999999</v>
      </c>
      <c r="M84" s="1355">
        <f t="shared" si="24"/>
        <v>0.9706224067499466</v>
      </c>
      <c r="N84" s="1382"/>
      <c r="O84" s="844">
        <f>E84-L84</f>
        <v>781434.76000000164</v>
      </c>
      <c r="P84" s="840">
        <v>2.937759325005335E-2</v>
      </c>
      <c r="R84" s="425">
        <v>0</v>
      </c>
      <c r="T84" s="844">
        <f t="shared" si="16"/>
        <v>26599686.140000001</v>
      </c>
      <c r="V84" s="1374">
        <v>25587841.48</v>
      </c>
      <c r="X84" s="903">
        <f t="shared" si="17"/>
        <v>1011844.6600000001</v>
      </c>
      <c r="Z84" s="1352">
        <f t="shared" si="18"/>
        <v>230409.89999999851</v>
      </c>
      <c r="AA84" s="1352">
        <f>X84-Z84</f>
        <v>781434.76000000164</v>
      </c>
      <c r="AB84" s="1449">
        <f t="shared" si="21"/>
        <v>1011844.6600000001</v>
      </c>
      <c r="AD84" s="1450">
        <f t="shared" si="22"/>
        <v>0</v>
      </c>
      <c r="AF84" s="1043"/>
      <c r="AH84" s="1004">
        <f t="shared" si="19"/>
        <v>26599686.140000001</v>
      </c>
      <c r="AM84" s="976">
        <f t="shared" si="25"/>
        <v>26599686.140000001</v>
      </c>
      <c r="AU84" s="1019">
        <f t="shared" si="23"/>
        <v>26599686.140000001</v>
      </c>
    </row>
    <row r="85" spans="1:47">
      <c r="A85" s="841">
        <v>6000</v>
      </c>
      <c r="B85" s="846"/>
      <c r="C85" s="867" t="s">
        <v>432</v>
      </c>
      <c r="D85" s="843"/>
      <c r="E85" s="844">
        <v>6000000</v>
      </c>
      <c r="F85" s="330"/>
      <c r="G85" s="1382"/>
      <c r="H85" s="844">
        <v>0</v>
      </c>
      <c r="I85" s="1392"/>
      <c r="J85" s="844"/>
      <c r="K85" s="1384"/>
      <c r="L85" s="844">
        <f>H85+J85</f>
        <v>0</v>
      </c>
      <c r="M85" s="1355">
        <f t="shared" si="24"/>
        <v>0</v>
      </c>
      <c r="N85" s="1382"/>
      <c r="O85" s="844">
        <f>E85-L85</f>
        <v>6000000</v>
      </c>
      <c r="P85" s="840">
        <v>1</v>
      </c>
      <c r="R85" s="425">
        <v>0</v>
      </c>
      <c r="T85" s="844">
        <f t="shared" si="16"/>
        <v>6000000</v>
      </c>
      <c r="V85" s="1374"/>
      <c r="X85" s="903">
        <f t="shared" si="17"/>
        <v>6000000</v>
      </c>
      <c r="Z85" s="1352">
        <f t="shared" si="18"/>
        <v>0</v>
      </c>
      <c r="AA85" s="1352">
        <v>0</v>
      </c>
      <c r="AB85" s="1449">
        <f t="shared" si="21"/>
        <v>0</v>
      </c>
      <c r="AD85" s="1450">
        <f t="shared" si="22"/>
        <v>6000000</v>
      </c>
      <c r="AF85" s="1043"/>
      <c r="AH85" s="1004">
        <f t="shared" si="19"/>
        <v>6000000</v>
      </c>
      <c r="AM85" s="976">
        <f t="shared" si="25"/>
        <v>6000000</v>
      </c>
      <c r="AU85" s="1019">
        <f t="shared" si="23"/>
        <v>6000000</v>
      </c>
    </row>
    <row r="86" spans="1:47">
      <c r="A86" s="841"/>
      <c r="B86" s="846"/>
      <c r="C86" s="867" t="s">
        <v>1139</v>
      </c>
      <c r="D86" s="843"/>
      <c r="E86" s="844">
        <f>SUM(D87:D91)</f>
        <v>55773589.189999998</v>
      </c>
      <c r="F86" s="330"/>
      <c r="G86" s="1382"/>
      <c r="H86" s="844">
        <f>SUM(G87:G91)</f>
        <v>50508937.399999999</v>
      </c>
      <c r="I86" s="1392"/>
      <c r="J86" s="844">
        <f>SUM(I87:I91)</f>
        <v>2752160</v>
      </c>
      <c r="K86" s="1384"/>
      <c r="L86" s="844">
        <f>SUM(K87:K91)</f>
        <v>53261097.399999999</v>
      </c>
      <c r="M86" s="1355">
        <f t="shared" si="24"/>
        <v>0.95495194362620506</v>
      </c>
      <c r="N86" s="1382"/>
      <c r="O86" s="844">
        <f>SUM(N87:N91)</f>
        <v>2512491.7899999977</v>
      </c>
      <c r="P86" s="840">
        <v>4.5048056373794901E-2</v>
      </c>
      <c r="R86" s="425">
        <v>0</v>
      </c>
      <c r="T86" s="844">
        <f t="shared" si="16"/>
        <v>55773589.189999998</v>
      </c>
      <c r="V86" s="1374">
        <v>45804497</v>
      </c>
      <c r="X86" s="903">
        <f t="shared" si="17"/>
        <v>9969092.1899999976</v>
      </c>
      <c r="Z86" s="1352">
        <f t="shared" si="18"/>
        <v>4704440.3999999985</v>
      </c>
      <c r="AA86" s="1352">
        <f>(X86-Z86)*0.7</f>
        <v>3685256.2529999991</v>
      </c>
      <c r="AB86" s="1449">
        <f t="shared" si="21"/>
        <v>8389696.6529999971</v>
      </c>
      <c r="AD86" s="1450">
        <f t="shared" si="22"/>
        <v>1579395.5370000005</v>
      </c>
      <c r="AF86" s="1043"/>
      <c r="AH86" s="1004">
        <f t="shared" si="19"/>
        <v>55773589.189999998</v>
      </c>
      <c r="AM86" s="976">
        <f t="shared" si="25"/>
        <v>55773589.189999998</v>
      </c>
      <c r="AU86" s="1019">
        <f t="shared" si="23"/>
        <v>55773589.189999998</v>
      </c>
    </row>
    <row r="87" spans="1:47" hidden="1" outlineLevel="1">
      <c r="A87" s="841">
        <v>6100</v>
      </c>
      <c r="B87" s="846"/>
      <c r="C87" s="866" t="s">
        <v>433</v>
      </c>
      <c r="D87" s="843">
        <v>53957555.259999998</v>
      </c>
      <c r="E87" s="844"/>
      <c r="F87" s="330"/>
      <c r="G87" s="1382">
        <v>49902577</v>
      </c>
      <c r="H87" s="844"/>
      <c r="I87" s="1383">
        <v>2741160</v>
      </c>
      <c r="J87" s="844"/>
      <c r="K87" s="1384">
        <f>G87+I87</f>
        <v>52643737</v>
      </c>
      <c r="L87" s="844"/>
      <c r="M87" s="330"/>
      <c r="N87" s="1382">
        <f>D87-K87</f>
        <v>1313818.2599999979</v>
      </c>
      <c r="O87" s="844"/>
      <c r="R87" s="425"/>
      <c r="T87" s="844">
        <f t="shared" si="16"/>
        <v>0</v>
      </c>
      <c r="V87" s="1374"/>
      <c r="X87" s="903">
        <f t="shared" si="17"/>
        <v>0</v>
      </c>
      <c r="Z87" s="1352">
        <f t="shared" si="18"/>
        <v>0</v>
      </c>
      <c r="AA87" s="1352"/>
      <c r="AB87" s="1449"/>
      <c r="AD87" s="1450"/>
      <c r="AF87" s="1043"/>
      <c r="AH87" s="1004">
        <f t="shared" si="19"/>
        <v>0</v>
      </c>
      <c r="AU87" s="1018"/>
    </row>
    <row r="88" spans="1:47" hidden="1" outlineLevel="1">
      <c r="A88" s="841">
        <v>6200</v>
      </c>
      <c r="B88" s="846"/>
      <c r="C88" s="866" t="s">
        <v>434</v>
      </c>
      <c r="D88" s="843">
        <v>1000000</v>
      </c>
      <c r="E88" s="844"/>
      <c r="F88" s="330"/>
      <c r="G88" s="1382">
        <v>0</v>
      </c>
      <c r="H88" s="844"/>
      <c r="I88" s="1383">
        <v>0</v>
      </c>
      <c r="J88" s="844"/>
      <c r="K88" s="1384">
        <f>G88+I88</f>
        <v>0</v>
      </c>
      <c r="L88" s="844"/>
      <c r="M88" s="330"/>
      <c r="N88" s="1382">
        <f>D88-K88</f>
        <v>1000000</v>
      </c>
      <c r="O88" s="844"/>
      <c r="R88" s="425"/>
      <c r="T88" s="844">
        <f t="shared" si="16"/>
        <v>0</v>
      </c>
      <c r="V88" s="1374"/>
      <c r="X88" s="903">
        <f t="shared" si="17"/>
        <v>0</v>
      </c>
      <c r="Z88" s="1352">
        <f t="shared" si="18"/>
        <v>0</v>
      </c>
      <c r="AA88" s="1352"/>
      <c r="AB88" s="1449"/>
      <c r="AD88" s="1450"/>
      <c r="AF88" s="1043"/>
      <c r="AH88" s="1004">
        <f t="shared" si="19"/>
        <v>0</v>
      </c>
      <c r="AU88" s="1018"/>
    </row>
    <row r="89" spans="1:47" hidden="1" outlineLevel="1">
      <c r="A89" s="841">
        <v>6300</v>
      </c>
      <c r="B89" s="846"/>
      <c r="C89" s="866" t="s">
        <v>435</v>
      </c>
      <c r="D89" s="843"/>
      <c r="E89" s="844"/>
      <c r="F89" s="330"/>
      <c r="G89" s="1382">
        <v>0</v>
      </c>
      <c r="H89" s="844"/>
      <c r="I89" s="1383">
        <v>0</v>
      </c>
      <c r="J89" s="844"/>
      <c r="K89" s="1384">
        <f>G89+I89</f>
        <v>0</v>
      </c>
      <c r="L89" s="844"/>
      <c r="M89" s="330"/>
      <c r="N89" s="1382">
        <f>D89-K89</f>
        <v>0</v>
      </c>
      <c r="O89" s="844"/>
      <c r="R89" s="425"/>
      <c r="T89" s="844">
        <f t="shared" si="16"/>
        <v>0</v>
      </c>
      <c r="V89" s="1374"/>
      <c r="X89" s="903">
        <f t="shared" si="17"/>
        <v>0</v>
      </c>
      <c r="Z89" s="1352">
        <f t="shared" si="18"/>
        <v>0</v>
      </c>
      <c r="AA89" s="1352"/>
      <c r="AB89" s="1449"/>
      <c r="AD89" s="1450"/>
      <c r="AF89" s="1043"/>
      <c r="AH89" s="1004">
        <f t="shared" si="19"/>
        <v>0</v>
      </c>
      <c r="AU89" s="1018"/>
    </row>
    <row r="90" spans="1:47" hidden="1" outlineLevel="1">
      <c r="A90" s="841">
        <v>6400</v>
      </c>
      <c r="B90" s="846"/>
      <c r="C90" s="866" t="s">
        <v>436</v>
      </c>
      <c r="D90" s="843">
        <v>315737.93</v>
      </c>
      <c r="E90" s="844"/>
      <c r="F90" s="330"/>
      <c r="G90" s="1382">
        <v>106064.4</v>
      </c>
      <c r="H90" s="844"/>
      <c r="I90" s="1383">
        <v>0</v>
      </c>
      <c r="J90" s="844"/>
      <c r="K90" s="1384">
        <f>G90+I90</f>
        <v>106064.4</v>
      </c>
      <c r="L90" s="844"/>
      <c r="M90" s="330"/>
      <c r="N90" s="1382">
        <f>D90-K90</f>
        <v>209673.53</v>
      </c>
      <c r="O90" s="844"/>
      <c r="R90" s="425"/>
      <c r="T90" s="844">
        <f t="shared" si="16"/>
        <v>0</v>
      </c>
      <c r="V90" s="1374"/>
      <c r="X90" s="903">
        <f t="shared" si="17"/>
        <v>0</v>
      </c>
      <c r="Z90" s="1352">
        <f t="shared" si="18"/>
        <v>0</v>
      </c>
      <c r="AA90" s="1352"/>
      <c r="AB90" s="1449"/>
      <c r="AD90" s="1450"/>
      <c r="AF90" s="1043"/>
      <c r="AH90" s="1004">
        <f t="shared" si="19"/>
        <v>0</v>
      </c>
      <c r="AU90" s="1018"/>
    </row>
    <row r="91" spans="1:47" hidden="1" outlineLevel="1">
      <c r="A91" s="841">
        <v>6500</v>
      </c>
      <c r="B91" s="846"/>
      <c r="C91" s="866" t="s">
        <v>437</v>
      </c>
      <c r="D91" s="843">
        <v>500296</v>
      </c>
      <c r="E91" s="844"/>
      <c r="F91" s="330"/>
      <c r="G91" s="1382">
        <v>500296</v>
      </c>
      <c r="H91" s="844"/>
      <c r="I91" s="1383">
        <v>11000</v>
      </c>
      <c r="J91" s="844"/>
      <c r="K91" s="1384">
        <f>G91+I91</f>
        <v>511296</v>
      </c>
      <c r="L91" s="844"/>
      <c r="M91" s="330"/>
      <c r="N91" s="1382">
        <f>D91-K91</f>
        <v>-11000</v>
      </c>
      <c r="O91" s="844"/>
      <c r="R91" s="425"/>
      <c r="T91" s="844">
        <f t="shared" si="16"/>
        <v>0</v>
      </c>
      <c r="V91" s="1374"/>
      <c r="X91" s="903">
        <f t="shared" si="17"/>
        <v>0</v>
      </c>
      <c r="Z91" s="1352">
        <f t="shared" si="18"/>
        <v>0</v>
      </c>
      <c r="AA91" s="1352"/>
      <c r="AB91" s="1449"/>
      <c r="AD91" s="1450"/>
      <c r="AF91" s="1043"/>
      <c r="AH91" s="1004">
        <f t="shared" si="19"/>
        <v>0</v>
      </c>
      <c r="AU91" s="1018"/>
    </row>
    <row r="92" spans="1:47" ht="10.5" customHeight="1" collapsed="1">
      <c r="A92" s="841"/>
      <c r="B92" s="846"/>
      <c r="C92" s="868"/>
      <c r="D92" s="852"/>
      <c r="E92" s="838"/>
      <c r="F92" s="330"/>
      <c r="G92" s="1378"/>
      <c r="H92" s="838"/>
      <c r="I92" s="1385"/>
      <c r="J92" s="838"/>
      <c r="K92" s="1386"/>
      <c r="L92" s="838"/>
      <c r="M92" s="1356"/>
      <c r="N92" s="1378"/>
      <c r="O92" s="838"/>
      <c r="R92" s="991"/>
      <c r="T92" s="838">
        <f t="shared" si="16"/>
        <v>0</v>
      </c>
      <c r="V92" s="1379"/>
      <c r="X92" s="904">
        <f t="shared" si="17"/>
        <v>0</v>
      </c>
      <c r="Z92" s="1350">
        <f t="shared" si="18"/>
        <v>0</v>
      </c>
      <c r="AA92" s="1350"/>
      <c r="AB92" s="1447"/>
      <c r="AD92" s="1448"/>
      <c r="AF92" s="1043"/>
      <c r="AH92" s="1003">
        <f t="shared" si="19"/>
        <v>0</v>
      </c>
      <c r="AU92" s="1018"/>
    </row>
    <row r="93" spans="1:47">
      <c r="A93" s="869"/>
      <c r="B93" s="869"/>
      <c r="C93" s="870" t="s">
        <v>1140</v>
      </c>
      <c r="D93" s="843"/>
      <c r="E93" s="855">
        <f>SUM(E75:E91)</f>
        <v>198844380.69</v>
      </c>
      <c r="F93" s="330"/>
      <c r="G93" s="1382"/>
      <c r="H93" s="855">
        <f>SUM(H75:H91)</f>
        <v>176903398.20999998</v>
      </c>
      <c r="I93" s="1392"/>
      <c r="J93" s="855">
        <f>SUM(J75:J91)</f>
        <v>9583474.0199999996</v>
      </c>
      <c r="K93" s="1384"/>
      <c r="L93" s="855">
        <f>SUM(L75:L91)</f>
        <v>186486872.22999999</v>
      </c>
      <c r="M93" s="1355">
        <f>L93/E93</f>
        <v>0.93785336846272027</v>
      </c>
      <c r="N93" s="1382"/>
      <c r="O93" s="855">
        <f>SUM(O75:O91)</f>
        <v>12357508.460000006</v>
      </c>
      <c r="P93" s="840">
        <v>6.2146631537279708E-2</v>
      </c>
      <c r="R93" s="992">
        <f>SUM(R75:R91)</f>
        <v>45904.989999998361</v>
      </c>
      <c r="T93" s="855">
        <f t="shared" si="16"/>
        <v>198890285.68000001</v>
      </c>
      <c r="V93" s="1388">
        <f>SUM(V75:V91)</f>
        <v>171684991</v>
      </c>
      <c r="X93" s="905">
        <f t="shared" si="17"/>
        <v>27205294.680000007</v>
      </c>
      <c r="Z93" s="1354">
        <f t="shared" si="18"/>
        <v>5218407.2099999785</v>
      </c>
      <c r="AA93" s="1354">
        <f>SUM(AA75:AA91)</f>
        <v>11994153.780000007</v>
      </c>
      <c r="AB93" s="1451">
        <f>SUM(AB75:AB91)</f>
        <v>17212560.989999998</v>
      </c>
      <c r="AD93" s="1452">
        <f>SUM(AD75:AD91)</f>
        <v>9992733.6900000013</v>
      </c>
      <c r="AF93" s="1044">
        <f>SUM(AF75:AF91)</f>
        <v>0</v>
      </c>
      <c r="AH93" s="1005">
        <f t="shared" si="19"/>
        <v>198890285.68000001</v>
      </c>
      <c r="AK93" s="1014">
        <f t="shared" ref="AK93:AS93" si="26">SUM(AK75:AK91)</f>
        <v>0</v>
      </c>
      <c r="AL93" s="1014">
        <f t="shared" si="26"/>
        <v>0</v>
      </c>
      <c r="AM93" s="1014">
        <f t="shared" si="26"/>
        <v>198890285.68000001</v>
      </c>
      <c r="AN93" s="1014">
        <f t="shared" si="26"/>
        <v>0</v>
      </c>
      <c r="AO93" s="1014">
        <f t="shared" si="26"/>
        <v>0</v>
      </c>
      <c r="AP93" s="1014">
        <f t="shared" si="26"/>
        <v>0</v>
      </c>
      <c r="AQ93" s="1014">
        <f t="shared" si="26"/>
        <v>0</v>
      </c>
      <c r="AR93" s="1014">
        <f t="shared" si="26"/>
        <v>0</v>
      </c>
      <c r="AS93" s="1014">
        <f t="shared" si="26"/>
        <v>0</v>
      </c>
      <c r="AU93" s="1020">
        <f>SUM(AU75:AU91)</f>
        <v>198890285.68000001</v>
      </c>
    </row>
    <row r="94" spans="1:47">
      <c r="A94" s="841"/>
      <c r="B94" s="841"/>
      <c r="C94" s="857"/>
      <c r="D94" s="854"/>
      <c r="E94" s="844"/>
      <c r="F94" s="330"/>
      <c r="G94" s="1391"/>
      <c r="H94" s="844"/>
      <c r="I94" s="1389"/>
      <c r="J94" s="844"/>
      <c r="K94" s="1390"/>
      <c r="L94" s="844"/>
      <c r="M94" s="330"/>
      <c r="N94" s="1391"/>
      <c r="O94" s="844"/>
      <c r="R94" s="425"/>
      <c r="T94" s="844">
        <f t="shared" si="16"/>
        <v>0</v>
      </c>
      <c r="V94" s="1374"/>
      <c r="X94" s="903">
        <f t="shared" si="17"/>
        <v>0</v>
      </c>
      <c r="Z94" s="1352">
        <f t="shared" si="18"/>
        <v>0</v>
      </c>
      <c r="AA94" s="1352"/>
      <c r="AB94" s="1449"/>
      <c r="AD94" s="1450"/>
      <c r="AF94" s="1043"/>
      <c r="AH94" s="1004">
        <f t="shared" si="19"/>
        <v>0</v>
      </c>
      <c r="AU94" s="1018"/>
    </row>
    <row r="95" spans="1:47">
      <c r="A95" s="294"/>
      <c r="B95" s="833" t="s">
        <v>1141</v>
      </c>
      <c r="C95" s="871"/>
      <c r="D95" s="843"/>
      <c r="E95" s="844"/>
      <c r="F95" s="330"/>
      <c r="G95" s="1382"/>
      <c r="H95" s="844"/>
      <c r="I95" s="1392"/>
      <c r="J95" s="844"/>
      <c r="K95" s="1384"/>
      <c r="L95" s="844"/>
      <c r="M95" s="330"/>
      <c r="N95" s="1382"/>
      <c r="O95" s="844"/>
      <c r="R95" s="425"/>
      <c r="T95" s="844">
        <f t="shared" si="16"/>
        <v>0</v>
      </c>
      <c r="V95" s="1374"/>
      <c r="X95" s="903">
        <f t="shared" si="17"/>
        <v>0</v>
      </c>
      <c r="Z95" s="1352">
        <f t="shared" si="18"/>
        <v>0</v>
      </c>
      <c r="AA95" s="1352"/>
      <c r="AB95" s="1449"/>
      <c r="AD95" s="1450"/>
      <c r="AF95" s="1043"/>
      <c r="AH95" s="1004">
        <f t="shared" si="19"/>
        <v>0</v>
      </c>
      <c r="AU95" s="1018"/>
    </row>
    <row r="96" spans="1:47">
      <c r="A96" s="294"/>
      <c r="B96" s="833"/>
      <c r="C96" s="859" t="s">
        <v>1142</v>
      </c>
      <c r="D96" s="843"/>
      <c r="E96" s="844">
        <f>SUM(D97:D100)</f>
        <v>19670205.5</v>
      </c>
      <c r="F96" s="330"/>
      <c r="G96" s="1382"/>
      <c r="H96" s="844">
        <f>SUM(G97:G100)</f>
        <v>15752348.189999999</v>
      </c>
      <c r="I96" s="1392"/>
      <c r="J96" s="844">
        <f>SUM(I97:I100)</f>
        <v>13421.48</v>
      </c>
      <c r="K96" s="1384"/>
      <c r="L96" s="844">
        <f>SUM(K97:K100)</f>
        <v>15765769.67</v>
      </c>
      <c r="M96" s="1355">
        <f>L96/E96</f>
        <v>0.80150508188640934</v>
      </c>
      <c r="N96" s="1382"/>
      <c r="O96" s="844">
        <f>SUM(N97:N100)</f>
        <v>3904435.8299999987</v>
      </c>
      <c r="P96" s="840">
        <v>0.19849491811359057</v>
      </c>
      <c r="R96" s="425">
        <v>0</v>
      </c>
      <c r="T96" s="844">
        <f t="shared" si="16"/>
        <v>19670205.5</v>
      </c>
      <c r="V96" s="1374">
        <v>15752348.189999999</v>
      </c>
      <c r="X96" s="903">
        <f t="shared" si="17"/>
        <v>3917857.3100000005</v>
      </c>
      <c r="Z96" s="1352">
        <f t="shared" si="18"/>
        <v>0</v>
      </c>
      <c r="AA96" s="1352">
        <f>(X96-Z96)*0.7</f>
        <v>2742500.1170000001</v>
      </c>
      <c r="AB96" s="1449">
        <f t="shared" ref="AB96:AB108" si="27">Z96+AA96</f>
        <v>2742500.1170000001</v>
      </c>
      <c r="AD96" s="1450">
        <f t="shared" ref="AD96:AD108" si="28">X96-AB96</f>
        <v>1175357.1930000004</v>
      </c>
      <c r="AF96" s="1043"/>
      <c r="AH96" s="1004">
        <f t="shared" si="19"/>
        <v>19670205.5</v>
      </c>
      <c r="AM96" s="976">
        <f>AH96</f>
        <v>19670205.5</v>
      </c>
      <c r="AU96" s="1019">
        <f t="shared" ref="AU96:AU108" si="29">SUM(AK96:AT96)</f>
        <v>19670205.5</v>
      </c>
    </row>
    <row r="97" spans="1:47" hidden="1" outlineLevel="1">
      <c r="A97" s="841">
        <v>7050</v>
      </c>
      <c r="B97" s="841"/>
      <c r="C97" s="859" t="s">
        <v>438</v>
      </c>
      <c r="D97" s="843">
        <v>7107385.3499999996</v>
      </c>
      <c r="E97" s="844"/>
      <c r="F97" s="330"/>
      <c r="G97" s="1382">
        <v>7019778.9900000002</v>
      </c>
      <c r="H97" s="844"/>
      <c r="I97" s="1383">
        <v>13421.48</v>
      </c>
      <c r="J97" s="844"/>
      <c r="K97" s="1384">
        <f>G97+I97</f>
        <v>7033200.4700000007</v>
      </c>
      <c r="L97" s="844"/>
      <c r="M97" s="330"/>
      <c r="N97" s="1382">
        <f>D97-K97</f>
        <v>74184.879999998957</v>
      </c>
      <c r="O97" s="844"/>
      <c r="R97" s="425">
        <v>0</v>
      </c>
      <c r="T97" s="844">
        <f t="shared" si="16"/>
        <v>0</v>
      </c>
      <c r="V97" s="1374"/>
      <c r="X97" s="903">
        <f t="shared" si="17"/>
        <v>0</v>
      </c>
      <c r="Z97" s="1352">
        <f t="shared" si="18"/>
        <v>0</v>
      </c>
      <c r="AA97" s="1352"/>
      <c r="AB97" s="1449">
        <f t="shared" si="27"/>
        <v>0</v>
      </c>
      <c r="AD97" s="1450">
        <f t="shared" si="28"/>
        <v>0</v>
      </c>
      <c r="AF97" s="1043"/>
      <c r="AH97" s="1004">
        <f t="shared" si="19"/>
        <v>0</v>
      </c>
      <c r="AU97" s="1019">
        <f t="shared" si="29"/>
        <v>0</v>
      </c>
    </row>
    <row r="98" spans="1:47" hidden="1" outlineLevel="1">
      <c r="A98" s="841">
        <v>7100</v>
      </c>
      <c r="B98" s="841"/>
      <c r="C98" s="859" t="s">
        <v>439</v>
      </c>
      <c r="D98" s="843">
        <v>7964724.8300000001</v>
      </c>
      <c r="E98" s="844"/>
      <c r="F98" s="330"/>
      <c r="G98" s="1382">
        <v>8026190.1000000006</v>
      </c>
      <c r="H98" s="844"/>
      <c r="I98" s="1383">
        <v>0</v>
      </c>
      <c r="J98" s="844"/>
      <c r="K98" s="1384">
        <f>G98+I98</f>
        <v>8026190.1000000006</v>
      </c>
      <c r="L98" s="844"/>
      <c r="M98" s="330"/>
      <c r="N98" s="1382">
        <f>D98-K98</f>
        <v>-61465.270000000484</v>
      </c>
      <c r="O98" s="844"/>
      <c r="R98" s="425">
        <v>0</v>
      </c>
      <c r="T98" s="844">
        <f t="shared" si="16"/>
        <v>0</v>
      </c>
      <c r="V98" s="1374"/>
      <c r="X98" s="903">
        <f t="shared" si="17"/>
        <v>0</v>
      </c>
      <c r="Z98" s="1352">
        <f t="shared" si="18"/>
        <v>0</v>
      </c>
      <c r="AA98" s="1352"/>
      <c r="AB98" s="1449">
        <f t="shared" si="27"/>
        <v>0</v>
      </c>
      <c r="AD98" s="1450">
        <f t="shared" si="28"/>
        <v>0</v>
      </c>
      <c r="AF98" s="1043"/>
      <c r="AH98" s="1004">
        <f t="shared" si="19"/>
        <v>0</v>
      </c>
      <c r="AU98" s="1019">
        <f t="shared" si="29"/>
        <v>0</v>
      </c>
    </row>
    <row r="99" spans="1:47" hidden="1" outlineLevel="1">
      <c r="A99" s="841">
        <v>7150</v>
      </c>
      <c r="B99" s="841"/>
      <c r="C99" s="859" t="s">
        <v>440</v>
      </c>
      <c r="D99" s="843"/>
      <c r="E99" s="844"/>
      <c r="F99" s="330"/>
      <c r="G99" s="1382">
        <v>0</v>
      </c>
      <c r="H99" s="844"/>
      <c r="I99" s="1383">
        <v>0</v>
      </c>
      <c r="J99" s="844"/>
      <c r="K99" s="1384">
        <f>G99+I99</f>
        <v>0</v>
      </c>
      <c r="L99" s="844"/>
      <c r="M99" s="330"/>
      <c r="N99" s="1382">
        <f>D99-K99</f>
        <v>0</v>
      </c>
      <c r="O99" s="844"/>
      <c r="R99" s="425">
        <v>0</v>
      </c>
      <c r="T99" s="844">
        <f t="shared" si="16"/>
        <v>0</v>
      </c>
      <c r="V99" s="1374"/>
      <c r="X99" s="903">
        <f t="shared" si="17"/>
        <v>0</v>
      </c>
      <c r="Z99" s="1352">
        <f t="shared" si="18"/>
        <v>0</v>
      </c>
      <c r="AA99" s="1352"/>
      <c r="AB99" s="1449">
        <f t="shared" si="27"/>
        <v>0</v>
      </c>
      <c r="AD99" s="1450">
        <f t="shared" si="28"/>
        <v>0</v>
      </c>
      <c r="AF99" s="1043"/>
      <c r="AH99" s="1004">
        <f t="shared" si="19"/>
        <v>0</v>
      </c>
      <c r="AU99" s="1019">
        <f t="shared" si="29"/>
        <v>0</v>
      </c>
    </row>
    <row r="100" spans="1:47" hidden="1" outlineLevel="1">
      <c r="A100" s="841">
        <v>7200</v>
      </c>
      <c r="B100" s="841"/>
      <c r="C100" s="872" t="s">
        <v>441</v>
      </c>
      <c r="D100" s="843">
        <v>4598095.32</v>
      </c>
      <c r="E100" s="844"/>
      <c r="F100" s="330"/>
      <c r="G100" s="1382">
        <v>706379.1</v>
      </c>
      <c r="H100" s="844"/>
      <c r="I100" s="1383">
        <v>0</v>
      </c>
      <c r="J100" s="844"/>
      <c r="K100" s="1384">
        <f>G100+I100</f>
        <v>706379.1</v>
      </c>
      <c r="L100" s="844"/>
      <c r="M100" s="330"/>
      <c r="N100" s="1382">
        <f>D100-K100</f>
        <v>3891716.22</v>
      </c>
      <c r="O100" s="844"/>
      <c r="R100" s="425">
        <v>0</v>
      </c>
      <c r="T100" s="844">
        <f t="shared" si="16"/>
        <v>0</v>
      </c>
      <c r="V100" s="1374"/>
      <c r="X100" s="903">
        <f t="shared" si="17"/>
        <v>0</v>
      </c>
      <c r="Z100" s="1352">
        <f t="shared" si="18"/>
        <v>0</v>
      </c>
      <c r="AA100" s="1352"/>
      <c r="AB100" s="1449">
        <f t="shared" si="27"/>
        <v>0</v>
      </c>
      <c r="AD100" s="1450">
        <f t="shared" si="28"/>
        <v>0</v>
      </c>
      <c r="AF100" s="1043"/>
      <c r="AH100" s="1004">
        <f t="shared" si="19"/>
        <v>0</v>
      </c>
      <c r="AU100" s="1019">
        <f t="shared" si="29"/>
        <v>0</v>
      </c>
    </row>
    <row r="101" spans="1:47" collapsed="1">
      <c r="A101" s="294"/>
      <c r="B101" s="294"/>
      <c r="C101" s="859" t="s">
        <v>1143</v>
      </c>
      <c r="D101" s="843" t="s">
        <v>78</v>
      </c>
      <c r="E101" s="844">
        <f>SUM(D102:D107)</f>
        <v>30488037.079999998</v>
      </c>
      <c r="F101" s="330"/>
      <c r="G101" s="1382"/>
      <c r="H101" s="844">
        <f>SUM(G102:G107)</f>
        <v>30449280.440000001</v>
      </c>
      <c r="I101" s="1392"/>
      <c r="J101" s="844">
        <f>SUM(I102:I107)</f>
        <v>62354.400000000001</v>
      </c>
      <c r="K101" s="1384" t="s">
        <v>78</v>
      </c>
      <c r="L101" s="844">
        <f>SUM(K102:K107)</f>
        <v>30511634.84</v>
      </c>
      <c r="M101" s="1355">
        <f>L101/E101</f>
        <v>1.0007740006330379</v>
      </c>
      <c r="N101" s="1382" t="s">
        <v>78</v>
      </c>
      <c r="O101" s="844">
        <f>SUM(N102:N107)</f>
        <v>-23597.759999999776</v>
      </c>
      <c r="P101" s="840">
        <v>-7.7400063303779531E-4</v>
      </c>
      <c r="R101" s="425">
        <v>23597.759999999776</v>
      </c>
      <c r="T101" s="844">
        <f t="shared" si="16"/>
        <v>30511634.839999996</v>
      </c>
      <c r="V101" s="1374">
        <v>30449280.440000001</v>
      </c>
      <c r="X101" s="903">
        <f t="shared" si="17"/>
        <v>62354.399999994785</v>
      </c>
      <c r="Z101" s="1352">
        <f t="shared" si="18"/>
        <v>0</v>
      </c>
      <c r="AA101" s="1352">
        <f>X101-Z101</f>
        <v>62354.399999994785</v>
      </c>
      <c r="AB101" s="1449">
        <f t="shared" si="27"/>
        <v>62354.399999994785</v>
      </c>
      <c r="AD101" s="1450">
        <f t="shared" si="28"/>
        <v>0</v>
      </c>
      <c r="AF101" s="1043"/>
      <c r="AH101" s="1004">
        <f t="shared" si="19"/>
        <v>30511634.839999996</v>
      </c>
      <c r="AN101" s="976">
        <f>AH101</f>
        <v>30511634.839999996</v>
      </c>
      <c r="AU101" s="1019">
        <f t="shared" si="29"/>
        <v>30511634.839999996</v>
      </c>
    </row>
    <row r="102" spans="1:47" hidden="1" outlineLevel="2">
      <c r="A102" s="841">
        <v>7350</v>
      </c>
      <c r="B102" s="841"/>
      <c r="C102" s="859" t="s">
        <v>443</v>
      </c>
      <c r="D102" s="843">
        <v>7507583</v>
      </c>
      <c r="E102" s="844"/>
      <c r="F102" s="330"/>
      <c r="G102" s="1382">
        <v>7507583</v>
      </c>
      <c r="H102" s="844"/>
      <c r="I102" s="1383">
        <v>0</v>
      </c>
      <c r="J102" s="844"/>
      <c r="K102" s="1384">
        <f t="shared" ref="K102:K107" si="30">G102+I102</f>
        <v>7507583</v>
      </c>
      <c r="L102" s="844"/>
      <c r="M102" s="330"/>
      <c r="N102" s="1382">
        <f t="shared" ref="N102:N107" si="31">D102-K102</f>
        <v>0</v>
      </c>
      <c r="O102" s="844"/>
      <c r="R102" s="425">
        <v>0</v>
      </c>
      <c r="T102" s="844">
        <f t="shared" ref="T102:T133" si="32">E102+R102</f>
        <v>0</v>
      </c>
      <c r="V102" s="1374"/>
      <c r="X102" s="903">
        <f t="shared" si="17"/>
        <v>0</v>
      </c>
      <c r="Z102" s="1352">
        <f t="shared" si="18"/>
        <v>0</v>
      </c>
      <c r="AA102" s="1352"/>
      <c r="AB102" s="1449">
        <f t="shared" si="27"/>
        <v>0</v>
      </c>
      <c r="AD102" s="1450">
        <f t="shared" si="28"/>
        <v>0</v>
      </c>
      <c r="AF102" s="1043"/>
      <c r="AH102" s="1004">
        <f t="shared" si="19"/>
        <v>0</v>
      </c>
      <c r="AU102" s="1019">
        <f t="shared" si="29"/>
        <v>0</v>
      </c>
    </row>
    <row r="103" spans="1:47" ht="15.75" hidden="1" customHeight="1" outlineLevel="2">
      <c r="A103" s="841">
        <v>7400</v>
      </c>
      <c r="B103" s="841"/>
      <c r="C103" s="859" t="s">
        <v>444</v>
      </c>
      <c r="D103" s="843">
        <v>14581820.9</v>
      </c>
      <c r="E103" s="844"/>
      <c r="F103" s="330"/>
      <c r="G103" s="1382">
        <v>14528257.5</v>
      </c>
      <c r="H103" s="844"/>
      <c r="I103" s="1383">
        <v>49187.4</v>
      </c>
      <c r="J103" s="844"/>
      <c r="K103" s="1384">
        <f t="shared" si="30"/>
        <v>14577444.9</v>
      </c>
      <c r="L103" s="844"/>
      <c r="M103" s="330"/>
      <c r="N103" s="1382">
        <f t="shared" si="31"/>
        <v>4376</v>
      </c>
      <c r="O103" s="844"/>
      <c r="R103" s="425">
        <v>0</v>
      </c>
      <c r="T103" s="844">
        <f t="shared" si="32"/>
        <v>0</v>
      </c>
      <c r="V103" s="1374"/>
      <c r="X103" s="903">
        <f t="shared" si="17"/>
        <v>0</v>
      </c>
      <c r="Z103" s="1352">
        <f t="shared" si="18"/>
        <v>0</v>
      </c>
      <c r="AA103" s="1352"/>
      <c r="AB103" s="1449">
        <f t="shared" si="27"/>
        <v>0</v>
      </c>
      <c r="AD103" s="1450">
        <f t="shared" si="28"/>
        <v>0</v>
      </c>
      <c r="AF103" s="1043"/>
      <c r="AH103" s="1004">
        <f t="shared" si="19"/>
        <v>0</v>
      </c>
      <c r="AU103" s="1019">
        <f t="shared" si="29"/>
        <v>0</v>
      </c>
    </row>
    <row r="104" spans="1:47" hidden="1" outlineLevel="2">
      <c r="A104" s="841">
        <v>7450</v>
      </c>
      <c r="B104" s="841"/>
      <c r="C104" s="859" t="s">
        <v>445</v>
      </c>
      <c r="D104" s="843">
        <v>3522539.94</v>
      </c>
      <c r="E104" s="844"/>
      <c r="F104" s="330"/>
      <c r="G104" s="1382">
        <v>3522539.94</v>
      </c>
      <c r="H104" s="844"/>
      <c r="I104" s="1383">
        <v>13167</v>
      </c>
      <c r="J104" s="844"/>
      <c r="K104" s="1384">
        <f t="shared" si="30"/>
        <v>3535706.94</v>
      </c>
      <c r="L104" s="844"/>
      <c r="M104" s="330"/>
      <c r="N104" s="1382">
        <f t="shared" si="31"/>
        <v>-13167</v>
      </c>
      <c r="O104" s="844"/>
      <c r="R104" s="425">
        <v>0</v>
      </c>
      <c r="T104" s="844">
        <f t="shared" si="32"/>
        <v>0</v>
      </c>
      <c r="V104" s="1374"/>
      <c r="X104" s="903">
        <f t="shared" si="17"/>
        <v>0</v>
      </c>
      <c r="Z104" s="1352">
        <f t="shared" si="18"/>
        <v>0</v>
      </c>
      <c r="AA104" s="1352"/>
      <c r="AB104" s="1449">
        <f t="shared" si="27"/>
        <v>0</v>
      </c>
      <c r="AD104" s="1450">
        <f t="shared" si="28"/>
        <v>0</v>
      </c>
      <c r="AF104" s="1043"/>
      <c r="AH104" s="1004">
        <f t="shared" si="19"/>
        <v>0</v>
      </c>
      <c r="AU104" s="1019">
        <f t="shared" si="29"/>
        <v>0</v>
      </c>
    </row>
    <row r="105" spans="1:47" hidden="1" outlineLevel="2">
      <c r="A105" s="841">
        <v>7500</v>
      </c>
      <c r="B105" s="841"/>
      <c r="C105" s="859" t="s">
        <v>446</v>
      </c>
      <c r="D105" s="843">
        <v>490016.7</v>
      </c>
      <c r="E105" s="844"/>
      <c r="F105" s="330"/>
      <c r="G105" s="1382">
        <v>490016.7</v>
      </c>
      <c r="H105" s="844"/>
      <c r="I105" s="1383">
        <v>0</v>
      </c>
      <c r="J105" s="844"/>
      <c r="K105" s="1384">
        <f t="shared" si="30"/>
        <v>490016.7</v>
      </c>
      <c r="L105" s="844"/>
      <c r="M105" s="330"/>
      <c r="N105" s="1382">
        <f t="shared" si="31"/>
        <v>0</v>
      </c>
      <c r="O105" s="844"/>
      <c r="R105" s="425">
        <v>0</v>
      </c>
      <c r="T105" s="844">
        <f t="shared" si="32"/>
        <v>0</v>
      </c>
      <c r="V105" s="1374"/>
      <c r="X105" s="903">
        <f t="shared" si="17"/>
        <v>0</v>
      </c>
      <c r="Z105" s="1352">
        <f t="shared" si="18"/>
        <v>0</v>
      </c>
      <c r="AA105" s="1352"/>
      <c r="AB105" s="1449">
        <f t="shared" si="27"/>
        <v>0</v>
      </c>
      <c r="AD105" s="1450">
        <f t="shared" si="28"/>
        <v>0</v>
      </c>
      <c r="AF105" s="1043"/>
      <c r="AH105" s="1004">
        <f t="shared" si="19"/>
        <v>0</v>
      </c>
      <c r="AU105" s="1019">
        <f t="shared" si="29"/>
        <v>0</v>
      </c>
    </row>
    <row r="106" spans="1:47" hidden="1" outlineLevel="2">
      <c r="A106" s="841">
        <v>7535</v>
      </c>
      <c r="B106" s="841"/>
      <c r="C106" s="859" t="s">
        <v>447</v>
      </c>
      <c r="D106" s="843"/>
      <c r="E106" s="844"/>
      <c r="F106" s="330"/>
      <c r="G106" s="1382">
        <v>0</v>
      </c>
      <c r="H106" s="844"/>
      <c r="I106" s="1383">
        <v>0</v>
      </c>
      <c r="J106" s="844"/>
      <c r="K106" s="1384">
        <f t="shared" si="30"/>
        <v>0</v>
      </c>
      <c r="L106" s="844"/>
      <c r="M106" s="330"/>
      <c r="N106" s="1382">
        <f t="shared" si="31"/>
        <v>0</v>
      </c>
      <c r="O106" s="844"/>
      <c r="R106" s="425">
        <v>0</v>
      </c>
      <c r="T106" s="844">
        <f t="shared" si="32"/>
        <v>0</v>
      </c>
      <c r="V106" s="1374"/>
      <c r="X106" s="903">
        <f t="shared" si="17"/>
        <v>0</v>
      </c>
      <c r="Z106" s="1352">
        <f t="shared" si="18"/>
        <v>0</v>
      </c>
      <c r="AA106" s="1352"/>
      <c r="AB106" s="1449">
        <f t="shared" si="27"/>
        <v>0</v>
      </c>
      <c r="AD106" s="1450">
        <f t="shared" si="28"/>
        <v>0</v>
      </c>
      <c r="AF106" s="1043"/>
      <c r="AH106" s="1004">
        <f t="shared" si="19"/>
        <v>0</v>
      </c>
      <c r="AU106" s="1019">
        <f t="shared" si="29"/>
        <v>0</v>
      </c>
    </row>
    <row r="107" spans="1:47" hidden="1" outlineLevel="2">
      <c r="A107" s="841">
        <v>7550</v>
      </c>
      <c r="B107" s="841"/>
      <c r="C107" s="859" t="s">
        <v>448</v>
      </c>
      <c r="D107" s="843">
        <v>4386076.54</v>
      </c>
      <c r="E107" s="844"/>
      <c r="F107" s="330"/>
      <c r="G107" s="1382">
        <v>4400883.3</v>
      </c>
      <c r="H107" s="844"/>
      <c r="I107" s="1383">
        <v>0</v>
      </c>
      <c r="J107" s="844"/>
      <c r="K107" s="1384">
        <f t="shared" si="30"/>
        <v>4400883.3</v>
      </c>
      <c r="L107" s="844"/>
      <c r="M107" s="330"/>
      <c r="N107" s="1382">
        <f t="shared" si="31"/>
        <v>-14806.759999999776</v>
      </c>
      <c r="O107" s="844"/>
      <c r="R107" s="425">
        <v>0</v>
      </c>
      <c r="T107" s="844">
        <f t="shared" si="32"/>
        <v>0</v>
      </c>
      <c r="V107" s="1374"/>
      <c r="X107" s="903">
        <f t="shared" si="17"/>
        <v>0</v>
      </c>
      <c r="Z107" s="1352">
        <f t="shared" si="18"/>
        <v>0</v>
      </c>
      <c r="AA107" s="1352"/>
      <c r="AB107" s="1449">
        <f t="shared" si="27"/>
        <v>0</v>
      </c>
      <c r="AD107" s="1450">
        <f t="shared" si="28"/>
        <v>0</v>
      </c>
      <c r="AF107" s="1043"/>
      <c r="AH107" s="1004">
        <f t="shared" si="19"/>
        <v>0</v>
      </c>
      <c r="AU107" s="1019">
        <f t="shared" si="29"/>
        <v>0</v>
      </c>
    </row>
    <row r="108" spans="1:47" collapsed="1">
      <c r="A108" s="294"/>
      <c r="B108" s="294"/>
      <c r="C108" s="859" t="s">
        <v>1144</v>
      </c>
      <c r="D108" s="843" t="s">
        <v>78</v>
      </c>
      <c r="E108" s="844">
        <f>SUM(D109:D118)</f>
        <v>26468675.75</v>
      </c>
      <c r="F108" s="330"/>
      <c r="G108" s="1382"/>
      <c r="H108" s="844">
        <f>SUM(G109:G118)</f>
        <v>24964983.630000003</v>
      </c>
      <c r="I108" s="1392"/>
      <c r="J108" s="844">
        <f>SUM(I109:I118)</f>
        <v>0</v>
      </c>
      <c r="K108" s="1384" t="s">
        <v>78</v>
      </c>
      <c r="L108" s="844">
        <f>SUM(K109:K118)</f>
        <v>24964983.630000003</v>
      </c>
      <c r="M108" s="1355">
        <f>L108/E108</f>
        <v>0.94318974873535188</v>
      </c>
      <c r="N108" s="1382" t="s">
        <v>78</v>
      </c>
      <c r="O108" s="844">
        <f>SUM(N109:N118)</f>
        <v>1503692.1199999996</v>
      </c>
      <c r="P108" s="840">
        <v>5.6810251264648164E-2</v>
      </c>
      <c r="R108" s="425">
        <v>0</v>
      </c>
      <c r="T108" s="844">
        <f t="shared" si="32"/>
        <v>26468675.75</v>
      </c>
      <c r="V108" s="1374">
        <v>24964983.630000003</v>
      </c>
      <c r="X108" s="903">
        <f t="shared" si="17"/>
        <v>1503692.1199999973</v>
      </c>
      <c r="Z108" s="1352">
        <f t="shared" si="18"/>
        <v>0</v>
      </c>
      <c r="AA108" s="1352">
        <f>(X108-Z108)*0.7</f>
        <v>1052584.4839999981</v>
      </c>
      <c r="AB108" s="1449">
        <f t="shared" si="27"/>
        <v>1052584.4839999981</v>
      </c>
      <c r="AD108" s="1450">
        <f t="shared" si="28"/>
        <v>451107.63599999924</v>
      </c>
      <c r="AF108" s="1043"/>
      <c r="AH108" s="1004">
        <f t="shared" si="19"/>
        <v>26468675.75</v>
      </c>
      <c r="AS108" s="976">
        <f>AH108</f>
        <v>26468675.75</v>
      </c>
      <c r="AU108" s="1019">
        <f t="shared" si="29"/>
        <v>26468675.75</v>
      </c>
    </row>
    <row r="109" spans="1:47" hidden="1" outlineLevel="1">
      <c r="A109" s="841">
        <v>7650</v>
      </c>
      <c r="B109" s="841"/>
      <c r="C109" s="859" t="s">
        <v>449</v>
      </c>
      <c r="D109" s="843">
        <v>4361554</v>
      </c>
      <c r="E109" s="844"/>
      <c r="F109" s="330"/>
      <c r="G109" s="1382">
        <v>4361554</v>
      </c>
      <c r="H109" s="844"/>
      <c r="I109" s="1383">
        <v>0</v>
      </c>
      <c r="J109" s="844"/>
      <c r="K109" s="1384">
        <f t="shared" ref="K109:K118" si="33">G109+I109</f>
        <v>4361554</v>
      </c>
      <c r="L109" s="844"/>
      <c r="M109" s="330"/>
      <c r="N109" s="1382">
        <f t="shared" ref="N109:N118" si="34">D109-K109</f>
        <v>0</v>
      </c>
      <c r="O109" s="844"/>
      <c r="R109" s="425"/>
      <c r="T109" s="844">
        <f t="shared" si="32"/>
        <v>0</v>
      </c>
      <c r="V109" s="1374"/>
      <c r="X109" s="903">
        <f t="shared" si="17"/>
        <v>0</v>
      </c>
      <c r="Z109" s="1352">
        <f t="shared" si="18"/>
        <v>0</v>
      </c>
      <c r="AA109" s="1352"/>
      <c r="AB109" s="1449"/>
      <c r="AD109" s="1450"/>
      <c r="AF109" s="1043"/>
      <c r="AH109" s="1004">
        <f t="shared" si="19"/>
        <v>0</v>
      </c>
      <c r="AU109" s="1018"/>
    </row>
    <row r="110" spans="1:47" hidden="1" outlineLevel="1">
      <c r="A110" s="841">
        <v>7700</v>
      </c>
      <c r="B110" s="841"/>
      <c r="C110" s="859" t="s">
        <v>450</v>
      </c>
      <c r="D110" s="843">
        <v>3053091</v>
      </c>
      <c r="E110" s="844"/>
      <c r="F110" s="330"/>
      <c r="G110" s="1382">
        <v>3053091</v>
      </c>
      <c r="H110" s="844"/>
      <c r="I110" s="1383">
        <v>0</v>
      </c>
      <c r="J110" s="844"/>
      <c r="K110" s="1384">
        <f t="shared" si="33"/>
        <v>3053091</v>
      </c>
      <c r="L110" s="844"/>
      <c r="M110" s="330"/>
      <c r="N110" s="1382">
        <f t="shared" si="34"/>
        <v>0</v>
      </c>
      <c r="O110" s="844"/>
      <c r="R110" s="425"/>
      <c r="T110" s="844">
        <f t="shared" si="32"/>
        <v>0</v>
      </c>
      <c r="V110" s="1374"/>
      <c r="X110" s="903">
        <f t="shared" si="17"/>
        <v>0</v>
      </c>
      <c r="Z110" s="1352">
        <f t="shared" si="18"/>
        <v>0</v>
      </c>
      <c r="AA110" s="1352"/>
      <c r="AB110" s="1449"/>
      <c r="AD110" s="1450"/>
      <c r="AF110" s="1043"/>
      <c r="AH110" s="1004">
        <f t="shared" si="19"/>
        <v>0</v>
      </c>
      <c r="AU110" s="1018"/>
    </row>
    <row r="111" spans="1:47" hidden="1" outlineLevel="1">
      <c r="A111" s="841">
        <v>7750</v>
      </c>
      <c r="B111" s="841"/>
      <c r="C111" s="859" t="s">
        <v>451</v>
      </c>
      <c r="D111" s="843">
        <v>3459112.98</v>
      </c>
      <c r="E111" s="844"/>
      <c r="F111" s="330"/>
      <c r="G111" s="1382">
        <v>3610235.98</v>
      </c>
      <c r="H111" s="844"/>
      <c r="I111" s="1383">
        <v>0</v>
      </c>
      <c r="J111" s="844"/>
      <c r="K111" s="1384">
        <f t="shared" si="33"/>
        <v>3610235.98</v>
      </c>
      <c r="L111" s="844"/>
      <c r="M111" s="330"/>
      <c r="N111" s="1382">
        <f t="shared" si="34"/>
        <v>-151123</v>
      </c>
      <c r="O111" s="844"/>
      <c r="R111" s="425"/>
      <c r="T111" s="844">
        <f t="shared" si="32"/>
        <v>0</v>
      </c>
      <c r="V111" s="1374"/>
      <c r="X111" s="903">
        <f t="shared" si="17"/>
        <v>0</v>
      </c>
      <c r="Z111" s="1352">
        <f t="shared" si="18"/>
        <v>0</v>
      </c>
      <c r="AA111" s="1352"/>
      <c r="AB111" s="1449"/>
      <c r="AD111" s="1450"/>
      <c r="AF111" s="1043"/>
      <c r="AH111" s="1004">
        <f t="shared" si="19"/>
        <v>0</v>
      </c>
      <c r="AU111" s="1018"/>
    </row>
    <row r="112" spans="1:47" hidden="1" outlineLevel="1">
      <c r="A112" s="841">
        <v>7800</v>
      </c>
      <c r="B112" s="841"/>
      <c r="C112" s="859" t="s">
        <v>452</v>
      </c>
      <c r="D112" s="843"/>
      <c r="E112" s="844"/>
      <c r="F112" s="330"/>
      <c r="G112" s="1382">
        <v>0</v>
      </c>
      <c r="H112" s="844"/>
      <c r="I112" s="1383">
        <v>0</v>
      </c>
      <c r="J112" s="844"/>
      <c r="K112" s="1384">
        <f t="shared" si="33"/>
        <v>0</v>
      </c>
      <c r="L112" s="844"/>
      <c r="M112" s="330"/>
      <c r="N112" s="1382">
        <f t="shared" si="34"/>
        <v>0</v>
      </c>
      <c r="O112" s="844"/>
      <c r="R112" s="425"/>
      <c r="T112" s="844">
        <f t="shared" si="32"/>
        <v>0</v>
      </c>
      <c r="V112" s="1374"/>
      <c r="X112" s="903">
        <f t="shared" si="17"/>
        <v>0</v>
      </c>
      <c r="Z112" s="1352">
        <f t="shared" si="18"/>
        <v>0</v>
      </c>
      <c r="AA112" s="1352"/>
      <c r="AB112" s="1449"/>
      <c r="AD112" s="1450"/>
      <c r="AF112" s="1043"/>
      <c r="AH112" s="1004">
        <f t="shared" si="19"/>
        <v>0</v>
      </c>
      <c r="AU112" s="1018"/>
    </row>
    <row r="113" spans="1:47" hidden="1" outlineLevel="1">
      <c r="A113" s="841">
        <v>7850</v>
      </c>
      <c r="B113" s="841"/>
      <c r="C113" s="859" t="s">
        <v>453</v>
      </c>
      <c r="D113" s="843"/>
      <c r="E113" s="844"/>
      <c r="F113" s="330"/>
      <c r="G113" s="1382">
        <v>0</v>
      </c>
      <c r="H113" s="844"/>
      <c r="I113" s="1383">
        <v>0</v>
      </c>
      <c r="J113" s="844"/>
      <c r="K113" s="1384">
        <f t="shared" si="33"/>
        <v>0</v>
      </c>
      <c r="L113" s="844"/>
      <c r="M113" s="330"/>
      <c r="N113" s="1382">
        <f t="shared" si="34"/>
        <v>0</v>
      </c>
      <c r="O113" s="844"/>
      <c r="R113" s="425"/>
      <c r="T113" s="844">
        <f t="shared" si="32"/>
        <v>0</v>
      </c>
      <c r="V113" s="1374"/>
      <c r="X113" s="903">
        <f t="shared" si="17"/>
        <v>0</v>
      </c>
      <c r="Z113" s="1352">
        <f t="shared" si="18"/>
        <v>0</v>
      </c>
      <c r="AA113" s="1352"/>
      <c r="AB113" s="1449"/>
      <c r="AD113" s="1450"/>
      <c r="AF113" s="1043"/>
      <c r="AH113" s="1004">
        <f t="shared" si="19"/>
        <v>0</v>
      </c>
      <c r="AU113" s="1018"/>
    </row>
    <row r="114" spans="1:47" hidden="1" outlineLevel="1">
      <c r="A114" s="841">
        <v>7900</v>
      </c>
      <c r="B114" s="841"/>
      <c r="C114" s="859" t="s">
        <v>454</v>
      </c>
      <c r="D114" s="843">
        <v>3954323.2</v>
      </c>
      <c r="E114" s="844"/>
      <c r="F114" s="330"/>
      <c r="G114" s="1382">
        <v>3947771.2</v>
      </c>
      <c r="H114" s="844"/>
      <c r="I114" s="1383">
        <v>0</v>
      </c>
      <c r="J114" s="844"/>
      <c r="K114" s="1384">
        <f t="shared" si="33"/>
        <v>3947771.2</v>
      </c>
      <c r="L114" s="844"/>
      <c r="M114" s="330"/>
      <c r="N114" s="1382">
        <f t="shared" si="34"/>
        <v>6552</v>
      </c>
      <c r="O114" s="844"/>
      <c r="R114" s="425"/>
      <c r="T114" s="844">
        <f t="shared" si="32"/>
        <v>0</v>
      </c>
      <c r="V114" s="1374"/>
      <c r="X114" s="903">
        <f t="shared" si="17"/>
        <v>0</v>
      </c>
      <c r="Z114" s="1352">
        <f t="shared" si="18"/>
        <v>0</v>
      </c>
      <c r="AA114" s="1352"/>
      <c r="AB114" s="1449"/>
      <c r="AD114" s="1450"/>
      <c r="AF114" s="1043"/>
      <c r="AH114" s="1004">
        <f t="shared" si="19"/>
        <v>0</v>
      </c>
      <c r="AU114" s="1018"/>
    </row>
    <row r="115" spans="1:47" hidden="1" outlineLevel="1">
      <c r="A115" s="841">
        <v>7950</v>
      </c>
      <c r="B115" s="841"/>
      <c r="C115" s="859" t="s">
        <v>455</v>
      </c>
      <c r="D115" s="843">
        <v>763269</v>
      </c>
      <c r="E115" s="844"/>
      <c r="F115" s="330"/>
      <c r="G115" s="1382">
        <v>763269</v>
      </c>
      <c r="H115" s="844"/>
      <c r="I115" s="1383">
        <v>0</v>
      </c>
      <c r="J115" s="844"/>
      <c r="K115" s="1384">
        <f t="shared" si="33"/>
        <v>763269</v>
      </c>
      <c r="L115" s="844"/>
      <c r="M115" s="330"/>
      <c r="N115" s="1382">
        <f t="shared" si="34"/>
        <v>0</v>
      </c>
      <c r="O115" s="844"/>
      <c r="R115" s="425"/>
      <c r="T115" s="844">
        <f t="shared" si="32"/>
        <v>0</v>
      </c>
      <c r="V115" s="1374"/>
      <c r="X115" s="903">
        <f t="shared" si="17"/>
        <v>0</v>
      </c>
      <c r="Z115" s="1352">
        <f t="shared" si="18"/>
        <v>0</v>
      </c>
      <c r="AA115" s="1352"/>
      <c r="AB115" s="1449"/>
      <c r="AD115" s="1450"/>
      <c r="AF115" s="1043"/>
      <c r="AH115" s="1004">
        <f t="shared" si="19"/>
        <v>0</v>
      </c>
      <c r="AU115" s="1018"/>
    </row>
    <row r="116" spans="1:47" hidden="1" outlineLevel="1">
      <c r="A116" s="841">
        <v>8000</v>
      </c>
      <c r="B116" s="841"/>
      <c r="C116" s="859" t="s">
        <v>456</v>
      </c>
      <c r="D116" s="843"/>
      <c r="E116" s="844"/>
      <c r="F116" s="330"/>
      <c r="G116" s="1382">
        <v>0</v>
      </c>
      <c r="H116" s="844"/>
      <c r="I116" s="1383">
        <v>0</v>
      </c>
      <c r="J116" s="844"/>
      <c r="K116" s="1384">
        <f t="shared" si="33"/>
        <v>0</v>
      </c>
      <c r="L116" s="844"/>
      <c r="M116" s="330"/>
      <c r="N116" s="1382">
        <f t="shared" si="34"/>
        <v>0</v>
      </c>
      <c r="O116" s="844"/>
      <c r="R116" s="425"/>
      <c r="T116" s="844">
        <f t="shared" si="32"/>
        <v>0</v>
      </c>
      <c r="V116" s="1374"/>
      <c r="X116" s="903">
        <f t="shared" si="17"/>
        <v>0</v>
      </c>
      <c r="Z116" s="1352">
        <f t="shared" si="18"/>
        <v>0</v>
      </c>
      <c r="AA116" s="1352"/>
      <c r="AB116" s="1449"/>
      <c r="AD116" s="1450"/>
      <c r="AF116" s="1043"/>
      <c r="AH116" s="1004">
        <f t="shared" si="19"/>
        <v>0</v>
      </c>
      <c r="AU116" s="1018"/>
    </row>
    <row r="117" spans="1:47" hidden="1" outlineLevel="1">
      <c r="A117" s="841">
        <v>8050</v>
      </c>
      <c r="B117" s="841"/>
      <c r="C117" s="859" t="s">
        <v>457</v>
      </c>
      <c r="D117" s="843">
        <v>7005481.0999999996</v>
      </c>
      <c r="E117" s="844"/>
      <c r="F117" s="330"/>
      <c r="G117" s="1382">
        <v>6280748.71</v>
      </c>
      <c r="H117" s="844"/>
      <c r="I117" s="1383">
        <v>0</v>
      </c>
      <c r="J117" s="844"/>
      <c r="K117" s="1384">
        <f t="shared" si="33"/>
        <v>6280748.71</v>
      </c>
      <c r="L117" s="844"/>
      <c r="M117" s="330"/>
      <c r="N117" s="1382">
        <f t="shared" si="34"/>
        <v>724732.38999999966</v>
      </c>
      <c r="O117" s="844"/>
      <c r="R117" s="425"/>
      <c r="T117" s="844">
        <f t="shared" si="32"/>
        <v>0</v>
      </c>
      <c r="V117" s="1374"/>
      <c r="X117" s="903">
        <f t="shared" si="17"/>
        <v>0</v>
      </c>
      <c r="Z117" s="1352">
        <f t="shared" si="18"/>
        <v>0</v>
      </c>
      <c r="AA117" s="1352"/>
      <c r="AB117" s="1449"/>
      <c r="AD117" s="1450"/>
      <c r="AF117" s="1043"/>
      <c r="AH117" s="1004">
        <f t="shared" si="19"/>
        <v>0</v>
      </c>
      <c r="AU117" s="1018"/>
    </row>
    <row r="118" spans="1:47" hidden="1" outlineLevel="1">
      <c r="A118" s="845">
        <v>8052</v>
      </c>
      <c r="B118" s="860"/>
      <c r="C118" s="873" t="s">
        <v>825</v>
      </c>
      <c r="D118" s="843">
        <v>3871844.47</v>
      </c>
      <c r="E118" s="844"/>
      <c r="F118" s="330"/>
      <c r="G118" s="1382">
        <v>2948313.74</v>
      </c>
      <c r="H118" s="844"/>
      <c r="I118" s="1383">
        <v>0</v>
      </c>
      <c r="J118" s="844"/>
      <c r="K118" s="1384">
        <f t="shared" si="33"/>
        <v>2948313.74</v>
      </c>
      <c r="L118" s="844"/>
      <c r="M118" s="330"/>
      <c r="N118" s="1382">
        <f t="shared" si="34"/>
        <v>923530.73</v>
      </c>
      <c r="O118" s="844"/>
      <c r="R118" s="425"/>
      <c r="T118" s="844">
        <f t="shared" si="32"/>
        <v>0</v>
      </c>
      <c r="V118" s="1374"/>
      <c r="X118" s="903">
        <f t="shared" si="17"/>
        <v>0</v>
      </c>
      <c r="Z118" s="1352">
        <f t="shared" si="18"/>
        <v>0</v>
      </c>
      <c r="AA118" s="1352"/>
      <c r="AB118" s="1449"/>
      <c r="AD118" s="1450"/>
      <c r="AF118" s="1043"/>
      <c r="AH118" s="1004">
        <f t="shared" si="19"/>
        <v>0</v>
      </c>
      <c r="AU118" s="1018"/>
    </row>
    <row r="119" spans="1:47" ht="8.25" customHeight="1" collapsed="1">
      <c r="A119" s="841"/>
      <c r="B119" s="846"/>
      <c r="C119" s="836"/>
      <c r="D119" s="852"/>
      <c r="E119" s="838"/>
      <c r="F119" s="330"/>
      <c r="G119" s="1378"/>
      <c r="H119" s="838"/>
      <c r="I119" s="1385"/>
      <c r="J119" s="838"/>
      <c r="K119" s="1386"/>
      <c r="L119" s="838"/>
      <c r="M119" s="1356"/>
      <c r="N119" s="1378"/>
      <c r="O119" s="838"/>
      <c r="R119" s="991"/>
      <c r="T119" s="838">
        <f t="shared" si="32"/>
        <v>0</v>
      </c>
      <c r="V119" s="1379"/>
      <c r="X119" s="904">
        <f t="shared" si="17"/>
        <v>0</v>
      </c>
      <c r="Z119" s="1350">
        <f t="shared" si="18"/>
        <v>0</v>
      </c>
      <c r="AA119" s="1350"/>
      <c r="AB119" s="1447"/>
      <c r="AD119" s="1448"/>
      <c r="AF119" s="1043"/>
      <c r="AH119" s="1003">
        <f t="shared" si="19"/>
        <v>0</v>
      </c>
      <c r="AU119" s="1018"/>
    </row>
    <row r="120" spans="1:47">
      <c r="A120" s="294"/>
      <c r="B120" s="294"/>
      <c r="C120" s="874" t="s">
        <v>1145</v>
      </c>
      <c r="D120" s="843"/>
      <c r="E120" s="855">
        <f>SUM(E96:E118)</f>
        <v>76626918.329999998</v>
      </c>
      <c r="F120" s="330"/>
      <c r="G120" s="1382"/>
      <c r="H120" s="855">
        <f>SUM(H96:H118)</f>
        <v>71166612.260000005</v>
      </c>
      <c r="I120" s="1392"/>
      <c r="J120" s="855">
        <f>SUM(J96:J118)</f>
        <v>75775.88</v>
      </c>
      <c r="K120" s="1384"/>
      <c r="L120" s="855">
        <f>SUM(L96:L118)</f>
        <v>71242388.140000001</v>
      </c>
      <c r="M120" s="1355">
        <f>L120/E120</f>
        <v>0.92973056587228153</v>
      </c>
      <c r="N120" s="1382"/>
      <c r="O120" s="855">
        <f>SUM(O96:O118)</f>
        <v>5384530.1899999985</v>
      </c>
      <c r="P120" s="840">
        <v>7.026943412771848E-2</v>
      </c>
      <c r="R120" s="992">
        <f>SUM(R96:R118)</f>
        <v>23597.759999999776</v>
      </c>
      <c r="T120" s="855">
        <f t="shared" si="32"/>
        <v>76650516.090000004</v>
      </c>
      <c r="V120" s="1388">
        <f>SUM(V96:V118)</f>
        <v>71166612.260000005</v>
      </c>
      <c r="X120" s="905">
        <f t="shared" si="17"/>
        <v>5483903.8299999982</v>
      </c>
      <c r="Z120" s="1354">
        <f t="shared" si="18"/>
        <v>0</v>
      </c>
      <c r="AA120" s="1354">
        <f>SUM(AA96:AA118)</f>
        <v>3857439.0009999927</v>
      </c>
      <c r="AB120" s="1451">
        <f>SUM(AB96:AB118)</f>
        <v>3857439.0009999927</v>
      </c>
      <c r="AD120" s="1452">
        <f>SUM(AD96:AD118)</f>
        <v>1626464.8289999997</v>
      </c>
      <c r="AF120" s="1044">
        <f>SUM(AF96:AF118)</f>
        <v>0</v>
      </c>
      <c r="AH120" s="1005">
        <f t="shared" si="19"/>
        <v>76650516.090000004</v>
      </c>
      <c r="AK120" s="1014">
        <f t="shared" ref="AK120:AS120" si="35">SUM(AK96:AK118)</f>
        <v>0</v>
      </c>
      <c r="AL120" s="1014">
        <f t="shared" si="35"/>
        <v>0</v>
      </c>
      <c r="AM120" s="1014">
        <f t="shared" si="35"/>
        <v>19670205.5</v>
      </c>
      <c r="AN120" s="1014">
        <f t="shared" si="35"/>
        <v>30511634.839999996</v>
      </c>
      <c r="AO120" s="1014">
        <f t="shared" si="35"/>
        <v>0</v>
      </c>
      <c r="AP120" s="1014">
        <f t="shared" si="35"/>
        <v>0</v>
      </c>
      <c r="AQ120" s="1014">
        <f t="shared" si="35"/>
        <v>0</v>
      </c>
      <c r="AR120" s="1014">
        <f t="shared" si="35"/>
        <v>0</v>
      </c>
      <c r="AS120" s="1014">
        <f t="shared" si="35"/>
        <v>26468675.75</v>
      </c>
      <c r="AU120" s="1020">
        <f>SUM(AU96:AU118)</f>
        <v>76650516.090000004</v>
      </c>
    </row>
    <row r="121" spans="1:47">
      <c r="A121" s="841"/>
      <c r="B121" s="841"/>
      <c r="C121" s="857"/>
      <c r="D121" s="854"/>
      <c r="E121" s="844"/>
      <c r="F121" s="330"/>
      <c r="G121" s="1391"/>
      <c r="H121" s="844"/>
      <c r="I121" s="1389"/>
      <c r="J121" s="844"/>
      <c r="K121" s="1390"/>
      <c r="L121" s="844"/>
      <c r="M121" s="330"/>
      <c r="N121" s="1391"/>
      <c r="O121" s="844"/>
      <c r="R121" s="425"/>
      <c r="T121" s="844">
        <f t="shared" si="32"/>
        <v>0</v>
      </c>
      <c r="V121" s="1374"/>
      <c r="X121" s="903">
        <f t="shared" si="17"/>
        <v>0</v>
      </c>
      <c r="Z121" s="1352">
        <f t="shared" si="18"/>
        <v>0</v>
      </c>
      <c r="AA121" s="1352"/>
      <c r="AB121" s="1449"/>
      <c r="AD121" s="1450"/>
      <c r="AF121" s="1043"/>
      <c r="AH121" s="1004">
        <f t="shared" si="19"/>
        <v>0</v>
      </c>
      <c r="AU121" s="1018"/>
    </row>
    <row r="122" spans="1:47">
      <c r="A122" s="294"/>
      <c r="B122" s="833" t="s">
        <v>1146</v>
      </c>
      <c r="C122" s="875"/>
      <c r="D122" s="843"/>
      <c r="E122" s="844"/>
      <c r="F122" s="330"/>
      <c r="G122" s="1382"/>
      <c r="H122" s="844"/>
      <c r="I122" s="1392"/>
      <c r="J122" s="844"/>
      <c r="K122" s="1384"/>
      <c r="L122" s="844"/>
      <c r="M122" s="330"/>
      <c r="N122" s="1382"/>
      <c r="O122" s="844"/>
      <c r="R122" s="425"/>
      <c r="T122" s="844">
        <f t="shared" si="32"/>
        <v>0</v>
      </c>
      <c r="V122" s="1374"/>
      <c r="X122" s="903">
        <f t="shared" si="17"/>
        <v>0</v>
      </c>
      <c r="Z122" s="1352">
        <f t="shared" si="18"/>
        <v>0</v>
      </c>
      <c r="AA122" s="1352"/>
      <c r="AB122" s="1449"/>
      <c r="AD122" s="1450"/>
      <c r="AF122" s="1043"/>
      <c r="AH122" s="1004">
        <f t="shared" si="19"/>
        <v>0</v>
      </c>
      <c r="AU122" s="1018"/>
    </row>
    <row r="123" spans="1:47">
      <c r="A123" s="294"/>
      <c r="B123" s="833"/>
      <c r="C123" s="859" t="s">
        <v>1147</v>
      </c>
      <c r="D123" s="843"/>
      <c r="E123" s="844">
        <f>SUM(D124:D125)</f>
        <v>55163041.299999997</v>
      </c>
      <c r="F123" s="330"/>
      <c r="G123" s="1382"/>
      <c r="H123" s="844">
        <f>SUM(G124:G125)</f>
        <v>40744061.370000005</v>
      </c>
      <c r="I123" s="1392"/>
      <c r="J123" s="844">
        <f>SUM(I124:I125)</f>
        <v>7893237.54</v>
      </c>
      <c r="K123" s="1384"/>
      <c r="L123" s="844">
        <f>SUM(K124:K125)</f>
        <v>48637298.910000004</v>
      </c>
      <c r="M123" s="1355">
        <f>L123/E123</f>
        <v>0.88170082293849172</v>
      </c>
      <c r="N123" s="1382"/>
      <c r="O123" s="844">
        <f>SUM(N124:N125)</f>
        <v>6525742.3899999959</v>
      </c>
      <c r="P123" s="840">
        <v>0.11829917706150832</v>
      </c>
      <c r="R123" s="425">
        <v>0</v>
      </c>
      <c r="T123" s="844">
        <f t="shared" si="32"/>
        <v>55163041.299999997</v>
      </c>
      <c r="V123" s="1374">
        <v>40643717.370000005</v>
      </c>
      <c r="X123" s="903">
        <f t="shared" si="17"/>
        <v>14519323.929999992</v>
      </c>
      <c r="Z123" s="1352">
        <f t="shared" si="18"/>
        <v>100344</v>
      </c>
      <c r="AA123" s="1352">
        <f>(X123-Z123)*0.5</f>
        <v>7209489.9649999961</v>
      </c>
      <c r="AB123" s="1449">
        <f t="shared" ref="AB123:AB139" si="36">Z123+AA123</f>
        <v>7309833.9649999961</v>
      </c>
      <c r="AD123" s="1450">
        <f t="shared" ref="AD123:AD139" si="37">X123-AB123</f>
        <v>7209489.9649999961</v>
      </c>
      <c r="AF123" s="1043"/>
      <c r="AH123" s="1004">
        <f t="shared" si="19"/>
        <v>55163041.299999997</v>
      </c>
      <c r="AM123" s="976">
        <f>AH123</f>
        <v>55163041.299999997</v>
      </c>
      <c r="AU123" s="1019">
        <f t="shared" ref="AU123:AU139" si="38">SUM(AK123:AT123)</f>
        <v>55163041.299999997</v>
      </c>
    </row>
    <row r="124" spans="1:47" hidden="1" outlineLevel="2">
      <c r="A124" s="841">
        <v>8250</v>
      </c>
      <c r="B124" s="841"/>
      <c r="C124" s="859" t="s">
        <v>458</v>
      </c>
      <c r="D124" s="843">
        <v>54729096.399999999</v>
      </c>
      <c r="E124" s="844"/>
      <c r="F124" s="330"/>
      <c r="G124" s="1382">
        <v>40307975.770000003</v>
      </c>
      <c r="H124" s="844"/>
      <c r="I124" s="1383">
        <v>7893237.54</v>
      </c>
      <c r="J124" s="844"/>
      <c r="K124" s="1384">
        <f>G124+I124</f>
        <v>48201213.310000002</v>
      </c>
      <c r="L124" s="844"/>
      <c r="M124" s="330"/>
      <c r="N124" s="1382">
        <f>D124-K124</f>
        <v>6527883.0899999961</v>
      </c>
      <c r="O124" s="844"/>
      <c r="R124" s="425">
        <v>0</v>
      </c>
      <c r="T124" s="844">
        <f t="shared" si="32"/>
        <v>0</v>
      </c>
      <c r="V124" s="1374"/>
      <c r="X124" s="903">
        <f t="shared" si="17"/>
        <v>0</v>
      </c>
      <c r="Z124" s="1352">
        <f t="shared" si="18"/>
        <v>0</v>
      </c>
      <c r="AA124" s="1352"/>
      <c r="AB124" s="1449">
        <f t="shared" si="36"/>
        <v>0</v>
      </c>
      <c r="AD124" s="1450">
        <f t="shared" si="37"/>
        <v>0</v>
      </c>
      <c r="AF124" s="1043"/>
      <c r="AH124" s="1004">
        <f t="shared" si="19"/>
        <v>0</v>
      </c>
      <c r="AU124" s="1019">
        <f t="shared" si="38"/>
        <v>0</v>
      </c>
    </row>
    <row r="125" spans="1:47" hidden="1" outlineLevel="2">
      <c r="A125" s="841">
        <v>8300</v>
      </c>
      <c r="B125" s="841"/>
      <c r="C125" s="859" t="s">
        <v>459</v>
      </c>
      <c r="D125" s="843">
        <v>433944.9</v>
      </c>
      <c r="E125" s="844"/>
      <c r="F125" s="330"/>
      <c r="G125" s="1382">
        <v>436085.6</v>
      </c>
      <c r="H125" s="844"/>
      <c r="I125" s="1383">
        <v>0</v>
      </c>
      <c r="J125" s="844"/>
      <c r="K125" s="1384">
        <f>G125+I125</f>
        <v>436085.6</v>
      </c>
      <c r="L125" s="844"/>
      <c r="M125" s="330"/>
      <c r="N125" s="1382">
        <f>D125-K125</f>
        <v>-2140.6999999999534</v>
      </c>
      <c r="O125" s="844"/>
      <c r="R125" s="425">
        <v>0</v>
      </c>
      <c r="T125" s="844">
        <f t="shared" si="32"/>
        <v>0</v>
      </c>
      <c r="V125" s="1374"/>
      <c r="X125" s="903">
        <f t="shared" si="17"/>
        <v>0</v>
      </c>
      <c r="Z125" s="1352">
        <f t="shared" si="18"/>
        <v>0</v>
      </c>
      <c r="AA125" s="1352"/>
      <c r="AB125" s="1449">
        <f t="shared" si="36"/>
        <v>0</v>
      </c>
      <c r="AD125" s="1450">
        <f t="shared" si="37"/>
        <v>0</v>
      </c>
      <c r="AF125" s="1043"/>
      <c r="AH125" s="1004">
        <f t="shared" si="19"/>
        <v>0</v>
      </c>
      <c r="AU125" s="1019">
        <f t="shared" si="38"/>
        <v>0</v>
      </c>
    </row>
    <row r="126" spans="1:47" collapsed="1">
      <c r="A126" s="841">
        <v>8350</v>
      </c>
      <c r="B126" s="841"/>
      <c r="C126" s="859" t="s">
        <v>460</v>
      </c>
      <c r="D126" s="843"/>
      <c r="E126" s="844">
        <v>7295336.2699999996</v>
      </c>
      <c r="F126" s="330"/>
      <c r="G126" s="1382"/>
      <c r="H126" s="844">
        <v>7509854.3799999999</v>
      </c>
      <c r="I126" s="1392"/>
      <c r="J126" s="844">
        <v>0</v>
      </c>
      <c r="K126" s="1384"/>
      <c r="L126" s="844">
        <f>H126+J126</f>
        <v>7509854.3799999999</v>
      </c>
      <c r="M126" s="1355">
        <f>L126/E126</f>
        <v>1.0294048282437844</v>
      </c>
      <c r="N126" s="1382"/>
      <c r="O126" s="844">
        <f>E126-L126</f>
        <v>-214518.11000000034</v>
      </c>
      <c r="P126" s="840">
        <v>-2.9404828243784348E-2</v>
      </c>
      <c r="R126" s="425">
        <v>214518.11000000034</v>
      </c>
      <c r="T126" s="844">
        <f t="shared" si="32"/>
        <v>7509854.3799999999</v>
      </c>
      <c r="V126" s="1374">
        <v>7509854.3799999999</v>
      </c>
      <c r="X126" s="903">
        <f t="shared" si="17"/>
        <v>0</v>
      </c>
      <c r="Z126" s="1352">
        <f t="shared" si="18"/>
        <v>0</v>
      </c>
      <c r="AA126" s="1352">
        <f>X126-Z126</f>
        <v>0</v>
      </c>
      <c r="AB126" s="1449">
        <f t="shared" si="36"/>
        <v>0</v>
      </c>
      <c r="AD126" s="1450">
        <f t="shared" si="37"/>
        <v>0</v>
      </c>
      <c r="AF126" s="1043"/>
      <c r="AH126" s="1004">
        <f t="shared" si="19"/>
        <v>7509854.3799999999</v>
      </c>
      <c r="AM126" s="976">
        <f>AH126</f>
        <v>7509854.3799999999</v>
      </c>
      <c r="AU126" s="1019">
        <f t="shared" si="38"/>
        <v>7509854.3799999999</v>
      </c>
    </row>
    <row r="127" spans="1:47">
      <c r="A127" s="845">
        <v>8400</v>
      </c>
      <c r="B127" s="845"/>
      <c r="C127" s="859" t="s">
        <v>461</v>
      </c>
      <c r="D127" s="843"/>
      <c r="E127" s="844">
        <v>2310440</v>
      </c>
      <c r="F127" s="330"/>
      <c r="G127" s="1382"/>
      <c r="H127" s="844">
        <v>2364440</v>
      </c>
      <c r="I127" s="1392"/>
      <c r="J127" s="844">
        <v>0</v>
      </c>
      <c r="K127" s="1384"/>
      <c r="L127" s="844">
        <f>H127+J127</f>
        <v>2364440</v>
      </c>
      <c r="M127" s="1355">
        <f>L127/E127</f>
        <v>1.0233721715344264</v>
      </c>
      <c r="N127" s="1382"/>
      <c r="O127" s="844">
        <f>E127-L127</f>
        <v>-54000</v>
      </c>
      <c r="P127" s="840">
        <v>-2.3372171534426344E-2</v>
      </c>
      <c r="R127" s="425">
        <v>54000</v>
      </c>
      <c r="T127" s="844">
        <f t="shared" si="32"/>
        <v>2364440</v>
      </c>
      <c r="V127" s="1374">
        <v>2295530</v>
      </c>
      <c r="X127" s="903">
        <f t="shared" si="17"/>
        <v>68910</v>
      </c>
      <c r="Z127" s="1352">
        <f t="shared" si="18"/>
        <v>68910</v>
      </c>
      <c r="AA127" s="1352">
        <f>X127-Z127</f>
        <v>0</v>
      </c>
      <c r="AB127" s="1449">
        <f t="shared" si="36"/>
        <v>68910</v>
      </c>
      <c r="AD127" s="1450">
        <f t="shared" si="37"/>
        <v>0</v>
      </c>
      <c r="AF127" s="1043"/>
      <c r="AH127" s="1004">
        <f t="shared" si="19"/>
        <v>2364440</v>
      </c>
      <c r="AM127" s="976">
        <f>AH127</f>
        <v>2364440</v>
      </c>
      <c r="AU127" s="1019">
        <f t="shared" si="38"/>
        <v>2364440</v>
      </c>
    </row>
    <row r="128" spans="1:47">
      <c r="A128" s="841">
        <v>8550</v>
      </c>
      <c r="B128" s="841"/>
      <c r="C128" s="859" t="s">
        <v>462</v>
      </c>
      <c r="D128" s="843"/>
      <c r="E128" s="844">
        <v>7648146.96</v>
      </c>
      <c r="F128" s="330"/>
      <c r="G128" s="1382"/>
      <c r="H128" s="844">
        <v>7251028.9500000002</v>
      </c>
      <c r="I128" s="1392"/>
      <c r="J128" s="844">
        <v>6090</v>
      </c>
      <c r="K128" s="1384"/>
      <c r="L128" s="844">
        <f>H128+J128</f>
        <v>7257118.9500000002</v>
      </c>
      <c r="M128" s="1355">
        <f>L128/E128</f>
        <v>0.94887284305007658</v>
      </c>
      <c r="N128" s="1382"/>
      <c r="O128" s="844">
        <f>E128-L128</f>
        <v>391028.00999999978</v>
      </c>
      <c r="P128" s="840">
        <v>5.1127156949923432E-2</v>
      </c>
      <c r="R128" s="425">
        <v>0</v>
      </c>
      <c r="T128" s="844">
        <f t="shared" si="32"/>
        <v>7648146.96</v>
      </c>
      <c r="V128" s="1374">
        <v>6806001.21</v>
      </c>
      <c r="X128" s="903">
        <f t="shared" si="17"/>
        <v>842145.75</v>
      </c>
      <c r="Z128" s="1352">
        <f t="shared" si="18"/>
        <v>445027.74000000022</v>
      </c>
      <c r="AA128" s="1352">
        <f>X128-Z128</f>
        <v>397118.00999999978</v>
      </c>
      <c r="AB128" s="1449">
        <f t="shared" si="36"/>
        <v>842145.75</v>
      </c>
      <c r="AD128" s="1450">
        <f t="shared" si="37"/>
        <v>0</v>
      </c>
      <c r="AF128" s="1043"/>
      <c r="AH128" s="1004">
        <f t="shared" si="19"/>
        <v>7648146.96</v>
      </c>
      <c r="AP128" s="976">
        <f>AH128</f>
        <v>7648146.96</v>
      </c>
      <c r="AU128" s="1019">
        <f t="shared" si="38"/>
        <v>7648146.96</v>
      </c>
    </row>
    <row r="129" spans="1:47">
      <c r="A129" s="841"/>
      <c r="B129" s="841"/>
      <c r="C129" s="859" t="s">
        <v>824</v>
      </c>
      <c r="D129" s="843"/>
      <c r="E129" s="844">
        <f>SUM(D130:D132)</f>
        <v>18492000</v>
      </c>
      <c r="F129" s="330"/>
      <c r="G129" s="1382"/>
      <c r="H129" s="844">
        <v>7565000</v>
      </c>
      <c r="I129" s="1392"/>
      <c r="J129" s="844">
        <f>SUM(I130:I132)</f>
        <v>2070520</v>
      </c>
      <c r="K129" s="1384"/>
      <c r="L129" s="844">
        <f>SUM(K130:K132)</f>
        <v>9635520</v>
      </c>
      <c r="M129" s="1355">
        <f>L129/E129</f>
        <v>0.52106424399740425</v>
      </c>
      <c r="N129" s="1382"/>
      <c r="O129" s="844">
        <f>SUM(N130:N132)</f>
        <v>8856480</v>
      </c>
      <c r="P129" s="840">
        <v>0.47893575600259569</v>
      </c>
      <c r="R129" s="425">
        <v>0</v>
      </c>
      <c r="T129" s="844">
        <f t="shared" si="32"/>
        <v>18492000</v>
      </c>
      <c r="V129" s="1374">
        <v>7565000</v>
      </c>
      <c r="X129" s="903">
        <f t="shared" si="17"/>
        <v>10927000</v>
      </c>
      <c r="Z129" s="1352">
        <f t="shared" si="18"/>
        <v>0</v>
      </c>
      <c r="AA129" s="1352">
        <f>(X129-Z129)*0.5</f>
        <v>5463500</v>
      </c>
      <c r="AB129" s="1449">
        <f t="shared" si="36"/>
        <v>5463500</v>
      </c>
      <c r="AD129" s="1450">
        <f t="shared" si="37"/>
        <v>5463500</v>
      </c>
      <c r="AF129" s="1043"/>
      <c r="AH129" s="1004">
        <f t="shared" si="19"/>
        <v>18492000</v>
      </c>
      <c r="AO129" s="976">
        <f>AH129</f>
        <v>18492000</v>
      </c>
      <c r="AP129" s="976"/>
      <c r="AU129" s="1019">
        <f t="shared" si="38"/>
        <v>18492000</v>
      </c>
    </row>
    <row r="130" spans="1:47" hidden="1" outlineLevel="1">
      <c r="A130" s="841">
        <v>8600</v>
      </c>
      <c r="B130" s="841"/>
      <c r="C130" s="859" t="s">
        <v>824</v>
      </c>
      <c r="D130" s="843">
        <v>16770944</v>
      </c>
      <c r="E130" s="844"/>
      <c r="F130" s="330"/>
      <c r="G130" s="1382">
        <v>7565000</v>
      </c>
      <c r="H130" s="844"/>
      <c r="I130" s="1383">
        <v>2070520</v>
      </c>
      <c r="J130" s="844"/>
      <c r="K130" s="1384">
        <f>G130+I130</f>
        <v>9635520</v>
      </c>
      <c r="L130" s="844"/>
      <c r="M130" s="330"/>
      <c r="N130" s="1382">
        <f>D130-K130</f>
        <v>7135424</v>
      </c>
      <c r="O130" s="844"/>
      <c r="R130" s="425">
        <v>0</v>
      </c>
      <c r="T130" s="844">
        <f t="shared" si="32"/>
        <v>0</v>
      </c>
      <c r="V130" s="1374"/>
      <c r="X130" s="903">
        <f t="shared" si="17"/>
        <v>0</v>
      </c>
      <c r="Z130" s="1352">
        <f t="shared" si="18"/>
        <v>0</v>
      </c>
      <c r="AA130" s="1352"/>
      <c r="AB130" s="1449">
        <f t="shared" si="36"/>
        <v>0</v>
      </c>
      <c r="AD130" s="1450">
        <f t="shared" si="37"/>
        <v>0</v>
      </c>
      <c r="AF130" s="1043"/>
      <c r="AH130" s="1004">
        <f t="shared" si="19"/>
        <v>0</v>
      </c>
      <c r="AU130" s="1019">
        <f t="shared" si="38"/>
        <v>0</v>
      </c>
    </row>
    <row r="131" spans="1:47" hidden="1" outlineLevel="1">
      <c r="A131" s="841"/>
      <c r="B131" s="841"/>
      <c r="C131" s="859"/>
      <c r="D131" s="843"/>
      <c r="E131" s="844"/>
      <c r="F131" s="330"/>
      <c r="G131" s="1382"/>
      <c r="H131" s="844"/>
      <c r="I131" s="1383"/>
      <c r="J131" s="844"/>
      <c r="K131" s="1384"/>
      <c r="L131" s="844"/>
      <c r="M131" s="330"/>
      <c r="N131" s="1382"/>
      <c r="O131" s="844"/>
      <c r="R131" s="425">
        <v>0</v>
      </c>
      <c r="T131" s="844">
        <f t="shared" si="32"/>
        <v>0</v>
      </c>
      <c r="V131" s="1374"/>
      <c r="X131" s="903">
        <f t="shared" si="17"/>
        <v>0</v>
      </c>
      <c r="Z131" s="1352">
        <f t="shared" si="18"/>
        <v>0</v>
      </c>
      <c r="AA131" s="1352"/>
      <c r="AB131" s="1449">
        <f t="shared" si="36"/>
        <v>0</v>
      </c>
      <c r="AD131" s="1450">
        <f t="shared" si="37"/>
        <v>0</v>
      </c>
      <c r="AF131" s="1043"/>
      <c r="AH131" s="1004">
        <f t="shared" si="19"/>
        <v>0</v>
      </c>
      <c r="AU131" s="1019">
        <f t="shared" si="38"/>
        <v>0</v>
      </c>
    </row>
    <row r="132" spans="1:47" hidden="1" outlineLevel="1">
      <c r="A132" s="841">
        <v>8600</v>
      </c>
      <c r="B132" s="846"/>
      <c r="C132" s="876" t="s">
        <v>722</v>
      </c>
      <c r="D132" s="843">
        <v>1721056</v>
      </c>
      <c r="E132" s="844"/>
      <c r="F132" s="330"/>
      <c r="G132" s="1382"/>
      <c r="H132" s="844"/>
      <c r="I132" s="1383"/>
      <c r="J132" s="844"/>
      <c r="K132" s="1384">
        <f>G132+I132</f>
        <v>0</v>
      </c>
      <c r="L132" s="844"/>
      <c r="M132" s="330"/>
      <c r="N132" s="1382">
        <f>D132-K132</f>
        <v>1721056</v>
      </c>
      <c r="O132" s="844"/>
      <c r="R132" s="425">
        <v>0</v>
      </c>
      <c r="T132" s="844">
        <f t="shared" si="32"/>
        <v>0</v>
      </c>
      <c r="V132" s="1374"/>
      <c r="X132" s="903">
        <f t="shared" si="17"/>
        <v>0</v>
      </c>
      <c r="Z132" s="1352">
        <f t="shared" si="18"/>
        <v>0</v>
      </c>
      <c r="AA132" s="1352"/>
      <c r="AB132" s="1449">
        <f t="shared" si="36"/>
        <v>0</v>
      </c>
      <c r="AD132" s="1450">
        <f t="shared" si="37"/>
        <v>0</v>
      </c>
      <c r="AF132" s="1043"/>
      <c r="AH132" s="1004">
        <f t="shared" si="19"/>
        <v>0</v>
      </c>
      <c r="AU132" s="1019">
        <f t="shared" si="38"/>
        <v>0</v>
      </c>
    </row>
    <row r="133" spans="1:47" collapsed="1">
      <c r="A133" s="841"/>
      <c r="B133" s="841"/>
      <c r="C133" s="859" t="s">
        <v>1148</v>
      </c>
      <c r="D133" s="843"/>
      <c r="E133" s="844">
        <f>SUM(D134:D137)</f>
        <v>23527615.280000001</v>
      </c>
      <c r="F133" s="330"/>
      <c r="G133" s="1382"/>
      <c r="H133" s="844">
        <f>SUM(G134:G138)</f>
        <v>19055696.460000001</v>
      </c>
      <c r="I133" s="1392"/>
      <c r="J133" s="844">
        <f>SUM(I134:I138)</f>
        <v>5418226.8600000003</v>
      </c>
      <c r="K133" s="1384"/>
      <c r="L133" s="844">
        <f>SUM(K134:K137)</f>
        <v>24473923.32</v>
      </c>
      <c r="M133" s="1355">
        <f>L133/E133</f>
        <v>1.0402211626098978</v>
      </c>
      <c r="N133" s="1382"/>
      <c r="O133" s="844">
        <f>SUM(N134:N137)</f>
        <v>-946308.03999999817</v>
      </c>
      <c r="P133" s="840">
        <v>-4.0221162609897887E-2</v>
      </c>
      <c r="R133" s="425">
        <v>-4000000</v>
      </c>
      <c r="T133" s="844">
        <f t="shared" si="32"/>
        <v>19527615.280000001</v>
      </c>
      <c r="V133" s="1374">
        <v>18380854.789999999</v>
      </c>
      <c r="X133" s="903">
        <f t="shared" si="17"/>
        <v>1146760.4900000021</v>
      </c>
      <c r="Z133" s="1352">
        <f t="shared" si="18"/>
        <v>674841.67000000179</v>
      </c>
      <c r="AA133" s="1352">
        <f>X133-Z133</f>
        <v>471918.8200000003</v>
      </c>
      <c r="AB133" s="1449">
        <f t="shared" si="36"/>
        <v>1146760.4900000021</v>
      </c>
      <c r="AD133" s="1450">
        <f t="shared" si="37"/>
        <v>0</v>
      </c>
      <c r="AF133" s="1043"/>
      <c r="AH133" s="1004">
        <f t="shared" si="19"/>
        <v>19527615.280000001</v>
      </c>
      <c r="AO133" s="976">
        <f>AH133</f>
        <v>19527615.280000001</v>
      </c>
      <c r="AP133" s="976"/>
      <c r="AU133" s="1019">
        <f t="shared" si="38"/>
        <v>19527615.280000001</v>
      </c>
    </row>
    <row r="134" spans="1:47" ht="14.1" hidden="1" customHeight="1" outlineLevel="1">
      <c r="A134" s="841">
        <v>8700</v>
      </c>
      <c r="B134" s="841"/>
      <c r="C134" s="859" t="s">
        <v>463</v>
      </c>
      <c r="D134" s="970">
        <f>23078673.28-D135</f>
        <v>5641948.8300000019</v>
      </c>
      <c r="E134" s="844"/>
      <c r="F134" s="330"/>
      <c r="G134" s="1382">
        <v>5317860.28</v>
      </c>
      <c r="H134" s="844"/>
      <c r="I134" s="1383">
        <v>0</v>
      </c>
      <c r="J134" s="844"/>
      <c r="K134" s="1384">
        <f>G134+I134</f>
        <v>5317860.28</v>
      </c>
      <c r="L134" s="844"/>
      <c r="M134" s="330"/>
      <c r="N134" s="1382">
        <f>D134-K134</f>
        <v>324088.55000000168</v>
      </c>
      <c r="O134" s="844"/>
      <c r="R134" s="425">
        <v>0</v>
      </c>
      <c r="T134" s="844">
        <f t="shared" ref="T134:T168" si="39">E134+R134</f>
        <v>0</v>
      </c>
      <c r="V134" s="1374"/>
      <c r="X134" s="903">
        <f t="shared" si="17"/>
        <v>0</v>
      </c>
      <c r="Z134" s="1352">
        <f t="shared" si="18"/>
        <v>0</v>
      </c>
      <c r="AA134" s="1352"/>
      <c r="AB134" s="1449">
        <f t="shared" si="36"/>
        <v>0</v>
      </c>
      <c r="AD134" s="1450">
        <f t="shared" si="37"/>
        <v>0</v>
      </c>
      <c r="AF134" s="1043"/>
      <c r="AH134" s="1004">
        <f t="shared" si="19"/>
        <v>0</v>
      </c>
      <c r="AU134" s="1019">
        <f t="shared" si="38"/>
        <v>0</v>
      </c>
    </row>
    <row r="135" spans="1:47" ht="14.1" hidden="1" customHeight="1" outlineLevel="1">
      <c r="A135" s="841">
        <v>8710</v>
      </c>
      <c r="B135" s="841"/>
      <c r="C135" s="859" t="s">
        <v>1149</v>
      </c>
      <c r="D135" s="970">
        <v>17436724.449999999</v>
      </c>
      <c r="E135" s="844"/>
      <c r="F135" s="330"/>
      <c r="G135" s="1382">
        <v>13578894.18</v>
      </c>
      <c r="H135" s="844"/>
      <c r="I135" s="1383">
        <v>5418226.8600000003</v>
      </c>
      <c r="J135" s="844"/>
      <c r="K135" s="1393">
        <f>G135+I135</f>
        <v>18997121.039999999</v>
      </c>
      <c r="L135" s="844"/>
      <c r="M135" s="330"/>
      <c r="N135" s="1382">
        <f>D135-K135</f>
        <v>-1560396.5899999999</v>
      </c>
      <c r="O135" s="844"/>
      <c r="R135" s="425">
        <v>0</v>
      </c>
      <c r="T135" s="844">
        <f t="shared" si="39"/>
        <v>0</v>
      </c>
      <c r="V135" s="1374"/>
      <c r="X135" s="903">
        <f t="shared" ref="X135:X170" si="40">T135-V135</f>
        <v>0</v>
      </c>
      <c r="Z135" s="1352">
        <f t="shared" ref="Z135:Z170" si="41">H135-V135</f>
        <v>0</v>
      </c>
      <c r="AA135" s="1352"/>
      <c r="AB135" s="1449">
        <f t="shared" si="36"/>
        <v>0</v>
      </c>
      <c r="AD135" s="1450">
        <f t="shared" si="37"/>
        <v>0</v>
      </c>
      <c r="AF135" s="1043"/>
      <c r="AH135" s="1004">
        <f t="shared" ref="AH135:AH170" si="42">T135+AF135</f>
        <v>0</v>
      </c>
      <c r="AU135" s="1019">
        <f t="shared" si="38"/>
        <v>0</v>
      </c>
    </row>
    <row r="136" spans="1:47" ht="14.1" hidden="1" customHeight="1" outlineLevel="1">
      <c r="A136" s="841">
        <v>8720</v>
      </c>
      <c r="B136" s="846"/>
      <c r="C136" s="849" t="s">
        <v>723</v>
      </c>
      <c r="D136" s="843">
        <v>298400</v>
      </c>
      <c r="E136" s="844"/>
      <c r="F136" s="330"/>
      <c r="G136" s="1382">
        <v>8400</v>
      </c>
      <c r="H136" s="844"/>
      <c r="I136" s="1383">
        <v>0</v>
      </c>
      <c r="J136" s="844"/>
      <c r="K136" s="1384">
        <f>G136+I136</f>
        <v>8400</v>
      </c>
      <c r="L136" s="844"/>
      <c r="M136" s="330"/>
      <c r="N136" s="1382">
        <f>D136-K136</f>
        <v>290000</v>
      </c>
      <c r="O136" s="844"/>
      <c r="R136" s="425">
        <v>0</v>
      </c>
      <c r="T136" s="844">
        <f t="shared" si="39"/>
        <v>0</v>
      </c>
      <c r="V136" s="1374"/>
      <c r="X136" s="903">
        <f t="shared" si="40"/>
        <v>0</v>
      </c>
      <c r="Z136" s="1352">
        <f t="shared" si="41"/>
        <v>0</v>
      </c>
      <c r="AA136" s="1352"/>
      <c r="AB136" s="1449">
        <f t="shared" si="36"/>
        <v>0</v>
      </c>
      <c r="AD136" s="1450">
        <f t="shared" si="37"/>
        <v>0</v>
      </c>
      <c r="AF136" s="1043"/>
      <c r="AH136" s="1004">
        <f t="shared" si="42"/>
        <v>0</v>
      </c>
      <c r="AU136" s="1019">
        <f t="shared" si="38"/>
        <v>0</v>
      </c>
    </row>
    <row r="137" spans="1:47" hidden="1" outlineLevel="1">
      <c r="A137" s="841">
        <v>8750</v>
      </c>
      <c r="B137" s="841"/>
      <c r="C137" s="859" t="s">
        <v>464</v>
      </c>
      <c r="D137" s="843">
        <v>150542</v>
      </c>
      <c r="E137" s="844"/>
      <c r="F137" s="330"/>
      <c r="G137" s="1382">
        <v>150542</v>
      </c>
      <c r="H137" s="844"/>
      <c r="I137" s="1383">
        <v>0</v>
      </c>
      <c r="J137" s="844"/>
      <c r="K137" s="1384">
        <f>G137+I137</f>
        <v>150542</v>
      </c>
      <c r="L137" s="844"/>
      <c r="M137" s="330"/>
      <c r="N137" s="1382">
        <f>D137-K137</f>
        <v>0</v>
      </c>
      <c r="O137" s="844"/>
      <c r="R137" s="425">
        <v>0</v>
      </c>
      <c r="T137" s="844">
        <f t="shared" si="39"/>
        <v>0</v>
      </c>
      <c r="V137" s="1374"/>
      <c r="X137" s="903">
        <f t="shared" si="40"/>
        <v>0</v>
      </c>
      <c r="Z137" s="1352">
        <f t="shared" si="41"/>
        <v>0</v>
      </c>
      <c r="AA137" s="1352"/>
      <c r="AB137" s="1449">
        <f t="shared" si="36"/>
        <v>0</v>
      </c>
      <c r="AD137" s="1450">
        <f t="shared" si="37"/>
        <v>0</v>
      </c>
      <c r="AF137" s="1043"/>
      <c r="AH137" s="1004">
        <f t="shared" si="42"/>
        <v>0</v>
      </c>
      <c r="AU137" s="1019">
        <f t="shared" si="38"/>
        <v>0</v>
      </c>
    </row>
    <row r="138" spans="1:47" hidden="1" outlineLevel="1">
      <c r="A138" s="841">
        <v>8800</v>
      </c>
      <c r="B138" s="841"/>
      <c r="C138" s="859" t="s">
        <v>465</v>
      </c>
      <c r="D138" s="843"/>
      <c r="E138" s="844"/>
      <c r="F138" s="330"/>
      <c r="G138" s="1382">
        <v>0</v>
      </c>
      <c r="H138" s="844"/>
      <c r="I138" s="1383">
        <v>0</v>
      </c>
      <c r="J138" s="844"/>
      <c r="K138" s="1384">
        <f>G138+I138</f>
        <v>0</v>
      </c>
      <c r="L138" s="844"/>
      <c r="M138" s="330"/>
      <c r="N138" s="1382">
        <f>D138-K138</f>
        <v>0</v>
      </c>
      <c r="O138" s="844"/>
      <c r="R138" s="425">
        <v>0</v>
      </c>
      <c r="T138" s="844">
        <f t="shared" si="39"/>
        <v>0</v>
      </c>
      <c r="V138" s="1374"/>
      <c r="X138" s="903">
        <f t="shared" si="40"/>
        <v>0</v>
      </c>
      <c r="Z138" s="1352">
        <f t="shared" si="41"/>
        <v>0</v>
      </c>
      <c r="AA138" s="1352"/>
      <c r="AB138" s="1449">
        <f t="shared" si="36"/>
        <v>0</v>
      </c>
      <c r="AD138" s="1450">
        <f t="shared" si="37"/>
        <v>0</v>
      </c>
      <c r="AF138" s="1043"/>
      <c r="AH138" s="1004">
        <f t="shared" si="42"/>
        <v>0</v>
      </c>
      <c r="AU138" s="1019">
        <f t="shared" si="38"/>
        <v>0</v>
      </c>
    </row>
    <row r="139" spans="1:47" collapsed="1">
      <c r="A139" s="841">
        <v>8850</v>
      </c>
      <c r="B139" s="841"/>
      <c r="C139" s="859" t="s">
        <v>466</v>
      </c>
      <c r="D139" s="843"/>
      <c r="E139" s="844">
        <v>14114406.280000001</v>
      </c>
      <c r="F139" s="330"/>
      <c r="G139" s="1382"/>
      <c r="H139" s="844">
        <v>13988343.48</v>
      </c>
      <c r="I139" s="1383"/>
      <c r="J139" s="844"/>
      <c r="K139" s="1384"/>
      <c r="L139" s="844">
        <f>H139+J139</f>
        <v>13988343.48</v>
      </c>
      <c r="M139" s="1355">
        <f>L139/E139</f>
        <v>0.99106850139501579</v>
      </c>
      <c r="N139" s="1382"/>
      <c r="O139" s="844">
        <f>E139-L139</f>
        <v>126062.80000000075</v>
      </c>
      <c r="P139" s="840">
        <v>8.9314986049842358E-3</v>
      </c>
      <c r="R139" s="425">
        <v>-126062.80000000075</v>
      </c>
      <c r="T139" s="844">
        <f t="shared" si="39"/>
        <v>13988343.48</v>
      </c>
      <c r="V139" s="1374">
        <v>13988343.48</v>
      </c>
      <c r="X139" s="903">
        <f t="shared" si="40"/>
        <v>0</v>
      </c>
      <c r="Z139" s="1352">
        <f t="shared" si="41"/>
        <v>0</v>
      </c>
      <c r="AA139" s="1352">
        <f>X139-Z139</f>
        <v>0</v>
      </c>
      <c r="AB139" s="1449">
        <f t="shared" si="36"/>
        <v>0</v>
      </c>
      <c r="AD139" s="1450">
        <f t="shared" si="37"/>
        <v>0</v>
      </c>
      <c r="AF139" s="1043"/>
      <c r="AH139" s="1004">
        <f t="shared" si="42"/>
        <v>13988343.48</v>
      </c>
      <c r="AR139" s="976">
        <f>AH139</f>
        <v>13988343.48</v>
      </c>
      <c r="AU139" s="1019">
        <f t="shared" si="38"/>
        <v>13988343.48</v>
      </c>
    </row>
    <row r="140" spans="1:47" hidden="1" outlineLevel="1">
      <c r="A140" s="841">
        <v>8900</v>
      </c>
      <c r="B140" s="841"/>
      <c r="C140" s="859" t="s">
        <v>467</v>
      </c>
      <c r="D140" s="843"/>
      <c r="E140" s="844"/>
      <c r="F140" s="330"/>
      <c r="G140" s="1382"/>
      <c r="H140" s="844"/>
      <c r="I140" s="1392"/>
      <c r="J140" s="844"/>
      <c r="K140" s="1384">
        <f>G140+I140</f>
        <v>0</v>
      </c>
      <c r="L140" s="844"/>
      <c r="M140" s="330"/>
      <c r="N140" s="1382">
        <f>D140-K140</f>
        <v>0</v>
      </c>
      <c r="O140" s="844"/>
      <c r="R140" s="425"/>
      <c r="T140" s="844">
        <f t="shared" si="39"/>
        <v>0</v>
      </c>
      <c r="V140" s="1374"/>
      <c r="X140" s="903">
        <f t="shared" si="40"/>
        <v>0</v>
      </c>
      <c r="Z140" s="1352">
        <f t="shared" si="41"/>
        <v>0</v>
      </c>
      <c r="AA140" s="1352"/>
      <c r="AB140" s="1449"/>
      <c r="AD140" s="1450"/>
      <c r="AF140" s="1043"/>
      <c r="AH140" s="1004">
        <f t="shared" si="42"/>
        <v>0</v>
      </c>
      <c r="AU140" s="1018"/>
    </row>
    <row r="141" spans="1:47" hidden="1" outlineLevel="1">
      <c r="A141" s="841">
        <v>8950</v>
      </c>
      <c r="B141" s="841"/>
      <c r="C141" s="859" t="s">
        <v>468</v>
      </c>
      <c r="D141" s="843"/>
      <c r="E141" s="844"/>
      <c r="F141" s="330"/>
      <c r="G141" s="1382"/>
      <c r="H141" s="844"/>
      <c r="I141" s="1392"/>
      <c r="J141" s="844"/>
      <c r="K141" s="1384">
        <f>G141+I141</f>
        <v>0</v>
      </c>
      <c r="L141" s="844"/>
      <c r="M141" s="330"/>
      <c r="N141" s="1382">
        <f>D141-K141</f>
        <v>0</v>
      </c>
      <c r="O141" s="844"/>
      <c r="R141" s="425"/>
      <c r="T141" s="844">
        <f t="shared" si="39"/>
        <v>0</v>
      </c>
      <c r="V141" s="1374"/>
      <c r="X141" s="903">
        <f t="shared" si="40"/>
        <v>0</v>
      </c>
      <c r="Z141" s="1352">
        <f t="shared" si="41"/>
        <v>0</v>
      </c>
      <c r="AA141" s="1352"/>
      <c r="AB141" s="1449"/>
      <c r="AD141" s="1450"/>
      <c r="AF141" s="1043"/>
      <c r="AH141" s="1004">
        <f t="shared" si="42"/>
        <v>0</v>
      </c>
      <c r="AU141" s="1018"/>
    </row>
    <row r="142" spans="1:47" ht="9.75" customHeight="1" collapsed="1">
      <c r="A142" s="841"/>
      <c r="B142" s="841"/>
      <c r="C142" s="877"/>
      <c r="D142" s="852"/>
      <c r="E142" s="838"/>
      <c r="F142" s="330"/>
      <c r="G142" s="1378"/>
      <c r="H142" s="838"/>
      <c r="I142" s="1385"/>
      <c r="J142" s="838"/>
      <c r="K142" s="1386"/>
      <c r="L142" s="838"/>
      <c r="M142" s="1356"/>
      <c r="N142" s="1378"/>
      <c r="O142" s="838"/>
      <c r="R142" s="991"/>
      <c r="T142" s="838">
        <f t="shared" si="39"/>
        <v>0</v>
      </c>
      <c r="V142" s="1379"/>
      <c r="X142" s="904">
        <f t="shared" si="40"/>
        <v>0</v>
      </c>
      <c r="Z142" s="1350">
        <f t="shared" si="41"/>
        <v>0</v>
      </c>
      <c r="AA142" s="1350"/>
      <c r="AB142" s="1447"/>
      <c r="AD142" s="1448"/>
      <c r="AF142" s="1043"/>
      <c r="AH142" s="1003">
        <f t="shared" si="42"/>
        <v>0</v>
      </c>
      <c r="AU142" s="1018"/>
    </row>
    <row r="143" spans="1:47">
      <c r="A143" s="841"/>
      <c r="B143" s="841"/>
      <c r="C143" s="878" t="s">
        <v>1150</v>
      </c>
      <c r="D143" s="843"/>
      <c r="E143" s="855">
        <f>SUM(E123:E141)</f>
        <v>128550986.08999999</v>
      </c>
      <c r="F143" s="330"/>
      <c r="G143" s="1382"/>
      <c r="H143" s="855">
        <f>SUM(H123:H141)</f>
        <v>98478424.640000015</v>
      </c>
      <c r="I143" s="1392"/>
      <c r="J143" s="855">
        <f>SUM(J123:J141)</f>
        <v>15388074.399999999</v>
      </c>
      <c r="K143" s="1384"/>
      <c r="L143" s="855">
        <f>SUM(L123:L141)</f>
        <v>113866499.04000001</v>
      </c>
      <c r="M143" s="1355">
        <f>L143/E143</f>
        <v>0.88576916057478383</v>
      </c>
      <c r="N143" s="1382"/>
      <c r="O143" s="855">
        <f>SUM(O123:O141)</f>
        <v>14684487.049999997</v>
      </c>
      <c r="P143" s="840">
        <v>0.11423083942521625</v>
      </c>
      <c r="R143" s="992">
        <f>SUM(R123:R141)</f>
        <v>-3857544.6900000004</v>
      </c>
      <c r="T143" s="855">
        <f t="shared" si="39"/>
        <v>124693441.39999999</v>
      </c>
      <c r="V143" s="1388">
        <f>SUM(V123:V141)</f>
        <v>97189301.230000004</v>
      </c>
      <c r="X143" s="905">
        <f t="shared" si="40"/>
        <v>27504140.169999987</v>
      </c>
      <c r="Z143" s="1354">
        <f t="shared" si="41"/>
        <v>1289123.4100000113</v>
      </c>
      <c r="AA143" s="1354">
        <f>SUM(AA123:AA141)</f>
        <v>13542026.794999996</v>
      </c>
      <c r="AB143" s="1451">
        <f>SUM(AB123:AB141)</f>
        <v>14831150.204999998</v>
      </c>
      <c r="AD143" s="1452">
        <f>SUM(AD123:AD141)</f>
        <v>12672989.964999996</v>
      </c>
      <c r="AF143" s="1044">
        <f>SUM(AF123:AF141)</f>
        <v>0</v>
      </c>
      <c r="AH143" s="1005">
        <f t="shared" si="42"/>
        <v>124693441.39999999</v>
      </c>
      <c r="AK143" s="1014">
        <f t="shared" ref="AK143:AS143" si="43">SUM(AK123:AK141)</f>
        <v>0</v>
      </c>
      <c r="AL143" s="1014">
        <f t="shared" si="43"/>
        <v>0</v>
      </c>
      <c r="AM143" s="1014">
        <f t="shared" si="43"/>
        <v>65037335.68</v>
      </c>
      <c r="AN143" s="1014">
        <f t="shared" si="43"/>
        <v>0</v>
      </c>
      <c r="AO143" s="1014">
        <f t="shared" si="43"/>
        <v>38019615.280000001</v>
      </c>
      <c r="AP143" s="1014">
        <f t="shared" si="43"/>
        <v>7648146.96</v>
      </c>
      <c r="AQ143" s="1014">
        <f t="shared" si="43"/>
        <v>0</v>
      </c>
      <c r="AR143" s="1014">
        <f t="shared" si="43"/>
        <v>13988343.48</v>
      </c>
      <c r="AS143" s="1014">
        <f t="shared" si="43"/>
        <v>0</v>
      </c>
      <c r="AU143" s="1020">
        <f>SUM(AU123:AU141)</f>
        <v>124693441.40000001</v>
      </c>
    </row>
    <row r="144" spans="1:47">
      <c r="A144" s="845"/>
      <c r="B144" s="845"/>
      <c r="C144" s="864"/>
      <c r="D144" s="843"/>
      <c r="E144" s="844"/>
      <c r="F144" s="330"/>
      <c r="G144" s="1382"/>
      <c r="H144" s="844"/>
      <c r="I144" s="1392"/>
      <c r="J144" s="844"/>
      <c r="K144" s="1384"/>
      <c r="L144" s="844"/>
      <c r="M144" s="330"/>
      <c r="N144" s="1382"/>
      <c r="O144" s="844"/>
      <c r="R144" s="425"/>
      <c r="T144" s="844">
        <f t="shared" si="39"/>
        <v>0</v>
      </c>
      <c r="V144" s="1374"/>
      <c r="X144" s="903">
        <f t="shared" si="40"/>
        <v>0</v>
      </c>
      <c r="Z144" s="1352">
        <f t="shared" si="41"/>
        <v>0</v>
      </c>
      <c r="AA144" s="1352"/>
      <c r="AB144" s="1449"/>
      <c r="AD144" s="1450"/>
      <c r="AF144" s="1043"/>
      <c r="AH144" s="1004">
        <f t="shared" si="42"/>
        <v>0</v>
      </c>
      <c r="AU144" s="1018"/>
    </row>
    <row r="145" spans="1:47">
      <c r="A145" s="294"/>
      <c r="B145" s="833" t="s">
        <v>1151</v>
      </c>
      <c r="C145" s="875"/>
      <c r="D145" s="843"/>
      <c r="E145" s="844"/>
      <c r="F145" s="330"/>
      <c r="G145" s="1382"/>
      <c r="H145" s="844"/>
      <c r="I145" s="1392"/>
      <c r="J145" s="844"/>
      <c r="K145" s="1384"/>
      <c r="L145" s="844"/>
      <c r="M145" s="330"/>
      <c r="N145" s="1382"/>
      <c r="O145" s="844"/>
      <c r="R145" s="425"/>
      <c r="T145" s="844">
        <f t="shared" si="39"/>
        <v>0</v>
      </c>
      <c r="V145" s="1374"/>
      <c r="X145" s="903">
        <f t="shared" si="40"/>
        <v>0</v>
      </c>
      <c r="Z145" s="1352">
        <f t="shared" si="41"/>
        <v>0</v>
      </c>
      <c r="AA145" s="1352"/>
      <c r="AB145" s="1449"/>
      <c r="AD145" s="1450"/>
      <c r="AF145" s="1043"/>
      <c r="AH145" s="1004">
        <f t="shared" si="42"/>
        <v>0</v>
      </c>
      <c r="AU145" s="1018"/>
    </row>
    <row r="146" spans="1:47">
      <c r="A146" s="841">
        <v>9920</v>
      </c>
      <c r="B146" s="294"/>
      <c r="C146" s="879" t="s">
        <v>469</v>
      </c>
      <c r="D146" s="852"/>
      <c r="E146" s="838">
        <v>4829746.88</v>
      </c>
      <c r="F146" s="330"/>
      <c r="G146" s="1378"/>
      <c r="H146" s="838">
        <f>4065521.88+29380</f>
        <v>4094901.88</v>
      </c>
      <c r="I146" s="1385"/>
      <c r="J146" s="838">
        <v>64225</v>
      </c>
      <c r="K146" s="1386"/>
      <c r="L146" s="838">
        <f>H146+J146</f>
        <v>4159126.88</v>
      </c>
      <c r="M146" s="1351">
        <f>L146/E146</f>
        <v>0.861148002853516</v>
      </c>
      <c r="N146" s="1378"/>
      <c r="O146" s="838">
        <f>E146-L146</f>
        <v>670620</v>
      </c>
      <c r="P146" s="840">
        <v>0.138851997146484</v>
      </c>
      <c r="R146" s="991"/>
      <c r="T146" s="838">
        <f t="shared" si="39"/>
        <v>4829746.88</v>
      </c>
      <c r="V146" s="1379">
        <v>4065521.88</v>
      </c>
      <c r="X146" s="904">
        <f t="shared" si="40"/>
        <v>764225</v>
      </c>
      <c r="Z146" s="1350">
        <f t="shared" si="41"/>
        <v>29380</v>
      </c>
      <c r="AA146" s="1350">
        <f>X146-Z146</f>
        <v>734845</v>
      </c>
      <c r="AB146" s="1447">
        <f>Z146+AA146</f>
        <v>764225</v>
      </c>
      <c r="AD146" s="1448">
        <f t="shared" ref="AD146" si="44">X146-AB146</f>
        <v>0</v>
      </c>
      <c r="AF146" s="1043"/>
      <c r="AH146" s="1003">
        <f t="shared" si="42"/>
        <v>4829746.88</v>
      </c>
      <c r="AL146" s="976">
        <f>AH146</f>
        <v>4829746.88</v>
      </c>
      <c r="AU146" s="1019">
        <f>SUM(AK146:AT146)</f>
        <v>4829746.88</v>
      </c>
    </row>
    <row r="147" spans="1:47">
      <c r="A147" s="294"/>
      <c r="B147" s="294"/>
      <c r="C147" s="880" t="s">
        <v>1152</v>
      </c>
      <c r="D147" s="843"/>
      <c r="E147" s="855">
        <f>SUM(E146)</f>
        <v>4829746.88</v>
      </c>
      <c r="F147" s="330"/>
      <c r="G147" s="1382"/>
      <c r="H147" s="855">
        <f>SUM(H146)</f>
        <v>4094901.88</v>
      </c>
      <c r="I147" s="1392"/>
      <c r="J147" s="855">
        <f>SUM(J146)</f>
        <v>64225</v>
      </c>
      <c r="K147" s="1384"/>
      <c r="L147" s="855">
        <f>SUM(L146)</f>
        <v>4159126.88</v>
      </c>
      <c r="M147" s="330"/>
      <c r="N147" s="1382"/>
      <c r="O147" s="855">
        <f>SUM(O146)</f>
        <v>670620</v>
      </c>
      <c r="R147" s="992">
        <f>SUM(R146)</f>
        <v>0</v>
      </c>
      <c r="T147" s="855">
        <f t="shared" si="39"/>
        <v>4829746.88</v>
      </c>
      <c r="V147" s="1388">
        <f>SUM(V146)</f>
        <v>4065521.88</v>
      </c>
      <c r="X147" s="905">
        <f t="shared" si="40"/>
        <v>764225</v>
      </c>
      <c r="Z147" s="1354">
        <f t="shared" si="41"/>
        <v>29380</v>
      </c>
      <c r="AA147" s="1354">
        <f>SUM(AA146)</f>
        <v>734845</v>
      </c>
      <c r="AB147" s="1451">
        <f>SUM(AB146)</f>
        <v>764225</v>
      </c>
      <c r="AD147" s="1452">
        <f>SUM(AD146)</f>
        <v>0</v>
      </c>
      <c r="AF147" s="1044">
        <f>SUM(AF146)</f>
        <v>0</v>
      </c>
      <c r="AH147" s="1005">
        <f t="shared" si="42"/>
        <v>4829746.88</v>
      </c>
      <c r="AK147" s="1014">
        <f t="shared" ref="AK147:AS147" si="45">SUM(AK146)</f>
        <v>0</v>
      </c>
      <c r="AL147" s="1014">
        <f t="shared" si="45"/>
        <v>4829746.88</v>
      </c>
      <c r="AM147" s="1014">
        <f t="shared" si="45"/>
        <v>0</v>
      </c>
      <c r="AN147" s="1014">
        <f t="shared" si="45"/>
        <v>0</v>
      </c>
      <c r="AO147" s="1014">
        <f t="shared" si="45"/>
        <v>0</v>
      </c>
      <c r="AP147" s="1014">
        <f t="shared" si="45"/>
        <v>0</v>
      </c>
      <c r="AQ147" s="1014">
        <f t="shared" si="45"/>
        <v>0</v>
      </c>
      <c r="AR147" s="1014">
        <f t="shared" si="45"/>
        <v>0</v>
      </c>
      <c r="AS147" s="1014">
        <f t="shared" si="45"/>
        <v>0</v>
      </c>
      <c r="AU147" s="1020">
        <f>SUM(AU146)</f>
        <v>4829746.88</v>
      </c>
    </row>
    <row r="148" spans="1:47">
      <c r="A148" s="841"/>
      <c r="B148" s="841"/>
      <c r="C148" s="857"/>
      <c r="D148" s="881"/>
      <c r="E148" s="844"/>
      <c r="F148" s="330"/>
      <c r="G148" s="1395"/>
      <c r="H148" s="844"/>
      <c r="I148" s="1396"/>
      <c r="J148" s="844"/>
      <c r="K148" s="1397"/>
      <c r="L148" s="844"/>
      <c r="M148" s="330"/>
      <c r="N148" s="1395"/>
      <c r="O148" s="844"/>
      <c r="R148" s="425"/>
      <c r="T148" s="844">
        <f t="shared" si="39"/>
        <v>0</v>
      </c>
      <c r="V148" s="1374"/>
      <c r="X148" s="903">
        <f t="shared" si="40"/>
        <v>0</v>
      </c>
      <c r="Z148" s="1352">
        <f t="shared" si="41"/>
        <v>0</v>
      </c>
      <c r="AA148" s="1352"/>
      <c r="AB148" s="1449"/>
      <c r="AD148" s="1450"/>
      <c r="AF148" s="1043"/>
      <c r="AH148" s="1004">
        <f t="shared" si="42"/>
        <v>0</v>
      </c>
      <c r="AU148" s="1018"/>
    </row>
    <row r="149" spans="1:47">
      <c r="A149" s="294"/>
      <c r="B149" s="833" t="s">
        <v>1153</v>
      </c>
      <c r="C149" s="294"/>
      <c r="D149" s="843"/>
      <c r="E149" s="844"/>
      <c r="F149" s="330"/>
      <c r="G149" s="1382"/>
      <c r="H149" s="844"/>
      <c r="I149" s="1392"/>
      <c r="J149" s="844"/>
      <c r="K149" s="1384"/>
      <c r="L149" s="844"/>
      <c r="M149" s="330"/>
      <c r="N149" s="1382"/>
      <c r="O149" s="844"/>
      <c r="R149" s="425"/>
      <c r="T149" s="844">
        <f t="shared" si="39"/>
        <v>0</v>
      </c>
      <c r="V149" s="1374"/>
      <c r="X149" s="903">
        <f t="shared" si="40"/>
        <v>0</v>
      </c>
      <c r="Z149" s="1352">
        <f t="shared" si="41"/>
        <v>0</v>
      </c>
      <c r="AA149" s="1352"/>
      <c r="AB149" s="1449"/>
      <c r="AD149" s="1450"/>
      <c r="AF149" s="1043"/>
      <c r="AH149" s="1004">
        <f t="shared" si="42"/>
        <v>0</v>
      </c>
      <c r="AU149" s="1018"/>
    </row>
    <row r="150" spans="1:47">
      <c r="A150" s="294"/>
      <c r="B150" s="833"/>
      <c r="C150" s="882" t="s">
        <v>1154</v>
      </c>
      <c r="D150" s="852"/>
      <c r="E150" s="838">
        <f>SUM(D151:D152)</f>
        <v>358397550</v>
      </c>
      <c r="F150" s="330"/>
      <c r="G150" s="1378"/>
      <c r="H150" s="838">
        <f>SUM(G151:G152)</f>
        <v>358397550</v>
      </c>
      <c r="I150" s="1385"/>
      <c r="J150" s="838">
        <f>SUM(I151:I152)</f>
        <v>0</v>
      </c>
      <c r="K150" s="1386"/>
      <c r="L150" s="838">
        <f>SUM(K151:K152)</f>
        <v>358397550</v>
      </c>
      <c r="M150" s="1351">
        <f>L150/E150</f>
        <v>1</v>
      </c>
      <c r="N150" s="1378"/>
      <c r="O150" s="838">
        <f>SUM(N151:N152)</f>
        <v>0</v>
      </c>
      <c r="P150" s="840">
        <v>0</v>
      </c>
      <c r="R150" s="991"/>
      <c r="T150" s="838">
        <f t="shared" si="39"/>
        <v>358397550</v>
      </c>
      <c r="V150" s="1379">
        <v>358397550</v>
      </c>
      <c r="X150" s="904">
        <f t="shared" si="40"/>
        <v>0</v>
      </c>
      <c r="Z150" s="1350">
        <f t="shared" si="41"/>
        <v>0</v>
      </c>
      <c r="AA150" s="1350">
        <f>X150-Z150</f>
        <v>0</v>
      </c>
      <c r="AB150" s="1447">
        <f>Z150+AA150</f>
        <v>0</v>
      </c>
      <c r="AD150" s="1448">
        <f t="shared" ref="AD150" si="46">X150-AB150</f>
        <v>0</v>
      </c>
      <c r="AF150" s="1043"/>
      <c r="AH150" s="1003">
        <f t="shared" si="42"/>
        <v>358397550</v>
      </c>
      <c r="AK150" s="976">
        <f>AH150</f>
        <v>358397550</v>
      </c>
      <c r="AU150" s="1019">
        <f>SUM(AK150:AT150)</f>
        <v>358397550</v>
      </c>
    </row>
    <row r="151" spans="1:47" hidden="1" outlineLevel="2">
      <c r="A151" s="294"/>
      <c r="B151" s="294"/>
      <c r="C151" s="294"/>
      <c r="D151" s="843">
        <v>342000000</v>
      </c>
      <c r="E151" s="844"/>
      <c r="F151" s="330"/>
      <c r="G151" s="1382">
        <v>342000000</v>
      </c>
      <c r="H151" s="844"/>
      <c r="I151" s="1383">
        <v>0</v>
      </c>
      <c r="J151" s="844"/>
      <c r="K151" s="1384">
        <f>G151+I151</f>
        <v>342000000</v>
      </c>
      <c r="L151" s="844"/>
      <c r="M151" s="1355"/>
      <c r="N151" s="1382">
        <f>D151-K151</f>
        <v>0</v>
      </c>
      <c r="O151" s="844"/>
      <c r="P151" s="840"/>
      <c r="R151" s="425"/>
      <c r="T151" s="844">
        <f t="shared" si="39"/>
        <v>0</v>
      </c>
      <c r="V151" s="1374"/>
      <c r="X151" s="903">
        <f t="shared" si="40"/>
        <v>0</v>
      </c>
      <c r="Z151" s="1352">
        <f t="shared" si="41"/>
        <v>0</v>
      </c>
      <c r="AA151" s="1352"/>
      <c r="AB151" s="1449"/>
      <c r="AD151" s="1450"/>
      <c r="AF151" s="1043"/>
      <c r="AH151" s="1004">
        <f t="shared" si="42"/>
        <v>0</v>
      </c>
      <c r="AU151" s="1018"/>
    </row>
    <row r="152" spans="1:47" hidden="1" outlineLevel="2">
      <c r="A152" s="294"/>
      <c r="B152" s="294"/>
      <c r="C152" s="294"/>
      <c r="D152" s="852">
        <v>16397550</v>
      </c>
      <c r="E152" s="838"/>
      <c r="F152" s="330"/>
      <c r="G152" s="1378">
        <v>16397550</v>
      </c>
      <c r="H152" s="838"/>
      <c r="I152" s="1394">
        <v>0</v>
      </c>
      <c r="J152" s="838"/>
      <c r="K152" s="1386">
        <f>G152+I152</f>
        <v>16397550</v>
      </c>
      <c r="L152" s="838"/>
      <c r="M152" s="1351"/>
      <c r="N152" s="1378">
        <f>D152-K152</f>
        <v>0</v>
      </c>
      <c r="O152" s="838"/>
      <c r="P152" s="840"/>
      <c r="R152" s="991"/>
      <c r="T152" s="838">
        <f t="shared" si="39"/>
        <v>0</v>
      </c>
      <c r="V152" s="1379"/>
      <c r="X152" s="904">
        <f t="shared" si="40"/>
        <v>0</v>
      </c>
      <c r="Z152" s="1350">
        <f t="shared" si="41"/>
        <v>0</v>
      </c>
      <c r="AA152" s="1350"/>
      <c r="AB152" s="1447"/>
      <c r="AD152" s="1448"/>
      <c r="AF152" s="1043"/>
      <c r="AH152" s="1003">
        <f t="shared" si="42"/>
        <v>0</v>
      </c>
      <c r="AU152" s="1018"/>
    </row>
    <row r="153" spans="1:47" collapsed="1">
      <c r="A153" s="294"/>
      <c r="B153" s="294"/>
      <c r="C153" s="883" t="s">
        <v>1155</v>
      </c>
      <c r="D153" s="843"/>
      <c r="E153" s="855">
        <f>SUM(E150:E152)</f>
        <v>358397550</v>
      </c>
      <c r="F153" s="330"/>
      <c r="G153" s="1382"/>
      <c r="H153" s="855">
        <f>SUM(H150:H152)</f>
        <v>358397550</v>
      </c>
      <c r="I153" s="1392"/>
      <c r="J153" s="855">
        <f>SUM(J150:J152)</f>
        <v>0</v>
      </c>
      <c r="K153" s="1384"/>
      <c r="L153" s="855">
        <f>SUM(L150:L152)</f>
        <v>358397550</v>
      </c>
      <c r="M153" s="1355">
        <f>L153/E153</f>
        <v>1</v>
      </c>
      <c r="N153" s="1382"/>
      <c r="O153" s="855">
        <f>SUM(O150:O152)</f>
        <v>0</v>
      </c>
      <c r="P153" s="840">
        <v>0</v>
      </c>
      <c r="R153" s="992">
        <f>SUM(R150:R152)</f>
        <v>0</v>
      </c>
      <c r="T153" s="855">
        <f t="shared" si="39"/>
        <v>358397550</v>
      </c>
      <c r="V153" s="1388">
        <f>SUM(V150:V152)</f>
        <v>358397550</v>
      </c>
      <c r="X153" s="905">
        <f t="shared" si="40"/>
        <v>0</v>
      </c>
      <c r="Z153" s="1354">
        <f t="shared" si="41"/>
        <v>0</v>
      </c>
      <c r="AA153" s="1354">
        <f>SUM(AA150:AA152)</f>
        <v>0</v>
      </c>
      <c r="AB153" s="1451">
        <f>SUM(AB150:AB152)</f>
        <v>0</v>
      </c>
      <c r="AD153" s="1452">
        <f>SUM(AD150:AD152)</f>
        <v>0</v>
      </c>
      <c r="AF153" s="1044">
        <f>SUM(AF150:AF152)</f>
        <v>0</v>
      </c>
      <c r="AH153" s="1005">
        <f t="shared" si="42"/>
        <v>358397550</v>
      </c>
      <c r="AK153" s="1014">
        <f t="shared" ref="AK153:AS153" si="47">SUM(AK150:AK152)</f>
        <v>358397550</v>
      </c>
      <c r="AL153" s="1014">
        <f t="shared" si="47"/>
        <v>0</v>
      </c>
      <c r="AM153" s="1014">
        <f t="shared" si="47"/>
        <v>0</v>
      </c>
      <c r="AN153" s="1014">
        <f t="shared" si="47"/>
        <v>0</v>
      </c>
      <c r="AO153" s="1014">
        <f t="shared" si="47"/>
        <v>0</v>
      </c>
      <c r="AP153" s="1014">
        <f t="shared" si="47"/>
        <v>0</v>
      </c>
      <c r="AQ153" s="1014">
        <f t="shared" si="47"/>
        <v>0</v>
      </c>
      <c r="AR153" s="1014">
        <f t="shared" si="47"/>
        <v>0</v>
      </c>
      <c r="AS153" s="1014">
        <f t="shared" si="47"/>
        <v>0</v>
      </c>
      <c r="AU153" s="1020">
        <f>SUM(AU150:AU152)</f>
        <v>358397550</v>
      </c>
    </row>
    <row r="154" spans="1:47">
      <c r="A154" s="841"/>
      <c r="B154" s="841"/>
      <c r="C154" s="841"/>
      <c r="D154" s="881"/>
      <c r="E154" s="844"/>
      <c r="F154" s="330"/>
      <c r="G154" s="1395"/>
      <c r="H154" s="844"/>
      <c r="I154" s="1396"/>
      <c r="J154" s="844"/>
      <c r="K154" s="1397"/>
      <c r="L154" s="844"/>
      <c r="M154" s="330"/>
      <c r="N154" s="1395"/>
      <c r="O154" s="844"/>
      <c r="R154" s="425"/>
      <c r="T154" s="844">
        <f t="shared" si="39"/>
        <v>0</v>
      </c>
      <c r="V154" s="1374"/>
      <c r="X154" s="903">
        <f t="shared" si="40"/>
        <v>0</v>
      </c>
      <c r="Z154" s="1352">
        <f t="shared" si="41"/>
        <v>0</v>
      </c>
      <c r="AA154" s="1352"/>
      <c r="AB154" s="1449"/>
      <c r="AD154" s="1450"/>
      <c r="AF154" s="1043"/>
      <c r="AH154" s="1004">
        <f t="shared" si="42"/>
        <v>0</v>
      </c>
      <c r="AU154" s="1018"/>
    </row>
    <row r="155" spans="1:47">
      <c r="A155" s="841"/>
      <c r="B155" s="841"/>
      <c r="C155" s="841"/>
      <c r="D155" s="881"/>
      <c r="E155" s="844"/>
      <c r="F155" s="330"/>
      <c r="G155" s="1398"/>
      <c r="H155" s="844"/>
      <c r="I155" s="1396"/>
      <c r="J155" s="844"/>
      <c r="K155" s="1397"/>
      <c r="L155" s="844"/>
      <c r="M155" s="330"/>
      <c r="N155" s="1395"/>
      <c r="O155" s="844"/>
      <c r="R155" s="425"/>
      <c r="T155" s="844">
        <f t="shared" si="39"/>
        <v>0</v>
      </c>
      <c r="V155" s="1374"/>
      <c r="X155" s="903">
        <f t="shared" si="40"/>
        <v>0</v>
      </c>
      <c r="Z155" s="1352">
        <f t="shared" si="41"/>
        <v>0</v>
      </c>
      <c r="AA155" s="1352"/>
      <c r="AB155" s="1449"/>
      <c r="AD155" s="1450"/>
      <c r="AF155" s="1043"/>
      <c r="AH155" s="1004">
        <f t="shared" si="42"/>
        <v>0</v>
      </c>
      <c r="AU155" s="1018"/>
    </row>
    <row r="156" spans="1:47">
      <c r="A156" s="841"/>
      <c r="B156" s="841"/>
      <c r="C156" s="884" t="s">
        <v>1156</v>
      </c>
      <c r="D156" s="885"/>
      <c r="E156" s="886">
        <f>E30+E72+E93+E120+E143+E147+E153</f>
        <v>1819468587.8399999</v>
      </c>
      <c r="F156" s="330"/>
      <c r="G156" s="1399"/>
      <c r="H156" s="886">
        <f>H30+H72+H93+H120+H143+H147+H153</f>
        <v>1661656005.8200002</v>
      </c>
      <c r="I156" s="1401"/>
      <c r="J156" s="886">
        <f>J30+J72+J93+J120+J143+J147+J153</f>
        <v>79771541.549999997</v>
      </c>
      <c r="K156" s="1402"/>
      <c r="L156" s="886">
        <f>L30+L72+L93+L120+L143+L147+L153</f>
        <v>1741427547.3700001</v>
      </c>
      <c r="M156" s="1351">
        <f>L156/E156</f>
        <v>0.95710778356297599</v>
      </c>
      <c r="N156" s="1403"/>
      <c r="O156" s="886">
        <f>O30+O72+O93+O120+O143+O147+O153</f>
        <v>78041040.469999939</v>
      </c>
      <c r="P156" s="840">
        <v>4.2892216437024136E-2</v>
      </c>
      <c r="R156" s="993">
        <f>R30+R72+R93+R120+R143+R147+R153</f>
        <v>-61761541.649999999</v>
      </c>
      <c r="T156" s="886">
        <f t="shared" si="39"/>
        <v>1757707046.1899998</v>
      </c>
      <c r="V156" s="1400">
        <f>V30+V72+V93+V120+V143+V147+V153</f>
        <v>1648216860.2</v>
      </c>
      <c r="X156" s="906">
        <f t="shared" si="40"/>
        <v>109490185.98999977</v>
      </c>
      <c r="Z156" s="1357">
        <f t="shared" si="41"/>
        <v>13439145.620000124</v>
      </c>
      <c r="AA156" s="1357">
        <f>AA30+AA72+AA93+AA120+AA143+AA147+AA153</f>
        <v>47897449.786000006</v>
      </c>
      <c r="AB156" s="1453">
        <f>AB30+AB72+AB93+AB120+AB143+AB147+AB153</f>
        <v>61336595.406000003</v>
      </c>
      <c r="AD156" s="1454">
        <f>AD30+AD72+AD93+AD120+AD143+AD147+AD153</f>
        <v>48153590.583999895</v>
      </c>
      <c r="AF156" s="993">
        <f>AF30+AF72+AF93+AF120+AF143+AF147+AF153</f>
        <v>66672328.560000002</v>
      </c>
      <c r="AH156" s="1006">
        <f t="shared" si="42"/>
        <v>1824379374.7499998</v>
      </c>
      <c r="AK156" s="1014">
        <f t="shared" ref="AK156:AS156" si="48">AK30+AK72+AK93+AK120+AK143+AK147+AK153</f>
        <v>358397550</v>
      </c>
      <c r="AL156" s="1014">
        <f t="shared" si="48"/>
        <v>777465374.61549997</v>
      </c>
      <c r="AM156" s="1014">
        <f t="shared" si="48"/>
        <v>547673543.36449993</v>
      </c>
      <c r="AN156" s="1014">
        <f t="shared" si="48"/>
        <v>30511634.839999996</v>
      </c>
      <c r="AO156" s="1014">
        <f t="shared" si="48"/>
        <v>38019615.280000001</v>
      </c>
      <c r="AP156" s="1014">
        <f t="shared" si="48"/>
        <v>7648146.96</v>
      </c>
      <c r="AQ156" s="1014">
        <f t="shared" si="48"/>
        <v>24206490.460000001</v>
      </c>
      <c r="AR156" s="1014">
        <f t="shared" si="48"/>
        <v>13988343.48</v>
      </c>
      <c r="AS156" s="1014">
        <f t="shared" si="48"/>
        <v>26468675.75</v>
      </c>
      <c r="AU156" s="1020">
        <f>AU30+AU72+AU93+AU120+AU143+AU147+AU153</f>
        <v>1824379374.75</v>
      </c>
    </row>
    <row r="157" spans="1:47">
      <c r="A157" s="841"/>
      <c r="B157" s="841"/>
      <c r="C157" s="887" t="s">
        <v>470</v>
      </c>
      <c r="D157" s="888"/>
      <c r="E157" s="889">
        <f>E156-E153</f>
        <v>1461071037.8399999</v>
      </c>
      <c r="F157" s="330"/>
      <c r="G157" s="1404"/>
      <c r="H157" s="889">
        <f>H156-H153</f>
        <v>1303258455.8200002</v>
      </c>
      <c r="I157" s="1406"/>
      <c r="J157" s="889">
        <f>J156-J153</f>
        <v>79771541.549999997</v>
      </c>
      <c r="K157" s="1407"/>
      <c r="L157" s="889">
        <f>L156-L153</f>
        <v>1383029997.3700001</v>
      </c>
      <c r="M157" s="1355">
        <f>L157/E157</f>
        <v>0.94658641609556982</v>
      </c>
      <c r="N157" s="1408"/>
      <c r="O157" s="889">
        <f>O156-O153</f>
        <v>78041040.469999939</v>
      </c>
      <c r="P157" s="840">
        <v>5.341358390443033E-2</v>
      </c>
      <c r="R157" s="994">
        <f>R156-R153</f>
        <v>-61761541.649999999</v>
      </c>
      <c r="T157" s="889">
        <f t="shared" si="39"/>
        <v>1399309496.1899998</v>
      </c>
      <c r="V157" s="1405">
        <f>V156-V153</f>
        <v>1289819310.2</v>
      </c>
      <c r="X157" s="907">
        <f t="shared" si="40"/>
        <v>109490185.98999977</v>
      </c>
      <c r="Z157" s="1358">
        <f t="shared" si="41"/>
        <v>13439145.620000124</v>
      </c>
      <c r="AA157" s="1358">
        <f>AA156-AA153</f>
        <v>47897449.786000006</v>
      </c>
      <c r="AB157" s="1455">
        <f>AB156-AB153</f>
        <v>61336595.406000003</v>
      </c>
      <c r="AD157" s="1456">
        <f>AD156-AD153</f>
        <v>48153590.583999895</v>
      </c>
      <c r="AF157" s="994">
        <f>AF156-AF153</f>
        <v>66672328.560000002</v>
      </c>
      <c r="AH157" s="1007">
        <f t="shared" si="42"/>
        <v>1465981824.7499998</v>
      </c>
      <c r="AK157" s="1015">
        <f t="shared" ref="AK157:AS157" si="49">AK156-AK153</f>
        <v>0</v>
      </c>
      <c r="AL157" s="1015">
        <f t="shared" si="49"/>
        <v>777465374.61549997</v>
      </c>
      <c r="AM157" s="1015">
        <f t="shared" si="49"/>
        <v>547673543.36449993</v>
      </c>
      <c r="AN157" s="1015">
        <f t="shared" si="49"/>
        <v>30511634.839999996</v>
      </c>
      <c r="AO157" s="1015">
        <f t="shared" si="49"/>
        <v>38019615.280000001</v>
      </c>
      <c r="AP157" s="1015">
        <f t="shared" si="49"/>
        <v>7648146.96</v>
      </c>
      <c r="AQ157" s="1015">
        <f t="shared" si="49"/>
        <v>24206490.460000001</v>
      </c>
      <c r="AR157" s="1015">
        <f t="shared" si="49"/>
        <v>13988343.48</v>
      </c>
      <c r="AS157" s="1015">
        <f t="shared" si="49"/>
        <v>26468675.75</v>
      </c>
      <c r="AU157" s="1021">
        <f>AU156-AU153</f>
        <v>1465981824.75</v>
      </c>
    </row>
    <row r="158" spans="1:47">
      <c r="A158" s="841"/>
      <c r="B158" s="841"/>
      <c r="C158" s="841"/>
      <c r="D158" s="888"/>
      <c r="F158" s="330"/>
      <c r="G158" s="1404"/>
      <c r="I158" s="1406"/>
      <c r="K158" s="1407"/>
      <c r="M158" s="330"/>
      <c r="N158" s="1409"/>
      <c r="R158" s="890"/>
      <c r="T158" s="828">
        <f t="shared" si="39"/>
        <v>0</v>
      </c>
      <c r="V158" s="1375"/>
      <c r="X158" s="890">
        <f t="shared" si="40"/>
        <v>0</v>
      </c>
      <c r="Z158" s="1348">
        <f t="shared" si="41"/>
        <v>0</v>
      </c>
      <c r="AA158" s="1348"/>
      <c r="AB158" s="1457"/>
      <c r="AD158" s="1458"/>
      <c r="AH158" s="890">
        <f t="shared" si="42"/>
        <v>0</v>
      </c>
      <c r="AU158" s="1018"/>
    </row>
    <row r="159" spans="1:47">
      <c r="A159" s="891"/>
      <c r="B159" s="891"/>
      <c r="C159" s="891"/>
      <c r="D159" s="892"/>
      <c r="E159" s="893"/>
      <c r="F159" s="330"/>
      <c r="G159" s="1410"/>
      <c r="H159" s="893"/>
      <c r="I159" s="1410"/>
      <c r="J159" s="893"/>
      <c r="K159" s="1411"/>
      <c r="L159" s="893"/>
      <c r="M159" s="330"/>
      <c r="N159" s="1412"/>
      <c r="O159" s="893"/>
      <c r="R159" s="893"/>
      <c r="T159" s="893">
        <f t="shared" si="39"/>
        <v>0</v>
      </c>
      <c r="V159" s="1375"/>
      <c r="X159" s="893">
        <f t="shared" si="40"/>
        <v>0</v>
      </c>
      <c r="Z159" s="1359">
        <f t="shared" si="41"/>
        <v>0</v>
      </c>
      <c r="AA159" s="1359"/>
      <c r="AB159" s="1359"/>
      <c r="AD159" s="1359"/>
      <c r="AF159" s="893"/>
      <c r="AH159" s="893">
        <f t="shared" si="42"/>
        <v>0</v>
      </c>
      <c r="AU159" s="1018"/>
    </row>
    <row r="160" spans="1:47">
      <c r="A160" s="894"/>
      <c r="B160" s="895" t="s">
        <v>1157</v>
      </c>
      <c r="D160" s="896"/>
      <c r="F160" s="330"/>
      <c r="G160" s="1413"/>
      <c r="I160" s="1410"/>
      <c r="K160" s="1414"/>
      <c r="M160" s="330"/>
      <c r="N160" s="1415"/>
      <c r="R160" s="828"/>
      <c r="T160" s="828">
        <f t="shared" si="39"/>
        <v>0</v>
      </c>
      <c r="V160" s="1375"/>
      <c r="X160" s="828">
        <f t="shared" si="40"/>
        <v>0</v>
      </c>
      <c r="Z160" s="1360">
        <f t="shared" si="41"/>
        <v>0</v>
      </c>
      <c r="AA160" s="1360"/>
      <c r="AB160" s="1457"/>
      <c r="AD160" s="1458"/>
      <c r="AH160" s="828">
        <f t="shared" si="42"/>
        <v>0</v>
      </c>
      <c r="AU160" s="1018"/>
    </row>
    <row r="161" spans="1:47">
      <c r="A161" s="841">
        <v>6990</v>
      </c>
      <c r="B161" s="841"/>
      <c r="C161" s="839" t="s">
        <v>902</v>
      </c>
      <c r="D161" s="897"/>
      <c r="E161" s="971">
        <v>7868724.5700000003</v>
      </c>
      <c r="F161" s="330"/>
      <c r="G161" s="1416"/>
      <c r="H161" s="971">
        <f>3104245.72+58000</f>
        <v>3162245.72</v>
      </c>
      <c r="I161" s="1417"/>
      <c r="J161" s="971">
        <v>281230.17</v>
      </c>
      <c r="K161" s="1418"/>
      <c r="L161" s="971">
        <f>H161+J161</f>
        <v>3443475.89</v>
      </c>
      <c r="M161" s="1355">
        <f>L161/E161</f>
        <v>0.43761550672754074</v>
      </c>
      <c r="N161" s="1420"/>
      <c r="O161" s="971">
        <f>E161-L161</f>
        <v>4425248.68</v>
      </c>
      <c r="P161" s="840">
        <v>0.56238449327245921</v>
      </c>
      <c r="Q161" s="839"/>
      <c r="R161" s="426"/>
      <c r="T161" s="971">
        <f t="shared" si="39"/>
        <v>7868724.5700000003</v>
      </c>
      <c r="V161" s="1419">
        <v>3024895.32</v>
      </c>
      <c r="X161" s="999">
        <f t="shared" si="40"/>
        <v>4843829.25</v>
      </c>
      <c r="Z161" s="1361">
        <f t="shared" si="41"/>
        <v>137350.40000000037</v>
      </c>
      <c r="AA161" s="1361">
        <v>962000</v>
      </c>
      <c r="AB161" s="1459">
        <f t="shared" ref="AB161:AB163" si="50">Z161+AA161</f>
        <v>1099350.4000000004</v>
      </c>
      <c r="AD161" s="1460">
        <f t="shared" ref="AD161:AD163" si="51">X161-AB161</f>
        <v>3744478.8499999996</v>
      </c>
      <c r="AF161" s="1046"/>
      <c r="AH161" s="1008">
        <f t="shared" si="42"/>
        <v>7868724.5700000003</v>
      </c>
      <c r="AM161" s="976">
        <f>AH161</f>
        <v>7868724.5700000003</v>
      </c>
      <c r="AU161" s="1019">
        <f>SUM(AK161:AT161)</f>
        <v>7868724.5700000003</v>
      </c>
    </row>
    <row r="162" spans="1:47">
      <c r="A162" s="841">
        <v>7590</v>
      </c>
      <c r="B162" s="841"/>
      <c r="C162" s="839" t="s">
        <v>903</v>
      </c>
      <c r="D162" s="843"/>
      <c r="E162" s="972">
        <v>818634.05</v>
      </c>
      <c r="F162" s="330"/>
      <c r="G162" s="1393"/>
      <c r="H162" s="972">
        <f>309467</f>
        <v>309467</v>
      </c>
      <c r="I162" s="1421"/>
      <c r="J162" s="972">
        <v>0</v>
      </c>
      <c r="K162" s="1422"/>
      <c r="L162" s="972">
        <f>H162+J162</f>
        <v>309467</v>
      </c>
      <c r="M162" s="1355">
        <f>L162/E162</f>
        <v>0.37802849759303314</v>
      </c>
      <c r="N162" s="1382"/>
      <c r="O162" s="972">
        <f>E162-L162</f>
        <v>509167.05000000005</v>
      </c>
      <c r="P162" s="840">
        <v>0.62197150240696686</v>
      </c>
      <c r="Q162" s="839"/>
      <c r="R162" s="425"/>
      <c r="T162" s="972">
        <f t="shared" si="39"/>
        <v>818634.05</v>
      </c>
      <c r="V162" s="1374">
        <v>267037</v>
      </c>
      <c r="X162" s="903">
        <f t="shared" si="40"/>
        <v>551597.05000000005</v>
      </c>
      <c r="Z162" s="1352">
        <f t="shared" si="41"/>
        <v>42430</v>
      </c>
      <c r="AA162" s="1352">
        <v>210000</v>
      </c>
      <c r="AB162" s="1449">
        <f t="shared" si="50"/>
        <v>252430</v>
      </c>
      <c r="AD162" s="1450">
        <f t="shared" si="51"/>
        <v>299167.05000000005</v>
      </c>
      <c r="AF162" s="1043"/>
      <c r="AH162" s="1004">
        <f t="shared" si="42"/>
        <v>818634.05</v>
      </c>
      <c r="AN162" s="1023">
        <f>AH162</f>
        <v>818634.05</v>
      </c>
      <c r="AU162" s="1019">
        <f>SUM(AK162:AT162)</f>
        <v>818634.05</v>
      </c>
    </row>
    <row r="163" spans="1:47">
      <c r="A163" s="841">
        <v>8490</v>
      </c>
      <c r="B163" s="841"/>
      <c r="C163" s="839" t="s">
        <v>904</v>
      </c>
      <c r="D163" s="852"/>
      <c r="E163" s="973">
        <v>1333675</v>
      </c>
      <c r="F163" s="330"/>
      <c r="G163" s="1380"/>
      <c r="H163" s="973">
        <f>222794+84160</f>
        <v>306954</v>
      </c>
      <c r="I163" s="1423"/>
      <c r="J163" s="973">
        <v>184000</v>
      </c>
      <c r="K163" s="1424"/>
      <c r="L163" s="973">
        <f>H163+J163</f>
        <v>490954</v>
      </c>
      <c r="M163" s="1355">
        <f>L163/E163</f>
        <v>0.36812116895045643</v>
      </c>
      <c r="N163" s="1378"/>
      <c r="O163" s="973">
        <f>E163-L163</f>
        <v>842721</v>
      </c>
      <c r="P163" s="840">
        <v>0.63187883104954357</v>
      </c>
      <c r="Q163" s="839"/>
      <c r="R163" s="991"/>
      <c r="T163" s="973">
        <f t="shared" si="39"/>
        <v>1333675</v>
      </c>
      <c r="V163" s="1379">
        <v>185675</v>
      </c>
      <c r="X163" s="904">
        <f t="shared" si="40"/>
        <v>1148000</v>
      </c>
      <c r="Z163" s="1350">
        <f t="shared" si="41"/>
        <v>121279</v>
      </c>
      <c r="AA163" s="1350">
        <f t="shared" ref="AA163" si="52">X163-Z163</f>
        <v>1026721</v>
      </c>
      <c r="AB163" s="1447">
        <f t="shared" si="50"/>
        <v>1148000</v>
      </c>
      <c r="AD163" s="1448">
        <f t="shared" si="51"/>
        <v>0</v>
      </c>
      <c r="AF163" s="1047"/>
      <c r="AH163" s="1003">
        <f t="shared" si="42"/>
        <v>1333675</v>
      </c>
      <c r="AM163" s="976">
        <f>AH163</f>
        <v>1333675</v>
      </c>
      <c r="AU163" s="1019">
        <f>SUM(AK163:AT163)</f>
        <v>1333675</v>
      </c>
    </row>
    <row r="164" spans="1:47">
      <c r="A164" s="841"/>
      <c r="B164" s="841"/>
      <c r="C164" s="841"/>
      <c r="D164" s="898"/>
      <c r="E164" s="899">
        <f>SUM(E161:E163)</f>
        <v>10021033.620000001</v>
      </c>
      <c r="F164" s="330"/>
      <c r="G164" s="1425"/>
      <c r="H164" s="899">
        <f>SUM(H161:H163)</f>
        <v>3778666.72</v>
      </c>
      <c r="I164" s="1427"/>
      <c r="J164" s="899">
        <f>SUM(J161:J163)</f>
        <v>465230.17</v>
      </c>
      <c r="K164" s="1428"/>
      <c r="L164" s="899">
        <f>SUM(L161:L163)</f>
        <v>4243896.8900000006</v>
      </c>
      <c r="M164" s="1355">
        <f>L164/E164</f>
        <v>0.42349891746995261</v>
      </c>
      <c r="N164" s="1429"/>
      <c r="O164" s="899">
        <f>SUM(O161:O163)</f>
        <v>5777136.7299999995</v>
      </c>
      <c r="P164" s="840">
        <v>0.57650108253004728</v>
      </c>
      <c r="Q164" s="839"/>
      <c r="R164" s="995">
        <f>SUM(R161:R163)</f>
        <v>0</v>
      </c>
      <c r="T164" s="899">
        <f t="shared" si="39"/>
        <v>10021033.620000001</v>
      </c>
      <c r="V164" s="1426">
        <f>SUM(V161:V163)</f>
        <v>3477607.32</v>
      </c>
      <c r="X164" s="908">
        <f t="shared" si="40"/>
        <v>6543426.3000000007</v>
      </c>
      <c r="Z164" s="1362">
        <f t="shared" si="41"/>
        <v>301059.40000000037</v>
      </c>
      <c r="AA164" s="1362">
        <f>SUM(AA161:AA163)</f>
        <v>2198721</v>
      </c>
      <c r="AB164" s="1461">
        <f>SUM(AB161:AB163)</f>
        <v>2499780.4000000004</v>
      </c>
      <c r="AD164" s="1462">
        <f>SUM(AD161:AD163)</f>
        <v>4043645.8999999994</v>
      </c>
      <c r="AF164" s="995">
        <f>SUM(AF161:AF163)</f>
        <v>0</v>
      </c>
      <c r="AH164" s="1009">
        <f t="shared" si="42"/>
        <v>10021033.620000001</v>
      </c>
      <c r="AK164" s="1014">
        <f t="shared" ref="AK164:AS164" si="53">SUM(AK161:AK163)</f>
        <v>0</v>
      </c>
      <c r="AL164" s="1014">
        <f t="shared" si="53"/>
        <v>0</v>
      </c>
      <c r="AM164" s="1014">
        <f t="shared" si="53"/>
        <v>9202399.5700000003</v>
      </c>
      <c r="AN164" s="1014">
        <f t="shared" si="53"/>
        <v>818634.05</v>
      </c>
      <c r="AO164" s="1014">
        <f t="shared" si="53"/>
        <v>0</v>
      </c>
      <c r="AP164" s="1014">
        <f t="shared" si="53"/>
        <v>0</v>
      </c>
      <c r="AQ164" s="1014">
        <f t="shared" si="53"/>
        <v>0</v>
      </c>
      <c r="AR164" s="1014">
        <f t="shared" si="53"/>
        <v>0</v>
      </c>
      <c r="AS164" s="1014">
        <f t="shared" si="53"/>
        <v>0</v>
      </c>
      <c r="AU164" s="1020">
        <f>SUM(AU161:AU163)</f>
        <v>10021033.620000001</v>
      </c>
    </row>
    <row r="165" spans="1:47">
      <c r="A165" s="894"/>
      <c r="B165" s="894"/>
      <c r="C165" s="841"/>
      <c r="D165" s="896"/>
      <c r="F165" s="330"/>
      <c r="G165" s="1413"/>
      <c r="I165" s="1413"/>
      <c r="K165" s="1414"/>
      <c r="M165" s="330"/>
      <c r="N165" s="1415"/>
      <c r="R165" s="828"/>
      <c r="T165" s="828">
        <f t="shared" si="39"/>
        <v>0</v>
      </c>
      <c r="V165" s="1375"/>
      <c r="X165" s="828">
        <f t="shared" si="40"/>
        <v>0</v>
      </c>
      <c r="Z165" s="1360">
        <f t="shared" si="41"/>
        <v>0</v>
      </c>
      <c r="AA165" s="1360"/>
      <c r="AB165" s="1457"/>
      <c r="AD165" s="1458"/>
      <c r="AH165" s="828">
        <f t="shared" si="42"/>
        <v>0</v>
      </c>
      <c r="AU165" s="1018"/>
    </row>
    <row r="166" spans="1:47">
      <c r="A166" s="891"/>
      <c r="B166" s="891"/>
      <c r="C166" s="891"/>
      <c r="D166" s="892"/>
      <c r="E166" s="893"/>
      <c r="F166" s="330"/>
      <c r="G166" s="1410"/>
      <c r="H166" s="893"/>
      <c r="I166" s="1410"/>
      <c r="J166" s="893"/>
      <c r="K166" s="1411"/>
      <c r="L166" s="893"/>
      <c r="M166" s="330"/>
      <c r="N166" s="1412"/>
      <c r="O166" s="893"/>
      <c r="R166" s="893"/>
      <c r="T166" s="893">
        <f t="shared" si="39"/>
        <v>0</v>
      </c>
      <c r="V166" s="1375"/>
      <c r="X166" s="893">
        <f t="shared" si="40"/>
        <v>0</v>
      </c>
      <c r="Z166" s="1359">
        <f t="shared" si="41"/>
        <v>0</v>
      </c>
      <c r="AA166" s="1359"/>
      <c r="AB166" s="1359"/>
      <c r="AD166" s="1359"/>
      <c r="AF166" s="893"/>
      <c r="AH166" s="893">
        <f t="shared" si="42"/>
        <v>0</v>
      </c>
      <c r="AU166" s="1018"/>
    </row>
    <row r="167" spans="1:47">
      <c r="A167" s="894"/>
      <c r="B167" s="894"/>
      <c r="C167" s="841"/>
      <c r="D167" s="896"/>
      <c r="F167" s="330"/>
      <c r="G167" s="1413"/>
      <c r="I167" s="1413"/>
      <c r="K167" s="1414"/>
      <c r="M167" s="330"/>
      <c r="N167" s="1415"/>
      <c r="Q167" s="839"/>
      <c r="R167" s="890"/>
      <c r="T167" s="828">
        <f t="shared" si="39"/>
        <v>0</v>
      </c>
      <c r="V167" s="1375"/>
      <c r="X167" s="890">
        <f t="shared" si="40"/>
        <v>0</v>
      </c>
      <c r="Z167" s="1348">
        <f t="shared" si="41"/>
        <v>0</v>
      </c>
      <c r="AA167" s="1348"/>
      <c r="AB167" s="1457"/>
      <c r="AD167" s="1458"/>
      <c r="AH167" s="890">
        <f t="shared" si="42"/>
        <v>0</v>
      </c>
      <c r="AU167" s="1018"/>
    </row>
    <row r="168" spans="1:47">
      <c r="A168" s="974" t="s">
        <v>1176</v>
      </c>
      <c r="B168" s="895" t="s">
        <v>1158</v>
      </c>
      <c r="D168" s="898"/>
      <c r="E168" s="899">
        <v>9400000</v>
      </c>
      <c r="F168" s="330"/>
      <c r="G168" s="1425"/>
      <c r="H168" s="899">
        <v>6802718.4499999993</v>
      </c>
      <c r="I168" s="1430"/>
      <c r="J168" s="899">
        <v>2282283.23</v>
      </c>
      <c r="K168" s="1428"/>
      <c r="L168" s="899">
        <f>H168+J168</f>
        <v>9085001.6799999997</v>
      </c>
      <c r="M168" s="1355">
        <f>L168/E168</f>
        <v>0.96648954042553192</v>
      </c>
      <c r="N168" s="1429"/>
      <c r="O168" s="899">
        <f>E168-L168</f>
        <v>314998.3200000003</v>
      </c>
      <c r="P168" s="840">
        <v>3.3510459574468118E-2</v>
      </c>
      <c r="Q168" s="839"/>
      <c r="R168" s="996"/>
      <c r="T168" s="899">
        <f t="shared" si="39"/>
        <v>9400000</v>
      </c>
      <c r="V168" s="1431">
        <v>4233209.46</v>
      </c>
      <c r="X168" s="1000">
        <f t="shared" si="40"/>
        <v>5166790.54</v>
      </c>
      <c r="Z168" s="1363">
        <f t="shared" si="41"/>
        <v>2569508.9899999993</v>
      </c>
      <c r="AA168" s="1363">
        <f t="shared" ref="AA168" si="54">X168-Z168</f>
        <v>2597281.5500000007</v>
      </c>
      <c r="AB168" s="1463">
        <f>Z168+AA168</f>
        <v>5166790.54</v>
      </c>
      <c r="AD168" s="1464">
        <f t="shared" ref="AD168" si="55">X168-AB168</f>
        <v>0</v>
      </c>
      <c r="AF168" s="996">
        <v>0</v>
      </c>
      <c r="AH168" s="1010">
        <f t="shared" si="42"/>
        <v>9400000</v>
      </c>
      <c r="AJ168" s="1013">
        <v>0.4</v>
      </c>
      <c r="AK168" s="1013"/>
      <c r="AL168" s="976">
        <f>AH168*AJ168</f>
        <v>3760000</v>
      </c>
      <c r="AM168" s="976">
        <f>AH168*(1-AJ168)</f>
        <v>5640000</v>
      </c>
      <c r="AU168" s="1019">
        <f>SUM(AK168:AT168)</f>
        <v>9400000</v>
      </c>
    </row>
    <row r="169" spans="1:47">
      <c r="A169" s="894"/>
      <c r="B169" s="894"/>
      <c r="C169" s="841"/>
      <c r="D169" s="896"/>
      <c r="G169" s="1432"/>
      <c r="I169" s="1413"/>
      <c r="K169" s="1414"/>
      <c r="M169" s="330"/>
      <c r="N169" s="1415"/>
      <c r="Q169" s="839"/>
      <c r="R169" s="890"/>
      <c r="V169" s="1375"/>
      <c r="X169" s="890">
        <f t="shared" si="40"/>
        <v>0</v>
      </c>
      <c r="Z169" s="1348">
        <f t="shared" si="41"/>
        <v>0</v>
      </c>
      <c r="AA169" s="1348"/>
      <c r="AB169" s="1457"/>
      <c r="AD169" s="1458"/>
      <c r="AH169" s="890">
        <f t="shared" si="42"/>
        <v>0</v>
      </c>
      <c r="AU169" s="1018"/>
    </row>
    <row r="170" spans="1:47">
      <c r="A170" s="891"/>
      <c r="B170" s="891"/>
      <c r="C170" s="891"/>
      <c r="D170" s="892"/>
      <c r="E170" s="893"/>
      <c r="G170" s="1433"/>
      <c r="H170" s="893"/>
      <c r="I170" s="1410"/>
      <c r="J170" s="893"/>
      <c r="K170" s="1411"/>
      <c r="L170" s="893"/>
      <c r="M170" s="330"/>
      <c r="N170" s="1412"/>
      <c r="O170" s="893"/>
      <c r="R170" s="893"/>
      <c r="T170" s="893"/>
      <c r="V170" s="1375"/>
      <c r="X170" s="893">
        <f t="shared" si="40"/>
        <v>0</v>
      </c>
      <c r="Z170" s="1359">
        <f t="shared" si="41"/>
        <v>0</v>
      </c>
      <c r="AA170" s="1359"/>
      <c r="AB170" s="1359"/>
      <c r="AD170" s="1359"/>
      <c r="AF170" s="893"/>
      <c r="AH170" s="893">
        <f t="shared" si="42"/>
        <v>0</v>
      </c>
      <c r="AU170" s="1018"/>
    </row>
    <row r="171" spans="1:47" ht="18" thickBot="1">
      <c r="A171" s="894"/>
      <c r="B171" s="894"/>
      <c r="C171" s="841"/>
      <c r="D171" s="896"/>
      <c r="G171" s="1432"/>
      <c r="I171" s="1432"/>
      <c r="K171" s="1434"/>
      <c r="N171" s="1435"/>
      <c r="Q171" s="839"/>
      <c r="R171" s="890"/>
      <c r="X171" s="890"/>
      <c r="Z171" s="1348"/>
      <c r="AA171" s="1348"/>
      <c r="AB171" s="1457"/>
      <c r="AD171" s="1458"/>
      <c r="AH171" s="890"/>
      <c r="AU171" s="1018"/>
    </row>
    <row r="172" spans="1:47" s="711" customFormat="1" ht="18" thickBot="1">
      <c r="A172" s="900"/>
      <c r="B172" s="900"/>
      <c r="C172" s="975" t="s">
        <v>1159</v>
      </c>
      <c r="D172" s="901"/>
      <c r="E172" s="997">
        <f>E156+E164+E168</f>
        <v>1838889621.4599998</v>
      </c>
      <c r="F172" s="719"/>
      <c r="G172" s="1437"/>
      <c r="H172" s="997">
        <f>H156+H164+H168</f>
        <v>1672237390.9900002</v>
      </c>
      <c r="I172" s="1437"/>
      <c r="J172" s="997">
        <f>J156+J164+J168</f>
        <v>82519054.950000003</v>
      </c>
      <c r="K172" s="1438"/>
      <c r="L172" s="997">
        <f>L156+L164+L168</f>
        <v>1754756445.9400003</v>
      </c>
      <c r="M172" s="840">
        <f>L172/E172</f>
        <v>0.95424783818552339</v>
      </c>
      <c r="N172" s="1439"/>
      <c r="O172" s="997">
        <f>O156+O164+O168</f>
        <v>84133175.519999951</v>
      </c>
      <c r="P172" s="840">
        <f>O172/E172</f>
        <v>4.5752161814476826E-2</v>
      </c>
      <c r="Q172" s="719"/>
      <c r="R172" s="997">
        <f>R156+R164+R168</f>
        <v>-61761541.649999999</v>
      </c>
      <c r="T172" s="997">
        <f>T156+T164+T168</f>
        <v>1777128079.8099997</v>
      </c>
      <c r="V172" s="1436">
        <f>V156+V164+V168</f>
        <v>1655927676.98</v>
      </c>
      <c r="X172" s="902">
        <f>X156+X164+X168</f>
        <v>121200402.82999977</v>
      </c>
      <c r="Z172" s="1465">
        <f>Z156+Z164+Z168</f>
        <v>16309714.010000125</v>
      </c>
      <c r="AA172" s="1465">
        <f>AA156+AA164+AA168</f>
        <v>52693452.33600001</v>
      </c>
      <c r="AB172" s="1466">
        <f>AB156+AB164+AB168</f>
        <v>69003166.346000001</v>
      </c>
      <c r="AC172" s="1467"/>
      <c r="AD172" s="1468">
        <f>AD156+AD164+AD168</f>
        <v>52197236.483999893</v>
      </c>
      <c r="AF172" s="997">
        <f>AF156+AF164+AF168</f>
        <v>66672328.560000002</v>
      </c>
      <c r="AH172" s="1011">
        <f>AH156+AH164+AH168</f>
        <v>1843800408.3699996</v>
      </c>
      <c r="AK172" s="1022">
        <f t="shared" ref="AK172:AS172" si="56">AK156+AK164+AK168</f>
        <v>358397550</v>
      </c>
      <c r="AL172" s="1022">
        <f t="shared" si="56"/>
        <v>781225374.61549997</v>
      </c>
      <c r="AM172" s="1022">
        <f t="shared" si="56"/>
        <v>562515942.93449998</v>
      </c>
      <c r="AN172" s="1022">
        <f t="shared" si="56"/>
        <v>31330268.889999997</v>
      </c>
      <c r="AO172" s="1022">
        <f t="shared" si="56"/>
        <v>38019615.280000001</v>
      </c>
      <c r="AP172" s="909">
        <f t="shared" si="56"/>
        <v>7648146.96</v>
      </c>
      <c r="AQ172" s="909">
        <f t="shared" si="56"/>
        <v>24206490.460000001</v>
      </c>
      <c r="AR172" s="909">
        <f t="shared" si="56"/>
        <v>13988343.48</v>
      </c>
      <c r="AS172" s="909">
        <f t="shared" si="56"/>
        <v>26468675.75</v>
      </c>
      <c r="AU172" s="1011">
        <f>AU156+AU164+AU168</f>
        <v>1843800408.3699999</v>
      </c>
    </row>
    <row r="173" spans="1:47" ht="18" thickBot="1">
      <c r="A173" s="894"/>
      <c r="B173" s="894"/>
      <c r="C173" s="841"/>
      <c r="Q173" s="839"/>
      <c r="R173" s="890"/>
      <c r="X173" s="890"/>
      <c r="Z173" s="1348"/>
      <c r="AA173" s="1348"/>
      <c r="AB173" s="1348"/>
      <c r="AD173" s="1348"/>
      <c r="AH173" s="890"/>
    </row>
    <row r="174" spans="1:47" ht="18" thickBot="1">
      <c r="A174" s="894"/>
      <c r="B174" s="895" t="s">
        <v>1283</v>
      </c>
      <c r="E174" s="1048">
        <v>29300000</v>
      </c>
      <c r="H174" s="1048"/>
      <c r="J174" s="1048"/>
      <c r="L174" s="1048"/>
      <c r="O174" s="1048">
        <f>E174-L174</f>
        <v>29300000</v>
      </c>
      <c r="Q174" s="839"/>
      <c r="R174" s="890"/>
      <c r="T174" s="1048"/>
      <c r="X174" s="1000">
        <f>IF(O174&lt;0,0,J174+O174+R174)</f>
        <v>29300000</v>
      </c>
      <c r="Z174" s="1469"/>
      <c r="AA174" s="1469"/>
      <c r="AB174" s="1469"/>
      <c r="AD174" s="1469"/>
      <c r="AH174" s="1010">
        <f>H174+X174</f>
        <v>29300000</v>
      </c>
      <c r="AM174" s="1022">
        <f>AH174</f>
        <v>29300000</v>
      </c>
      <c r="AU174" s="1050">
        <f>SUM(AK174:AT174)</f>
        <v>29300000</v>
      </c>
    </row>
    <row r="175" spans="1:47">
      <c r="A175" s="894"/>
      <c r="B175" s="894"/>
      <c r="C175" s="841"/>
      <c r="Q175" s="839"/>
      <c r="R175" s="890"/>
      <c r="X175" s="890"/>
      <c r="Z175" s="1469"/>
      <c r="AA175" s="1469"/>
      <c r="AB175" s="1469"/>
      <c r="AD175" s="1469"/>
      <c r="AH175" s="890"/>
    </row>
    <row r="176" spans="1:47">
      <c r="A176" s="894"/>
      <c r="B176" s="894"/>
      <c r="C176" s="841"/>
      <c r="F176" s="1474" t="s">
        <v>1177</v>
      </c>
      <c r="H176" s="828">
        <f>H172-H150</f>
        <v>1313839840.9900002</v>
      </c>
      <c r="V176" s="1369">
        <f>V172-V150</f>
        <v>1297530126.98</v>
      </c>
      <c r="Z176" s="1470"/>
      <c r="AA176" s="1470"/>
      <c r="AB176" s="1470"/>
      <c r="AD176" s="1470"/>
      <c r="AJ176" s="568" t="s">
        <v>1210</v>
      </c>
      <c r="AK176" s="567">
        <v>25</v>
      </c>
      <c r="AL176" s="567">
        <v>25</v>
      </c>
      <c r="AM176" s="567">
        <v>15</v>
      </c>
      <c r="AN176" s="567">
        <v>10</v>
      </c>
      <c r="AO176" s="567">
        <v>10</v>
      </c>
      <c r="AP176" s="567">
        <v>10</v>
      </c>
      <c r="AQ176" s="567">
        <v>10</v>
      </c>
      <c r="AR176" s="567">
        <v>5</v>
      </c>
      <c r="AS176" s="567">
        <v>10</v>
      </c>
    </row>
    <row r="177" spans="1:47" ht="18" thickBot="1">
      <c r="A177" s="894"/>
      <c r="B177" s="894"/>
      <c r="C177" s="841"/>
      <c r="F177" s="1474"/>
      <c r="Z177" s="1469"/>
      <c r="AA177" s="1469"/>
      <c r="AB177" s="1469"/>
      <c r="AD177" s="1469"/>
    </row>
    <row r="178" spans="1:47" ht="18" thickBot="1">
      <c r="A178" s="894"/>
      <c r="B178" s="894"/>
      <c r="C178" s="841"/>
      <c r="F178" s="1474"/>
      <c r="Z178" s="1471"/>
      <c r="AA178" s="1471"/>
      <c r="AB178" s="1471"/>
      <c r="AD178" s="1471"/>
      <c r="AJ178" s="568" t="s">
        <v>471</v>
      </c>
      <c r="AK178" s="1022">
        <f>SUM(AK172:AK174)/AK176</f>
        <v>14335902</v>
      </c>
      <c r="AL178" s="1049">
        <f>SUM(AL172:AL174)/AL176</f>
        <v>31249014.984619997</v>
      </c>
      <c r="AM178" s="1022">
        <f>SUM(AM172:AM174)/AM176</f>
        <v>39454396.195633329</v>
      </c>
      <c r="AN178" s="1022">
        <f>SUM(AN172:AN174)/AN176</f>
        <v>3133026.8889999995</v>
      </c>
      <c r="AO178" s="1022">
        <f>SUM(AO172:AO174)/AO176</f>
        <v>3801961.5279999999</v>
      </c>
      <c r="AP178" s="909">
        <f>AP172/AP176</f>
        <v>764814.696</v>
      </c>
      <c r="AQ178" s="909">
        <f>AQ172/AQ176</f>
        <v>2420649.0460000001</v>
      </c>
      <c r="AR178" s="909">
        <f>AR172/AR176</f>
        <v>2797668.696</v>
      </c>
      <c r="AS178" s="909">
        <f>AS172/AS176</f>
        <v>2646867.5750000002</v>
      </c>
      <c r="AU178" s="1011">
        <f>SUM(AK178:AT178)</f>
        <v>100604301.61025332</v>
      </c>
    </row>
    <row r="179" spans="1:47" ht="18" thickBot="1">
      <c r="A179" s="894"/>
      <c r="B179" s="894"/>
      <c r="C179" s="841"/>
      <c r="F179" s="1474"/>
      <c r="AK179" s="1682" t="s">
        <v>1214</v>
      </c>
      <c r="AL179" s="1683"/>
      <c r="AM179" s="1683"/>
      <c r="AN179" s="1683"/>
      <c r="AO179" s="1684"/>
      <c r="AP179" s="1685" t="s">
        <v>1215</v>
      </c>
      <c r="AQ179" s="1686"/>
      <c r="AR179" s="1686"/>
      <c r="AS179" s="1687"/>
    </row>
    <row r="180" spans="1:47" ht="18" thickBot="1">
      <c r="A180" s="894"/>
      <c r="B180" s="894"/>
      <c r="C180" s="841"/>
      <c r="F180" s="1474"/>
      <c r="AJ180" s="568" t="s">
        <v>1213</v>
      </c>
      <c r="AK180" s="1674">
        <f>SUM(AK178:AO178)</f>
        <v>91974301.597253323</v>
      </c>
      <c r="AL180" s="1675"/>
      <c r="AM180" s="1675"/>
      <c r="AN180" s="1675"/>
      <c r="AO180" s="1676"/>
      <c r="AP180" s="1677">
        <f>SUM(AP178:AS178)</f>
        <v>8630000.0130000003</v>
      </c>
      <c r="AQ180" s="1678"/>
      <c r="AR180" s="1678"/>
      <c r="AS180" s="1679"/>
    </row>
    <row r="181" spans="1:47">
      <c r="A181" s="894"/>
      <c r="B181" s="894"/>
      <c r="C181" s="841"/>
      <c r="F181" s="1474"/>
      <c r="Z181" s="1469"/>
      <c r="AA181" s="1469"/>
      <c r="AB181" s="1469"/>
      <c r="AD181" s="1469"/>
    </row>
    <row r="182" spans="1:47">
      <c r="A182" s="894"/>
      <c r="B182" s="894"/>
      <c r="C182" s="841"/>
      <c r="F182" s="1474"/>
      <c r="Z182" s="1472"/>
      <c r="AA182" s="1472"/>
      <c r="AB182" s="1472"/>
      <c r="AD182" s="1472"/>
    </row>
    <row r="183" spans="1:47">
      <c r="A183" s="894"/>
      <c r="B183" s="894"/>
      <c r="C183" s="841"/>
      <c r="F183" s="1474"/>
      <c r="Z183" s="1471"/>
      <c r="AA183" s="1471"/>
      <c r="AB183" s="1471"/>
      <c r="AD183" s="1471"/>
    </row>
    <row r="184" spans="1:47">
      <c r="A184" s="894"/>
      <c r="B184" s="894"/>
      <c r="C184" s="841"/>
      <c r="F184" s="1474"/>
    </row>
  </sheetData>
  <mergeCells count="14">
    <mergeCell ref="AK2:AU2"/>
    <mergeCell ref="AP3:AP4"/>
    <mergeCell ref="AK180:AO180"/>
    <mergeCell ref="AP180:AS180"/>
    <mergeCell ref="AL3:AL4"/>
    <mergeCell ref="AM3:AM4"/>
    <mergeCell ref="AN3:AN4"/>
    <mergeCell ref="AO3:AO4"/>
    <mergeCell ref="AQ3:AQ4"/>
    <mergeCell ref="AR3:AR4"/>
    <mergeCell ref="AS3:AS4"/>
    <mergeCell ref="AK179:AO179"/>
    <mergeCell ref="AP179:AS179"/>
    <mergeCell ref="AK3:AK4"/>
  </mergeCells>
  <phoneticPr fontId="301" type="noConversion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tabColor rgb="FFFFC000"/>
    <pageSetUpPr fitToPage="1"/>
  </sheetPr>
  <dimension ref="A1:AJ117"/>
  <sheetViews>
    <sheetView tabSelected="1" workbookViewId="0">
      <pane xSplit="8" ySplit="5" topLeftCell="N21" activePane="bottomRight" state="frozen"/>
      <selection pane="topRight" activeCell="I1" sqref="I1"/>
      <selection pane="bottomLeft" activeCell="A6" sqref="A6"/>
      <selection pane="bottomRight" activeCell="N22" sqref="N22"/>
    </sheetView>
  </sheetViews>
  <sheetFormatPr defaultColWidth="9.42578125" defaultRowHeight="14.25" outlineLevelRow="1" outlineLevelCol="1"/>
  <cols>
    <col min="1" max="1" width="7.85546875" style="54" customWidth="1"/>
    <col min="2" max="2" width="9.42578125" style="54"/>
    <col min="3" max="3" width="10.5703125" style="54" customWidth="1"/>
    <col min="4" max="4" width="9.42578125" style="54"/>
    <col min="5" max="5" width="9.5703125" style="54" customWidth="1"/>
    <col min="6" max="6" width="19.5703125" style="54" customWidth="1"/>
    <col min="7" max="7" width="9.42578125" style="54" customWidth="1"/>
    <col min="8" max="8" width="9.42578125" style="54"/>
    <col min="9" max="9" width="17.42578125" style="54" customWidth="1" outlineLevel="1"/>
    <col min="10" max="10" width="17.42578125" style="54" customWidth="1"/>
    <col min="11" max="12" width="19.42578125" style="54" customWidth="1"/>
    <col min="13" max="14" width="17.42578125" style="54" customWidth="1" outlineLevel="1"/>
    <col min="15" max="15" width="18.5703125" style="54" customWidth="1" outlineLevel="1"/>
    <col min="16" max="17" width="17.42578125" style="54" customWidth="1" outlineLevel="1"/>
    <col min="18" max="19" width="17.42578125" style="54" customWidth="1"/>
    <col min="20" max="23" width="18.5703125" style="54" customWidth="1"/>
    <col min="24" max="24" width="17.42578125" style="54" customWidth="1"/>
    <col min="25" max="25" width="9.42578125" style="54"/>
    <col min="26" max="26" width="15.5703125" style="54" bestFit="1" customWidth="1"/>
    <col min="27" max="27" width="16.42578125" style="54" bestFit="1" customWidth="1"/>
    <col min="28" max="29" width="15.42578125" style="54" bestFit="1" customWidth="1"/>
    <col min="30" max="30" width="16.42578125" style="54" customWidth="1"/>
    <col min="31" max="31" width="19.42578125" style="54" customWidth="1"/>
    <col min="32" max="32" width="15.42578125" style="54" bestFit="1" customWidth="1"/>
    <col min="33" max="33" width="15.5703125" style="54" customWidth="1"/>
    <col min="34" max="36" width="14.42578125" style="54" customWidth="1"/>
    <col min="37" max="16384" width="9.42578125" style="54"/>
  </cols>
  <sheetData>
    <row r="1" spans="1:36" ht="15.75">
      <c r="A1" s="100" t="s">
        <v>218</v>
      </c>
    </row>
    <row r="2" spans="1:36" ht="15.75">
      <c r="A2" s="100" t="s">
        <v>219</v>
      </c>
    </row>
    <row r="3" spans="1:36" ht="15" thickBot="1"/>
    <row r="4" spans="1:36" ht="16.5" customHeight="1" thickBot="1">
      <c r="B4" s="54" t="s">
        <v>203</v>
      </c>
      <c r="H4" s="133"/>
      <c r="I4" s="1665" t="s">
        <v>220</v>
      </c>
      <c r="J4" s="1688"/>
      <c r="K4" s="1688"/>
      <c r="L4" s="1688"/>
      <c r="M4" s="1688"/>
      <c r="N4" s="1666"/>
      <c r="O4" s="1661" t="s">
        <v>221</v>
      </c>
      <c r="P4" s="1662"/>
      <c r="Q4" s="1662"/>
      <c r="R4" s="1662"/>
      <c r="S4" s="1662"/>
      <c r="T4" s="1662"/>
      <c r="U4" s="1662"/>
      <c r="V4" s="1662"/>
      <c r="W4" s="1663"/>
    </row>
    <row r="5" spans="1:36" s="57" customFormat="1" ht="15.75" thickBot="1">
      <c r="A5" s="59" t="s">
        <v>204</v>
      </c>
      <c r="B5" s="117">
        <v>1</v>
      </c>
      <c r="I5" s="60" t="s">
        <v>222</v>
      </c>
      <c r="J5" s="60" t="s">
        <v>223</v>
      </c>
      <c r="K5" s="60" t="s">
        <v>224</v>
      </c>
      <c r="L5" s="60" t="s">
        <v>225</v>
      </c>
      <c r="M5" s="60" t="s">
        <v>226</v>
      </c>
      <c r="N5" s="60" t="s">
        <v>227</v>
      </c>
      <c r="O5" s="60" t="s">
        <v>228</v>
      </c>
      <c r="P5" s="60" t="s">
        <v>229</v>
      </c>
      <c r="Q5" s="60" t="s">
        <v>230</v>
      </c>
      <c r="R5" s="60" t="s">
        <v>231</v>
      </c>
      <c r="S5" s="60" t="s">
        <v>232</v>
      </c>
      <c r="T5" s="60" t="s">
        <v>233</v>
      </c>
      <c r="U5" s="60" t="s">
        <v>17</v>
      </c>
      <c r="V5" s="60" t="s">
        <v>18</v>
      </c>
      <c r="W5" s="60" t="s">
        <v>19</v>
      </c>
      <c r="Z5" s="57" t="s">
        <v>4</v>
      </c>
      <c r="AA5" s="57" t="s">
        <v>5</v>
      </c>
      <c r="AB5" s="57" t="s">
        <v>6</v>
      </c>
      <c r="AC5" s="57" t="s">
        <v>7</v>
      </c>
      <c r="AD5" s="57" t="s">
        <v>13</v>
      </c>
      <c r="AE5" s="57" t="s">
        <v>14</v>
      </c>
      <c r="AF5" s="57" t="s">
        <v>15</v>
      </c>
      <c r="AG5" s="57" t="s">
        <v>16</v>
      </c>
      <c r="AH5" s="57" t="s">
        <v>17</v>
      </c>
      <c r="AI5" s="57" t="s">
        <v>18</v>
      </c>
      <c r="AJ5" s="57" t="s">
        <v>19</v>
      </c>
    </row>
    <row r="6" spans="1:36" ht="15.75" thickBot="1">
      <c r="A6" s="59" t="s">
        <v>205</v>
      </c>
      <c r="B6" s="117">
        <v>1</v>
      </c>
      <c r="H6" s="58" t="s">
        <v>234</v>
      </c>
      <c r="I6" s="58">
        <v>1</v>
      </c>
      <c r="J6" s="58">
        <f t="shared" ref="J6:W6" si="0">I6+1</f>
        <v>2</v>
      </c>
      <c r="K6" s="58">
        <f t="shared" si="0"/>
        <v>3</v>
      </c>
      <c r="L6" s="58">
        <f t="shared" si="0"/>
        <v>4</v>
      </c>
      <c r="M6" s="58">
        <f t="shared" si="0"/>
        <v>5</v>
      </c>
      <c r="N6" s="58">
        <f t="shared" si="0"/>
        <v>6</v>
      </c>
      <c r="O6" s="58">
        <f t="shared" si="0"/>
        <v>7</v>
      </c>
      <c r="P6" s="58">
        <f t="shared" si="0"/>
        <v>8</v>
      </c>
      <c r="Q6" s="58">
        <f t="shared" si="0"/>
        <v>9</v>
      </c>
      <c r="R6" s="58">
        <f t="shared" si="0"/>
        <v>10</v>
      </c>
      <c r="S6" s="58">
        <f t="shared" si="0"/>
        <v>11</v>
      </c>
      <c r="T6" s="58">
        <f t="shared" si="0"/>
        <v>12</v>
      </c>
      <c r="U6" s="58">
        <f t="shared" si="0"/>
        <v>13</v>
      </c>
      <c r="V6" s="58">
        <f t="shared" si="0"/>
        <v>14</v>
      </c>
      <c r="W6" s="58">
        <f t="shared" si="0"/>
        <v>15</v>
      </c>
    </row>
    <row r="7" spans="1:36" ht="15" thickBot="1">
      <c r="Q7" s="134">
        <f t="shared" ref="Q7:W7" si="1">$G$8</f>
        <v>0.05</v>
      </c>
      <c r="R7" s="134">
        <f t="shared" si="1"/>
        <v>0.05</v>
      </c>
      <c r="S7" s="134">
        <f t="shared" si="1"/>
        <v>0.05</v>
      </c>
      <c r="T7" s="134">
        <f t="shared" si="1"/>
        <v>0.05</v>
      </c>
      <c r="U7" s="134">
        <f t="shared" si="1"/>
        <v>0.05</v>
      </c>
      <c r="V7" s="134">
        <f t="shared" si="1"/>
        <v>0.05</v>
      </c>
      <c r="W7" s="134">
        <f t="shared" si="1"/>
        <v>0.05</v>
      </c>
    </row>
    <row r="8" spans="1:36" ht="15" thickBot="1">
      <c r="A8" s="54" t="s">
        <v>235</v>
      </c>
      <c r="G8" s="135">
        <v>0.05</v>
      </c>
    </row>
    <row r="9" spans="1:36">
      <c r="G9" s="62"/>
    </row>
    <row r="11" spans="1:36" ht="15">
      <c r="A11" s="59" t="s">
        <v>236</v>
      </c>
    </row>
    <row r="12" spans="1:36">
      <c r="I12" s="134" t="e">
        <f t="shared" ref="I12:V12" si="2">I13/H13-1</f>
        <v>#DIV/0!</v>
      </c>
      <c r="J12" s="134">
        <f t="shared" si="2"/>
        <v>-0.14423018010772692</v>
      </c>
      <c r="K12" s="134">
        <f t="shared" si="2"/>
        <v>0.11754074977604723</v>
      </c>
      <c r="L12" s="134">
        <f t="shared" si="2"/>
        <v>3.3912438249418475E-2</v>
      </c>
      <c r="M12" s="134">
        <f t="shared" si="2"/>
        <v>-0.33606641427711359</v>
      </c>
      <c r="N12" s="134">
        <f t="shared" si="2"/>
        <v>-1.0652682335094144</v>
      </c>
      <c r="O12" s="134">
        <f t="shared" si="2"/>
        <v>-11.909213411983391</v>
      </c>
      <c r="P12" s="134">
        <f t="shared" si="2"/>
        <v>-2.8116531137562673</v>
      </c>
      <c r="Q12" s="134">
        <f t="shared" si="2"/>
        <v>0.14539785934661986</v>
      </c>
      <c r="R12" s="134">
        <f t="shared" si="2"/>
        <v>-0.48116583973623261</v>
      </c>
      <c r="S12" s="134">
        <f t="shared" si="2"/>
        <v>-1.1396256735718149</v>
      </c>
      <c r="T12" s="134">
        <f t="shared" si="2"/>
        <v>1.3300955401267691</v>
      </c>
      <c r="U12" s="134">
        <f t="shared" si="2"/>
        <v>0.80473244209499084</v>
      </c>
      <c r="V12" s="134">
        <f t="shared" si="2"/>
        <v>0.61211313724062189</v>
      </c>
      <c r="W12" s="134">
        <f>W13/V13-1</f>
        <v>0.35218444939766091</v>
      </c>
    </row>
    <row r="13" spans="1:36" ht="15">
      <c r="B13" s="59" t="s">
        <v>237</v>
      </c>
      <c r="H13" s="643"/>
      <c r="I13" s="54">
        <f>'12 years sales &amp; PL forecast'!H173</f>
        <v>141213701.12</v>
      </c>
      <c r="J13" s="54">
        <f>'12 years sales &amp; PL forecast'!I173</f>
        <v>120846423.57378368</v>
      </c>
      <c r="K13" s="54">
        <f>'12 years sales &amp; PL forecast'!J173</f>
        <v>135050802.80840001</v>
      </c>
      <c r="L13" s="54">
        <f>'12 years sales &amp; PL forecast'!K173</f>
        <v>139630704.81917426</v>
      </c>
      <c r="M13" s="54">
        <f>'12 years sales &amp; PL forecast'!L173</f>
        <v>92705514.527608275</v>
      </c>
      <c r="N13" s="54">
        <f>'12 years sales &amp; PL forecast'!M173</f>
        <v>-6050725.1697983444</v>
      </c>
      <c r="O13" s="54">
        <f>'12 years sales &amp; PL forecast'!N173</f>
        <v>66008652.174589574</v>
      </c>
      <c r="P13" s="54">
        <f>'12 years sales &amp; PL forecast'!O173</f>
        <v>-119584780.24694961</v>
      </c>
      <c r="Q13" s="54">
        <f>'12 years sales &amp; PL forecast'!P173</f>
        <v>-136972151.30529204</v>
      </c>
      <c r="R13" s="54">
        <f>'12 years sales &amp; PL forecast'!Q173</f>
        <v>-71065831.102002889</v>
      </c>
      <c r="S13" s="54">
        <f>'12 years sales &amp; PL forecast'!R173</f>
        <v>9922614.5355579853</v>
      </c>
      <c r="T13" s="54">
        <f>'12 years sales &amp; PL forecast'!S173</f>
        <v>23120639.875700712</v>
      </c>
      <c r="U13" s="54">
        <f>'12 years sales &amp; PL forecast'!T173</f>
        <v>41726568.865672171</v>
      </c>
      <c r="V13" s="54">
        <f>'12 years sales &amp; PL forecast'!U173</f>
        <v>67267949.840325624</v>
      </c>
      <c r="W13" s="54">
        <f>'12 years sales &amp; PL forecast'!V173</f>
        <v>90958675.716950178</v>
      </c>
      <c r="Z13" s="408">
        <v>0</v>
      </c>
      <c r="AA13" s="408">
        <v>0</v>
      </c>
      <c r="AB13" s="408">
        <v>15470754.675931871</v>
      </c>
      <c r="AC13" s="408">
        <v>10482666.000436321</v>
      </c>
      <c r="AD13" s="408">
        <v>14486415.035617054</v>
      </c>
      <c r="AE13" s="408">
        <v>15062657.122939169</v>
      </c>
      <c r="AF13" s="408">
        <v>14924426.842092574</v>
      </c>
      <c r="AG13" s="408">
        <v>15589115.606616855</v>
      </c>
      <c r="AH13" s="408">
        <v>16266729.641663969</v>
      </c>
      <c r="AI13" s="408">
        <v>16983890.966195166</v>
      </c>
      <c r="AJ13" s="408">
        <v>17718530.042912245</v>
      </c>
    </row>
    <row r="14" spans="1:36">
      <c r="J14" s="68"/>
      <c r="K14" s="68"/>
      <c r="Z14" s="408">
        <v>0</v>
      </c>
      <c r="AA14" s="408">
        <v>0</v>
      </c>
      <c r="AB14" s="408">
        <v>0</v>
      </c>
      <c r="AC14" s="408">
        <v>0</v>
      </c>
      <c r="AD14" s="408">
        <v>0</v>
      </c>
      <c r="AE14" s="408">
        <v>0</v>
      </c>
      <c r="AF14" s="408">
        <v>0</v>
      </c>
      <c r="AG14" s="408">
        <v>0</v>
      </c>
      <c r="AH14" s="408">
        <v>0</v>
      </c>
      <c r="AI14" s="408">
        <v>0</v>
      </c>
      <c r="AJ14" s="408">
        <v>0</v>
      </c>
    </row>
    <row r="15" spans="1:36">
      <c r="B15" s="54" t="s">
        <v>238</v>
      </c>
      <c r="I15" s="54">
        <f>'12 years sales &amp; PL forecast'!H249</f>
        <v>5187076.3245678823</v>
      </c>
      <c r="J15" s="68">
        <f>'12 years sales &amp; PL forecast'!I249</f>
        <v>6909957.7964687077</v>
      </c>
      <c r="K15" s="68">
        <f>'12 years sales &amp; PL forecast'!J249</f>
        <v>6808608</v>
      </c>
      <c r="L15" s="54">
        <f>'12 years sales &amp; PL forecast'!K249</f>
        <v>7636592</v>
      </c>
      <c r="M15" s="54">
        <f>'12 years sales &amp; PL forecast'!L249</f>
        <v>7789023</v>
      </c>
      <c r="N15" s="87"/>
      <c r="O15" s="87"/>
      <c r="P15" s="68"/>
      <c r="Q15" s="68"/>
      <c r="R15" s="68"/>
      <c r="S15" s="68"/>
      <c r="T15" s="68"/>
      <c r="U15" s="68"/>
      <c r="V15" s="68"/>
      <c r="W15" s="68"/>
      <c r="Z15" s="408">
        <v>0</v>
      </c>
      <c r="AA15" s="408">
        <v>0</v>
      </c>
      <c r="AB15" s="408">
        <v>0</v>
      </c>
      <c r="AC15" s="408">
        <v>0</v>
      </c>
      <c r="AD15" s="408">
        <v>0</v>
      </c>
      <c r="AE15" s="408">
        <v>0</v>
      </c>
      <c r="AF15" s="408">
        <v>0</v>
      </c>
      <c r="AG15" s="408">
        <v>0</v>
      </c>
      <c r="AH15" s="408">
        <v>0</v>
      </c>
      <c r="AI15" s="408">
        <v>0</v>
      </c>
      <c r="AJ15" s="408">
        <v>0</v>
      </c>
    </row>
    <row r="16" spans="1:36">
      <c r="B16" s="54" t="s">
        <v>239</v>
      </c>
      <c r="I16" s="54">
        <f>'12 years sales &amp; PL forecast'!H250</f>
        <v>3024820</v>
      </c>
      <c r="J16" s="68">
        <f>'12 years sales &amp; PL forecast'!I250</f>
        <v>3830410</v>
      </c>
      <c r="K16" s="68">
        <f>'12 years sales &amp; PL forecast'!J250</f>
        <v>5729272.4600000009</v>
      </c>
      <c r="L16" s="54">
        <f>'12 years sales &amp; PL forecast'!K250</f>
        <v>5874073.9800000004</v>
      </c>
      <c r="M16" s="54">
        <f>'12 years sales &amp; PL forecast'!L250</f>
        <v>9384702.4600000009</v>
      </c>
      <c r="N16" s="87">
        <f>'12 years sales &amp; PL forecast'!M250</f>
        <v>9822016.1733333319</v>
      </c>
      <c r="O16" s="87">
        <f>'12 years sales &amp; PL forecast'!N250</f>
        <v>9348782.6099999994</v>
      </c>
      <c r="P16" s="54">
        <f>'12 years sales &amp; PL forecast'!O250</f>
        <v>103375366.86950359</v>
      </c>
      <c r="Q16" s="54">
        <f>'12 years sales &amp; PL forecast'!P250</f>
        <v>100026952.28196943</v>
      </c>
      <c r="R16" s="54">
        <f>'12 years sales &amp; PL forecast'!Q250</f>
        <v>86209996.674251556</v>
      </c>
      <c r="S16" s="54">
        <f>'12 years sales &amp; PL forecast'!R250</f>
        <v>35362563.445813686</v>
      </c>
      <c r="T16" s="54">
        <f>'12 years sales &amp; PL forecast'!S250</f>
        <v>24687787.489999998</v>
      </c>
      <c r="U16" s="54">
        <f>'12 years sales &amp; PL forecast'!T250</f>
        <v>24687787.489999998</v>
      </c>
      <c r="V16" s="54">
        <f>'12 years sales &amp; PL forecast'!U250</f>
        <v>24687787.489999998</v>
      </c>
      <c r="W16" s="54">
        <f>'12 years sales &amp; PL forecast'!V250</f>
        <v>24687787.489999998</v>
      </c>
      <c r="Z16" s="408">
        <v>0</v>
      </c>
      <c r="AA16" s="408">
        <v>0</v>
      </c>
      <c r="AB16" s="408">
        <v>0</v>
      </c>
      <c r="AC16" s="408">
        <v>0</v>
      </c>
      <c r="AD16" s="408">
        <v>0</v>
      </c>
      <c r="AE16" s="408">
        <v>0</v>
      </c>
      <c r="AF16" s="408">
        <v>0</v>
      </c>
      <c r="AG16" s="408">
        <v>0</v>
      </c>
      <c r="AH16" s="408">
        <v>0</v>
      </c>
      <c r="AI16" s="408">
        <v>0</v>
      </c>
      <c r="AJ16" s="408">
        <v>0</v>
      </c>
    </row>
    <row r="17" spans="1:36">
      <c r="B17" s="54" t="s">
        <v>808</v>
      </c>
      <c r="I17" s="54">
        <f>-('Manufacturing cost analysis'!J15-'Manufacturing cost analysis'!J12)*('Manufacturing cost analysis'!K58-'Manufacturing cost analysis'!K35-'Manufacturing cost analysis'!K36)</f>
        <v>-5350882.6037327908</v>
      </c>
      <c r="J17" s="68">
        <f>-('Manufacturing cost analysis'!M15-'Manufacturing cost analysis'!M12)*('Manufacturing cost analysis'!N58-'Manufacturing cost analysis'!N36-'Manufacturing cost analysis'!N35)</f>
        <v>396031.12171743443</v>
      </c>
      <c r="K17" s="68">
        <f>-('Manufacturing cost analysis'!P15-'Manufacturing cost analysis'!P12)*('Manufacturing cost analysis'!Q58-'Manufacturing cost analysis'!Q36-'Manufacturing cost analysis'!Q35)</f>
        <v>3985302.7737271199</v>
      </c>
      <c r="L17" s="68">
        <f>-('Manufacturing cost analysis'!V15-'Manufacturing cost analysis'!V12)*('Manufacturing cost analysis'!W58-'Manufacturing cost analysis'!W36-'Manufacturing cost analysis'!W35)</f>
        <v>-27217988.616179653</v>
      </c>
      <c r="M17" s="68">
        <v>-7293050</v>
      </c>
      <c r="N17" s="87">
        <v>2206555</v>
      </c>
      <c r="O17" s="87"/>
      <c r="P17" s="68"/>
      <c r="Q17" s="68"/>
      <c r="R17" s="68"/>
      <c r="S17" s="68"/>
      <c r="T17" s="68"/>
      <c r="U17" s="68"/>
      <c r="V17" s="68"/>
      <c r="W17" s="68"/>
      <c r="Z17" s="408">
        <v>0</v>
      </c>
      <c r="AA17" s="408">
        <v>0</v>
      </c>
      <c r="AB17" s="408">
        <v>0</v>
      </c>
      <c r="AC17" s="408">
        <v>0</v>
      </c>
      <c r="AD17" s="408">
        <v>0</v>
      </c>
      <c r="AE17" s="408">
        <v>0</v>
      </c>
      <c r="AF17" s="408">
        <v>0</v>
      </c>
      <c r="AG17" s="408">
        <v>0</v>
      </c>
      <c r="AH17" s="408">
        <v>0</v>
      </c>
      <c r="AI17" s="408">
        <v>0</v>
      </c>
      <c r="AJ17" s="408">
        <v>0</v>
      </c>
    </row>
    <row r="18" spans="1:36" s="68" customFormat="1">
      <c r="B18" s="68" t="s">
        <v>1850</v>
      </c>
      <c r="N18" s="87">
        <f>SUM('12 years sales &amp; PL forecast'!M76:M78)</f>
        <v>51527134.084068105</v>
      </c>
      <c r="O18" s="87">
        <f>SUM('12 years sales &amp; PL forecast'!N76:N78)</f>
        <v>72395050.845410377</v>
      </c>
      <c r="P18" s="68">
        <f>SUM('12 years sales &amp; PL forecast'!O76:O78)</f>
        <v>68377110.958265409</v>
      </c>
      <c r="Q18" s="68">
        <f>SUM('12 years sales &amp; PL forecast'!P76:P78)</f>
        <v>94561645.326118931</v>
      </c>
      <c r="R18" s="68">
        <f>SUM('12 years sales &amp; PL forecast'!Q76:Q78)</f>
        <v>113947502.84077211</v>
      </c>
      <c r="S18" s="68">
        <f>SUM('12 years sales &amp; PL forecast'!R76:R78)</f>
        <v>171891032.73249611</v>
      </c>
      <c r="T18" s="68">
        <f>SUM('12 years sales &amp; PL forecast'!S76:S78)</f>
        <v>203654872.57452625</v>
      </c>
      <c r="U18" s="68">
        <f>SUM('12 years sales &amp; PL forecast'!T76:T78)</f>
        <v>211708687.93130189</v>
      </c>
      <c r="V18" s="68">
        <f>SUM('12 years sales &amp; PL forecast'!U76:U78)</f>
        <v>228110200.88914457</v>
      </c>
      <c r="W18" s="68">
        <f>SUM('12 years sales &amp; PL forecast'!V76:V78)</f>
        <v>240454863.42827743</v>
      </c>
      <c r="Z18" s="408">
        <v>0</v>
      </c>
      <c r="AA18" s="408">
        <v>0</v>
      </c>
      <c r="AB18" s="408">
        <v>-996647.82404276729</v>
      </c>
      <c r="AC18" s="408">
        <v>-2415804.2481765151</v>
      </c>
      <c r="AD18" s="408">
        <v>-5754274.1308199763</v>
      </c>
      <c r="AE18" s="408">
        <v>-5951836.8754452467</v>
      </c>
      <c r="AF18" s="408">
        <v>-5814671.5876879096</v>
      </c>
      <c r="AG18" s="408">
        <v>-5988927.0305107832</v>
      </c>
      <c r="AH18" s="408">
        <v>-6168410.1366183162</v>
      </c>
      <c r="AI18" s="408">
        <v>-6353277.7359092236</v>
      </c>
      <c r="AJ18" s="408">
        <v>-6543691.3631789088</v>
      </c>
    </row>
    <row r="19" spans="1:36" s="68" customFormat="1">
      <c r="B19" s="68" t="s">
        <v>1749</v>
      </c>
      <c r="L19" s="68">
        <f>'12 years sales &amp; PL forecast'!K163</f>
        <v>0</v>
      </c>
      <c r="M19" s="68">
        <f>'12 years sales &amp; PL forecast'!L163</f>
        <v>0</v>
      </c>
      <c r="N19" s="87">
        <f>'12 years sales &amp; PL forecast'!M163</f>
        <v>0</v>
      </c>
      <c r="O19" s="87">
        <f>'12 years sales &amp; PL forecast'!N163</f>
        <v>1948970.54</v>
      </c>
      <c r="P19" s="68">
        <f>'12 years sales &amp; PL forecast'!O163</f>
        <v>11163722.732315069</v>
      </c>
      <c r="Q19" s="68">
        <f>'12 years sales &amp; PL forecast'!P163</f>
        <v>14281796.571352741</v>
      </c>
      <c r="R19" s="68">
        <f>'12 years sales &amp; PL forecast'!Q163</f>
        <v>7846421.4940068489</v>
      </c>
      <c r="S19" s="68">
        <f>'12 years sales &amp; PL forecast'!R163</f>
        <v>1486239.6041609589</v>
      </c>
      <c r="T19" s="68">
        <f>'12 years sales &amp; PL forecast'!S163</f>
        <v>97224.322191780826</v>
      </c>
      <c r="U19" s="68">
        <f>'12 years sales &amp; PL forecast'!T163</f>
        <v>14767.683287671234</v>
      </c>
      <c r="V19" s="68">
        <f>'12 years sales &amp; PL forecast'!U163</f>
        <v>0</v>
      </c>
      <c r="W19" s="68">
        <f>'12 years sales &amp; PL forecast'!V163</f>
        <v>0</v>
      </c>
      <c r="Z19" s="408"/>
      <c r="AA19" s="408"/>
      <c r="AB19" s="408"/>
      <c r="AC19" s="408"/>
      <c r="AD19" s="408"/>
      <c r="AE19" s="408"/>
      <c r="AF19" s="408"/>
      <c r="AG19" s="408"/>
      <c r="AH19" s="408"/>
      <c r="AI19" s="408"/>
      <c r="AJ19" s="408"/>
    </row>
    <row r="20" spans="1:36" s="68" customFormat="1">
      <c r="B20" s="68" t="s">
        <v>809</v>
      </c>
      <c r="N20" s="87">
        <f>-('Manufacturing cost analysis'!AB58-'Manufacturing cost analysis'!AB36-'Manufacturing cost analysis'!AB35)</f>
        <v>-38917781</v>
      </c>
      <c r="O20" s="87">
        <f>-('Manufacturing cost analysis'!AE58-'Manufacturing cost analysis'!AE36-'Manufacturing cost analysis'!AE35)+('Manufacturing cost analysis'!AQ58-'Manufacturing cost analysis'!AQ35-'Manufacturing cost analysis'!AQ36)</f>
        <v>-39130191.829999998</v>
      </c>
      <c r="P20" s="68">
        <f>-(('Manufacturing cost analysis'!AH58-'Manufacturing cost analysis'!AH36-'Manufacturing cost analysis'!AH35)+(SUM('Manufacturing cost analysis'!AV78:AW78)-SUM('Manufacturing cost analysis'!AV86:AW86)))</f>
        <v>-63557684.044149242</v>
      </c>
      <c r="Q20" s="68">
        <f>-(('Manufacturing cost analysis'!AK58-'Manufacturing cost analysis'!AK36-'Manufacturing cost analysis'!AK35)+(SUM('Manufacturing cost analysis'!AZ78:BA78)-SUM('Manufacturing cost analysis'!AZ86:BA86)))</f>
        <v>-70373123.266186908</v>
      </c>
      <c r="R20" s="68">
        <f>-(('Manufacturing cost analysis'!AN58-'Manufacturing cost analysis'!AN36-'Manufacturing cost analysis'!AN35)+(SUM('Manufacturing cost analysis'!BD78:BE78)-SUM('Manufacturing cost analysis'!BD86:BE86)))</f>
        <v>-70814050.935573712</v>
      </c>
      <c r="S20" s="68">
        <f>-(SUM('Manufacturing cost analysis'!BH78:BI78)-SUM('Manufacturing cost analysis'!BH86:BI86))</f>
        <v>-102906504.93645903</v>
      </c>
      <c r="T20" s="68">
        <f>-(SUM('Manufacturing cost analysis'!BL78:BM78)-SUM('Manufacturing cost analysis'!BL86:BM86))</f>
        <v>-121554552.0659277</v>
      </c>
      <c r="U20" s="68">
        <f>-(SUM('Manufacturing cost analysis'!BP78:BQ78)-SUM('Manufacturing cost analysis'!BP86:BQ86))</f>
        <v>-126776635.55876051</v>
      </c>
      <c r="V20" s="68">
        <f>-(SUM('Manufacturing cost analysis'!BT78:BU78)-SUM('Manufacturing cost analysis'!BT86:BU86))</f>
        <v>-139024746.60206595</v>
      </c>
      <c r="W20" s="68">
        <f>-(SUM('Manufacturing cost analysis'!BX78:BY78)-SUM('Manufacturing cost analysis'!BX86:BY86))</f>
        <v>-151530733.30234578</v>
      </c>
      <c r="Z20" s="408">
        <v>0</v>
      </c>
      <c r="AA20" s="408">
        <v>0</v>
      </c>
      <c r="AB20" s="408">
        <v>-265948.33893881738</v>
      </c>
      <c r="AC20" s="408">
        <v>3856447.3684768975</v>
      </c>
      <c r="AD20" s="408">
        <v>5921698.1060112119</v>
      </c>
      <c r="AE20" s="408">
        <v>5639334.719189167</v>
      </c>
      <c r="AF20" s="408">
        <v>5808514.7607648075</v>
      </c>
      <c r="AG20" s="408">
        <v>5982770.2035877705</v>
      </c>
      <c r="AH20" s="408">
        <v>6162253.309695363</v>
      </c>
      <c r="AI20" s="408">
        <v>6347120.9089862108</v>
      </c>
      <c r="AJ20" s="408">
        <v>6537534.5362558365</v>
      </c>
    </row>
    <row r="21" spans="1:36">
      <c r="B21" s="54" t="s">
        <v>1775</v>
      </c>
      <c r="I21" s="54">
        <f>-16511689-961-207969</f>
        <v>-16720619</v>
      </c>
      <c r="J21" s="68">
        <f>14172181-788030-2292</f>
        <v>13381859</v>
      </c>
      <c r="K21" s="68">
        <f>-31182323+629587+5194451</f>
        <v>-25358285</v>
      </c>
      <c r="L21" s="54">
        <f>5127587+2071551+116602+552</f>
        <v>7316292</v>
      </c>
      <c r="M21" s="87">
        <f>5514623.35242771-565954</f>
        <v>4948669.3524277098</v>
      </c>
      <c r="N21" s="87">
        <f>54589194.03-25148724+7393923.09516284+888409.60593587</f>
        <v>37722802.731098711</v>
      </c>
      <c r="O21" s="87"/>
      <c r="Z21" s="408">
        <v>0</v>
      </c>
      <c r="AA21" s="408">
        <v>0</v>
      </c>
      <c r="AB21" s="408">
        <v>0</v>
      </c>
      <c r="AC21" s="408">
        <v>0</v>
      </c>
      <c r="AD21" s="408">
        <v>0</v>
      </c>
      <c r="AE21" s="408">
        <v>0</v>
      </c>
      <c r="AF21" s="408">
        <v>0</v>
      </c>
      <c r="AG21" s="408">
        <v>0</v>
      </c>
      <c r="AH21" s="408">
        <v>0</v>
      </c>
      <c r="AI21" s="408">
        <v>0</v>
      </c>
      <c r="AJ21" s="408">
        <v>0</v>
      </c>
    </row>
    <row r="22" spans="1:36">
      <c r="A22" s="54" t="s">
        <v>240</v>
      </c>
      <c r="B22" s="54" t="s">
        <v>241</v>
      </c>
      <c r="I22" s="54">
        <f>-19919836-4348568</f>
        <v>-24268404</v>
      </c>
      <c r="J22" s="68">
        <f>8725821-1778223</f>
        <v>6947598</v>
      </c>
      <c r="K22" s="68">
        <f>-1826365+5881345</f>
        <v>4054980</v>
      </c>
      <c r="L22" s="54">
        <f>-'12 years sales &amp; PL forecast'!K296</f>
        <v>-2063842.4203149043</v>
      </c>
      <c r="M22" s="89">
        <v>-6012885</v>
      </c>
      <c r="N22" s="87">
        <f>-'12 years sales &amp; PL forecast'!M296</f>
        <v>267665</v>
      </c>
      <c r="O22" s="87">
        <f>-'12 years sales &amp; PL forecast'!N296</f>
        <v>554561.99718716135</v>
      </c>
      <c r="P22" s="54">
        <f>-'12 years sales &amp; PL forecast'!O296</f>
        <v>-2613495.8470781995</v>
      </c>
      <c r="Q22" s="54">
        <f>-'12 years sales &amp; PL forecast'!P296</f>
        <v>-1077065.8687006475</v>
      </c>
      <c r="R22" s="54">
        <f>-'12 years sales &amp; PL forecast'!Q296</f>
        <v>-1559231.1120781051</v>
      </c>
      <c r="S22" s="54">
        <f>-'12 years sales &amp; PL forecast'!R296</f>
        <v>-2255176.6550839497</v>
      </c>
      <c r="T22" s="54">
        <f>-'12 years sales &amp; PL forecast'!S296</f>
        <v>-2466392.7109897146</v>
      </c>
      <c r="U22" s="54">
        <f>-'12 years sales &amp; PL forecast'!T296</f>
        <v>-2543479.0082546938</v>
      </c>
      <c r="V22" s="87">
        <f>-'12 years sales &amp; PL forecast'!U296</f>
        <v>-2705709.6148778149</v>
      </c>
      <c r="W22" s="87">
        <f>-'12 years sales &amp; PL forecast'!V296</f>
        <v>-3812859.447861535</v>
      </c>
      <c r="Z22" s="408">
        <v>0</v>
      </c>
      <c r="AA22" s="408">
        <v>0</v>
      </c>
      <c r="AB22" s="408">
        <v>0</v>
      </c>
      <c r="AC22" s="408">
        <v>0</v>
      </c>
      <c r="AD22" s="408">
        <v>0</v>
      </c>
      <c r="AE22" s="408">
        <v>0</v>
      </c>
      <c r="AF22" s="408">
        <v>0</v>
      </c>
      <c r="AG22" s="408">
        <v>0</v>
      </c>
      <c r="AH22" s="408">
        <v>-30923764.570744604</v>
      </c>
      <c r="AI22" s="408">
        <v>10095893.256507792</v>
      </c>
      <c r="AJ22" s="408">
        <v>-2919657.7515275329</v>
      </c>
    </row>
    <row r="23" spans="1:36">
      <c r="J23" s="68"/>
      <c r="K23" s="68"/>
      <c r="Z23" s="408">
        <v>0</v>
      </c>
      <c r="AA23" s="408">
        <v>0</v>
      </c>
      <c r="AB23" s="408">
        <v>0</v>
      </c>
      <c r="AC23" s="408">
        <v>0</v>
      </c>
      <c r="AD23" s="408">
        <v>0</v>
      </c>
      <c r="AE23" s="408">
        <v>0</v>
      </c>
      <c r="AF23" s="408">
        <v>0</v>
      </c>
      <c r="AG23" s="408">
        <v>0</v>
      </c>
      <c r="AH23" s="408">
        <v>0</v>
      </c>
      <c r="AI23" s="408">
        <v>0</v>
      </c>
      <c r="AJ23" s="408">
        <v>0</v>
      </c>
    </row>
    <row r="24" spans="1:36">
      <c r="A24" s="54" t="s">
        <v>242</v>
      </c>
      <c r="I24" s="70">
        <f t="shared" ref="I24:T24" si="3">SUM(I13:I23)</f>
        <v>103085691.84083509</v>
      </c>
      <c r="J24" s="71">
        <f t="shared" si="3"/>
        <v>152312279.49196982</v>
      </c>
      <c r="K24" s="71">
        <f>SUM(K13:K23)</f>
        <v>130270681.04212713</v>
      </c>
      <c r="L24" s="70">
        <f>SUM(L13:L23)</f>
        <v>131175831.7626797</v>
      </c>
      <c r="M24" s="70">
        <f>SUM(M13:M23)</f>
        <v>101521974.34003599</v>
      </c>
      <c r="N24" s="70">
        <f t="shared" si="3"/>
        <v>56577666.818701804</v>
      </c>
      <c r="O24" s="70">
        <f t="shared" si="3"/>
        <v>111125826.3371871</v>
      </c>
      <c r="P24" s="70">
        <f t="shared" si="3"/>
        <v>-2839759.5780929876</v>
      </c>
      <c r="Q24" s="70">
        <f t="shared" si="3"/>
        <v>448053.73926149891</v>
      </c>
      <c r="R24" s="70">
        <f t="shared" si="3"/>
        <v>64564807.859375812</v>
      </c>
      <c r="S24" s="70">
        <f t="shared" si="3"/>
        <v>113500768.72648576</v>
      </c>
      <c r="T24" s="70">
        <f t="shared" si="3"/>
        <v>127539579.48550133</v>
      </c>
      <c r="U24" s="70">
        <f>SUM(U13:U23)</f>
        <v>148817697.40324652</v>
      </c>
      <c r="V24" s="70">
        <f>SUM(V13:V23)</f>
        <v>178335482.00252643</v>
      </c>
      <c r="W24" s="70">
        <f>SUM(W13:W23)</f>
        <v>200757733.88502032</v>
      </c>
      <c r="Z24" s="408">
        <v>0</v>
      </c>
      <c r="AA24" s="408">
        <v>0</v>
      </c>
      <c r="AB24" s="408">
        <v>14208158.512950301</v>
      </c>
      <c r="AC24" s="408">
        <v>11923309.120736688</v>
      </c>
      <c r="AD24" s="408">
        <v>14653839.010808289</v>
      </c>
      <c r="AE24" s="408">
        <v>14750154.96668303</v>
      </c>
      <c r="AF24" s="408">
        <v>14918270.015169442</v>
      </c>
      <c r="AG24" s="408">
        <v>15582958.779693842</v>
      </c>
      <c r="AH24" s="408">
        <v>-14663191.756003559</v>
      </c>
      <c r="AI24" s="408">
        <v>27073627.395780027</v>
      </c>
      <c r="AJ24" s="408">
        <v>14792715.464461684</v>
      </c>
    </row>
    <row r="25" spans="1:36">
      <c r="J25" s="68"/>
      <c r="K25" s="68"/>
      <c r="Z25" s="408">
        <v>0</v>
      </c>
      <c r="AA25" s="408">
        <v>0</v>
      </c>
      <c r="AB25" s="408">
        <v>0</v>
      </c>
      <c r="AC25" s="408">
        <v>0</v>
      </c>
      <c r="AD25" s="408">
        <v>0</v>
      </c>
      <c r="AE25" s="408">
        <v>0</v>
      </c>
      <c r="AF25" s="408">
        <v>0</v>
      </c>
      <c r="AG25" s="408">
        <v>0</v>
      </c>
      <c r="AH25" s="408">
        <v>0</v>
      </c>
      <c r="AI25" s="408">
        <v>0</v>
      </c>
      <c r="AJ25" s="408">
        <v>0</v>
      </c>
    </row>
    <row r="26" spans="1:36" ht="15">
      <c r="B26" s="59" t="s">
        <v>243</v>
      </c>
      <c r="J26" s="68"/>
      <c r="K26" s="68"/>
      <c r="Z26" s="408">
        <v>0</v>
      </c>
      <c r="AA26" s="408">
        <v>0</v>
      </c>
      <c r="AB26" s="408">
        <v>0</v>
      </c>
      <c r="AC26" s="408">
        <v>0</v>
      </c>
      <c r="AD26" s="408">
        <v>0</v>
      </c>
      <c r="AE26" s="408">
        <v>0</v>
      </c>
      <c r="AF26" s="408">
        <v>0</v>
      </c>
      <c r="AG26" s="408">
        <v>0</v>
      </c>
      <c r="AH26" s="408">
        <v>0</v>
      </c>
      <c r="AI26" s="408">
        <v>0</v>
      </c>
      <c r="AJ26" s="408">
        <v>0</v>
      </c>
    </row>
    <row r="27" spans="1:36">
      <c r="B27" s="54" t="s">
        <v>142</v>
      </c>
      <c r="I27" s="54">
        <f>-SUM('12 years sales &amp; PL forecast'!H176:H177)</f>
        <v>-7767154</v>
      </c>
      <c r="J27" s="68">
        <f>-SUM('12 years sales &amp; PL forecast'!I176:I177)</f>
        <v>-2492342</v>
      </c>
      <c r="K27" s="68">
        <f>-SUM('12 years sales &amp; PL forecast'!J176:J177)</f>
        <v>3901689.0199999996</v>
      </c>
      <c r="L27" s="54">
        <f>-SUM('12 years sales &amp; PL forecast'!K176:K177)</f>
        <v>-2461104.9799999986</v>
      </c>
      <c r="M27" s="54">
        <f>-SUM('12 years sales &amp; PL forecast'!L176:L177)</f>
        <v>-3058255.63</v>
      </c>
      <c r="N27" s="54">
        <f>-SUM('12 years sales &amp; PL forecast'!M176:M177)</f>
        <v>18044139.25</v>
      </c>
      <c r="O27" s="54">
        <f>-SUM('12 years sales &amp; PL forecast'!N176:N177)</f>
        <v>4277127.6399999987</v>
      </c>
      <c r="P27" s="54">
        <f>-SUM('12 years sales &amp; PL forecast'!O176:O177)</f>
        <v>5470000</v>
      </c>
      <c r="Q27" s="54">
        <f>-SUM('12 years sales &amp; PL forecast'!P176:P177)</f>
        <v>0</v>
      </c>
      <c r="R27" s="54">
        <f>-SUM('12 years sales &amp; PL forecast'!Q176:Q177)</f>
        <v>0</v>
      </c>
      <c r="S27" s="54">
        <f>-SUM('12 years sales &amp; PL forecast'!R176:R177)</f>
        <v>0</v>
      </c>
      <c r="T27" s="54">
        <f>-SUM('12 years sales &amp; PL forecast'!S176:S177)</f>
        <v>0</v>
      </c>
      <c r="U27" s="54">
        <f>-SUM('12 years sales &amp; PL forecast'!T176:T177)</f>
        <v>0</v>
      </c>
      <c r="V27" s="54">
        <f>-SUM('12 years sales &amp; PL forecast'!U176:U177)</f>
        <v>0</v>
      </c>
      <c r="W27" s="54">
        <f>-SUM('12 years sales &amp; PL forecast'!V176:V177)</f>
        <v>0</v>
      </c>
      <c r="Z27" s="408">
        <v>0</v>
      </c>
      <c r="AA27" s="408">
        <v>0</v>
      </c>
      <c r="AB27" s="408">
        <v>0</v>
      </c>
      <c r="AC27" s="408">
        <v>0</v>
      </c>
      <c r="AD27" s="408">
        <v>0</v>
      </c>
      <c r="AE27" s="408">
        <v>0</v>
      </c>
      <c r="AF27" s="408">
        <v>0</v>
      </c>
      <c r="AG27" s="408">
        <v>0</v>
      </c>
      <c r="AH27" s="408">
        <v>0</v>
      </c>
      <c r="AI27" s="408">
        <v>0</v>
      </c>
      <c r="AJ27" s="408">
        <v>0</v>
      </c>
    </row>
    <row r="28" spans="1:36">
      <c r="B28" s="289" t="s">
        <v>1506</v>
      </c>
      <c r="I28" s="54">
        <f>'12 years sales &amp; PL forecast'!H188</f>
        <v>0</v>
      </c>
      <c r="J28" s="54">
        <f>'12 years sales &amp; PL forecast'!I188</f>
        <v>0</v>
      </c>
      <c r="K28" s="54">
        <f>'12 years sales &amp; PL forecast'!J188</f>
        <v>0</v>
      </c>
      <c r="L28" s="54">
        <f>'12 years sales &amp; PL forecast'!K188</f>
        <v>0</v>
      </c>
      <c r="M28" s="54">
        <f>'12 years sales &amp; PL forecast'!L188</f>
        <v>0</v>
      </c>
      <c r="N28" s="54">
        <f>'12 years sales &amp; PL forecast'!M188</f>
        <v>0</v>
      </c>
      <c r="O28" s="54">
        <f>'12 years sales &amp; PL forecast'!N188</f>
        <v>0</v>
      </c>
      <c r="P28" s="54">
        <f>'12 years sales &amp; PL forecast'!O188</f>
        <v>0</v>
      </c>
      <c r="Q28" s="54">
        <f>'12 years sales &amp; PL forecast'!P188</f>
        <v>0</v>
      </c>
      <c r="R28" s="54">
        <f>'12 years sales &amp; PL forecast'!Q188</f>
        <v>0</v>
      </c>
      <c r="S28" s="54">
        <f>'12 years sales &amp; PL forecast'!R188</f>
        <v>0</v>
      </c>
      <c r="T28" s="54">
        <f>'12 years sales &amp; PL forecast'!S188</f>
        <v>0</v>
      </c>
      <c r="U28" s="54">
        <f>'12 years sales &amp; PL forecast'!T188</f>
        <v>0</v>
      </c>
      <c r="V28" s="54">
        <f>'12 years sales &amp; PL forecast'!U188</f>
        <v>0</v>
      </c>
      <c r="W28" s="54">
        <f>'12 years sales &amp; PL forecast'!V188</f>
        <v>0</v>
      </c>
      <c r="Z28" s="408"/>
      <c r="AA28" s="408"/>
      <c r="AB28" s="408"/>
      <c r="AC28" s="408"/>
      <c r="AD28" s="408"/>
      <c r="AE28" s="408"/>
      <c r="AF28" s="408"/>
      <c r="AG28" s="408"/>
      <c r="AH28" s="408"/>
      <c r="AI28" s="408"/>
      <c r="AJ28" s="408"/>
    </row>
    <row r="29" spans="1:36">
      <c r="B29" s="54" t="s">
        <v>551</v>
      </c>
      <c r="I29" s="54">
        <f>-2419282</f>
        <v>-2419282</v>
      </c>
      <c r="J29" s="141">
        <f>-SUMIFS('12 years sales &amp; PL forecast'!I$191:I$209,'12 years sales &amp; PL forecast'!$C$191:$C$209,"CRO")</f>
        <v>-2281176.9</v>
      </c>
      <c r="K29" s="141">
        <f>-SUMIFS('12 years sales &amp; PL forecast'!J$191:J$209,'12 years sales &amp; PL forecast'!$C$191:$C$209,"CRO")</f>
        <v>-3665031</v>
      </c>
      <c r="L29" s="141">
        <f>-SUMIFS('12 years sales &amp; PL forecast'!K$191:K$209,'12 years sales &amp; PL forecast'!$C$191:$C$209,"CRO")</f>
        <v>-4484854.9400000004</v>
      </c>
      <c r="M29" s="141">
        <f>-SUMIFS('12 years sales &amp; PL forecast'!L$191:L$209,'12 years sales &amp; PL forecast'!$C$191:$C$209,"CRO")</f>
        <v>-2242331.0099999998</v>
      </c>
      <c r="N29" s="141">
        <f>-SUMIFS('12 years sales &amp; PL forecast'!M$191:M$209,'12 years sales &amp; PL forecast'!$C$191:$C$209,"CRO")</f>
        <v>-119333</v>
      </c>
      <c r="O29" s="141">
        <f>-SUMIFS('12 years sales &amp; PL forecast'!N$191:N$209,'12 years sales &amp; PL forecast'!$C$191:$C$209,"CRO")</f>
        <v>-660528.69000000006</v>
      </c>
      <c r="P29" s="1139">
        <f>-SUMIFS('12 years sales &amp; PL forecast'!O$191:O$209,'12 years sales &amp; PL forecast'!$C$191:$C$209,"CRO")</f>
        <v>0</v>
      </c>
      <c r="Q29" s="1139">
        <f>-SUMIFS('12 years sales &amp; PL forecast'!P$191:P$209,'12 years sales &amp; PL forecast'!$C$191:$C$209,"CRO")</f>
        <v>0</v>
      </c>
      <c r="R29" s="141">
        <f>-SUMIFS('12 years sales &amp; PL forecast'!Q$191:Q$209,'12 years sales &amp; PL forecast'!$C$191:$C$209,"CRO")</f>
        <v>0</v>
      </c>
      <c r="S29" s="141">
        <f>-SUMIFS('12 years sales &amp; PL forecast'!R$191:R$209,'12 years sales &amp; PL forecast'!$C$191:$C$209,"CRO")</f>
        <v>0</v>
      </c>
      <c r="T29" s="141">
        <f>-SUMIFS('12 years sales &amp; PL forecast'!S$191:S$209,'12 years sales &amp; PL forecast'!$C$191:$C$209,"CRO")</f>
        <v>0</v>
      </c>
      <c r="U29" s="141">
        <f>-SUMIFS('12 years sales &amp; PL forecast'!T$191:T$209,'12 years sales &amp; PL forecast'!$C$191:$C$209,"CRO")</f>
        <v>0</v>
      </c>
      <c r="V29" s="141">
        <f>-SUMIFS('12 years sales &amp; PL forecast'!U$191:U$209,'12 years sales &amp; PL forecast'!$C$191:$C$209,"CRO")</f>
        <v>0</v>
      </c>
      <c r="W29" s="141">
        <f>-SUMIFS('12 years sales &amp; PL forecast'!V$191:V$209,'12 years sales &amp; PL forecast'!$C$191:$C$209,"CRO")</f>
        <v>0</v>
      </c>
      <c r="Z29" s="408">
        <v>0</v>
      </c>
      <c r="AA29" s="408">
        <v>0</v>
      </c>
      <c r="AB29" s="408">
        <v>0</v>
      </c>
      <c r="AC29" s="408">
        <v>0</v>
      </c>
      <c r="AD29" s="408">
        <v>0</v>
      </c>
      <c r="AE29" s="408">
        <v>0</v>
      </c>
      <c r="AF29" s="408">
        <v>0</v>
      </c>
      <c r="AG29" s="408">
        <v>0</v>
      </c>
      <c r="AH29" s="408">
        <v>0</v>
      </c>
      <c r="AI29" s="408">
        <v>0</v>
      </c>
      <c r="AJ29" s="408">
        <v>0</v>
      </c>
    </row>
    <row r="30" spans="1:36">
      <c r="B30" s="54" t="s">
        <v>244</v>
      </c>
      <c r="I30" s="54">
        <f>-'12 years sales &amp; PL forecast'!H191-SUM('12 years sales &amp; PL forecast'!H193:H202)-SUM('12 years sales &amp; PL forecast'!H204:H209)+(-I29)</f>
        <v>-10460812</v>
      </c>
      <c r="J30" s="141">
        <f>-SUMIFS('12 years sales &amp; PL forecast'!I$191:I$209,'12 years sales &amp; PL forecast'!$C$191:$C$209,"Yuen Long Project costs")</f>
        <v>-6581413.6700000009</v>
      </c>
      <c r="K30" s="141">
        <f>-SUMIFS('12 years sales &amp; PL forecast'!J$191:J$209,'12 years sales &amp; PL forecast'!$C$191:$C$209,"Yuen Long Project costs")</f>
        <v>-6910939.3199999901</v>
      </c>
      <c r="L30" s="141">
        <f>-SUMIFS('12 years sales &amp; PL forecast'!K$191:K$209,'12 years sales &amp; PL forecast'!$C$191:$C$209,"Yuen Long Project costs")</f>
        <v>-5539997.9200000037</v>
      </c>
      <c r="M30" s="141">
        <f>-SUMIFS('12 years sales &amp; PL forecast'!L$191:L$209,'12 years sales &amp; PL forecast'!$C$191:$C$209,"Yuen Long Project costs")</f>
        <v>-9257035.1699999999</v>
      </c>
      <c r="N30" s="141">
        <f>-SUMIFS('12 years sales &amp; PL forecast'!M$191:M$209,'12 years sales &amp; PL forecast'!$C$191:$C$209,"Yuen Long Project costs")</f>
        <v>-15829130.533236312</v>
      </c>
      <c r="O30" s="141">
        <f>-SUMIFS('12 years sales &amp; PL forecast'!N$191:N$209,'12 years sales &amp; PL forecast'!$C$191:$C$209,"Yuen Long Project costs")</f>
        <v>-5001091.3500000006</v>
      </c>
      <c r="P30" s="1139">
        <f>-SUMIFS('12 years sales &amp; PL forecast'!O$191:O$209,'12 years sales &amp; PL forecast'!$C$191:$C$209,"Yuen Long Project costs")</f>
        <v>0</v>
      </c>
      <c r="Q30" s="1139">
        <f>-SUMIFS('12 years sales &amp; PL forecast'!P$191:P$209,'12 years sales &amp; PL forecast'!$C$191:$C$209,"Yuen Long Project costs")</f>
        <v>0</v>
      </c>
      <c r="R30" s="54">
        <f>-SUMIFS('12 years sales &amp; PL forecast'!Q$191:Q$209,'12 years sales &amp; PL forecast'!$C$191:$C$209,"Yuen Long Project costs")</f>
        <v>0</v>
      </c>
      <c r="S30" s="54">
        <f>-SUMIFS('12 years sales &amp; PL forecast'!R$191:R$209,'12 years sales &amp; PL forecast'!$C$191:$C$209,"Yuen Long Project costs")</f>
        <v>0</v>
      </c>
      <c r="T30" s="54">
        <f>-SUMIFS('12 years sales &amp; PL forecast'!S$191:S$209,'12 years sales &amp; PL forecast'!$C$191:$C$209,"Yuen Long Project costs")</f>
        <v>0</v>
      </c>
      <c r="U30" s="54">
        <f>-SUMIFS('12 years sales &amp; PL forecast'!T$191:T$209,'12 years sales &amp; PL forecast'!$C$191:$C$209,"Yuen Long Project costs")</f>
        <v>0</v>
      </c>
      <c r="V30" s="54">
        <f>-SUMIFS('12 years sales &amp; PL forecast'!U$191:U$209,'12 years sales &amp; PL forecast'!$C$191:$C$209,"Yuen Long Project costs")</f>
        <v>0</v>
      </c>
      <c r="W30" s="54">
        <f>-SUMIFS('12 years sales &amp; PL forecast'!V$191:V$209,'12 years sales &amp; PL forecast'!$C$191:$C$209,"Yuen Long Project costs")</f>
        <v>0</v>
      </c>
      <c r="Z30" s="408">
        <v>0</v>
      </c>
      <c r="AA30" s="408">
        <v>0</v>
      </c>
      <c r="AB30" s="408">
        <v>621678.72007844225</v>
      </c>
      <c r="AC30" s="408">
        <v>326397.34084039927</v>
      </c>
      <c r="AD30" s="408">
        <v>0</v>
      </c>
      <c r="AE30" s="408">
        <v>0</v>
      </c>
      <c r="AF30" s="408">
        <v>0</v>
      </c>
      <c r="AG30" s="408">
        <v>0</v>
      </c>
      <c r="AH30" s="408">
        <v>0</v>
      </c>
      <c r="AI30" s="408">
        <v>0</v>
      </c>
      <c r="AJ30" s="408">
        <v>0</v>
      </c>
    </row>
    <row r="31" spans="1:36">
      <c r="B31" s="54" t="s">
        <v>245</v>
      </c>
      <c r="J31" s="141">
        <f>-SUMIFS('12 years sales &amp; PL forecast'!I$191:I$209,'12 years sales &amp; PL forecast'!$C$191:$C$209,"Trial run &amp; PV")</f>
        <v>-11569.83</v>
      </c>
      <c r="K31" s="141">
        <f>-SUMIFS('12 years sales &amp; PL forecast'!J$191:J$209,'12 years sales &amp; PL forecast'!$C$191:$C$209,"Trial run &amp; PV")</f>
        <v>-267254</v>
      </c>
      <c r="L31" s="141">
        <f>-SUMIFS('12 years sales &amp; PL forecast'!K$191:K$209,'12 years sales &amp; PL forecast'!$C$191:$C$209,"Trial run &amp; PV")</f>
        <v>-402209.37</v>
      </c>
      <c r="M31" s="141">
        <f>-SUMIFS('12 years sales &amp; PL forecast'!L$191:L$209,'12 years sales &amp; PL forecast'!$C$191:$C$209,"Trial run &amp; PV")</f>
        <v>-11598187.449999999</v>
      </c>
      <c r="N31" s="141">
        <f>-SUMIFS('12 years sales &amp; PL forecast'!M$191:M$209,'12 years sales &amp; PL forecast'!$C$191:$C$209,"Trial run &amp; PV")</f>
        <v>-18042408.510000002</v>
      </c>
      <c r="O31" s="141">
        <f>-SUMIFS('12 years sales &amp; PL forecast'!N$191:N$209,'12 years sales &amp; PL forecast'!$C$191:$C$209,"Trial run &amp; PV")</f>
        <v>-21858701.260000002</v>
      </c>
      <c r="P31" s="1139">
        <f>-SUMIFS('12 years sales &amp; PL forecast'!O$191:O$209,'12 years sales &amp; PL forecast'!$C$191:$C$209,"Trial run &amp; PV")</f>
        <v>0</v>
      </c>
      <c r="Q31" s="1139">
        <f>-SUMIFS('12 years sales &amp; PL forecast'!P$191:P$209,'12 years sales &amp; PL forecast'!$C$191:$C$209,"Trial run &amp; PV")</f>
        <v>0</v>
      </c>
      <c r="R31" s="54">
        <f>-SUMIFS('12 years sales &amp; PL forecast'!Q$191:Q$209,'12 years sales &amp; PL forecast'!$C$191:$C$209,"Trial run &amp; PV")</f>
        <v>0</v>
      </c>
      <c r="S31" s="54">
        <f>-SUMIFS('12 years sales &amp; PL forecast'!R$191:R$209,'12 years sales &amp; PL forecast'!$C$191:$C$209,"Trial run &amp; PV")</f>
        <v>0</v>
      </c>
      <c r="T31" s="54">
        <f>-SUMIFS('12 years sales &amp; PL forecast'!S$191:S$209,'12 years sales &amp; PL forecast'!$C$191:$C$209,"Trial run &amp; PV")</f>
        <v>0</v>
      </c>
      <c r="U31" s="54">
        <f>-SUMIFS('12 years sales &amp; PL forecast'!T$191:T$209,'12 years sales &amp; PL forecast'!$C$191:$C$209,"Trial run &amp; PV")</f>
        <v>0</v>
      </c>
      <c r="V31" s="54">
        <f>-SUMIFS('12 years sales &amp; PL forecast'!U$191:U$209,'12 years sales &amp; PL forecast'!$C$191:$C$209,"Trial run &amp; PV")</f>
        <v>0</v>
      </c>
      <c r="W31" s="54">
        <f>-SUMIFS('12 years sales &amp; PL forecast'!V$191:V$209,'12 years sales &amp; PL forecast'!$C$191:$C$209,"Trial run &amp; PV")</f>
        <v>0</v>
      </c>
      <c r="Z31" s="408">
        <v>0</v>
      </c>
      <c r="AA31" s="408">
        <v>0</v>
      </c>
      <c r="AB31" s="408">
        <v>0</v>
      </c>
      <c r="AC31" s="408">
        <v>0</v>
      </c>
      <c r="AD31" s="408">
        <v>0</v>
      </c>
      <c r="AE31" s="408">
        <v>0</v>
      </c>
      <c r="AF31" s="408">
        <v>0</v>
      </c>
      <c r="AG31" s="408">
        <v>0</v>
      </c>
      <c r="AH31" s="408">
        <v>0</v>
      </c>
      <c r="AI31" s="408">
        <v>0</v>
      </c>
      <c r="AJ31" s="408">
        <v>0</v>
      </c>
    </row>
    <row r="32" spans="1:36">
      <c r="B32" s="54" t="s">
        <v>774</v>
      </c>
      <c r="I32" s="54">
        <v>-7826267</v>
      </c>
      <c r="J32" s="68"/>
      <c r="K32" s="68"/>
      <c r="L32" s="68"/>
      <c r="M32" s="68"/>
      <c r="N32" s="68"/>
      <c r="O32" s="68"/>
      <c r="Z32" s="408">
        <v>0</v>
      </c>
      <c r="AA32" s="408">
        <v>0</v>
      </c>
      <c r="AB32" s="408">
        <v>0</v>
      </c>
      <c r="AC32" s="408">
        <v>0</v>
      </c>
      <c r="AD32" s="408">
        <v>0</v>
      </c>
      <c r="AE32" s="408">
        <v>0</v>
      </c>
      <c r="AF32" s="408">
        <v>0</v>
      </c>
      <c r="AG32" s="408">
        <v>0</v>
      </c>
      <c r="AH32" s="408">
        <v>0</v>
      </c>
      <c r="AI32" s="408">
        <v>0</v>
      </c>
      <c r="AJ32" s="408">
        <v>0</v>
      </c>
    </row>
    <row r="33" spans="1:36" s="87" customFormat="1">
      <c r="A33" s="68"/>
      <c r="B33" s="68" t="s">
        <v>1339</v>
      </c>
      <c r="C33" s="68"/>
      <c r="D33" s="68"/>
      <c r="E33" s="68"/>
      <c r="F33" s="68"/>
      <c r="G33" s="68"/>
      <c r="H33" s="68"/>
      <c r="J33" s="141">
        <f>-SUMIFS('12 years sales &amp; PL forecast'!I$191:I$209,'12 years sales &amp; PL forecast'!$C$191:$C$209,"Manpower cost")</f>
        <v>-7129396.8300000001</v>
      </c>
      <c r="K33" s="141">
        <f>-SUMIFS('12 years sales &amp; PL forecast'!J$191:J$209,'12 years sales &amp; PL forecast'!$C$191:$C$209,"Manpower cost")</f>
        <v>-31094174.620000001</v>
      </c>
      <c r="L33" s="141">
        <f>-SUMIFS('12 years sales &amp; PL forecast'!K$191:K$209,'12 years sales &amp; PL forecast'!$C$191:$C$209,"Manpower cost")</f>
        <v>-39241974.299999997</v>
      </c>
      <c r="M33" s="141">
        <f>-SUMIFS('12 years sales &amp; PL forecast'!L$191:L$209,'12 years sales &amp; PL forecast'!$C$191:$C$209,"Manpower cost")</f>
        <v>-40295254.299999997</v>
      </c>
      <c r="N33" s="141">
        <f>-SUMIFS('12 years sales &amp; PL forecast'!M$191:M$209,'12 years sales &amp; PL forecast'!$C$191:$C$209,"Manpower cost")</f>
        <v>-38704397.634366751</v>
      </c>
      <c r="O33" s="141">
        <f>-SUMIFS('12 years sales &amp; PL forecast'!N$191:N$209,'12 years sales &amp; PL forecast'!$C$191:$C$209,"Manpower cost")</f>
        <v>-31310149.890000001</v>
      </c>
      <c r="P33" s="1139">
        <f>-SUMIFS('12 years sales &amp; PL forecast'!O$191:O$209,'12 years sales &amp; PL forecast'!$C$191:$C$209,"Manpower cost")</f>
        <v>0</v>
      </c>
      <c r="Q33" s="1139">
        <f>-SUMIFS('12 years sales &amp; PL forecast'!P$191:P$209,'12 years sales &amp; PL forecast'!$C$191:$C$209,"Manpower cost")</f>
        <v>0</v>
      </c>
      <c r="R33" s="68">
        <f>-SUMIFS('12 years sales &amp; PL forecast'!Q$191:Q$209,'12 years sales &amp; PL forecast'!$C$191:$C$209,"Manpower cost")</f>
        <v>0</v>
      </c>
      <c r="S33" s="68">
        <f>-SUMIFS('12 years sales &amp; PL forecast'!R$191:R$209,'12 years sales &amp; PL forecast'!$C$191:$C$209,"Manpower cost")</f>
        <v>0</v>
      </c>
      <c r="T33" s="68">
        <f>-SUMIFS('12 years sales &amp; PL forecast'!S$191:S$209,'12 years sales &amp; PL forecast'!$C$191:$C$209,"Manpower cost")</f>
        <v>0</v>
      </c>
      <c r="U33" s="68">
        <f>-SUMIFS('12 years sales &amp; PL forecast'!T$191:T$209,'12 years sales &amp; PL forecast'!$C$191:$C$209,"Manpower cost")</f>
        <v>0</v>
      </c>
      <c r="V33" s="68">
        <f>-SUMIFS('12 years sales &amp; PL forecast'!U$191:U$209,'12 years sales &amp; PL forecast'!$C$191:$C$209,"Manpower cost")</f>
        <v>0</v>
      </c>
      <c r="W33" s="68">
        <f>-SUMIFS('12 years sales &amp; PL forecast'!V$191:V$209,'12 years sales &amp; PL forecast'!$C$191:$C$209,"Manpower cost")</f>
        <v>0</v>
      </c>
      <c r="Z33" s="1088">
        <v>0</v>
      </c>
      <c r="AA33" s="1088">
        <v>0</v>
      </c>
      <c r="AB33" s="1088">
        <v>4440562.2862745821</v>
      </c>
      <c r="AC33" s="1088">
        <v>2331409.577431418</v>
      </c>
      <c r="AD33" s="1088">
        <v>0</v>
      </c>
      <c r="AE33" s="1088">
        <v>0</v>
      </c>
      <c r="AF33" s="1088">
        <v>0</v>
      </c>
      <c r="AG33" s="1088">
        <v>0</v>
      </c>
      <c r="AH33" s="1088">
        <v>0</v>
      </c>
      <c r="AI33" s="1088">
        <v>0</v>
      </c>
      <c r="AJ33" s="1088">
        <v>0</v>
      </c>
    </row>
    <row r="34" spans="1:36" s="89" customFormat="1">
      <c r="A34" s="54"/>
      <c r="B34" s="89" t="s">
        <v>1318</v>
      </c>
      <c r="F34" s="89">
        <f>SUM(I34:T34)</f>
        <v>-23411000</v>
      </c>
      <c r="J34" s="89">
        <f>-'12 years sales &amp; PL forecast'!I236</f>
        <v>0</v>
      </c>
      <c r="N34" s="90">
        <v>0</v>
      </c>
      <c r="O34" s="977">
        <v>-4952000</v>
      </c>
      <c r="P34" s="977">
        <v>-6200000</v>
      </c>
      <c r="Q34" s="977">
        <v>-5475000</v>
      </c>
      <c r="R34" s="977">
        <v>-6784000</v>
      </c>
      <c r="S34" s="89">
        <f>-'12 years sales &amp; PL forecast'!R236</f>
        <v>0</v>
      </c>
      <c r="T34" s="89">
        <f>-'12 years sales &amp; PL forecast'!S236</f>
        <v>0</v>
      </c>
      <c r="U34" s="89">
        <f>-'12 years sales &amp; PL forecast'!T236</f>
        <v>0</v>
      </c>
      <c r="V34" s="89">
        <f>-'12 years sales &amp; PL forecast'!U236</f>
        <v>0</v>
      </c>
      <c r="W34" s="89">
        <f>-'12 years sales &amp; PL forecast'!V236</f>
        <v>0</v>
      </c>
      <c r="Z34" s="408">
        <v>0</v>
      </c>
      <c r="AA34" s="408">
        <v>0</v>
      </c>
      <c r="AB34" s="408">
        <v>0</v>
      </c>
      <c r="AC34" s="408">
        <v>0</v>
      </c>
      <c r="AD34" s="408">
        <v>0</v>
      </c>
      <c r="AE34" s="408">
        <v>0</v>
      </c>
      <c r="AF34" s="408">
        <v>0</v>
      </c>
      <c r="AG34" s="408">
        <v>0</v>
      </c>
      <c r="AH34" s="408">
        <v>0</v>
      </c>
      <c r="AI34" s="408">
        <v>0</v>
      </c>
      <c r="AJ34" s="408">
        <v>0</v>
      </c>
    </row>
    <row r="35" spans="1:36" s="89" customFormat="1">
      <c r="A35" s="54"/>
      <c r="B35" s="89" t="s">
        <v>1319</v>
      </c>
      <c r="F35" s="89">
        <f>SUM(I35:T35)</f>
        <v>0</v>
      </c>
      <c r="L35" s="89">
        <v>0</v>
      </c>
      <c r="M35" s="89">
        <v>0</v>
      </c>
      <c r="N35" s="89">
        <v>0</v>
      </c>
      <c r="O35" s="89">
        <v>0</v>
      </c>
      <c r="P35" s="89">
        <v>0</v>
      </c>
      <c r="Z35" s="408">
        <v>0</v>
      </c>
      <c r="AA35" s="408">
        <v>0</v>
      </c>
      <c r="AB35" s="408">
        <v>0</v>
      </c>
      <c r="AC35" s="408">
        <v>0</v>
      </c>
      <c r="AD35" s="408">
        <v>0</v>
      </c>
      <c r="AE35" s="408">
        <v>0</v>
      </c>
      <c r="AF35" s="408">
        <v>0</v>
      </c>
      <c r="AG35" s="408">
        <v>0</v>
      </c>
      <c r="AH35" s="408">
        <v>0</v>
      </c>
      <c r="AI35" s="408">
        <v>0</v>
      </c>
      <c r="AJ35" s="408">
        <v>0</v>
      </c>
    </row>
    <row r="36" spans="1:36" ht="5.85" customHeight="1"/>
    <row r="37" spans="1:36" ht="15">
      <c r="B37" s="59" t="s">
        <v>247</v>
      </c>
      <c r="I37" s="70">
        <f t="shared" ref="I37:W37" si="4">SUM(I27:I36)</f>
        <v>-28473515</v>
      </c>
      <c r="J37" s="70">
        <f t="shared" si="4"/>
        <v>-18495899.23</v>
      </c>
      <c r="K37" s="70">
        <f t="shared" si="4"/>
        <v>-38035709.919999994</v>
      </c>
      <c r="L37" s="70">
        <f t="shared" si="4"/>
        <v>-52130141.509999998</v>
      </c>
      <c r="M37" s="70">
        <f t="shared" si="4"/>
        <v>-66451063.559999995</v>
      </c>
      <c r="N37" s="70">
        <f t="shared" si="4"/>
        <v>-54651130.427603066</v>
      </c>
      <c r="O37" s="70">
        <f t="shared" si="4"/>
        <v>-59505343.550000004</v>
      </c>
      <c r="P37" s="70">
        <f t="shared" si="4"/>
        <v>-730000</v>
      </c>
      <c r="Q37" s="70">
        <f t="shared" si="4"/>
        <v>-5475000</v>
      </c>
      <c r="R37" s="70">
        <f t="shared" si="4"/>
        <v>-6784000</v>
      </c>
      <c r="S37" s="70">
        <f t="shared" si="4"/>
        <v>0</v>
      </c>
      <c r="T37" s="70">
        <f t="shared" si="4"/>
        <v>0</v>
      </c>
      <c r="U37" s="70">
        <f t="shared" si="4"/>
        <v>0</v>
      </c>
      <c r="V37" s="70">
        <f t="shared" si="4"/>
        <v>0</v>
      </c>
      <c r="W37" s="70">
        <f t="shared" si="4"/>
        <v>0</v>
      </c>
    </row>
    <row r="38" spans="1:36">
      <c r="Q38" s="54" t="s">
        <v>78</v>
      </c>
    </row>
    <row r="39" spans="1:36" s="104" customFormat="1" ht="15">
      <c r="A39" s="104" t="s">
        <v>248</v>
      </c>
      <c r="I39" s="137">
        <f t="shared" ref="I39:W39" si="5">I24+I37</f>
        <v>74612176.840835094</v>
      </c>
      <c r="J39" s="137">
        <f t="shared" si="5"/>
        <v>133816380.26196982</v>
      </c>
      <c r="K39" s="137">
        <f t="shared" si="5"/>
        <v>92234971.122127146</v>
      </c>
      <c r="L39" s="137">
        <f t="shared" si="5"/>
        <v>79045690.252679706</v>
      </c>
      <c r="M39" s="137">
        <f t="shared" si="5"/>
        <v>35070910.780035995</v>
      </c>
      <c r="N39" s="137">
        <f t="shared" si="5"/>
        <v>1926536.3910987377</v>
      </c>
      <c r="O39" s="137">
        <f t="shared" si="5"/>
        <v>51620482.787187092</v>
      </c>
      <c r="P39" s="137">
        <f t="shared" si="5"/>
        <v>-3569759.5780929876</v>
      </c>
      <c r="Q39" s="137">
        <f t="shared" si="5"/>
        <v>-5026946.2607385013</v>
      </c>
      <c r="R39" s="137">
        <f t="shared" si="5"/>
        <v>57780807.859375812</v>
      </c>
      <c r="S39" s="137">
        <f t="shared" si="5"/>
        <v>113500768.72648576</v>
      </c>
      <c r="T39" s="137">
        <f t="shared" si="5"/>
        <v>127539579.48550133</v>
      </c>
      <c r="U39" s="137">
        <f t="shared" si="5"/>
        <v>148817697.40324652</v>
      </c>
      <c r="V39" s="137">
        <f t="shared" si="5"/>
        <v>178335482.00252643</v>
      </c>
      <c r="W39" s="137">
        <f t="shared" si="5"/>
        <v>200757733.88502032</v>
      </c>
    </row>
    <row r="40" spans="1:36">
      <c r="J40" s="134">
        <f>J39/I39-1</f>
        <v>0.79349250923788062</v>
      </c>
      <c r="K40" s="134">
        <f t="shared" ref="K40:T40" si="6">K39/J39-1</f>
        <v>-0.3107348222873727</v>
      </c>
      <c r="L40" s="134">
        <f t="shared" si="6"/>
        <v>-0.14299653058907213</v>
      </c>
      <c r="M40" s="134">
        <f t="shared" si="6"/>
        <v>-0.55632102562546648</v>
      </c>
      <c r="N40" s="134">
        <f t="shared" si="6"/>
        <v>-0.94506739778781534</v>
      </c>
      <c r="O40" s="134">
        <f t="shared" si="6"/>
        <v>25.794449887212885</v>
      </c>
      <c r="P40" s="134">
        <f t="shared" si="6"/>
        <v>-1.0691539362932703</v>
      </c>
      <c r="Q40" s="134">
        <f t="shared" si="6"/>
        <v>0.40820303181985218</v>
      </c>
      <c r="R40" s="134">
        <f t="shared" si="6"/>
        <v>-12.494216341769151</v>
      </c>
      <c r="S40" s="134">
        <f t="shared" si="6"/>
        <v>0.96433336485565491</v>
      </c>
      <c r="T40" s="134">
        <f t="shared" si="6"/>
        <v>0.12368912489787909</v>
      </c>
      <c r="U40" s="134"/>
      <c r="V40" s="134"/>
      <c r="W40" s="134"/>
    </row>
    <row r="41" spans="1:36">
      <c r="A41" s="306" t="s">
        <v>569</v>
      </c>
      <c r="J41" s="134"/>
      <c r="K41" s="134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</row>
    <row r="42" spans="1:36">
      <c r="B42" s="54" t="s">
        <v>570</v>
      </c>
      <c r="L42" s="54">
        <f>'12 years sales &amp; PL forecast'!K188</f>
        <v>0</v>
      </c>
      <c r="M42" s="54">
        <f>'12 years sales &amp; PL forecast'!L188</f>
        <v>0</v>
      </c>
      <c r="N42" s="54">
        <f>'12 years sales &amp; PL forecast'!M188</f>
        <v>0</v>
      </c>
      <c r="O42" s="54">
        <f>'12 years sales &amp; PL forecast'!N188</f>
        <v>0</v>
      </c>
      <c r="P42" s="54">
        <f>'12 years sales &amp; PL forecast'!O188</f>
        <v>0</v>
      </c>
      <c r="Q42" s="54">
        <f>'12 years sales &amp; PL forecast'!P188</f>
        <v>0</v>
      </c>
      <c r="R42" s="54">
        <f>'12 years sales &amp; PL forecast'!Q188</f>
        <v>0</v>
      </c>
      <c r="S42" s="54">
        <f>'12 years sales &amp; PL forecast'!R188</f>
        <v>0</v>
      </c>
      <c r="T42" s="54">
        <f>'12 years sales &amp; PL forecast'!S188</f>
        <v>0</v>
      </c>
      <c r="U42" s="54">
        <f>'12 years sales &amp; PL forecast'!T188</f>
        <v>0</v>
      </c>
      <c r="V42" s="54">
        <f>'12 years sales &amp; PL forecast'!U188</f>
        <v>0</v>
      </c>
      <c r="W42" s="54">
        <f>'12 years sales &amp; PL forecast'!V188</f>
        <v>0</v>
      </c>
      <c r="Z42" s="408">
        <v>0</v>
      </c>
      <c r="AA42" s="408">
        <v>0</v>
      </c>
      <c r="AB42" s="408">
        <v>0</v>
      </c>
      <c r="AC42" s="408">
        <v>0</v>
      </c>
      <c r="AD42" s="408">
        <v>0</v>
      </c>
      <c r="AE42" s="408">
        <v>0</v>
      </c>
      <c r="AF42" s="408">
        <v>0</v>
      </c>
      <c r="AG42" s="408">
        <v>0</v>
      </c>
      <c r="AH42" s="408">
        <v>0</v>
      </c>
      <c r="AI42" s="408">
        <v>0</v>
      </c>
      <c r="AJ42" s="408">
        <v>0</v>
      </c>
    </row>
    <row r="43" spans="1:36">
      <c r="B43" s="54" t="s">
        <v>571</v>
      </c>
      <c r="L43" s="54">
        <f>'12 years sales &amp; PL forecast'!K306</f>
        <v>0</v>
      </c>
      <c r="M43" s="54">
        <f>'12 years sales &amp; PL forecast'!L306</f>
        <v>0</v>
      </c>
      <c r="N43" s="54">
        <f>'12 years sales &amp; PL forecast'!M306</f>
        <v>0</v>
      </c>
      <c r="O43" s="54">
        <f>'12 years sales &amp; PL forecast'!N306</f>
        <v>0</v>
      </c>
      <c r="P43" s="54">
        <f>'12 years sales &amp; PL forecast'!O299</f>
        <v>0</v>
      </c>
      <c r="Q43" s="54">
        <f>'12 years sales &amp; PL forecast'!P299</f>
        <v>0</v>
      </c>
      <c r="R43" s="54">
        <f>'12 years sales &amp; PL forecast'!Q299</f>
        <v>0</v>
      </c>
      <c r="S43" s="54">
        <f>'12 years sales &amp; PL forecast'!R299</f>
        <v>0</v>
      </c>
      <c r="T43" s="54">
        <f>'12 years sales &amp; PL forecast'!S299</f>
        <v>0</v>
      </c>
      <c r="U43" s="54">
        <f>'12 years sales &amp; PL forecast'!T299</f>
        <v>0</v>
      </c>
      <c r="V43" s="54">
        <f>'12 years sales &amp; PL forecast'!U299</f>
        <v>0</v>
      </c>
      <c r="W43" s="54">
        <f>'12 years sales &amp; PL forecast'!V299</f>
        <v>0</v>
      </c>
      <c r="Z43" s="408">
        <v>0</v>
      </c>
      <c r="AA43" s="408">
        <v>0</v>
      </c>
      <c r="AB43" s="408">
        <v>0</v>
      </c>
      <c r="AC43" s="408">
        <v>0</v>
      </c>
      <c r="AD43" s="408">
        <v>0</v>
      </c>
      <c r="AE43" s="408">
        <v>0</v>
      </c>
      <c r="AF43" s="408">
        <v>0</v>
      </c>
      <c r="AG43" s="408">
        <v>0</v>
      </c>
      <c r="AH43" s="408">
        <v>0</v>
      </c>
      <c r="AI43" s="408">
        <v>0</v>
      </c>
      <c r="AJ43" s="408">
        <v>0</v>
      </c>
    </row>
    <row r="44" spans="1:36" ht="15">
      <c r="B44" s="59" t="s">
        <v>572</v>
      </c>
      <c r="L44" s="307">
        <f t="shared" ref="L44:W44" si="7">SUM(L42:L43)</f>
        <v>0</v>
      </c>
      <c r="M44" s="307">
        <f t="shared" si="7"/>
        <v>0</v>
      </c>
      <c r="N44" s="307">
        <f t="shared" si="7"/>
        <v>0</v>
      </c>
      <c r="O44" s="307">
        <f t="shared" si="7"/>
        <v>0</v>
      </c>
      <c r="P44" s="307">
        <f t="shared" si="7"/>
        <v>0</v>
      </c>
      <c r="Q44" s="307">
        <f t="shared" si="7"/>
        <v>0</v>
      </c>
      <c r="R44" s="307">
        <f t="shared" si="7"/>
        <v>0</v>
      </c>
      <c r="S44" s="307">
        <f t="shared" si="7"/>
        <v>0</v>
      </c>
      <c r="T44" s="307">
        <f t="shared" si="7"/>
        <v>0</v>
      </c>
      <c r="U44" s="307">
        <f t="shared" si="7"/>
        <v>0</v>
      </c>
      <c r="V44" s="307">
        <f t="shared" si="7"/>
        <v>0</v>
      </c>
      <c r="W44" s="307">
        <f t="shared" si="7"/>
        <v>0</v>
      </c>
    </row>
    <row r="45" spans="1:36">
      <c r="J45" s="134"/>
      <c r="K45" s="134"/>
      <c r="L45" s="134"/>
      <c r="M45" s="134"/>
      <c r="N45" s="134"/>
      <c r="O45" s="134"/>
      <c r="P45" s="134"/>
      <c r="Q45" s="134"/>
      <c r="R45" s="134"/>
      <c r="S45" s="134"/>
      <c r="T45" s="134"/>
      <c r="U45" s="134"/>
      <c r="V45" s="134"/>
      <c r="W45" s="134"/>
    </row>
    <row r="46" spans="1:36" ht="15">
      <c r="A46" s="59" t="s">
        <v>249</v>
      </c>
      <c r="P46" s="134" t="s">
        <v>70</v>
      </c>
    </row>
    <row r="48" spans="1:36">
      <c r="A48" s="54" t="s">
        <v>250</v>
      </c>
      <c r="I48" s="54">
        <v>-17423967</v>
      </c>
      <c r="J48" s="54">
        <v>-8437944</v>
      </c>
      <c r="K48" s="54">
        <f>-7440632-4645035</f>
        <v>-12085667</v>
      </c>
      <c r="L48" s="54">
        <f>-23229550+4800000-3096690</f>
        <v>-21526240</v>
      </c>
      <c r="M48" s="111">
        <v>-10347823</v>
      </c>
      <c r="N48" s="87">
        <v>-850000</v>
      </c>
      <c r="O48" s="68">
        <v>-1361812</v>
      </c>
      <c r="P48" s="68">
        <v>-24428800</v>
      </c>
      <c r="Q48" s="54">
        <v>-3000000</v>
      </c>
      <c r="R48" s="54">
        <v>-3000000</v>
      </c>
      <c r="S48" s="54">
        <v>-5000000</v>
      </c>
      <c r="T48" s="68">
        <f>-8000000</f>
        <v>-8000000</v>
      </c>
      <c r="U48" s="68">
        <f>-10000000</f>
        <v>-10000000</v>
      </c>
      <c r="V48" s="54">
        <v>-10000000</v>
      </c>
      <c r="W48" s="54">
        <v>-10000000</v>
      </c>
      <c r="Z48" s="408">
        <v>0</v>
      </c>
      <c r="AA48" s="408">
        <v>0</v>
      </c>
      <c r="AB48" s="408">
        <v>0</v>
      </c>
      <c r="AC48" s="408">
        <v>0</v>
      </c>
      <c r="AD48" s="408">
        <v>0</v>
      </c>
      <c r="AE48" s="408">
        <v>0</v>
      </c>
      <c r="AF48" s="408">
        <v>0</v>
      </c>
      <c r="AG48" s="408">
        <v>0</v>
      </c>
      <c r="AH48" s="408">
        <v>0</v>
      </c>
      <c r="AI48" s="408">
        <v>0</v>
      </c>
      <c r="AJ48" s="408">
        <v>0</v>
      </c>
    </row>
    <row r="49" spans="1:36">
      <c r="A49" s="54" t="s">
        <v>251</v>
      </c>
      <c r="F49" s="54">
        <f>SUM(I49:T49)</f>
        <v>-1381360283.98</v>
      </c>
      <c r="I49" s="97">
        <v>-44256369.029999971</v>
      </c>
      <c r="J49" s="97">
        <v>-317743710.15000004</v>
      </c>
      <c r="K49" s="97">
        <v>-390056061.86000001</v>
      </c>
      <c r="L49" s="97">
        <v>-315927024.23000002</v>
      </c>
      <c r="M49" s="506">
        <v>-151883403.71999997</v>
      </c>
      <c r="N49" s="97">
        <f>-(SUM(I49:M49)+'YL Capex (31 Mar 2021)'!V176)</f>
        <v>-77663557.99000001</v>
      </c>
      <c r="O49" s="68">
        <v>-57881613</v>
      </c>
      <c r="P49" s="508">
        <v>-25948544</v>
      </c>
      <c r="Z49" s="408">
        <v>0</v>
      </c>
      <c r="AA49" s="408">
        <v>48983727.035000086</v>
      </c>
      <c r="AB49" s="408">
        <v>-11082146.375</v>
      </c>
      <c r="AC49" s="408">
        <v>-11739200</v>
      </c>
      <c r="AD49" s="408">
        <v>0</v>
      </c>
      <c r="AE49" s="408">
        <v>0</v>
      </c>
      <c r="AF49" s="408">
        <v>0</v>
      </c>
      <c r="AG49" s="408">
        <v>0</v>
      </c>
      <c r="AH49" s="408">
        <v>0</v>
      </c>
      <c r="AI49" s="408">
        <v>0</v>
      </c>
      <c r="AJ49" s="408">
        <v>0</v>
      </c>
    </row>
    <row r="50" spans="1:36">
      <c r="A50" s="54" t="s">
        <v>826</v>
      </c>
      <c r="F50" s="54">
        <v>-358397550</v>
      </c>
      <c r="I50" s="68"/>
      <c r="J50" s="68" t="s">
        <v>78</v>
      </c>
      <c r="K50" s="68" t="s">
        <v>78</v>
      </c>
      <c r="L50" s="68"/>
      <c r="M50" s="68"/>
      <c r="O50" s="68"/>
      <c r="P50" s="68"/>
      <c r="Z50" s="408">
        <v>0</v>
      </c>
      <c r="AA50" s="408">
        <v>0</v>
      </c>
      <c r="AB50" s="408">
        <v>0</v>
      </c>
      <c r="AC50" s="408">
        <v>0</v>
      </c>
      <c r="AD50" s="408">
        <v>0</v>
      </c>
      <c r="AE50" s="408">
        <v>0</v>
      </c>
      <c r="AF50" s="408">
        <v>0</v>
      </c>
      <c r="AG50" s="408">
        <v>0</v>
      </c>
      <c r="AH50" s="408">
        <v>0</v>
      </c>
      <c r="AI50" s="408">
        <v>0</v>
      </c>
      <c r="AJ50" s="408">
        <v>0</v>
      </c>
    </row>
    <row r="51" spans="1:36">
      <c r="A51" s="54" t="s">
        <v>1282</v>
      </c>
      <c r="N51" s="68">
        <f>57000000-57000000</f>
        <v>0</v>
      </c>
      <c r="O51" s="68">
        <v>-24865835</v>
      </c>
      <c r="P51" s="68">
        <v>-4465865</v>
      </c>
      <c r="Z51" s="408">
        <v>0</v>
      </c>
      <c r="AA51" s="408">
        <v>14000000</v>
      </c>
      <c r="AB51" s="408">
        <v>14000000</v>
      </c>
      <c r="AC51" s="408">
        <v>0</v>
      </c>
      <c r="AD51" s="408">
        <v>0</v>
      </c>
      <c r="AE51" s="408">
        <v>0</v>
      </c>
      <c r="AF51" s="408">
        <v>0</v>
      </c>
      <c r="AG51" s="408">
        <v>0</v>
      </c>
      <c r="AH51" s="408">
        <v>0</v>
      </c>
      <c r="AI51" s="408">
        <v>0</v>
      </c>
      <c r="AJ51" s="408">
        <v>0</v>
      </c>
    </row>
    <row r="52" spans="1:36" s="104" customFormat="1" ht="15">
      <c r="A52" s="104" t="s">
        <v>252</v>
      </c>
      <c r="I52" s="137">
        <f t="shared" ref="I52:T52" si="8">SUM(I47:I51)</f>
        <v>-61680336.029999971</v>
      </c>
      <c r="J52" s="137">
        <f>SUM(J47:J51)</f>
        <v>-326181654.15000004</v>
      </c>
      <c r="K52" s="137">
        <f>SUM(K47:K51)</f>
        <v>-402141728.86000001</v>
      </c>
      <c r="L52" s="137">
        <f t="shared" si="8"/>
        <v>-337453264.23000002</v>
      </c>
      <c r="M52" s="137">
        <f>SUM(M47:M51)</f>
        <v>-162231226.71999997</v>
      </c>
      <c r="N52" s="137">
        <f t="shared" si="8"/>
        <v>-78513557.99000001</v>
      </c>
      <c r="O52" s="137">
        <f>SUM(O47:O51)</f>
        <v>-84109260</v>
      </c>
      <c r="P52" s="137">
        <f t="shared" si="8"/>
        <v>-54843209</v>
      </c>
      <c r="Q52" s="137">
        <f t="shared" si="8"/>
        <v>-3000000</v>
      </c>
      <c r="R52" s="137">
        <f t="shared" si="8"/>
        <v>-3000000</v>
      </c>
      <c r="S52" s="137">
        <f t="shared" si="8"/>
        <v>-5000000</v>
      </c>
      <c r="T52" s="137">
        <f t="shared" si="8"/>
        <v>-8000000</v>
      </c>
      <c r="U52" s="137">
        <f>SUM(U47:U51)</f>
        <v>-10000000</v>
      </c>
      <c r="V52" s="137">
        <f>SUM(V47:V51)</f>
        <v>-10000000</v>
      </c>
      <c r="W52" s="137">
        <f>SUM(W47:W51)</f>
        <v>-10000000</v>
      </c>
    </row>
    <row r="54" spans="1:36" s="104" customFormat="1" ht="15">
      <c r="A54" s="104" t="s">
        <v>253</v>
      </c>
      <c r="I54" s="104">
        <f t="shared" ref="I54:T54" si="9">I39+I52</f>
        <v>12931840.810835123</v>
      </c>
      <c r="J54" s="104">
        <f t="shared" si="9"/>
        <v>-192365273.88803023</v>
      </c>
      <c r="K54" s="104">
        <f t="shared" si="9"/>
        <v>-309906757.73787284</v>
      </c>
      <c r="L54" s="104">
        <f>L39+L52</f>
        <v>-258407573.97732031</v>
      </c>
      <c r="M54" s="104">
        <f>M39+M52</f>
        <v>-127160315.93996397</v>
      </c>
      <c r="N54" s="104">
        <f>N39+N52</f>
        <v>-76587021.598901272</v>
      </c>
      <c r="O54" s="104">
        <f t="shared" si="9"/>
        <v>-32488777.212812908</v>
      </c>
      <c r="P54" s="104">
        <f t="shared" si="9"/>
        <v>-58412968.578092985</v>
      </c>
      <c r="Q54" s="104">
        <f t="shared" si="9"/>
        <v>-8026946.2607385013</v>
      </c>
      <c r="R54" s="104">
        <f t="shared" si="9"/>
        <v>54780807.859375812</v>
      </c>
      <c r="S54" s="104">
        <f t="shared" si="9"/>
        <v>108500768.72648576</v>
      </c>
      <c r="T54" s="104">
        <f t="shared" si="9"/>
        <v>119539579.48550133</v>
      </c>
      <c r="U54" s="104">
        <f>U39+U52</f>
        <v>138817697.40324652</v>
      </c>
      <c r="V54" s="104">
        <f>V39+V52</f>
        <v>168335482.00252643</v>
      </c>
      <c r="W54" s="104">
        <f>W39+W52</f>
        <v>190757733.88502032</v>
      </c>
    </row>
    <row r="55" spans="1:36">
      <c r="A55" s="136"/>
      <c r="I55" s="134" t="e">
        <f t="shared" ref="I55:V55" si="10">I54/H54-1</f>
        <v>#DIV/0!</v>
      </c>
      <c r="J55" s="134">
        <f t="shared" si="10"/>
        <v>-15.875320281305529</v>
      </c>
      <c r="K55" s="134">
        <f t="shared" si="10"/>
        <v>0.61103275801358925</v>
      </c>
      <c r="L55" s="134">
        <f t="shared" si="10"/>
        <v>-0.16617638200749363</v>
      </c>
      <c r="M55" s="134">
        <f t="shared" si="10"/>
        <v>-0.5079079379030722</v>
      </c>
      <c r="N55" s="134">
        <f t="shared" si="10"/>
        <v>-0.39771287108896303</v>
      </c>
      <c r="O55" s="134">
        <f t="shared" si="10"/>
        <v>-0.57579265344770902</v>
      </c>
      <c r="P55" s="134">
        <f t="shared" si="10"/>
        <v>0.7979429695204443</v>
      </c>
      <c r="Q55" s="134">
        <f t="shared" si="10"/>
        <v>-0.86258280556299438</v>
      </c>
      <c r="R55" s="134">
        <f t="shared" si="10"/>
        <v>-7.8246137547127201</v>
      </c>
      <c r="S55" s="134">
        <f t="shared" si="10"/>
        <v>0.98063469609668608</v>
      </c>
      <c r="T55" s="134">
        <f t="shared" si="10"/>
        <v>0.10173947049944654</v>
      </c>
      <c r="U55" s="134">
        <f t="shared" si="10"/>
        <v>0.16126974848596798</v>
      </c>
      <c r="V55" s="134">
        <f t="shared" si="10"/>
        <v>0.21263704233282854</v>
      </c>
      <c r="W55" s="134">
        <f>W54/V54-1</f>
        <v>0.1331997961199729</v>
      </c>
    </row>
    <row r="56" spans="1:36" ht="15" hidden="1">
      <c r="A56" s="138" t="s">
        <v>254</v>
      </c>
      <c r="I56" s="54">
        <f>I54</f>
        <v>12931840.810835123</v>
      </c>
      <c r="J56" s="54">
        <f t="shared" ref="J56:T56" si="11">I56+J54</f>
        <v>-179433433.07719511</v>
      </c>
      <c r="K56" s="54">
        <f t="shared" si="11"/>
        <v>-489340190.81506795</v>
      </c>
      <c r="L56" s="54">
        <f t="shared" si="11"/>
        <v>-747747764.7923882</v>
      </c>
      <c r="M56" s="54">
        <f t="shared" si="11"/>
        <v>-874908080.73235214</v>
      </c>
      <c r="N56" s="54">
        <f t="shared" si="11"/>
        <v>-951495102.33125341</v>
      </c>
      <c r="O56" s="54">
        <f t="shared" si="11"/>
        <v>-983983879.54406631</v>
      </c>
      <c r="P56" s="54">
        <f t="shared" si="11"/>
        <v>-1042396848.1221592</v>
      </c>
      <c r="Q56" s="54">
        <f t="shared" si="11"/>
        <v>-1050423794.3828977</v>
      </c>
      <c r="R56" s="54">
        <f t="shared" si="11"/>
        <v>-995642986.5235219</v>
      </c>
      <c r="S56" s="54">
        <f t="shared" si="11"/>
        <v>-887142217.79703617</v>
      </c>
      <c r="T56" s="54">
        <f t="shared" si="11"/>
        <v>-767602638.31153488</v>
      </c>
    </row>
    <row r="57" spans="1:36" hidden="1"/>
    <row r="58" spans="1:36" ht="15">
      <c r="A58"/>
    </row>
    <row r="60" spans="1:36">
      <c r="A60" s="139" t="s">
        <v>255</v>
      </c>
      <c r="B60" s="139"/>
      <c r="C60" s="139"/>
      <c r="D60" s="139"/>
      <c r="E60" s="139"/>
      <c r="F60" s="139">
        <f>F64</f>
        <v>1000000000</v>
      </c>
      <c r="G60" s="139"/>
      <c r="H60" s="139"/>
      <c r="L60" s="139"/>
      <c r="M60" s="139"/>
      <c r="N60" s="139"/>
      <c r="O60" s="139"/>
      <c r="P60" s="139"/>
    </row>
    <row r="61" spans="1:36">
      <c r="A61" s="139" t="s">
        <v>256</v>
      </c>
      <c r="B61" s="139"/>
      <c r="C61" s="139"/>
      <c r="D61" s="139"/>
      <c r="E61" s="139"/>
      <c r="F61" s="139">
        <v>10</v>
      </c>
      <c r="G61" s="139"/>
      <c r="H61" s="139"/>
      <c r="I61" s="139"/>
      <c r="J61" s="139"/>
      <c r="K61" s="139"/>
      <c r="L61" s="139"/>
      <c r="M61" s="139"/>
      <c r="N61" s="139"/>
      <c r="O61" s="139"/>
      <c r="P61" s="139"/>
    </row>
    <row r="62" spans="1:36">
      <c r="A62" s="139" t="s">
        <v>257</v>
      </c>
      <c r="B62" s="139"/>
      <c r="C62" s="139"/>
      <c r="D62" s="139" t="s">
        <v>258</v>
      </c>
      <c r="E62" s="139"/>
      <c r="F62" s="140">
        <f>'Final Terms of Loan Financing'!BB5</f>
        <v>1.23929E-2</v>
      </c>
      <c r="G62" s="139"/>
      <c r="H62" s="139"/>
      <c r="I62" s="139"/>
      <c r="J62" s="139"/>
      <c r="K62" s="139"/>
      <c r="L62" s="139"/>
      <c r="M62" s="139"/>
      <c r="N62" s="139"/>
      <c r="O62" s="139"/>
      <c r="P62" s="139"/>
    </row>
    <row r="63" spans="1:36">
      <c r="A63" s="139"/>
      <c r="B63" s="139"/>
      <c r="C63" s="139"/>
      <c r="D63" s="139"/>
      <c r="E63" s="139"/>
      <c r="F63" s="139"/>
      <c r="G63" s="139"/>
      <c r="H63" s="139"/>
      <c r="I63" s="139"/>
      <c r="J63" s="139"/>
      <c r="K63" s="139"/>
      <c r="L63" s="139"/>
      <c r="M63" s="139"/>
      <c r="N63" s="139"/>
      <c r="O63" s="139"/>
      <c r="P63" s="139"/>
    </row>
    <row r="64" spans="1:36" s="136" customFormat="1">
      <c r="A64" s="136" t="s">
        <v>259</v>
      </c>
      <c r="E64" s="573" t="str">
        <f>IF(E70="Y","N","Y")</f>
        <v>Y</v>
      </c>
      <c r="F64" s="136">
        <f t="shared" ref="F64:F78" si="12">SUM(I64:W64)</f>
        <v>1000000000</v>
      </c>
      <c r="I64" s="141">
        <v>0</v>
      </c>
      <c r="J64" s="141">
        <f>IF(E64="Y",'Final Terms of Loan Financing'!BG22,0)</f>
        <v>156873302</v>
      </c>
      <c r="K64" s="141">
        <f>IF(E64="Y",'Final Terms of Loan Financing'!BG34,0)</f>
        <v>301818000</v>
      </c>
      <c r="L64" s="141">
        <f>IF(E64="Y",'Final Terms of Loan Financing'!BG46,0)</f>
        <v>225640000</v>
      </c>
      <c r="M64" s="141">
        <f>IF(E64="Y",'Final Terms of Loan Financing'!BG58-M65,0)</f>
        <v>140277000</v>
      </c>
      <c r="N64" s="141">
        <f>IF(E64="Y",'Final Terms of Loan Financing'!BG70-N65,0)</f>
        <v>175391698</v>
      </c>
      <c r="O64" s="141"/>
      <c r="Z64" s="514"/>
      <c r="AA64" s="514"/>
      <c r="AB64" s="514"/>
      <c r="AC64" s="514"/>
      <c r="AD64" s="54"/>
      <c r="AE64" s="54"/>
    </row>
    <row r="65" spans="1:31">
      <c r="A65" s="54" t="s">
        <v>260</v>
      </c>
      <c r="E65" s="573" t="str">
        <f>IF(E71="Y","N","Y")</f>
        <v>Y</v>
      </c>
      <c r="F65" s="136">
        <f t="shared" si="12"/>
        <v>-1000000000</v>
      </c>
      <c r="I65" s="68"/>
      <c r="J65" s="68"/>
      <c r="K65" s="68"/>
      <c r="L65" s="68">
        <v>0</v>
      </c>
      <c r="M65" s="68">
        <f>IF(E65="Y",'Final Terms of Loan Financing'!AY66,0)</f>
        <v>-30000000</v>
      </c>
      <c r="N65" s="68">
        <f>IF(E65="Y",'Final Terms of Loan Financing'!AY78,0)</f>
        <v>-48500000</v>
      </c>
      <c r="O65" s="68">
        <f>IF(E65="Y",'Final Terms of Loan Financing'!BG82,0)</f>
        <v>-97000000</v>
      </c>
      <c r="P65" s="54">
        <f>IF(E65="Y",'Final Terms of Loan Financing'!BG94,0)</f>
        <v>-194000000</v>
      </c>
      <c r="Q65" s="54">
        <f>IF(E65="Y",'Final Terms of Loan Financing'!BG106,0)</f>
        <v>-230375000</v>
      </c>
      <c r="R65" s="54">
        <f>IF(E65="Y",'Final Terms of Loan Financing'!BG118,0)</f>
        <v>-266750000.00000003</v>
      </c>
      <c r="S65" s="54">
        <f>IF(E65="Y",'Final Terms of Loan Financing'!BG130,0)</f>
        <v>-133375000.00000001</v>
      </c>
      <c r="T65" s="54">
        <f>IF(E65="Y",'Final Terms of Loan Financing'!BG142,0)</f>
        <v>0</v>
      </c>
      <c r="Z65" s="514"/>
      <c r="AA65" s="514"/>
      <c r="AB65" s="514"/>
      <c r="AC65" s="514"/>
    </row>
    <row r="66" spans="1:31">
      <c r="A66" s="54" t="s">
        <v>261</v>
      </c>
      <c r="E66" s="573" t="str">
        <f>IF(E72="Y","N","Y")</f>
        <v>Y</v>
      </c>
      <c r="F66" s="136">
        <f t="shared" si="12"/>
        <v>-111111504.69666663</v>
      </c>
      <c r="I66" s="68">
        <v>0</v>
      </c>
      <c r="J66" s="68">
        <f>IF(E66="Y",'Final Terms of Loan Financing'!BF22,0)</f>
        <v>-811689.45000000007</v>
      </c>
      <c r="K66" s="68">
        <f>IF(E66="Y",'Final Terms of Loan Financing'!BF34,0)</f>
        <v>-5101353.7700000005</v>
      </c>
      <c r="L66" s="68">
        <f>IF(E66="Y",'Final Terms of Loan Financing'!BF46,0)</f>
        <v>-14069060.729999999</v>
      </c>
      <c r="M66" s="68">
        <f>IF(E66="Y",'Final Terms of Loan Financing'!BF58,0)</f>
        <v>-23663446</v>
      </c>
      <c r="N66" s="824">
        <v>-17368189.788333301</v>
      </c>
      <c r="O66" s="68">
        <f>IF(E66="Y",'Final Terms of Loan Financing'!BF82,0)</f>
        <v>-11636599</v>
      </c>
      <c r="P66" s="54">
        <f>IF(E66="Y",'Final Terms of Loan Financing'!BF94,0)</f>
        <v>-16053596.08333333</v>
      </c>
      <c r="Q66" s="54">
        <f>IF(E66="Y",'Final Terms of Loan Financing'!BF106,0)</f>
        <v>-13722756.718750002</v>
      </c>
      <c r="R66" s="54">
        <f>IF(E66="Y",'Final Terms of Loan Financing'!BF118,0)</f>
        <v>-7444125.5625</v>
      </c>
      <c r="S66" s="54">
        <f>IF(E66="Y",'Final Terms of Loan Financing'!BF130,0)</f>
        <v>-1240687.59375</v>
      </c>
      <c r="T66" s="54">
        <f>IF(E66="Y",'Final Terms of Loan Financing'!BF142,0)</f>
        <v>0</v>
      </c>
      <c r="Z66" s="514"/>
      <c r="AA66" s="514"/>
      <c r="AB66" s="514"/>
      <c r="AC66" s="514"/>
    </row>
    <row r="67" spans="1:31">
      <c r="A67" s="54" t="s">
        <v>1216</v>
      </c>
      <c r="E67" s="1024"/>
      <c r="F67" s="136">
        <f t="shared" si="12"/>
        <v>29100000</v>
      </c>
      <c r="I67" s="68"/>
      <c r="J67" s="68"/>
      <c r="K67" s="68"/>
      <c r="L67" s="68"/>
      <c r="M67" s="68"/>
      <c r="N67" s="68"/>
      <c r="O67" s="68">
        <v>15000000</v>
      </c>
      <c r="P67" s="54">
        <f>-'Green Loan'!L4</f>
        <v>14100000</v>
      </c>
      <c r="Z67" s="514"/>
      <c r="AA67" s="514"/>
      <c r="AB67" s="514"/>
      <c r="AC67" s="514"/>
    </row>
    <row r="68" spans="1:31">
      <c r="A68" s="54" t="s">
        <v>1595</v>
      </c>
      <c r="E68" s="1024"/>
      <c r="F68" s="136"/>
      <c r="I68" s="68"/>
      <c r="J68" s="68"/>
      <c r="K68" s="68"/>
      <c r="L68" s="68"/>
      <c r="M68" s="68"/>
      <c r="N68" s="68"/>
      <c r="O68" s="68">
        <f>SUM('Green Loan'!D$13:D$18)+SUM('Green Loan'!M$13:M$18)</f>
        <v>-1500000</v>
      </c>
      <c r="P68" s="54">
        <f>SUM('Green Loan'!D$19:D$30)+SUM('Green Loan'!M$19:M$30)</f>
        <v>-4175000</v>
      </c>
      <c r="Q68" s="54">
        <f>SUM('Green Loan'!D$31:D$42)+SUM('Green Loan'!M$31:M$42)</f>
        <v>-5820000</v>
      </c>
      <c r="R68" s="54">
        <f>SUM('Green Loan'!D$43:D$54)+SUM('Green Loan'!M$43:M$54)</f>
        <v>-5820000</v>
      </c>
      <c r="S68" s="54">
        <f>SUM('Green Loan'!D$55:D$66)+SUM('Green Loan'!M$55:M$66)</f>
        <v>-5820000</v>
      </c>
      <c r="T68" s="54">
        <f>SUM('Green Loan'!D$67:D$78)+SUM('Green Loan'!M$67:M$78)</f>
        <v>-4320000</v>
      </c>
      <c r="U68" s="54">
        <f>SUM('Green Loan'!D$79:D$90)+SUM('Green Loan'!M$79:M$90)</f>
        <v>-1645000</v>
      </c>
      <c r="Z68" s="514"/>
      <c r="AA68" s="514"/>
      <c r="AB68" s="514"/>
      <c r="AC68" s="514"/>
    </row>
    <row r="69" spans="1:31">
      <c r="A69" s="54" t="s">
        <v>1596</v>
      </c>
      <c r="E69" s="1024"/>
      <c r="F69" s="136">
        <f t="shared" si="12"/>
        <v>-1869565.5080821919</v>
      </c>
      <c r="I69" s="68"/>
      <c r="J69" s="68"/>
      <c r="K69" s="68"/>
      <c r="L69" s="68"/>
      <c r="M69" s="68"/>
      <c r="N69" s="68"/>
      <c r="O69" s="68">
        <f>SUM('Green Loan'!E$13:E$18)+SUM('Green Loan'!N$13:N$18)</f>
        <v>-109454.64780821919</v>
      </c>
      <c r="P69" s="54">
        <f>SUM('Green Loan'!E$19:E$30)+SUM('Green Loan'!N$19:N$30)</f>
        <v>-441231.06027397257</v>
      </c>
      <c r="Q69" s="54">
        <f>SUM('Green Loan'!E$31:E$42)+SUM('Green Loan'!N$31:N$42)</f>
        <v>-559039.85260273959</v>
      </c>
      <c r="R69" s="54">
        <f>SUM('Green Loan'!E$43:E$54)+SUM('Green Loan'!N$43:N$54)</f>
        <v>-402295.9315068493</v>
      </c>
      <c r="S69" s="54">
        <f>SUM('Green Loan'!E$55:E$66)+SUM('Green Loan'!N$55:N$66)</f>
        <v>-245552.01041095893</v>
      </c>
      <c r="T69" s="54">
        <f>SUM('Green Loan'!E$67:E$78)+SUM('Green Loan'!N$67:N$78)</f>
        <v>-97224.322191780826</v>
      </c>
      <c r="U69" s="54">
        <f>SUM('Green Loan'!E$79:E$90)+SUM('Green Loan'!N$79:N$90)</f>
        <v>-14767.683287671234</v>
      </c>
      <c r="Z69" s="514"/>
      <c r="AA69" s="514"/>
      <c r="AB69" s="514"/>
      <c r="AC69" s="514"/>
    </row>
    <row r="70" spans="1:31">
      <c r="A70" s="54" t="s">
        <v>827</v>
      </c>
      <c r="E70" s="570" t="str">
        <f>'Cashflow trend'!F2</f>
        <v>n</v>
      </c>
      <c r="F70" s="136">
        <f t="shared" si="12"/>
        <v>0</v>
      </c>
      <c r="I70" s="68"/>
      <c r="J70" s="68">
        <f>IF(E70="Y",'Modify Terms of Loan Repayment'!BF22,0)</f>
        <v>0</v>
      </c>
      <c r="K70" s="68">
        <f>IF(E70="Y",'Modify Terms of Loan Repayment'!BF34,0)</f>
        <v>0</v>
      </c>
      <c r="L70" s="68">
        <f>IF(E70="Y",'Modify Terms of Loan Repayment'!BF46,0)</f>
        <v>0</v>
      </c>
      <c r="M70" s="68">
        <f>IF(E70="Y",'Modify Terms of Loan Repayment'!BF58-M71,0)</f>
        <v>0</v>
      </c>
      <c r="N70" s="68">
        <f>IF(E70="Y",'Modify Terms of Loan Repayment'!BF70-N71,0)</f>
        <v>0</v>
      </c>
      <c r="O70" s="68">
        <f>IF(E70="Y",'Modify Terms of Loan Repayment'!BF82-O71,0)</f>
        <v>0</v>
      </c>
      <c r="P70" s="54">
        <f>IF(E70="Y",'Modify Terms of Loan Repayment'!BF94-P71,0)</f>
        <v>0</v>
      </c>
      <c r="Q70" s="54">
        <f>IF(E70="Y",'Modify Terms of Loan Repayment'!BF106-Q71,0)</f>
        <v>0</v>
      </c>
      <c r="R70" s="54">
        <f>IF(E70="Y",'Modify Terms of Loan Repayment'!BF118-R71,0)</f>
        <v>0</v>
      </c>
      <c r="S70" s="54">
        <f>IF(E70="Y",'Modify Terms of Loan Repayment'!BF130-S71,0)</f>
        <v>0</v>
      </c>
      <c r="T70" s="54">
        <f>IF(E70="Y",'Modify Terms of Loan Repayment'!BF142-T71,0)</f>
        <v>0</v>
      </c>
      <c r="U70" s="54">
        <f>IF(E70="Y",'Modify Terms of Loan Repayment'!BF154-U71,0)</f>
        <v>0</v>
      </c>
      <c r="V70" s="54">
        <f>IF(E70="Y",'Modify Terms of Loan Repayment'!BF166-V71,0)</f>
        <v>0</v>
      </c>
      <c r="Z70" s="514"/>
      <c r="AA70" s="514"/>
      <c r="AB70" s="514"/>
      <c r="AC70" s="514"/>
    </row>
    <row r="71" spans="1:31">
      <c r="A71" s="54" t="s">
        <v>828</v>
      </c>
      <c r="E71" s="570" t="str">
        <f>'Cashflow trend'!F2</f>
        <v>n</v>
      </c>
      <c r="F71" s="136">
        <f t="shared" si="12"/>
        <v>0</v>
      </c>
      <c r="I71" s="68"/>
      <c r="J71" s="68"/>
      <c r="K71" s="68"/>
      <c r="L71" s="68"/>
      <c r="M71" s="68">
        <f>IF(E71="Y",'Modify Terms of Loan Repayment'!AX66,0)</f>
        <v>0</v>
      </c>
      <c r="N71" s="68">
        <f>IF(E71="Y",SUM('Modify Terms of Loan Repayment'!AX70:AX81),0)</f>
        <v>0</v>
      </c>
      <c r="O71" s="68">
        <f>IF(E71="Y",SUM('Modify Terms of Loan Repayment'!AX82:AX93),0)</f>
        <v>0</v>
      </c>
      <c r="P71" s="54">
        <f>IF(E71="Y",SUM('Modify Terms of Loan Repayment'!AX94:AX105),0)</f>
        <v>0</v>
      </c>
      <c r="Q71" s="54">
        <f>IF(E71="Y",SUM('Modify Terms of Loan Repayment'!AX106:AX117),0)</f>
        <v>0</v>
      </c>
      <c r="R71" s="54">
        <f>IF(E71="Y",SUM('Modify Terms of Loan Repayment'!AX118:AX129),0)</f>
        <v>0</v>
      </c>
      <c r="S71" s="54">
        <f>IF(E71="Y",SUM('Modify Terms of Loan Repayment'!AX130:AX141),0)</f>
        <v>0</v>
      </c>
      <c r="T71" s="54">
        <f>IF(E71="Y",SUM('Modify Terms of Loan Repayment'!AX142:AX153),0)</f>
        <v>0</v>
      </c>
      <c r="U71" s="54">
        <f>IF(E71="Y",SUM('Modify Terms of Loan Repayment'!AX154:AX165),0)</f>
        <v>0</v>
      </c>
      <c r="V71" s="54">
        <f>IF(E71="Y",SUM('Modify Terms of Loan Repayment'!AX166:AX177),0)</f>
        <v>0</v>
      </c>
      <c r="Z71" s="514"/>
      <c r="AA71" s="514"/>
      <c r="AB71" s="514"/>
      <c r="AC71" s="514"/>
    </row>
    <row r="72" spans="1:31">
      <c r="A72" s="54" t="s">
        <v>829</v>
      </c>
      <c r="E72" s="570" t="str">
        <f>'Cashflow trend'!F2</f>
        <v>n</v>
      </c>
      <c r="F72" s="136">
        <f t="shared" si="12"/>
        <v>0</v>
      </c>
      <c r="I72" s="68"/>
      <c r="J72" s="68">
        <f>IF(E72="Y",'Modify Terms of Loan Repayment'!BE22,0)</f>
        <v>0</v>
      </c>
      <c r="K72" s="68">
        <f>IF(E72="Y",'Modify Terms of Loan Repayment'!BE34,0)</f>
        <v>0</v>
      </c>
      <c r="L72" s="68">
        <f>IF(E72="Y",'Modify Terms of Loan Repayment'!BE46,0)</f>
        <v>0</v>
      </c>
      <c r="M72" s="68">
        <f>IF(E72="Y",'Modify Terms of Loan Repayment'!BE58,0)</f>
        <v>0</v>
      </c>
      <c r="N72" s="68">
        <f>IF(E72="Y",'Modify Terms of Loan Repayment'!BE70,0)</f>
        <v>0</v>
      </c>
      <c r="O72" s="68">
        <f>IF(E72="Y",'Modify Terms of Loan Repayment'!BE82,0)</f>
        <v>0</v>
      </c>
      <c r="P72" s="54">
        <f>IF(E72="Y",'Modify Terms of Loan Repayment'!BE94,0)</f>
        <v>0</v>
      </c>
      <c r="Q72" s="54">
        <f>IF(E72="Y",'Modify Terms of Loan Repayment'!BE106,0)</f>
        <v>0</v>
      </c>
      <c r="R72" s="54">
        <f>IF(E72="Y",'Modify Terms of Loan Repayment'!BE118,0)</f>
        <v>0</v>
      </c>
      <c r="S72" s="54">
        <f>IF(E72="Y",'Modify Terms of Loan Repayment'!BE130,0)</f>
        <v>0</v>
      </c>
      <c r="T72" s="54">
        <f>IF(E72="Y",'Modify Terms of Loan Repayment'!BE142,0)</f>
        <v>0</v>
      </c>
      <c r="U72" s="54">
        <f>IF(E72="Y",'Modify Terms of Loan Repayment'!BE154,0)</f>
        <v>0</v>
      </c>
      <c r="V72" s="54">
        <f>IF(E72="Y",'Modify Terms of Loan Repayment'!BE166,0)</f>
        <v>0</v>
      </c>
      <c r="Z72" s="514"/>
      <c r="AA72" s="514"/>
      <c r="AB72" s="514"/>
      <c r="AC72" s="514"/>
    </row>
    <row r="73" spans="1:31">
      <c r="A73" s="54" t="s">
        <v>1288</v>
      </c>
      <c r="E73" s="360" t="str">
        <f>'Cashflow trend'!D2</f>
        <v>Y</v>
      </c>
      <c r="F73" s="136">
        <f t="shared" si="12"/>
        <v>350000000</v>
      </c>
      <c r="I73" s="68"/>
      <c r="J73" s="68"/>
      <c r="K73" s="68"/>
      <c r="L73" s="68"/>
      <c r="M73" s="68"/>
      <c r="N73" s="68">
        <f>IF(E73="Y",SUM('Final Terms of Loan Financing'!BL70:BL81),0)</f>
        <v>0</v>
      </c>
      <c r="O73" s="68">
        <f>IF($E73="Y",SUM('Final Terms of Loan Financing'!BL$82:BL$93),0)</f>
        <v>100000000</v>
      </c>
      <c r="P73" s="54">
        <f>IF(E73="Y",SUM('Final Terms of Loan Financing'!BL$94:BL$105),0)</f>
        <v>200000000</v>
      </c>
      <c r="Q73" s="54">
        <f>IF(E73="Y",SUM('Final Terms of Loan Financing'!BL$106:BL$117),0)</f>
        <v>50000000</v>
      </c>
      <c r="R73" s="54">
        <f>IF(E73="Y",SUM('Final Terms of Loan Financing'!BL$118:BL$129),0)</f>
        <v>0</v>
      </c>
      <c r="S73" s="54">
        <f>IF(E73="Y",SUM('Final Terms of Loan Financing'!BL$130:BL$141),0)</f>
        <v>0</v>
      </c>
      <c r="T73" s="54">
        <f>IF(E73="Y",SUM('Final Terms of Loan Financing'!BL$142:BL$153),0)</f>
        <v>0</v>
      </c>
      <c r="U73" s="54">
        <f>IF(E73="Y",SUM('Final Terms of Loan Financing'!BL$154:BL$165),0)</f>
        <v>0</v>
      </c>
      <c r="V73" s="54">
        <f>IF(E73="Y",SUM('Final Terms of Loan Financing'!BL$166:BL$177),0)</f>
        <v>0</v>
      </c>
      <c r="Z73" s="514"/>
      <c r="AA73" s="514"/>
      <c r="AB73" s="514"/>
      <c r="AC73" s="514"/>
    </row>
    <row r="74" spans="1:31">
      <c r="A74" s="54" t="s">
        <v>1289</v>
      </c>
      <c r="E74" s="360" t="str">
        <f>E73</f>
        <v>Y</v>
      </c>
      <c r="F74" s="136">
        <f>SUM(I74:W74)</f>
        <v>0</v>
      </c>
      <c r="I74" s="68"/>
      <c r="J74" s="68"/>
      <c r="K74" s="68"/>
      <c r="L74" s="68"/>
      <c r="M74" s="68"/>
      <c r="N74" s="68">
        <f>IF(E74="Y",SUM('Final Terms of Loan Financing'!BK70:BK81),0)</f>
        <v>0</v>
      </c>
      <c r="O74" s="68">
        <f>IF(E74="Y",SUM('Final Terms of Loan Financing'!BK$82:BK$93),0)</f>
        <v>0</v>
      </c>
      <c r="P74" s="54">
        <f>IF(E74="Y",SUM('Final Terms of Loan Financing'!BK$94:BK$105),0)</f>
        <v>0</v>
      </c>
      <c r="Q74" s="54">
        <f>IF(E74="Y",SUM('Final Terms of Loan Financing'!BK$106:BK$117),0)</f>
        <v>0</v>
      </c>
      <c r="R74" s="54">
        <f>IF(E74="Y",SUM('Final Terms of Loan Financing'!BK$118:BK$129),0)</f>
        <v>0</v>
      </c>
      <c r="S74" s="54">
        <f>IF(E74="Y",SUM('Final Terms of Loan Financing'!BK$130:BK$141),0)</f>
        <v>0</v>
      </c>
      <c r="T74" s="54">
        <f>IF(E74="Y",SUM('Final Terms of Loan Financing'!BK$142:BK$153),0)</f>
        <v>0</v>
      </c>
      <c r="U74" s="54">
        <f>IF(E74="Y",SUM('Final Terms of Loan Financing'!BK$154:BK$165),0)</f>
        <v>0</v>
      </c>
      <c r="V74" s="54">
        <f>IF(E74="Y",SUM('Final Terms of Loan Financing'!BK$166:BK$177),0)</f>
        <v>0</v>
      </c>
      <c r="Z74" s="514"/>
      <c r="AA74" s="514"/>
      <c r="AB74" s="514"/>
      <c r="AC74" s="514"/>
    </row>
    <row r="75" spans="1:31">
      <c r="A75" s="54" t="s">
        <v>1290</v>
      </c>
      <c r="E75" s="360" t="str">
        <f>E74</f>
        <v>Y</v>
      </c>
      <c r="F75" s="136">
        <f t="shared" si="12"/>
        <v>0</v>
      </c>
      <c r="K75" s="54" t="s">
        <v>78</v>
      </c>
      <c r="N75" s="54">
        <f>IF(E75="Y",SUM('Final Terms of Loan Financing'!BJ70:BJ81),0)</f>
        <v>0</v>
      </c>
      <c r="O75" s="54">
        <f>IF(E75="Y",SUM('Final Terms of Loan Financing'!BJ$82:BJ$93),0)</f>
        <v>0</v>
      </c>
      <c r="P75" s="54">
        <f>IF(E75="Y",SUM('Final Terms of Loan Financing'!BJ$94:BJ$105),0)</f>
        <v>0</v>
      </c>
      <c r="Q75" s="54">
        <f>IF(E75="Y",SUM('Final Terms of Loan Financing'!BJ$106:BJ$117),0)</f>
        <v>0</v>
      </c>
      <c r="R75" s="54">
        <f>IF(E75="Y",SUM('Final Terms of Loan Financing'!BJ$118:BJ$129),0)</f>
        <v>0</v>
      </c>
      <c r="S75" s="54">
        <f>IF(E75="Y",SUM('Final Terms of Loan Financing'!BJ$130:BJ$141),0)</f>
        <v>0</v>
      </c>
      <c r="T75" s="54">
        <f>IF(E75="Y",SUM('Final Terms of Loan Financing'!BJ$142:BJ$153),0)</f>
        <v>0</v>
      </c>
      <c r="U75" s="54">
        <f>IF(E75="Y",SUM('Final Terms of Loan Financing'!BJ$154:BJ$165),0)</f>
        <v>0</v>
      </c>
      <c r="V75" s="54">
        <f>IF(E75="Y",SUM('Final Terms of Loan Financing'!BJ$166:BJ$177),0)</f>
        <v>0</v>
      </c>
      <c r="Z75" s="514"/>
      <c r="AA75" s="514"/>
      <c r="AB75" s="514"/>
      <c r="AC75" s="514"/>
    </row>
    <row r="76" spans="1:31">
      <c r="A76" s="54" t="s">
        <v>1587</v>
      </c>
      <c r="E76" s="1487" t="str">
        <f>'Cashflow trend'!D3</f>
        <v>Y</v>
      </c>
      <c r="F76" s="136">
        <f>SUM(I76:W76)</f>
        <v>0</v>
      </c>
      <c r="O76" s="68">
        <f>IF($E76="Y",SUM('Final Terms of Loan Financing'!BY$82:BY$93),0)</f>
        <v>0</v>
      </c>
      <c r="P76" s="54">
        <f>IF(E76="Y",SUM('Final Terms of Loan Financing'!BY$94:BY$105),0)</f>
        <v>0</v>
      </c>
      <c r="Q76" s="54">
        <f>IF(E76="Y",SUM('Final Terms of Loan Financing'!BY$106:BY$117),0)</f>
        <v>0</v>
      </c>
      <c r="R76" s="54">
        <f>IF(E76="Y",SUM('Final Terms of Loan Financing'!BY$118:BY$129),0)</f>
        <v>0</v>
      </c>
      <c r="S76" s="54">
        <f>IF(E76="Y",SUM('Final Terms of Loan Financing'!BY$130:BY$141),0)</f>
        <v>0</v>
      </c>
      <c r="T76" s="54">
        <f>IF(E76="Y",SUM('Final Terms of Loan Financing'!BY$142:BY$153),0)</f>
        <v>0</v>
      </c>
      <c r="U76" s="54">
        <f>IF(E76="Y",SUM('Final Terms of Loan Financing'!BY$154:BY$165),0)</f>
        <v>0</v>
      </c>
      <c r="V76" s="54">
        <f>IF(E76="Y",SUM('Final Terms of Loan Financing'!BY$166:BY$177),0)</f>
        <v>0</v>
      </c>
      <c r="Z76" s="514"/>
      <c r="AA76" s="514"/>
      <c r="AB76" s="514"/>
      <c r="AC76" s="514"/>
    </row>
    <row r="77" spans="1:31">
      <c r="A77" s="54" t="s">
        <v>1588</v>
      </c>
      <c r="E77" s="1487" t="str">
        <f>E76</f>
        <v>Y</v>
      </c>
      <c r="F77" s="136">
        <f>SUM(I77:W77)</f>
        <v>0</v>
      </c>
      <c r="O77" s="68">
        <f>IF(E77="Y",SUM('Final Terms of Loan Financing'!BX$82:BX$93),0)</f>
        <v>0</v>
      </c>
      <c r="P77" s="54">
        <f>IF(E77="Y",SUM('Final Terms of Loan Financing'!BX$94:BX$105),0)</f>
        <v>0</v>
      </c>
      <c r="Q77" s="54">
        <f>IF(E77="Y",SUM('Final Terms of Loan Financing'!BX$106:BX$117),0)</f>
        <v>0</v>
      </c>
      <c r="R77" s="54">
        <f>IF(E77="Y",SUM('Final Terms of Loan Financing'!BX$118:BX$129),0)</f>
        <v>0</v>
      </c>
      <c r="S77" s="54">
        <f>IF(E77="Y",SUM('Final Terms of Loan Financing'!BX$130:BX$141),0)</f>
        <v>0</v>
      </c>
      <c r="T77" s="54">
        <f>IF(E77="Y",SUM('Final Terms of Loan Financing'!BX$142:BX$153),0)</f>
        <v>0</v>
      </c>
      <c r="U77" s="54">
        <f>IF(E77="Y",SUM('Final Terms of Loan Financing'!BX$154:BX$165),0)</f>
        <v>0</v>
      </c>
      <c r="V77" s="54">
        <f>IF(E77="Y",SUM('Final Terms of Loan Financing'!BX$166:BX$177),0)</f>
        <v>0</v>
      </c>
      <c r="W77" s="54">
        <f>IF(E77="Y",SUM('Final Terms of Loan Financing'!BX$178:BX$190),0)</f>
        <v>0</v>
      </c>
      <c r="Z77" s="514"/>
      <c r="AA77" s="514"/>
      <c r="AB77" s="514"/>
      <c r="AC77" s="514"/>
    </row>
    <row r="78" spans="1:31">
      <c r="A78" s="54" t="s">
        <v>1589</v>
      </c>
      <c r="E78" s="1487" t="str">
        <f>E77</f>
        <v>Y</v>
      </c>
      <c r="F78" s="136">
        <f t="shared" si="12"/>
        <v>0</v>
      </c>
      <c r="O78" s="54">
        <f>IF(E78="Y",SUM('Final Terms of Loan Financing'!BW$82:BW$93),0)</f>
        <v>0</v>
      </c>
      <c r="P78" s="54">
        <f>IF(E78="Y",SUM('Final Terms of Loan Financing'!BW$94:BW$105),0)</f>
        <v>0</v>
      </c>
      <c r="Q78" s="54">
        <f>IF(E78="Y",SUM('Final Terms of Loan Financing'!BW$106:BW$117),0)</f>
        <v>0</v>
      </c>
      <c r="R78" s="54">
        <f>IF(E78="Y",SUM('Final Terms of Loan Financing'!BW$118:BW$129),0)</f>
        <v>0</v>
      </c>
      <c r="S78" s="54">
        <f>IF(E78="Y",SUM('Final Terms of Loan Financing'!BW$130:BW$141),0)</f>
        <v>0</v>
      </c>
      <c r="T78" s="54">
        <f>IF(E78="Y",SUM('Final Terms of Loan Financing'!BW$142:BW$153),0)</f>
        <v>0</v>
      </c>
      <c r="U78" s="54">
        <f>IF(E78="Y",SUM('Final Terms of Loan Financing'!BW$154:BW$165),0)</f>
        <v>0</v>
      </c>
      <c r="V78" s="54">
        <f>IF(E78="Y",SUM('Final Terms of Loan Financing'!BW$166:BW$177),0)</f>
        <v>0</v>
      </c>
      <c r="Z78" s="514"/>
      <c r="AA78" s="514"/>
      <c r="AB78" s="514"/>
      <c r="AC78" s="514"/>
    </row>
    <row r="79" spans="1:31">
      <c r="Z79" s="514"/>
      <c r="AA79" s="514"/>
      <c r="AB79" s="514"/>
      <c r="AC79" s="514"/>
    </row>
    <row r="80" spans="1:31" s="104" customFormat="1" ht="15">
      <c r="A80" s="104" t="s">
        <v>262</v>
      </c>
      <c r="F80" s="104">
        <f>SUM(I80:W80)</f>
        <v>237018929.79525131</v>
      </c>
      <c r="I80" s="137">
        <f t="shared" ref="I80:W80" si="13">SUM(I64:I79)</f>
        <v>0</v>
      </c>
      <c r="J80" s="137">
        <f t="shared" si="13"/>
        <v>156061612.55000001</v>
      </c>
      <c r="K80" s="137">
        <f t="shared" si="13"/>
        <v>296716646.23000002</v>
      </c>
      <c r="L80" s="137">
        <f t="shared" si="13"/>
        <v>211570939.27000001</v>
      </c>
      <c r="M80" s="137">
        <f t="shared" si="13"/>
        <v>86613554</v>
      </c>
      <c r="N80" s="137">
        <f t="shared" si="13"/>
        <v>109523508.2116667</v>
      </c>
      <c r="O80" s="137">
        <f t="shared" si="13"/>
        <v>4753946.352191776</v>
      </c>
      <c r="P80" s="137">
        <f t="shared" si="13"/>
        <v>-569827.1436073184</v>
      </c>
      <c r="Q80" s="137">
        <f>SUM(Q64:Q79)</f>
        <v>-200476796.57135275</v>
      </c>
      <c r="R80" s="137">
        <f t="shared" si="13"/>
        <v>-280416421.49400687</v>
      </c>
      <c r="S80" s="137">
        <f t="shared" si="13"/>
        <v>-140681239.60416096</v>
      </c>
      <c r="T80" s="137">
        <f t="shared" si="13"/>
        <v>-4417224.3221917804</v>
      </c>
      <c r="U80" s="137">
        <f t="shared" si="13"/>
        <v>-1659767.6832876713</v>
      </c>
      <c r="V80" s="137">
        <f t="shared" si="13"/>
        <v>0</v>
      </c>
      <c r="W80" s="137">
        <f t="shared" si="13"/>
        <v>0</v>
      </c>
      <c r="Z80" s="514"/>
      <c r="AA80" s="514"/>
      <c r="AB80" s="514"/>
      <c r="AC80" s="514"/>
      <c r="AD80" s="54"/>
      <c r="AE80" s="54"/>
    </row>
    <row r="81" spans="1:29">
      <c r="U81" s="54">
        <v>0</v>
      </c>
      <c r="V81" s="54">
        <v>0</v>
      </c>
      <c r="Z81" s="514"/>
      <c r="AA81" s="514"/>
      <c r="AB81" s="514"/>
      <c r="AC81" s="514"/>
    </row>
    <row r="82" spans="1:29" ht="15">
      <c r="A82" s="104" t="s">
        <v>263</v>
      </c>
      <c r="I82" s="142">
        <f>I80</f>
        <v>0</v>
      </c>
      <c r="J82" s="142">
        <f t="shared" ref="J82:S82" si="14">I82+J80</f>
        <v>156061612.55000001</v>
      </c>
      <c r="K82" s="142">
        <f>J82+K80</f>
        <v>452778258.78000003</v>
      </c>
      <c r="L82" s="142">
        <f t="shared" si="14"/>
        <v>664349198.05000007</v>
      </c>
      <c r="M82" s="142">
        <f>L82+M80</f>
        <v>750962752.05000007</v>
      </c>
      <c r="N82" s="142">
        <f t="shared" si="14"/>
        <v>860486260.26166677</v>
      </c>
      <c r="O82" s="142">
        <f t="shared" si="14"/>
        <v>865240206.61385858</v>
      </c>
      <c r="P82" s="142">
        <f t="shared" si="14"/>
        <v>864670379.47025132</v>
      </c>
      <c r="Q82" s="142">
        <f t="shared" si="14"/>
        <v>664193582.8988986</v>
      </c>
      <c r="R82" s="142">
        <f t="shared" si="14"/>
        <v>383777161.40489173</v>
      </c>
      <c r="S82" s="142">
        <f t="shared" si="14"/>
        <v>243095921.80073076</v>
      </c>
      <c r="T82" s="142">
        <f>S82+T80</f>
        <v>238678697.47853899</v>
      </c>
      <c r="U82" s="142">
        <f>T82+U80</f>
        <v>237018929.79525131</v>
      </c>
      <c r="V82" s="142">
        <f>U82+V80</f>
        <v>237018929.79525131</v>
      </c>
      <c r="W82" s="142">
        <f>V82+W80</f>
        <v>237018929.79525131</v>
      </c>
    </row>
    <row r="84" spans="1:29" s="143" customFormat="1" ht="17.25" thickBot="1">
      <c r="A84" s="143" t="s">
        <v>264</v>
      </c>
      <c r="I84" s="144">
        <f t="shared" ref="I84:S84" si="15">I54+I80</f>
        <v>12931840.810835123</v>
      </c>
      <c r="J84" s="144">
        <f>J54+J80</f>
        <v>-36303661.338030219</v>
      </c>
      <c r="K84" s="144">
        <f>K54+K80</f>
        <v>-13190111.50787282</v>
      </c>
      <c r="L84" s="144">
        <f>L54+L80</f>
        <v>-46836634.707320303</v>
      </c>
      <c r="M84" s="144">
        <f>M54+M80</f>
        <v>-40546761.939963967</v>
      </c>
      <c r="N84" s="144">
        <f t="shared" si="15"/>
        <v>32936486.612765431</v>
      </c>
      <c r="O84" s="144">
        <f t="shared" si="15"/>
        <v>-27734830.860621132</v>
      </c>
      <c r="P84" s="144">
        <f t="shared" si="15"/>
        <v>-58982795.721700303</v>
      </c>
      <c r="Q84" s="144">
        <f t="shared" si="15"/>
        <v>-208503742.83209124</v>
      </c>
      <c r="R84" s="144">
        <f t="shared" si="15"/>
        <v>-225635613.63463107</v>
      </c>
      <c r="S84" s="144">
        <f t="shared" si="15"/>
        <v>-32180470.877675205</v>
      </c>
      <c r="T84" s="144">
        <f>T54+T80</f>
        <v>115122355.16330956</v>
      </c>
      <c r="U84" s="144">
        <f>U54+U80</f>
        <v>137157929.71995884</v>
      </c>
      <c r="V84" s="144">
        <f>V54+V80</f>
        <v>168335482.00252643</v>
      </c>
      <c r="W84" s="144">
        <f>W54+W80</f>
        <v>190757733.88502032</v>
      </c>
    </row>
    <row r="86" spans="1:29" s="143" customFormat="1" ht="16.5">
      <c r="A86" s="143" t="s">
        <v>265</v>
      </c>
      <c r="I86" s="143">
        <f>251448250+5237164</f>
        <v>256685414</v>
      </c>
      <c r="J86" s="145">
        <f>256967474+12649781</f>
        <v>269617255</v>
      </c>
      <c r="K86" s="146">
        <v>233313594</v>
      </c>
      <c r="L86" s="143">
        <f t="shared" ref="L86:W86" si="16">K88</f>
        <v>220123482.49212718</v>
      </c>
      <c r="M86" s="143">
        <f t="shared" si="16"/>
        <v>173286847.78480688</v>
      </c>
      <c r="N86" s="143">
        <f t="shared" si="16"/>
        <v>132740085.84484291</v>
      </c>
      <c r="O86" s="143">
        <f>N88+N89-N88</f>
        <v>166779280</v>
      </c>
      <c r="P86" s="143">
        <f t="shared" si="16"/>
        <v>139044449.13937888</v>
      </c>
      <c r="Q86" s="143">
        <f t="shared" si="16"/>
        <v>80061653.417678565</v>
      </c>
      <c r="R86" s="143">
        <f t="shared" si="16"/>
        <v>-128442089.41441268</v>
      </c>
      <c r="S86" s="143">
        <f t="shared" si="16"/>
        <v>-354077703.04904377</v>
      </c>
      <c r="T86" s="143">
        <f t="shared" si="16"/>
        <v>-386258173.92671895</v>
      </c>
      <c r="U86" s="143">
        <f t="shared" si="16"/>
        <v>-271135818.76340938</v>
      </c>
      <c r="V86" s="143">
        <f t="shared" si="16"/>
        <v>-133977889.04345053</v>
      </c>
      <c r="W86" s="143">
        <f t="shared" si="16"/>
        <v>34357592.959075898</v>
      </c>
    </row>
    <row r="88" spans="1:29" s="143" customFormat="1" ht="17.25" thickBot="1">
      <c r="A88" s="147" t="s">
        <v>266</v>
      </c>
      <c r="I88" s="144">
        <f>SUM(I84:I87)</f>
        <v>269617254.81083512</v>
      </c>
      <c r="J88" s="144">
        <f>SUM(J84:J87)</f>
        <v>233313593.66196978</v>
      </c>
      <c r="K88" s="144">
        <f t="shared" ref="K88:T88" si="17">SUM(K84:K87)</f>
        <v>220123482.49212718</v>
      </c>
      <c r="L88" s="144">
        <f t="shared" si="17"/>
        <v>173286847.78480688</v>
      </c>
      <c r="M88" s="144">
        <f>SUM(M84:M87)</f>
        <v>132740085.84484291</v>
      </c>
      <c r="N88" s="144">
        <f t="shared" si="17"/>
        <v>165676572.45760834</v>
      </c>
      <c r="O88" s="144">
        <f t="shared" si="17"/>
        <v>139044449.13937888</v>
      </c>
      <c r="P88" s="144">
        <f t="shared" si="17"/>
        <v>80061653.417678565</v>
      </c>
      <c r="Q88" s="144">
        <f t="shared" si="17"/>
        <v>-128442089.41441268</v>
      </c>
      <c r="R88" s="144">
        <f t="shared" si="17"/>
        <v>-354077703.04904377</v>
      </c>
      <c r="S88" s="144">
        <f t="shared" si="17"/>
        <v>-386258173.92671895</v>
      </c>
      <c r="T88" s="144">
        <f t="shared" si="17"/>
        <v>-271135818.76340938</v>
      </c>
      <c r="U88" s="144">
        <f>SUM(U84:U87)</f>
        <v>-133977889.04345053</v>
      </c>
      <c r="V88" s="144">
        <f>SUM(V84:V87)</f>
        <v>34357592.959075898</v>
      </c>
      <c r="W88" s="144">
        <f>SUM(W84:W87)</f>
        <v>225115326.84409621</v>
      </c>
    </row>
    <row r="89" spans="1:29">
      <c r="H89" s="643"/>
      <c r="J89" s="643">
        <f>209754950+23558644</f>
        <v>233313594</v>
      </c>
      <c r="K89" s="643">
        <f>14899546+205223936</f>
        <v>220123482</v>
      </c>
      <c r="L89" s="643">
        <f>167385526+5901322</f>
        <v>173286848</v>
      </c>
      <c r="M89" s="643">
        <f>110176813+22563273</f>
        <v>132740086</v>
      </c>
      <c r="N89" s="823">
        <v>166779280</v>
      </c>
      <c r="O89" s="111">
        <v>100811123</v>
      </c>
    </row>
    <row r="90" spans="1:29" ht="16.5">
      <c r="A90" s="148" t="s">
        <v>1287</v>
      </c>
      <c r="H90" s="643"/>
      <c r="I90" s="148">
        <f>SUM(I64:I65)</f>
        <v>0</v>
      </c>
      <c r="J90" s="148">
        <f t="shared" ref="J90:W90" si="18">I90+SUM(J64:J65)+SUM(J70:J71)</f>
        <v>156873302</v>
      </c>
      <c r="K90" s="148">
        <f t="shared" si="18"/>
        <v>458691302</v>
      </c>
      <c r="L90" s="148">
        <f t="shared" si="18"/>
        <v>684331302</v>
      </c>
      <c r="M90" s="148">
        <f t="shared" si="18"/>
        <v>794608302</v>
      </c>
      <c r="N90" s="148">
        <f t="shared" si="18"/>
        <v>921500000</v>
      </c>
      <c r="O90" s="148">
        <f t="shared" si="18"/>
        <v>824500000</v>
      </c>
      <c r="P90" s="148">
        <f t="shared" si="18"/>
        <v>630500000</v>
      </c>
      <c r="Q90" s="148">
        <f t="shared" si="18"/>
        <v>400125000</v>
      </c>
      <c r="R90" s="148">
        <f t="shared" si="18"/>
        <v>133374999.99999997</v>
      </c>
      <c r="S90" s="148">
        <f t="shared" si="18"/>
        <v>-4.4703483581542969E-8</v>
      </c>
      <c r="T90" s="148">
        <f t="shared" si="18"/>
        <v>-4.4703483581542969E-8</v>
      </c>
      <c r="U90" s="148">
        <f t="shared" si="18"/>
        <v>-4.4703483581542969E-8</v>
      </c>
      <c r="V90" s="148">
        <f t="shared" si="18"/>
        <v>-4.4703483581542969E-8</v>
      </c>
      <c r="W90" s="148">
        <f t="shared" si="18"/>
        <v>-4.4703483581542969E-8</v>
      </c>
    </row>
    <row r="91" spans="1:29" ht="16.5">
      <c r="A91" s="148" t="s">
        <v>1594</v>
      </c>
      <c r="H91" s="68"/>
      <c r="I91" s="1051"/>
      <c r="J91" s="1051"/>
      <c r="K91" s="1051"/>
      <c r="L91" s="1051"/>
      <c r="M91" s="1051"/>
      <c r="N91" s="148"/>
      <c r="O91" s="148">
        <f>SUM(O76:O77)</f>
        <v>0</v>
      </c>
      <c r="P91" s="148">
        <f>O91+SUM(P76:P77)</f>
        <v>0</v>
      </c>
      <c r="Q91" s="148">
        <f t="shared" ref="Q91:W91" si="19">P91+SUM(Q76:Q77)</f>
        <v>0</v>
      </c>
      <c r="R91" s="148">
        <f t="shared" si="19"/>
        <v>0</v>
      </c>
      <c r="S91" s="148">
        <f t="shared" si="19"/>
        <v>0</v>
      </c>
      <c r="T91" s="148">
        <f t="shared" si="19"/>
        <v>0</v>
      </c>
      <c r="U91" s="148">
        <f t="shared" si="19"/>
        <v>0</v>
      </c>
      <c r="V91" s="148">
        <f t="shared" si="19"/>
        <v>0</v>
      </c>
      <c r="W91" s="148">
        <f t="shared" si="19"/>
        <v>0</v>
      </c>
    </row>
    <row r="92" spans="1:29" ht="16.5">
      <c r="A92" s="148" t="s">
        <v>1286</v>
      </c>
      <c r="H92" s="68"/>
      <c r="I92" s="1051"/>
      <c r="J92" s="1051"/>
      <c r="K92" s="1051"/>
      <c r="L92" s="1051"/>
      <c r="M92" s="1051"/>
      <c r="N92" s="148"/>
      <c r="O92" s="148">
        <f>SUM(O73:O74)</f>
        <v>100000000</v>
      </c>
      <c r="P92" s="148">
        <f t="shared" ref="P92:W92" si="20">O92+SUM(P73:P74)</f>
        <v>300000000</v>
      </c>
      <c r="Q92" s="148">
        <f t="shared" si="20"/>
        <v>350000000</v>
      </c>
      <c r="R92" s="148">
        <f t="shared" si="20"/>
        <v>350000000</v>
      </c>
      <c r="S92" s="148">
        <f t="shared" si="20"/>
        <v>350000000</v>
      </c>
      <c r="T92" s="148">
        <f>S92+SUM(T73:T74)</f>
        <v>350000000</v>
      </c>
      <c r="U92" s="148">
        <f t="shared" si="20"/>
        <v>350000000</v>
      </c>
      <c r="V92" s="148">
        <f t="shared" si="20"/>
        <v>350000000</v>
      </c>
      <c r="W92" s="148">
        <f t="shared" si="20"/>
        <v>350000000</v>
      </c>
    </row>
    <row r="93" spans="1:29">
      <c r="J93" s="54" t="s">
        <v>78</v>
      </c>
    </row>
    <row r="94" spans="1:29" ht="15">
      <c r="A94"/>
      <c r="B94"/>
      <c r="C94"/>
      <c r="D94"/>
      <c r="E94"/>
      <c r="F94"/>
      <c r="G94"/>
      <c r="H94"/>
      <c r="O94" s="223">
        <f>O90-O88</f>
        <v>685455550.86062109</v>
      </c>
      <c r="P94" s="223">
        <f>P90-P88</f>
        <v>550438346.58232141</v>
      </c>
      <c r="Q94" s="223">
        <f>Q90-Q88</f>
        <v>528567089.41441268</v>
      </c>
      <c r="R94" s="223">
        <f>R90-R88</f>
        <v>487452703.04904377</v>
      </c>
      <c r="S94" s="223">
        <f>S90-S88</f>
        <v>386258173.92671889</v>
      </c>
      <c r="T94"/>
      <c r="U94" s="220"/>
      <c r="V94" s="220"/>
      <c r="W94" s="220"/>
      <c r="X94"/>
    </row>
    <row r="95" spans="1:29" hidden="1" outlineLevel="1">
      <c r="R95" s="105" t="s">
        <v>267</v>
      </c>
      <c r="S95" s="149">
        <v>1</v>
      </c>
      <c r="T95" s="54">
        <v>986889794.43026972</v>
      </c>
    </row>
    <row r="96" spans="1:29" ht="15" hidden="1" outlineLevel="1">
      <c r="A96"/>
      <c r="R96" s="105" t="s">
        <v>268</v>
      </c>
      <c r="S96" s="149">
        <f>B5</f>
        <v>1</v>
      </c>
      <c r="T96" s="54" t="s">
        <v>70</v>
      </c>
      <c r="X96" s="54" t="s">
        <v>70</v>
      </c>
    </row>
    <row r="97" spans="1:24" hidden="1" outlineLevel="1">
      <c r="R97" s="105" t="s">
        <v>269</v>
      </c>
      <c r="S97" s="149">
        <f>B6</f>
        <v>1</v>
      </c>
      <c r="T97" s="54" t="s">
        <v>70</v>
      </c>
      <c r="X97" s="54" t="s">
        <v>70</v>
      </c>
    </row>
    <row r="98" spans="1:24" hidden="1" outlineLevel="1">
      <c r="T98" s="54">
        <f>T88</f>
        <v>-271135818.76340938</v>
      </c>
      <c r="X98" s="54">
        <f>T98-T95</f>
        <v>-1258025613.1936791</v>
      </c>
    </row>
    <row r="99" spans="1:24" ht="15" collapsed="1">
      <c r="A99"/>
    </row>
    <row r="100" spans="1:24" ht="15">
      <c r="F100" s="54" t="s">
        <v>1317</v>
      </c>
      <c r="I100" s="223">
        <f t="shared" ref="I100:N100" si="21">I89-I88</f>
        <v>-269617254.81083512</v>
      </c>
      <c r="J100" s="223">
        <f t="shared" si="21"/>
        <v>0.33803021907806396</v>
      </c>
      <c r="K100" s="223">
        <f t="shared" si="21"/>
        <v>-0.4921271800994873</v>
      </c>
      <c r="L100" s="223">
        <f t="shared" si="21"/>
        <v>0.21519312262535095</v>
      </c>
      <c r="M100" s="223">
        <f t="shared" si="21"/>
        <v>0.15515708923339844</v>
      </c>
      <c r="N100" s="223">
        <f t="shared" si="21"/>
        <v>1102707.5423916578</v>
      </c>
    </row>
    <row r="102" spans="1:24" ht="15">
      <c r="A102" s="59" t="s">
        <v>270</v>
      </c>
    </row>
    <row r="104" spans="1:24">
      <c r="A104" s="150" t="s">
        <v>271</v>
      </c>
      <c r="F104" s="54">
        <f>-40000000*(1-16.5%)</f>
        <v>-33400000</v>
      </c>
    </row>
    <row r="105" spans="1:24">
      <c r="A105" s="150" t="s">
        <v>272</v>
      </c>
      <c r="F105" s="54">
        <f>15000000*(1-16.5%)</f>
        <v>12525000</v>
      </c>
    </row>
    <row r="106" spans="1:24">
      <c r="A106" s="150" t="s">
        <v>273</v>
      </c>
      <c r="F106" s="54">
        <v>-26000000</v>
      </c>
    </row>
    <row r="107" spans="1:24">
      <c r="A107" s="150" t="s">
        <v>274</v>
      </c>
    </row>
    <row r="108" spans="1:24">
      <c r="A108" s="150" t="s">
        <v>275</v>
      </c>
      <c r="F108" s="54">
        <v>18050000</v>
      </c>
    </row>
    <row r="109" spans="1:24">
      <c r="A109" s="150" t="s">
        <v>276</v>
      </c>
      <c r="F109" s="54">
        <v>-3750000</v>
      </c>
    </row>
    <row r="110" spans="1:24">
      <c r="A110" s="150" t="s">
        <v>277</v>
      </c>
      <c r="F110" s="54">
        <v>-2400000</v>
      </c>
    </row>
    <row r="111" spans="1:24">
      <c r="A111" s="150" t="s">
        <v>278</v>
      </c>
    </row>
    <row r="112" spans="1:24">
      <c r="A112" s="150" t="s">
        <v>279</v>
      </c>
      <c r="F112" s="54">
        <v>-1800000</v>
      </c>
    </row>
    <row r="113" spans="1:6">
      <c r="A113" s="150" t="s">
        <v>280</v>
      </c>
      <c r="F113" s="54">
        <v>-4500000</v>
      </c>
    </row>
    <row r="114" spans="1:6">
      <c r="A114" s="150" t="s">
        <v>281</v>
      </c>
      <c r="F114" s="54">
        <v>-11000000</v>
      </c>
    </row>
    <row r="117" spans="1:6" ht="15" thickBot="1">
      <c r="A117" s="54" t="s">
        <v>282</v>
      </c>
      <c r="F117" s="75">
        <f>SUM(F104:F116)</f>
        <v>-52275000</v>
      </c>
    </row>
  </sheetData>
  <mergeCells count="2">
    <mergeCell ref="I4:N4"/>
    <mergeCell ref="O4:W4"/>
  </mergeCells>
  <phoneticPr fontId="301" type="noConversion"/>
  <pageMargins left="0.70866141732283472" right="0.70866141732283472" top="0.74803149606299213" bottom="0.74803149606299213" header="0.31496062992125984" footer="0.31496062992125984"/>
  <pageSetup paperSize="9" scale="23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tabColor rgb="FFFFC000"/>
    <pageSetUpPr fitToPage="1"/>
  </sheetPr>
  <dimension ref="A1:AG248"/>
  <sheetViews>
    <sheetView topLeftCell="B1" workbookViewId="0">
      <selection activeCell="L2" sqref="L2:O2"/>
    </sheetView>
  </sheetViews>
  <sheetFormatPr defaultColWidth="8.5703125" defaultRowHeight="15" outlineLevelRow="1" outlineLevelCol="2"/>
  <cols>
    <col min="1" max="1" width="38" style="119" customWidth="1"/>
    <col min="2" max="3" width="11.5703125" style="119" customWidth="1" outlineLevel="2"/>
    <col min="4" max="4" width="11.5703125" style="119" customWidth="1" outlineLevel="2" collapsed="1"/>
    <col min="5" max="10" width="11.5703125" style="119" customWidth="1" outlineLevel="1"/>
    <col min="11" max="11" width="11.5703125" style="119" customWidth="1"/>
    <col min="12" max="13" width="12.85546875" style="119" customWidth="1"/>
    <col min="14" max="15" width="11.5703125" style="119" customWidth="1"/>
    <col min="16" max="16" width="12.28515625" style="119" customWidth="1"/>
    <col min="17" max="17" width="8.5703125" style="119"/>
    <col min="18" max="18" width="7.7109375" style="119" customWidth="1"/>
    <col min="19" max="19" width="13.5703125" style="119" customWidth="1"/>
    <col min="20" max="21" width="22.85546875" style="119" customWidth="1"/>
    <col min="22" max="22" width="20" style="119" customWidth="1"/>
    <col min="23" max="23" width="26.42578125" style="119" customWidth="1"/>
    <col min="24" max="24" width="8.5703125" style="119"/>
    <col min="25" max="25" width="9.5703125" style="119" customWidth="1"/>
    <col min="26" max="16384" width="8.5703125" style="119"/>
  </cols>
  <sheetData>
    <row r="1" spans="1:23">
      <c r="A1" s="118" t="s">
        <v>206</v>
      </c>
      <c r="B1" s="1293" t="s">
        <v>1499</v>
      </c>
      <c r="C1" s="1293"/>
      <c r="D1" s="1292" t="s">
        <v>540</v>
      </c>
      <c r="E1" s="304"/>
      <c r="F1" s="304"/>
      <c r="G1" s="304"/>
      <c r="H1" s="304"/>
      <c r="I1" s="304"/>
      <c r="J1" s="304" t="s">
        <v>1632</v>
      </c>
      <c r="K1" s="304" t="s">
        <v>802</v>
      </c>
      <c r="L1" s="1889" t="s">
        <v>1841</v>
      </c>
      <c r="M1" s="1889"/>
      <c r="N1" s="1889"/>
      <c r="O1" s="1889"/>
      <c r="P1" s="304"/>
      <c r="Q1" s="430"/>
    </row>
    <row r="2" spans="1:23">
      <c r="A2" s="302" t="e">
        <f>A23-A1</f>
        <v>#VALUE!</v>
      </c>
      <c r="B2" s="358" t="s">
        <v>1590</v>
      </c>
      <c r="C2" s="358"/>
      <c r="D2" s="359" t="s">
        <v>539</v>
      </c>
      <c r="E2" s="571" t="s">
        <v>830</v>
      </c>
      <c r="F2" s="572" t="s">
        <v>781</v>
      </c>
      <c r="G2" s="574" t="s">
        <v>832</v>
      </c>
      <c r="H2" s="574" t="s">
        <v>831</v>
      </c>
      <c r="I2" s="574" t="s">
        <v>833</v>
      </c>
      <c r="J2" s="304"/>
      <c r="K2" s="304" t="s">
        <v>1549</v>
      </c>
      <c r="L2" s="1890" t="s">
        <v>1839</v>
      </c>
      <c r="M2" s="1890"/>
      <c r="N2" s="1890"/>
      <c r="O2" s="1890"/>
      <c r="P2" s="304"/>
      <c r="Q2" s="302"/>
    </row>
    <row r="3" spans="1:23">
      <c r="A3" s="302"/>
      <c r="B3" s="1485" t="s">
        <v>1587</v>
      </c>
      <c r="C3" s="1485"/>
      <c r="D3" s="1486" t="s">
        <v>539</v>
      </c>
      <c r="E3" s="571"/>
      <c r="F3" s="572"/>
      <c r="G3" s="574"/>
      <c r="H3" s="574"/>
      <c r="I3" s="574"/>
      <c r="J3" s="304"/>
      <c r="K3" s="304"/>
      <c r="L3" s="304"/>
      <c r="M3" s="304"/>
      <c r="N3" s="304"/>
      <c r="O3" s="304"/>
      <c r="P3" s="304"/>
      <c r="Q3" s="302"/>
      <c r="S3" s="124" t="s">
        <v>1634</v>
      </c>
      <c r="T3" s="124" t="s">
        <v>1635</v>
      </c>
      <c r="U3" s="124" t="s">
        <v>1636</v>
      </c>
      <c r="V3" s="124" t="s">
        <v>1637</v>
      </c>
      <c r="W3" s="124" t="s">
        <v>1638</v>
      </c>
    </row>
    <row r="4" spans="1:23" hidden="1" outlineLevel="1">
      <c r="A4" s="120" t="s">
        <v>207</v>
      </c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</row>
    <row r="5" spans="1:23" hidden="1" outlineLevel="1">
      <c r="A5" s="122" t="s">
        <v>10</v>
      </c>
      <c r="B5" s="123" t="s">
        <v>0</v>
      </c>
      <c r="C5" s="123" t="s">
        <v>1</v>
      </c>
      <c r="D5" s="123" t="s">
        <v>2</v>
      </c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23"/>
    </row>
    <row r="6" spans="1:23" hidden="1" outlineLevel="1">
      <c r="A6" s="125" t="s">
        <v>208</v>
      </c>
      <c r="B6" s="126">
        <v>103086.65353083509</v>
      </c>
      <c r="C6" s="126">
        <v>142570.08873844583</v>
      </c>
      <c r="D6" s="126">
        <v>111892.37394129133</v>
      </c>
      <c r="E6" s="126"/>
      <c r="F6" s="126"/>
      <c r="G6" s="126"/>
      <c r="H6" s="126"/>
      <c r="I6" s="126"/>
      <c r="J6" s="126"/>
      <c r="K6" s="126"/>
      <c r="L6" s="126"/>
      <c r="M6" s="126"/>
      <c r="N6" s="126"/>
      <c r="O6" s="126"/>
      <c r="P6" s="126"/>
    </row>
    <row r="7" spans="1:23" hidden="1" outlineLevel="1">
      <c r="A7" s="125" t="s">
        <v>209</v>
      </c>
      <c r="B7" s="126">
        <v>-45897.482000000004</v>
      </c>
      <c r="C7" s="126">
        <v>-32621.845600000001</v>
      </c>
      <c r="D7" s="126">
        <v>-40891.556445000002</v>
      </c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</row>
    <row r="8" spans="1:23" hidden="1" outlineLevel="1">
      <c r="A8" s="125" t="s">
        <v>210</v>
      </c>
      <c r="B8" s="126">
        <v>-65656.013999999996</v>
      </c>
      <c r="C8" s="126">
        <v>-641028.29700000002</v>
      </c>
      <c r="D8" s="126">
        <v>-745978.88600000006</v>
      </c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</row>
    <row r="9" spans="1:23" hidden="1" outlineLevel="1">
      <c r="A9" s="125" t="s">
        <v>211</v>
      </c>
      <c r="B9" s="126">
        <v>0</v>
      </c>
      <c r="C9" s="126">
        <v>520624.74439999997</v>
      </c>
      <c r="D9" s="126">
        <v>466823.33895</v>
      </c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6"/>
      <c r="P9" s="126"/>
    </row>
    <row r="10" spans="1:23" hidden="1" outlineLevel="1">
      <c r="A10" s="127" t="s">
        <v>212</v>
      </c>
      <c r="B10" s="128">
        <v>248218.57153083509</v>
      </c>
      <c r="C10" s="128">
        <v>259161.94553844584</v>
      </c>
      <c r="D10" s="128">
        <v>51007.215984737217</v>
      </c>
      <c r="E10" s="128"/>
      <c r="F10" s="128"/>
      <c r="G10" s="128"/>
      <c r="H10" s="128"/>
      <c r="I10" s="128"/>
      <c r="J10" s="128"/>
      <c r="K10" s="128"/>
      <c r="L10" s="128"/>
      <c r="M10" s="128"/>
      <c r="N10" s="128"/>
      <c r="O10" s="128"/>
      <c r="P10" s="128"/>
    </row>
    <row r="11" spans="1:23" hidden="1" outlineLevel="1">
      <c r="A11" s="129" t="s">
        <v>213</v>
      </c>
      <c r="B11" s="130">
        <v>0</v>
      </c>
      <c r="C11" s="130">
        <v>-523000</v>
      </c>
      <c r="D11" s="130">
        <v>-1000000</v>
      </c>
      <c r="E11" s="130"/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</row>
    <row r="12" spans="1:23" hidden="1" outlineLevel="1"/>
    <row r="13" spans="1:23" collapsed="1">
      <c r="H13" s="575" t="s">
        <v>540</v>
      </c>
      <c r="I13" s="575" t="s">
        <v>539</v>
      </c>
      <c r="J13" s="1690" t="s">
        <v>1643</v>
      </c>
      <c r="K13" s="1690"/>
      <c r="L13" s="1689" t="s">
        <v>1639</v>
      </c>
      <c r="M13" s="1689"/>
      <c r="S13" s="1500" t="str">
        <f>$L$13</f>
        <v>No refinancing</v>
      </c>
      <c r="T13" s="1496">
        <f>'Final Terms of Loan Financing'!$BY$202/1000000</f>
        <v>0</v>
      </c>
      <c r="U13" s="1496">
        <f>SUM(J16:N17)/1000</f>
        <v>413.61190721387089</v>
      </c>
      <c r="V13" s="1497">
        <f>T13/U13</f>
        <v>0</v>
      </c>
      <c r="W13" s="1496">
        <f>MIN(I23:P23)/1000</f>
        <v>-386.25817392671894</v>
      </c>
    </row>
    <row r="14" spans="1:23">
      <c r="A14" s="131" t="s">
        <v>214</v>
      </c>
      <c r="B14" s="132"/>
      <c r="C14" s="132"/>
      <c r="D14" s="132"/>
      <c r="E14" s="132"/>
    </row>
    <row r="15" spans="1:23">
      <c r="A15" s="122" t="s">
        <v>10</v>
      </c>
      <c r="B15" s="123" t="s">
        <v>0</v>
      </c>
      <c r="C15" s="123" t="s">
        <v>1</v>
      </c>
      <c r="D15" s="123" t="s">
        <v>2</v>
      </c>
      <c r="E15" s="123" t="s">
        <v>3</v>
      </c>
      <c r="F15" s="123" t="s">
        <v>4</v>
      </c>
      <c r="G15" s="123" t="s">
        <v>5</v>
      </c>
      <c r="H15" s="123" t="s">
        <v>6</v>
      </c>
      <c r="I15" s="123" t="s">
        <v>7</v>
      </c>
      <c r="J15" s="123" t="s">
        <v>13</v>
      </c>
      <c r="K15" s="123" t="s">
        <v>14</v>
      </c>
      <c r="L15" s="123" t="s">
        <v>15</v>
      </c>
      <c r="M15" s="123" t="s">
        <v>16</v>
      </c>
      <c r="N15" s="123" t="s">
        <v>17</v>
      </c>
      <c r="O15" s="123" t="s">
        <v>18</v>
      </c>
      <c r="P15" s="123" t="s">
        <v>19</v>
      </c>
    </row>
    <row r="16" spans="1:23">
      <c r="A16" s="125" t="s">
        <v>208</v>
      </c>
      <c r="B16" s="126">
        <f>('Cashflow forecast'!I24+'Cashflow forecast'!I48)/1000</f>
        <v>85661.724840835101</v>
      </c>
      <c r="C16" s="126">
        <f>('Cashflow forecast'!J24+'Cashflow forecast'!J48)/1000</f>
        <v>143874.33549196983</v>
      </c>
      <c r="D16" s="126">
        <f>('Cashflow forecast'!K24+'Cashflow forecast'!K48)/1000</f>
        <v>118185.01404212714</v>
      </c>
      <c r="E16" s="126">
        <f>('Cashflow forecast'!L24+'Cashflow forecast'!L48)/1000-E18</f>
        <v>109649.5917626797</v>
      </c>
      <c r="F16" s="126">
        <f>('Cashflow forecast'!M24+'Cashflow forecast'!M48)/1000-F18</f>
        <v>91174.151340035984</v>
      </c>
      <c r="G16" s="126">
        <f>('Cashflow forecast'!N24+'Cashflow forecast'!N48)/1000-G18</f>
        <v>55727.6668187018</v>
      </c>
      <c r="H16" s="126">
        <f>('Cashflow forecast'!O24+'Cashflow forecast'!O48)/1000-H18</f>
        <v>109764.01433718709</v>
      </c>
      <c r="I16" s="126">
        <f>('Cashflow forecast'!P24+'Cashflow forecast'!P48)/1000-I18</f>
        <v>-27268.559578092987</v>
      </c>
      <c r="J16" s="126">
        <f>('Cashflow forecast'!Q24+'Cashflow forecast'!Q48)/1000-J18</f>
        <v>-2551.9462607385012</v>
      </c>
      <c r="K16" s="126">
        <f>('Cashflow forecast'!R24+'Cashflow forecast'!R48)/1000-K18</f>
        <v>61564.807859375811</v>
      </c>
      <c r="L16" s="126">
        <f>('Cashflow forecast'!S24+'Cashflow forecast'!S48)/1000-L18</f>
        <v>108500.76872648575</v>
      </c>
      <c r="M16" s="126">
        <f>('Cashflow forecast'!T24+'Cashflow forecast'!T48)/1000-M18</f>
        <v>119539.57948550134</v>
      </c>
      <c r="N16" s="126">
        <f>('Cashflow forecast'!U24+'Cashflow forecast'!U48)/1000-N18</f>
        <v>138817.69740324651</v>
      </c>
      <c r="O16" s="126">
        <f>('Cashflow forecast'!V24+'Cashflow forecast'!V48)/1000-O18</f>
        <v>168335.48200252643</v>
      </c>
      <c r="P16" s="126">
        <f>('Cashflow forecast'!W24+'Cashflow forecast'!W48)/1000-P18</f>
        <v>190757.73388502031</v>
      </c>
    </row>
    <row r="17" spans="1:33">
      <c r="A17" s="125" t="s">
        <v>209</v>
      </c>
      <c r="B17" s="126">
        <f>('Cashflow forecast'!I37)/1000</f>
        <v>-28473.514999999999</v>
      </c>
      <c r="C17" s="126">
        <f>('Cashflow forecast'!J37)/1000</f>
        <v>-18495.899229999999</v>
      </c>
      <c r="D17" s="126">
        <f>('Cashflow forecast'!K37)/1000</f>
        <v>-38035.709919999994</v>
      </c>
      <c r="E17" s="126">
        <f>('Cashflow forecast'!L37)/1000</f>
        <v>-52130.141510000001</v>
      </c>
      <c r="F17" s="126">
        <f>('Cashflow forecast'!M37)/1000</f>
        <v>-66451.063559999995</v>
      </c>
      <c r="G17" s="126">
        <f>('Cashflow forecast'!N37)/1000</f>
        <v>-54651.130427603064</v>
      </c>
      <c r="H17" s="126">
        <f>('Cashflow forecast'!O37)/1000</f>
        <v>-59505.343550000005</v>
      </c>
      <c r="I17" s="126">
        <f>('Cashflow forecast'!P37)/1000</f>
        <v>-730</v>
      </c>
      <c r="J17" s="126">
        <f>('Cashflow forecast'!Q37)/1000</f>
        <v>-5475</v>
      </c>
      <c r="K17" s="126">
        <f>('Cashflow forecast'!R37)/1000</f>
        <v>-6784</v>
      </c>
      <c r="L17" s="126">
        <f>('Cashflow forecast'!S37)/1000</f>
        <v>0</v>
      </c>
      <c r="M17" s="126">
        <f>('Cashflow forecast'!T37)/1000</f>
        <v>0</v>
      </c>
      <c r="N17" s="126">
        <f>('Cashflow forecast'!U37)/1000</f>
        <v>0</v>
      </c>
      <c r="O17" s="126">
        <f>('Cashflow forecast'!V37)/1000</f>
        <v>0</v>
      </c>
      <c r="P17" s="126">
        <f>('Cashflow forecast'!W37)/1000</f>
        <v>0</v>
      </c>
    </row>
    <row r="18" spans="1:33">
      <c r="A18" s="125" t="s">
        <v>573</v>
      </c>
      <c r="B18" s="126">
        <f>'Cashflow forecast'!I44/1000</f>
        <v>0</v>
      </c>
      <c r="C18" s="126">
        <f>'Cashflow forecast'!J44/1000</f>
        <v>0</v>
      </c>
      <c r="D18" s="126">
        <f>'Cashflow forecast'!K44/1000</f>
        <v>0</v>
      </c>
      <c r="E18" s="126">
        <f>'Cashflow forecast'!L44/1000</f>
        <v>0</v>
      </c>
      <c r="F18" s="126">
        <f>'Cashflow forecast'!M44/1000</f>
        <v>0</v>
      </c>
      <c r="G18" s="126">
        <f>'Cashflow forecast'!N44/1000</f>
        <v>0</v>
      </c>
      <c r="H18" s="126">
        <f>'Cashflow forecast'!O44/1000</f>
        <v>0</v>
      </c>
      <c r="I18" s="126">
        <f>'Cashflow forecast'!P44/1000</f>
        <v>0</v>
      </c>
      <c r="J18" s="126">
        <f>'Cashflow forecast'!Q44/1000</f>
        <v>0</v>
      </c>
      <c r="K18" s="126">
        <f>'Cashflow forecast'!R44/1000</f>
        <v>0</v>
      </c>
      <c r="L18" s="126">
        <f>'Cashflow forecast'!S44/1000</f>
        <v>0</v>
      </c>
      <c r="M18" s="126">
        <f>'Cashflow forecast'!T44/1000</f>
        <v>0</v>
      </c>
      <c r="N18" s="126">
        <f>'Cashflow forecast'!U44/1000</f>
        <v>0</v>
      </c>
      <c r="O18" s="126">
        <f>'Cashflow forecast'!V44/1000</f>
        <v>0</v>
      </c>
      <c r="P18" s="126">
        <f>'Cashflow forecast'!W44/1000</f>
        <v>0</v>
      </c>
    </row>
    <row r="19" spans="1:33">
      <c r="A19" s="125" t="s">
        <v>210</v>
      </c>
      <c r="B19" s="126">
        <f>SUM('Cashflow forecast'!I49:I51)/1000</f>
        <v>-44256.369029999973</v>
      </c>
      <c r="C19" s="126">
        <f>SUM('Cashflow forecast'!J49:J51)/1000</f>
        <v>-317743.71015000006</v>
      </c>
      <c r="D19" s="126">
        <f>SUM('Cashflow forecast'!K49:K51)/1000</f>
        <v>-390056.06186000002</v>
      </c>
      <c r="E19" s="126">
        <f>SUM('Cashflow forecast'!L49:L51)/1000</f>
        <v>-315927.02423000004</v>
      </c>
      <c r="F19" s="126">
        <f>SUM('Cashflow forecast'!M49:M51)/1000</f>
        <v>-151883.40371999997</v>
      </c>
      <c r="G19" s="126">
        <f>SUM('Cashflow forecast'!N49:N51)/1000</f>
        <v>-77663.557990000016</v>
      </c>
      <c r="H19" s="126">
        <f>SUM('Cashflow forecast'!O49:O51)/1000</f>
        <v>-82747.448000000004</v>
      </c>
      <c r="I19" s="126">
        <f>SUM('Cashflow forecast'!P49:P51)/1000</f>
        <v>-30414.409</v>
      </c>
      <c r="J19" s="126">
        <f>SUM('Cashflow forecast'!Q49:Q51)/1000</f>
        <v>0</v>
      </c>
      <c r="K19" s="126">
        <f>SUM('Cashflow forecast'!R49:R51)/1000</f>
        <v>0</v>
      </c>
      <c r="L19" s="126">
        <f>SUM('Cashflow forecast'!S49:S51)/1000</f>
        <v>0</v>
      </c>
      <c r="M19" s="126">
        <f>SUM('Cashflow forecast'!T49:T51)/1000</f>
        <v>0</v>
      </c>
      <c r="N19" s="126">
        <f>SUM('Cashflow forecast'!U49:U51)/1000</f>
        <v>0</v>
      </c>
      <c r="O19" s="126">
        <f>SUM('Cashflow forecast'!V49:V51)/1000</f>
        <v>0</v>
      </c>
      <c r="P19" s="126">
        <f>SUM('Cashflow forecast'!W49:W51)/1000</f>
        <v>0</v>
      </c>
      <c r="R19" s="1496"/>
      <c r="U19" s="1496"/>
      <c r="V19" s="1496"/>
    </row>
    <row r="20" spans="1:33" hidden="1" outlineLevel="1">
      <c r="A20" s="1122" t="s">
        <v>1591</v>
      </c>
      <c r="B20" s="1123">
        <f>SUM('Cashflow forecast'!I64:I69)/1000</f>
        <v>0</v>
      </c>
      <c r="C20" s="1123">
        <f>SUM('Cashflow forecast'!J64:J69)/1000</f>
        <v>156061.61255000002</v>
      </c>
      <c r="D20" s="1123">
        <f>SUM('Cashflow forecast'!K64:K69)/1000</f>
        <v>296716.64623000001</v>
      </c>
      <c r="E20" s="1123">
        <f>SUM('Cashflow forecast'!L64:L69)/1000</f>
        <v>211570.93927</v>
      </c>
      <c r="F20" s="1123">
        <f>SUM('Cashflow forecast'!M64:M69)/1000</f>
        <v>86613.554000000004</v>
      </c>
      <c r="G20" s="1123">
        <f>SUM('Cashflow forecast'!N64:N69)/1000</f>
        <v>109523.5082116667</v>
      </c>
      <c r="H20" s="1123">
        <f>SUM('Cashflow forecast'!O64:O69)/1000</f>
        <v>-95246.053647808221</v>
      </c>
      <c r="I20" s="1123">
        <f>SUM('Cashflow forecast'!P64:P69)/1000</f>
        <v>-200569.82714360731</v>
      </c>
      <c r="J20" s="1123">
        <f>SUM('Cashflow forecast'!Q64:Q69)/1000</f>
        <v>-250476.79657135275</v>
      </c>
      <c r="K20" s="1123">
        <f>SUM('Cashflow forecast'!R64:R69)/1000</f>
        <v>-280416.42149400688</v>
      </c>
      <c r="L20" s="1123">
        <f>SUM('Cashflow forecast'!S64:S69)/1000</f>
        <v>-140681.23960416098</v>
      </c>
      <c r="M20" s="1123">
        <f>SUM('Cashflow forecast'!T64:T69)/1000</f>
        <v>-4417.2243221917806</v>
      </c>
      <c r="N20" s="1123">
        <f>SUM('Cashflow forecast'!U64:U69)/1000</f>
        <v>-1659.7676832876714</v>
      </c>
      <c r="O20" s="1123">
        <f>SUM('Cashflow forecast'!V64:V69)/1000</f>
        <v>0</v>
      </c>
      <c r="P20" s="1123">
        <f>SUM('Cashflow forecast'!W64:W69)/1000</f>
        <v>0</v>
      </c>
    </row>
    <row r="21" spans="1:33" hidden="1" outlineLevel="1">
      <c r="A21" s="1122" t="s">
        <v>1592</v>
      </c>
      <c r="B21" s="1123">
        <f>'Cashflow forecast'!I88/1000</f>
        <v>269617.25481083512</v>
      </c>
      <c r="C21" s="1124">
        <f>B21+SUM(C16:C20)</f>
        <v>233313.59347280493</v>
      </c>
      <c r="D21" s="1124">
        <f t="shared" ref="D21:P21" si="0">C21+SUM(D16:D20)</f>
        <v>220123.48196493206</v>
      </c>
      <c r="E21" s="1124">
        <f t="shared" si="0"/>
        <v>173286.84725761172</v>
      </c>
      <c r="F21" s="1124">
        <f t="shared" si="0"/>
        <v>132740.08531764772</v>
      </c>
      <c r="G21" s="1124">
        <f t="shared" si="0"/>
        <v>165676.57193041313</v>
      </c>
      <c r="H21" s="1124">
        <f t="shared" si="0"/>
        <v>37941.741069791999</v>
      </c>
      <c r="I21" s="1124">
        <f t="shared" si="0"/>
        <v>-221041.05465190829</v>
      </c>
      <c r="J21" s="1124">
        <f t="shared" si="0"/>
        <v>-479544.79748399951</v>
      </c>
      <c r="K21" s="1124">
        <f t="shared" si="0"/>
        <v>-705180.41111863055</v>
      </c>
      <c r="L21" s="1124">
        <f t="shared" si="0"/>
        <v>-737360.88199630578</v>
      </c>
      <c r="M21" s="1124">
        <f t="shared" si="0"/>
        <v>-622238.52683299617</v>
      </c>
      <c r="N21" s="1124">
        <f t="shared" si="0"/>
        <v>-485080.59711303737</v>
      </c>
      <c r="O21" s="1124">
        <f t="shared" si="0"/>
        <v>-316745.11511051096</v>
      </c>
      <c r="P21" s="1124">
        <f t="shared" si="0"/>
        <v>-125987.38122549065</v>
      </c>
    </row>
    <row r="22" spans="1:33" collapsed="1">
      <c r="A22" s="125" t="s">
        <v>211</v>
      </c>
      <c r="B22" s="126">
        <f>'Cashflow forecast'!I80/1000</f>
        <v>0</v>
      </c>
      <c r="C22" s="126">
        <f>'Cashflow forecast'!J80/1000</f>
        <v>156061.61255000002</v>
      </c>
      <c r="D22" s="126">
        <f>'Cashflow forecast'!K80/1000</f>
        <v>296716.64623000001</v>
      </c>
      <c r="E22" s="126">
        <f>'Cashflow forecast'!L80/1000</f>
        <v>211570.93927</v>
      </c>
      <c r="F22" s="126">
        <f>'Cashflow forecast'!M80/1000</f>
        <v>86613.554000000004</v>
      </c>
      <c r="G22" s="126">
        <f>'Cashflow forecast'!N80/1000</f>
        <v>109523.5082116667</v>
      </c>
      <c r="H22" s="126">
        <f>'Cashflow forecast'!O80/1000</f>
        <v>4753.946352191776</v>
      </c>
      <c r="I22" s="126">
        <f>'Cashflow forecast'!P80/1000</f>
        <v>-569.82714360731836</v>
      </c>
      <c r="J22" s="126">
        <f>'Cashflow forecast'!Q80/1000</f>
        <v>-200476.79657135275</v>
      </c>
      <c r="K22" s="126">
        <f>'Cashflow forecast'!R80/1000</f>
        <v>-280416.42149400688</v>
      </c>
      <c r="L22" s="126">
        <f>'Cashflow forecast'!S80/1000</f>
        <v>-140681.23960416098</v>
      </c>
      <c r="M22" s="126">
        <f>'Cashflow forecast'!T80/1000</f>
        <v>-4417.2243221917806</v>
      </c>
      <c r="N22" s="126">
        <f>'Cashflow forecast'!U80/1000</f>
        <v>-1659.7676832876714</v>
      </c>
      <c r="O22" s="126">
        <f>'Cashflow forecast'!V80/1000</f>
        <v>0</v>
      </c>
      <c r="P22" s="126">
        <f>'Cashflow forecast'!W80/1000</f>
        <v>0</v>
      </c>
      <c r="R22" s="1495" t="s">
        <v>1642</v>
      </c>
    </row>
    <row r="23" spans="1:33">
      <c r="A23" s="127" t="s">
        <v>212</v>
      </c>
      <c r="B23" s="128">
        <f>'Cashflow forecast'!I88/1000</f>
        <v>269617.25481083512</v>
      </c>
      <c r="C23" s="128">
        <f>'Cashflow forecast'!J88/1000</f>
        <v>233313.59366196979</v>
      </c>
      <c r="D23" s="128">
        <f>'Cashflow forecast'!K88/1000</f>
        <v>220123.48249212719</v>
      </c>
      <c r="E23" s="128">
        <f>'Cashflow forecast'!L88/1000</f>
        <v>173286.84778480689</v>
      </c>
      <c r="F23" s="128">
        <f>'Cashflow forecast'!M88/1000</f>
        <v>132740.08584484292</v>
      </c>
      <c r="G23" s="128">
        <f>'Cashflow forecast'!N88/1000</f>
        <v>165676.57245760833</v>
      </c>
      <c r="H23" s="128">
        <f>'Cashflow forecast'!O88/1000</f>
        <v>139044.44913937888</v>
      </c>
      <c r="I23" s="128">
        <f>'Cashflow forecast'!P88/1000</f>
        <v>80061.653417678564</v>
      </c>
      <c r="J23" s="128">
        <f>'Cashflow forecast'!Q88/1000</f>
        <v>-128442.08941441268</v>
      </c>
      <c r="K23" s="128">
        <f>'Cashflow forecast'!R88/1000</f>
        <v>-354077.70304904378</v>
      </c>
      <c r="L23" s="128">
        <f>'Cashflow forecast'!S88/1000</f>
        <v>-386258.17392671894</v>
      </c>
      <c r="M23" s="128">
        <f>'Cashflow forecast'!T88/1000</f>
        <v>-271135.81876340939</v>
      </c>
      <c r="N23" s="128">
        <f>'Cashflow forecast'!U88/1000</f>
        <v>-133977.88904345053</v>
      </c>
      <c r="O23" s="128">
        <f>'Cashflow forecast'!V88/1000</f>
        <v>34357.592959075897</v>
      </c>
      <c r="P23" s="128">
        <f>'Cashflow forecast'!W88/1000</f>
        <v>225115.32684409621</v>
      </c>
      <c r="R23" s="124" t="s">
        <v>1633</v>
      </c>
      <c r="S23" s="124" t="s">
        <v>1634</v>
      </c>
      <c r="T23" s="124" t="s">
        <v>1635</v>
      </c>
      <c r="U23" s="124" t="s">
        <v>1636</v>
      </c>
      <c r="V23" s="124" t="s">
        <v>1637</v>
      </c>
      <c r="W23" s="124" t="s">
        <v>1638</v>
      </c>
    </row>
    <row r="24" spans="1:33">
      <c r="A24" s="129" t="s">
        <v>1361</v>
      </c>
      <c r="B24" s="130">
        <v>0</v>
      </c>
      <c r="C24" s="130">
        <v>0</v>
      </c>
      <c r="D24" s="130">
        <v>0</v>
      </c>
      <c r="E24" s="130">
        <v>0</v>
      </c>
      <c r="F24" s="130">
        <v>0</v>
      </c>
      <c r="G24" s="130">
        <v>0</v>
      </c>
      <c r="H24" s="130">
        <f>-'Cashflow forecast'!O92/1000</f>
        <v>-100000</v>
      </c>
      <c r="I24" s="130">
        <f>-'Cashflow forecast'!P92/1000</f>
        <v>-300000</v>
      </c>
      <c r="J24" s="130">
        <f>-'Cashflow forecast'!Q92/1000</f>
        <v>-350000</v>
      </c>
      <c r="K24" s="130">
        <f>-'Cashflow forecast'!R92/1000</f>
        <v>-350000</v>
      </c>
      <c r="L24" s="130">
        <f>-'Cashflow forecast'!S92/1000</f>
        <v>-350000</v>
      </c>
      <c r="M24" s="130">
        <f>-'Cashflow forecast'!T92/1000</f>
        <v>-350000</v>
      </c>
      <c r="N24" s="130">
        <f>-'Cashflow forecast'!U92/1000</f>
        <v>-350000</v>
      </c>
      <c r="O24" s="130">
        <f>-'Cashflow forecast'!V92/1000</f>
        <v>-350000</v>
      </c>
      <c r="P24" s="130">
        <f>-'Cashflow forecast'!W92/1000</f>
        <v>-350000</v>
      </c>
      <c r="R24" s="1496">
        <v>1</v>
      </c>
      <c r="S24" s="1496" t="s">
        <v>1639</v>
      </c>
      <c r="T24" s="1496">
        <v>0</v>
      </c>
      <c r="U24" s="1496">
        <f>SUM(J16:N17)/1000</f>
        <v>413.61190721387089</v>
      </c>
      <c r="V24" s="1496"/>
      <c r="W24" s="1496">
        <v>-435</v>
      </c>
      <c r="X24" s="304"/>
    </row>
    <row r="25" spans="1:33">
      <c r="A25" s="129" t="s">
        <v>1285</v>
      </c>
      <c r="B25" s="130">
        <f>'Cashflow forecast'!I90/1000</f>
        <v>0</v>
      </c>
      <c r="C25" s="130">
        <f>-'Cashflow forecast'!J90/1000</f>
        <v>-156873.302</v>
      </c>
      <c r="D25" s="130">
        <f>-'Cashflow forecast'!K90/1000</f>
        <v>-458691.30200000003</v>
      </c>
      <c r="E25" s="130">
        <f>-'Cashflow forecast'!L90/1000</f>
        <v>-684331.30200000003</v>
      </c>
      <c r="F25" s="130">
        <f>-'Cashflow forecast'!M90/1000</f>
        <v>-794608.30200000003</v>
      </c>
      <c r="G25" s="130">
        <f>-'Cashflow forecast'!N90/1000</f>
        <v>-921500</v>
      </c>
      <c r="H25" s="130">
        <f>-'Cashflow forecast'!O90/1000</f>
        <v>-824500</v>
      </c>
      <c r="I25" s="130">
        <f>-'Cashflow forecast'!P90/1000</f>
        <v>-630500</v>
      </c>
      <c r="J25" s="130">
        <f>-'Cashflow forecast'!Q90/1000</f>
        <v>-400125</v>
      </c>
      <c r="K25" s="130">
        <f>-'Cashflow forecast'!R90/1000</f>
        <v>-133374.99999999997</v>
      </c>
      <c r="L25" s="130">
        <f>-'Cashflow forecast'!S90/1000</f>
        <v>4.470348358154297E-11</v>
      </c>
      <c r="M25" s="130">
        <f>-'Cashflow forecast'!T90/1000</f>
        <v>4.470348358154297E-11</v>
      </c>
      <c r="N25" s="130">
        <f>-'Cashflow forecast'!U90/1000</f>
        <v>4.470348358154297E-11</v>
      </c>
      <c r="O25" s="130">
        <f>-'Cashflow forecast'!V90/1000</f>
        <v>4.470348358154297E-11</v>
      </c>
      <c r="P25" s="130">
        <f>-'Cashflow forecast'!W90/1000</f>
        <v>4.470348358154297E-11</v>
      </c>
      <c r="R25" s="1496">
        <v>2</v>
      </c>
      <c r="S25" s="1500">
        <v>44866</v>
      </c>
      <c r="T25" s="1496">
        <v>727.5</v>
      </c>
      <c r="U25" s="1496">
        <v>724.40270781884908</v>
      </c>
      <c r="V25" s="1497">
        <v>1.0042756496458671</v>
      </c>
      <c r="W25" s="1496">
        <v>-184.71223418100053</v>
      </c>
      <c r="X25" s="302"/>
    </row>
    <row r="26" spans="1:33">
      <c r="A26" s="129" t="s">
        <v>1593</v>
      </c>
      <c r="B26" s="130"/>
      <c r="C26" s="130"/>
      <c r="D26" s="130"/>
      <c r="E26" s="130"/>
      <c r="F26" s="130"/>
      <c r="G26" s="130"/>
      <c r="H26" s="130">
        <f>-'Cashflow forecast'!O91/1000</f>
        <v>0</v>
      </c>
      <c r="I26" s="130">
        <f>-'Cashflow forecast'!P91/1000</f>
        <v>0</v>
      </c>
      <c r="J26" s="130">
        <f>-'Cashflow forecast'!Q91/1000</f>
        <v>0</v>
      </c>
      <c r="K26" s="130">
        <f>-'Cashflow forecast'!R91/1000</f>
        <v>0</v>
      </c>
      <c r="L26" s="130">
        <f>-'Cashflow forecast'!S91/1000</f>
        <v>0</v>
      </c>
      <c r="M26" s="130">
        <f>-'Cashflow forecast'!T91/1000</f>
        <v>0</v>
      </c>
      <c r="N26" s="130">
        <f>-'Cashflow forecast'!U91/1000</f>
        <v>0</v>
      </c>
      <c r="O26" s="130">
        <f>-'Cashflow forecast'!V91/1000</f>
        <v>0</v>
      </c>
      <c r="P26" s="130">
        <f>-'Cashflow forecast'!W91/1000</f>
        <v>0</v>
      </c>
      <c r="R26" s="1496">
        <v>3</v>
      </c>
      <c r="S26" s="1500">
        <v>44958</v>
      </c>
      <c r="T26" s="1496">
        <v>679</v>
      </c>
      <c r="U26" s="1496">
        <v>724.40270781884908</v>
      </c>
      <c r="V26" s="1497">
        <v>0.93732393966947603</v>
      </c>
      <c r="W26" s="1496">
        <v>-168.88374575998262</v>
      </c>
      <c r="X26" s="302"/>
    </row>
    <row r="27" spans="1:33">
      <c r="A27" s="1142" t="s">
        <v>1409</v>
      </c>
      <c r="B27" s="1143"/>
      <c r="C27" s="1143"/>
      <c r="D27" s="1143"/>
      <c r="E27" s="1143"/>
      <c r="F27" s="1143"/>
      <c r="G27" s="1143"/>
      <c r="H27" s="1144">
        <f>IF(H23&gt;0,H25+H26,H23+H25+H26)</f>
        <v>-824500</v>
      </c>
      <c r="I27" s="1144">
        <f t="shared" ref="I27:P27" si="1">IF(I23&gt;0,I25+I26,I23+I25+I26)</f>
        <v>-630500</v>
      </c>
      <c r="J27" s="1144">
        <f t="shared" si="1"/>
        <v>-528567.08941441262</v>
      </c>
      <c r="K27" s="1144">
        <f t="shared" si="1"/>
        <v>-487452.70304904378</v>
      </c>
      <c r="L27" s="1144">
        <f t="shared" si="1"/>
        <v>-386258.17392671888</v>
      </c>
      <c r="M27" s="1144">
        <f t="shared" si="1"/>
        <v>-271135.81876340933</v>
      </c>
      <c r="N27" s="1144">
        <f t="shared" si="1"/>
        <v>-133977.88904345047</v>
      </c>
      <c r="O27" s="1144">
        <f t="shared" si="1"/>
        <v>4.470348358154297E-11</v>
      </c>
      <c r="P27" s="1144">
        <f t="shared" si="1"/>
        <v>4.470348358154297E-11</v>
      </c>
      <c r="R27" s="1498">
        <v>4</v>
      </c>
      <c r="S27" s="1501">
        <v>45047</v>
      </c>
      <c r="T27" s="1498">
        <v>630.5</v>
      </c>
      <c r="U27" s="1498">
        <v>724.40270781884908</v>
      </c>
      <c r="V27" s="1499">
        <v>0.87037222969308492</v>
      </c>
      <c r="W27" s="1498">
        <v>-166.62637280429499</v>
      </c>
    </row>
    <row r="28" spans="1:33">
      <c r="R28" s="1496">
        <v>5</v>
      </c>
      <c r="S28" s="1500">
        <v>45139</v>
      </c>
      <c r="T28" s="1496">
        <v>582</v>
      </c>
      <c r="U28" s="1496">
        <v>724.40270781884908</v>
      </c>
      <c r="V28" s="1497">
        <v>0.80342051971669382</v>
      </c>
      <c r="W28" s="1496">
        <v>-177.07321674637825</v>
      </c>
    </row>
    <row r="29" spans="1:33">
      <c r="M29" s="302"/>
      <c r="N29" s="302"/>
      <c r="O29" s="302"/>
      <c r="P29" s="302"/>
      <c r="Q29" s="302"/>
      <c r="R29" s="1496">
        <v>6</v>
      </c>
      <c r="S29" s="1500">
        <v>45231</v>
      </c>
      <c r="T29" s="1496">
        <v>533.5</v>
      </c>
      <c r="U29" s="1496">
        <v>724.40270781884908</v>
      </c>
      <c r="V29" s="1497">
        <v>0.7364688097403026</v>
      </c>
      <c r="W29" s="1496">
        <v>-192.46772566387824</v>
      </c>
      <c r="Y29" s="304"/>
      <c r="Z29" s="304"/>
      <c r="AA29" s="304"/>
      <c r="AB29" s="304"/>
      <c r="AC29" s="304"/>
      <c r="AD29" s="304"/>
      <c r="AE29" s="304"/>
      <c r="AF29" s="304"/>
      <c r="AG29" s="304"/>
    </row>
    <row r="30" spans="1:33">
      <c r="M30" s="302"/>
      <c r="N30" s="302"/>
      <c r="O30" s="302"/>
      <c r="P30" s="302"/>
      <c r="Q30" s="302"/>
      <c r="R30" s="1496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</row>
    <row r="31" spans="1:33">
      <c r="M31" s="302"/>
      <c r="N31" s="302"/>
      <c r="O31" s="302"/>
      <c r="P31" s="302"/>
      <c r="Q31" s="302"/>
      <c r="R31" s="1496"/>
      <c r="X31" s="304"/>
      <c r="Y31" s="304"/>
      <c r="Z31" s="304"/>
      <c r="AA31" s="304"/>
      <c r="AB31" s="304"/>
      <c r="AC31" s="304"/>
      <c r="AD31" s="304"/>
      <c r="AE31" s="304"/>
      <c r="AF31" s="304"/>
      <c r="AG31" s="304"/>
    </row>
    <row r="32" spans="1:33">
      <c r="M32" s="303"/>
      <c r="N32" s="302"/>
      <c r="O32" s="302"/>
      <c r="P32" s="302"/>
      <c r="Q32" s="302"/>
      <c r="X32" s="304"/>
      <c r="Y32" s="304"/>
      <c r="Z32" s="304"/>
      <c r="AA32" s="304"/>
      <c r="AB32" s="304"/>
      <c r="AC32" s="304"/>
      <c r="AD32" s="304"/>
      <c r="AE32" s="304"/>
      <c r="AF32" s="304"/>
      <c r="AG32" s="304"/>
    </row>
    <row r="33" spans="13:33">
      <c r="M33" s="302"/>
      <c r="N33" s="302"/>
      <c r="O33" s="302"/>
      <c r="P33" s="302"/>
      <c r="Q33" s="302"/>
      <c r="Y33" s="304"/>
      <c r="Z33" s="304"/>
      <c r="AA33" s="304"/>
      <c r="AB33" s="304"/>
      <c r="AC33" s="304"/>
      <c r="AD33" s="304"/>
      <c r="AE33" s="304"/>
      <c r="AF33" s="304"/>
      <c r="AG33" s="304"/>
    </row>
    <row r="34" spans="13:33">
      <c r="M34" s="302"/>
      <c r="N34" s="302"/>
      <c r="O34" s="302"/>
      <c r="P34" s="302"/>
      <c r="Q34" s="302"/>
      <c r="Y34" s="302"/>
    </row>
    <row r="35" spans="13:33">
      <c r="M35" s="302"/>
      <c r="N35" s="302"/>
      <c r="O35" s="302"/>
      <c r="P35" s="302"/>
      <c r="Q35" s="302"/>
      <c r="Y35" s="302"/>
    </row>
    <row r="58" spans="1:16">
      <c r="A58" s="131" t="s">
        <v>1331</v>
      </c>
    </row>
    <row r="60" spans="1:16">
      <c r="A60" s="118" t="s">
        <v>1332</v>
      </c>
      <c r="B60" s="119">
        <f>'12 years sales &amp; PL forecast'!H49/1000</f>
        <v>128334.878</v>
      </c>
      <c r="C60" s="119">
        <f>'12 years sales &amp; PL forecast'!I49/1000</f>
        <v>132553.78400000001</v>
      </c>
      <c r="D60" s="119">
        <f>'12 years sales &amp; PL forecast'!J49/1000</f>
        <v>133080.92600000001</v>
      </c>
      <c r="E60" s="119">
        <f>'12 years sales &amp; PL forecast'!K49/1000</f>
        <v>134920.79800000001</v>
      </c>
      <c r="F60" s="119">
        <f>'12 years sales &amp; PL forecast'!L49/1000</f>
        <v>109952.232</v>
      </c>
      <c r="G60" s="119">
        <f>'12 years sales &amp; PL forecast'!M49/1000</f>
        <v>49797.021999999997</v>
      </c>
      <c r="H60" s="119">
        <f>'12 years sales &amp; PL forecast'!N49/1000</f>
        <v>95677.933000000005</v>
      </c>
      <c r="I60" s="119">
        <f>'12 years sales &amp; PL forecast'!O49/1000</f>
        <v>78208.396999999997</v>
      </c>
      <c r="J60" s="119">
        <f>'12 years sales &amp; PL forecast'!P49/1000</f>
        <v>81501.747000000003</v>
      </c>
      <c r="K60" s="119">
        <f>'12 years sales &amp; PL forecast'!Q49/1000</f>
        <v>99473.879000000001</v>
      </c>
      <c r="L60" s="119">
        <f>'12 years sales &amp; PL forecast'!R49/1000</f>
        <v>112646.69500000001</v>
      </c>
      <c r="M60" s="119">
        <f>'12 years sales &amp; PL forecast'!S49/1000</f>
        <v>120156.93399999999</v>
      </c>
      <c r="N60" s="119">
        <f>'12 years sales &amp; PL forecast'!T49/1000</f>
        <v>126824.552</v>
      </c>
      <c r="O60" s="119">
        <f>'12 years sales &amp; PL forecast'!U49/1000</f>
        <v>134648.14300000001</v>
      </c>
      <c r="P60" s="119">
        <f>'12 years sales &amp; PL forecast'!V49/1000</f>
        <v>136550.06100000002</v>
      </c>
    </row>
    <row r="61" spans="1:16">
      <c r="A61" s="118" t="s">
        <v>1334</v>
      </c>
      <c r="B61" s="1126">
        <f>'12 years sales &amp; PL forecast'!H101/1000/'Cashflow trend'!B60</f>
        <v>1.5749966488146454</v>
      </c>
      <c r="C61" s="1126">
        <f>'12 years sales &amp; PL forecast'!I101/1000/'Cashflow trend'!C60</f>
        <v>1.4838178057803697</v>
      </c>
      <c r="D61" s="1126">
        <f>'12 years sales &amp; PL forecast'!J101/1000/'Cashflow trend'!D60</f>
        <v>1.5973143996950725</v>
      </c>
      <c r="E61" s="1126">
        <f>'12 years sales &amp; PL forecast'!K101/1000/'Cashflow trend'!E60</f>
        <v>1.6240899822340229</v>
      </c>
      <c r="F61" s="1126">
        <f>'12 years sales &amp; PL forecast'!L101/1000/'Cashflow trend'!F60</f>
        <v>1.6346918359996867</v>
      </c>
      <c r="G61" s="1126">
        <f>'12 years sales &amp; PL forecast'!M101/1000/'Cashflow trend'!G60</f>
        <v>1.3265134043476725</v>
      </c>
      <c r="H61" s="1126">
        <f>'12 years sales &amp; PL forecast'!N101/1000/'Cashflow trend'!H60</f>
        <v>1.4422925307124472</v>
      </c>
      <c r="I61" s="1126">
        <f>'12 years sales &amp; PL forecast'!O101/1000/'Cashflow trend'!I60</f>
        <v>1.6056502651651376</v>
      </c>
      <c r="J61" s="1126">
        <f>'12 years sales &amp; PL forecast'!P101/1000/'Cashflow trend'!J60</f>
        <v>1.4430485424566515</v>
      </c>
      <c r="K61" s="1126">
        <f>'12 years sales &amp; PL forecast'!Q101/1000/'Cashflow trend'!K60</f>
        <v>1.4427342647338257</v>
      </c>
      <c r="L61" s="1126">
        <f>'12 years sales &amp; PL forecast'!R101/1000/'Cashflow trend'!L60</f>
        <v>1.6442189804935847</v>
      </c>
      <c r="M61" s="1126">
        <f>'12 years sales &amp; PL forecast'!S101/1000/'Cashflow trend'!M60</f>
        <v>1.7053952810127877</v>
      </c>
      <c r="N61" s="1126">
        <f>'12 years sales &amp; PL forecast'!T101/1000/'Cashflow trend'!N60</f>
        <v>1.7253633035484528</v>
      </c>
      <c r="O61" s="1126">
        <f>'12 years sales &amp; PL forecast'!U101/1000/'Cashflow trend'!O60</f>
        <v>1.7712965069363835</v>
      </c>
      <c r="P61" s="1126">
        <f>'12 years sales &amp; PL forecast'!V101/1000/'Cashflow trend'!P60</f>
        <v>1.8534766624077021</v>
      </c>
    </row>
    <row r="62" spans="1:16">
      <c r="A62" s="118" t="s">
        <v>1333</v>
      </c>
      <c r="B62" s="1125"/>
      <c r="C62" s="1125"/>
      <c r="D62" s="1125"/>
      <c r="E62" s="1125"/>
      <c r="F62" s="1125"/>
      <c r="G62" s="1125"/>
      <c r="H62" s="1125">
        <v>56842589.239999995</v>
      </c>
      <c r="I62" s="1125">
        <v>86320161.400000006</v>
      </c>
      <c r="J62" s="1125">
        <v>106842079.34000002</v>
      </c>
      <c r="K62" s="1125">
        <v>132862945.96650001</v>
      </c>
      <c r="L62" s="1125">
        <v>135992515.29034501</v>
      </c>
      <c r="M62" s="1125">
        <v>139204334.51573989</v>
      </c>
      <c r="N62" s="1125">
        <v>142500912.85631463</v>
      </c>
      <c r="O62" s="1125">
        <v>145884849.35944727</v>
      </c>
      <c r="P62" s="1125">
        <v>149358836.57857329</v>
      </c>
    </row>
    <row r="63" spans="1:16">
      <c r="A63" s="118"/>
      <c r="H63" s="119">
        <f t="shared" ref="H63:P63" si="2">H62/1000</f>
        <v>56842.589239999994</v>
      </c>
      <c r="I63" s="119">
        <f t="shared" si="2"/>
        <v>86320.161400000012</v>
      </c>
      <c r="J63" s="119">
        <f t="shared" si="2"/>
        <v>106842.07934000003</v>
      </c>
      <c r="K63" s="119">
        <f t="shared" si="2"/>
        <v>132862.9459665</v>
      </c>
      <c r="L63" s="119">
        <f t="shared" si="2"/>
        <v>135992.51529034501</v>
      </c>
      <c r="M63" s="119">
        <f t="shared" si="2"/>
        <v>139204.3345157399</v>
      </c>
      <c r="N63" s="119">
        <f t="shared" si="2"/>
        <v>142500.91285631462</v>
      </c>
      <c r="O63" s="119">
        <f t="shared" si="2"/>
        <v>145884.84935944728</v>
      </c>
      <c r="P63" s="119">
        <f t="shared" si="2"/>
        <v>149358.83657857327</v>
      </c>
    </row>
    <row r="64" spans="1:16">
      <c r="A64" s="118" t="s">
        <v>1356</v>
      </c>
      <c r="B64" s="119">
        <f>'12 years sales &amp; PL forecast'!H50/1000</f>
        <v>88410.09</v>
      </c>
      <c r="C64" s="119">
        <f>'12 years sales &amp; PL forecast'!I50/1000</f>
        <v>89348.58</v>
      </c>
      <c r="D64" s="119">
        <f>'12 years sales &amp; PL forecast'!J50/1000</f>
        <v>103416.03</v>
      </c>
      <c r="E64" s="119">
        <f>'12 years sales &amp; PL forecast'!K50/1000</f>
        <v>128636.772</v>
      </c>
      <c r="F64" s="119">
        <f>'12 years sales &amp; PL forecast'!L50/1000</f>
        <v>157218.96</v>
      </c>
      <c r="G64" s="119">
        <f>'12 years sales &amp; PL forecast'!M50/1000</f>
        <v>93666.384000000005</v>
      </c>
      <c r="H64" s="119">
        <f>'12 years sales &amp; PL forecast'!N50/1000</f>
        <v>85719.732000000004</v>
      </c>
      <c r="I64" s="119">
        <f>'12 years sales &amp; PL forecast'!O50/1000</f>
        <v>134046.27600000001</v>
      </c>
      <c r="J64" s="119">
        <f>'12 years sales &amp; PL forecast'!P50/1000</f>
        <v>137267.136</v>
      </c>
      <c r="K64" s="119">
        <f>'12 years sales &amp; PL forecast'!Q50/1000</f>
        <v>133278.04800000001</v>
      </c>
      <c r="L64" s="119">
        <f>'12 years sales &amp; PL forecast'!R50/1000</f>
        <v>158321.95199999999</v>
      </c>
      <c r="M64" s="119">
        <f>'12 years sales &amp; PL forecast'!S50/1000</f>
        <v>170566.50650631488</v>
      </c>
      <c r="N64" s="119">
        <f>'12 years sales &amp; PL forecast'!T50/1000</f>
        <v>164447.57262953103</v>
      </c>
      <c r="O64" s="119">
        <f>'12 years sales &amp; PL forecast'!U50/1000</f>
        <v>193473.9868798586</v>
      </c>
      <c r="P64" s="119">
        <f>'12 years sales &amp; PL forecast'!V50/1000</f>
        <v>228079.40556351977</v>
      </c>
    </row>
    <row r="65" spans="1:16">
      <c r="A65" s="118" t="s">
        <v>1334</v>
      </c>
      <c r="B65" s="1126">
        <f>'12 years sales &amp; PL forecast'!H102/1000/'Cashflow trend'!B64</f>
        <v>0.1808914898707788</v>
      </c>
      <c r="C65" s="1126">
        <f>'12 years sales &amp; PL forecast'!I102/1000/'Cashflow trend'!C64</f>
        <v>0.17880308411786325</v>
      </c>
      <c r="D65" s="1126">
        <f>'12 years sales &amp; PL forecast'!J102/1000/'Cashflow trend'!D64</f>
        <v>0.25160031053485848</v>
      </c>
      <c r="E65" s="1126">
        <f>'12 years sales &amp; PL forecast'!K102/1000/'Cashflow trend'!E64</f>
        <v>0.22775746984342035</v>
      </c>
      <c r="F65" s="1126">
        <f>'12 years sales &amp; PL forecast'!L102/1000/'Cashflow trend'!F64</f>
        <v>0.26839840675141685</v>
      </c>
      <c r="G65" s="1126">
        <f>'12 years sales &amp; PL forecast'!M102/1000/'Cashflow trend'!G64</f>
        <v>0.34299623678705027</v>
      </c>
      <c r="H65" s="1126">
        <f>'12 years sales &amp; PL forecast'!N102/1000/'Cashflow trend'!H64</f>
        <v>0.31836483231986334</v>
      </c>
      <c r="I65" s="1126">
        <f>'12 years sales &amp; PL forecast'!O102/1000/'Cashflow trend'!I64</f>
        <v>0.3928231983058143</v>
      </c>
      <c r="J65" s="1126">
        <f>'12 years sales &amp; PL forecast'!P102/1000/'Cashflow trend'!J64</f>
        <v>0.32995695840477363</v>
      </c>
      <c r="K65" s="1126">
        <f>'12 years sales &amp; PL forecast'!Q102/1000/'Cashflow trend'!K64</f>
        <v>0.47326960688165409</v>
      </c>
      <c r="L65" s="1126">
        <f>'12 years sales &amp; PL forecast'!R102/1000/'Cashflow trend'!L64</f>
        <v>0.30136835079350144</v>
      </c>
      <c r="M65" s="1126">
        <f>'12 years sales &amp; PL forecast'!S102/1000/'Cashflow trend'!M64</f>
        <v>0.23399774031488516</v>
      </c>
      <c r="N65" s="1126">
        <f>'12 years sales &amp; PL forecast'!T102/1000/'Cashflow trend'!N64</f>
        <v>0.30200462833958913</v>
      </c>
      <c r="O65" s="1126">
        <f>'12 years sales &amp; PL forecast'!U102/1000/'Cashflow trend'!O64</f>
        <v>0.30836007323580994</v>
      </c>
      <c r="P65" s="1126">
        <f>'12 years sales &amp; PL forecast'!V102/1000/'Cashflow trend'!P64</f>
        <v>0.31575042751551413</v>
      </c>
    </row>
    <row r="66" spans="1:16">
      <c r="A66" s="118" t="s">
        <v>1357</v>
      </c>
      <c r="B66" s="1125"/>
      <c r="C66" s="1125"/>
      <c r="D66" s="1125"/>
      <c r="E66" s="1125"/>
      <c r="F66" s="1125"/>
      <c r="G66" s="1125"/>
      <c r="H66" s="1125">
        <v>122828076.00000001</v>
      </c>
      <c r="I66" s="1125">
        <v>141529618.44</v>
      </c>
      <c r="J66" s="1125">
        <v>157714459.25760001</v>
      </c>
      <c r="K66" s="1125">
        <v>160735629.54355201</v>
      </c>
      <c r="L66" s="1125">
        <v>176143598.00190723</v>
      </c>
      <c r="M66" s="1125">
        <v>193092363.30609795</v>
      </c>
      <c r="N66" s="1125">
        <v>211736005.14070776</v>
      </c>
      <c r="O66" s="1125">
        <v>215837606.34432194</v>
      </c>
      <c r="P66" s="1125">
        <v>232572139.25506768</v>
      </c>
    </row>
    <row r="67" spans="1:16">
      <c r="A67" s="118"/>
      <c r="B67" s="119">
        <f>B66/1000</f>
        <v>0</v>
      </c>
      <c r="C67" s="119">
        <f t="shared" ref="C67:P67" si="3">C66/1000</f>
        <v>0</v>
      </c>
      <c r="D67" s="119">
        <f t="shared" si="3"/>
        <v>0</v>
      </c>
      <c r="E67" s="119">
        <f t="shared" si="3"/>
        <v>0</v>
      </c>
      <c r="F67" s="119">
        <f t="shared" si="3"/>
        <v>0</v>
      </c>
      <c r="G67" s="119">
        <f t="shared" si="3"/>
        <v>0</v>
      </c>
      <c r="H67" s="119">
        <f t="shared" si="3"/>
        <v>122828.07600000002</v>
      </c>
      <c r="I67" s="119">
        <f t="shared" si="3"/>
        <v>141529.61843999999</v>
      </c>
      <c r="J67" s="119">
        <f t="shared" si="3"/>
        <v>157714.45925760001</v>
      </c>
      <c r="K67" s="119">
        <f t="shared" si="3"/>
        <v>160735.629543552</v>
      </c>
      <c r="L67" s="119">
        <f t="shared" si="3"/>
        <v>176143.59800190723</v>
      </c>
      <c r="M67" s="119">
        <f t="shared" si="3"/>
        <v>193092.36330609795</v>
      </c>
      <c r="N67" s="119">
        <f t="shared" si="3"/>
        <v>211736.00514070777</v>
      </c>
      <c r="O67" s="119">
        <f t="shared" si="3"/>
        <v>215837.60634432195</v>
      </c>
      <c r="P67" s="119">
        <f t="shared" si="3"/>
        <v>232572.13925506768</v>
      </c>
    </row>
    <row r="68" spans="1:16">
      <c r="A68" s="118" t="s">
        <v>1335</v>
      </c>
      <c r="H68" s="119">
        <f>(H63-H60)*H61+(H67-H64)*H65</f>
        <v>-44197.93451747045</v>
      </c>
      <c r="I68" s="119">
        <f t="shared" ref="I68:P68" si="4">(I63-I60)*I61+(I67-I64)*I65</f>
        <v>15964.287171115575</v>
      </c>
      <c r="J68" s="119">
        <f t="shared" si="4"/>
        <v>43314.066238201071</v>
      </c>
      <c r="K68" s="119">
        <f>(K63-K60)*K61+(K67-K64)*K65</f>
        <v>61166.389803099664</v>
      </c>
      <c r="L68" s="119">
        <f t="shared" si="4"/>
        <v>43756.520900597883</v>
      </c>
      <c r="M68" s="119">
        <f t="shared" si="4"/>
        <v>37754.346544909306</v>
      </c>
      <c r="N68" s="119">
        <f t="shared" si="4"/>
        <v>41328.743239968331</v>
      </c>
      <c r="O68" s="119">
        <f t="shared" si="4"/>
        <v>26799.586059838501</v>
      </c>
      <c r="P68" s="119">
        <f t="shared" si="4"/>
        <v>25159.349192722853</v>
      </c>
    </row>
    <row r="70" spans="1:16">
      <c r="A70" s="122" t="s">
        <v>10</v>
      </c>
      <c r="B70" s="123" t="s">
        <v>0</v>
      </c>
      <c r="C70" s="123" t="s">
        <v>1</v>
      </c>
      <c r="D70" s="123" t="s">
        <v>2</v>
      </c>
      <c r="E70" s="123" t="s">
        <v>3</v>
      </c>
      <c r="F70" s="123" t="s">
        <v>4</v>
      </c>
      <c r="G70" s="123" t="s">
        <v>5</v>
      </c>
      <c r="H70" s="123" t="s">
        <v>6</v>
      </c>
      <c r="I70" s="123" t="s">
        <v>7</v>
      </c>
      <c r="J70" s="123" t="s">
        <v>13</v>
      </c>
      <c r="K70" s="123" t="s">
        <v>14</v>
      </c>
      <c r="L70" s="123" t="s">
        <v>15</v>
      </c>
      <c r="M70" s="123" t="s">
        <v>16</v>
      </c>
      <c r="N70" s="123" t="s">
        <v>17</v>
      </c>
      <c r="O70" s="123" t="s">
        <v>18</v>
      </c>
      <c r="P70" s="123" t="s">
        <v>19</v>
      </c>
    </row>
    <row r="71" spans="1:16">
      <c r="A71" s="125" t="s">
        <v>208</v>
      </c>
      <c r="B71" s="126">
        <f t="shared" ref="B71:P71" si="5">B16+B68</f>
        <v>85661.724840835101</v>
      </c>
      <c r="C71" s="126">
        <f t="shared" si="5"/>
        <v>143874.33549196983</v>
      </c>
      <c r="D71" s="126">
        <f t="shared" si="5"/>
        <v>118185.01404212714</v>
      </c>
      <c r="E71" s="126">
        <f t="shared" si="5"/>
        <v>109649.5917626797</v>
      </c>
      <c r="F71" s="126">
        <f t="shared" si="5"/>
        <v>91174.151340035984</v>
      </c>
      <c r="G71" s="126">
        <f t="shared" si="5"/>
        <v>55727.6668187018</v>
      </c>
      <c r="H71" s="126">
        <f t="shared" si="5"/>
        <v>65566.079819716644</v>
      </c>
      <c r="I71" s="126">
        <f t="shared" si="5"/>
        <v>-11304.272406977412</v>
      </c>
      <c r="J71" s="126">
        <f t="shared" si="5"/>
        <v>40762.119977462571</v>
      </c>
      <c r="K71" s="126">
        <f t="shared" si="5"/>
        <v>122731.19766247548</v>
      </c>
      <c r="L71" s="126">
        <f t="shared" si="5"/>
        <v>152257.28962708364</v>
      </c>
      <c r="M71" s="126">
        <f t="shared" si="5"/>
        <v>157293.92603041063</v>
      </c>
      <c r="N71" s="126">
        <f t="shared" si="5"/>
        <v>180146.44064321485</v>
      </c>
      <c r="O71" s="126">
        <f t="shared" si="5"/>
        <v>195135.06806236494</v>
      </c>
      <c r="P71" s="126">
        <f t="shared" si="5"/>
        <v>215917.08307774315</v>
      </c>
    </row>
    <row r="72" spans="1:16">
      <c r="A72" s="125" t="s">
        <v>209</v>
      </c>
      <c r="B72" s="126">
        <f>B17</f>
        <v>-28473.514999999999</v>
      </c>
      <c r="C72" s="126">
        <f t="shared" ref="C72:P72" si="6">C17</f>
        <v>-18495.899229999999</v>
      </c>
      <c r="D72" s="126">
        <f t="shared" si="6"/>
        <v>-38035.709919999994</v>
      </c>
      <c r="E72" s="126">
        <f t="shared" si="6"/>
        <v>-52130.141510000001</v>
      </c>
      <c r="F72" s="126">
        <f t="shared" si="6"/>
        <v>-66451.063559999995</v>
      </c>
      <c r="G72" s="126">
        <f t="shared" si="6"/>
        <v>-54651.130427603064</v>
      </c>
      <c r="H72" s="126">
        <f t="shared" si="6"/>
        <v>-59505.343550000005</v>
      </c>
      <c r="I72" s="126">
        <f t="shared" si="6"/>
        <v>-730</v>
      </c>
      <c r="J72" s="126">
        <f t="shared" si="6"/>
        <v>-5475</v>
      </c>
      <c r="K72" s="126">
        <f t="shared" si="6"/>
        <v>-6784</v>
      </c>
      <c r="L72" s="126">
        <f t="shared" si="6"/>
        <v>0</v>
      </c>
      <c r="M72" s="126">
        <f t="shared" si="6"/>
        <v>0</v>
      </c>
      <c r="N72" s="126">
        <f t="shared" si="6"/>
        <v>0</v>
      </c>
      <c r="O72" s="126">
        <f t="shared" si="6"/>
        <v>0</v>
      </c>
      <c r="P72" s="126">
        <f t="shared" si="6"/>
        <v>0</v>
      </c>
    </row>
    <row r="73" spans="1:16">
      <c r="A73" s="125" t="s">
        <v>573</v>
      </c>
      <c r="B73" s="126">
        <f>B18</f>
        <v>0</v>
      </c>
      <c r="C73" s="126">
        <f t="shared" ref="C73:P73" si="7">C18</f>
        <v>0</v>
      </c>
      <c r="D73" s="126">
        <f t="shared" si="7"/>
        <v>0</v>
      </c>
      <c r="E73" s="126">
        <f t="shared" si="7"/>
        <v>0</v>
      </c>
      <c r="F73" s="126">
        <f t="shared" si="7"/>
        <v>0</v>
      </c>
      <c r="G73" s="126">
        <f t="shared" si="7"/>
        <v>0</v>
      </c>
      <c r="H73" s="126">
        <f t="shared" si="7"/>
        <v>0</v>
      </c>
      <c r="I73" s="126">
        <f t="shared" si="7"/>
        <v>0</v>
      </c>
      <c r="J73" s="126">
        <f t="shared" si="7"/>
        <v>0</v>
      </c>
      <c r="K73" s="126">
        <f t="shared" si="7"/>
        <v>0</v>
      </c>
      <c r="L73" s="126">
        <f t="shared" si="7"/>
        <v>0</v>
      </c>
      <c r="M73" s="126">
        <f t="shared" si="7"/>
        <v>0</v>
      </c>
      <c r="N73" s="126">
        <f t="shared" si="7"/>
        <v>0</v>
      </c>
      <c r="O73" s="126">
        <f t="shared" si="7"/>
        <v>0</v>
      </c>
      <c r="P73" s="126">
        <f t="shared" si="7"/>
        <v>0</v>
      </c>
    </row>
    <row r="74" spans="1:16">
      <c r="A74" s="125" t="s">
        <v>210</v>
      </c>
      <c r="B74" s="126">
        <f>B19</f>
        <v>-44256.369029999973</v>
      </c>
      <c r="C74" s="126">
        <f t="shared" ref="C74:P74" si="8">C19</f>
        <v>-317743.71015000006</v>
      </c>
      <c r="D74" s="126">
        <f t="shared" si="8"/>
        <v>-390056.06186000002</v>
      </c>
      <c r="E74" s="126">
        <f t="shared" si="8"/>
        <v>-315927.02423000004</v>
      </c>
      <c r="F74" s="126">
        <f t="shared" si="8"/>
        <v>-151883.40371999997</v>
      </c>
      <c r="G74" s="126">
        <f t="shared" si="8"/>
        <v>-77663.557990000016</v>
      </c>
      <c r="H74" s="126">
        <f t="shared" si="8"/>
        <v>-82747.448000000004</v>
      </c>
      <c r="I74" s="126">
        <f t="shared" si="8"/>
        <v>-30414.409</v>
      </c>
      <c r="J74" s="126">
        <f t="shared" si="8"/>
        <v>0</v>
      </c>
      <c r="K74" s="126">
        <f t="shared" si="8"/>
        <v>0</v>
      </c>
      <c r="L74" s="126">
        <f t="shared" si="8"/>
        <v>0</v>
      </c>
      <c r="M74" s="126">
        <f t="shared" si="8"/>
        <v>0</v>
      </c>
      <c r="N74" s="126">
        <f t="shared" si="8"/>
        <v>0</v>
      </c>
      <c r="O74" s="126">
        <f t="shared" si="8"/>
        <v>0</v>
      </c>
      <c r="P74" s="126">
        <f t="shared" si="8"/>
        <v>0</v>
      </c>
    </row>
    <row r="75" spans="1:16">
      <c r="A75" s="125" t="s">
        <v>211</v>
      </c>
      <c r="B75" s="126">
        <f>B22</f>
        <v>0</v>
      </c>
      <c r="C75" s="126">
        <f t="shared" ref="C75:P75" si="9">C22</f>
        <v>156061.61255000002</v>
      </c>
      <c r="D75" s="126">
        <f t="shared" si="9"/>
        <v>296716.64623000001</v>
      </c>
      <c r="E75" s="126">
        <f t="shared" si="9"/>
        <v>211570.93927</v>
      </c>
      <c r="F75" s="126">
        <f t="shared" si="9"/>
        <v>86613.554000000004</v>
      </c>
      <c r="G75" s="126">
        <f t="shared" si="9"/>
        <v>109523.5082116667</v>
      </c>
      <c r="H75" s="126">
        <f t="shared" si="9"/>
        <v>4753.946352191776</v>
      </c>
      <c r="I75" s="126">
        <f t="shared" si="9"/>
        <v>-569.82714360731836</v>
      </c>
      <c r="J75" s="126">
        <f t="shared" si="9"/>
        <v>-200476.79657135275</v>
      </c>
      <c r="K75" s="126">
        <f t="shared" si="9"/>
        <v>-280416.42149400688</v>
      </c>
      <c r="L75" s="126">
        <f t="shared" si="9"/>
        <v>-140681.23960416098</v>
      </c>
      <c r="M75" s="126">
        <f t="shared" si="9"/>
        <v>-4417.2243221917806</v>
      </c>
      <c r="N75" s="126">
        <f t="shared" si="9"/>
        <v>-1659.7676832876714</v>
      </c>
      <c r="O75" s="126">
        <f t="shared" si="9"/>
        <v>0</v>
      </c>
      <c r="P75" s="126">
        <f t="shared" si="9"/>
        <v>0</v>
      </c>
    </row>
    <row r="76" spans="1:16">
      <c r="A76" s="127" t="s">
        <v>212</v>
      </c>
      <c r="B76" s="128">
        <f>B23</f>
        <v>269617.25481083512</v>
      </c>
      <c r="C76" s="1127">
        <f>B76+SUM(C71:C75)</f>
        <v>233313.59347280493</v>
      </c>
      <c r="D76" s="1127">
        <f t="shared" ref="D76:P76" si="10">C76+SUM(D71:D75)</f>
        <v>220123.48196493206</v>
      </c>
      <c r="E76" s="1127">
        <f t="shared" si="10"/>
        <v>173286.84725761172</v>
      </c>
      <c r="F76" s="1127">
        <f t="shared" si="10"/>
        <v>132740.08531764772</v>
      </c>
      <c r="G76" s="1127">
        <f t="shared" si="10"/>
        <v>165676.57193041313</v>
      </c>
      <c r="H76" s="1127">
        <f t="shared" si="10"/>
        <v>93743.806552321548</v>
      </c>
      <c r="I76" s="1127">
        <f t="shared" si="10"/>
        <v>50725.298001736817</v>
      </c>
      <c r="J76" s="1127">
        <f t="shared" si="10"/>
        <v>-114464.37859215337</v>
      </c>
      <c r="K76" s="1127">
        <f t="shared" si="10"/>
        <v>-278933.60242368479</v>
      </c>
      <c r="L76" s="1127">
        <f t="shared" si="10"/>
        <v>-267357.5524007621</v>
      </c>
      <c r="M76" s="1127">
        <f t="shared" si="10"/>
        <v>-114480.85069254326</v>
      </c>
      <c r="N76" s="1127">
        <f t="shared" si="10"/>
        <v>64005.822267383919</v>
      </c>
      <c r="O76" s="1127">
        <f t="shared" si="10"/>
        <v>259140.89032974886</v>
      </c>
      <c r="P76" s="1127">
        <f t="shared" si="10"/>
        <v>475057.97340749204</v>
      </c>
    </row>
    <row r="77" spans="1:16">
      <c r="A77" s="129" t="s">
        <v>1284</v>
      </c>
      <c r="B77" s="130">
        <f>B24</f>
        <v>0</v>
      </c>
      <c r="C77" s="130">
        <f t="shared" ref="C77:P77" si="11">C24</f>
        <v>0</v>
      </c>
      <c r="D77" s="130">
        <f t="shared" si="11"/>
        <v>0</v>
      </c>
      <c r="E77" s="130">
        <f t="shared" si="11"/>
        <v>0</v>
      </c>
      <c r="F77" s="130">
        <f t="shared" si="11"/>
        <v>0</v>
      </c>
      <c r="G77" s="130">
        <f t="shared" si="11"/>
        <v>0</v>
      </c>
      <c r="H77" s="130">
        <f t="shared" si="11"/>
        <v>-100000</v>
      </c>
      <c r="I77" s="130">
        <f t="shared" si="11"/>
        <v>-300000</v>
      </c>
      <c r="J77" s="130">
        <f t="shared" si="11"/>
        <v>-350000</v>
      </c>
      <c r="K77" s="130">
        <f t="shared" si="11"/>
        <v>-350000</v>
      </c>
      <c r="L77" s="130">
        <f t="shared" si="11"/>
        <v>-350000</v>
      </c>
      <c r="M77" s="130">
        <f t="shared" si="11"/>
        <v>-350000</v>
      </c>
      <c r="N77" s="130">
        <f t="shared" si="11"/>
        <v>-350000</v>
      </c>
      <c r="O77" s="130">
        <f t="shared" si="11"/>
        <v>-350000</v>
      </c>
      <c r="P77" s="130">
        <f t="shared" si="11"/>
        <v>-350000</v>
      </c>
    </row>
    <row r="78" spans="1:16">
      <c r="A78" s="129" t="s">
        <v>1285</v>
      </c>
      <c r="B78" s="130">
        <f>B25</f>
        <v>0</v>
      </c>
      <c r="C78" s="130">
        <f t="shared" ref="C78:P78" si="12">C25</f>
        <v>-156873.302</v>
      </c>
      <c r="D78" s="130">
        <f t="shared" si="12"/>
        <v>-458691.30200000003</v>
      </c>
      <c r="E78" s="130">
        <f t="shared" si="12"/>
        <v>-684331.30200000003</v>
      </c>
      <c r="F78" s="130">
        <f t="shared" si="12"/>
        <v>-794608.30200000003</v>
      </c>
      <c r="G78" s="130">
        <f t="shared" si="12"/>
        <v>-921500</v>
      </c>
      <c r="H78" s="130">
        <f t="shared" si="12"/>
        <v>-824500</v>
      </c>
      <c r="I78" s="130">
        <f t="shared" si="12"/>
        <v>-630500</v>
      </c>
      <c r="J78" s="130">
        <f t="shared" si="12"/>
        <v>-400125</v>
      </c>
      <c r="K78" s="130">
        <f t="shared" si="12"/>
        <v>-133374.99999999997</v>
      </c>
      <c r="L78" s="130">
        <f t="shared" si="12"/>
        <v>4.470348358154297E-11</v>
      </c>
      <c r="M78" s="130">
        <f t="shared" si="12"/>
        <v>4.470348358154297E-11</v>
      </c>
      <c r="N78" s="130">
        <f t="shared" si="12"/>
        <v>4.470348358154297E-11</v>
      </c>
      <c r="O78" s="130">
        <f t="shared" si="12"/>
        <v>4.470348358154297E-11</v>
      </c>
      <c r="P78" s="130">
        <f t="shared" si="12"/>
        <v>4.470348358154297E-11</v>
      </c>
    </row>
    <row r="79" spans="1:16">
      <c r="B79" s="119">
        <f>B27</f>
        <v>0</v>
      </c>
      <c r="C79" s="119">
        <f t="shared" ref="C79:P79" si="13">C27</f>
        <v>0</v>
      </c>
      <c r="D79" s="119">
        <f t="shared" si="13"/>
        <v>0</v>
      </c>
      <c r="E79" s="119">
        <f t="shared" si="13"/>
        <v>0</v>
      </c>
      <c r="F79" s="119">
        <f t="shared" si="13"/>
        <v>0</v>
      </c>
      <c r="G79" s="119">
        <f t="shared" si="13"/>
        <v>0</v>
      </c>
      <c r="H79" s="119">
        <f t="shared" si="13"/>
        <v>-824500</v>
      </c>
      <c r="I79" s="119">
        <f t="shared" si="13"/>
        <v>-630500</v>
      </c>
      <c r="J79" s="119">
        <f t="shared" si="13"/>
        <v>-528567.08941441262</v>
      </c>
      <c r="K79" s="119">
        <f t="shared" si="13"/>
        <v>-487452.70304904378</v>
      </c>
      <c r="L79" s="119">
        <f t="shared" si="13"/>
        <v>-386258.17392671888</v>
      </c>
      <c r="M79" s="119">
        <f t="shared" si="13"/>
        <v>-271135.81876340933</v>
      </c>
      <c r="N79" s="119">
        <f t="shared" si="13"/>
        <v>-133977.88904345047</v>
      </c>
      <c r="O79" s="119">
        <f t="shared" si="13"/>
        <v>4.470348358154297E-11</v>
      </c>
      <c r="P79" s="119">
        <f t="shared" si="13"/>
        <v>4.470348358154297E-11</v>
      </c>
    </row>
    <row r="109" spans="1:18" hidden="1" outlineLevel="1">
      <c r="A109" s="298" t="s">
        <v>215</v>
      </c>
      <c r="B109" s="298"/>
      <c r="C109" s="298"/>
      <c r="D109" s="298"/>
      <c r="E109" s="132"/>
      <c r="F109" s="132"/>
      <c r="G109" s="132"/>
      <c r="H109" s="132"/>
      <c r="I109" s="132"/>
      <c r="J109" s="132"/>
      <c r="K109" s="132"/>
      <c r="L109" s="132"/>
      <c r="M109" s="132"/>
      <c r="N109" s="132"/>
      <c r="O109" s="132"/>
      <c r="P109" s="132"/>
    </row>
    <row r="110" spans="1:18" hidden="1" outlineLevel="1">
      <c r="A110" s="122" t="s">
        <v>10</v>
      </c>
      <c r="B110" s="123" t="s">
        <v>0</v>
      </c>
      <c r="C110" s="123" t="s">
        <v>1</v>
      </c>
      <c r="D110" s="123" t="s">
        <v>2</v>
      </c>
      <c r="E110" s="123" t="s">
        <v>3</v>
      </c>
      <c r="F110" s="123" t="s">
        <v>4</v>
      </c>
      <c r="G110" s="123" t="s">
        <v>5</v>
      </c>
      <c r="H110" s="123" t="s">
        <v>6</v>
      </c>
      <c r="I110" s="123" t="s">
        <v>7</v>
      </c>
      <c r="J110" s="123" t="s">
        <v>13</v>
      </c>
      <c r="K110" s="123" t="s">
        <v>14</v>
      </c>
      <c r="L110" s="123" t="s">
        <v>15</v>
      </c>
      <c r="M110" s="123" t="s">
        <v>16</v>
      </c>
      <c r="N110" s="123" t="s">
        <v>17</v>
      </c>
      <c r="O110" s="123" t="s">
        <v>18</v>
      </c>
      <c r="P110" s="123" t="s">
        <v>19</v>
      </c>
      <c r="R110" s="124"/>
    </row>
    <row r="111" spans="1:18" hidden="1" outlineLevel="1">
      <c r="A111" s="125" t="s">
        <v>208</v>
      </c>
      <c r="B111" s="126">
        <f t="shared" ref="B111:P111" si="14">B16</f>
        <v>85661.724840835101</v>
      </c>
      <c r="C111" s="126">
        <f t="shared" si="14"/>
        <v>143874.33549196983</v>
      </c>
      <c r="D111" s="126">
        <f t="shared" si="14"/>
        <v>118185.01404212714</v>
      </c>
      <c r="E111" s="126">
        <f t="shared" si="14"/>
        <v>109649.5917626797</v>
      </c>
      <c r="F111" s="126">
        <f t="shared" si="14"/>
        <v>91174.151340035984</v>
      </c>
      <c r="G111" s="126">
        <f t="shared" si="14"/>
        <v>55727.6668187018</v>
      </c>
      <c r="H111" s="126">
        <f t="shared" si="14"/>
        <v>109764.01433718709</v>
      </c>
      <c r="I111" s="126">
        <f t="shared" si="14"/>
        <v>-27268.559578092987</v>
      </c>
      <c r="J111" s="126">
        <f t="shared" si="14"/>
        <v>-2551.9462607385012</v>
      </c>
      <c r="K111" s="126">
        <f t="shared" si="14"/>
        <v>61564.807859375811</v>
      </c>
      <c r="L111" s="126">
        <f t="shared" si="14"/>
        <v>108500.76872648575</v>
      </c>
      <c r="M111" s="126">
        <f t="shared" si="14"/>
        <v>119539.57948550134</v>
      </c>
      <c r="N111" s="126">
        <f t="shared" si="14"/>
        <v>138817.69740324651</v>
      </c>
      <c r="O111" s="126">
        <f t="shared" si="14"/>
        <v>168335.48200252643</v>
      </c>
      <c r="P111" s="126">
        <f t="shared" si="14"/>
        <v>190757.73388502031</v>
      </c>
    </row>
    <row r="112" spans="1:18" hidden="1" outlineLevel="1">
      <c r="A112" s="125" t="s">
        <v>209</v>
      </c>
      <c r="B112" s="126">
        <f t="shared" ref="B112:P112" si="15">B17</f>
        <v>-28473.514999999999</v>
      </c>
      <c r="C112" s="126">
        <f t="shared" si="15"/>
        <v>-18495.899229999999</v>
      </c>
      <c r="D112" s="126">
        <f t="shared" si="15"/>
        <v>-38035.709919999994</v>
      </c>
      <c r="E112" s="126">
        <f t="shared" si="15"/>
        <v>-52130.141510000001</v>
      </c>
      <c r="F112" s="126">
        <f t="shared" si="15"/>
        <v>-66451.063559999995</v>
      </c>
      <c r="G112" s="126">
        <f t="shared" si="15"/>
        <v>-54651.130427603064</v>
      </c>
      <c r="H112" s="126">
        <f t="shared" si="15"/>
        <v>-59505.343550000005</v>
      </c>
      <c r="I112" s="126">
        <f t="shared" si="15"/>
        <v>-730</v>
      </c>
      <c r="J112" s="126">
        <f t="shared" si="15"/>
        <v>-5475</v>
      </c>
      <c r="K112" s="126">
        <f t="shared" si="15"/>
        <v>-6784</v>
      </c>
      <c r="L112" s="126">
        <f t="shared" si="15"/>
        <v>0</v>
      </c>
      <c r="M112" s="126">
        <f t="shared" si="15"/>
        <v>0</v>
      </c>
      <c r="N112" s="126">
        <f t="shared" si="15"/>
        <v>0</v>
      </c>
      <c r="O112" s="126">
        <f t="shared" si="15"/>
        <v>0</v>
      </c>
      <c r="P112" s="126">
        <f t="shared" si="15"/>
        <v>0</v>
      </c>
    </row>
    <row r="113" spans="1:16" hidden="1" outlineLevel="1">
      <c r="A113" s="125" t="s">
        <v>573</v>
      </c>
      <c r="B113" s="126">
        <f t="shared" ref="B113:P113" si="16">B18</f>
        <v>0</v>
      </c>
      <c r="C113" s="126">
        <f t="shared" si="16"/>
        <v>0</v>
      </c>
      <c r="D113" s="126">
        <f t="shared" si="16"/>
        <v>0</v>
      </c>
      <c r="E113" s="126">
        <f t="shared" si="16"/>
        <v>0</v>
      </c>
      <c r="F113" s="126">
        <f t="shared" si="16"/>
        <v>0</v>
      </c>
      <c r="G113" s="126">
        <f t="shared" si="16"/>
        <v>0</v>
      </c>
      <c r="H113" s="126">
        <f t="shared" si="16"/>
        <v>0</v>
      </c>
      <c r="I113" s="126">
        <f t="shared" si="16"/>
        <v>0</v>
      </c>
      <c r="J113" s="126">
        <f t="shared" si="16"/>
        <v>0</v>
      </c>
      <c r="K113" s="126">
        <f t="shared" si="16"/>
        <v>0</v>
      </c>
      <c r="L113" s="126">
        <f t="shared" si="16"/>
        <v>0</v>
      </c>
      <c r="M113" s="126">
        <f t="shared" si="16"/>
        <v>0</v>
      </c>
      <c r="N113" s="126">
        <f t="shared" si="16"/>
        <v>0</v>
      </c>
      <c r="O113" s="126">
        <f t="shared" si="16"/>
        <v>0</v>
      </c>
      <c r="P113" s="126">
        <f t="shared" si="16"/>
        <v>0</v>
      </c>
    </row>
    <row r="114" spans="1:16" hidden="1" outlineLevel="1">
      <c r="A114" s="125" t="s">
        <v>210</v>
      </c>
      <c r="B114" s="126">
        <f t="shared" ref="B114:P114" si="17">B19</f>
        <v>-44256.369029999973</v>
      </c>
      <c r="C114" s="126">
        <f t="shared" si="17"/>
        <v>-317743.71015000006</v>
      </c>
      <c r="D114" s="126">
        <f t="shared" si="17"/>
        <v>-390056.06186000002</v>
      </c>
      <c r="E114" s="126">
        <f t="shared" si="17"/>
        <v>-315927.02423000004</v>
      </c>
      <c r="F114" s="126">
        <f t="shared" si="17"/>
        <v>-151883.40371999997</v>
      </c>
      <c r="G114" s="126">
        <f t="shared" si="17"/>
        <v>-77663.557990000016</v>
      </c>
      <c r="H114" s="126">
        <f t="shared" si="17"/>
        <v>-82747.448000000004</v>
      </c>
      <c r="I114" s="126">
        <f t="shared" si="17"/>
        <v>-30414.409</v>
      </c>
      <c r="J114" s="126">
        <f t="shared" si="17"/>
        <v>0</v>
      </c>
      <c r="K114" s="126">
        <f t="shared" si="17"/>
        <v>0</v>
      </c>
      <c r="L114" s="126">
        <f t="shared" si="17"/>
        <v>0</v>
      </c>
      <c r="M114" s="126">
        <f t="shared" si="17"/>
        <v>0</v>
      </c>
      <c r="N114" s="126">
        <f t="shared" si="17"/>
        <v>0</v>
      </c>
      <c r="O114" s="126">
        <f t="shared" si="17"/>
        <v>0</v>
      </c>
      <c r="P114" s="126">
        <f t="shared" si="17"/>
        <v>0</v>
      </c>
    </row>
    <row r="115" spans="1:16" hidden="1" outlineLevel="1">
      <c r="A115" s="125" t="s">
        <v>211</v>
      </c>
      <c r="B115" s="126">
        <f t="shared" ref="B115:K115" si="18">B233</f>
        <v>0</v>
      </c>
      <c r="C115" s="126">
        <f>C233</f>
        <v>156061.61255000002</v>
      </c>
      <c r="D115" s="126">
        <f t="shared" si="18"/>
        <v>296716.64623000001</v>
      </c>
      <c r="E115" s="126">
        <f t="shared" si="18"/>
        <v>211570.93927</v>
      </c>
      <c r="F115" s="126">
        <f t="shared" si="18"/>
        <v>86613.554000000004</v>
      </c>
      <c r="G115" s="126">
        <f t="shared" si="18"/>
        <v>100988.54419000003</v>
      </c>
      <c r="H115" s="126">
        <f t="shared" si="18"/>
        <v>-4464.803647808224</v>
      </c>
      <c r="I115" s="126">
        <f t="shared" si="18"/>
        <v>-9837.3271436073173</v>
      </c>
      <c r="J115" s="126">
        <f t="shared" si="18"/>
        <v>-209383.82782135275</v>
      </c>
      <c r="K115" s="126">
        <f t="shared" si="18"/>
        <v>-286917.35899400688</v>
      </c>
      <c r="L115" s="126">
        <f>L233</f>
        <v>-144681.39585416098</v>
      </c>
      <c r="M115" s="126">
        <f>M233</f>
        <v>-7917.2243221917797</v>
      </c>
      <c r="N115" s="126">
        <f>N233</f>
        <v>-5159.7676832876714</v>
      </c>
      <c r="O115" s="126">
        <f>O233</f>
        <v>-3499.9999999999995</v>
      </c>
      <c r="P115" s="126">
        <f>P233</f>
        <v>0</v>
      </c>
    </row>
    <row r="116" spans="1:16" hidden="1" outlineLevel="1">
      <c r="A116" s="127" t="s">
        <v>212</v>
      </c>
      <c r="B116" s="128">
        <f>B23</f>
        <v>269617.25481083512</v>
      </c>
      <c r="C116" s="128">
        <f>SUM(C111:C115)+B116</f>
        <v>233313.59347280493</v>
      </c>
      <c r="D116" s="128">
        <f t="shared" ref="D116:P116" si="19">SUM(D111:D115)+C116</f>
        <v>220123.48196493206</v>
      </c>
      <c r="E116" s="128">
        <f t="shared" si="19"/>
        <v>173286.84725761172</v>
      </c>
      <c r="F116" s="128">
        <f t="shared" si="19"/>
        <v>132740.08531764772</v>
      </c>
      <c r="G116" s="128">
        <f t="shared" si="19"/>
        <v>157141.60790874646</v>
      </c>
      <c r="H116" s="128">
        <f t="shared" si="19"/>
        <v>120188.02704812532</v>
      </c>
      <c r="I116" s="128">
        <f t="shared" si="19"/>
        <v>51937.731326425026</v>
      </c>
      <c r="J116" s="128">
        <f t="shared" si="19"/>
        <v>-165473.04275566625</v>
      </c>
      <c r="K116" s="128">
        <f t="shared" si="19"/>
        <v>-397609.59389029734</v>
      </c>
      <c r="L116" s="128">
        <f t="shared" si="19"/>
        <v>-433790.22101797257</v>
      </c>
      <c r="M116" s="128">
        <f t="shared" si="19"/>
        <v>-322167.86585466302</v>
      </c>
      <c r="N116" s="128">
        <f t="shared" si="19"/>
        <v>-188509.93613470418</v>
      </c>
      <c r="O116" s="128">
        <f t="shared" si="19"/>
        <v>-23674.454132177751</v>
      </c>
      <c r="P116" s="128">
        <f t="shared" si="19"/>
        <v>167083.27975284256</v>
      </c>
    </row>
    <row r="117" spans="1:16" hidden="1" outlineLevel="1">
      <c r="A117" s="129" t="s">
        <v>213</v>
      </c>
      <c r="B117" s="130">
        <f>B$25</f>
        <v>0</v>
      </c>
      <c r="C117" s="130">
        <f t="shared" ref="C117:P117" si="20">C$25</f>
        <v>-156873.302</v>
      </c>
      <c r="D117" s="130">
        <f t="shared" si="20"/>
        <v>-458691.30200000003</v>
      </c>
      <c r="E117" s="130">
        <f t="shared" si="20"/>
        <v>-684331.30200000003</v>
      </c>
      <c r="F117" s="130">
        <f t="shared" si="20"/>
        <v>-794608.30200000003</v>
      </c>
      <c r="G117" s="130">
        <f t="shared" si="20"/>
        <v>-921500</v>
      </c>
      <c r="H117" s="130">
        <f t="shared" si="20"/>
        <v>-824500</v>
      </c>
      <c r="I117" s="130">
        <f t="shared" si="20"/>
        <v>-630500</v>
      </c>
      <c r="J117" s="130">
        <f t="shared" si="20"/>
        <v>-400125</v>
      </c>
      <c r="K117" s="130">
        <f t="shared" si="20"/>
        <v>-133374.99999999997</v>
      </c>
      <c r="L117" s="130">
        <f t="shared" si="20"/>
        <v>4.470348358154297E-11</v>
      </c>
      <c r="M117" s="130">
        <f t="shared" si="20"/>
        <v>4.470348358154297E-11</v>
      </c>
      <c r="N117" s="130">
        <f t="shared" si="20"/>
        <v>4.470348358154297E-11</v>
      </c>
      <c r="O117" s="130">
        <f t="shared" si="20"/>
        <v>4.470348358154297E-11</v>
      </c>
      <c r="P117" s="130">
        <f t="shared" si="20"/>
        <v>4.470348358154297E-11</v>
      </c>
    </row>
    <row r="118" spans="1:16" hidden="1" outlineLevel="1"/>
    <row r="119" spans="1:16" hidden="1" outlineLevel="1"/>
    <row r="120" spans="1:16" hidden="1" outlineLevel="1"/>
    <row r="121" spans="1:16" hidden="1" outlineLevel="1"/>
    <row r="122" spans="1:16" hidden="1" outlineLevel="1"/>
    <row r="123" spans="1:16" hidden="1" outlineLevel="1"/>
    <row r="124" spans="1:16" hidden="1" outlineLevel="1"/>
    <row r="125" spans="1:16" hidden="1" outlineLevel="1"/>
    <row r="126" spans="1:16" hidden="1" outlineLevel="1"/>
    <row r="127" spans="1:16" hidden="1" outlineLevel="1"/>
    <row r="128" spans="1:16" hidden="1" outlineLevel="1"/>
    <row r="129" hidden="1" outlineLevel="1"/>
    <row r="130" hidden="1" outlineLevel="1"/>
    <row r="131" hidden="1" outlineLevel="1"/>
    <row r="132" hidden="1" outlineLevel="1"/>
    <row r="133" hidden="1" outlineLevel="1"/>
    <row r="134" hidden="1" outlineLevel="1"/>
    <row r="135" hidden="1" outlineLevel="1"/>
    <row r="136" hidden="1" outlineLevel="1"/>
    <row r="137" hidden="1" outlineLevel="1"/>
    <row r="138" hidden="1" outlineLevel="1"/>
    <row r="139" hidden="1" outlineLevel="1"/>
    <row r="140" hidden="1" outlineLevel="1"/>
    <row r="141" hidden="1" outlineLevel="1"/>
    <row r="142" hidden="1" outlineLevel="1"/>
    <row r="143" hidden="1" outlineLevel="1"/>
    <row r="144" hidden="1" outlineLevel="1"/>
    <row r="145" spans="1:18" hidden="1" outlineLevel="1">
      <c r="B145" s="300">
        <v>-0.05</v>
      </c>
    </row>
    <row r="146" spans="1:18" hidden="1" outlineLevel="1">
      <c r="A146" s="298" t="s">
        <v>216</v>
      </c>
      <c r="B146" s="298"/>
      <c r="C146" s="298"/>
      <c r="D146" s="298"/>
      <c r="E146" s="298"/>
      <c r="F146" s="298"/>
      <c r="G146" s="298"/>
      <c r="H146" s="298"/>
      <c r="I146" s="298"/>
      <c r="J146" s="298"/>
      <c r="K146" s="298"/>
      <c r="L146" s="298"/>
      <c r="M146" s="132"/>
      <c r="N146" s="132"/>
      <c r="O146" s="132"/>
      <c r="P146" s="132"/>
    </row>
    <row r="147" spans="1:18" hidden="1" outlineLevel="1">
      <c r="A147" s="122" t="s">
        <v>10</v>
      </c>
      <c r="B147" s="123" t="s">
        <v>0</v>
      </c>
      <c r="C147" s="123" t="s">
        <v>1</v>
      </c>
      <c r="D147" s="123" t="s">
        <v>2</v>
      </c>
      <c r="E147" s="123" t="s">
        <v>3</v>
      </c>
      <c r="F147" s="123" t="s">
        <v>4</v>
      </c>
      <c r="G147" s="123" t="s">
        <v>5</v>
      </c>
      <c r="H147" s="123" t="s">
        <v>6</v>
      </c>
      <c r="I147" s="123" t="s">
        <v>7</v>
      </c>
      <c r="J147" s="123" t="s">
        <v>13</v>
      </c>
      <c r="K147" s="123" t="s">
        <v>14</v>
      </c>
      <c r="L147" s="123" t="s">
        <v>15</v>
      </c>
      <c r="M147" s="123" t="s">
        <v>16</v>
      </c>
      <c r="N147" s="123" t="s">
        <v>17</v>
      </c>
      <c r="O147" s="123" t="s">
        <v>18</v>
      </c>
      <c r="P147" s="123" t="s">
        <v>19</v>
      </c>
      <c r="R147" s="124"/>
    </row>
    <row r="148" spans="1:18" hidden="1" outlineLevel="1">
      <c r="A148" s="125" t="s">
        <v>208</v>
      </c>
      <c r="B148" s="126">
        <f t="shared" ref="B148:F149" si="21">B16</f>
        <v>85661.724840835101</v>
      </c>
      <c r="C148" s="126">
        <f t="shared" si="21"/>
        <v>143874.33549196983</v>
      </c>
      <c r="D148" s="126">
        <f t="shared" si="21"/>
        <v>118185.01404212714</v>
      </c>
      <c r="E148" s="126">
        <f t="shared" si="21"/>
        <v>109649.5917626797</v>
      </c>
      <c r="F148" s="126">
        <f t="shared" si="21"/>
        <v>91174.151340035984</v>
      </c>
      <c r="G148" s="126">
        <f t="shared" ref="G148:P148" si="22">G16*(1+$B$145)</f>
        <v>52941.283477766709</v>
      </c>
      <c r="H148" s="126">
        <f t="shared" si="22"/>
        <v>104275.81362032774</v>
      </c>
      <c r="I148" s="126">
        <f t="shared" si="22"/>
        <v>-25905.131599188335</v>
      </c>
      <c r="J148" s="126">
        <f t="shared" si="22"/>
        <v>-2424.348947701576</v>
      </c>
      <c r="K148" s="126">
        <f t="shared" si="22"/>
        <v>58486.567466407017</v>
      </c>
      <c r="L148" s="126">
        <f t="shared" si="22"/>
        <v>103075.73029016146</v>
      </c>
      <c r="M148" s="126">
        <f t="shared" si="22"/>
        <v>113562.60051122626</v>
      </c>
      <c r="N148" s="126">
        <f t="shared" si="22"/>
        <v>131876.81253308419</v>
      </c>
      <c r="O148" s="126">
        <f t="shared" si="22"/>
        <v>159918.70790240011</v>
      </c>
      <c r="P148" s="126">
        <f t="shared" si="22"/>
        <v>181219.84719076927</v>
      </c>
    </row>
    <row r="149" spans="1:18" hidden="1" outlineLevel="1">
      <c r="A149" s="125" t="s">
        <v>209</v>
      </c>
      <c r="B149" s="126">
        <f t="shared" si="21"/>
        <v>-28473.514999999999</v>
      </c>
      <c r="C149" s="126">
        <f t="shared" si="21"/>
        <v>-18495.899229999999</v>
      </c>
      <c r="D149" s="126">
        <f t="shared" si="21"/>
        <v>-38035.709919999994</v>
      </c>
      <c r="E149" s="126">
        <f t="shared" si="21"/>
        <v>-52130.141510000001</v>
      </c>
      <c r="F149" s="126">
        <f t="shared" si="21"/>
        <v>-66451.063559999995</v>
      </c>
      <c r="G149" s="126">
        <f t="shared" ref="G149:P149" si="23">G17</f>
        <v>-54651.130427603064</v>
      </c>
      <c r="H149" s="126">
        <f t="shared" si="23"/>
        <v>-59505.343550000005</v>
      </c>
      <c r="I149" s="126">
        <f t="shared" si="23"/>
        <v>-730</v>
      </c>
      <c r="J149" s="126">
        <f t="shared" si="23"/>
        <v>-5475</v>
      </c>
      <c r="K149" s="126">
        <f t="shared" si="23"/>
        <v>-6784</v>
      </c>
      <c r="L149" s="126">
        <f t="shared" si="23"/>
        <v>0</v>
      </c>
      <c r="M149" s="126">
        <f t="shared" si="23"/>
        <v>0</v>
      </c>
      <c r="N149" s="126">
        <f t="shared" si="23"/>
        <v>0</v>
      </c>
      <c r="O149" s="126">
        <f t="shared" si="23"/>
        <v>0</v>
      </c>
      <c r="P149" s="126">
        <f t="shared" si="23"/>
        <v>0</v>
      </c>
    </row>
    <row r="150" spans="1:18" hidden="1" outlineLevel="1">
      <c r="A150" s="125" t="s">
        <v>573</v>
      </c>
      <c r="B150" s="126">
        <f t="shared" ref="B150:P150" si="24">IF(B18&lt;0,B18*(1-$B$145),B18*(1+$B$145))</f>
        <v>0</v>
      </c>
      <c r="C150" s="126">
        <f t="shared" si="24"/>
        <v>0</v>
      </c>
      <c r="D150" s="126">
        <f t="shared" si="24"/>
        <v>0</v>
      </c>
      <c r="E150" s="126">
        <f t="shared" si="24"/>
        <v>0</v>
      </c>
      <c r="F150" s="126">
        <f t="shared" si="24"/>
        <v>0</v>
      </c>
      <c r="G150" s="126">
        <f t="shared" si="24"/>
        <v>0</v>
      </c>
      <c r="H150" s="126">
        <f t="shared" si="24"/>
        <v>0</v>
      </c>
      <c r="I150" s="126">
        <f t="shared" si="24"/>
        <v>0</v>
      </c>
      <c r="J150" s="126">
        <f t="shared" si="24"/>
        <v>0</v>
      </c>
      <c r="K150" s="126">
        <f t="shared" si="24"/>
        <v>0</v>
      </c>
      <c r="L150" s="126">
        <f t="shared" si="24"/>
        <v>0</v>
      </c>
      <c r="M150" s="126">
        <f t="shared" si="24"/>
        <v>0</v>
      </c>
      <c r="N150" s="126">
        <f t="shared" si="24"/>
        <v>0</v>
      </c>
      <c r="O150" s="126">
        <f t="shared" si="24"/>
        <v>0</v>
      </c>
      <c r="P150" s="126">
        <f t="shared" si="24"/>
        <v>0</v>
      </c>
    </row>
    <row r="151" spans="1:18" hidden="1" outlineLevel="1">
      <c r="A151" s="125" t="s">
        <v>210</v>
      </c>
      <c r="B151" s="126">
        <f t="shared" ref="B151:P151" si="25">B19</f>
        <v>-44256.369029999973</v>
      </c>
      <c r="C151" s="126">
        <f t="shared" si="25"/>
        <v>-317743.71015000006</v>
      </c>
      <c r="D151" s="126">
        <f t="shared" si="25"/>
        <v>-390056.06186000002</v>
      </c>
      <c r="E151" s="126">
        <f t="shared" si="25"/>
        <v>-315927.02423000004</v>
      </c>
      <c r="F151" s="126">
        <f t="shared" si="25"/>
        <v>-151883.40371999997</v>
      </c>
      <c r="G151" s="126">
        <f t="shared" si="25"/>
        <v>-77663.557990000016</v>
      </c>
      <c r="H151" s="126">
        <f t="shared" si="25"/>
        <v>-82747.448000000004</v>
      </c>
      <c r="I151" s="126">
        <f t="shared" si="25"/>
        <v>-30414.409</v>
      </c>
      <c r="J151" s="126">
        <f t="shared" si="25"/>
        <v>0</v>
      </c>
      <c r="K151" s="126">
        <f t="shared" si="25"/>
        <v>0</v>
      </c>
      <c r="L151" s="126">
        <f t="shared" si="25"/>
        <v>0</v>
      </c>
      <c r="M151" s="126">
        <f t="shared" si="25"/>
        <v>0</v>
      </c>
      <c r="N151" s="126">
        <f t="shared" si="25"/>
        <v>0</v>
      </c>
      <c r="O151" s="126">
        <f t="shared" si="25"/>
        <v>0</v>
      </c>
      <c r="P151" s="126">
        <f t="shared" si="25"/>
        <v>0</v>
      </c>
    </row>
    <row r="152" spans="1:18" hidden="1" outlineLevel="1">
      <c r="A152" s="125" t="s">
        <v>211</v>
      </c>
      <c r="B152" s="126">
        <f t="shared" ref="B152:P152" si="26">B22</f>
        <v>0</v>
      </c>
      <c r="C152" s="126">
        <f t="shared" si="26"/>
        <v>156061.61255000002</v>
      </c>
      <c r="D152" s="126">
        <f t="shared" si="26"/>
        <v>296716.64623000001</v>
      </c>
      <c r="E152" s="126">
        <f t="shared" si="26"/>
        <v>211570.93927</v>
      </c>
      <c r="F152" s="126">
        <f t="shared" si="26"/>
        <v>86613.554000000004</v>
      </c>
      <c r="G152" s="126">
        <f t="shared" si="26"/>
        <v>109523.5082116667</v>
      </c>
      <c r="H152" s="126">
        <f t="shared" si="26"/>
        <v>4753.946352191776</v>
      </c>
      <c r="I152" s="126">
        <f t="shared" si="26"/>
        <v>-569.82714360731836</v>
      </c>
      <c r="J152" s="126">
        <f t="shared" si="26"/>
        <v>-200476.79657135275</v>
      </c>
      <c r="K152" s="126">
        <f t="shared" si="26"/>
        <v>-280416.42149400688</v>
      </c>
      <c r="L152" s="126">
        <f t="shared" si="26"/>
        <v>-140681.23960416098</v>
      </c>
      <c r="M152" s="126">
        <f t="shared" si="26"/>
        <v>-4417.2243221917806</v>
      </c>
      <c r="N152" s="126">
        <f t="shared" si="26"/>
        <v>-1659.7676832876714</v>
      </c>
      <c r="O152" s="126">
        <f t="shared" si="26"/>
        <v>0</v>
      </c>
      <c r="P152" s="126">
        <f t="shared" si="26"/>
        <v>0</v>
      </c>
    </row>
    <row r="153" spans="1:18" hidden="1" outlineLevel="1">
      <c r="A153" s="127" t="s">
        <v>212</v>
      </c>
      <c r="B153" s="128">
        <f>B23</f>
        <v>269617.25481083512</v>
      </c>
      <c r="C153" s="128">
        <f>SUM(C148:C152)+B153</f>
        <v>233313.59347280493</v>
      </c>
      <c r="D153" s="128">
        <f t="shared" ref="D153:P153" si="27">SUM(D148:D152)+C153</f>
        <v>220123.48196493206</v>
      </c>
      <c r="E153" s="128">
        <f t="shared" si="27"/>
        <v>173286.84725761172</v>
      </c>
      <c r="F153" s="128">
        <f t="shared" si="27"/>
        <v>132740.08531764772</v>
      </c>
      <c r="G153" s="128">
        <f t="shared" si="27"/>
        <v>162890.18858947806</v>
      </c>
      <c r="H153" s="128">
        <f t="shared" si="27"/>
        <v>129667.15701199757</v>
      </c>
      <c r="I153" s="128">
        <f t="shared" si="27"/>
        <v>72047.789269201923</v>
      </c>
      <c r="J153" s="128">
        <f t="shared" si="27"/>
        <v>-136328.3562498524</v>
      </c>
      <c r="K153" s="128">
        <f t="shared" si="27"/>
        <v>-365042.21027745225</v>
      </c>
      <c r="L153" s="128">
        <f t="shared" si="27"/>
        <v>-402647.71959145175</v>
      </c>
      <c r="M153" s="128">
        <f t="shared" si="27"/>
        <v>-293502.34340241726</v>
      </c>
      <c r="N153" s="128">
        <f t="shared" si="27"/>
        <v>-163285.29855262075</v>
      </c>
      <c r="O153" s="128">
        <f t="shared" si="27"/>
        <v>-3366.5906502206344</v>
      </c>
      <c r="P153" s="128">
        <f t="shared" si="27"/>
        <v>177853.25654054864</v>
      </c>
    </row>
    <row r="154" spans="1:18" hidden="1" outlineLevel="1">
      <c r="A154" s="129" t="s">
        <v>213</v>
      </c>
      <c r="B154" s="130">
        <f>B$25</f>
        <v>0</v>
      </c>
      <c r="C154" s="130">
        <f t="shared" ref="C154:P154" si="28">C$25</f>
        <v>-156873.302</v>
      </c>
      <c r="D154" s="130">
        <f t="shared" si="28"/>
        <v>-458691.30200000003</v>
      </c>
      <c r="E154" s="130">
        <f t="shared" si="28"/>
        <v>-684331.30200000003</v>
      </c>
      <c r="F154" s="130">
        <f t="shared" si="28"/>
        <v>-794608.30200000003</v>
      </c>
      <c r="G154" s="130">
        <f t="shared" si="28"/>
        <v>-921500</v>
      </c>
      <c r="H154" s="130">
        <f t="shared" si="28"/>
        <v>-824500</v>
      </c>
      <c r="I154" s="130">
        <f t="shared" si="28"/>
        <v>-630500</v>
      </c>
      <c r="J154" s="130">
        <f t="shared" si="28"/>
        <v>-400125</v>
      </c>
      <c r="K154" s="130">
        <f t="shared" si="28"/>
        <v>-133374.99999999997</v>
      </c>
      <c r="L154" s="130">
        <f t="shared" si="28"/>
        <v>4.470348358154297E-11</v>
      </c>
      <c r="M154" s="130">
        <f t="shared" si="28"/>
        <v>4.470348358154297E-11</v>
      </c>
      <c r="N154" s="130">
        <f t="shared" si="28"/>
        <v>4.470348358154297E-11</v>
      </c>
      <c r="O154" s="130">
        <f t="shared" si="28"/>
        <v>4.470348358154297E-11</v>
      </c>
      <c r="P154" s="130">
        <f t="shared" si="28"/>
        <v>4.470348358154297E-11</v>
      </c>
    </row>
    <row r="155" spans="1:18" hidden="1" outlineLevel="1"/>
    <row r="156" spans="1:18" hidden="1" outlineLevel="1"/>
    <row r="157" spans="1:18" hidden="1" outlineLevel="1"/>
    <row r="158" spans="1:18" hidden="1" outlineLevel="1"/>
    <row r="159" spans="1:18" hidden="1" outlineLevel="1"/>
    <row r="160" spans="1:18" hidden="1" outlineLevel="1"/>
    <row r="161" hidden="1" outlineLevel="1"/>
    <row r="162" hidden="1" outlineLevel="1"/>
    <row r="163" hidden="1" outlineLevel="1"/>
    <row r="164" hidden="1" outlineLevel="1"/>
    <row r="165" hidden="1" outlineLevel="1"/>
    <row r="166" hidden="1" outlineLevel="1"/>
    <row r="167" hidden="1" outlineLevel="1"/>
    <row r="168" hidden="1" outlineLevel="1"/>
    <row r="169" hidden="1" outlineLevel="1"/>
    <row r="170" hidden="1" outlineLevel="1"/>
    <row r="171" hidden="1" outlineLevel="1"/>
    <row r="172" hidden="1" outlineLevel="1"/>
    <row r="173" hidden="1" outlineLevel="1"/>
    <row r="174" hidden="1" outlineLevel="1"/>
    <row r="175" hidden="1" outlineLevel="1"/>
    <row r="176" hidden="1" outlineLevel="1"/>
    <row r="177" spans="1:18" hidden="1" outlineLevel="1"/>
    <row r="178" spans="1:18" hidden="1" outlineLevel="1">
      <c r="F178" s="119" t="s">
        <v>78</v>
      </c>
    </row>
    <row r="179" spans="1:18" hidden="1" outlineLevel="1"/>
    <row r="180" spans="1:18" hidden="1" outlineLevel="1"/>
    <row r="181" spans="1:18" hidden="1" outlineLevel="1">
      <c r="B181" s="299">
        <v>-0.1</v>
      </c>
    </row>
    <row r="182" spans="1:18" collapsed="1">
      <c r="B182" s="299"/>
    </row>
    <row r="183" spans="1:18">
      <c r="B183" s="299"/>
    </row>
    <row r="184" spans="1:18">
      <c r="A184" s="131" t="s">
        <v>1326</v>
      </c>
      <c r="B184" s="299"/>
    </row>
    <row r="186" spans="1:18">
      <c r="A186" s="119" t="s">
        <v>1325</v>
      </c>
      <c r="B186" s="119">
        <f t="shared" ref="B186:P186" si="29">B16</f>
        <v>85661.724840835101</v>
      </c>
      <c r="C186" s="119">
        <f t="shared" si="29"/>
        <v>143874.33549196983</v>
      </c>
      <c r="D186" s="119">
        <f t="shared" si="29"/>
        <v>118185.01404212714</v>
      </c>
      <c r="E186" s="119">
        <f t="shared" si="29"/>
        <v>109649.5917626797</v>
      </c>
      <c r="F186" s="119">
        <f t="shared" si="29"/>
        <v>91174.151340035984</v>
      </c>
      <c r="G186" s="119">
        <f t="shared" si="29"/>
        <v>55727.6668187018</v>
      </c>
      <c r="H186" s="119">
        <f t="shared" si="29"/>
        <v>109764.01433718709</v>
      </c>
      <c r="I186" s="119">
        <f t="shared" si="29"/>
        <v>-27268.559578092987</v>
      </c>
      <c r="J186" s="119">
        <f t="shared" si="29"/>
        <v>-2551.9462607385012</v>
      </c>
      <c r="K186" s="119">
        <f t="shared" si="29"/>
        <v>61564.807859375811</v>
      </c>
      <c r="L186" s="119">
        <f t="shared" si="29"/>
        <v>108500.76872648575</v>
      </c>
      <c r="M186" s="119">
        <f t="shared" si="29"/>
        <v>119539.57948550134</v>
      </c>
      <c r="N186" s="119">
        <f t="shared" si="29"/>
        <v>138817.69740324651</v>
      </c>
      <c r="O186" s="119">
        <f t="shared" si="29"/>
        <v>168335.48200252643</v>
      </c>
      <c r="P186" s="119">
        <f t="shared" si="29"/>
        <v>190757.73388502031</v>
      </c>
    </row>
    <row r="187" spans="1:18">
      <c r="A187" s="1121" t="s">
        <v>1328</v>
      </c>
      <c r="B187" s="299"/>
      <c r="E187" s="716"/>
      <c r="F187" s="221" t="s">
        <v>78</v>
      </c>
      <c r="G187" s="221">
        <v>-0.5</v>
      </c>
      <c r="H187" s="221">
        <v>-0.25</v>
      </c>
      <c r="I187" s="221">
        <v>-0.1</v>
      </c>
      <c r="J187" s="221">
        <v>-0.1</v>
      </c>
      <c r="K187" s="221">
        <v>-0.1</v>
      </c>
      <c r="L187" s="221">
        <v>-0.1</v>
      </c>
      <c r="M187" s="221">
        <v>-0.1</v>
      </c>
      <c r="N187" s="221">
        <v>-0.1</v>
      </c>
      <c r="O187" s="221">
        <v>-0.1</v>
      </c>
      <c r="P187" s="221">
        <v>-0.1</v>
      </c>
    </row>
    <row r="188" spans="1:18">
      <c r="A188" s="1121" t="s">
        <v>910</v>
      </c>
      <c r="B188" s="299"/>
      <c r="E188" s="716"/>
      <c r="G188" s="119">
        <f t="shared" ref="G188:P188" si="30">G16*G187</f>
        <v>-27863.8334093509</v>
      </c>
      <c r="H188" s="119">
        <f t="shared" si="30"/>
        <v>-27441.003584296774</v>
      </c>
      <c r="I188" s="119">
        <f t="shared" si="30"/>
        <v>2726.8559578092991</v>
      </c>
      <c r="J188" s="119">
        <f t="shared" si="30"/>
        <v>255.19462607385015</v>
      </c>
      <c r="K188" s="119">
        <f t="shared" si="30"/>
        <v>-6156.4807859375815</v>
      </c>
      <c r="L188" s="119">
        <f t="shared" si="30"/>
        <v>-10850.076872648577</v>
      </c>
      <c r="M188" s="119">
        <f t="shared" si="30"/>
        <v>-11953.957948550134</v>
      </c>
      <c r="N188" s="119">
        <f t="shared" si="30"/>
        <v>-13881.769740324651</v>
      </c>
      <c r="O188" s="119">
        <f t="shared" si="30"/>
        <v>-16833.548200252644</v>
      </c>
      <c r="P188" s="119">
        <f t="shared" si="30"/>
        <v>-19075.773388502032</v>
      </c>
    </row>
    <row r="189" spans="1:18">
      <c r="A189" s="1121" t="s">
        <v>1327</v>
      </c>
      <c r="B189" s="119">
        <f t="shared" ref="B189:O189" si="31">B186+B188</f>
        <v>85661.724840835101</v>
      </c>
      <c r="C189" s="119">
        <f t="shared" si="31"/>
        <v>143874.33549196983</v>
      </c>
      <c r="D189" s="119">
        <f t="shared" si="31"/>
        <v>118185.01404212714</v>
      </c>
      <c r="E189" s="119">
        <f t="shared" si="31"/>
        <v>109649.5917626797</v>
      </c>
      <c r="F189" s="119">
        <f t="shared" si="31"/>
        <v>91174.151340035984</v>
      </c>
      <c r="G189" s="119">
        <f t="shared" si="31"/>
        <v>27863.8334093509</v>
      </c>
      <c r="H189" s="119">
        <f t="shared" si="31"/>
        <v>82323.010752890317</v>
      </c>
      <c r="I189" s="119">
        <f t="shared" si="31"/>
        <v>-24541.70362028369</v>
      </c>
      <c r="J189" s="119">
        <f t="shared" si="31"/>
        <v>-2296.7516346646512</v>
      </c>
      <c r="K189" s="119">
        <f t="shared" si="31"/>
        <v>55408.327073438231</v>
      </c>
      <c r="L189" s="119">
        <f t="shared" si="31"/>
        <v>97650.691853837168</v>
      </c>
      <c r="M189" s="119">
        <f t="shared" si="31"/>
        <v>107585.62153695121</v>
      </c>
      <c r="N189" s="119">
        <f t="shared" si="31"/>
        <v>124935.92766292185</v>
      </c>
      <c r="O189" s="119">
        <f t="shared" si="31"/>
        <v>151501.93380227379</v>
      </c>
      <c r="P189" s="119">
        <f>P186+P188</f>
        <v>171681.96049651827</v>
      </c>
    </row>
    <row r="190" spans="1:18">
      <c r="A190" s="1121"/>
      <c r="B190" s="299"/>
      <c r="E190" s="716"/>
    </row>
    <row r="191" spans="1:18">
      <c r="A191" s="122" t="s">
        <v>10</v>
      </c>
      <c r="B191" s="123" t="s">
        <v>0</v>
      </c>
      <c r="C191" s="123" t="s">
        <v>1</v>
      </c>
      <c r="D191" s="123" t="s">
        <v>2</v>
      </c>
      <c r="E191" s="123" t="s">
        <v>3</v>
      </c>
      <c r="F191" s="123" t="s">
        <v>4</v>
      </c>
      <c r="G191" s="123" t="s">
        <v>5</v>
      </c>
      <c r="H191" s="123" t="s">
        <v>6</v>
      </c>
      <c r="I191" s="123" t="s">
        <v>7</v>
      </c>
      <c r="J191" s="123" t="s">
        <v>13</v>
      </c>
      <c r="K191" s="123" t="s">
        <v>14</v>
      </c>
      <c r="L191" s="123" t="s">
        <v>15</v>
      </c>
      <c r="M191" s="123" t="s">
        <v>16</v>
      </c>
      <c r="N191" s="123" t="s">
        <v>17</v>
      </c>
      <c r="O191" s="123" t="s">
        <v>18</v>
      </c>
      <c r="P191" s="123" t="s">
        <v>19</v>
      </c>
      <c r="R191" s="124"/>
    </row>
    <row r="192" spans="1:18">
      <c r="A192" s="125" t="s">
        <v>208</v>
      </c>
      <c r="B192" s="126">
        <f t="shared" ref="B192:O192" si="32">B189</f>
        <v>85661.724840835101</v>
      </c>
      <c r="C192" s="126">
        <f t="shared" si="32"/>
        <v>143874.33549196983</v>
      </c>
      <c r="D192" s="126">
        <f t="shared" si="32"/>
        <v>118185.01404212714</v>
      </c>
      <c r="E192" s="126">
        <f t="shared" si="32"/>
        <v>109649.5917626797</v>
      </c>
      <c r="F192" s="126">
        <f t="shared" si="32"/>
        <v>91174.151340035984</v>
      </c>
      <c r="G192" s="126">
        <f t="shared" si="32"/>
        <v>27863.8334093509</v>
      </c>
      <c r="H192" s="126">
        <f t="shared" si="32"/>
        <v>82323.010752890317</v>
      </c>
      <c r="I192" s="126">
        <f t="shared" si="32"/>
        <v>-24541.70362028369</v>
      </c>
      <c r="J192" s="126">
        <f t="shared" si="32"/>
        <v>-2296.7516346646512</v>
      </c>
      <c r="K192" s="126">
        <f t="shared" si="32"/>
        <v>55408.327073438231</v>
      </c>
      <c r="L192" s="126">
        <f t="shared" si="32"/>
        <v>97650.691853837168</v>
      </c>
      <c r="M192" s="126">
        <f t="shared" si="32"/>
        <v>107585.62153695121</v>
      </c>
      <c r="N192" s="126">
        <f t="shared" si="32"/>
        <v>124935.92766292185</v>
      </c>
      <c r="O192" s="126">
        <f t="shared" si="32"/>
        <v>151501.93380227379</v>
      </c>
      <c r="P192" s="126">
        <f>P189</f>
        <v>171681.96049651827</v>
      </c>
    </row>
    <row r="193" spans="1:16">
      <c r="A193" s="125" t="s">
        <v>209</v>
      </c>
      <c r="B193" s="126">
        <f t="shared" ref="B193:P193" si="33">B17</f>
        <v>-28473.514999999999</v>
      </c>
      <c r="C193" s="126">
        <f t="shared" si="33"/>
        <v>-18495.899229999999</v>
      </c>
      <c r="D193" s="126">
        <f t="shared" si="33"/>
        <v>-38035.709919999994</v>
      </c>
      <c r="E193" s="126">
        <f t="shared" si="33"/>
        <v>-52130.141510000001</v>
      </c>
      <c r="F193" s="126">
        <f t="shared" si="33"/>
        <v>-66451.063559999995</v>
      </c>
      <c r="G193" s="126">
        <f t="shared" si="33"/>
        <v>-54651.130427603064</v>
      </c>
      <c r="H193" s="126">
        <f t="shared" si="33"/>
        <v>-59505.343550000005</v>
      </c>
      <c r="I193" s="126">
        <f t="shared" si="33"/>
        <v>-730</v>
      </c>
      <c r="J193" s="126">
        <f t="shared" si="33"/>
        <v>-5475</v>
      </c>
      <c r="K193" s="126">
        <f t="shared" si="33"/>
        <v>-6784</v>
      </c>
      <c r="L193" s="126">
        <f t="shared" si="33"/>
        <v>0</v>
      </c>
      <c r="M193" s="126">
        <f t="shared" si="33"/>
        <v>0</v>
      </c>
      <c r="N193" s="126">
        <f t="shared" si="33"/>
        <v>0</v>
      </c>
      <c r="O193" s="126">
        <f t="shared" si="33"/>
        <v>0</v>
      </c>
      <c r="P193" s="126">
        <f t="shared" si="33"/>
        <v>0</v>
      </c>
    </row>
    <row r="194" spans="1:16">
      <c r="A194" s="125" t="s">
        <v>573</v>
      </c>
      <c r="B194" s="126">
        <f t="shared" ref="B194:P194" si="34">IF(B18&lt;0,B18*(1-$B$181),B18*(1+$B$181))</f>
        <v>0</v>
      </c>
      <c r="C194" s="126">
        <f t="shared" si="34"/>
        <v>0</v>
      </c>
      <c r="D194" s="126">
        <f t="shared" si="34"/>
        <v>0</v>
      </c>
      <c r="E194" s="126">
        <f t="shared" si="34"/>
        <v>0</v>
      </c>
      <c r="F194" s="126">
        <f t="shared" si="34"/>
        <v>0</v>
      </c>
      <c r="G194" s="126">
        <f t="shared" si="34"/>
        <v>0</v>
      </c>
      <c r="H194" s="126">
        <f t="shared" si="34"/>
        <v>0</v>
      </c>
      <c r="I194" s="126">
        <f t="shared" si="34"/>
        <v>0</v>
      </c>
      <c r="J194" s="126">
        <f t="shared" si="34"/>
        <v>0</v>
      </c>
      <c r="K194" s="126">
        <f t="shared" si="34"/>
        <v>0</v>
      </c>
      <c r="L194" s="126">
        <f t="shared" si="34"/>
        <v>0</v>
      </c>
      <c r="M194" s="126">
        <f t="shared" si="34"/>
        <v>0</v>
      </c>
      <c r="N194" s="126">
        <f t="shared" si="34"/>
        <v>0</v>
      </c>
      <c r="O194" s="126">
        <f t="shared" si="34"/>
        <v>0</v>
      </c>
      <c r="P194" s="126">
        <f t="shared" si="34"/>
        <v>0</v>
      </c>
    </row>
    <row r="195" spans="1:16">
      <c r="A195" s="125" t="s">
        <v>210</v>
      </c>
      <c r="B195" s="126">
        <f t="shared" ref="B195:P195" si="35">B19</f>
        <v>-44256.369029999973</v>
      </c>
      <c r="C195" s="126">
        <f t="shared" si="35"/>
        <v>-317743.71015000006</v>
      </c>
      <c r="D195" s="126">
        <f t="shared" si="35"/>
        <v>-390056.06186000002</v>
      </c>
      <c r="E195" s="126">
        <f t="shared" si="35"/>
        <v>-315927.02423000004</v>
      </c>
      <c r="F195" s="126">
        <f t="shared" si="35"/>
        <v>-151883.40371999997</v>
      </c>
      <c r="G195" s="126">
        <f t="shared" si="35"/>
        <v>-77663.557990000016</v>
      </c>
      <c r="H195" s="126">
        <f t="shared" si="35"/>
        <v>-82747.448000000004</v>
      </c>
      <c r="I195" s="126">
        <f t="shared" si="35"/>
        <v>-30414.409</v>
      </c>
      <c r="J195" s="126">
        <f t="shared" si="35"/>
        <v>0</v>
      </c>
      <c r="K195" s="126">
        <f t="shared" si="35"/>
        <v>0</v>
      </c>
      <c r="L195" s="126">
        <f t="shared" si="35"/>
        <v>0</v>
      </c>
      <c r="M195" s="126">
        <f t="shared" si="35"/>
        <v>0</v>
      </c>
      <c r="N195" s="126">
        <f t="shared" si="35"/>
        <v>0</v>
      </c>
      <c r="O195" s="126">
        <f t="shared" si="35"/>
        <v>0</v>
      </c>
      <c r="P195" s="126">
        <f t="shared" si="35"/>
        <v>0</v>
      </c>
    </row>
    <row r="196" spans="1:16">
      <c r="A196" s="125" t="s">
        <v>211</v>
      </c>
      <c r="B196" s="126">
        <f t="shared" ref="B196:P196" si="36">B22</f>
        <v>0</v>
      </c>
      <c r="C196" s="126">
        <f t="shared" si="36"/>
        <v>156061.61255000002</v>
      </c>
      <c r="D196" s="126">
        <f t="shared" si="36"/>
        <v>296716.64623000001</v>
      </c>
      <c r="E196" s="126">
        <f t="shared" si="36"/>
        <v>211570.93927</v>
      </c>
      <c r="F196" s="126">
        <f t="shared" si="36"/>
        <v>86613.554000000004</v>
      </c>
      <c r="G196" s="126">
        <f t="shared" si="36"/>
        <v>109523.5082116667</v>
      </c>
      <c r="H196" s="126">
        <f t="shared" si="36"/>
        <v>4753.946352191776</v>
      </c>
      <c r="I196" s="126">
        <f t="shared" si="36"/>
        <v>-569.82714360731836</v>
      </c>
      <c r="J196" s="126">
        <f t="shared" si="36"/>
        <v>-200476.79657135275</v>
      </c>
      <c r="K196" s="126">
        <f t="shared" si="36"/>
        <v>-280416.42149400688</v>
      </c>
      <c r="L196" s="126">
        <f t="shared" si="36"/>
        <v>-140681.23960416098</v>
      </c>
      <c r="M196" s="126">
        <f t="shared" si="36"/>
        <v>-4417.2243221917806</v>
      </c>
      <c r="N196" s="126">
        <f t="shared" si="36"/>
        <v>-1659.7676832876714</v>
      </c>
      <c r="O196" s="126">
        <f t="shared" si="36"/>
        <v>0</v>
      </c>
      <c r="P196" s="126">
        <f t="shared" si="36"/>
        <v>0</v>
      </c>
    </row>
    <row r="197" spans="1:16">
      <c r="A197" s="127" t="s">
        <v>212</v>
      </c>
      <c r="B197" s="128">
        <f>B23</f>
        <v>269617.25481083512</v>
      </c>
      <c r="C197" s="128">
        <f t="shared" ref="C197:P197" si="37">SUM(C192:C196)+B197</f>
        <v>233313.59347280493</v>
      </c>
      <c r="D197" s="128">
        <f t="shared" si="37"/>
        <v>220123.48196493206</v>
      </c>
      <c r="E197" s="128">
        <f t="shared" si="37"/>
        <v>173286.84725761172</v>
      </c>
      <c r="F197" s="128">
        <f t="shared" si="37"/>
        <v>132740.08531764772</v>
      </c>
      <c r="G197" s="128">
        <f t="shared" si="37"/>
        <v>137812.73852106225</v>
      </c>
      <c r="H197" s="128">
        <f t="shared" si="37"/>
        <v>82636.904076144332</v>
      </c>
      <c r="I197" s="128">
        <f t="shared" si="37"/>
        <v>26380.964312253323</v>
      </c>
      <c r="J197" s="128">
        <f t="shared" si="37"/>
        <v>-181867.58389376409</v>
      </c>
      <c r="K197" s="128">
        <f t="shared" si="37"/>
        <v>-413659.67831433273</v>
      </c>
      <c r="L197" s="128">
        <f t="shared" si="37"/>
        <v>-456690.22606465651</v>
      </c>
      <c r="M197" s="128">
        <f t="shared" si="37"/>
        <v>-353521.82884989708</v>
      </c>
      <c r="N197" s="128">
        <f t="shared" si="37"/>
        <v>-230245.66887026292</v>
      </c>
      <c r="O197" s="128">
        <f t="shared" si="37"/>
        <v>-78743.735067989124</v>
      </c>
      <c r="P197" s="128">
        <f t="shared" si="37"/>
        <v>92938.225428529142</v>
      </c>
    </row>
    <row r="198" spans="1:16">
      <c r="A198" s="129" t="s">
        <v>213</v>
      </c>
      <c r="B198" s="130">
        <f>B$25</f>
        <v>0</v>
      </c>
      <c r="C198" s="130">
        <f t="shared" ref="C198:P198" si="38">C$25</f>
        <v>-156873.302</v>
      </c>
      <c r="D198" s="130">
        <f t="shared" si="38"/>
        <v>-458691.30200000003</v>
      </c>
      <c r="E198" s="130">
        <f t="shared" si="38"/>
        <v>-684331.30200000003</v>
      </c>
      <c r="F198" s="130">
        <f t="shared" si="38"/>
        <v>-794608.30200000003</v>
      </c>
      <c r="G198" s="130">
        <f t="shared" si="38"/>
        <v>-921500</v>
      </c>
      <c r="H198" s="130">
        <f t="shared" si="38"/>
        <v>-824500</v>
      </c>
      <c r="I198" s="130">
        <f t="shared" si="38"/>
        <v>-630500</v>
      </c>
      <c r="J198" s="130">
        <f t="shared" si="38"/>
        <v>-400125</v>
      </c>
      <c r="K198" s="130">
        <f t="shared" si="38"/>
        <v>-133374.99999999997</v>
      </c>
      <c r="L198" s="130">
        <f t="shared" si="38"/>
        <v>4.470348358154297E-11</v>
      </c>
      <c r="M198" s="130">
        <f t="shared" si="38"/>
        <v>4.470348358154297E-11</v>
      </c>
      <c r="N198" s="130">
        <f t="shared" si="38"/>
        <v>4.470348358154297E-11</v>
      </c>
      <c r="O198" s="130">
        <f t="shared" si="38"/>
        <v>4.470348358154297E-11</v>
      </c>
      <c r="P198" s="130">
        <f t="shared" si="38"/>
        <v>4.470348358154297E-11</v>
      </c>
    </row>
    <row r="221" spans="9:9">
      <c r="I221" s="308"/>
    </row>
    <row r="226" spans="1:18">
      <c r="B226" s="299">
        <v>-0.05</v>
      </c>
    </row>
    <row r="227" spans="1:18">
      <c r="A227" s="131" t="s">
        <v>217</v>
      </c>
      <c r="B227" s="132"/>
      <c r="C227" s="132"/>
      <c r="D227" s="132"/>
      <c r="E227" s="132"/>
      <c r="F227" s="132"/>
      <c r="G227" s="132"/>
      <c r="H227" s="132"/>
      <c r="I227" s="132"/>
      <c r="J227" s="132"/>
      <c r="K227" s="132"/>
      <c r="L227" s="132"/>
      <c r="M227" s="132"/>
      <c r="N227" s="132"/>
      <c r="O227" s="132"/>
      <c r="P227" s="132"/>
    </row>
    <row r="228" spans="1:18">
      <c r="A228" s="122" t="s">
        <v>10</v>
      </c>
      <c r="B228" s="123" t="s">
        <v>0</v>
      </c>
      <c r="C228" s="123" t="s">
        <v>1</v>
      </c>
      <c r="D228" s="123" t="s">
        <v>2</v>
      </c>
      <c r="E228" s="123" t="s">
        <v>3</v>
      </c>
      <c r="F228" s="123" t="s">
        <v>4</v>
      </c>
      <c r="G228" s="123" t="s">
        <v>5</v>
      </c>
      <c r="H228" s="123" t="s">
        <v>6</v>
      </c>
      <c r="I228" s="123" t="s">
        <v>7</v>
      </c>
      <c r="J228" s="123" t="s">
        <v>13</v>
      </c>
      <c r="K228" s="123" t="s">
        <v>14</v>
      </c>
      <c r="L228" s="123" t="s">
        <v>15</v>
      </c>
      <c r="M228" s="123" t="s">
        <v>16</v>
      </c>
      <c r="N228" s="123" t="s">
        <v>17</v>
      </c>
      <c r="O228" s="123" t="s">
        <v>18</v>
      </c>
      <c r="P228" s="123" t="s">
        <v>19</v>
      </c>
      <c r="R228" s="124"/>
    </row>
    <row r="229" spans="1:18">
      <c r="A229" s="125" t="s">
        <v>208</v>
      </c>
      <c r="B229" s="126">
        <f>B16</f>
        <v>85661.724840835101</v>
      </c>
      <c r="C229" s="126">
        <f t="shared" ref="C229:P229" si="39">C16*(1+$B$226)</f>
        <v>136680.61871737134</v>
      </c>
      <c r="D229" s="126">
        <f t="shared" si="39"/>
        <v>112275.76334002077</v>
      </c>
      <c r="E229" s="126">
        <f t="shared" si="39"/>
        <v>104167.11217454571</v>
      </c>
      <c r="F229" s="126">
        <f t="shared" si="39"/>
        <v>86615.443773034174</v>
      </c>
      <c r="G229" s="126">
        <f t="shared" si="39"/>
        <v>52941.283477766709</v>
      </c>
      <c r="H229" s="126">
        <f t="shared" si="39"/>
        <v>104275.81362032774</v>
      </c>
      <c r="I229" s="126">
        <f t="shared" si="39"/>
        <v>-25905.131599188335</v>
      </c>
      <c r="J229" s="126">
        <f t="shared" si="39"/>
        <v>-2424.348947701576</v>
      </c>
      <c r="K229" s="126">
        <f t="shared" si="39"/>
        <v>58486.567466407017</v>
      </c>
      <c r="L229" s="126">
        <f t="shared" si="39"/>
        <v>103075.73029016146</v>
      </c>
      <c r="M229" s="126">
        <f t="shared" si="39"/>
        <v>113562.60051122626</v>
      </c>
      <c r="N229" s="126">
        <f t="shared" si="39"/>
        <v>131876.81253308419</v>
      </c>
      <c r="O229" s="126">
        <f t="shared" si="39"/>
        <v>159918.70790240011</v>
      </c>
      <c r="P229" s="126">
        <f t="shared" si="39"/>
        <v>181219.84719076927</v>
      </c>
    </row>
    <row r="230" spans="1:18">
      <c r="A230" s="125" t="s">
        <v>209</v>
      </c>
      <c r="B230" s="126">
        <f>B17</f>
        <v>-28473.514999999999</v>
      </c>
      <c r="C230" s="126">
        <f t="shared" ref="C230:P230" si="40">C17</f>
        <v>-18495.899229999999</v>
      </c>
      <c r="D230" s="126">
        <f t="shared" si="40"/>
        <v>-38035.709919999994</v>
      </c>
      <c r="E230" s="126">
        <f t="shared" si="40"/>
        <v>-52130.141510000001</v>
      </c>
      <c r="F230" s="126">
        <f t="shared" si="40"/>
        <v>-66451.063559999995</v>
      </c>
      <c r="G230" s="126">
        <f t="shared" si="40"/>
        <v>-54651.130427603064</v>
      </c>
      <c r="H230" s="126">
        <f t="shared" si="40"/>
        <v>-59505.343550000005</v>
      </c>
      <c r="I230" s="126">
        <f t="shared" si="40"/>
        <v>-730</v>
      </c>
      <c r="J230" s="126">
        <f t="shared" si="40"/>
        <v>-5475</v>
      </c>
      <c r="K230" s="126">
        <f t="shared" si="40"/>
        <v>-6784</v>
      </c>
      <c r="L230" s="126">
        <f t="shared" si="40"/>
        <v>0</v>
      </c>
      <c r="M230" s="126">
        <f t="shared" si="40"/>
        <v>0</v>
      </c>
      <c r="N230" s="126">
        <f t="shared" si="40"/>
        <v>0</v>
      </c>
      <c r="O230" s="126">
        <f t="shared" si="40"/>
        <v>0</v>
      </c>
      <c r="P230" s="126">
        <f t="shared" si="40"/>
        <v>0</v>
      </c>
    </row>
    <row r="231" spans="1:18">
      <c r="A231" s="125" t="s">
        <v>573</v>
      </c>
      <c r="B231" s="126">
        <f t="shared" ref="B231:P231" si="41">IF(B18&lt;0,B18*(1-$B$226),B18*(1+$B$226))</f>
        <v>0</v>
      </c>
      <c r="C231" s="126">
        <f t="shared" si="41"/>
        <v>0</v>
      </c>
      <c r="D231" s="126">
        <f t="shared" si="41"/>
        <v>0</v>
      </c>
      <c r="E231" s="126">
        <f t="shared" si="41"/>
        <v>0</v>
      </c>
      <c r="F231" s="126">
        <f t="shared" si="41"/>
        <v>0</v>
      </c>
      <c r="G231" s="126">
        <f t="shared" si="41"/>
        <v>0</v>
      </c>
      <c r="H231" s="126">
        <f t="shared" si="41"/>
        <v>0</v>
      </c>
      <c r="I231" s="126">
        <f t="shared" si="41"/>
        <v>0</v>
      </c>
      <c r="J231" s="126">
        <f t="shared" si="41"/>
        <v>0</v>
      </c>
      <c r="K231" s="126">
        <f t="shared" si="41"/>
        <v>0</v>
      </c>
      <c r="L231" s="126">
        <f t="shared" si="41"/>
        <v>0</v>
      </c>
      <c r="M231" s="126">
        <f t="shared" si="41"/>
        <v>0</v>
      </c>
      <c r="N231" s="126">
        <f t="shared" si="41"/>
        <v>0</v>
      </c>
      <c r="O231" s="126">
        <f t="shared" si="41"/>
        <v>0</v>
      </c>
      <c r="P231" s="126">
        <f t="shared" si="41"/>
        <v>0</v>
      </c>
    </row>
    <row r="232" spans="1:18">
      <c r="A232" s="125" t="s">
        <v>210</v>
      </c>
      <c r="B232" s="126">
        <f t="shared" ref="B232:P232" si="42">B19</f>
        <v>-44256.369029999973</v>
      </c>
      <c r="C232" s="126">
        <f t="shared" si="42"/>
        <v>-317743.71015000006</v>
      </c>
      <c r="D232" s="126">
        <f t="shared" si="42"/>
        <v>-390056.06186000002</v>
      </c>
      <c r="E232" s="126">
        <f t="shared" si="42"/>
        <v>-315927.02423000004</v>
      </c>
      <c r="F232" s="126">
        <f t="shared" si="42"/>
        <v>-151883.40371999997</v>
      </c>
      <c r="G232" s="126">
        <f t="shared" si="42"/>
        <v>-77663.557990000016</v>
      </c>
      <c r="H232" s="126">
        <f t="shared" si="42"/>
        <v>-82747.448000000004</v>
      </c>
      <c r="I232" s="126">
        <f t="shared" si="42"/>
        <v>-30414.409</v>
      </c>
      <c r="J232" s="126">
        <f t="shared" si="42"/>
        <v>0</v>
      </c>
      <c r="K232" s="126">
        <f t="shared" si="42"/>
        <v>0</v>
      </c>
      <c r="L232" s="126">
        <f t="shared" si="42"/>
        <v>0</v>
      </c>
      <c r="M232" s="126">
        <f t="shared" si="42"/>
        <v>0</v>
      </c>
      <c r="N232" s="126">
        <f t="shared" si="42"/>
        <v>0</v>
      </c>
      <c r="O232" s="126">
        <f t="shared" si="42"/>
        <v>0</v>
      </c>
      <c r="P232" s="126">
        <f t="shared" si="42"/>
        <v>0</v>
      </c>
    </row>
    <row r="233" spans="1:18">
      <c r="A233" s="125" t="s">
        <v>211</v>
      </c>
      <c r="B233" s="126">
        <v>0</v>
      </c>
      <c r="C233" s="126">
        <f>C22</f>
        <v>156061.61255000002</v>
      </c>
      <c r="D233" s="126">
        <f>D22</f>
        <v>296716.64623000001</v>
      </c>
      <c r="E233" s="126">
        <f>E22</f>
        <v>211570.93927</v>
      </c>
      <c r="F233" s="126">
        <f>F22</f>
        <v>86613.554000000004</v>
      </c>
      <c r="G233" s="126">
        <f>G22+(SUM('Final Terms of Loan Financing'!BE70:BE81)+SUM('Final Terms of Loan Financing'!BQ70:BQ81))/1000</f>
        <v>100988.54419000003</v>
      </c>
      <c r="H233" s="126">
        <f>H22+(SUM('Final Terms of Loan Financing'!BE82:BE93)+SUM('Final Terms of Loan Financing'!BQ82:BQ93))/1000</f>
        <v>-4464.803647808224</v>
      </c>
      <c r="I233" s="126">
        <f>I22+(SUM('Final Terms of Loan Financing'!BE94:BE105)+SUM('Final Terms of Loan Financing'!BQ94:BQ105))/1000</f>
        <v>-9837.3271436073173</v>
      </c>
      <c r="J233" s="126">
        <f>J22+(SUM('Final Terms of Loan Financing'!BE106:BE117)+SUM('Final Terms of Loan Financing'!BQ106:BQ117))/1000</f>
        <v>-209383.82782135275</v>
      </c>
      <c r="K233" s="126">
        <f>K22+(SUM('Final Terms of Loan Financing'!BE118:BE129)+SUM('Final Terms of Loan Financing'!BQ118:BQ129))/1000</f>
        <v>-286917.35899400688</v>
      </c>
      <c r="L233" s="126">
        <f>L22+(SUM('Final Terms of Loan Financing'!BE130:BE141)+SUM('Final Terms of Loan Financing'!BQ130:BQ141))/1000</f>
        <v>-144681.39585416098</v>
      </c>
      <c r="M233" s="126">
        <f>M22+(SUM('Final Terms of Loan Financing'!BE142:BE153)+SUM('Final Terms of Loan Financing'!BQ142:BQ153))/1000</f>
        <v>-7917.2243221917797</v>
      </c>
      <c r="N233" s="126">
        <f>N22+(SUM('Final Terms of Loan Financing'!BE154:BE165)+SUM('Final Terms of Loan Financing'!BQ154:BQ165))/1000</f>
        <v>-5159.7676832876714</v>
      </c>
      <c r="O233" s="126">
        <f>O22+(SUM('Final Terms of Loan Financing'!BE166:BE177)+SUM('Final Terms of Loan Financing'!BQ166:BQ177))/1000</f>
        <v>-3499.9999999999995</v>
      </c>
      <c r="P233" s="126">
        <f>P22</f>
        <v>0</v>
      </c>
    </row>
    <row r="234" spans="1:18">
      <c r="A234" s="127" t="s">
        <v>212</v>
      </c>
      <c r="B234" s="128">
        <f>B23</f>
        <v>269617.25481083512</v>
      </c>
      <c r="C234" s="128">
        <f t="shared" ref="C234:P234" si="43">SUM(C229:C233)+B234</f>
        <v>226119.87669820641</v>
      </c>
      <c r="D234" s="128">
        <f>SUM(D229:D233)+C234</f>
        <v>207020.5144882272</v>
      </c>
      <c r="E234" s="128">
        <f>SUM(E229:E233)+D234</f>
        <v>154701.40019277288</v>
      </c>
      <c r="F234" s="128">
        <f t="shared" si="43"/>
        <v>109595.93068580711</v>
      </c>
      <c r="G234" s="128">
        <f t="shared" si="43"/>
        <v>131211.06993597077</v>
      </c>
      <c r="H234" s="128">
        <f t="shared" si="43"/>
        <v>88769.288358490274</v>
      </c>
      <c r="I234" s="128">
        <f t="shared" si="43"/>
        <v>21882.420615694631</v>
      </c>
      <c r="J234" s="128">
        <f t="shared" si="43"/>
        <v>-195400.75615335969</v>
      </c>
      <c r="K234" s="128">
        <f t="shared" si="43"/>
        <v>-430615.54768095957</v>
      </c>
      <c r="L234" s="128">
        <f t="shared" si="43"/>
        <v>-472221.21324495907</v>
      </c>
      <c r="M234" s="128">
        <f t="shared" si="43"/>
        <v>-366575.83705592458</v>
      </c>
      <c r="N234" s="128">
        <f t="shared" si="43"/>
        <v>-239858.79220612807</v>
      </c>
      <c r="O234" s="128">
        <f t="shared" si="43"/>
        <v>-83440.084303727956</v>
      </c>
      <c r="P234" s="128">
        <f t="shared" si="43"/>
        <v>97779.762887041317</v>
      </c>
    </row>
    <row r="235" spans="1:18">
      <c r="A235" s="129" t="s">
        <v>213</v>
      </c>
      <c r="B235" s="130">
        <f>B$25</f>
        <v>0</v>
      </c>
      <c r="C235" s="130">
        <f t="shared" ref="C235:P235" si="44">C$25</f>
        <v>-156873.302</v>
      </c>
      <c r="D235" s="130">
        <f t="shared" si="44"/>
        <v>-458691.30200000003</v>
      </c>
      <c r="E235" s="130">
        <f t="shared" si="44"/>
        <v>-684331.30200000003</v>
      </c>
      <c r="F235" s="130">
        <f t="shared" si="44"/>
        <v>-794608.30200000003</v>
      </c>
      <c r="G235" s="130">
        <f t="shared" si="44"/>
        <v>-921500</v>
      </c>
      <c r="H235" s="130">
        <f t="shared" si="44"/>
        <v>-824500</v>
      </c>
      <c r="I235" s="130">
        <f t="shared" si="44"/>
        <v>-630500</v>
      </c>
      <c r="J235" s="130">
        <f t="shared" si="44"/>
        <v>-400125</v>
      </c>
      <c r="K235" s="130">
        <f t="shared" si="44"/>
        <v>-133374.99999999997</v>
      </c>
      <c r="L235" s="130">
        <f t="shared" si="44"/>
        <v>4.470348358154297E-11</v>
      </c>
      <c r="M235" s="130">
        <f t="shared" si="44"/>
        <v>4.470348358154297E-11</v>
      </c>
      <c r="N235" s="130">
        <f t="shared" si="44"/>
        <v>4.470348358154297E-11</v>
      </c>
      <c r="O235" s="130">
        <f t="shared" si="44"/>
        <v>4.470348358154297E-11</v>
      </c>
      <c r="P235" s="130">
        <f t="shared" si="44"/>
        <v>4.470348358154297E-11</v>
      </c>
    </row>
    <row r="248" spans="9:9">
      <c r="I248" s="308"/>
    </row>
  </sheetData>
  <dataConsolidate/>
  <mergeCells count="4">
    <mergeCell ref="L1:O1"/>
    <mergeCell ref="L2:O2"/>
    <mergeCell ref="L13:M13"/>
    <mergeCell ref="J13:K13"/>
  </mergeCells>
  <phoneticPr fontId="301" type="noConversion"/>
  <dataValidations count="2">
    <dataValidation type="list" allowBlank="1" showInputMessage="1" showErrorMessage="1" sqref="D1 D3">
      <formula1>"Y,N"</formula1>
    </dataValidation>
    <dataValidation type="list" allowBlank="1" showInputMessage="1" showErrorMessage="1" sqref="L13">
      <formula1>$S$24:$S$29</formula1>
    </dataValidation>
  </dataValidations>
  <pageMargins left="0.25" right="0.25" top="0.75" bottom="0.75" header="0.3" footer="0.3"/>
  <pageSetup paperSize="9" scale="17" orientation="landscape" r:id="rId1"/>
  <headerFooter>
    <oddHeader>&amp;C&amp;F</oddHeader>
  </headerFooter>
  <ignoredErrors>
    <ignoredError sqref="D150:P150 B150:C150" formula="1"/>
  </ignoredErrors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'Sales &amp; AnP Forecast'!$AD$52:$AD$56</xm:f>
          </x14:formula1>
          <xm:sqref>L1</xm:sqref>
        </x14:dataValidation>
        <x14:dataValidation type="list" allowBlank="1" showInputMessage="1" showErrorMessage="1">
          <x14:formula1>
            <xm:f>'Sales &amp; AnP Forecast'!$AE$52:$AE$55</xm:f>
          </x14:formula1>
          <xm:sqref>L2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rgb="FFFFC000"/>
  </sheetPr>
  <dimension ref="A1:T132"/>
  <sheetViews>
    <sheetView workbookViewId="0">
      <pane ySplit="7" topLeftCell="A63" activePane="bottomLeft" state="frozen"/>
      <selection pane="bottomLeft" activeCell="S1" sqref="S1:S1048576"/>
    </sheetView>
  </sheetViews>
  <sheetFormatPr defaultColWidth="13.5703125" defaultRowHeight="15"/>
  <cols>
    <col min="1" max="1" width="13.5703125" style="1026"/>
    <col min="2" max="2" width="11.85546875" style="1040" customWidth="1"/>
    <col min="3" max="10" width="13.5703125" style="1026"/>
    <col min="11" max="11" width="11.85546875" style="1040" customWidth="1"/>
    <col min="12" max="16" width="13.5703125" style="1026"/>
    <col min="17" max="17" width="9" style="1040" customWidth="1"/>
    <col min="18" max="18" width="13.5703125" style="1026"/>
    <col min="19" max="19" width="16.42578125" style="1026" customWidth="1"/>
    <col min="20" max="16384" width="13.5703125" style="1026"/>
  </cols>
  <sheetData>
    <row r="1" spans="1:20">
      <c r="A1" s="1025" t="s">
        <v>1217</v>
      </c>
      <c r="B1" s="1026"/>
      <c r="J1" s="1025" t="s">
        <v>78</v>
      </c>
      <c r="K1" s="1026"/>
    </row>
    <row r="2" spans="1:20">
      <c r="A2" s="1025" t="s">
        <v>12</v>
      </c>
      <c r="B2" s="1026"/>
      <c r="J2" s="1025" t="s">
        <v>78</v>
      </c>
      <c r="K2" s="1026"/>
    </row>
    <row r="3" spans="1:20">
      <c r="A3" s="1027"/>
      <c r="B3" s="1026"/>
      <c r="J3" s="1027"/>
      <c r="K3" s="1026"/>
    </row>
    <row r="4" spans="1:20">
      <c r="A4" s="1027" t="s">
        <v>213</v>
      </c>
      <c r="B4" s="1026"/>
      <c r="C4" s="1026">
        <v>-15000000</v>
      </c>
      <c r="D4" s="1028">
        <v>1</v>
      </c>
      <c r="J4" s="1027" t="s">
        <v>1729</v>
      </c>
      <c r="K4" s="1026"/>
      <c r="L4" s="1026">
        <v>-14100000</v>
      </c>
      <c r="M4" s="1028" t="s">
        <v>78</v>
      </c>
    </row>
    <row r="5" spans="1:20">
      <c r="A5" s="1027" t="s">
        <v>486</v>
      </c>
      <c r="B5" s="1026"/>
      <c r="C5" s="1029">
        <v>0.04</v>
      </c>
      <c r="J5" s="1027" t="s">
        <v>486</v>
      </c>
      <c r="K5" s="1026"/>
      <c r="L5" s="1790" t="s">
        <v>1730</v>
      </c>
    </row>
    <row r="6" spans="1:20">
      <c r="A6" s="1027" t="s">
        <v>1218</v>
      </c>
      <c r="B6" s="1026"/>
      <c r="C6" s="1026">
        <v>5</v>
      </c>
      <c r="J6" s="1027" t="s">
        <v>1218</v>
      </c>
      <c r="K6" s="1026"/>
      <c r="L6" s="1026">
        <v>5</v>
      </c>
    </row>
    <row r="7" spans="1:20">
      <c r="A7" s="1027" t="s">
        <v>1219</v>
      </c>
      <c r="B7" s="1026"/>
      <c r="C7" s="1030">
        <f>C4/60</f>
        <v>-250000</v>
      </c>
      <c r="J7" s="1027" t="s">
        <v>1219</v>
      </c>
      <c r="K7" s="1026"/>
      <c r="L7" s="1030">
        <f>L4/60</f>
        <v>-235000</v>
      </c>
    </row>
    <row r="8" spans="1:20">
      <c r="A8" s="1040"/>
      <c r="B8" s="1026"/>
      <c r="J8" s="1040"/>
      <c r="K8" s="1026"/>
    </row>
    <row r="9" spans="1:20">
      <c r="A9" s="1040"/>
      <c r="B9" s="1026"/>
      <c r="J9" s="1040"/>
      <c r="K9" s="1026"/>
    </row>
    <row r="11" spans="1:20" s="1032" customFormat="1" ht="36" customHeight="1">
      <c r="B11" s="1031" t="s">
        <v>496</v>
      </c>
      <c r="C11" s="1031" t="s">
        <v>497</v>
      </c>
      <c r="D11" s="1031" t="s">
        <v>499</v>
      </c>
      <c r="E11" s="1031" t="s">
        <v>498</v>
      </c>
      <c r="F11" s="1031" t="s">
        <v>1220</v>
      </c>
      <c r="G11" s="1031" t="s">
        <v>486</v>
      </c>
      <c r="H11" s="1031" t="s">
        <v>1728</v>
      </c>
      <c r="K11" s="1031" t="s">
        <v>496</v>
      </c>
      <c r="L11" s="1031" t="s">
        <v>497</v>
      </c>
      <c r="M11" s="1031" t="s">
        <v>499</v>
      </c>
      <c r="N11" s="1031" t="s">
        <v>498</v>
      </c>
      <c r="O11" s="1031" t="s">
        <v>1220</v>
      </c>
      <c r="P11" s="1031" t="s">
        <v>486</v>
      </c>
      <c r="Q11" s="1031" t="s">
        <v>1728</v>
      </c>
      <c r="S11" s="1031" t="s">
        <v>1731</v>
      </c>
    </row>
    <row r="12" spans="1:20">
      <c r="B12" s="1033">
        <v>0</v>
      </c>
      <c r="C12" s="1034"/>
      <c r="D12" s="1034"/>
      <c r="E12" s="1034"/>
      <c r="F12" s="1034">
        <f>-C4</f>
        <v>15000000</v>
      </c>
      <c r="G12" s="1789">
        <v>1.46339E-2</v>
      </c>
      <c r="H12" s="1040">
        <v>29</v>
      </c>
      <c r="K12" s="1033">
        <v>0</v>
      </c>
      <c r="L12" s="1034"/>
      <c r="M12" s="1034"/>
      <c r="N12" s="1034"/>
      <c r="O12" s="1034">
        <v>0</v>
      </c>
      <c r="P12" s="1789">
        <v>1.46339E-2</v>
      </c>
      <c r="Q12" s="1040">
        <v>29</v>
      </c>
      <c r="S12" s="1791">
        <f>SUM(C12:C18)+SUM(L12:L18)</f>
        <v>-1609454.6478082191</v>
      </c>
      <c r="T12" s="1792" t="s">
        <v>6</v>
      </c>
    </row>
    <row r="13" spans="1:20">
      <c r="A13" s="1041" t="s">
        <v>1221</v>
      </c>
      <c r="B13" s="1035">
        <f>B12+1</f>
        <v>1</v>
      </c>
      <c r="C13" s="1034">
        <f>SUM(D13:E13)</f>
        <v>-267440.40136986302</v>
      </c>
      <c r="D13" s="1034">
        <v>-250000</v>
      </c>
      <c r="E13" s="1034">
        <f>-F12*G12*H12/365</f>
        <v>-17440.401369863015</v>
      </c>
      <c r="F13" s="1034">
        <f>D13+F12</f>
        <v>14750000</v>
      </c>
      <c r="G13" s="1789">
        <v>1.46786E-2</v>
      </c>
      <c r="H13" s="1040">
        <v>32</v>
      </c>
      <c r="J13" s="1041" t="s">
        <v>1221</v>
      </c>
      <c r="K13" s="1035">
        <f>K12+1</f>
        <v>1</v>
      </c>
      <c r="L13" s="1036">
        <f>SUM(M13:N13)</f>
        <v>0</v>
      </c>
      <c r="M13" s="1036">
        <v>0</v>
      </c>
      <c r="N13" s="1036">
        <f>-O12*P12*Q12/365</f>
        <v>0</v>
      </c>
      <c r="O13" s="1034">
        <f>M13+O12</f>
        <v>0</v>
      </c>
      <c r="P13" s="1789">
        <v>1.46786E-2</v>
      </c>
      <c r="Q13" s="1040">
        <v>32</v>
      </c>
      <c r="S13" s="1791"/>
      <c r="T13" s="1791"/>
    </row>
    <row r="14" spans="1:20">
      <c r="A14" s="1041" t="s">
        <v>1225</v>
      </c>
      <c r="B14" s="1035">
        <f>B13+1</f>
        <v>2</v>
      </c>
      <c r="C14" s="1034">
        <f t="shared" ref="C14:C72" si="0">SUM(D14:E14)</f>
        <v>-268981.64164383564</v>
      </c>
      <c r="D14" s="1034">
        <v>-250000</v>
      </c>
      <c r="E14" s="1034">
        <f>-F13*G13*H13/365</f>
        <v>-18981.641643835617</v>
      </c>
      <c r="F14" s="1034">
        <f>D14+F13</f>
        <v>14500000</v>
      </c>
      <c r="G14" s="1789">
        <v>1.4999999999999999E-2</v>
      </c>
      <c r="H14" s="1040">
        <v>30</v>
      </c>
      <c r="J14" s="1041" t="s">
        <v>1225</v>
      </c>
      <c r="K14" s="1035">
        <f>K13+1</f>
        <v>2</v>
      </c>
      <c r="L14" s="1036">
        <f t="shared" ref="L14:L27" si="1">SUM(M14:N14)</f>
        <v>0</v>
      </c>
      <c r="M14" s="1036">
        <f>M13</f>
        <v>0</v>
      </c>
      <c r="N14" s="1036">
        <f>-O13*P13*Q13/365</f>
        <v>0</v>
      </c>
      <c r="O14" s="1034">
        <f>M14+O13</f>
        <v>0</v>
      </c>
      <c r="P14" s="1789">
        <v>1.4999999999999999E-2</v>
      </c>
      <c r="Q14" s="1040">
        <v>30</v>
      </c>
      <c r="S14" s="1791"/>
      <c r="T14" s="1791"/>
    </row>
    <row r="15" spans="1:20">
      <c r="A15" s="1041" t="s">
        <v>1226</v>
      </c>
      <c r="B15" s="1035">
        <f t="shared" ref="B15:B78" si="2">B14+1</f>
        <v>3</v>
      </c>
      <c r="C15" s="1034">
        <f t="shared" si="0"/>
        <v>-267876.71232876711</v>
      </c>
      <c r="D15" s="1034">
        <v>-250000</v>
      </c>
      <c r="E15" s="1034">
        <f>-F14*G14*H14/365</f>
        <v>-17876.712328767124</v>
      </c>
      <c r="F15" s="1034">
        <f t="shared" ref="F15:F78" si="3">D15+F14</f>
        <v>14250000</v>
      </c>
      <c r="G15" s="1789">
        <v>1.5929800000000001E-2</v>
      </c>
      <c r="H15" s="1040">
        <v>32</v>
      </c>
      <c r="J15" s="1041" t="s">
        <v>1226</v>
      </c>
      <c r="K15" s="1035">
        <f t="shared" ref="K15:K78" si="4">K14+1</f>
        <v>3</v>
      </c>
      <c r="L15" s="1036">
        <f t="shared" si="1"/>
        <v>0</v>
      </c>
      <c r="M15" s="1036">
        <f t="shared" ref="M15:M25" si="5">M14</f>
        <v>0</v>
      </c>
      <c r="N15" s="1036">
        <f>-O14*P14*Q14/365</f>
        <v>0</v>
      </c>
      <c r="O15" s="1034">
        <f t="shared" ref="O15:O78" si="6">M15+O14</f>
        <v>0</v>
      </c>
      <c r="P15" s="1789">
        <v>1.5929800000000001E-2</v>
      </c>
      <c r="Q15" s="1040">
        <v>32</v>
      </c>
      <c r="S15" s="1791"/>
      <c r="T15" s="1791"/>
    </row>
    <row r="16" spans="1:20">
      <c r="A16" s="1041" t="s">
        <v>1227</v>
      </c>
      <c r="B16" s="1035">
        <f t="shared" si="2"/>
        <v>4</v>
      </c>
      <c r="C16" s="1034">
        <f t="shared" si="0"/>
        <v>-269901.33917808218</v>
      </c>
      <c r="D16" s="1034">
        <v>-250000</v>
      </c>
      <c r="E16" s="1034">
        <f t="shared" ref="E16:E72" si="7">-F15*G15*H15/365</f>
        <v>-19901.339178082195</v>
      </c>
      <c r="F16" s="1034">
        <f t="shared" si="3"/>
        <v>14000000</v>
      </c>
      <c r="G16" s="1789">
        <v>1.5982099999999999E-2</v>
      </c>
      <c r="H16" s="1040">
        <v>28</v>
      </c>
      <c r="J16" s="1041" t="s">
        <v>1227</v>
      </c>
      <c r="K16" s="1035">
        <f t="shared" si="4"/>
        <v>4</v>
      </c>
      <c r="L16" s="1036">
        <f t="shared" si="1"/>
        <v>0</v>
      </c>
      <c r="M16" s="1036">
        <f t="shared" si="5"/>
        <v>0</v>
      </c>
      <c r="N16" s="1036">
        <f t="shared" ref="N16:N79" si="8">-O15*P15*Q15/365</f>
        <v>0</v>
      </c>
      <c r="O16" s="1034">
        <f t="shared" si="6"/>
        <v>0</v>
      </c>
      <c r="P16" s="1789">
        <v>1.5982099999999999E-2</v>
      </c>
      <c r="Q16" s="1040">
        <v>28</v>
      </c>
      <c r="S16" s="1791"/>
      <c r="T16" s="1791"/>
    </row>
    <row r="17" spans="1:20">
      <c r="A17" s="1041" t="s">
        <v>1228</v>
      </c>
      <c r="B17" s="1035">
        <f t="shared" si="2"/>
        <v>5</v>
      </c>
      <c r="C17" s="1034">
        <f t="shared" si="0"/>
        <v>-267164.33753424656</v>
      </c>
      <c r="D17" s="1034">
        <v>-250000</v>
      </c>
      <c r="E17" s="1034">
        <f t="shared" si="7"/>
        <v>-17164.337534246577</v>
      </c>
      <c r="F17" s="1034">
        <f t="shared" si="3"/>
        <v>13750000</v>
      </c>
      <c r="G17" s="1789">
        <v>1.60071E-2</v>
      </c>
      <c r="H17" s="1040">
        <v>30</v>
      </c>
      <c r="J17" s="1041" t="s">
        <v>1228</v>
      </c>
      <c r="K17" s="1035">
        <f t="shared" si="4"/>
        <v>5</v>
      </c>
      <c r="L17" s="1036">
        <f t="shared" si="1"/>
        <v>0</v>
      </c>
      <c r="M17" s="1036">
        <f t="shared" si="5"/>
        <v>0</v>
      </c>
      <c r="N17" s="1036">
        <f t="shared" si="8"/>
        <v>0</v>
      </c>
      <c r="O17" s="1034">
        <f t="shared" si="6"/>
        <v>0</v>
      </c>
      <c r="P17" s="1789">
        <v>1.60071E-2</v>
      </c>
      <c r="Q17" s="1040">
        <v>30</v>
      </c>
      <c r="S17" s="1791"/>
      <c r="T17" s="1791"/>
    </row>
    <row r="18" spans="1:20">
      <c r="A18" s="1041" t="s">
        <v>1229</v>
      </c>
      <c r="B18" s="1035">
        <f t="shared" si="2"/>
        <v>6</v>
      </c>
      <c r="C18" s="1034">
        <f t="shared" si="0"/>
        <v>-268090.21575342468</v>
      </c>
      <c r="D18" s="1034">
        <v>-250000</v>
      </c>
      <c r="E18" s="1034">
        <f t="shared" si="7"/>
        <v>-18090.215753424658</v>
      </c>
      <c r="F18" s="1034">
        <f t="shared" si="3"/>
        <v>13500000</v>
      </c>
      <c r="G18" s="1789">
        <v>1.7128000000000001E-2</v>
      </c>
      <c r="H18" s="1040">
        <v>30</v>
      </c>
      <c r="J18" s="1041" t="s">
        <v>1229</v>
      </c>
      <c r="K18" s="1035">
        <f t="shared" si="4"/>
        <v>6</v>
      </c>
      <c r="L18" s="1036">
        <f t="shared" si="1"/>
        <v>0</v>
      </c>
      <c r="M18" s="1036">
        <f t="shared" si="5"/>
        <v>0</v>
      </c>
      <c r="N18" s="1036">
        <f t="shared" si="8"/>
        <v>0</v>
      </c>
      <c r="O18" s="1034">
        <f t="shared" si="6"/>
        <v>0</v>
      </c>
      <c r="P18" s="1789">
        <v>1.7128000000000001E-2</v>
      </c>
      <c r="Q18" s="1040">
        <v>30</v>
      </c>
      <c r="S18" s="1791"/>
      <c r="T18" s="1791"/>
    </row>
    <row r="19" spans="1:20">
      <c r="A19" s="1041" t="s">
        <v>1230</v>
      </c>
      <c r="B19" s="1037">
        <f t="shared" si="2"/>
        <v>7</v>
      </c>
      <c r="C19" s="1039">
        <f t="shared" si="0"/>
        <v>-269005.0410958904</v>
      </c>
      <c r="D19" s="1039">
        <v>-250000</v>
      </c>
      <c r="E19" s="1039">
        <f t="shared" si="7"/>
        <v>-19005.04109589041</v>
      </c>
      <c r="F19" s="1039">
        <f t="shared" si="3"/>
        <v>13250000</v>
      </c>
      <c r="G19" s="1789">
        <v>1.60619E-2</v>
      </c>
      <c r="H19" s="1040">
        <v>31</v>
      </c>
      <c r="J19" s="1041" t="s">
        <v>1230</v>
      </c>
      <c r="K19" s="1037">
        <f t="shared" si="4"/>
        <v>7</v>
      </c>
      <c r="L19" s="1038">
        <f t="shared" si="1"/>
        <v>0</v>
      </c>
      <c r="M19" s="1038">
        <f t="shared" si="5"/>
        <v>0</v>
      </c>
      <c r="N19" s="1038">
        <f t="shared" si="8"/>
        <v>0</v>
      </c>
      <c r="O19" s="1039">
        <f t="shared" si="6"/>
        <v>0</v>
      </c>
      <c r="P19" s="1789">
        <v>1.60619E-2</v>
      </c>
      <c r="Q19" s="1040">
        <v>31</v>
      </c>
      <c r="S19" s="1791">
        <f>SUM(C19:C30)+SUM(L19:L30)</f>
        <v>-4616231.0602739733</v>
      </c>
      <c r="T19" s="1792" t="s">
        <v>7</v>
      </c>
    </row>
    <row r="20" spans="1:20">
      <c r="A20" s="1041" t="s">
        <v>1231</v>
      </c>
      <c r="B20" s="1037">
        <f t="shared" si="2"/>
        <v>8</v>
      </c>
      <c r="C20" s="1039">
        <f t="shared" si="0"/>
        <v>-268075.13815068494</v>
      </c>
      <c r="D20" s="1039">
        <v>-250000</v>
      </c>
      <c r="E20" s="1039">
        <f t="shared" si="7"/>
        <v>-18075.138150684932</v>
      </c>
      <c r="F20" s="1039">
        <f t="shared" si="3"/>
        <v>13000000</v>
      </c>
      <c r="G20" s="1789">
        <v>1.59417E-2</v>
      </c>
      <c r="H20" s="1040">
        <v>31</v>
      </c>
      <c r="J20" s="1041" t="s">
        <v>1231</v>
      </c>
      <c r="K20" s="1037">
        <f t="shared" si="4"/>
        <v>8</v>
      </c>
      <c r="L20" s="1038">
        <f t="shared" si="1"/>
        <v>0</v>
      </c>
      <c r="M20" s="1038">
        <f t="shared" si="5"/>
        <v>0</v>
      </c>
      <c r="N20" s="1038">
        <f t="shared" si="8"/>
        <v>0</v>
      </c>
      <c r="O20" s="1039">
        <f t="shared" si="6"/>
        <v>0</v>
      </c>
      <c r="P20" s="1789">
        <v>1.59417E-2</v>
      </c>
      <c r="Q20" s="1040">
        <v>31</v>
      </c>
      <c r="S20" s="1791"/>
      <c r="T20" s="1791"/>
    </row>
    <row r="21" spans="1:20">
      <c r="A21" s="1041" t="s">
        <v>1232</v>
      </c>
      <c r="B21" s="1037">
        <f t="shared" si="2"/>
        <v>9</v>
      </c>
      <c r="C21" s="1039">
        <f t="shared" si="0"/>
        <v>-267601.38383561646</v>
      </c>
      <c r="D21" s="1039">
        <v>-250000</v>
      </c>
      <c r="E21" s="1039">
        <f t="shared" si="7"/>
        <v>-17601.383835616442</v>
      </c>
      <c r="F21" s="1039">
        <f t="shared" si="3"/>
        <v>12750000</v>
      </c>
      <c r="G21" s="1789">
        <v>2.27101E-2</v>
      </c>
      <c r="H21" s="1040">
        <v>29</v>
      </c>
      <c r="J21" s="1041" t="s">
        <v>1232</v>
      </c>
      <c r="K21" s="1037">
        <f t="shared" si="4"/>
        <v>9</v>
      </c>
      <c r="L21" s="1038">
        <f t="shared" si="1"/>
        <v>0</v>
      </c>
      <c r="M21" s="1038">
        <f t="shared" si="5"/>
        <v>0</v>
      </c>
      <c r="N21" s="1038">
        <f t="shared" si="8"/>
        <v>0</v>
      </c>
      <c r="O21" s="1039">
        <f t="shared" si="6"/>
        <v>0</v>
      </c>
      <c r="P21" s="1789">
        <v>2.27101E-2</v>
      </c>
      <c r="Q21" s="1040">
        <v>29</v>
      </c>
      <c r="S21" s="1791"/>
      <c r="T21" s="1791"/>
    </row>
    <row r="22" spans="1:20">
      <c r="A22" s="1041" t="s">
        <v>1233</v>
      </c>
      <c r="B22" s="1037">
        <f t="shared" si="2"/>
        <v>10</v>
      </c>
      <c r="C22" s="1039">
        <f t="shared" si="0"/>
        <v>-273005.64239726029</v>
      </c>
      <c r="D22" s="1039">
        <v>-250000</v>
      </c>
      <c r="E22" s="1039">
        <f t="shared" si="7"/>
        <v>-23005.642397260279</v>
      </c>
      <c r="F22" s="1039">
        <f t="shared" si="3"/>
        <v>12500000</v>
      </c>
      <c r="G22" s="1789">
        <v>2.7306E-2</v>
      </c>
      <c r="H22" s="1040">
        <v>32</v>
      </c>
      <c r="J22" s="1041" t="s">
        <v>1233</v>
      </c>
      <c r="K22" s="1037">
        <f t="shared" si="4"/>
        <v>10</v>
      </c>
      <c r="L22" s="1038">
        <f t="shared" si="1"/>
        <v>0</v>
      </c>
      <c r="M22" s="1038">
        <f t="shared" si="5"/>
        <v>0</v>
      </c>
      <c r="N22" s="1038">
        <f t="shared" si="8"/>
        <v>0</v>
      </c>
      <c r="O22" s="1039">
        <f t="shared" si="6"/>
        <v>0</v>
      </c>
      <c r="P22" s="1789">
        <v>2.7306E-2</v>
      </c>
      <c r="Q22" s="1040">
        <v>32</v>
      </c>
      <c r="S22" s="1791"/>
      <c r="T22" s="1791"/>
    </row>
    <row r="23" spans="1:20">
      <c r="A23" s="1041" t="s">
        <v>1234</v>
      </c>
      <c r="B23" s="1037">
        <f t="shared" si="2"/>
        <v>11</v>
      </c>
      <c r="C23" s="1039">
        <f t="shared" si="0"/>
        <v>-279924.38356164383</v>
      </c>
      <c r="D23" s="1039">
        <v>-250000</v>
      </c>
      <c r="E23" s="1039">
        <f t="shared" si="7"/>
        <v>-29924.383561643837</v>
      </c>
      <c r="F23" s="1039">
        <f t="shared" si="3"/>
        <v>12250000</v>
      </c>
      <c r="G23" s="1789">
        <f>G22</f>
        <v>2.7306E-2</v>
      </c>
      <c r="H23" s="1040">
        <v>30</v>
      </c>
      <c r="J23" s="1041" t="s">
        <v>1234</v>
      </c>
      <c r="K23" s="1037">
        <f t="shared" si="4"/>
        <v>11</v>
      </c>
      <c r="L23" s="1038">
        <f t="shared" si="1"/>
        <v>0</v>
      </c>
      <c r="M23" s="1038">
        <f t="shared" si="5"/>
        <v>0</v>
      </c>
      <c r="N23" s="1038">
        <f t="shared" si="8"/>
        <v>0</v>
      </c>
      <c r="O23" s="1039">
        <f t="shared" si="6"/>
        <v>0</v>
      </c>
      <c r="P23" s="1789">
        <f>P22</f>
        <v>2.7306E-2</v>
      </c>
      <c r="Q23" s="1040">
        <v>30</v>
      </c>
      <c r="S23" s="1791"/>
      <c r="T23" s="1791"/>
    </row>
    <row r="24" spans="1:20">
      <c r="A24" s="1041" t="s">
        <v>1235</v>
      </c>
      <c r="B24" s="1037">
        <f t="shared" si="2"/>
        <v>12</v>
      </c>
      <c r="C24" s="1039">
        <f t="shared" si="0"/>
        <v>-277493.0273972603</v>
      </c>
      <c r="D24" s="1039">
        <v>-250000</v>
      </c>
      <c r="E24" s="1039">
        <f t="shared" si="7"/>
        <v>-27493.027397260274</v>
      </c>
      <c r="F24" s="1039">
        <f t="shared" si="3"/>
        <v>12000000</v>
      </c>
      <c r="G24" s="1789">
        <f t="shared" ref="G24:G72" si="9">G23</f>
        <v>2.7306E-2</v>
      </c>
      <c r="H24" s="1040">
        <v>30</v>
      </c>
      <c r="J24" s="1041" t="s">
        <v>1235</v>
      </c>
      <c r="K24" s="1037">
        <f t="shared" si="4"/>
        <v>12</v>
      </c>
      <c r="L24" s="1038">
        <f t="shared" si="1"/>
        <v>0</v>
      </c>
      <c r="M24" s="1038">
        <f t="shared" si="5"/>
        <v>0</v>
      </c>
      <c r="N24" s="1038">
        <f t="shared" si="8"/>
        <v>0</v>
      </c>
      <c r="O24" s="1039">
        <f t="shared" si="6"/>
        <v>0</v>
      </c>
      <c r="P24" s="1789">
        <f t="shared" ref="P24:P87" si="10">P23</f>
        <v>2.7306E-2</v>
      </c>
      <c r="Q24" s="1040">
        <v>30</v>
      </c>
      <c r="S24" s="1791"/>
      <c r="T24" s="1791"/>
    </row>
    <row r="25" spans="1:20">
      <c r="A25" s="1041" t="s">
        <v>1236</v>
      </c>
      <c r="B25" s="1037">
        <f t="shared" si="2"/>
        <v>13</v>
      </c>
      <c r="C25" s="1039">
        <f t="shared" si="0"/>
        <v>-276931.94520547945</v>
      </c>
      <c r="D25" s="1039">
        <v>-250000</v>
      </c>
      <c r="E25" s="1039">
        <f t="shared" si="7"/>
        <v>-26931.945205479453</v>
      </c>
      <c r="F25" s="1039">
        <f t="shared" si="3"/>
        <v>11750000</v>
      </c>
      <c r="G25" s="1789">
        <f t="shared" si="9"/>
        <v>2.7306E-2</v>
      </c>
      <c r="H25" s="1040">
        <v>30</v>
      </c>
      <c r="J25" s="1041" t="s">
        <v>1236</v>
      </c>
      <c r="K25" s="1037">
        <f t="shared" si="4"/>
        <v>13</v>
      </c>
      <c r="L25" s="1038">
        <f t="shared" si="1"/>
        <v>0</v>
      </c>
      <c r="M25" s="1038">
        <f t="shared" si="5"/>
        <v>0</v>
      </c>
      <c r="N25" s="1038">
        <f t="shared" si="8"/>
        <v>0</v>
      </c>
      <c r="O25" s="1039">
        <f>-L4</f>
        <v>14100000</v>
      </c>
      <c r="P25" s="1789">
        <f t="shared" si="10"/>
        <v>2.7306E-2</v>
      </c>
      <c r="Q25" s="1040">
        <v>30</v>
      </c>
      <c r="S25" s="1791"/>
      <c r="T25" s="1791"/>
    </row>
    <row r="26" spans="1:20">
      <c r="A26" s="1041" t="s">
        <v>1237</v>
      </c>
      <c r="B26" s="1037">
        <f t="shared" si="2"/>
        <v>14</v>
      </c>
      <c r="C26" s="1039">
        <f t="shared" si="0"/>
        <v>-276370.8630136986</v>
      </c>
      <c r="D26" s="1039">
        <v>-250000</v>
      </c>
      <c r="E26" s="1039">
        <f t="shared" si="7"/>
        <v>-26370.863013698628</v>
      </c>
      <c r="F26" s="1039">
        <f t="shared" si="3"/>
        <v>11500000</v>
      </c>
      <c r="G26" s="1789">
        <f t="shared" si="9"/>
        <v>2.7306E-2</v>
      </c>
      <c r="H26" s="1040">
        <v>30</v>
      </c>
      <c r="J26" s="1041" t="s">
        <v>1237</v>
      </c>
      <c r="K26" s="1037">
        <f t="shared" si="4"/>
        <v>14</v>
      </c>
      <c r="L26" s="1039">
        <f>SUM(M26:N26)</f>
        <v>-266645.03561643837</v>
      </c>
      <c r="M26" s="1039">
        <f>L7</f>
        <v>-235000</v>
      </c>
      <c r="N26" s="1039">
        <f>-O25*P25*Q25/365</f>
        <v>-31645.035616438356</v>
      </c>
      <c r="O26" s="1039">
        <f>M26+O25</f>
        <v>13865000</v>
      </c>
      <c r="P26" s="1789">
        <f t="shared" si="10"/>
        <v>2.7306E-2</v>
      </c>
      <c r="Q26" s="1040">
        <v>30</v>
      </c>
      <c r="S26" s="1791"/>
      <c r="T26" s="1791"/>
    </row>
    <row r="27" spans="1:20">
      <c r="A27" s="1041" t="s">
        <v>1238</v>
      </c>
      <c r="B27" s="1037">
        <f t="shared" si="2"/>
        <v>15</v>
      </c>
      <c r="C27" s="1039">
        <f t="shared" si="0"/>
        <v>-275809.78082191781</v>
      </c>
      <c r="D27" s="1039">
        <v>-250000</v>
      </c>
      <c r="E27" s="1039">
        <f t="shared" si="7"/>
        <v>-25809.780821917808</v>
      </c>
      <c r="F27" s="1039">
        <f t="shared" si="3"/>
        <v>11250000</v>
      </c>
      <c r="G27" s="1789">
        <f t="shared" si="9"/>
        <v>2.7306E-2</v>
      </c>
      <c r="H27" s="1040">
        <v>30</v>
      </c>
      <c r="J27" s="1041" t="s">
        <v>1238</v>
      </c>
      <c r="K27" s="1037">
        <f t="shared" si="4"/>
        <v>15</v>
      </c>
      <c r="L27" s="1039">
        <f t="shared" si="1"/>
        <v>-266117.61835616437</v>
      </c>
      <c r="M27" s="1039">
        <f>M26</f>
        <v>-235000</v>
      </c>
      <c r="N27" s="1039">
        <f t="shared" si="8"/>
        <v>-31117.618356164381</v>
      </c>
      <c r="O27" s="1039">
        <f t="shared" si="6"/>
        <v>13630000</v>
      </c>
      <c r="P27" s="1789">
        <f t="shared" si="10"/>
        <v>2.7306E-2</v>
      </c>
      <c r="Q27" s="1040">
        <v>30</v>
      </c>
      <c r="S27" s="1791"/>
      <c r="T27" s="1791"/>
    </row>
    <row r="28" spans="1:20">
      <c r="A28" s="1041" t="s">
        <v>1239</v>
      </c>
      <c r="B28" s="1037">
        <f t="shared" si="2"/>
        <v>16</v>
      </c>
      <c r="C28" s="1039">
        <f t="shared" si="0"/>
        <v>-275248.69863013696</v>
      </c>
      <c r="D28" s="1039">
        <v>-250000</v>
      </c>
      <c r="E28" s="1039">
        <f t="shared" si="7"/>
        <v>-25248.698630136987</v>
      </c>
      <c r="F28" s="1039">
        <f t="shared" si="3"/>
        <v>11000000</v>
      </c>
      <c r="G28" s="1789">
        <f t="shared" si="9"/>
        <v>2.7306E-2</v>
      </c>
      <c r="H28" s="1040">
        <v>30</v>
      </c>
      <c r="J28" s="1041" t="s">
        <v>1239</v>
      </c>
      <c r="K28" s="1037">
        <f t="shared" si="4"/>
        <v>16</v>
      </c>
      <c r="L28" s="1039">
        <f t="shared" ref="L28:L85" si="11">SUM(M28:N28)</f>
        <v>-265590.20109589043</v>
      </c>
      <c r="M28" s="1039">
        <f t="shared" ref="M28:M85" si="12">M27</f>
        <v>-235000</v>
      </c>
      <c r="N28" s="1039">
        <f t="shared" si="8"/>
        <v>-30590.20109589041</v>
      </c>
      <c r="O28" s="1039">
        <f t="shared" si="6"/>
        <v>13395000</v>
      </c>
      <c r="P28" s="1789">
        <f t="shared" si="10"/>
        <v>2.7306E-2</v>
      </c>
      <c r="Q28" s="1040">
        <v>30</v>
      </c>
      <c r="S28" s="1791"/>
      <c r="T28" s="1791"/>
    </row>
    <row r="29" spans="1:20">
      <c r="A29" s="1041" t="s">
        <v>1240</v>
      </c>
      <c r="B29" s="1037">
        <f t="shared" si="2"/>
        <v>17</v>
      </c>
      <c r="C29" s="1039">
        <f t="shared" si="0"/>
        <v>-274687.61643835617</v>
      </c>
      <c r="D29" s="1039">
        <v>-250000</v>
      </c>
      <c r="E29" s="1039">
        <f t="shared" si="7"/>
        <v>-24687.616438356163</v>
      </c>
      <c r="F29" s="1039">
        <f t="shared" si="3"/>
        <v>10750000</v>
      </c>
      <c r="G29" s="1789">
        <f t="shared" si="9"/>
        <v>2.7306E-2</v>
      </c>
      <c r="H29" s="1040">
        <v>30</v>
      </c>
      <c r="J29" s="1041" t="s">
        <v>1240</v>
      </c>
      <c r="K29" s="1037">
        <f t="shared" si="4"/>
        <v>17</v>
      </c>
      <c r="L29" s="1039">
        <f t="shared" si="11"/>
        <v>-265062.78383561643</v>
      </c>
      <c r="M29" s="1039">
        <f t="shared" si="12"/>
        <v>-235000</v>
      </c>
      <c r="N29" s="1039">
        <f t="shared" si="8"/>
        <v>-30062.783835616436</v>
      </c>
      <c r="O29" s="1039">
        <f t="shared" si="6"/>
        <v>13160000</v>
      </c>
      <c r="P29" s="1789">
        <f t="shared" si="10"/>
        <v>2.7306E-2</v>
      </c>
      <c r="Q29" s="1040">
        <v>30</v>
      </c>
      <c r="S29" s="1791"/>
      <c r="T29" s="1791"/>
    </row>
    <row r="30" spans="1:20">
      <c r="A30" s="1041" t="s">
        <v>1241</v>
      </c>
      <c r="B30" s="1037">
        <f t="shared" si="2"/>
        <v>18</v>
      </c>
      <c r="C30" s="1039">
        <f t="shared" si="0"/>
        <v>-274126.53424657532</v>
      </c>
      <c r="D30" s="1039">
        <v>-250000</v>
      </c>
      <c r="E30" s="1039">
        <f t="shared" si="7"/>
        <v>-24126.534246575342</v>
      </c>
      <c r="F30" s="1039">
        <f t="shared" si="3"/>
        <v>10500000</v>
      </c>
      <c r="G30" s="1789">
        <f t="shared" si="9"/>
        <v>2.7306E-2</v>
      </c>
      <c r="H30" s="1040">
        <v>30</v>
      </c>
      <c r="J30" s="1041" t="s">
        <v>1241</v>
      </c>
      <c r="K30" s="1037">
        <f t="shared" si="4"/>
        <v>18</v>
      </c>
      <c r="L30" s="1039">
        <f t="shared" si="11"/>
        <v>-264535.36657534249</v>
      </c>
      <c r="M30" s="1039">
        <f t="shared" si="12"/>
        <v>-235000</v>
      </c>
      <c r="N30" s="1039">
        <f t="shared" si="8"/>
        <v>-29535.366575342468</v>
      </c>
      <c r="O30" s="1039">
        <f t="shared" si="6"/>
        <v>12925000</v>
      </c>
      <c r="P30" s="1789">
        <f t="shared" si="10"/>
        <v>2.7306E-2</v>
      </c>
      <c r="Q30" s="1040">
        <v>30</v>
      </c>
      <c r="S30" s="1791"/>
      <c r="T30" s="1791"/>
    </row>
    <row r="31" spans="1:20">
      <c r="A31" s="1041" t="s">
        <v>1242</v>
      </c>
      <c r="B31" s="1035">
        <f t="shared" si="2"/>
        <v>19</v>
      </c>
      <c r="C31" s="1034">
        <f t="shared" si="0"/>
        <v>-273565.45205479453</v>
      </c>
      <c r="D31" s="1034">
        <v>-250000</v>
      </c>
      <c r="E31" s="1034">
        <f t="shared" si="7"/>
        <v>-23565.452054794521</v>
      </c>
      <c r="F31" s="1034">
        <f t="shared" si="3"/>
        <v>10250000</v>
      </c>
      <c r="G31" s="1789">
        <f t="shared" si="9"/>
        <v>2.7306E-2</v>
      </c>
      <c r="H31" s="1040">
        <v>30</v>
      </c>
      <c r="J31" s="1041" t="s">
        <v>1242</v>
      </c>
      <c r="K31" s="1035">
        <f t="shared" si="4"/>
        <v>19</v>
      </c>
      <c r="L31" s="1034">
        <f t="shared" si="11"/>
        <v>-264007.94931506849</v>
      </c>
      <c r="M31" s="1034">
        <f t="shared" si="12"/>
        <v>-235000</v>
      </c>
      <c r="N31" s="1034">
        <f t="shared" si="8"/>
        <v>-29007.949315068494</v>
      </c>
      <c r="O31" s="1034">
        <f t="shared" si="6"/>
        <v>12690000</v>
      </c>
      <c r="P31" s="1789">
        <f t="shared" si="10"/>
        <v>2.7306E-2</v>
      </c>
      <c r="Q31" s="1040">
        <v>30</v>
      </c>
      <c r="S31" s="1791">
        <f>SUM(C31:C42)+SUM(L31:L42)</f>
        <v>-6379039.8526027407</v>
      </c>
      <c r="T31" s="1792" t="s">
        <v>13</v>
      </c>
    </row>
    <row r="32" spans="1:20">
      <c r="A32" s="1041" t="s">
        <v>1243</v>
      </c>
      <c r="B32" s="1035">
        <f t="shared" si="2"/>
        <v>20</v>
      </c>
      <c r="C32" s="1034">
        <f t="shared" si="0"/>
        <v>-273004.36986301368</v>
      </c>
      <c r="D32" s="1034">
        <v>-250000</v>
      </c>
      <c r="E32" s="1034">
        <f t="shared" si="7"/>
        <v>-23004.369863013697</v>
      </c>
      <c r="F32" s="1034">
        <f t="shared" si="3"/>
        <v>10000000</v>
      </c>
      <c r="G32" s="1789">
        <f t="shared" si="9"/>
        <v>2.7306E-2</v>
      </c>
      <c r="H32" s="1040">
        <v>30</v>
      </c>
      <c r="J32" s="1041" t="s">
        <v>1243</v>
      </c>
      <c r="K32" s="1035">
        <f t="shared" si="4"/>
        <v>20</v>
      </c>
      <c r="L32" s="1034">
        <f t="shared" si="11"/>
        <v>-263480.53205479454</v>
      </c>
      <c r="M32" s="1034">
        <f t="shared" si="12"/>
        <v>-235000</v>
      </c>
      <c r="N32" s="1034">
        <f t="shared" si="8"/>
        <v>-28480.532054794523</v>
      </c>
      <c r="O32" s="1034">
        <f t="shared" si="6"/>
        <v>12455000</v>
      </c>
      <c r="P32" s="1789">
        <f t="shared" si="10"/>
        <v>2.7306E-2</v>
      </c>
      <c r="Q32" s="1040">
        <v>30</v>
      </c>
      <c r="S32" s="1791"/>
      <c r="T32" s="1791"/>
    </row>
    <row r="33" spans="1:20">
      <c r="A33" s="1041" t="s">
        <v>1244</v>
      </c>
      <c r="B33" s="1035">
        <f t="shared" si="2"/>
        <v>21</v>
      </c>
      <c r="C33" s="1034">
        <f t="shared" si="0"/>
        <v>-272443.28767123289</v>
      </c>
      <c r="D33" s="1034">
        <v>-250000</v>
      </c>
      <c r="E33" s="1034">
        <f t="shared" si="7"/>
        <v>-22443.287671232876</v>
      </c>
      <c r="F33" s="1034">
        <f t="shared" si="3"/>
        <v>9750000</v>
      </c>
      <c r="G33" s="1789">
        <f t="shared" si="9"/>
        <v>2.7306E-2</v>
      </c>
      <c r="H33" s="1040">
        <v>30</v>
      </c>
      <c r="J33" s="1041" t="s">
        <v>1244</v>
      </c>
      <c r="K33" s="1035">
        <f t="shared" si="4"/>
        <v>21</v>
      </c>
      <c r="L33" s="1034">
        <f t="shared" si="11"/>
        <v>-262953.11479452054</v>
      </c>
      <c r="M33" s="1034">
        <f t="shared" si="12"/>
        <v>-235000</v>
      </c>
      <c r="N33" s="1034">
        <f t="shared" si="8"/>
        <v>-27953.114794520545</v>
      </c>
      <c r="O33" s="1034">
        <f t="shared" si="6"/>
        <v>12220000</v>
      </c>
      <c r="P33" s="1789">
        <f t="shared" si="10"/>
        <v>2.7306E-2</v>
      </c>
      <c r="Q33" s="1040">
        <v>30</v>
      </c>
      <c r="S33" s="1791"/>
      <c r="T33" s="1791"/>
    </row>
    <row r="34" spans="1:20">
      <c r="A34" s="1041" t="s">
        <v>1245</v>
      </c>
      <c r="B34" s="1035">
        <f t="shared" si="2"/>
        <v>22</v>
      </c>
      <c r="C34" s="1034">
        <f t="shared" si="0"/>
        <v>-271882.20547945204</v>
      </c>
      <c r="D34" s="1034">
        <v>-250000</v>
      </c>
      <c r="E34" s="1034">
        <f t="shared" si="7"/>
        <v>-21882.205479452055</v>
      </c>
      <c r="F34" s="1034">
        <f t="shared" si="3"/>
        <v>9500000</v>
      </c>
      <c r="G34" s="1789">
        <f t="shared" si="9"/>
        <v>2.7306E-2</v>
      </c>
      <c r="H34" s="1040">
        <v>30</v>
      </c>
      <c r="J34" s="1041" t="s">
        <v>1245</v>
      </c>
      <c r="K34" s="1035">
        <f t="shared" si="4"/>
        <v>22</v>
      </c>
      <c r="L34" s="1034">
        <f t="shared" si="11"/>
        <v>-262425.6975342466</v>
      </c>
      <c r="M34" s="1034">
        <f t="shared" si="12"/>
        <v>-235000</v>
      </c>
      <c r="N34" s="1034">
        <f t="shared" si="8"/>
        <v>-27425.697534246574</v>
      </c>
      <c r="O34" s="1034">
        <f t="shared" si="6"/>
        <v>11985000</v>
      </c>
      <c r="P34" s="1789">
        <f t="shared" si="10"/>
        <v>2.7306E-2</v>
      </c>
      <c r="Q34" s="1040">
        <v>30</v>
      </c>
      <c r="S34" s="1791"/>
      <c r="T34" s="1791"/>
    </row>
    <row r="35" spans="1:20">
      <c r="A35" s="1041" t="s">
        <v>1246</v>
      </c>
      <c r="B35" s="1035">
        <f t="shared" si="2"/>
        <v>23</v>
      </c>
      <c r="C35" s="1034">
        <f t="shared" si="0"/>
        <v>-271321.12328767125</v>
      </c>
      <c r="D35" s="1034">
        <v>-250000</v>
      </c>
      <c r="E35" s="1034">
        <f t="shared" si="7"/>
        <v>-21321.123287671231</v>
      </c>
      <c r="F35" s="1034">
        <f t="shared" si="3"/>
        <v>9250000</v>
      </c>
      <c r="G35" s="1789">
        <f t="shared" si="9"/>
        <v>2.7306E-2</v>
      </c>
      <c r="H35" s="1040">
        <v>30</v>
      </c>
      <c r="J35" s="1041" t="s">
        <v>1246</v>
      </c>
      <c r="K35" s="1035">
        <f t="shared" si="4"/>
        <v>23</v>
      </c>
      <c r="L35" s="1034">
        <f t="shared" si="11"/>
        <v>-261898.2802739726</v>
      </c>
      <c r="M35" s="1034">
        <f t="shared" si="12"/>
        <v>-235000</v>
      </c>
      <c r="N35" s="1034">
        <f t="shared" si="8"/>
        <v>-26898.280273972603</v>
      </c>
      <c r="O35" s="1034">
        <f t="shared" si="6"/>
        <v>11750000</v>
      </c>
      <c r="P35" s="1789">
        <f t="shared" si="10"/>
        <v>2.7306E-2</v>
      </c>
      <c r="Q35" s="1040">
        <v>30</v>
      </c>
      <c r="S35" s="1791"/>
      <c r="T35" s="1791"/>
    </row>
    <row r="36" spans="1:20">
      <c r="A36" s="1041" t="s">
        <v>1247</v>
      </c>
      <c r="B36" s="1035">
        <f t="shared" si="2"/>
        <v>24</v>
      </c>
      <c r="C36" s="1034">
        <f t="shared" si="0"/>
        <v>-270760.0410958904</v>
      </c>
      <c r="D36" s="1034">
        <v>-250000</v>
      </c>
      <c r="E36" s="1034">
        <f t="shared" si="7"/>
        <v>-20760.04109589041</v>
      </c>
      <c r="F36" s="1034">
        <f t="shared" si="3"/>
        <v>9000000</v>
      </c>
      <c r="G36" s="1789">
        <f t="shared" si="9"/>
        <v>2.7306E-2</v>
      </c>
      <c r="H36" s="1040">
        <v>30</v>
      </c>
      <c r="J36" s="1041" t="s">
        <v>1247</v>
      </c>
      <c r="K36" s="1035">
        <f t="shared" si="4"/>
        <v>24</v>
      </c>
      <c r="L36" s="1034">
        <f t="shared" si="11"/>
        <v>-261370.86301369863</v>
      </c>
      <c r="M36" s="1034">
        <f t="shared" si="12"/>
        <v>-235000</v>
      </c>
      <c r="N36" s="1034">
        <f t="shared" si="8"/>
        <v>-26370.863013698628</v>
      </c>
      <c r="O36" s="1034">
        <f t="shared" si="6"/>
        <v>11515000</v>
      </c>
      <c r="P36" s="1789">
        <f t="shared" si="10"/>
        <v>2.7306E-2</v>
      </c>
      <c r="Q36" s="1040">
        <v>30</v>
      </c>
      <c r="S36" s="1791"/>
      <c r="T36" s="1791"/>
    </row>
    <row r="37" spans="1:20">
      <c r="A37" s="1041" t="s">
        <v>1222</v>
      </c>
      <c r="B37" s="1035">
        <f t="shared" si="2"/>
        <v>25</v>
      </c>
      <c r="C37" s="1034">
        <f t="shared" si="0"/>
        <v>-270198.9589041096</v>
      </c>
      <c r="D37" s="1034">
        <v>-250000</v>
      </c>
      <c r="E37" s="1034">
        <f t="shared" si="7"/>
        <v>-20198.95890410959</v>
      </c>
      <c r="F37" s="1034">
        <f t="shared" si="3"/>
        <v>8750000</v>
      </c>
      <c r="G37" s="1789">
        <f t="shared" si="9"/>
        <v>2.7306E-2</v>
      </c>
      <c r="H37" s="1040">
        <v>30</v>
      </c>
      <c r="J37" s="1041" t="s">
        <v>1222</v>
      </c>
      <c r="K37" s="1035">
        <f t="shared" si="4"/>
        <v>25</v>
      </c>
      <c r="L37" s="1034">
        <f t="shared" si="11"/>
        <v>-260843.44575342466</v>
      </c>
      <c r="M37" s="1034">
        <f t="shared" si="12"/>
        <v>-235000</v>
      </c>
      <c r="N37" s="1034">
        <f t="shared" si="8"/>
        <v>-25843.445753424661</v>
      </c>
      <c r="O37" s="1034">
        <f t="shared" si="6"/>
        <v>11280000</v>
      </c>
      <c r="P37" s="1789">
        <f t="shared" si="10"/>
        <v>2.7306E-2</v>
      </c>
      <c r="Q37" s="1040">
        <v>30</v>
      </c>
      <c r="S37" s="1791"/>
      <c r="T37" s="1791"/>
    </row>
    <row r="38" spans="1:20">
      <c r="A38" s="1041" t="s">
        <v>1248</v>
      </c>
      <c r="B38" s="1035">
        <f t="shared" si="2"/>
        <v>26</v>
      </c>
      <c r="C38" s="1034">
        <f t="shared" si="0"/>
        <v>-269637.87671232875</v>
      </c>
      <c r="D38" s="1034">
        <v>-250000</v>
      </c>
      <c r="E38" s="1034">
        <f t="shared" si="7"/>
        <v>-19637.876712328769</v>
      </c>
      <c r="F38" s="1034">
        <f t="shared" si="3"/>
        <v>8500000</v>
      </c>
      <c r="G38" s="1789">
        <f t="shared" si="9"/>
        <v>2.7306E-2</v>
      </c>
      <c r="H38" s="1040">
        <v>30</v>
      </c>
      <c r="J38" s="1041" t="s">
        <v>1248</v>
      </c>
      <c r="K38" s="1035">
        <f t="shared" si="4"/>
        <v>26</v>
      </c>
      <c r="L38" s="1034">
        <f t="shared" si="11"/>
        <v>-260316.02849315069</v>
      </c>
      <c r="M38" s="1034">
        <f t="shared" si="12"/>
        <v>-235000</v>
      </c>
      <c r="N38" s="1034">
        <f t="shared" si="8"/>
        <v>-25316.028493150687</v>
      </c>
      <c r="O38" s="1034">
        <f t="shared" si="6"/>
        <v>11045000</v>
      </c>
      <c r="P38" s="1789">
        <f t="shared" si="10"/>
        <v>2.7306E-2</v>
      </c>
      <c r="Q38" s="1040">
        <v>30</v>
      </c>
      <c r="S38" s="1791"/>
      <c r="T38" s="1791"/>
    </row>
    <row r="39" spans="1:20">
      <c r="A39" s="1041" t="s">
        <v>1249</v>
      </c>
      <c r="B39" s="1035">
        <f t="shared" si="2"/>
        <v>27</v>
      </c>
      <c r="C39" s="1034">
        <f t="shared" si="0"/>
        <v>-269076.79452054796</v>
      </c>
      <c r="D39" s="1034">
        <v>-250000</v>
      </c>
      <c r="E39" s="1034">
        <f t="shared" si="7"/>
        <v>-19076.794520547945</v>
      </c>
      <c r="F39" s="1034">
        <f t="shared" si="3"/>
        <v>8250000</v>
      </c>
      <c r="G39" s="1789">
        <f t="shared" si="9"/>
        <v>2.7306E-2</v>
      </c>
      <c r="H39" s="1040">
        <v>30</v>
      </c>
      <c r="J39" s="1041" t="s">
        <v>1249</v>
      </c>
      <c r="K39" s="1035">
        <f t="shared" si="4"/>
        <v>27</v>
      </c>
      <c r="L39" s="1034">
        <f t="shared" si="11"/>
        <v>-259788.61123287672</v>
      </c>
      <c r="M39" s="1034">
        <f t="shared" si="12"/>
        <v>-235000</v>
      </c>
      <c r="N39" s="1034">
        <f t="shared" si="8"/>
        <v>-24788.611232876716</v>
      </c>
      <c r="O39" s="1034">
        <f t="shared" si="6"/>
        <v>10810000</v>
      </c>
      <c r="P39" s="1789">
        <f t="shared" si="10"/>
        <v>2.7306E-2</v>
      </c>
      <c r="Q39" s="1040">
        <v>30</v>
      </c>
      <c r="S39" s="1791"/>
      <c r="T39" s="1791"/>
    </row>
    <row r="40" spans="1:20">
      <c r="A40" s="1041" t="s">
        <v>1250</v>
      </c>
      <c r="B40" s="1035">
        <f t="shared" si="2"/>
        <v>28</v>
      </c>
      <c r="C40" s="1034">
        <f t="shared" si="0"/>
        <v>-268515.71232876711</v>
      </c>
      <c r="D40" s="1034">
        <v>-250000</v>
      </c>
      <c r="E40" s="1034">
        <f t="shared" si="7"/>
        <v>-18515.712328767124</v>
      </c>
      <c r="F40" s="1034">
        <f t="shared" si="3"/>
        <v>8000000</v>
      </c>
      <c r="G40" s="1789">
        <f t="shared" si="9"/>
        <v>2.7306E-2</v>
      </c>
      <c r="H40" s="1040">
        <v>30</v>
      </c>
      <c r="J40" s="1041" t="s">
        <v>1250</v>
      </c>
      <c r="K40" s="1035">
        <f t="shared" si="4"/>
        <v>28</v>
      </c>
      <c r="L40" s="1034">
        <f t="shared" si="11"/>
        <v>-259261.19397260275</v>
      </c>
      <c r="M40" s="1034">
        <f t="shared" si="12"/>
        <v>-235000</v>
      </c>
      <c r="N40" s="1034">
        <f t="shared" si="8"/>
        <v>-24261.193972602738</v>
      </c>
      <c r="O40" s="1034">
        <f t="shared" si="6"/>
        <v>10575000</v>
      </c>
      <c r="P40" s="1789">
        <f t="shared" si="10"/>
        <v>2.7306E-2</v>
      </c>
      <c r="Q40" s="1040">
        <v>30</v>
      </c>
      <c r="S40" s="1791"/>
      <c r="T40" s="1791"/>
    </row>
    <row r="41" spans="1:20">
      <c r="A41" s="1041" t="s">
        <v>1251</v>
      </c>
      <c r="B41" s="1035">
        <f t="shared" si="2"/>
        <v>29</v>
      </c>
      <c r="C41" s="1034">
        <f t="shared" si="0"/>
        <v>-267954.63013698632</v>
      </c>
      <c r="D41" s="1034">
        <v>-250000</v>
      </c>
      <c r="E41" s="1034">
        <f t="shared" si="7"/>
        <v>-17954.630136986303</v>
      </c>
      <c r="F41" s="1034">
        <f t="shared" si="3"/>
        <v>7750000</v>
      </c>
      <c r="G41" s="1789">
        <f t="shared" si="9"/>
        <v>2.7306E-2</v>
      </c>
      <c r="H41" s="1040">
        <v>30</v>
      </c>
      <c r="J41" s="1041" t="s">
        <v>1251</v>
      </c>
      <c r="K41" s="1035">
        <f t="shared" si="4"/>
        <v>29</v>
      </c>
      <c r="L41" s="1034">
        <f t="shared" si="11"/>
        <v>-258733.77671232878</v>
      </c>
      <c r="M41" s="1034">
        <f t="shared" si="12"/>
        <v>-235000</v>
      </c>
      <c r="N41" s="1034">
        <f t="shared" si="8"/>
        <v>-23733.776712328767</v>
      </c>
      <c r="O41" s="1034">
        <f t="shared" si="6"/>
        <v>10340000</v>
      </c>
      <c r="P41" s="1789">
        <f t="shared" si="10"/>
        <v>2.7306E-2</v>
      </c>
      <c r="Q41" s="1040">
        <v>30</v>
      </c>
      <c r="S41" s="1791"/>
      <c r="T41" s="1791"/>
    </row>
    <row r="42" spans="1:20">
      <c r="A42" s="1041" t="s">
        <v>1252</v>
      </c>
      <c r="B42" s="1035">
        <f t="shared" si="2"/>
        <v>30</v>
      </c>
      <c r="C42" s="1034">
        <f t="shared" si="0"/>
        <v>-267393.54794520547</v>
      </c>
      <c r="D42" s="1034">
        <v>-250000</v>
      </c>
      <c r="E42" s="1034">
        <f t="shared" si="7"/>
        <v>-17393.547945205479</v>
      </c>
      <c r="F42" s="1034">
        <f t="shared" si="3"/>
        <v>7500000</v>
      </c>
      <c r="G42" s="1789">
        <f t="shared" si="9"/>
        <v>2.7306E-2</v>
      </c>
      <c r="H42" s="1040">
        <v>30</v>
      </c>
      <c r="J42" s="1041" t="s">
        <v>1252</v>
      </c>
      <c r="K42" s="1035">
        <f t="shared" si="4"/>
        <v>30</v>
      </c>
      <c r="L42" s="1034">
        <f t="shared" si="11"/>
        <v>-258206.35945205478</v>
      </c>
      <c r="M42" s="1034">
        <f t="shared" si="12"/>
        <v>-235000</v>
      </c>
      <c r="N42" s="1034">
        <f t="shared" si="8"/>
        <v>-23206.359452054792</v>
      </c>
      <c r="O42" s="1034">
        <f t="shared" si="6"/>
        <v>10105000</v>
      </c>
      <c r="P42" s="1789">
        <f t="shared" si="10"/>
        <v>2.7306E-2</v>
      </c>
      <c r="Q42" s="1040">
        <v>30</v>
      </c>
      <c r="S42" s="1791"/>
      <c r="T42" s="1791"/>
    </row>
    <row r="43" spans="1:20">
      <c r="A43" s="1041" t="s">
        <v>1253</v>
      </c>
      <c r="B43" s="1037">
        <f t="shared" si="2"/>
        <v>31</v>
      </c>
      <c r="C43" s="1039">
        <f t="shared" si="0"/>
        <v>-266832.46575342468</v>
      </c>
      <c r="D43" s="1039">
        <v>-250000</v>
      </c>
      <c r="E43" s="1039">
        <f t="shared" si="7"/>
        <v>-16832.465753424658</v>
      </c>
      <c r="F43" s="1039">
        <f t="shared" si="3"/>
        <v>7250000</v>
      </c>
      <c r="G43" s="1789">
        <f t="shared" si="9"/>
        <v>2.7306E-2</v>
      </c>
      <c r="H43" s="1040">
        <v>30</v>
      </c>
      <c r="J43" s="1041" t="s">
        <v>1253</v>
      </c>
      <c r="K43" s="1037">
        <f t="shared" si="4"/>
        <v>31</v>
      </c>
      <c r="L43" s="1039">
        <f t="shared" si="11"/>
        <v>-257678.94219178084</v>
      </c>
      <c r="M43" s="1039">
        <f t="shared" si="12"/>
        <v>-235000</v>
      </c>
      <c r="N43" s="1039">
        <f t="shared" si="8"/>
        <v>-22678.942191780821</v>
      </c>
      <c r="O43" s="1039">
        <f t="shared" si="6"/>
        <v>9870000</v>
      </c>
      <c r="P43" s="1789">
        <f t="shared" si="10"/>
        <v>2.7306E-2</v>
      </c>
      <c r="Q43" s="1040">
        <v>30</v>
      </c>
      <c r="S43" s="1791">
        <f>SUM(C43:C54)+SUM(L43:L54)</f>
        <v>-6222295.9315068498</v>
      </c>
      <c r="T43" s="1792" t="s">
        <v>14</v>
      </c>
    </row>
    <row r="44" spans="1:20">
      <c r="A44" s="1041" t="s">
        <v>1254</v>
      </c>
      <c r="B44" s="1037">
        <f t="shared" si="2"/>
        <v>32</v>
      </c>
      <c r="C44" s="1039">
        <f t="shared" si="0"/>
        <v>-266271.38356164383</v>
      </c>
      <c r="D44" s="1039">
        <v>-250000</v>
      </c>
      <c r="E44" s="1039">
        <f t="shared" si="7"/>
        <v>-16271.383561643835</v>
      </c>
      <c r="F44" s="1039">
        <f t="shared" si="3"/>
        <v>7000000</v>
      </c>
      <c r="G44" s="1789">
        <f t="shared" si="9"/>
        <v>2.7306E-2</v>
      </c>
      <c r="H44" s="1040">
        <v>30</v>
      </c>
      <c r="J44" s="1041" t="s">
        <v>1254</v>
      </c>
      <c r="K44" s="1037">
        <f t="shared" si="4"/>
        <v>32</v>
      </c>
      <c r="L44" s="1039">
        <f t="shared" si="11"/>
        <v>-257151.52493150684</v>
      </c>
      <c r="M44" s="1039">
        <f t="shared" si="12"/>
        <v>-235000</v>
      </c>
      <c r="N44" s="1039">
        <f t="shared" si="8"/>
        <v>-22151.52493150685</v>
      </c>
      <c r="O44" s="1039">
        <f t="shared" si="6"/>
        <v>9635000</v>
      </c>
      <c r="P44" s="1789">
        <f t="shared" si="10"/>
        <v>2.7306E-2</v>
      </c>
      <c r="Q44" s="1040">
        <v>30</v>
      </c>
      <c r="S44" s="1791"/>
      <c r="T44" s="1791"/>
    </row>
    <row r="45" spans="1:20">
      <c r="A45" s="1041" t="s">
        <v>1255</v>
      </c>
      <c r="B45" s="1037">
        <f t="shared" si="2"/>
        <v>33</v>
      </c>
      <c r="C45" s="1039">
        <f t="shared" si="0"/>
        <v>-265710.30136986304</v>
      </c>
      <c r="D45" s="1039">
        <v>-250000</v>
      </c>
      <c r="E45" s="1039">
        <f t="shared" si="7"/>
        <v>-15710.301369863013</v>
      </c>
      <c r="F45" s="1039">
        <f t="shared" si="3"/>
        <v>6750000</v>
      </c>
      <c r="G45" s="1789">
        <f t="shared" si="9"/>
        <v>2.7306E-2</v>
      </c>
      <c r="H45" s="1040">
        <v>30</v>
      </c>
      <c r="J45" s="1041" t="s">
        <v>1255</v>
      </c>
      <c r="K45" s="1037">
        <f t="shared" si="4"/>
        <v>33</v>
      </c>
      <c r="L45" s="1039">
        <f t="shared" si="11"/>
        <v>-256624.10767123286</v>
      </c>
      <c r="M45" s="1039">
        <f t="shared" si="12"/>
        <v>-235000</v>
      </c>
      <c r="N45" s="1039">
        <f t="shared" si="8"/>
        <v>-21624.107671232876</v>
      </c>
      <c r="O45" s="1039">
        <f t="shared" si="6"/>
        <v>9400000</v>
      </c>
      <c r="P45" s="1789">
        <f t="shared" si="10"/>
        <v>2.7306E-2</v>
      </c>
      <c r="Q45" s="1040">
        <v>30</v>
      </c>
      <c r="S45" s="1791"/>
      <c r="T45" s="1791"/>
    </row>
    <row r="46" spans="1:20">
      <c r="A46" s="1041" t="s">
        <v>1256</v>
      </c>
      <c r="B46" s="1037">
        <f t="shared" si="2"/>
        <v>34</v>
      </c>
      <c r="C46" s="1039">
        <f t="shared" si="0"/>
        <v>-265149.21917808219</v>
      </c>
      <c r="D46" s="1039">
        <v>-250000</v>
      </c>
      <c r="E46" s="1039">
        <f t="shared" si="7"/>
        <v>-15149.219178082192</v>
      </c>
      <c r="F46" s="1039">
        <f t="shared" si="3"/>
        <v>6500000</v>
      </c>
      <c r="G46" s="1789">
        <f t="shared" si="9"/>
        <v>2.7306E-2</v>
      </c>
      <c r="H46" s="1040">
        <v>30</v>
      </c>
      <c r="J46" s="1041" t="s">
        <v>1256</v>
      </c>
      <c r="K46" s="1037">
        <f t="shared" si="4"/>
        <v>34</v>
      </c>
      <c r="L46" s="1039">
        <f t="shared" si="11"/>
        <v>-256096.69041095889</v>
      </c>
      <c r="M46" s="1039">
        <f t="shared" si="12"/>
        <v>-235000</v>
      </c>
      <c r="N46" s="1039">
        <f t="shared" si="8"/>
        <v>-21096.690410958905</v>
      </c>
      <c r="O46" s="1039">
        <f t="shared" si="6"/>
        <v>9165000</v>
      </c>
      <c r="P46" s="1789">
        <f t="shared" si="10"/>
        <v>2.7306E-2</v>
      </c>
      <c r="Q46" s="1040">
        <v>30</v>
      </c>
      <c r="S46" s="1791"/>
      <c r="T46" s="1791"/>
    </row>
    <row r="47" spans="1:20">
      <c r="A47" s="1041" t="s">
        <v>1257</v>
      </c>
      <c r="B47" s="1037">
        <f t="shared" si="2"/>
        <v>35</v>
      </c>
      <c r="C47" s="1039">
        <f t="shared" si="0"/>
        <v>-264588.1369863014</v>
      </c>
      <c r="D47" s="1039">
        <v>-250000</v>
      </c>
      <c r="E47" s="1039">
        <f t="shared" si="7"/>
        <v>-14588.13698630137</v>
      </c>
      <c r="F47" s="1039">
        <f t="shared" si="3"/>
        <v>6250000</v>
      </c>
      <c r="G47" s="1789">
        <f t="shared" si="9"/>
        <v>2.7306E-2</v>
      </c>
      <c r="H47" s="1040">
        <v>30</v>
      </c>
      <c r="J47" s="1041" t="s">
        <v>1257</v>
      </c>
      <c r="K47" s="1037">
        <f t="shared" si="4"/>
        <v>35</v>
      </c>
      <c r="L47" s="1039">
        <f t="shared" si="11"/>
        <v>-255569.27315068492</v>
      </c>
      <c r="M47" s="1039">
        <f t="shared" si="12"/>
        <v>-235000</v>
      </c>
      <c r="N47" s="1039">
        <f t="shared" si="8"/>
        <v>-20569.27315068493</v>
      </c>
      <c r="O47" s="1039">
        <f t="shared" si="6"/>
        <v>8930000</v>
      </c>
      <c r="P47" s="1789">
        <f t="shared" si="10"/>
        <v>2.7306E-2</v>
      </c>
      <c r="Q47" s="1040">
        <v>30</v>
      </c>
      <c r="S47" s="1791"/>
      <c r="T47" s="1791"/>
    </row>
    <row r="48" spans="1:20">
      <c r="A48" s="1041" t="s">
        <v>1258</v>
      </c>
      <c r="B48" s="1037">
        <f t="shared" si="2"/>
        <v>36</v>
      </c>
      <c r="C48" s="1039">
        <f t="shared" si="0"/>
        <v>-264027.05479452055</v>
      </c>
      <c r="D48" s="1039">
        <v>-250000</v>
      </c>
      <c r="E48" s="1039">
        <f t="shared" si="7"/>
        <v>-14027.054794520547</v>
      </c>
      <c r="F48" s="1039">
        <f t="shared" si="3"/>
        <v>6000000</v>
      </c>
      <c r="G48" s="1789">
        <f t="shared" si="9"/>
        <v>2.7306E-2</v>
      </c>
      <c r="H48" s="1040">
        <v>30</v>
      </c>
      <c r="J48" s="1041" t="s">
        <v>1258</v>
      </c>
      <c r="K48" s="1037">
        <f t="shared" si="4"/>
        <v>36</v>
      </c>
      <c r="L48" s="1039">
        <f t="shared" si="11"/>
        <v>-255041.85589041095</v>
      </c>
      <c r="M48" s="1039">
        <f t="shared" si="12"/>
        <v>-235000</v>
      </c>
      <c r="N48" s="1039">
        <f t="shared" si="8"/>
        <v>-20041.85589041096</v>
      </c>
      <c r="O48" s="1039">
        <f t="shared" si="6"/>
        <v>8695000</v>
      </c>
      <c r="P48" s="1789">
        <f t="shared" si="10"/>
        <v>2.7306E-2</v>
      </c>
      <c r="Q48" s="1040">
        <v>30</v>
      </c>
      <c r="S48" s="1791"/>
      <c r="T48" s="1791"/>
    </row>
    <row r="49" spans="1:20">
      <c r="A49" s="1041" t="s">
        <v>1223</v>
      </c>
      <c r="B49" s="1037">
        <f t="shared" si="2"/>
        <v>37</v>
      </c>
      <c r="C49" s="1039">
        <f t="shared" si="0"/>
        <v>-263465.9726027397</v>
      </c>
      <c r="D49" s="1039">
        <v>-250000</v>
      </c>
      <c r="E49" s="1039">
        <f t="shared" si="7"/>
        <v>-13465.972602739726</v>
      </c>
      <c r="F49" s="1039">
        <f t="shared" si="3"/>
        <v>5750000</v>
      </c>
      <c r="G49" s="1789">
        <f t="shared" si="9"/>
        <v>2.7306E-2</v>
      </c>
      <c r="H49" s="1040">
        <v>30</v>
      </c>
      <c r="J49" s="1041" t="s">
        <v>1223</v>
      </c>
      <c r="K49" s="1037">
        <f t="shared" si="4"/>
        <v>37</v>
      </c>
      <c r="L49" s="1039">
        <f t="shared" si="11"/>
        <v>-254514.43863013698</v>
      </c>
      <c r="M49" s="1039">
        <f t="shared" si="12"/>
        <v>-235000</v>
      </c>
      <c r="N49" s="1039">
        <f t="shared" si="8"/>
        <v>-19514.438630136989</v>
      </c>
      <c r="O49" s="1039">
        <f t="shared" si="6"/>
        <v>8460000</v>
      </c>
      <c r="P49" s="1789">
        <f t="shared" si="10"/>
        <v>2.7306E-2</v>
      </c>
      <c r="Q49" s="1040">
        <v>30</v>
      </c>
      <c r="S49" s="1791"/>
      <c r="T49" s="1791"/>
    </row>
    <row r="50" spans="1:20">
      <c r="A50" s="1041" t="s">
        <v>1259</v>
      </c>
      <c r="B50" s="1037">
        <f t="shared" si="2"/>
        <v>38</v>
      </c>
      <c r="C50" s="1039">
        <f t="shared" si="0"/>
        <v>-262904.89041095891</v>
      </c>
      <c r="D50" s="1039">
        <v>-250000</v>
      </c>
      <c r="E50" s="1039">
        <f t="shared" si="7"/>
        <v>-12904.890410958904</v>
      </c>
      <c r="F50" s="1039">
        <f t="shared" si="3"/>
        <v>5500000</v>
      </c>
      <c r="G50" s="1789">
        <f t="shared" si="9"/>
        <v>2.7306E-2</v>
      </c>
      <c r="H50" s="1040">
        <v>30</v>
      </c>
      <c r="J50" s="1041" t="s">
        <v>1259</v>
      </c>
      <c r="K50" s="1037">
        <f t="shared" si="4"/>
        <v>38</v>
      </c>
      <c r="L50" s="1039">
        <f t="shared" si="11"/>
        <v>-253987.02136986301</v>
      </c>
      <c r="M50" s="1039">
        <f t="shared" si="12"/>
        <v>-235000</v>
      </c>
      <c r="N50" s="1039">
        <f t="shared" si="8"/>
        <v>-18987.021369863014</v>
      </c>
      <c r="O50" s="1039">
        <f t="shared" si="6"/>
        <v>8225000</v>
      </c>
      <c r="P50" s="1789">
        <f t="shared" si="10"/>
        <v>2.7306E-2</v>
      </c>
      <c r="Q50" s="1040">
        <v>30</v>
      </c>
      <c r="S50" s="1791"/>
      <c r="T50" s="1791"/>
    </row>
    <row r="51" spans="1:20">
      <c r="A51" s="1041" t="s">
        <v>1260</v>
      </c>
      <c r="B51" s="1037">
        <f t="shared" si="2"/>
        <v>39</v>
      </c>
      <c r="C51" s="1039">
        <f t="shared" si="0"/>
        <v>-262343.80821917806</v>
      </c>
      <c r="D51" s="1039">
        <v>-250000</v>
      </c>
      <c r="E51" s="1039">
        <f t="shared" si="7"/>
        <v>-12343.808219178081</v>
      </c>
      <c r="F51" s="1039">
        <f t="shared" si="3"/>
        <v>5250000</v>
      </c>
      <c r="G51" s="1789">
        <f t="shared" si="9"/>
        <v>2.7306E-2</v>
      </c>
      <c r="H51" s="1040">
        <v>30</v>
      </c>
      <c r="J51" s="1041" t="s">
        <v>1260</v>
      </c>
      <c r="K51" s="1037">
        <f t="shared" si="4"/>
        <v>39</v>
      </c>
      <c r="L51" s="1039">
        <f t="shared" si="11"/>
        <v>-253459.60410958904</v>
      </c>
      <c r="M51" s="1039">
        <f t="shared" si="12"/>
        <v>-235000</v>
      </c>
      <c r="N51" s="1039">
        <f t="shared" si="8"/>
        <v>-18459.60410958904</v>
      </c>
      <c r="O51" s="1039">
        <f t="shared" si="6"/>
        <v>7990000</v>
      </c>
      <c r="P51" s="1789">
        <f t="shared" si="10"/>
        <v>2.7306E-2</v>
      </c>
      <c r="Q51" s="1040">
        <v>30</v>
      </c>
      <c r="S51" s="1791"/>
      <c r="T51" s="1791"/>
    </row>
    <row r="52" spans="1:20">
      <c r="A52" s="1041" t="s">
        <v>1261</v>
      </c>
      <c r="B52" s="1037">
        <f t="shared" si="2"/>
        <v>40</v>
      </c>
      <c r="C52" s="1039">
        <f t="shared" si="0"/>
        <v>-261782.72602739726</v>
      </c>
      <c r="D52" s="1039">
        <v>-250000</v>
      </c>
      <c r="E52" s="1039">
        <f t="shared" si="7"/>
        <v>-11782.726027397261</v>
      </c>
      <c r="F52" s="1039">
        <f t="shared" si="3"/>
        <v>5000000</v>
      </c>
      <c r="G52" s="1789">
        <f t="shared" si="9"/>
        <v>2.7306E-2</v>
      </c>
      <c r="H52" s="1040">
        <v>30</v>
      </c>
      <c r="J52" s="1041" t="s">
        <v>1261</v>
      </c>
      <c r="K52" s="1037">
        <f t="shared" si="4"/>
        <v>40</v>
      </c>
      <c r="L52" s="1039">
        <f t="shared" si="11"/>
        <v>-252932.18684931507</v>
      </c>
      <c r="M52" s="1039">
        <f t="shared" si="12"/>
        <v>-235000</v>
      </c>
      <c r="N52" s="1039">
        <f t="shared" si="8"/>
        <v>-17932.186849315069</v>
      </c>
      <c r="O52" s="1039">
        <f t="shared" si="6"/>
        <v>7755000</v>
      </c>
      <c r="P52" s="1789">
        <f t="shared" si="10"/>
        <v>2.7306E-2</v>
      </c>
      <c r="Q52" s="1040">
        <v>30</v>
      </c>
      <c r="S52" s="1791"/>
      <c r="T52" s="1791"/>
    </row>
    <row r="53" spans="1:20">
      <c r="A53" s="1041" t="s">
        <v>1262</v>
      </c>
      <c r="B53" s="1037">
        <f t="shared" si="2"/>
        <v>41</v>
      </c>
      <c r="C53" s="1039">
        <f t="shared" si="0"/>
        <v>-261221.64383561644</v>
      </c>
      <c r="D53" s="1039">
        <v>-250000</v>
      </c>
      <c r="E53" s="1039">
        <f t="shared" si="7"/>
        <v>-11221.643835616438</v>
      </c>
      <c r="F53" s="1039">
        <f t="shared" si="3"/>
        <v>4750000</v>
      </c>
      <c r="G53" s="1789">
        <f t="shared" si="9"/>
        <v>2.7306E-2</v>
      </c>
      <c r="H53" s="1040">
        <v>30</v>
      </c>
      <c r="J53" s="1041" t="s">
        <v>1262</v>
      </c>
      <c r="K53" s="1037">
        <f t="shared" si="4"/>
        <v>41</v>
      </c>
      <c r="L53" s="1039">
        <f t="shared" si="11"/>
        <v>-252404.7695890411</v>
      </c>
      <c r="M53" s="1039">
        <f t="shared" si="12"/>
        <v>-235000</v>
      </c>
      <c r="N53" s="1039">
        <f t="shared" si="8"/>
        <v>-17404.769589041098</v>
      </c>
      <c r="O53" s="1039">
        <f t="shared" si="6"/>
        <v>7520000</v>
      </c>
      <c r="P53" s="1789">
        <f t="shared" si="10"/>
        <v>2.7306E-2</v>
      </c>
      <c r="Q53" s="1040">
        <v>30</v>
      </c>
      <c r="S53" s="1791"/>
      <c r="T53" s="1791"/>
    </row>
    <row r="54" spans="1:20">
      <c r="A54" s="1041" t="s">
        <v>1263</v>
      </c>
      <c r="B54" s="1037">
        <f t="shared" si="2"/>
        <v>42</v>
      </c>
      <c r="C54" s="1039">
        <f t="shared" si="0"/>
        <v>-260660.56164383562</v>
      </c>
      <c r="D54" s="1039">
        <v>-250000</v>
      </c>
      <c r="E54" s="1039">
        <f t="shared" si="7"/>
        <v>-10660.561643835616</v>
      </c>
      <c r="F54" s="1039">
        <f t="shared" si="3"/>
        <v>4500000</v>
      </c>
      <c r="G54" s="1789">
        <f t="shared" si="9"/>
        <v>2.7306E-2</v>
      </c>
      <c r="H54" s="1040">
        <v>30</v>
      </c>
      <c r="J54" s="1041" t="s">
        <v>1263</v>
      </c>
      <c r="K54" s="1037">
        <f t="shared" si="4"/>
        <v>42</v>
      </c>
      <c r="L54" s="1039">
        <f t="shared" si="11"/>
        <v>-251877.35232876713</v>
      </c>
      <c r="M54" s="1039">
        <f t="shared" si="12"/>
        <v>-235000</v>
      </c>
      <c r="N54" s="1039">
        <f t="shared" si="8"/>
        <v>-16877.352328767123</v>
      </c>
      <c r="O54" s="1039">
        <f t="shared" si="6"/>
        <v>7285000</v>
      </c>
      <c r="P54" s="1789">
        <f t="shared" si="10"/>
        <v>2.7306E-2</v>
      </c>
      <c r="Q54" s="1040">
        <v>30</v>
      </c>
      <c r="S54" s="1791"/>
      <c r="T54" s="1791"/>
    </row>
    <row r="55" spans="1:20">
      <c r="A55" s="1041" t="s">
        <v>1264</v>
      </c>
      <c r="B55" s="1035">
        <f t="shared" si="2"/>
        <v>43</v>
      </c>
      <c r="C55" s="1034">
        <f t="shared" si="0"/>
        <v>-260099.4794520548</v>
      </c>
      <c r="D55" s="1034">
        <v>-250000</v>
      </c>
      <c r="E55" s="1034">
        <f t="shared" si="7"/>
        <v>-10099.479452054795</v>
      </c>
      <c r="F55" s="1034">
        <f t="shared" si="3"/>
        <v>4250000</v>
      </c>
      <c r="G55" s="1789">
        <f t="shared" si="9"/>
        <v>2.7306E-2</v>
      </c>
      <c r="H55" s="1040">
        <v>30</v>
      </c>
      <c r="J55" s="1041" t="s">
        <v>1264</v>
      </c>
      <c r="K55" s="1035">
        <f t="shared" si="4"/>
        <v>43</v>
      </c>
      <c r="L55" s="1034">
        <f t="shared" si="11"/>
        <v>-251349.93506849316</v>
      </c>
      <c r="M55" s="1034">
        <f t="shared" si="12"/>
        <v>-235000</v>
      </c>
      <c r="N55" s="1034">
        <f t="shared" si="8"/>
        <v>-16349.935068493151</v>
      </c>
      <c r="O55" s="1034">
        <f t="shared" si="6"/>
        <v>7050000</v>
      </c>
      <c r="P55" s="1789">
        <f t="shared" si="10"/>
        <v>2.7306E-2</v>
      </c>
      <c r="Q55" s="1040">
        <v>30</v>
      </c>
      <c r="S55" s="1791">
        <f>SUM(C55:C66)+SUM(L55:L66)</f>
        <v>-6065552.0104109589</v>
      </c>
      <c r="T55" s="1792" t="s">
        <v>15</v>
      </c>
    </row>
    <row r="56" spans="1:20">
      <c r="A56" s="1041" t="s">
        <v>1265</v>
      </c>
      <c r="B56" s="1035">
        <f t="shared" si="2"/>
        <v>44</v>
      </c>
      <c r="C56" s="1034">
        <f t="shared" si="0"/>
        <v>-259538.39726027398</v>
      </c>
      <c r="D56" s="1034">
        <v>-250000</v>
      </c>
      <c r="E56" s="1034">
        <f t="shared" si="7"/>
        <v>-9538.3972602739723</v>
      </c>
      <c r="F56" s="1034">
        <f t="shared" si="3"/>
        <v>4000000</v>
      </c>
      <c r="G56" s="1789">
        <f t="shared" si="9"/>
        <v>2.7306E-2</v>
      </c>
      <c r="H56" s="1040">
        <v>30</v>
      </c>
      <c r="J56" s="1041" t="s">
        <v>1265</v>
      </c>
      <c r="K56" s="1035">
        <f t="shared" si="4"/>
        <v>44</v>
      </c>
      <c r="L56" s="1034">
        <f t="shared" si="11"/>
        <v>-250822.51780821919</v>
      </c>
      <c r="M56" s="1034">
        <f t="shared" si="12"/>
        <v>-235000</v>
      </c>
      <c r="N56" s="1034">
        <f t="shared" si="8"/>
        <v>-15822.517808219178</v>
      </c>
      <c r="O56" s="1034">
        <f t="shared" si="6"/>
        <v>6815000</v>
      </c>
      <c r="P56" s="1789">
        <f t="shared" si="10"/>
        <v>2.7306E-2</v>
      </c>
      <c r="Q56" s="1040">
        <v>30</v>
      </c>
      <c r="S56" s="1791"/>
      <c r="T56" s="1791"/>
    </row>
    <row r="57" spans="1:20">
      <c r="A57" s="1041" t="s">
        <v>1266</v>
      </c>
      <c r="B57" s="1035">
        <f t="shared" si="2"/>
        <v>45</v>
      </c>
      <c r="C57" s="1034">
        <f t="shared" si="0"/>
        <v>-258977.31506849316</v>
      </c>
      <c r="D57" s="1034">
        <v>-250000</v>
      </c>
      <c r="E57" s="1034">
        <f t="shared" si="7"/>
        <v>-8977.3150684931516</v>
      </c>
      <c r="F57" s="1034">
        <f t="shared" si="3"/>
        <v>3750000</v>
      </c>
      <c r="G57" s="1789">
        <f t="shared" si="9"/>
        <v>2.7306E-2</v>
      </c>
      <c r="H57" s="1040">
        <v>30</v>
      </c>
      <c r="J57" s="1041" t="s">
        <v>1266</v>
      </c>
      <c r="K57" s="1035">
        <f t="shared" si="4"/>
        <v>45</v>
      </c>
      <c r="L57" s="1034">
        <f t="shared" si="11"/>
        <v>-250295.10054794521</v>
      </c>
      <c r="M57" s="1034">
        <f t="shared" si="12"/>
        <v>-235000</v>
      </c>
      <c r="N57" s="1034">
        <f t="shared" si="8"/>
        <v>-15295.100547945205</v>
      </c>
      <c r="O57" s="1034">
        <f t="shared" si="6"/>
        <v>6580000</v>
      </c>
      <c r="P57" s="1789">
        <f t="shared" si="10"/>
        <v>2.7306E-2</v>
      </c>
      <c r="Q57" s="1040">
        <v>30</v>
      </c>
      <c r="S57" s="1791"/>
      <c r="T57" s="1791"/>
    </row>
    <row r="58" spans="1:20">
      <c r="A58" s="1041" t="s">
        <v>1267</v>
      </c>
      <c r="B58" s="1035">
        <f t="shared" si="2"/>
        <v>46</v>
      </c>
      <c r="C58" s="1034">
        <f t="shared" si="0"/>
        <v>-258416.23287671234</v>
      </c>
      <c r="D58" s="1034">
        <v>-250000</v>
      </c>
      <c r="E58" s="1034">
        <f t="shared" si="7"/>
        <v>-8416.232876712329</v>
      </c>
      <c r="F58" s="1034">
        <f t="shared" si="3"/>
        <v>3500000</v>
      </c>
      <c r="G58" s="1789">
        <f t="shared" si="9"/>
        <v>2.7306E-2</v>
      </c>
      <c r="H58" s="1040">
        <v>30</v>
      </c>
      <c r="J58" s="1041" t="s">
        <v>1267</v>
      </c>
      <c r="K58" s="1035">
        <f t="shared" si="4"/>
        <v>46</v>
      </c>
      <c r="L58" s="1034">
        <f t="shared" si="11"/>
        <v>-249767.68328767124</v>
      </c>
      <c r="M58" s="1034">
        <f t="shared" si="12"/>
        <v>-235000</v>
      </c>
      <c r="N58" s="1034">
        <f t="shared" si="8"/>
        <v>-14767.683287671234</v>
      </c>
      <c r="O58" s="1034">
        <f t="shared" si="6"/>
        <v>6345000</v>
      </c>
      <c r="P58" s="1789">
        <f t="shared" si="10"/>
        <v>2.7306E-2</v>
      </c>
      <c r="Q58" s="1040">
        <v>30</v>
      </c>
      <c r="S58" s="1791"/>
      <c r="T58" s="1791"/>
    </row>
    <row r="59" spans="1:20">
      <c r="A59" s="1041" t="s">
        <v>1268</v>
      </c>
      <c r="B59" s="1035">
        <f t="shared" si="2"/>
        <v>47</v>
      </c>
      <c r="C59" s="1034">
        <f t="shared" si="0"/>
        <v>-257855.15068493152</v>
      </c>
      <c r="D59" s="1034">
        <v>-250000</v>
      </c>
      <c r="E59" s="1034">
        <f t="shared" si="7"/>
        <v>-7855.1506849315065</v>
      </c>
      <c r="F59" s="1034">
        <f t="shared" si="3"/>
        <v>3250000</v>
      </c>
      <c r="G59" s="1789">
        <f t="shared" si="9"/>
        <v>2.7306E-2</v>
      </c>
      <c r="H59" s="1040">
        <v>30</v>
      </c>
      <c r="J59" s="1041" t="s">
        <v>1268</v>
      </c>
      <c r="K59" s="1035">
        <f t="shared" si="4"/>
        <v>47</v>
      </c>
      <c r="L59" s="1034">
        <f t="shared" si="11"/>
        <v>-249240.26602739727</v>
      </c>
      <c r="M59" s="1034">
        <f t="shared" si="12"/>
        <v>-235000</v>
      </c>
      <c r="N59" s="1034">
        <f t="shared" si="8"/>
        <v>-14240.266027397261</v>
      </c>
      <c r="O59" s="1034">
        <f t="shared" si="6"/>
        <v>6110000</v>
      </c>
      <c r="P59" s="1789">
        <f t="shared" si="10"/>
        <v>2.7306E-2</v>
      </c>
      <c r="Q59" s="1040">
        <v>30</v>
      </c>
      <c r="S59" s="1791"/>
      <c r="T59" s="1791"/>
    </row>
    <row r="60" spans="1:20">
      <c r="A60" s="1041" t="s">
        <v>1269</v>
      </c>
      <c r="B60" s="1035">
        <f t="shared" si="2"/>
        <v>48</v>
      </c>
      <c r="C60" s="1034">
        <f t="shared" si="0"/>
        <v>-257294.0684931507</v>
      </c>
      <c r="D60" s="1034">
        <v>-250000</v>
      </c>
      <c r="E60" s="1034">
        <f t="shared" si="7"/>
        <v>-7294.0684931506848</v>
      </c>
      <c r="F60" s="1034">
        <f t="shared" si="3"/>
        <v>3000000</v>
      </c>
      <c r="G60" s="1789">
        <f t="shared" si="9"/>
        <v>2.7306E-2</v>
      </c>
      <c r="H60" s="1040">
        <v>30</v>
      </c>
      <c r="J60" s="1041" t="s">
        <v>1269</v>
      </c>
      <c r="K60" s="1035">
        <f t="shared" si="4"/>
        <v>48</v>
      </c>
      <c r="L60" s="1034">
        <f t="shared" si="11"/>
        <v>-248712.8487671233</v>
      </c>
      <c r="M60" s="1034">
        <f t="shared" si="12"/>
        <v>-235000</v>
      </c>
      <c r="N60" s="1034">
        <f t="shared" si="8"/>
        <v>-13712.848767123287</v>
      </c>
      <c r="O60" s="1034">
        <f t="shared" si="6"/>
        <v>5875000</v>
      </c>
      <c r="P60" s="1789">
        <f t="shared" si="10"/>
        <v>2.7306E-2</v>
      </c>
      <c r="Q60" s="1040">
        <v>30</v>
      </c>
      <c r="S60" s="1791"/>
      <c r="T60" s="1791"/>
    </row>
    <row r="61" spans="1:20">
      <c r="A61" s="1041" t="s">
        <v>1224</v>
      </c>
      <c r="B61" s="1035">
        <f t="shared" si="2"/>
        <v>49</v>
      </c>
      <c r="C61" s="1034">
        <f t="shared" si="0"/>
        <v>-256732.98630136985</v>
      </c>
      <c r="D61" s="1034">
        <v>-250000</v>
      </c>
      <c r="E61" s="1034">
        <f t="shared" si="7"/>
        <v>-6732.9863013698632</v>
      </c>
      <c r="F61" s="1034">
        <f t="shared" si="3"/>
        <v>2750000</v>
      </c>
      <c r="G61" s="1789">
        <f t="shared" si="9"/>
        <v>2.7306E-2</v>
      </c>
      <c r="H61" s="1040">
        <v>30</v>
      </c>
      <c r="J61" s="1041" t="s">
        <v>1224</v>
      </c>
      <c r="K61" s="1035">
        <f t="shared" si="4"/>
        <v>49</v>
      </c>
      <c r="L61" s="1034">
        <f t="shared" si="11"/>
        <v>-248185.4315068493</v>
      </c>
      <c r="M61" s="1034">
        <f t="shared" si="12"/>
        <v>-235000</v>
      </c>
      <c r="N61" s="1034">
        <f t="shared" si="8"/>
        <v>-13185.431506849314</v>
      </c>
      <c r="O61" s="1034">
        <f t="shared" si="6"/>
        <v>5640000</v>
      </c>
      <c r="P61" s="1789">
        <f t="shared" si="10"/>
        <v>2.7306E-2</v>
      </c>
      <c r="Q61" s="1040">
        <v>30</v>
      </c>
      <c r="S61" s="1791"/>
      <c r="T61" s="1791"/>
    </row>
    <row r="62" spans="1:20">
      <c r="A62" s="1041" t="s">
        <v>1270</v>
      </c>
      <c r="B62" s="1035">
        <f t="shared" si="2"/>
        <v>50</v>
      </c>
      <c r="C62" s="1034">
        <f t="shared" si="0"/>
        <v>-256171.90410958903</v>
      </c>
      <c r="D62" s="1034">
        <v>-250000</v>
      </c>
      <c r="E62" s="1034">
        <f t="shared" si="7"/>
        <v>-6171.9041095890407</v>
      </c>
      <c r="F62" s="1034">
        <f t="shared" si="3"/>
        <v>2500000</v>
      </c>
      <c r="G62" s="1789">
        <f t="shared" si="9"/>
        <v>2.7306E-2</v>
      </c>
      <c r="H62" s="1040">
        <v>30</v>
      </c>
      <c r="J62" s="1041" t="s">
        <v>1270</v>
      </c>
      <c r="K62" s="1035">
        <f t="shared" si="4"/>
        <v>50</v>
      </c>
      <c r="L62" s="1034">
        <f t="shared" si="11"/>
        <v>-247658.01424657533</v>
      </c>
      <c r="M62" s="1034">
        <f t="shared" si="12"/>
        <v>-235000</v>
      </c>
      <c r="N62" s="1034">
        <f t="shared" si="8"/>
        <v>-12658.014246575343</v>
      </c>
      <c r="O62" s="1034">
        <f t="shared" si="6"/>
        <v>5405000</v>
      </c>
      <c r="P62" s="1789">
        <f t="shared" si="10"/>
        <v>2.7306E-2</v>
      </c>
      <c r="Q62" s="1040">
        <v>30</v>
      </c>
      <c r="S62" s="1791"/>
      <c r="T62" s="1791"/>
    </row>
    <row r="63" spans="1:20">
      <c r="A63" s="1041" t="s">
        <v>1271</v>
      </c>
      <c r="B63" s="1035">
        <f t="shared" si="2"/>
        <v>51</v>
      </c>
      <c r="C63" s="1034">
        <f t="shared" si="0"/>
        <v>-255610.82191780821</v>
      </c>
      <c r="D63" s="1034">
        <v>-250000</v>
      </c>
      <c r="E63" s="1034">
        <f t="shared" si="7"/>
        <v>-5610.821917808219</v>
      </c>
      <c r="F63" s="1034">
        <f t="shared" si="3"/>
        <v>2250000</v>
      </c>
      <c r="G63" s="1789">
        <f t="shared" si="9"/>
        <v>2.7306E-2</v>
      </c>
      <c r="H63" s="1040">
        <v>30</v>
      </c>
      <c r="J63" s="1041" t="s">
        <v>1271</v>
      </c>
      <c r="K63" s="1035">
        <f t="shared" si="4"/>
        <v>51</v>
      </c>
      <c r="L63" s="1034">
        <f t="shared" si="11"/>
        <v>-247130.59698630136</v>
      </c>
      <c r="M63" s="1034">
        <f t="shared" si="12"/>
        <v>-235000</v>
      </c>
      <c r="N63" s="1034">
        <f t="shared" si="8"/>
        <v>-12130.596986301369</v>
      </c>
      <c r="O63" s="1034">
        <f t="shared" si="6"/>
        <v>5170000</v>
      </c>
      <c r="P63" s="1789">
        <f t="shared" si="10"/>
        <v>2.7306E-2</v>
      </c>
      <c r="Q63" s="1040">
        <v>30</v>
      </c>
      <c r="S63" s="1791"/>
      <c r="T63" s="1791"/>
    </row>
    <row r="64" spans="1:20">
      <c r="A64" s="1041" t="s">
        <v>1272</v>
      </c>
      <c r="B64" s="1035">
        <f t="shared" si="2"/>
        <v>52</v>
      </c>
      <c r="C64" s="1034">
        <f t="shared" si="0"/>
        <v>-255049.73972602739</v>
      </c>
      <c r="D64" s="1034">
        <v>-250000</v>
      </c>
      <c r="E64" s="1034">
        <f t="shared" si="7"/>
        <v>-5049.7397260273974</v>
      </c>
      <c r="F64" s="1034">
        <f t="shared" si="3"/>
        <v>2000000</v>
      </c>
      <c r="G64" s="1789">
        <f t="shared" si="9"/>
        <v>2.7306E-2</v>
      </c>
      <c r="H64" s="1040">
        <v>30</v>
      </c>
      <c r="J64" s="1041" t="s">
        <v>1272</v>
      </c>
      <c r="K64" s="1035">
        <f t="shared" si="4"/>
        <v>52</v>
      </c>
      <c r="L64" s="1034">
        <f t="shared" si="11"/>
        <v>-246603.17972602739</v>
      </c>
      <c r="M64" s="1034">
        <f t="shared" si="12"/>
        <v>-235000</v>
      </c>
      <c r="N64" s="1034">
        <f t="shared" si="8"/>
        <v>-11603.179726027396</v>
      </c>
      <c r="O64" s="1034">
        <f t="shared" si="6"/>
        <v>4935000</v>
      </c>
      <c r="P64" s="1789">
        <f t="shared" si="10"/>
        <v>2.7306E-2</v>
      </c>
      <c r="Q64" s="1040">
        <v>30</v>
      </c>
      <c r="S64" s="1791"/>
      <c r="T64" s="1791"/>
    </row>
    <row r="65" spans="1:20">
      <c r="A65" s="1041" t="s">
        <v>1273</v>
      </c>
      <c r="B65" s="1035">
        <f t="shared" si="2"/>
        <v>53</v>
      </c>
      <c r="C65" s="1034">
        <f t="shared" si="0"/>
        <v>-254488.65753424657</v>
      </c>
      <c r="D65" s="1034">
        <v>-250000</v>
      </c>
      <c r="E65" s="1034">
        <f t="shared" si="7"/>
        <v>-4488.6575342465758</v>
      </c>
      <c r="F65" s="1034">
        <f t="shared" si="3"/>
        <v>1750000</v>
      </c>
      <c r="G65" s="1789">
        <f t="shared" si="9"/>
        <v>2.7306E-2</v>
      </c>
      <c r="H65" s="1040">
        <v>30</v>
      </c>
      <c r="J65" s="1041" t="s">
        <v>1273</v>
      </c>
      <c r="K65" s="1035">
        <f t="shared" si="4"/>
        <v>53</v>
      </c>
      <c r="L65" s="1034">
        <f t="shared" si="11"/>
        <v>-246075.76246575342</v>
      </c>
      <c r="M65" s="1034">
        <f t="shared" si="12"/>
        <v>-235000</v>
      </c>
      <c r="N65" s="1034">
        <f t="shared" si="8"/>
        <v>-11075.762465753425</v>
      </c>
      <c r="O65" s="1034">
        <f t="shared" si="6"/>
        <v>4700000</v>
      </c>
      <c r="P65" s="1789">
        <f t="shared" si="10"/>
        <v>2.7306E-2</v>
      </c>
      <c r="Q65" s="1040">
        <v>30</v>
      </c>
      <c r="S65" s="1791"/>
      <c r="T65" s="1791"/>
    </row>
    <row r="66" spans="1:20">
      <c r="A66" s="1041" t="s">
        <v>1274</v>
      </c>
      <c r="B66" s="1035">
        <f t="shared" si="2"/>
        <v>54</v>
      </c>
      <c r="C66" s="1034">
        <f t="shared" si="0"/>
        <v>-253927.57534246575</v>
      </c>
      <c r="D66" s="1034">
        <v>-250000</v>
      </c>
      <c r="E66" s="1034">
        <f t="shared" si="7"/>
        <v>-3927.5753424657532</v>
      </c>
      <c r="F66" s="1034">
        <f t="shared" si="3"/>
        <v>1500000</v>
      </c>
      <c r="G66" s="1789">
        <f t="shared" si="9"/>
        <v>2.7306E-2</v>
      </c>
      <c r="H66" s="1040">
        <v>30</v>
      </c>
      <c r="J66" s="1041" t="s">
        <v>1274</v>
      </c>
      <c r="K66" s="1035">
        <f t="shared" si="4"/>
        <v>54</v>
      </c>
      <c r="L66" s="1034">
        <f t="shared" si="11"/>
        <v>-245548.34520547945</v>
      </c>
      <c r="M66" s="1034">
        <f t="shared" si="12"/>
        <v>-235000</v>
      </c>
      <c r="N66" s="1034">
        <f t="shared" si="8"/>
        <v>-10548.345205479452</v>
      </c>
      <c r="O66" s="1034">
        <f t="shared" si="6"/>
        <v>4465000</v>
      </c>
      <c r="P66" s="1789">
        <f t="shared" si="10"/>
        <v>2.7306E-2</v>
      </c>
      <c r="Q66" s="1040">
        <v>30</v>
      </c>
      <c r="S66" s="1791"/>
      <c r="T66" s="1791"/>
    </row>
    <row r="67" spans="1:20">
      <c r="A67" s="1041" t="s">
        <v>1275</v>
      </c>
      <c r="B67" s="1037">
        <f t="shared" si="2"/>
        <v>55</v>
      </c>
      <c r="C67" s="1039">
        <f t="shared" si="0"/>
        <v>-253366.49315068492</v>
      </c>
      <c r="D67" s="1039">
        <v>-250000</v>
      </c>
      <c r="E67" s="1039">
        <f t="shared" si="7"/>
        <v>-3366.4931506849316</v>
      </c>
      <c r="F67" s="1039">
        <f t="shared" si="3"/>
        <v>1250000</v>
      </c>
      <c r="G67" s="1789">
        <f t="shared" si="9"/>
        <v>2.7306E-2</v>
      </c>
      <c r="H67" s="1040">
        <v>30</v>
      </c>
      <c r="J67" s="1041" t="s">
        <v>1275</v>
      </c>
      <c r="K67" s="1037">
        <f t="shared" si="4"/>
        <v>55</v>
      </c>
      <c r="L67" s="1039">
        <f t="shared" si="11"/>
        <v>-245020.92794520548</v>
      </c>
      <c r="M67" s="1039">
        <f t="shared" si="12"/>
        <v>-235000</v>
      </c>
      <c r="N67" s="1039">
        <f t="shared" si="8"/>
        <v>-10020.92794520548</v>
      </c>
      <c r="O67" s="1039">
        <f t="shared" si="6"/>
        <v>4230000</v>
      </c>
      <c r="P67" s="1789">
        <f t="shared" si="10"/>
        <v>2.7306E-2</v>
      </c>
      <c r="Q67" s="1040">
        <v>30</v>
      </c>
      <c r="S67" s="1791">
        <f>SUM(C67:C78)+SUM(L67:L78)</f>
        <v>-4417224.3221917814</v>
      </c>
      <c r="T67" s="1792" t="s">
        <v>16</v>
      </c>
    </row>
    <row r="68" spans="1:20">
      <c r="A68" s="1041" t="s">
        <v>1276</v>
      </c>
      <c r="B68" s="1037">
        <f t="shared" si="2"/>
        <v>56</v>
      </c>
      <c r="C68" s="1039">
        <f t="shared" si="0"/>
        <v>-252805.4109589041</v>
      </c>
      <c r="D68" s="1039">
        <v>-250000</v>
      </c>
      <c r="E68" s="1039">
        <f t="shared" si="7"/>
        <v>-2805.4109589041095</v>
      </c>
      <c r="F68" s="1039">
        <f t="shared" si="3"/>
        <v>1000000</v>
      </c>
      <c r="G68" s="1789">
        <f t="shared" si="9"/>
        <v>2.7306E-2</v>
      </c>
      <c r="H68" s="1040">
        <v>30</v>
      </c>
      <c r="J68" s="1041" t="s">
        <v>1276</v>
      </c>
      <c r="K68" s="1037">
        <f t="shared" si="4"/>
        <v>56</v>
      </c>
      <c r="L68" s="1039">
        <f t="shared" si="11"/>
        <v>-244493.51068493151</v>
      </c>
      <c r="M68" s="1039">
        <f t="shared" si="12"/>
        <v>-235000</v>
      </c>
      <c r="N68" s="1039">
        <f t="shared" si="8"/>
        <v>-9493.5106849315071</v>
      </c>
      <c r="O68" s="1039">
        <f t="shared" si="6"/>
        <v>3995000</v>
      </c>
      <c r="P68" s="1789">
        <f t="shared" si="10"/>
        <v>2.7306E-2</v>
      </c>
      <c r="Q68" s="1040">
        <v>30</v>
      </c>
      <c r="S68" s="1791"/>
      <c r="T68" s="1791"/>
    </row>
    <row r="69" spans="1:20">
      <c r="A69" s="1041" t="s">
        <v>1277</v>
      </c>
      <c r="B69" s="1037">
        <f t="shared" si="2"/>
        <v>57</v>
      </c>
      <c r="C69" s="1039">
        <f t="shared" si="0"/>
        <v>-252244.32876712328</v>
      </c>
      <c r="D69" s="1039">
        <v>-250000</v>
      </c>
      <c r="E69" s="1039">
        <f t="shared" si="7"/>
        <v>-2244.3287671232879</v>
      </c>
      <c r="F69" s="1039">
        <f t="shared" si="3"/>
        <v>750000</v>
      </c>
      <c r="G69" s="1789">
        <f t="shared" si="9"/>
        <v>2.7306E-2</v>
      </c>
      <c r="H69" s="1040">
        <v>30</v>
      </c>
      <c r="J69" s="1041" t="s">
        <v>1277</v>
      </c>
      <c r="K69" s="1037">
        <f t="shared" si="4"/>
        <v>57</v>
      </c>
      <c r="L69" s="1039">
        <f t="shared" si="11"/>
        <v>-243966.09342465753</v>
      </c>
      <c r="M69" s="1039">
        <f t="shared" si="12"/>
        <v>-235000</v>
      </c>
      <c r="N69" s="1039">
        <f t="shared" si="8"/>
        <v>-8966.0934246575343</v>
      </c>
      <c r="O69" s="1039">
        <f t="shared" si="6"/>
        <v>3760000</v>
      </c>
      <c r="P69" s="1789">
        <f t="shared" si="10"/>
        <v>2.7306E-2</v>
      </c>
      <c r="Q69" s="1040">
        <v>30</v>
      </c>
      <c r="S69" s="1791"/>
      <c r="T69" s="1791"/>
    </row>
    <row r="70" spans="1:20">
      <c r="A70" s="1041" t="s">
        <v>1278</v>
      </c>
      <c r="B70" s="1037">
        <f t="shared" si="2"/>
        <v>58</v>
      </c>
      <c r="C70" s="1039">
        <f t="shared" si="0"/>
        <v>-251683.24657534246</v>
      </c>
      <c r="D70" s="1039">
        <v>-250000</v>
      </c>
      <c r="E70" s="1039">
        <f t="shared" si="7"/>
        <v>-1683.2465753424658</v>
      </c>
      <c r="F70" s="1039">
        <f t="shared" si="3"/>
        <v>500000</v>
      </c>
      <c r="G70" s="1789">
        <f t="shared" si="9"/>
        <v>2.7306E-2</v>
      </c>
      <c r="H70" s="1040">
        <v>30</v>
      </c>
      <c r="J70" s="1041" t="s">
        <v>1278</v>
      </c>
      <c r="K70" s="1037">
        <f t="shared" si="4"/>
        <v>58</v>
      </c>
      <c r="L70" s="1039">
        <f t="shared" si="11"/>
        <v>-243438.67616438356</v>
      </c>
      <c r="M70" s="1039">
        <f t="shared" si="12"/>
        <v>-235000</v>
      </c>
      <c r="N70" s="1039">
        <f t="shared" si="8"/>
        <v>-8438.6761643835616</v>
      </c>
      <c r="O70" s="1039">
        <f t="shared" si="6"/>
        <v>3525000</v>
      </c>
      <c r="P70" s="1789">
        <f t="shared" si="10"/>
        <v>2.7306E-2</v>
      </c>
      <c r="Q70" s="1040">
        <v>30</v>
      </c>
      <c r="S70" s="1791"/>
      <c r="T70" s="1791"/>
    </row>
    <row r="71" spans="1:20">
      <c r="A71" s="1041" t="s">
        <v>1279</v>
      </c>
      <c r="B71" s="1037">
        <f t="shared" si="2"/>
        <v>59</v>
      </c>
      <c r="C71" s="1039">
        <f t="shared" si="0"/>
        <v>-251122.16438356164</v>
      </c>
      <c r="D71" s="1039">
        <v>-250000</v>
      </c>
      <c r="E71" s="1039">
        <f t="shared" si="7"/>
        <v>-1122.1643835616439</v>
      </c>
      <c r="F71" s="1039">
        <f t="shared" si="3"/>
        <v>250000</v>
      </c>
      <c r="G71" s="1789">
        <f t="shared" si="9"/>
        <v>2.7306E-2</v>
      </c>
      <c r="H71" s="1040">
        <v>30</v>
      </c>
      <c r="J71" s="1041" t="s">
        <v>1279</v>
      </c>
      <c r="K71" s="1037">
        <f t="shared" si="4"/>
        <v>59</v>
      </c>
      <c r="L71" s="1039">
        <f t="shared" si="11"/>
        <v>-242911.25890410959</v>
      </c>
      <c r="M71" s="1039">
        <f t="shared" si="12"/>
        <v>-235000</v>
      </c>
      <c r="N71" s="1039">
        <f t="shared" si="8"/>
        <v>-7911.2589041095889</v>
      </c>
      <c r="O71" s="1039">
        <f t="shared" si="6"/>
        <v>3290000</v>
      </c>
      <c r="P71" s="1789">
        <f t="shared" si="10"/>
        <v>2.7306E-2</v>
      </c>
      <c r="Q71" s="1040">
        <v>30</v>
      </c>
      <c r="S71" s="1791"/>
      <c r="T71" s="1791"/>
    </row>
    <row r="72" spans="1:20">
      <c r="A72" s="1041" t="s">
        <v>1280</v>
      </c>
      <c r="B72" s="1037">
        <f t="shared" si="2"/>
        <v>60</v>
      </c>
      <c r="C72" s="1039">
        <f t="shared" si="0"/>
        <v>-250561.08219178082</v>
      </c>
      <c r="D72" s="1039">
        <v>-250000</v>
      </c>
      <c r="E72" s="1039">
        <f t="shared" si="7"/>
        <v>-561.08219178082197</v>
      </c>
      <c r="F72" s="1039">
        <f t="shared" si="3"/>
        <v>0</v>
      </c>
      <c r="G72" s="1789">
        <f t="shared" si="9"/>
        <v>2.7306E-2</v>
      </c>
      <c r="H72" s="1040">
        <v>30</v>
      </c>
      <c r="J72" s="1041" t="s">
        <v>1280</v>
      </c>
      <c r="K72" s="1037">
        <f t="shared" si="4"/>
        <v>60</v>
      </c>
      <c r="L72" s="1039">
        <f t="shared" si="11"/>
        <v>-242383.84164383562</v>
      </c>
      <c r="M72" s="1039">
        <f t="shared" si="12"/>
        <v>-235000</v>
      </c>
      <c r="N72" s="1039">
        <f t="shared" si="8"/>
        <v>-7383.8416438356171</v>
      </c>
      <c r="O72" s="1039">
        <f t="shared" si="6"/>
        <v>3055000</v>
      </c>
      <c r="P72" s="1789">
        <f t="shared" si="10"/>
        <v>2.7306E-2</v>
      </c>
      <c r="Q72" s="1040">
        <v>30</v>
      </c>
      <c r="S72" s="1791"/>
      <c r="T72" s="1791"/>
    </row>
    <row r="73" spans="1:20">
      <c r="B73" s="1037">
        <f t="shared" si="2"/>
        <v>61</v>
      </c>
      <c r="C73" s="1038">
        <f t="shared" ref="C14:C77" si="13">IF(F72&gt;0,-$C$7,0)</f>
        <v>0</v>
      </c>
      <c r="D73" s="1038">
        <f t="shared" ref="D73:D132" si="14">IF(ABS(C73-E73+F72)&lt;1,-F72,C73-E73)</f>
        <v>0</v>
      </c>
      <c r="E73" s="1038">
        <f t="shared" ref="E14:E77" si="15">IF(F72&gt;0,-F72*$C$5/12,0)</f>
        <v>0</v>
      </c>
      <c r="F73" s="1039">
        <f t="shared" si="3"/>
        <v>0</v>
      </c>
      <c r="J73" s="1041" t="s">
        <v>1732</v>
      </c>
      <c r="K73" s="1037">
        <f t="shared" si="4"/>
        <v>61</v>
      </c>
      <c r="L73" s="1039">
        <f t="shared" si="11"/>
        <v>-241856.42438356165</v>
      </c>
      <c r="M73" s="1039">
        <f t="shared" si="12"/>
        <v>-235000</v>
      </c>
      <c r="N73" s="1039">
        <f t="shared" si="8"/>
        <v>-6856.4243835616435</v>
      </c>
      <c r="O73" s="1039">
        <f t="shared" si="6"/>
        <v>2820000</v>
      </c>
      <c r="P73" s="1789">
        <f t="shared" si="10"/>
        <v>2.7306E-2</v>
      </c>
      <c r="Q73" s="1040">
        <v>30</v>
      </c>
      <c r="S73" s="1791"/>
      <c r="T73" s="1791"/>
    </row>
    <row r="74" spans="1:20">
      <c r="B74" s="1037">
        <f t="shared" si="2"/>
        <v>62</v>
      </c>
      <c r="C74" s="1038">
        <f t="shared" si="13"/>
        <v>0</v>
      </c>
      <c r="D74" s="1038">
        <f t="shared" si="14"/>
        <v>0</v>
      </c>
      <c r="E74" s="1038">
        <f t="shared" si="15"/>
        <v>0</v>
      </c>
      <c r="F74" s="1039">
        <f t="shared" si="3"/>
        <v>0</v>
      </c>
      <c r="J74" s="1041" t="s">
        <v>1733</v>
      </c>
      <c r="K74" s="1037">
        <f t="shared" si="4"/>
        <v>62</v>
      </c>
      <c r="L74" s="1039">
        <f t="shared" si="11"/>
        <v>-241329.00712328768</v>
      </c>
      <c r="M74" s="1039">
        <f t="shared" si="12"/>
        <v>-235000</v>
      </c>
      <c r="N74" s="1039">
        <f t="shared" si="8"/>
        <v>-6329.0071232876717</v>
      </c>
      <c r="O74" s="1039">
        <f t="shared" si="6"/>
        <v>2585000</v>
      </c>
      <c r="P74" s="1789">
        <f t="shared" si="10"/>
        <v>2.7306E-2</v>
      </c>
      <c r="Q74" s="1040">
        <v>30</v>
      </c>
      <c r="S74" s="1791"/>
      <c r="T74" s="1791"/>
    </row>
    <row r="75" spans="1:20">
      <c r="B75" s="1037">
        <f t="shared" si="2"/>
        <v>63</v>
      </c>
      <c r="C75" s="1038">
        <f t="shared" si="13"/>
        <v>0</v>
      </c>
      <c r="D75" s="1038">
        <f t="shared" si="14"/>
        <v>0</v>
      </c>
      <c r="E75" s="1038">
        <f t="shared" si="15"/>
        <v>0</v>
      </c>
      <c r="F75" s="1039">
        <f t="shared" si="3"/>
        <v>0</v>
      </c>
      <c r="J75" s="1041" t="s">
        <v>1734</v>
      </c>
      <c r="K75" s="1037">
        <f t="shared" si="4"/>
        <v>63</v>
      </c>
      <c r="L75" s="1039">
        <f t="shared" si="11"/>
        <v>-240801.58986301371</v>
      </c>
      <c r="M75" s="1039">
        <f t="shared" si="12"/>
        <v>-235000</v>
      </c>
      <c r="N75" s="1039">
        <f t="shared" si="8"/>
        <v>-5801.5898630136981</v>
      </c>
      <c r="O75" s="1039">
        <f t="shared" si="6"/>
        <v>2350000</v>
      </c>
      <c r="P75" s="1789">
        <f t="shared" si="10"/>
        <v>2.7306E-2</v>
      </c>
      <c r="Q75" s="1040">
        <v>30</v>
      </c>
      <c r="S75" s="1791"/>
      <c r="T75" s="1791"/>
    </row>
    <row r="76" spans="1:20">
      <c r="B76" s="1037">
        <f t="shared" si="2"/>
        <v>64</v>
      </c>
      <c r="C76" s="1038">
        <f t="shared" si="13"/>
        <v>0</v>
      </c>
      <c r="D76" s="1038">
        <f t="shared" si="14"/>
        <v>0</v>
      </c>
      <c r="E76" s="1038">
        <f t="shared" si="15"/>
        <v>0</v>
      </c>
      <c r="F76" s="1039">
        <f t="shared" si="3"/>
        <v>0</v>
      </c>
      <c r="J76" s="1041" t="s">
        <v>1735</v>
      </c>
      <c r="K76" s="1037">
        <f t="shared" si="4"/>
        <v>64</v>
      </c>
      <c r="L76" s="1039">
        <f t="shared" si="11"/>
        <v>-240274.17260273974</v>
      </c>
      <c r="M76" s="1039">
        <f t="shared" si="12"/>
        <v>-235000</v>
      </c>
      <c r="N76" s="1039">
        <f t="shared" si="8"/>
        <v>-5274.1726027397262</v>
      </c>
      <c r="O76" s="1039">
        <f t="shared" si="6"/>
        <v>2115000</v>
      </c>
      <c r="P76" s="1789">
        <f t="shared" si="10"/>
        <v>2.7306E-2</v>
      </c>
      <c r="Q76" s="1040">
        <v>30</v>
      </c>
      <c r="S76" s="1791"/>
      <c r="T76" s="1791"/>
    </row>
    <row r="77" spans="1:20">
      <c r="B77" s="1037">
        <f t="shared" si="2"/>
        <v>65</v>
      </c>
      <c r="C77" s="1038">
        <f t="shared" si="13"/>
        <v>0</v>
      </c>
      <c r="D77" s="1038">
        <f t="shared" si="14"/>
        <v>0</v>
      </c>
      <c r="E77" s="1038">
        <f t="shared" si="15"/>
        <v>0</v>
      </c>
      <c r="F77" s="1039">
        <f t="shared" si="3"/>
        <v>0</v>
      </c>
      <c r="J77" s="1041" t="s">
        <v>1736</v>
      </c>
      <c r="K77" s="1037">
        <f t="shared" si="4"/>
        <v>65</v>
      </c>
      <c r="L77" s="1039">
        <f t="shared" si="11"/>
        <v>-239746.75534246577</v>
      </c>
      <c r="M77" s="1039">
        <f t="shared" si="12"/>
        <v>-235000</v>
      </c>
      <c r="N77" s="1039">
        <f t="shared" si="8"/>
        <v>-4746.7553424657535</v>
      </c>
      <c r="O77" s="1039">
        <f t="shared" si="6"/>
        <v>1880000</v>
      </c>
      <c r="P77" s="1789">
        <f t="shared" si="10"/>
        <v>2.7306E-2</v>
      </c>
      <c r="Q77" s="1040">
        <v>30</v>
      </c>
      <c r="S77" s="1791"/>
      <c r="T77" s="1791"/>
    </row>
    <row r="78" spans="1:20">
      <c r="B78" s="1037">
        <f t="shared" si="2"/>
        <v>66</v>
      </c>
      <c r="C78" s="1038">
        <f t="shared" ref="C78:C132" si="16">IF(F77&gt;0,-$C$7,0)</f>
        <v>0</v>
      </c>
      <c r="D78" s="1038">
        <f t="shared" si="14"/>
        <v>0</v>
      </c>
      <c r="E78" s="1038">
        <f t="shared" ref="E78:E132" si="17">IF(F77&gt;0,-F77*$C$5/12,0)</f>
        <v>0</v>
      </c>
      <c r="F78" s="1039">
        <f t="shared" si="3"/>
        <v>0</v>
      </c>
      <c r="J78" s="1041" t="s">
        <v>1737</v>
      </c>
      <c r="K78" s="1037">
        <f t="shared" si="4"/>
        <v>66</v>
      </c>
      <c r="L78" s="1039">
        <f t="shared" si="11"/>
        <v>-239219.33808219177</v>
      </c>
      <c r="M78" s="1039">
        <f t="shared" si="12"/>
        <v>-235000</v>
      </c>
      <c r="N78" s="1039">
        <f t="shared" si="8"/>
        <v>-4219.3380821917808</v>
      </c>
      <c r="O78" s="1039">
        <f t="shared" si="6"/>
        <v>1645000</v>
      </c>
      <c r="P78" s="1789">
        <f t="shared" si="10"/>
        <v>2.7306E-2</v>
      </c>
      <c r="Q78" s="1040">
        <v>30</v>
      </c>
      <c r="S78" s="1791"/>
      <c r="T78" s="1791"/>
    </row>
    <row r="79" spans="1:20">
      <c r="B79" s="1035">
        <f t="shared" ref="B79:B84" si="18">B78+1</f>
        <v>67</v>
      </c>
      <c r="C79" s="1036">
        <f t="shared" si="16"/>
        <v>0</v>
      </c>
      <c r="D79" s="1036">
        <f t="shared" si="14"/>
        <v>0</v>
      </c>
      <c r="E79" s="1036">
        <f t="shared" si="17"/>
        <v>0</v>
      </c>
      <c r="F79" s="1034">
        <f t="shared" ref="F79:F132" si="19">D79+F78</f>
        <v>0</v>
      </c>
      <c r="J79" s="1041" t="s">
        <v>1738</v>
      </c>
      <c r="K79" s="1035">
        <f t="shared" ref="K79:K107" si="20">K78+1</f>
        <v>67</v>
      </c>
      <c r="L79" s="1034">
        <f t="shared" si="11"/>
        <v>-238691.9208219178</v>
      </c>
      <c r="M79" s="1034">
        <f t="shared" si="12"/>
        <v>-235000</v>
      </c>
      <c r="N79" s="1034">
        <f t="shared" si="8"/>
        <v>-3691.9208219178086</v>
      </c>
      <c r="O79" s="1034">
        <f t="shared" ref="O79:O132" si="21">M79+O78</f>
        <v>1410000</v>
      </c>
      <c r="P79" s="1789">
        <f t="shared" si="10"/>
        <v>2.7306E-2</v>
      </c>
      <c r="Q79" s="1040">
        <v>30</v>
      </c>
      <c r="S79" s="1791">
        <f>SUM(C79:C90)+SUM(L79:L90)</f>
        <v>-1659767.6832876711</v>
      </c>
      <c r="T79" s="1792" t="s">
        <v>17</v>
      </c>
    </row>
    <row r="80" spans="1:20">
      <c r="B80" s="1035">
        <f t="shared" si="18"/>
        <v>68</v>
      </c>
      <c r="C80" s="1036">
        <f t="shared" si="16"/>
        <v>0</v>
      </c>
      <c r="D80" s="1036">
        <f t="shared" si="14"/>
        <v>0</v>
      </c>
      <c r="E80" s="1036">
        <f t="shared" si="17"/>
        <v>0</v>
      </c>
      <c r="F80" s="1034">
        <f t="shared" si="19"/>
        <v>0</v>
      </c>
      <c r="J80" s="1041" t="s">
        <v>1739</v>
      </c>
      <c r="K80" s="1035">
        <f t="shared" si="20"/>
        <v>68</v>
      </c>
      <c r="L80" s="1034">
        <f t="shared" si="11"/>
        <v>-238164.50356164383</v>
      </c>
      <c r="M80" s="1034">
        <f t="shared" si="12"/>
        <v>-235000</v>
      </c>
      <c r="N80" s="1034">
        <f t="shared" ref="N80:N137" si="22">-O79*P79*Q79/365</f>
        <v>-3164.5035616438358</v>
      </c>
      <c r="O80" s="1034">
        <f t="shared" si="21"/>
        <v>1175000</v>
      </c>
      <c r="P80" s="1789">
        <f t="shared" si="10"/>
        <v>2.7306E-2</v>
      </c>
      <c r="Q80" s="1040">
        <v>30</v>
      </c>
      <c r="S80" s="1791"/>
      <c r="T80" s="1791"/>
    </row>
    <row r="81" spans="2:20">
      <c r="B81" s="1035">
        <f t="shared" si="18"/>
        <v>69</v>
      </c>
      <c r="C81" s="1036">
        <f t="shared" si="16"/>
        <v>0</v>
      </c>
      <c r="D81" s="1036">
        <f t="shared" si="14"/>
        <v>0</v>
      </c>
      <c r="E81" s="1036">
        <f t="shared" si="17"/>
        <v>0</v>
      </c>
      <c r="F81" s="1034">
        <f t="shared" si="19"/>
        <v>0</v>
      </c>
      <c r="J81" s="1041" t="s">
        <v>1740</v>
      </c>
      <c r="K81" s="1035">
        <f t="shared" si="20"/>
        <v>69</v>
      </c>
      <c r="L81" s="1034">
        <f t="shared" si="11"/>
        <v>-237637.08630136985</v>
      </c>
      <c r="M81" s="1034">
        <f t="shared" si="12"/>
        <v>-235000</v>
      </c>
      <c r="N81" s="1034">
        <f t="shared" si="22"/>
        <v>-2637.0863013698631</v>
      </c>
      <c r="O81" s="1034">
        <f t="shared" si="21"/>
        <v>940000</v>
      </c>
      <c r="P81" s="1789">
        <f t="shared" si="10"/>
        <v>2.7306E-2</v>
      </c>
      <c r="Q81" s="1040">
        <v>30</v>
      </c>
      <c r="S81" s="1791"/>
      <c r="T81" s="1791"/>
    </row>
    <row r="82" spans="2:20">
      <c r="B82" s="1035">
        <f t="shared" si="18"/>
        <v>70</v>
      </c>
      <c r="C82" s="1036">
        <f t="shared" si="16"/>
        <v>0</v>
      </c>
      <c r="D82" s="1036">
        <f t="shared" si="14"/>
        <v>0</v>
      </c>
      <c r="E82" s="1036">
        <f t="shared" si="17"/>
        <v>0</v>
      </c>
      <c r="F82" s="1034">
        <f t="shared" si="19"/>
        <v>0</v>
      </c>
      <c r="J82" s="1041" t="s">
        <v>1741</v>
      </c>
      <c r="K82" s="1035">
        <f t="shared" si="20"/>
        <v>70</v>
      </c>
      <c r="L82" s="1034">
        <f t="shared" si="11"/>
        <v>-237109.66904109588</v>
      </c>
      <c r="M82" s="1034">
        <f t="shared" si="12"/>
        <v>-235000</v>
      </c>
      <c r="N82" s="1034">
        <f t="shared" si="22"/>
        <v>-2109.6690410958904</v>
      </c>
      <c r="O82" s="1034">
        <f t="shared" si="21"/>
        <v>705000</v>
      </c>
      <c r="P82" s="1789">
        <f t="shared" si="10"/>
        <v>2.7306E-2</v>
      </c>
      <c r="Q82" s="1040">
        <v>30</v>
      </c>
      <c r="S82" s="1791"/>
      <c r="T82" s="1791"/>
    </row>
    <row r="83" spans="2:20">
      <c r="B83" s="1035">
        <f t="shared" si="18"/>
        <v>71</v>
      </c>
      <c r="C83" s="1036">
        <f t="shared" si="16"/>
        <v>0</v>
      </c>
      <c r="D83" s="1036">
        <f t="shared" si="14"/>
        <v>0</v>
      </c>
      <c r="E83" s="1036">
        <f t="shared" si="17"/>
        <v>0</v>
      </c>
      <c r="F83" s="1034">
        <f t="shared" si="19"/>
        <v>0</v>
      </c>
      <c r="J83" s="1041" t="s">
        <v>1742</v>
      </c>
      <c r="K83" s="1035">
        <f t="shared" si="20"/>
        <v>71</v>
      </c>
      <c r="L83" s="1034">
        <f t="shared" si="11"/>
        <v>-236582.25178082191</v>
      </c>
      <c r="M83" s="1034">
        <f t="shared" si="12"/>
        <v>-235000</v>
      </c>
      <c r="N83" s="1034">
        <f t="shared" si="22"/>
        <v>-1582.2517808219179</v>
      </c>
      <c r="O83" s="1034">
        <f t="shared" si="21"/>
        <v>470000</v>
      </c>
      <c r="P83" s="1789">
        <f t="shared" si="10"/>
        <v>2.7306E-2</v>
      </c>
      <c r="Q83" s="1040">
        <v>30</v>
      </c>
      <c r="S83" s="1791"/>
      <c r="T83" s="1791"/>
    </row>
    <row r="84" spans="2:20">
      <c r="B84" s="1035">
        <f t="shared" si="18"/>
        <v>72</v>
      </c>
      <c r="C84" s="1036">
        <f t="shared" si="16"/>
        <v>0</v>
      </c>
      <c r="D84" s="1036">
        <f t="shared" si="14"/>
        <v>0</v>
      </c>
      <c r="E84" s="1036">
        <f t="shared" si="17"/>
        <v>0</v>
      </c>
      <c r="F84" s="1034">
        <f t="shared" si="19"/>
        <v>0</v>
      </c>
      <c r="J84" s="1041" t="s">
        <v>1743</v>
      </c>
      <c r="K84" s="1035">
        <f t="shared" si="20"/>
        <v>72</v>
      </c>
      <c r="L84" s="1034">
        <f t="shared" si="11"/>
        <v>-236054.83452054794</v>
      </c>
      <c r="M84" s="1034">
        <f t="shared" si="12"/>
        <v>-235000</v>
      </c>
      <c r="N84" s="1034">
        <f t="shared" si="22"/>
        <v>-1054.8345205479452</v>
      </c>
      <c r="O84" s="1034">
        <f t="shared" si="21"/>
        <v>235000</v>
      </c>
      <c r="P84" s="1789">
        <f t="shared" si="10"/>
        <v>2.7306E-2</v>
      </c>
      <c r="Q84" s="1040">
        <v>30</v>
      </c>
      <c r="S84" s="1791"/>
      <c r="T84" s="1791"/>
    </row>
    <row r="85" spans="2:20">
      <c r="B85" s="1035">
        <f t="shared" ref="B85:B107" si="23">B84+1</f>
        <v>73</v>
      </c>
      <c r="C85" s="1036">
        <f t="shared" si="16"/>
        <v>0</v>
      </c>
      <c r="D85" s="1036">
        <f t="shared" si="14"/>
        <v>0</v>
      </c>
      <c r="E85" s="1036">
        <f t="shared" si="17"/>
        <v>0</v>
      </c>
      <c r="F85" s="1034">
        <f t="shared" si="19"/>
        <v>0</v>
      </c>
      <c r="J85" s="1041" t="s">
        <v>1744</v>
      </c>
      <c r="K85" s="1035">
        <f t="shared" si="20"/>
        <v>73</v>
      </c>
      <c r="L85" s="1034">
        <f t="shared" si="11"/>
        <v>-235527.41726027397</v>
      </c>
      <c r="M85" s="1034">
        <f t="shared" si="12"/>
        <v>-235000</v>
      </c>
      <c r="N85" s="1034">
        <f t="shared" si="22"/>
        <v>-527.4172602739726</v>
      </c>
      <c r="O85" s="1034">
        <f t="shared" si="21"/>
        <v>0</v>
      </c>
      <c r="P85" s="1789">
        <f t="shared" si="10"/>
        <v>2.7306E-2</v>
      </c>
      <c r="Q85" s="1040">
        <v>30</v>
      </c>
      <c r="S85" s="1791"/>
      <c r="T85" s="1791"/>
    </row>
    <row r="86" spans="2:20">
      <c r="B86" s="1035">
        <f t="shared" si="23"/>
        <v>74</v>
      </c>
      <c r="C86" s="1036">
        <f t="shared" si="16"/>
        <v>0</v>
      </c>
      <c r="D86" s="1036">
        <f t="shared" si="14"/>
        <v>0</v>
      </c>
      <c r="E86" s="1036">
        <f t="shared" si="17"/>
        <v>0</v>
      </c>
      <c r="F86" s="1034">
        <f t="shared" si="19"/>
        <v>0</v>
      </c>
      <c r="J86" s="1041" t="s">
        <v>1745</v>
      </c>
      <c r="K86" s="1035">
        <f t="shared" si="20"/>
        <v>74</v>
      </c>
      <c r="L86" s="1034">
        <f t="shared" ref="L86:L132" si="24">IF(O85&gt;0,-$C$7,0)</f>
        <v>0</v>
      </c>
      <c r="M86" s="1034">
        <v>0</v>
      </c>
      <c r="N86" s="1034">
        <f t="shared" ref="N86:N132" si="25">IF(O85&gt;0,-O85*$C$5/12,0)</f>
        <v>0</v>
      </c>
      <c r="O86" s="1034">
        <f t="shared" si="21"/>
        <v>0</v>
      </c>
      <c r="P86" s="1789">
        <f t="shared" si="10"/>
        <v>2.7306E-2</v>
      </c>
      <c r="Q86" s="1040">
        <v>30</v>
      </c>
      <c r="S86" s="1791"/>
      <c r="T86" s="1791"/>
    </row>
    <row r="87" spans="2:20">
      <c r="B87" s="1035">
        <f t="shared" si="23"/>
        <v>75</v>
      </c>
      <c r="C87" s="1036">
        <f t="shared" si="16"/>
        <v>0</v>
      </c>
      <c r="D87" s="1036">
        <f t="shared" si="14"/>
        <v>0</v>
      </c>
      <c r="E87" s="1036">
        <f t="shared" si="17"/>
        <v>0</v>
      </c>
      <c r="F87" s="1034">
        <f t="shared" si="19"/>
        <v>0</v>
      </c>
      <c r="J87" s="1041" t="s">
        <v>1746</v>
      </c>
      <c r="K87" s="1035">
        <f t="shared" si="20"/>
        <v>75</v>
      </c>
      <c r="L87" s="1034">
        <f t="shared" si="24"/>
        <v>0</v>
      </c>
      <c r="M87" s="1034">
        <f t="shared" ref="M87:M90" si="26">M86</f>
        <v>0</v>
      </c>
      <c r="N87" s="1034">
        <f t="shared" si="25"/>
        <v>0</v>
      </c>
      <c r="O87" s="1034">
        <f t="shared" si="21"/>
        <v>0</v>
      </c>
      <c r="P87" s="1789">
        <f t="shared" si="10"/>
        <v>2.7306E-2</v>
      </c>
      <c r="Q87" s="1040">
        <v>30</v>
      </c>
      <c r="S87" s="1791"/>
      <c r="T87" s="1791"/>
    </row>
    <row r="88" spans="2:20">
      <c r="B88" s="1035">
        <f t="shared" si="23"/>
        <v>76</v>
      </c>
      <c r="C88" s="1036">
        <f t="shared" si="16"/>
        <v>0</v>
      </c>
      <c r="D88" s="1036">
        <f t="shared" si="14"/>
        <v>0</v>
      </c>
      <c r="E88" s="1036">
        <f t="shared" si="17"/>
        <v>0</v>
      </c>
      <c r="F88" s="1034">
        <f t="shared" si="19"/>
        <v>0</v>
      </c>
      <c r="K88" s="1035">
        <f t="shared" si="20"/>
        <v>76</v>
      </c>
      <c r="L88" s="1034">
        <f t="shared" si="24"/>
        <v>0</v>
      </c>
      <c r="M88" s="1034">
        <f t="shared" si="26"/>
        <v>0</v>
      </c>
      <c r="N88" s="1034">
        <f t="shared" si="25"/>
        <v>0</v>
      </c>
      <c r="O88" s="1034">
        <f t="shared" si="21"/>
        <v>0</v>
      </c>
      <c r="S88" s="1791"/>
      <c r="T88" s="1791"/>
    </row>
    <row r="89" spans="2:20">
      <c r="B89" s="1035">
        <f t="shared" si="23"/>
        <v>77</v>
      </c>
      <c r="C89" s="1036">
        <f t="shared" si="16"/>
        <v>0</v>
      </c>
      <c r="D89" s="1036">
        <f t="shared" si="14"/>
        <v>0</v>
      </c>
      <c r="E89" s="1036">
        <f t="shared" si="17"/>
        <v>0</v>
      </c>
      <c r="F89" s="1034">
        <f t="shared" si="19"/>
        <v>0</v>
      </c>
      <c r="K89" s="1035">
        <f t="shared" si="20"/>
        <v>77</v>
      </c>
      <c r="L89" s="1034">
        <f t="shared" si="24"/>
        <v>0</v>
      </c>
      <c r="M89" s="1034">
        <f t="shared" si="26"/>
        <v>0</v>
      </c>
      <c r="N89" s="1034">
        <f t="shared" si="25"/>
        <v>0</v>
      </c>
      <c r="O89" s="1034">
        <f t="shared" si="21"/>
        <v>0</v>
      </c>
      <c r="S89" s="1791"/>
      <c r="T89" s="1791"/>
    </row>
    <row r="90" spans="2:20">
      <c r="B90" s="1035">
        <f t="shared" si="23"/>
        <v>78</v>
      </c>
      <c r="C90" s="1036">
        <f t="shared" si="16"/>
        <v>0</v>
      </c>
      <c r="D90" s="1036">
        <f t="shared" si="14"/>
        <v>0</v>
      </c>
      <c r="E90" s="1036">
        <f t="shared" si="17"/>
        <v>0</v>
      </c>
      <c r="F90" s="1034">
        <f t="shared" si="19"/>
        <v>0</v>
      </c>
      <c r="K90" s="1035">
        <f t="shared" si="20"/>
        <v>78</v>
      </c>
      <c r="L90" s="1034">
        <f t="shared" si="24"/>
        <v>0</v>
      </c>
      <c r="M90" s="1034">
        <f t="shared" si="26"/>
        <v>0</v>
      </c>
      <c r="N90" s="1034">
        <f t="shared" si="25"/>
        <v>0</v>
      </c>
      <c r="O90" s="1034">
        <f t="shared" si="21"/>
        <v>0</v>
      </c>
      <c r="S90" s="1791"/>
      <c r="T90" s="1791"/>
    </row>
    <row r="91" spans="2:20">
      <c r="B91" s="1037">
        <f t="shared" si="23"/>
        <v>79</v>
      </c>
      <c r="C91" s="1038">
        <f t="shared" si="16"/>
        <v>0</v>
      </c>
      <c r="D91" s="1038">
        <f t="shared" si="14"/>
        <v>0</v>
      </c>
      <c r="E91" s="1038">
        <f t="shared" si="17"/>
        <v>0</v>
      </c>
      <c r="F91" s="1039">
        <f t="shared" si="19"/>
        <v>0</v>
      </c>
      <c r="K91" s="1037">
        <f t="shared" si="20"/>
        <v>79</v>
      </c>
      <c r="L91" s="1038">
        <f t="shared" si="24"/>
        <v>0</v>
      </c>
      <c r="M91" s="1038">
        <f t="shared" ref="M91:M132" si="27">IF(ABS(L91-N91+O90)&lt;1,-O90,L91-N91)</f>
        <v>0</v>
      </c>
      <c r="N91" s="1038">
        <f t="shared" si="25"/>
        <v>0</v>
      </c>
      <c r="O91" s="1039">
        <f t="shared" si="21"/>
        <v>0</v>
      </c>
    </row>
    <row r="92" spans="2:20">
      <c r="B92" s="1037">
        <f t="shared" si="23"/>
        <v>80</v>
      </c>
      <c r="C92" s="1038">
        <f t="shared" si="16"/>
        <v>0</v>
      </c>
      <c r="D92" s="1038">
        <f t="shared" si="14"/>
        <v>0</v>
      </c>
      <c r="E92" s="1038">
        <f t="shared" si="17"/>
        <v>0</v>
      </c>
      <c r="F92" s="1039">
        <f t="shared" si="19"/>
        <v>0</v>
      </c>
      <c r="K92" s="1037">
        <f t="shared" si="20"/>
        <v>80</v>
      </c>
      <c r="L92" s="1038">
        <f t="shared" si="24"/>
        <v>0</v>
      </c>
      <c r="M92" s="1038">
        <f t="shared" si="27"/>
        <v>0</v>
      </c>
      <c r="N92" s="1038">
        <f t="shared" si="25"/>
        <v>0</v>
      </c>
      <c r="O92" s="1039">
        <f t="shared" si="21"/>
        <v>0</v>
      </c>
    </row>
    <row r="93" spans="2:20">
      <c r="B93" s="1037">
        <f t="shared" si="23"/>
        <v>81</v>
      </c>
      <c r="C93" s="1038">
        <f t="shared" si="16"/>
        <v>0</v>
      </c>
      <c r="D93" s="1038">
        <f t="shared" si="14"/>
        <v>0</v>
      </c>
      <c r="E93" s="1038">
        <f t="shared" si="17"/>
        <v>0</v>
      </c>
      <c r="F93" s="1039">
        <f t="shared" si="19"/>
        <v>0</v>
      </c>
      <c r="K93" s="1037">
        <f t="shared" si="20"/>
        <v>81</v>
      </c>
      <c r="L93" s="1038">
        <f t="shared" si="24"/>
        <v>0</v>
      </c>
      <c r="M93" s="1038">
        <f t="shared" si="27"/>
        <v>0</v>
      </c>
      <c r="N93" s="1038">
        <f t="shared" si="25"/>
        <v>0</v>
      </c>
      <c r="O93" s="1039">
        <f t="shared" si="21"/>
        <v>0</v>
      </c>
    </row>
    <row r="94" spans="2:20">
      <c r="B94" s="1037">
        <f t="shared" si="23"/>
        <v>82</v>
      </c>
      <c r="C94" s="1038">
        <f t="shared" si="16"/>
        <v>0</v>
      </c>
      <c r="D94" s="1038">
        <f t="shared" si="14"/>
        <v>0</v>
      </c>
      <c r="E94" s="1038">
        <f t="shared" si="17"/>
        <v>0</v>
      </c>
      <c r="F94" s="1039">
        <f t="shared" si="19"/>
        <v>0</v>
      </c>
      <c r="K94" s="1037">
        <f t="shared" si="20"/>
        <v>82</v>
      </c>
      <c r="L94" s="1038">
        <f t="shared" si="24"/>
        <v>0</v>
      </c>
      <c r="M94" s="1038">
        <f t="shared" si="27"/>
        <v>0</v>
      </c>
      <c r="N94" s="1038">
        <f t="shared" si="25"/>
        <v>0</v>
      </c>
      <c r="O94" s="1039">
        <f t="shared" si="21"/>
        <v>0</v>
      </c>
    </row>
    <row r="95" spans="2:20">
      <c r="B95" s="1037">
        <f t="shared" si="23"/>
        <v>83</v>
      </c>
      <c r="C95" s="1038">
        <f t="shared" si="16"/>
        <v>0</v>
      </c>
      <c r="D95" s="1038">
        <f t="shared" si="14"/>
        <v>0</v>
      </c>
      <c r="E95" s="1038">
        <f t="shared" si="17"/>
        <v>0</v>
      </c>
      <c r="F95" s="1039">
        <f t="shared" si="19"/>
        <v>0</v>
      </c>
      <c r="K95" s="1037">
        <f t="shared" si="20"/>
        <v>83</v>
      </c>
      <c r="L95" s="1038">
        <f t="shared" si="24"/>
        <v>0</v>
      </c>
      <c r="M95" s="1038">
        <f t="shared" si="27"/>
        <v>0</v>
      </c>
      <c r="N95" s="1038">
        <f t="shared" si="25"/>
        <v>0</v>
      </c>
      <c r="O95" s="1039">
        <f t="shared" si="21"/>
        <v>0</v>
      </c>
    </row>
    <row r="96" spans="2:20">
      <c r="B96" s="1037">
        <f t="shared" si="23"/>
        <v>84</v>
      </c>
      <c r="C96" s="1038">
        <f t="shared" si="16"/>
        <v>0</v>
      </c>
      <c r="D96" s="1038">
        <f t="shared" si="14"/>
        <v>0</v>
      </c>
      <c r="E96" s="1038">
        <f t="shared" si="17"/>
        <v>0</v>
      </c>
      <c r="F96" s="1039">
        <f t="shared" si="19"/>
        <v>0</v>
      </c>
      <c r="K96" s="1037">
        <f t="shared" si="20"/>
        <v>84</v>
      </c>
      <c r="L96" s="1038">
        <f t="shared" si="24"/>
        <v>0</v>
      </c>
      <c r="M96" s="1038">
        <f t="shared" si="27"/>
        <v>0</v>
      </c>
      <c r="N96" s="1038">
        <f t="shared" si="25"/>
        <v>0</v>
      </c>
      <c r="O96" s="1039">
        <f t="shared" si="21"/>
        <v>0</v>
      </c>
    </row>
    <row r="97" spans="2:15">
      <c r="B97" s="1037">
        <f t="shared" si="23"/>
        <v>85</v>
      </c>
      <c r="C97" s="1038">
        <f t="shared" si="16"/>
        <v>0</v>
      </c>
      <c r="D97" s="1038">
        <f t="shared" si="14"/>
        <v>0</v>
      </c>
      <c r="E97" s="1038">
        <f t="shared" si="17"/>
        <v>0</v>
      </c>
      <c r="F97" s="1039">
        <f t="shared" si="19"/>
        <v>0</v>
      </c>
      <c r="K97" s="1037">
        <f t="shared" si="20"/>
        <v>85</v>
      </c>
      <c r="L97" s="1038">
        <f t="shared" si="24"/>
        <v>0</v>
      </c>
      <c r="M97" s="1038">
        <f t="shared" si="27"/>
        <v>0</v>
      </c>
      <c r="N97" s="1038">
        <f t="shared" si="25"/>
        <v>0</v>
      </c>
      <c r="O97" s="1039">
        <f t="shared" si="21"/>
        <v>0</v>
      </c>
    </row>
    <row r="98" spans="2:15">
      <c r="B98" s="1037">
        <f t="shared" si="23"/>
        <v>86</v>
      </c>
      <c r="C98" s="1038">
        <f t="shared" si="16"/>
        <v>0</v>
      </c>
      <c r="D98" s="1038">
        <f t="shared" si="14"/>
        <v>0</v>
      </c>
      <c r="E98" s="1038">
        <f t="shared" si="17"/>
        <v>0</v>
      </c>
      <c r="F98" s="1039">
        <f t="shared" si="19"/>
        <v>0</v>
      </c>
      <c r="K98" s="1037">
        <f t="shared" si="20"/>
        <v>86</v>
      </c>
      <c r="L98" s="1038">
        <f t="shared" si="24"/>
        <v>0</v>
      </c>
      <c r="M98" s="1038">
        <f t="shared" si="27"/>
        <v>0</v>
      </c>
      <c r="N98" s="1038">
        <f t="shared" si="25"/>
        <v>0</v>
      </c>
      <c r="O98" s="1039">
        <f t="shared" si="21"/>
        <v>0</v>
      </c>
    </row>
    <row r="99" spans="2:15">
      <c r="B99" s="1037">
        <f t="shared" si="23"/>
        <v>87</v>
      </c>
      <c r="C99" s="1038">
        <f t="shared" si="16"/>
        <v>0</v>
      </c>
      <c r="D99" s="1038">
        <f t="shared" si="14"/>
        <v>0</v>
      </c>
      <c r="E99" s="1038">
        <f t="shared" si="17"/>
        <v>0</v>
      </c>
      <c r="F99" s="1039">
        <f t="shared" si="19"/>
        <v>0</v>
      </c>
      <c r="K99" s="1037">
        <f t="shared" si="20"/>
        <v>87</v>
      </c>
      <c r="L99" s="1038">
        <f t="shared" si="24"/>
        <v>0</v>
      </c>
      <c r="M99" s="1038">
        <f t="shared" si="27"/>
        <v>0</v>
      </c>
      <c r="N99" s="1038">
        <f t="shared" si="25"/>
        <v>0</v>
      </c>
      <c r="O99" s="1039">
        <f t="shared" si="21"/>
        <v>0</v>
      </c>
    </row>
    <row r="100" spans="2:15">
      <c r="B100" s="1037">
        <f t="shared" si="23"/>
        <v>88</v>
      </c>
      <c r="C100" s="1038">
        <f t="shared" si="16"/>
        <v>0</v>
      </c>
      <c r="D100" s="1038">
        <f t="shared" si="14"/>
        <v>0</v>
      </c>
      <c r="E100" s="1038">
        <f t="shared" si="17"/>
        <v>0</v>
      </c>
      <c r="F100" s="1039">
        <f t="shared" si="19"/>
        <v>0</v>
      </c>
      <c r="K100" s="1037">
        <f t="shared" si="20"/>
        <v>88</v>
      </c>
      <c r="L100" s="1038">
        <f t="shared" si="24"/>
        <v>0</v>
      </c>
      <c r="M100" s="1038">
        <f t="shared" si="27"/>
        <v>0</v>
      </c>
      <c r="N100" s="1038">
        <f t="shared" si="25"/>
        <v>0</v>
      </c>
      <c r="O100" s="1039">
        <f t="shared" si="21"/>
        <v>0</v>
      </c>
    </row>
    <row r="101" spans="2:15">
      <c r="B101" s="1037">
        <f t="shared" si="23"/>
        <v>89</v>
      </c>
      <c r="C101" s="1038">
        <f t="shared" si="16"/>
        <v>0</v>
      </c>
      <c r="D101" s="1038">
        <f t="shared" si="14"/>
        <v>0</v>
      </c>
      <c r="E101" s="1038">
        <f t="shared" si="17"/>
        <v>0</v>
      </c>
      <c r="F101" s="1039">
        <f t="shared" si="19"/>
        <v>0</v>
      </c>
      <c r="K101" s="1037">
        <f t="shared" si="20"/>
        <v>89</v>
      </c>
      <c r="L101" s="1038">
        <f t="shared" si="24"/>
        <v>0</v>
      </c>
      <c r="M101" s="1038">
        <f t="shared" si="27"/>
        <v>0</v>
      </c>
      <c r="N101" s="1038">
        <f t="shared" si="25"/>
        <v>0</v>
      </c>
      <c r="O101" s="1039">
        <f t="shared" si="21"/>
        <v>0</v>
      </c>
    </row>
    <row r="102" spans="2:15">
      <c r="B102" s="1037">
        <f t="shared" si="23"/>
        <v>90</v>
      </c>
      <c r="C102" s="1038">
        <f t="shared" si="16"/>
        <v>0</v>
      </c>
      <c r="D102" s="1038">
        <f t="shared" si="14"/>
        <v>0</v>
      </c>
      <c r="E102" s="1038">
        <f t="shared" si="17"/>
        <v>0</v>
      </c>
      <c r="F102" s="1039">
        <f t="shared" si="19"/>
        <v>0</v>
      </c>
      <c r="K102" s="1037">
        <f t="shared" si="20"/>
        <v>90</v>
      </c>
      <c r="L102" s="1038">
        <f t="shared" si="24"/>
        <v>0</v>
      </c>
      <c r="M102" s="1038">
        <f t="shared" si="27"/>
        <v>0</v>
      </c>
      <c r="N102" s="1038">
        <f t="shared" si="25"/>
        <v>0</v>
      </c>
      <c r="O102" s="1039">
        <f t="shared" si="21"/>
        <v>0</v>
      </c>
    </row>
    <row r="103" spans="2:15">
      <c r="B103" s="1037">
        <f t="shared" si="23"/>
        <v>91</v>
      </c>
      <c r="C103" s="1038">
        <f t="shared" si="16"/>
        <v>0</v>
      </c>
      <c r="D103" s="1038">
        <f t="shared" si="14"/>
        <v>0</v>
      </c>
      <c r="E103" s="1038">
        <f t="shared" si="17"/>
        <v>0</v>
      </c>
      <c r="F103" s="1039">
        <f t="shared" si="19"/>
        <v>0</v>
      </c>
      <c r="K103" s="1037">
        <f t="shared" si="20"/>
        <v>91</v>
      </c>
      <c r="L103" s="1038">
        <f t="shared" si="24"/>
        <v>0</v>
      </c>
      <c r="M103" s="1038">
        <f t="shared" si="27"/>
        <v>0</v>
      </c>
      <c r="N103" s="1038">
        <f t="shared" si="25"/>
        <v>0</v>
      </c>
      <c r="O103" s="1039">
        <f t="shared" si="21"/>
        <v>0</v>
      </c>
    </row>
    <row r="104" spans="2:15">
      <c r="B104" s="1037">
        <f t="shared" si="23"/>
        <v>92</v>
      </c>
      <c r="C104" s="1038">
        <f t="shared" si="16"/>
        <v>0</v>
      </c>
      <c r="D104" s="1038">
        <f t="shared" si="14"/>
        <v>0</v>
      </c>
      <c r="E104" s="1038">
        <f t="shared" si="17"/>
        <v>0</v>
      </c>
      <c r="F104" s="1039">
        <f t="shared" si="19"/>
        <v>0</v>
      </c>
      <c r="K104" s="1037">
        <f t="shared" si="20"/>
        <v>92</v>
      </c>
      <c r="L104" s="1038">
        <f t="shared" si="24"/>
        <v>0</v>
      </c>
      <c r="M104" s="1038">
        <f t="shared" si="27"/>
        <v>0</v>
      </c>
      <c r="N104" s="1038">
        <f t="shared" si="25"/>
        <v>0</v>
      </c>
      <c r="O104" s="1039">
        <f t="shared" si="21"/>
        <v>0</v>
      </c>
    </row>
    <row r="105" spans="2:15">
      <c r="B105" s="1037">
        <f t="shared" si="23"/>
        <v>93</v>
      </c>
      <c r="C105" s="1038">
        <f t="shared" si="16"/>
        <v>0</v>
      </c>
      <c r="D105" s="1038">
        <f t="shared" si="14"/>
        <v>0</v>
      </c>
      <c r="E105" s="1038">
        <f t="shared" si="17"/>
        <v>0</v>
      </c>
      <c r="F105" s="1039">
        <f t="shared" si="19"/>
        <v>0</v>
      </c>
      <c r="K105" s="1037">
        <f t="shared" si="20"/>
        <v>93</v>
      </c>
      <c r="L105" s="1038">
        <f t="shared" si="24"/>
        <v>0</v>
      </c>
      <c r="M105" s="1038">
        <f t="shared" si="27"/>
        <v>0</v>
      </c>
      <c r="N105" s="1038">
        <f t="shared" si="25"/>
        <v>0</v>
      </c>
      <c r="O105" s="1039">
        <f t="shared" si="21"/>
        <v>0</v>
      </c>
    </row>
    <row r="106" spans="2:15">
      <c r="B106" s="1037">
        <f t="shared" si="23"/>
        <v>94</v>
      </c>
      <c r="C106" s="1038">
        <f t="shared" si="16"/>
        <v>0</v>
      </c>
      <c r="D106" s="1038">
        <f t="shared" si="14"/>
        <v>0</v>
      </c>
      <c r="E106" s="1038">
        <f t="shared" si="17"/>
        <v>0</v>
      </c>
      <c r="F106" s="1039">
        <f t="shared" si="19"/>
        <v>0</v>
      </c>
      <c r="K106" s="1037">
        <f t="shared" si="20"/>
        <v>94</v>
      </c>
      <c r="L106" s="1038">
        <f t="shared" si="24"/>
        <v>0</v>
      </c>
      <c r="M106" s="1038">
        <f t="shared" si="27"/>
        <v>0</v>
      </c>
      <c r="N106" s="1038">
        <f t="shared" si="25"/>
        <v>0</v>
      </c>
      <c r="O106" s="1039">
        <f t="shared" si="21"/>
        <v>0</v>
      </c>
    </row>
    <row r="107" spans="2:15">
      <c r="B107" s="1037">
        <f t="shared" si="23"/>
        <v>95</v>
      </c>
      <c r="C107" s="1038">
        <f t="shared" si="16"/>
        <v>0</v>
      </c>
      <c r="D107" s="1038">
        <f t="shared" si="14"/>
        <v>0</v>
      </c>
      <c r="E107" s="1038">
        <f t="shared" si="17"/>
        <v>0</v>
      </c>
      <c r="F107" s="1039">
        <f t="shared" si="19"/>
        <v>0</v>
      </c>
      <c r="K107" s="1037">
        <f t="shared" si="20"/>
        <v>95</v>
      </c>
      <c r="L107" s="1038">
        <f t="shared" si="24"/>
        <v>0</v>
      </c>
      <c r="M107" s="1038">
        <f t="shared" si="27"/>
        <v>0</v>
      </c>
      <c r="N107" s="1038">
        <f t="shared" si="25"/>
        <v>0</v>
      </c>
      <c r="O107" s="1039">
        <f t="shared" si="21"/>
        <v>0</v>
      </c>
    </row>
    <row r="108" spans="2:15">
      <c r="B108" s="1037">
        <f>B107+1</f>
        <v>96</v>
      </c>
      <c r="C108" s="1038">
        <f t="shared" si="16"/>
        <v>0</v>
      </c>
      <c r="D108" s="1038">
        <f t="shared" si="14"/>
        <v>0</v>
      </c>
      <c r="E108" s="1038">
        <f t="shared" si="17"/>
        <v>0</v>
      </c>
      <c r="F108" s="1039">
        <f t="shared" si="19"/>
        <v>0</v>
      </c>
      <c r="K108" s="1037">
        <f>K107+1</f>
        <v>96</v>
      </c>
      <c r="L108" s="1038">
        <f t="shared" si="24"/>
        <v>0</v>
      </c>
      <c r="M108" s="1038">
        <f t="shared" si="27"/>
        <v>0</v>
      </c>
      <c r="N108" s="1038">
        <f t="shared" si="25"/>
        <v>0</v>
      </c>
      <c r="O108" s="1039">
        <f t="shared" si="21"/>
        <v>0</v>
      </c>
    </row>
    <row r="109" spans="2:15">
      <c r="B109" s="1037">
        <f t="shared" ref="B109:B131" si="28">B108+1</f>
        <v>97</v>
      </c>
      <c r="C109" s="1038">
        <f t="shared" si="16"/>
        <v>0</v>
      </c>
      <c r="D109" s="1038">
        <f t="shared" si="14"/>
        <v>0</v>
      </c>
      <c r="E109" s="1038">
        <f t="shared" si="17"/>
        <v>0</v>
      </c>
      <c r="F109" s="1039">
        <f t="shared" si="19"/>
        <v>0</v>
      </c>
      <c r="K109" s="1037">
        <f t="shared" ref="K109:K131" si="29">K108+1</f>
        <v>97</v>
      </c>
      <c r="L109" s="1038">
        <f t="shared" si="24"/>
        <v>0</v>
      </c>
      <c r="M109" s="1038">
        <f t="shared" si="27"/>
        <v>0</v>
      </c>
      <c r="N109" s="1038">
        <f t="shared" si="25"/>
        <v>0</v>
      </c>
      <c r="O109" s="1039">
        <f t="shared" si="21"/>
        <v>0</v>
      </c>
    </row>
    <row r="110" spans="2:15">
      <c r="B110" s="1037">
        <f t="shared" si="28"/>
        <v>98</v>
      </c>
      <c r="C110" s="1038">
        <f t="shared" si="16"/>
        <v>0</v>
      </c>
      <c r="D110" s="1038">
        <f t="shared" si="14"/>
        <v>0</v>
      </c>
      <c r="E110" s="1038">
        <f t="shared" si="17"/>
        <v>0</v>
      </c>
      <c r="F110" s="1039">
        <f t="shared" si="19"/>
        <v>0</v>
      </c>
      <c r="K110" s="1037">
        <f t="shared" si="29"/>
        <v>98</v>
      </c>
      <c r="L110" s="1038">
        <f t="shared" si="24"/>
        <v>0</v>
      </c>
      <c r="M110" s="1038">
        <f t="shared" si="27"/>
        <v>0</v>
      </c>
      <c r="N110" s="1038">
        <f t="shared" si="25"/>
        <v>0</v>
      </c>
      <c r="O110" s="1039">
        <f t="shared" si="21"/>
        <v>0</v>
      </c>
    </row>
    <row r="111" spans="2:15">
      <c r="B111" s="1037">
        <f t="shared" si="28"/>
        <v>99</v>
      </c>
      <c r="C111" s="1038">
        <f t="shared" si="16"/>
        <v>0</v>
      </c>
      <c r="D111" s="1038">
        <f t="shared" si="14"/>
        <v>0</v>
      </c>
      <c r="E111" s="1038">
        <f t="shared" si="17"/>
        <v>0</v>
      </c>
      <c r="F111" s="1039">
        <f t="shared" si="19"/>
        <v>0</v>
      </c>
      <c r="K111" s="1037">
        <f t="shared" si="29"/>
        <v>99</v>
      </c>
      <c r="L111" s="1038">
        <f t="shared" si="24"/>
        <v>0</v>
      </c>
      <c r="M111" s="1038">
        <f t="shared" si="27"/>
        <v>0</v>
      </c>
      <c r="N111" s="1038">
        <f t="shared" si="25"/>
        <v>0</v>
      </c>
      <c r="O111" s="1039">
        <f t="shared" si="21"/>
        <v>0</v>
      </c>
    </row>
    <row r="112" spans="2:15">
      <c r="B112" s="1037">
        <f t="shared" si="28"/>
        <v>100</v>
      </c>
      <c r="C112" s="1038">
        <f t="shared" si="16"/>
        <v>0</v>
      </c>
      <c r="D112" s="1038">
        <f t="shared" si="14"/>
        <v>0</v>
      </c>
      <c r="E112" s="1038">
        <f t="shared" si="17"/>
        <v>0</v>
      </c>
      <c r="F112" s="1039">
        <f t="shared" si="19"/>
        <v>0</v>
      </c>
      <c r="K112" s="1037">
        <f t="shared" si="29"/>
        <v>100</v>
      </c>
      <c r="L112" s="1038">
        <f t="shared" si="24"/>
        <v>0</v>
      </c>
      <c r="M112" s="1038">
        <f t="shared" si="27"/>
        <v>0</v>
      </c>
      <c r="N112" s="1038">
        <f t="shared" si="25"/>
        <v>0</v>
      </c>
      <c r="O112" s="1039">
        <f t="shared" si="21"/>
        <v>0</v>
      </c>
    </row>
    <row r="113" spans="2:15">
      <c r="B113" s="1037">
        <f t="shared" si="28"/>
        <v>101</v>
      </c>
      <c r="C113" s="1038">
        <f t="shared" si="16"/>
        <v>0</v>
      </c>
      <c r="D113" s="1038">
        <f t="shared" si="14"/>
        <v>0</v>
      </c>
      <c r="E113" s="1038">
        <f t="shared" si="17"/>
        <v>0</v>
      </c>
      <c r="F113" s="1039">
        <f t="shared" si="19"/>
        <v>0</v>
      </c>
      <c r="K113" s="1037">
        <f t="shared" si="29"/>
        <v>101</v>
      </c>
      <c r="L113" s="1038">
        <f t="shared" si="24"/>
        <v>0</v>
      </c>
      <c r="M113" s="1038">
        <f t="shared" si="27"/>
        <v>0</v>
      </c>
      <c r="N113" s="1038">
        <f t="shared" si="25"/>
        <v>0</v>
      </c>
      <c r="O113" s="1039">
        <f t="shared" si="21"/>
        <v>0</v>
      </c>
    </row>
    <row r="114" spans="2:15">
      <c r="B114" s="1037">
        <f t="shared" si="28"/>
        <v>102</v>
      </c>
      <c r="C114" s="1038">
        <f t="shared" si="16"/>
        <v>0</v>
      </c>
      <c r="D114" s="1038">
        <f t="shared" si="14"/>
        <v>0</v>
      </c>
      <c r="E114" s="1038">
        <f t="shared" si="17"/>
        <v>0</v>
      </c>
      <c r="F114" s="1039">
        <f t="shared" si="19"/>
        <v>0</v>
      </c>
      <c r="K114" s="1037">
        <f t="shared" si="29"/>
        <v>102</v>
      </c>
      <c r="L114" s="1038">
        <f t="shared" si="24"/>
        <v>0</v>
      </c>
      <c r="M114" s="1038">
        <f t="shared" si="27"/>
        <v>0</v>
      </c>
      <c r="N114" s="1038">
        <f t="shared" si="25"/>
        <v>0</v>
      </c>
      <c r="O114" s="1039">
        <f t="shared" si="21"/>
        <v>0</v>
      </c>
    </row>
    <row r="115" spans="2:15">
      <c r="B115" s="1035">
        <f t="shared" si="28"/>
        <v>103</v>
      </c>
      <c r="C115" s="1036">
        <f t="shared" si="16"/>
        <v>0</v>
      </c>
      <c r="D115" s="1036">
        <f t="shared" si="14"/>
        <v>0</v>
      </c>
      <c r="E115" s="1036">
        <f t="shared" si="17"/>
        <v>0</v>
      </c>
      <c r="F115" s="1034">
        <f t="shared" si="19"/>
        <v>0</v>
      </c>
      <c r="K115" s="1035">
        <f t="shared" si="29"/>
        <v>103</v>
      </c>
      <c r="L115" s="1036">
        <f t="shared" si="24"/>
        <v>0</v>
      </c>
      <c r="M115" s="1036">
        <f t="shared" si="27"/>
        <v>0</v>
      </c>
      <c r="N115" s="1036">
        <f t="shared" si="25"/>
        <v>0</v>
      </c>
      <c r="O115" s="1034">
        <f t="shared" si="21"/>
        <v>0</v>
      </c>
    </row>
    <row r="116" spans="2:15">
      <c r="B116" s="1035">
        <f t="shared" si="28"/>
        <v>104</v>
      </c>
      <c r="C116" s="1036">
        <f t="shared" si="16"/>
        <v>0</v>
      </c>
      <c r="D116" s="1036">
        <f t="shared" si="14"/>
        <v>0</v>
      </c>
      <c r="E116" s="1036">
        <f t="shared" si="17"/>
        <v>0</v>
      </c>
      <c r="F116" s="1034">
        <f t="shared" si="19"/>
        <v>0</v>
      </c>
      <c r="K116" s="1035">
        <f t="shared" si="29"/>
        <v>104</v>
      </c>
      <c r="L116" s="1036">
        <f t="shared" si="24"/>
        <v>0</v>
      </c>
      <c r="M116" s="1036">
        <f t="shared" si="27"/>
        <v>0</v>
      </c>
      <c r="N116" s="1036">
        <f t="shared" si="25"/>
        <v>0</v>
      </c>
      <c r="O116" s="1034">
        <f t="shared" si="21"/>
        <v>0</v>
      </c>
    </row>
    <row r="117" spans="2:15">
      <c r="B117" s="1035">
        <f t="shared" si="28"/>
        <v>105</v>
      </c>
      <c r="C117" s="1036">
        <f t="shared" si="16"/>
        <v>0</v>
      </c>
      <c r="D117" s="1036">
        <f t="shared" si="14"/>
        <v>0</v>
      </c>
      <c r="E117" s="1036">
        <f t="shared" si="17"/>
        <v>0</v>
      </c>
      <c r="F117" s="1034">
        <f t="shared" si="19"/>
        <v>0</v>
      </c>
      <c r="K117" s="1035">
        <f t="shared" si="29"/>
        <v>105</v>
      </c>
      <c r="L117" s="1036">
        <f t="shared" si="24"/>
        <v>0</v>
      </c>
      <c r="M117" s="1036">
        <f t="shared" si="27"/>
        <v>0</v>
      </c>
      <c r="N117" s="1036">
        <f t="shared" si="25"/>
        <v>0</v>
      </c>
      <c r="O117" s="1034">
        <f t="shared" si="21"/>
        <v>0</v>
      </c>
    </row>
    <row r="118" spans="2:15">
      <c r="B118" s="1035">
        <f t="shared" si="28"/>
        <v>106</v>
      </c>
      <c r="C118" s="1036">
        <f t="shared" si="16"/>
        <v>0</v>
      </c>
      <c r="D118" s="1036">
        <f t="shared" si="14"/>
        <v>0</v>
      </c>
      <c r="E118" s="1036">
        <f t="shared" si="17"/>
        <v>0</v>
      </c>
      <c r="F118" s="1034">
        <f t="shared" si="19"/>
        <v>0</v>
      </c>
      <c r="K118" s="1035">
        <f t="shared" si="29"/>
        <v>106</v>
      </c>
      <c r="L118" s="1036">
        <f t="shared" si="24"/>
        <v>0</v>
      </c>
      <c r="M118" s="1036">
        <f t="shared" si="27"/>
        <v>0</v>
      </c>
      <c r="N118" s="1036">
        <f t="shared" si="25"/>
        <v>0</v>
      </c>
      <c r="O118" s="1034">
        <f t="shared" si="21"/>
        <v>0</v>
      </c>
    </row>
    <row r="119" spans="2:15">
      <c r="B119" s="1035">
        <f t="shared" si="28"/>
        <v>107</v>
      </c>
      <c r="C119" s="1036">
        <f t="shared" si="16"/>
        <v>0</v>
      </c>
      <c r="D119" s="1036">
        <f t="shared" si="14"/>
        <v>0</v>
      </c>
      <c r="E119" s="1036">
        <f t="shared" si="17"/>
        <v>0</v>
      </c>
      <c r="F119" s="1034">
        <f t="shared" si="19"/>
        <v>0</v>
      </c>
      <c r="K119" s="1035">
        <f t="shared" si="29"/>
        <v>107</v>
      </c>
      <c r="L119" s="1036">
        <f t="shared" si="24"/>
        <v>0</v>
      </c>
      <c r="M119" s="1036">
        <f t="shared" si="27"/>
        <v>0</v>
      </c>
      <c r="N119" s="1036">
        <f t="shared" si="25"/>
        <v>0</v>
      </c>
      <c r="O119" s="1034">
        <f t="shared" si="21"/>
        <v>0</v>
      </c>
    </row>
    <row r="120" spans="2:15">
      <c r="B120" s="1035">
        <f t="shared" si="28"/>
        <v>108</v>
      </c>
      <c r="C120" s="1036">
        <f t="shared" si="16"/>
        <v>0</v>
      </c>
      <c r="D120" s="1036">
        <f t="shared" si="14"/>
        <v>0</v>
      </c>
      <c r="E120" s="1036">
        <f t="shared" si="17"/>
        <v>0</v>
      </c>
      <c r="F120" s="1034">
        <f t="shared" si="19"/>
        <v>0</v>
      </c>
      <c r="K120" s="1035">
        <f t="shared" si="29"/>
        <v>108</v>
      </c>
      <c r="L120" s="1036">
        <f t="shared" si="24"/>
        <v>0</v>
      </c>
      <c r="M120" s="1036">
        <f t="shared" si="27"/>
        <v>0</v>
      </c>
      <c r="N120" s="1036">
        <f t="shared" si="25"/>
        <v>0</v>
      </c>
      <c r="O120" s="1034">
        <f t="shared" si="21"/>
        <v>0</v>
      </c>
    </row>
    <row r="121" spans="2:15">
      <c r="B121" s="1035">
        <f t="shared" si="28"/>
        <v>109</v>
      </c>
      <c r="C121" s="1036">
        <f t="shared" si="16"/>
        <v>0</v>
      </c>
      <c r="D121" s="1036">
        <f t="shared" si="14"/>
        <v>0</v>
      </c>
      <c r="E121" s="1036">
        <f t="shared" si="17"/>
        <v>0</v>
      </c>
      <c r="F121" s="1034">
        <f t="shared" si="19"/>
        <v>0</v>
      </c>
      <c r="K121" s="1035">
        <f t="shared" si="29"/>
        <v>109</v>
      </c>
      <c r="L121" s="1036">
        <f t="shared" si="24"/>
        <v>0</v>
      </c>
      <c r="M121" s="1036">
        <f t="shared" si="27"/>
        <v>0</v>
      </c>
      <c r="N121" s="1036">
        <f t="shared" si="25"/>
        <v>0</v>
      </c>
      <c r="O121" s="1034">
        <f t="shared" si="21"/>
        <v>0</v>
      </c>
    </row>
    <row r="122" spans="2:15">
      <c r="B122" s="1035">
        <f t="shared" si="28"/>
        <v>110</v>
      </c>
      <c r="C122" s="1036">
        <f t="shared" si="16"/>
        <v>0</v>
      </c>
      <c r="D122" s="1036">
        <f t="shared" si="14"/>
        <v>0</v>
      </c>
      <c r="E122" s="1036">
        <f t="shared" si="17"/>
        <v>0</v>
      </c>
      <c r="F122" s="1034">
        <f t="shared" si="19"/>
        <v>0</v>
      </c>
      <c r="K122" s="1035">
        <f t="shared" si="29"/>
        <v>110</v>
      </c>
      <c r="L122" s="1036">
        <f t="shared" si="24"/>
        <v>0</v>
      </c>
      <c r="M122" s="1036">
        <f t="shared" si="27"/>
        <v>0</v>
      </c>
      <c r="N122" s="1036">
        <f t="shared" si="25"/>
        <v>0</v>
      </c>
      <c r="O122" s="1034">
        <f t="shared" si="21"/>
        <v>0</v>
      </c>
    </row>
    <row r="123" spans="2:15">
      <c r="B123" s="1035">
        <f t="shared" si="28"/>
        <v>111</v>
      </c>
      <c r="C123" s="1036">
        <f t="shared" si="16"/>
        <v>0</v>
      </c>
      <c r="D123" s="1036">
        <f t="shared" si="14"/>
        <v>0</v>
      </c>
      <c r="E123" s="1036">
        <f t="shared" si="17"/>
        <v>0</v>
      </c>
      <c r="F123" s="1034">
        <f t="shared" si="19"/>
        <v>0</v>
      </c>
      <c r="K123" s="1035">
        <f t="shared" si="29"/>
        <v>111</v>
      </c>
      <c r="L123" s="1036">
        <f t="shared" si="24"/>
        <v>0</v>
      </c>
      <c r="M123" s="1036">
        <f t="shared" si="27"/>
        <v>0</v>
      </c>
      <c r="N123" s="1036">
        <f t="shared" si="25"/>
        <v>0</v>
      </c>
      <c r="O123" s="1034">
        <f t="shared" si="21"/>
        <v>0</v>
      </c>
    </row>
    <row r="124" spans="2:15">
      <c r="B124" s="1035">
        <f t="shared" si="28"/>
        <v>112</v>
      </c>
      <c r="C124" s="1036">
        <f t="shared" si="16"/>
        <v>0</v>
      </c>
      <c r="D124" s="1036">
        <f t="shared" si="14"/>
        <v>0</v>
      </c>
      <c r="E124" s="1036">
        <f t="shared" si="17"/>
        <v>0</v>
      </c>
      <c r="F124" s="1034">
        <f t="shared" si="19"/>
        <v>0</v>
      </c>
      <c r="K124" s="1035">
        <f t="shared" si="29"/>
        <v>112</v>
      </c>
      <c r="L124" s="1036">
        <f t="shared" si="24"/>
        <v>0</v>
      </c>
      <c r="M124" s="1036">
        <f t="shared" si="27"/>
        <v>0</v>
      </c>
      <c r="N124" s="1036">
        <f t="shared" si="25"/>
        <v>0</v>
      </c>
      <c r="O124" s="1034">
        <f t="shared" si="21"/>
        <v>0</v>
      </c>
    </row>
    <row r="125" spans="2:15">
      <c r="B125" s="1035">
        <f t="shared" si="28"/>
        <v>113</v>
      </c>
      <c r="C125" s="1036">
        <f t="shared" si="16"/>
        <v>0</v>
      </c>
      <c r="D125" s="1036">
        <f t="shared" si="14"/>
        <v>0</v>
      </c>
      <c r="E125" s="1036">
        <f t="shared" si="17"/>
        <v>0</v>
      </c>
      <c r="F125" s="1034">
        <f t="shared" si="19"/>
        <v>0</v>
      </c>
      <c r="K125" s="1035">
        <f t="shared" si="29"/>
        <v>113</v>
      </c>
      <c r="L125" s="1036">
        <f t="shared" si="24"/>
        <v>0</v>
      </c>
      <c r="M125" s="1036">
        <f t="shared" si="27"/>
        <v>0</v>
      </c>
      <c r="N125" s="1036">
        <f t="shared" si="25"/>
        <v>0</v>
      </c>
      <c r="O125" s="1034">
        <f t="shared" si="21"/>
        <v>0</v>
      </c>
    </row>
    <row r="126" spans="2:15">
      <c r="B126" s="1035">
        <f t="shared" si="28"/>
        <v>114</v>
      </c>
      <c r="C126" s="1036">
        <f t="shared" si="16"/>
        <v>0</v>
      </c>
      <c r="D126" s="1036">
        <f t="shared" si="14"/>
        <v>0</v>
      </c>
      <c r="E126" s="1036">
        <f t="shared" si="17"/>
        <v>0</v>
      </c>
      <c r="F126" s="1034">
        <f t="shared" si="19"/>
        <v>0</v>
      </c>
      <c r="K126" s="1035">
        <f t="shared" si="29"/>
        <v>114</v>
      </c>
      <c r="L126" s="1036">
        <f t="shared" si="24"/>
        <v>0</v>
      </c>
      <c r="M126" s="1036">
        <f t="shared" si="27"/>
        <v>0</v>
      </c>
      <c r="N126" s="1036">
        <f t="shared" si="25"/>
        <v>0</v>
      </c>
      <c r="O126" s="1034">
        <f t="shared" si="21"/>
        <v>0</v>
      </c>
    </row>
    <row r="127" spans="2:15">
      <c r="B127" s="1037">
        <f t="shared" si="28"/>
        <v>115</v>
      </c>
      <c r="C127" s="1038">
        <f t="shared" si="16"/>
        <v>0</v>
      </c>
      <c r="D127" s="1038">
        <f t="shared" si="14"/>
        <v>0</v>
      </c>
      <c r="E127" s="1038">
        <f t="shared" si="17"/>
        <v>0</v>
      </c>
      <c r="F127" s="1039">
        <f t="shared" si="19"/>
        <v>0</v>
      </c>
      <c r="K127" s="1037">
        <f t="shared" si="29"/>
        <v>115</v>
      </c>
      <c r="L127" s="1038">
        <f t="shared" si="24"/>
        <v>0</v>
      </c>
      <c r="M127" s="1038">
        <f t="shared" si="27"/>
        <v>0</v>
      </c>
      <c r="N127" s="1038">
        <f t="shared" si="25"/>
        <v>0</v>
      </c>
      <c r="O127" s="1039">
        <f t="shared" si="21"/>
        <v>0</v>
      </c>
    </row>
    <row r="128" spans="2:15">
      <c r="B128" s="1037">
        <f t="shared" si="28"/>
        <v>116</v>
      </c>
      <c r="C128" s="1038">
        <f t="shared" si="16"/>
        <v>0</v>
      </c>
      <c r="D128" s="1038">
        <f t="shared" si="14"/>
        <v>0</v>
      </c>
      <c r="E128" s="1038">
        <f t="shared" si="17"/>
        <v>0</v>
      </c>
      <c r="F128" s="1039">
        <f t="shared" si="19"/>
        <v>0</v>
      </c>
      <c r="K128" s="1037">
        <f t="shared" si="29"/>
        <v>116</v>
      </c>
      <c r="L128" s="1038">
        <f t="shared" si="24"/>
        <v>0</v>
      </c>
      <c r="M128" s="1038">
        <f t="shared" si="27"/>
        <v>0</v>
      </c>
      <c r="N128" s="1038">
        <f t="shared" si="25"/>
        <v>0</v>
      </c>
      <c r="O128" s="1039">
        <f t="shared" si="21"/>
        <v>0</v>
      </c>
    </row>
    <row r="129" spans="2:15">
      <c r="B129" s="1037">
        <f t="shared" si="28"/>
        <v>117</v>
      </c>
      <c r="C129" s="1038">
        <f t="shared" si="16"/>
        <v>0</v>
      </c>
      <c r="D129" s="1038">
        <f t="shared" si="14"/>
        <v>0</v>
      </c>
      <c r="E129" s="1038">
        <f t="shared" si="17"/>
        <v>0</v>
      </c>
      <c r="F129" s="1039">
        <f t="shared" si="19"/>
        <v>0</v>
      </c>
      <c r="K129" s="1037">
        <f t="shared" si="29"/>
        <v>117</v>
      </c>
      <c r="L129" s="1038">
        <f t="shared" si="24"/>
        <v>0</v>
      </c>
      <c r="M129" s="1038">
        <f t="shared" si="27"/>
        <v>0</v>
      </c>
      <c r="N129" s="1038">
        <f t="shared" si="25"/>
        <v>0</v>
      </c>
      <c r="O129" s="1039">
        <f t="shared" si="21"/>
        <v>0</v>
      </c>
    </row>
    <row r="130" spans="2:15">
      <c r="B130" s="1037">
        <f t="shared" si="28"/>
        <v>118</v>
      </c>
      <c r="C130" s="1038">
        <f t="shared" si="16"/>
        <v>0</v>
      </c>
      <c r="D130" s="1038">
        <f t="shared" si="14"/>
        <v>0</v>
      </c>
      <c r="E130" s="1038">
        <f t="shared" si="17"/>
        <v>0</v>
      </c>
      <c r="F130" s="1039">
        <f t="shared" si="19"/>
        <v>0</v>
      </c>
      <c r="K130" s="1037">
        <f t="shared" si="29"/>
        <v>118</v>
      </c>
      <c r="L130" s="1038">
        <f t="shared" si="24"/>
        <v>0</v>
      </c>
      <c r="M130" s="1038">
        <f t="shared" si="27"/>
        <v>0</v>
      </c>
      <c r="N130" s="1038">
        <f t="shared" si="25"/>
        <v>0</v>
      </c>
      <c r="O130" s="1039">
        <f t="shared" si="21"/>
        <v>0</v>
      </c>
    </row>
    <row r="131" spans="2:15">
      <c r="B131" s="1037">
        <f t="shared" si="28"/>
        <v>119</v>
      </c>
      <c r="C131" s="1038">
        <f t="shared" si="16"/>
        <v>0</v>
      </c>
      <c r="D131" s="1038">
        <f t="shared" si="14"/>
        <v>0</v>
      </c>
      <c r="E131" s="1038">
        <f t="shared" si="17"/>
        <v>0</v>
      </c>
      <c r="F131" s="1039">
        <f t="shared" si="19"/>
        <v>0</v>
      </c>
      <c r="K131" s="1037">
        <f t="shared" si="29"/>
        <v>119</v>
      </c>
      <c r="L131" s="1038">
        <f t="shared" si="24"/>
        <v>0</v>
      </c>
      <c r="M131" s="1038">
        <f t="shared" si="27"/>
        <v>0</v>
      </c>
      <c r="N131" s="1038">
        <f t="shared" si="25"/>
        <v>0</v>
      </c>
      <c r="O131" s="1039">
        <f t="shared" si="21"/>
        <v>0</v>
      </c>
    </row>
    <row r="132" spans="2:15">
      <c r="B132" s="1037">
        <f>B131+1</f>
        <v>120</v>
      </c>
      <c r="C132" s="1038">
        <f t="shared" si="16"/>
        <v>0</v>
      </c>
      <c r="D132" s="1038">
        <f t="shared" si="14"/>
        <v>0</v>
      </c>
      <c r="E132" s="1038">
        <f t="shared" si="17"/>
        <v>0</v>
      </c>
      <c r="F132" s="1039">
        <f t="shared" si="19"/>
        <v>0</v>
      </c>
      <c r="K132" s="1037">
        <f>K131+1</f>
        <v>120</v>
      </c>
      <c r="L132" s="1038">
        <f t="shared" si="24"/>
        <v>0</v>
      </c>
      <c r="M132" s="1038">
        <f t="shared" si="27"/>
        <v>0</v>
      </c>
      <c r="N132" s="1038">
        <f t="shared" si="25"/>
        <v>0</v>
      </c>
      <c r="O132" s="1039">
        <f t="shared" si="21"/>
        <v>0</v>
      </c>
    </row>
  </sheetData>
  <mergeCells count="14">
    <mergeCell ref="S79:S90"/>
    <mergeCell ref="T79:T90"/>
    <mergeCell ref="S43:S54"/>
    <mergeCell ref="T43:T54"/>
    <mergeCell ref="S55:S66"/>
    <mergeCell ref="T55:T66"/>
    <mergeCell ref="S67:S78"/>
    <mergeCell ref="T67:T78"/>
    <mergeCell ref="S12:S18"/>
    <mergeCell ref="T12:T18"/>
    <mergeCell ref="S19:S30"/>
    <mergeCell ref="T19:T30"/>
    <mergeCell ref="S31:S42"/>
    <mergeCell ref="T31:T42"/>
  </mergeCells>
  <phoneticPr fontId="30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rgb="FF66CCFF"/>
  </sheetPr>
  <dimension ref="A3:P63"/>
  <sheetViews>
    <sheetView workbookViewId="0">
      <selection activeCell="D49" sqref="D49"/>
    </sheetView>
  </sheetViews>
  <sheetFormatPr defaultRowHeight="15" outlineLevelCol="1"/>
  <cols>
    <col min="1" max="1" width="41.140625" customWidth="1"/>
    <col min="2" max="4" width="10.42578125" customWidth="1" outlineLevel="1"/>
    <col min="5" max="16" width="10.42578125" customWidth="1"/>
  </cols>
  <sheetData>
    <row r="3" spans="1:16">
      <c r="A3" t="s">
        <v>1390</v>
      </c>
    </row>
    <row r="5" spans="1:16">
      <c r="A5" s="131" t="s">
        <v>214</v>
      </c>
      <c r="B5" s="132"/>
      <c r="C5" s="132"/>
      <c r="D5" s="132"/>
      <c r="E5" s="132"/>
      <c r="F5" s="132"/>
      <c r="G5" s="132"/>
      <c r="H5" s="132"/>
      <c r="I5" s="132"/>
      <c r="J5" s="132"/>
      <c r="K5" s="132"/>
      <c r="L5" s="132"/>
      <c r="M5" s="132"/>
      <c r="N5" s="132"/>
      <c r="O5" s="132"/>
      <c r="P5" s="132"/>
    </row>
    <row r="6" spans="1:16">
      <c r="A6" s="122" t="s">
        <v>10</v>
      </c>
      <c r="B6" s="123" t="s">
        <v>0</v>
      </c>
      <c r="C6" s="123" t="s">
        <v>1</v>
      </c>
      <c r="D6" s="123" t="s">
        <v>2</v>
      </c>
      <c r="E6" s="123" t="s">
        <v>3</v>
      </c>
      <c r="F6" s="123" t="s">
        <v>4</v>
      </c>
      <c r="G6" s="123" t="s">
        <v>5</v>
      </c>
      <c r="H6" s="123" t="s">
        <v>6</v>
      </c>
      <c r="I6" s="123" t="s">
        <v>7</v>
      </c>
      <c r="J6" s="123" t="s">
        <v>13</v>
      </c>
      <c r="K6" s="123" t="s">
        <v>14</v>
      </c>
      <c r="L6" s="123" t="s">
        <v>15</v>
      </c>
      <c r="M6" s="123" t="s">
        <v>16</v>
      </c>
      <c r="N6" s="123" t="s">
        <v>17</v>
      </c>
      <c r="O6" s="123" t="s">
        <v>18</v>
      </c>
      <c r="P6" s="123" t="s">
        <v>19</v>
      </c>
    </row>
    <row r="7" spans="1:16">
      <c r="A7" s="125" t="s">
        <v>208</v>
      </c>
      <c r="B7" s="126">
        <v>85661.725530835087</v>
      </c>
      <c r="C7" s="126">
        <v>145048.30426196981</v>
      </c>
      <c r="D7" s="126">
        <v>113094.89691721856</v>
      </c>
      <c r="E7" s="126">
        <v>107473.14492716978</v>
      </c>
      <c r="F7" s="126">
        <v>94316.341155823407</v>
      </c>
      <c r="G7" s="126">
        <v>161155.45268773087</v>
      </c>
      <c r="H7" s="126">
        <v>107029.08520150166</v>
      </c>
      <c r="I7" s="126">
        <v>119974.8966214129</v>
      </c>
      <c r="J7" s="126">
        <v>152124.48848083743</v>
      </c>
      <c r="K7" s="126">
        <v>177927.45641562884</v>
      </c>
      <c r="L7" s="126">
        <v>181000.55408239609</v>
      </c>
      <c r="M7" s="126">
        <v>210846.02072272127</v>
      </c>
      <c r="N7" s="126">
        <v>174351.26524439335</v>
      </c>
      <c r="O7" s="126">
        <v>170468.58186822128</v>
      </c>
      <c r="P7" s="126">
        <v>218883.53250928878</v>
      </c>
    </row>
    <row r="8" spans="1:16">
      <c r="A8" s="125" t="s">
        <v>209</v>
      </c>
      <c r="B8" s="126">
        <v>-28473.514999999999</v>
      </c>
      <c r="C8" s="126">
        <v>-19667.576000000001</v>
      </c>
      <c r="D8" s="126">
        <v>-38035.709920000001</v>
      </c>
      <c r="E8" s="126">
        <v>-51065.292549999998</v>
      </c>
      <c r="F8" s="126">
        <v>-79266.567801529818</v>
      </c>
      <c r="G8" s="126">
        <v>-103385.08668327087</v>
      </c>
      <c r="H8" s="126">
        <v>-16170.948556439927</v>
      </c>
      <c r="I8" s="126">
        <v>-12603.813568166401</v>
      </c>
      <c r="J8" s="126">
        <v>-6942.6176787338891</v>
      </c>
      <c r="K8" s="126">
        <v>-18715</v>
      </c>
      <c r="L8" s="126">
        <v>0</v>
      </c>
      <c r="M8" s="126">
        <v>0</v>
      </c>
      <c r="N8" s="126">
        <v>0</v>
      </c>
      <c r="O8" s="126">
        <v>0</v>
      </c>
      <c r="P8" s="126">
        <v>0</v>
      </c>
    </row>
    <row r="9" spans="1:16">
      <c r="A9" s="125" t="s">
        <v>573</v>
      </c>
      <c r="B9" s="126">
        <v>0</v>
      </c>
      <c r="C9" s="126">
        <v>0</v>
      </c>
      <c r="D9" s="126">
        <v>0</v>
      </c>
      <c r="E9" s="126">
        <v>0</v>
      </c>
      <c r="F9" s="126">
        <v>-9855.9387394992154</v>
      </c>
      <c r="G9" s="126">
        <v>0</v>
      </c>
      <c r="H9" s="126">
        <v>0</v>
      </c>
      <c r="I9" s="126">
        <v>0</v>
      </c>
      <c r="J9" s="126">
        <v>0</v>
      </c>
      <c r="K9" s="126">
        <v>0</v>
      </c>
      <c r="L9" s="126">
        <v>0</v>
      </c>
      <c r="M9" s="126">
        <v>0</v>
      </c>
      <c r="N9" s="126">
        <v>0</v>
      </c>
      <c r="O9" s="126">
        <v>0</v>
      </c>
      <c r="P9" s="126">
        <v>0</v>
      </c>
    </row>
    <row r="10" spans="1:16">
      <c r="A10" s="125" t="s">
        <v>210</v>
      </c>
      <c r="B10" s="126">
        <v>-44256.369029999973</v>
      </c>
      <c r="C10" s="126">
        <v>-317743.71015000006</v>
      </c>
      <c r="D10" s="126">
        <v>-384861.61086000002</v>
      </c>
      <c r="E10" s="126">
        <v>-315927.02423000004</v>
      </c>
      <c r="F10" s="126">
        <v>-364511.69871999999</v>
      </c>
      <c r="G10" s="126">
        <v>-41186.350510000004</v>
      </c>
      <c r="H10" s="126">
        <v>0</v>
      </c>
      <c r="I10" s="126">
        <v>-8000</v>
      </c>
      <c r="J10" s="126">
        <v>0</v>
      </c>
      <c r="K10" s="126">
        <v>0</v>
      </c>
      <c r="L10" s="126">
        <v>0</v>
      </c>
      <c r="M10" s="126">
        <v>0</v>
      </c>
      <c r="N10" s="126">
        <v>0</v>
      </c>
      <c r="O10" s="126">
        <v>0</v>
      </c>
      <c r="P10" s="126">
        <v>0</v>
      </c>
    </row>
    <row r="11" spans="1:16">
      <c r="A11" s="125" t="s">
        <v>211</v>
      </c>
      <c r="B11" s="126">
        <v>0</v>
      </c>
      <c r="C11" s="126">
        <v>156061.61255000002</v>
      </c>
      <c r="D11" s="126">
        <v>296716.64623000001</v>
      </c>
      <c r="E11" s="126">
        <v>211571.67369</v>
      </c>
      <c r="F11" s="126">
        <v>262337.86440350773</v>
      </c>
      <c r="G11" s="126">
        <v>-77557.808637499984</v>
      </c>
      <c r="H11" s="126">
        <v>-124586.5271875</v>
      </c>
      <c r="I11" s="126">
        <v>-216804.862475</v>
      </c>
      <c r="J11" s="126">
        <v>-247156.8040390625</v>
      </c>
      <c r="K11" s="126">
        <v>-275853.55397187499</v>
      </c>
      <c r="L11" s="126">
        <v>-134892.2589953125</v>
      </c>
      <c r="M11" s="126">
        <v>0</v>
      </c>
      <c r="N11" s="126">
        <v>0</v>
      </c>
      <c r="O11" s="126">
        <v>0</v>
      </c>
      <c r="P11" s="126">
        <v>0</v>
      </c>
    </row>
    <row r="12" spans="1:16">
      <c r="A12" s="127" t="s">
        <v>212</v>
      </c>
      <c r="B12" s="128">
        <v>269617.25550083513</v>
      </c>
      <c r="C12" s="128">
        <v>233315.88566196978</v>
      </c>
      <c r="D12" s="128">
        <v>220227.81636721856</v>
      </c>
      <c r="E12" s="128">
        <v>172280.31820438831</v>
      </c>
      <c r="F12" s="128">
        <v>75300.318502690468</v>
      </c>
      <c r="G12" s="128">
        <v>14326.525359650477</v>
      </c>
      <c r="H12" s="128">
        <v>-19401.865182787791</v>
      </c>
      <c r="I12" s="128">
        <v>-136835.6446045413</v>
      </c>
      <c r="J12" s="128">
        <v>-238810.57784150026</v>
      </c>
      <c r="K12" s="128">
        <v>-355451.67539774644</v>
      </c>
      <c r="L12" s="128">
        <v>-309343.38031066285</v>
      </c>
      <c r="M12" s="128">
        <v>-98497.359587941581</v>
      </c>
      <c r="N12" s="128">
        <v>75853.905656451767</v>
      </c>
      <c r="O12" s="128">
        <v>246322.48752467305</v>
      </c>
      <c r="P12" s="128">
        <v>465206.02003396186</v>
      </c>
    </row>
    <row r="13" spans="1:16">
      <c r="A13" s="129" t="s">
        <v>213</v>
      </c>
      <c r="B13" s="130">
        <v>0</v>
      </c>
      <c r="C13" s="130">
        <v>-156873.302</v>
      </c>
      <c r="D13" s="130">
        <v>-458691.30200000003</v>
      </c>
      <c r="E13" s="130">
        <v>-684331.30200000003</v>
      </c>
      <c r="F13" s="130">
        <v>-970000</v>
      </c>
      <c r="G13" s="130">
        <v>-921500</v>
      </c>
      <c r="H13" s="130">
        <v>-824500</v>
      </c>
      <c r="I13" s="130">
        <v>-630500</v>
      </c>
      <c r="J13" s="130">
        <v>-400125</v>
      </c>
      <c r="K13" s="130">
        <v>-133374.99999999997</v>
      </c>
      <c r="L13" s="130">
        <v>4.470348358154297E-11</v>
      </c>
      <c r="M13" s="130">
        <v>4.470348358154297E-11</v>
      </c>
      <c r="N13" s="130">
        <v>4.470348358154297E-11</v>
      </c>
      <c r="O13" s="130">
        <v>4.470348358154297E-11</v>
      </c>
      <c r="P13" s="130">
        <v>4.470348358154297E-11</v>
      </c>
    </row>
    <row r="16" spans="1:16">
      <c r="A16" t="s">
        <v>1391</v>
      </c>
    </row>
    <row r="18" spans="1:16">
      <c r="A18" s="122" t="s">
        <v>10</v>
      </c>
      <c r="B18" s="123" t="s">
        <v>0</v>
      </c>
      <c r="C18" s="123" t="s">
        <v>1</v>
      </c>
      <c r="D18" s="123" t="s">
        <v>2</v>
      </c>
      <c r="E18" s="123" t="s">
        <v>3</v>
      </c>
      <c r="F18" s="123" t="s">
        <v>4</v>
      </c>
      <c r="G18" s="123" t="s">
        <v>5</v>
      </c>
      <c r="H18" s="123" t="s">
        <v>6</v>
      </c>
      <c r="I18" s="123" t="s">
        <v>7</v>
      </c>
      <c r="J18" s="123" t="s">
        <v>13</v>
      </c>
      <c r="K18" s="123" t="s">
        <v>14</v>
      </c>
      <c r="L18" s="123" t="s">
        <v>15</v>
      </c>
      <c r="M18" s="123" t="s">
        <v>16</v>
      </c>
      <c r="N18" s="123" t="s">
        <v>17</v>
      </c>
      <c r="O18" s="123" t="s">
        <v>18</v>
      </c>
      <c r="P18" s="123" t="s">
        <v>19</v>
      </c>
    </row>
    <row r="19" spans="1:16">
      <c r="A19" s="125" t="s">
        <v>208</v>
      </c>
      <c r="B19" s="126">
        <v>85661.724840835101</v>
      </c>
      <c r="C19" s="126">
        <v>143874.33549196983</v>
      </c>
      <c r="D19" s="126">
        <v>118185.01358212715</v>
      </c>
      <c r="E19" s="126">
        <v>109649.59276267966</v>
      </c>
      <c r="F19" s="126">
        <v>91174.150882427653</v>
      </c>
      <c r="G19" s="126">
        <v>56094.460471098828</v>
      </c>
      <c r="H19" s="126">
        <v>88698.49018492538</v>
      </c>
      <c r="I19" s="126">
        <v>76825.62761700798</v>
      </c>
      <c r="J19" s="126">
        <v>94287.800570856591</v>
      </c>
      <c r="K19" s="126">
        <v>177144.91657692951</v>
      </c>
      <c r="L19" s="126">
        <v>149067.57113073667</v>
      </c>
      <c r="M19" s="126">
        <v>200285.20278901895</v>
      </c>
      <c r="N19" s="126">
        <v>192209.86960536649</v>
      </c>
      <c r="O19" s="126">
        <v>191140.72558770439</v>
      </c>
      <c r="P19" s="126">
        <v>221639.79380489493</v>
      </c>
    </row>
    <row r="20" spans="1:16">
      <c r="A20" s="125" t="s">
        <v>209</v>
      </c>
      <c r="B20" s="126">
        <v>-28473.514999999999</v>
      </c>
      <c r="C20" s="126">
        <v>-18495.899229999999</v>
      </c>
      <c r="D20" s="126">
        <v>-38035.709919999994</v>
      </c>
      <c r="E20" s="126">
        <v>-52130.141510000001</v>
      </c>
      <c r="F20" s="126">
        <v>-66451.063559999995</v>
      </c>
      <c r="G20" s="126">
        <v>-53915.216289999997</v>
      </c>
      <c r="H20" s="126">
        <v>-88598.131367635855</v>
      </c>
      <c r="I20" s="126">
        <v>-73730.696338699549</v>
      </c>
      <c r="J20" s="126">
        <v>-33251.720605770854</v>
      </c>
      <c r="K20" s="126">
        <v>-8735.0918750000001</v>
      </c>
      <c r="L20" s="126">
        <v>-771.84646874999999</v>
      </c>
      <c r="M20" s="126">
        <v>-810.4387921875001</v>
      </c>
      <c r="N20" s="126">
        <v>-850.96073179687517</v>
      </c>
      <c r="O20" s="126">
        <v>-893.50876838671888</v>
      </c>
      <c r="P20" s="126">
        <v>-938.18420680605493</v>
      </c>
    </row>
    <row r="21" spans="1:16">
      <c r="A21" s="125" t="s">
        <v>573</v>
      </c>
      <c r="B21" s="126">
        <v>0</v>
      </c>
      <c r="C21" s="126">
        <v>0</v>
      </c>
      <c r="D21" s="126">
        <v>0</v>
      </c>
      <c r="E21" s="126">
        <v>0</v>
      </c>
      <c r="F21" s="126">
        <v>0</v>
      </c>
      <c r="G21" s="126">
        <v>0</v>
      </c>
      <c r="H21" s="126">
        <v>0</v>
      </c>
      <c r="I21" s="126">
        <v>0</v>
      </c>
      <c r="J21" s="126">
        <v>0</v>
      </c>
      <c r="K21" s="126">
        <v>0</v>
      </c>
      <c r="L21" s="126">
        <v>0</v>
      </c>
      <c r="M21" s="126">
        <v>0</v>
      </c>
      <c r="N21" s="126">
        <v>0</v>
      </c>
      <c r="O21" s="126">
        <v>0</v>
      </c>
      <c r="P21" s="126">
        <v>0</v>
      </c>
    </row>
    <row r="22" spans="1:16">
      <c r="A22" s="125" t="s">
        <v>210</v>
      </c>
      <c r="B22" s="126">
        <v>-44256.369029999973</v>
      </c>
      <c r="C22" s="126">
        <v>-317743.71015000006</v>
      </c>
      <c r="D22" s="126">
        <v>-390056.06186000002</v>
      </c>
      <c r="E22" s="126">
        <v>-315927.02423000004</v>
      </c>
      <c r="F22" s="126">
        <v>-151883.40371999997</v>
      </c>
      <c r="G22" s="126">
        <v>-77663.557990000016</v>
      </c>
      <c r="H22" s="126">
        <v>-135173.92171999995</v>
      </c>
      <c r="I22" s="126">
        <v>-26468.480429999992</v>
      </c>
      <c r="J22" s="126">
        <v>0</v>
      </c>
      <c r="K22" s="126">
        <v>0</v>
      </c>
      <c r="L22" s="126">
        <v>0</v>
      </c>
      <c r="M22" s="126">
        <v>0</v>
      </c>
      <c r="N22" s="126">
        <v>0</v>
      </c>
      <c r="O22" s="126">
        <v>0</v>
      </c>
      <c r="P22" s="126">
        <v>0</v>
      </c>
    </row>
    <row r="23" spans="1:16">
      <c r="A23" s="1122" t="s">
        <v>1329</v>
      </c>
      <c r="B23" s="1123">
        <v>0</v>
      </c>
      <c r="C23" s="1123">
        <v>156061.61255000002</v>
      </c>
      <c r="D23" s="1123">
        <v>296716.64623000001</v>
      </c>
      <c r="E23" s="1123">
        <v>211570.93927</v>
      </c>
      <c r="F23" s="1123">
        <v>86613.554000000004</v>
      </c>
      <c r="G23" s="1123">
        <v>109523.5082116667</v>
      </c>
      <c r="H23" s="1123">
        <v>-96974.57038497398</v>
      </c>
      <c r="I23" s="1123">
        <v>-213360.77701994794</v>
      </c>
      <c r="J23" s="1123">
        <v>-245497.87339182294</v>
      </c>
      <c r="K23" s="1123">
        <v>-276470.35502619797</v>
      </c>
      <c r="L23" s="1123">
        <v>-137757.53747932293</v>
      </c>
      <c r="M23" s="1123">
        <v>-1657.4869849739714</v>
      </c>
      <c r="N23" s="1123">
        <v>0</v>
      </c>
      <c r="O23" s="1123">
        <v>0</v>
      </c>
      <c r="P23" s="1123">
        <v>0</v>
      </c>
    </row>
    <row r="24" spans="1:16">
      <c r="A24" s="1122" t="s">
        <v>1330</v>
      </c>
      <c r="B24" s="1123">
        <v>269617.25481083512</v>
      </c>
      <c r="C24" s="1124">
        <v>233313.59347280493</v>
      </c>
      <c r="D24" s="1124">
        <v>220123.4815049321</v>
      </c>
      <c r="E24" s="1124">
        <v>173286.84779761173</v>
      </c>
      <c r="F24" s="1124">
        <v>132740.08540003942</v>
      </c>
      <c r="G24" s="1124">
        <v>166779.27980280493</v>
      </c>
      <c r="H24" s="1124">
        <v>-65268.853484879481</v>
      </c>
      <c r="I24" s="1124">
        <v>-302003.17965651897</v>
      </c>
      <c r="J24" s="1124">
        <v>-486464.97308325616</v>
      </c>
      <c r="K24" s="1124">
        <v>-594525.50340752467</v>
      </c>
      <c r="L24" s="1124">
        <v>-583987.31622486096</v>
      </c>
      <c r="M24" s="1124">
        <v>-386170.03921300347</v>
      </c>
      <c r="N24" s="1124">
        <v>-194811.13033943385</v>
      </c>
      <c r="O24" s="1124">
        <v>-4563.9135201161844</v>
      </c>
      <c r="P24" s="1124">
        <v>216137.69607797268</v>
      </c>
    </row>
    <row r="25" spans="1:16">
      <c r="A25" s="125" t="s">
        <v>211</v>
      </c>
      <c r="B25" s="126">
        <v>0</v>
      </c>
      <c r="C25" s="126">
        <v>156061.61255000002</v>
      </c>
      <c r="D25" s="126">
        <v>296716.64623000001</v>
      </c>
      <c r="E25" s="126">
        <v>211570.93927</v>
      </c>
      <c r="F25" s="126">
        <v>86613.554000000004</v>
      </c>
      <c r="G25" s="126">
        <v>109523.5082116667</v>
      </c>
      <c r="H25" s="126">
        <v>-96974.57038497398</v>
      </c>
      <c r="I25" s="126">
        <v>-213360.77701994794</v>
      </c>
      <c r="J25" s="126">
        <v>-245497.87339182294</v>
      </c>
      <c r="K25" s="126">
        <v>-276470.35502619797</v>
      </c>
      <c r="L25" s="126">
        <v>-137757.53747932293</v>
      </c>
      <c r="M25" s="126">
        <v>-1657.4869849739714</v>
      </c>
      <c r="N25" s="126">
        <v>0</v>
      </c>
      <c r="O25" s="126">
        <v>0</v>
      </c>
      <c r="P25" s="126">
        <v>0</v>
      </c>
    </row>
    <row r="26" spans="1:16">
      <c r="A26" s="127" t="s">
        <v>212</v>
      </c>
      <c r="B26" s="128">
        <v>269617.25481083512</v>
      </c>
      <c r="C26" s="128">
        <v>233313.59366196979</v>
      </c>
      <c r="D26" s="128">
        <v>220123.48203212715</v>
      </c>
      <c r="E26" s="128">
        <v>173286.84832480681</v>
      </c>
      <c r="F26" s="128">
        <v>132740.0859272345</v>
      </c>
      <c r="G26" s="128">
        <v>166779.28033000001</v>
      </c>
      <c r="H26" s="128">
        <v>-65268.853287684382</v>
      </c>
      <c r="I26" s="128">
        <v>-302003.17945932387</v>
      </c>
      <c r="J26" s="128">
        <v>-486464.97288606106</v>
      </c>
      <c r="K26" s="128">
        <v>-594525.50321032957</v>
      </c>
      <c r="L26" s="128">
        <v>-583987.31602766586</v>
      </c>
      <c r="M26" s="128">
        <v>-386170.03901580832</v>
      </c>
      <c r="N26" s="128">
        <v>-194811.13014223872</v>
      </c>
      <c r="O26" s="128">
        <v>-4563.9133229210374</v>
      </c>
      <c r="P26" s="128">
        <v>216137.69627516784</v>
      </c>
    </row>
    <row r="27" spans="1:16">
      <c r="A27" s="129" t="s">
        <v>1284</v>
      </c>
      <c r="B27" s="130">
        <v>0</v>
      </c>
      <c r="C27" s="130">
        <v>0</v>
      </c>
      <c r="D27" s="130">
        <v>0</v>
      </c>
      <c r="E27" s="130">
        <v>0</v>
      </c>
      <c r="F27" s="130">
        <v>0</v>
      </c>
      <c r="G27" s="130">
        <v>0</v>
      </c>
      <c r="H27" s="130">
        <v>0</v>
      </c>
      <c r="I27" s="130">
        <v>0</v>
      </c>
      <c r="J27" s="130">
        <v>0</v>
      </c>
      <c r="K27" s="130">
        <v>0</v>
      </c>
      <c r="L27" s="130">
        <v>0</v>
      </c>
      <c r="M27" s="130">
        <v>0</v>
      </c>
      <c r="N27" s="130">
        <v>0</v>
      </c>
      <c r="O27" s="130">
        <v>0</v>
      </c>
      <c r="P27" s="130">
        <v>0</v>
      </c>
    </row>
    <row r="28" spans="1:16">
      <c r="A28" s="129" t="s">
        <v>1285</v>
      </c>
      <c r="B28" s="130">
        <v>0</v>
      </c>
      <c r="C28" s="130">
        <v>-156873.302</v>
      </c>
      <c r="D28" s="130">
        <v>-458691.30200000003</v>
      </c>
      <c r="E28" s="130">
        <v>-684331.30200000003</v>
      </c>
      <c r="F28" s="130">
        <v>-794608.30200000003</v>
      </c>
      <c r="G28" s="130">
        <v>-921500</v>
      </c>
      <c r="H28" s="130">
        <v>-824500</v>
      </c>
      <c r="I28" s="130">
        <v>-630500</v>
      </c>
      <c r="J28" s="130">
        <v>-400125</v>
      </c>
      <c r="K28" s="130">
        <v>-133374.99999999997</v>
      </c>
      <c r="L28" s="130">
        <v>4.470348358154297E-11</v>
      </c>
      <c r="M28" s="130">
        <v>4.470348358154297E-11</v>
      </c>
      <c r="N28" s="130">
        <v>4.470348358154297E-11</v>
      </c>
      <c r="O28" s="130">
        <v>4.470348358154297E-11</v>
      </c>
      <c r="P28" s="130">
        <v>4.470348358154297E-11</v>
      </c>
    </row>
    <row r="29" spans="1:16">
      <c r="A29" s="1142" t="s">
        <v>1358</v>
      </c>
      <c r="B29" s="1143"/>
      <c r="C29" s="1143"/>
      <c r="D29" s="1143"/>
      <c r="E29" s="1143"/>
      <c r="F29" s="1143"/>
      <c r="G29" s="1143"/>
      <c r="H29" s="1144">
        <v>-889768.85328768438</v>
      </c>
      <c r="I29" s="1144">
        <v>-932503.17945932387</v>
      </c>
      <c r="J29" s="1144">
        <v>-886589.97288606106</v>
      </c>
      <c r="K29" s="1144">
        <v>-727900.50321032957</v>
      </c>
      <c r="L29" s="1144">
        <v>-583987.31602766586</v>
      </c>
      <c r="M29" s="1144">
        <v>-386170.03901580826</v>
      </c>
      <c r="N29" s="1144">
        <v>-194811.13014223866</v>
      </c>
      <c r="O29" s="1143" t="s">
        <v>78</v>
      </c>
      <c r="P29" s="1143" t="s">
        <v>78</v>
      </c>
    </row>
    <row r="31" spans="1:16">
      <c r="A31" s="1196"/>
      <c r="B31" s="1190"/>
      <c r="C31" s="1172"/>
      <c r="D31" s="1172"/>
      <c r="E31" s="1691" t="s">
        <v>1394</v>
      </c>
      <c r="F31" s="1691"/>
      <c r="G31" s="1691"/>
      <c r="H31" s="1692" t="s">
        <v>1396</v>
      </c>
      <c r="I31" s="1692"/>
      <c r="J31" s="1692"/>
      <c r="K31" s="1198" t="s">
        <v>1402</v>
      </c>
    </row>
    <row r="32" spans="1:16" ht="46.5" customHeight="1">
      <c r="A32" s="1197"/>
      <c r="B32" s="1190"/>
      <c r="C32" s="1172"/>
      <c r="D32" s="1172"/>
      <c r="E32" s="1187" t="s">
        <v>1392</v>
      </c>
      <c r="F32" s="1188" t="s">
        <v>1393</v>
      </c>
      <c r="G32" s="1189" t="s">
        <v>1395</v>
      </c>
      <c r="H32" s="1187" t="s">
        <v>1392</v>
      </c>
      <c r="I32" s="1188" t="s">
        <v>1393</v>
      </c>
      <c r="J32" s="1189" t="s">
        <v>1395</v>
      </c>
      <c r="K32" s="1199" t="s">
        <v>1395</v>
      </c>
    </row>
    <row r="33" spans="1:14">
      <c r="A33" s="1173" t="s">
        <v>1400</v>
      </c>
      <c r="B33" s="1172"/>
      <c r="C33" s="1172"/>
      <c r="D33" s="1172"/>
      <c r="E33" s="1176"/>
      <c r="F33" s="1174"/>
      <c r="G33" s="1178"/>
      <c r="H33" s="1176"/>
      <c r="I33" s="1174"/>
      <c r="J33" s="1178"/>
      <c r="K33" s="1200"/>
    </row>
    <row r="34" spans="1:14">
      <c r="A34" s="1180" t="s">
        <v>208</v>
      </c>
      <c r="B34" s="1172"/>
      <c r="C34" s="1172"/>
      <c r="D34" s="1172"/>
      <c r="E34" s="1177">
        <f>SUM(E7:J7)+SUM(E9:J9)</f>
        <v>732217.47033497691</v>
      </c>
      <c r="F34" s="1175">
        <f>SUM(E19:J19)</f>
        <v>516730.12248899613</v>
      </c>
      <c r="G34" s="1179">
        <f>F34-E34</f>
        <v>-215487.34784598078</v>
      </c>
      <c r="H34" s="1177">
        <f>SUM(K7:P7)</f>
        <v>1133477.4108426496</v>
      </c>
      <c r="I34" s="1175">
        <f>SUM(K19:P19)</f>
        <v>1131488.0794946509</v>
      </c>
      <c r="J34" s="1179">
        <f>I34-H34</f>
        <v>-1989.3313479986973</v>
      </c>
      <c r="K34" s="1201">
        <f>G34+J34</f>
        <v>-217476.67919397948</v>
      </c>
    </row>
    <row r="35" spans="1:14">
      <c r="A35" s="1180" t="s">
        <v>209</v>
      </c>
      <c r="B35" s="1172"/>
      <c r="C35" s="1172"/>
      <c r="D35" s="1172"/>
      <c r="E35" s="1177">
        <f>SUM(E8:J8)</f>
        <v>-269434.3268381409</v>
      </c>
      <c r="F35" s="1175">
        <f>SUM(E20:J20)</f>
        <v>-368076.96967210621</v>
      </c>
      <c r="G35" s="1179">
        <f>F35-E35</f>
        <v>-98642.642833965307</v>
      </c>
      <c r="H35" s="1177">
        <f>SUM(K8:P8)</f>
        <v>-18715</v>
      </c>
      <c r="I35" s="1175">
        <f>SUM(K20:P20)</f>
        <v>-13000.030842927148</v>
      </c>
      <c r="J35" s="1179">
        <f>I35-H35</f>
        <v>5714.9691570728519</v>
      </c>
      <c r="K35" s="1201">
        <f>G35+J35</f>
        <v>-92927.67367689246</v>
      </c>
    </row>
    <row r="36" spans="1:14">
      <c r="A36" s="1180" t="s">
        <v>210</v>
      </c>
      <c r="B36" s="1172"/>
      <c r="C36" s="1172"/>
      <c r="D36" s="1172"/>
      <c r="E36" s="1177">
        <f>SUM(E10:J10)</f>
        <v>-729625.0734600001</v>
      </c>
      <c r="F36" s="1175">
        <f>SUM(E22:J22)</f>
        <v>-707116.38809000002</v>
      </c>
      <c r="G36" s="1179">
        <f>F36-E36</f>
        <v>22508.685370000079</v>
      </c>
      <c r="H36" s="1177">
        <f>SUM(K10:P10)</f>
        <v>0</v>
      </c>
      <c r="I36" s="1175">
        <f>SUM(K22:P22)</f>
        <v>0</v>
      </c>
      <c r="J36" s="1179">
        <f>I36-H36</f>
        <v>0</v>
      </c>
      <c r="K36" s="1201">
        <f>G36+J36</f>
        <v>22508.685370000079</v>
      </c>
    </row>
    <row r="37" spans="1:14" ht="15.75" thickBot="1">
      <c r="A37" s="1180" t="s">
        <v>211</v>
      </c>
      <c r="B37" s="1172"/>
      <c r="C37" s="1172"/>
      <c r="D37" s="1172"/>
      <c r="E37" s="1177">
        <f>SUM(E11:J11)</f>
        <v>-192196.4642455547</v>
      </c>
      <c r="F37" s="1175">
        <f>SUM(E25:J25)</f>
        <v>-148125.2193150782</v>
      </c>
      <c r="G37" s="1185">
        <f>F37-E37</f>
        <v>44071.244930476503</v>
      </c>
      <c r="H37" s="1177">
        <f>SUM(K11:P11)</f>
        <v>-410745.81296718749</v>
      </c>
      <c r="I37" s="1175">
        <f>SUM(K25:P25)</f>
        <v>-415885.37949049484</v>
      </c>
      <c r="J37" s="1185">
        <f>I37-H37</f>
        <v>-5139.5665233073523</v>
      </c>
      <c r="K37" s="1201">
        <f>G37+J37</f>
        <v>38931.678407169151</v>
      </c>
    </row>
    <row r="38" spans="1:14" s="220" customFormat="1" ht="15.75" thickBot="1">
      <c r="A38" s="1173" t="s">
        <v>1401</v>
      </c>
      <c r="B38" s="1181"/>
      <c r="C38" s="1181"/>
      <c r="D38" s="1181"/>
      <c r="E38" s="1182"/>
      <c r="F38" s="1183"/>
      <c r="G38" s="1186">
        <f>SUM(G34:G37)</f>
        <v>-247550.06037946951</v>
      </c>
      <c r="H38" s="1184"/>
      <c r="I38" s="1183"/>
      <c r="J38" s="1195">
        <f>SUM(J34:J37)</f>
        <v>-1413.9287142331978</v>
      </c>
      <c r="K38" s="1202">
        <f>G38+J38</f>
        <v>-248963.98909370269</v>
      </c>
    </row>
    <row r="39" spans="1:14" s="220" customFormat="1">
      <c r="A39" s="1191"/>
      <c r="B39" s="1192"/>
      <c r="C39" s="1192"/>
      <c r="D39" s="1192"/>
      <c r="E39" s="1193"/>
      <c r="F39" s="1193"/>
      <c r="G39" s="1194"/>
      <c r="H39" s="1193"/>
      <c r="I39" s="1193"/>
      <c r="J39" s="1194"/>
      <c r="K39" s="1194"/>
    </row>
    <row r="40" spans="1:14" s="220" customFormat="1">
      <c r="A40" s="1173" t="s">
        <v>1399</v>
      </c>
      <c r="B40" s="1172"/>
      <c r="C40" s="1172"/>
      <c r="D40" s="1172"/>
      <c r="E40" s="1177"/>
      <c r="F40" s="1175"/>
      <c r="G40" s="1179"/>
      <c r="H40" s="1177"/>
      <c r="I40" s="1175"/>
      <c r="J40" s="1179"/>
      <c r="K40" s="1201"/>
    </row>
    <row r="41" spans="1:14" s="220" customFormat="1">
      <c r="A41" s="1180" t="s">
        <v>1398</v>
      </c>
      <c r="B41" s="1172"/>
      <c r="C41" s="1172"/>
      <c r="D41" s="1172"/>
      <c r="E41" s="1177">
        <v>3821194</v>
      </c>
      <c r="F41" s="1175">
        <f>SUM('12 years sales &amp; PL forecast'!K73:P73)/1000</f>
        <v>2596548.5298800361</v>
      </c>
      <c r="G41" s="1179">
        <f>F41-E41</f>
        <v>-1224645.4701199639</v>
      </c>
      <c r="H41" s="1177">
        <v>5982992</v>
      </c>
      <c r="I41" s="1175">
        <f>SUM('12 years sales &amp; PL forecast'!Q73:V73)/1000</f>
        <v>4284754.2471363423</v>
      </c>
      <c r="J41" s="1179">
        <f>I41-H41</f>
        <v>-1698237.7528636577</v>
      </c>
      <c r="K41" s="1201">
        <f t="shared" ref="K41:K44" si="0">G41+J41</f>
        <v>-2922883.2229836215</v>
      </c>
    </row>
    <row r="42" spans="1:14" s="220" customFormat="1">
      <c r="A42" s="1180" t="s">
        <v>44</v>
      </c>
      <c r="B42" s="1172"/>
      <c r="C42" s="1172"/>
      <c r="D42" s="1172"/>
      <c r="E42" s="1177">
        <v>1528039</v>
      </c>
      <c r="F42" s="1175">
        <f>SUM('12 years sales &amp; PL forecast'!K106:P106)/1000</f>
        <v>1113679.8893189922</v>
      </c>
      <c r="G42" s="1179">
        <f>F42-E42</f>
        <v>-414359.11068100785</v>
      </c>
      <c r="H42" s="1177">
        <v>2127016</v>
      </c>
      <c r="I42" s="1175">
        <f>SUM('12 years sales &amp; PL forecast'!Q106:V106)/1000</f>
        <v>1701548.8694983106</v>
      </c>
      <c r="J42" s="1179">
        <f>I42-H42</f>
        <v>-425467.13050168939</v>
      </c>
      <c r="K42" s="1201">
        <f t="shared" si="0"/>
        <v>-839826.24118269724</v>
      </c>
    </row>
    <row r="43" spans="1:14" s="220" customFormat="1">
      <c r="A43" s="1180" t="s">
        <v>1354</v>
      </c>
      <c r="B43" s="1172"/>
      <c r="C43" s="1172"/>
      <c r="D43" s="1172"/>
      <c r="E43" s="1177">
        <v>-770131</v>
      </c>
      <c r="F43" s="1175">
        <f>-SUM('12 years sales &amp; PL forecast'!K171:P171)/1000</f>
        <v>-1002536.8249056466</v>
      </c>
      <c r="G43" s="1179">
        <f>F43-E43</f>
        <v>-232405.82490564662</v>
      </c>
      <c r="H43" s="1177">
        <v>-872556</v>
      </c>
      <c r="I43" s="1175">
        <f>-SUM('12 years sales &amp; PL forecast'!Q171:V171)/1000</f>
        <v>-1090377.5253219784</v>
      </c>
      <c r="J43" s="1179">
        <f>I43-H43</f>
        <v>-217821.52532197838</v>
      </c>
      <c r="K43" s="1201">
        <f t="shared" si="0"/>
        <v>-450227.35022762499</v>
      </c>
    </row>
    <row r="44" spans="1:14">
      <c r="A44" s="1180" t="s">
        <v>1397</v>
      </c>
      <c r="B44" s="1172"/>
      <c r="C44" s="1172"/>
      <c r="D44" s="1172"/>
      <c r="E44" s="1177">
        <v>-133630</v>
      </c>
      <c r="F44" s="1175">
        <f>SUM('Cashflow forecast'!L66:Q66)/1000</f>
        <v>-96513.648320416629</v>
      </c>
      <c r="G44" s="1179">
        <f>F44-E44</f>
        <v>37116.351679583371</v>
      </c>
      <c r="H44" s="1177">
        <v>-10620</v>
      </c>
      <c r="I44" s="1175">
        <f>SUM('Cashflow forecast'!R66:S66)/1000</f>
        <v>-8684.8131562500002</v>
      </c>
      <c r="J44" s="1179">
        <f>I44-H44</f>
        <v>1935.1868437499998</v>
      </c>
      <c r="K44" s="1201">
        <f t="shared" si="0"/>
        <v>39051.538523333373</v>
      </c>
    </row>
    <row r="47" spans="1:14" ht="15.75" thickBot="1">
      <c r="A47" s="1203" t="s">
        <v>1403</v>
      </c>
    </row>
    <row r="48" spans="1:14" s="220" customFormat="1">
      <c r="A48" s="1204" t="s">
        <v>78</v>
      </c>
      <c r="B48" s="123" t="s">
        <v>0</v>
      </c>
      <c r="C48" s="123" t="s">
        <v>1</v>
      </c>
      <c r="D48" s="123" t="s">
        <v>2</v>
      </c>
      <c r="E48" s="123" t="s">
        <v>6</v>
      </c>
      <c r="F48" s="123" t="s">
        <v>7</v>
      </c>
      <c r="G48" s="123" t="s">
        <v>13</v>
      </c>
      <c r="H48" s="123" t="s">
        <v>14</v>
      </c>
      <c r="I48" s="123" t="s">
        <v>15</v>
      </c>
      <c r="J48" s="123" t="s">
        <v>16</v>
      </c>
      <c r="K48" s="123" t="s">
        <v>17</v>
      </c>
      <c r="L48" s="123" t="s">
        <v>18</v>
      </c>
      <c r="M48" s="123" t="s">
        <v>19</v>
      </c>
      <c r="N48" s="1212" t="s">
        <v>380</v>
      </c>
    </row>
    <row r="49" spans="1:14" s="220" customFormat="1">
      <c r="A49" s="125" t="s">
        <v>1404</v>
      </c>
      <c r="B49" s="126">
        <v>85661.724840835101</v>
      </c>
      <c r="C49" s="126">
        <v>143874.33549196983</v>
      </c>
      <c r="D49" s="126">
        <v>118185.01358212715</v>
      </c>
      <c r="E49" s="126"/>
      <c r="F49" s="126"/>
      <c r="G49" s="126"/>
      <c r="H49" s="126"/>
      <c r="I49" s="126"/>
      <c r="J49" s="126"/>
      <c r="K49" s="126"/>
      <c r="L49" s="126"/>
      <c r="M49" s="126"/>
      <c r="N49" s="1208"/>
    </row>
    <row r="50" spans="1:14" s="220" customFormat="1">
      <c r="A50" s="1205" t="s">
        <v>1405</v>
      </c>
      <c r="B50" s="126">
        <v>-28473.514999999999</v>
      </c>
      <c r="C50" s="126">
        <v>-18495.899229999999</v>
      </c>
      <c r="D50" s="126">
        <v>-38035.709919999994</v>
      </c>
      <c r="E50" s="126">
        <f>'Cashflow trend'!H60</f>
        <v>95677.933000000005</v>
      </c>
      <c r="F50" s="126">
        <f>'Cashflow trend'!I60</f>
        <v>78208.396999999997</v>
      </c>
      <c r="G50" s="126">
        <f>'Cashflow trend'!J60</f>
        <v>81501.747000000003</v>
      </c>
      <c r="H50" s="126">
        <f>'Cashflow trend'!K60</f>
        <v>99473.879000000001</v>
      </c>
      <c r="I50" s="126">
        <f>'Cashflow trend'!L60</f>
        <v>112646.69500000001</v>
      </c>
      <c r="J50" s="126">
        <f>'Cashflow trend'!M60</f>
        <v>120156.93399999999</v>
      </c>
      <c r="K50" s="126">
        <f>'Cashflow trend'!N60</f>
        <v>126824.552</v>
      </c>
      <c r="L50" s="126">
        <f>'Cashflow trend'!O60</f>
        <v>134648.14300000001</v>
      </c>
      <c r="M50" s="126">
        <f>'Cashflow trend'!P60</f>
        <v>136550.06100000002</v>
      </c>
      <c r="N50" s="1208">
        <f>SUM(E50:M50)</f>
        <v>985688.34100000001</v>
      </c>
    </row>
    <row r="51" spans="1:14" s="220" customFormat="1">
      <c r="A51" s="1205" t="s">
        <v>1406</v>
      </c>
      <c r="B51" s="126"/>
      <c r="C51" s="126"/>
      <c r="D51" s="126"/>
      <c r="E51" s="126">
        <f>'Cashflow trend'!H63</f>
        <v>56842.589239999994</v>
      </c>
      <c r="F51" s="126">
        <f>'Cashflow trend'!I63</f>
        <v>86320.161400000012</v>
      </c>
      <c r="G51" s="126">
        <f>'Cashflow trend'!J63</f>
        <v>106842.07934000003</v>
      </c>
      <c r="H51" s="126">
        <f>'Cashflow trend'!K63</f>
        <v>132862.9459665</v>
      </c>
      <c r="I51" s="126">
        <f>'Cashflow trend'!L63</f>
        <v>135992.51529034501</v>
      </c>
      <c r="J51" s="126">
        <f>'Cashflow trend'!M63</f>
        <v>139204.3345157399</v>
      </c>
      <c r="K51" s="126">
        <f>'Cashflow trend'!N63</f>
        <v>142500.91285631462</v>
      </c>
      <c r="L51" s="126">
        <f>'Cashflow trend'!O63</f>
        <v>145884.84935944728</v>
      </c>
      <c r="M51" s="126">
        <f>'Cashflow trend'!P63</f>
        <v>149358.83657857327</v>
      </c>
      <c r="N51" s="1208">
        <f>SUM(E51:M51)</f>
        <v>1095809.22454692</v>
      </c>
    </row>
    <row r="52" spans="1:14" s="220" customFormat="1">
      <c r="A52" s="1205" t="s">
        <v>1407</v>
      </c>
      <c r="B52" s="126"/>
      <c r="C52" s="126"/>
      <c r="D52" s="126"/>
      <c r="E52" s="126">
        <f>E51-E50</f>
        <v>-38835.343760000011</v>
      </c>
      <c r="F52" s="126">
        <f t="shared" ref="F52:M52" si="1">F51-F50</f>
        <v>8111.7644000000146</v>
      </c>
      <c r="G52" s="126">
        <f t="shared" si="1"/>
        <v>25340.332340000023</v>
      </c>
      <c r="H52" s="126">
        <f t="shared" si="1"/>
        <v>33389.066966500002</v>
      </c>
      <c r="I52" s="126">
        <f t="shared" si="1"/>
        <v>23345.820290345</v>
      </c>
      <c r="J52" s="126">
        <f t="shared" si="1"/>
        <v>19047.400515739908</v>
      </c>
      <c r="K52" s="126">
        <f t="shared" si="1"/>
        <v>15676.360856314626</v>
      </c>
      <c r="L52" s="126">
        <f t="shared" si="1"/>
        <v>11236.706359447271</v>
      </c>
      <c r="M52" s="126">
        <f t="shared" si="1"/>
        <v>12808.775578573259</v>
      </c>
      <c r="N52" s="1208">
        <f>SUM(E52:M52)</f>
        <v>110120.88354692009</v>
      </c>
    </row>
    <row r="53" spans="1:14" s="220" customFormat="1">
      <c r="A53" s="1205" t="s">
        <v>1408</v>
      </c>
      <c r="B53" s="126"/>
      <c r="C53" s="126"/>
      <c r="D53" s="126"/>
      <c r="E53" s="1206">
        <f>'Cashflow trend'!H61</f>
        <v>1.4422925307124472</v>
      </c>
      <c r="F53" s="1206">
        <f>'Cashflow trend'!I61</f>
        <v>1.6056502651651376</v>
      </c>
      <c r="G53" s="1206">
        <f>'Cashflow trend'!J61</f>
        <v>1.4430485424566515</v>
      </c>
      <c r="H53" s="1206">
        <f>'Cashflow trend'!K61</f>
        <v>1.4427342647338257</v>
      </c>
      <c r="I53" s="1206">
        <f>'Cashflow trend'!L61</f>
        <v>1.6442189804935847</v>
      </c>
      <c r="J53" s="1206">
        <f>'Cashflow trend'!M61</f>
        <v>1.7053952810127877</v>
      </c>
      <c r="K53" s="1206">
        <f>'Cashflow trend'!N61</f>
        <v>1.7253633035484528</v>
      </c>
      <c r="L53" s="1206">
        <f>'Cashflow trend'!O61</f>
        <v>1.7712965069363835</v>
      </c>
      <c r="M53" s="1206">
        <f>'Cashflow trend'!P61</f>
        <v>1.8534766624077021</v>
      </c>
      <c r="N53" s="1209" t="s">
        <v>78</v>
      </c>
    </row>
    <row r="54" spans="1:14" s="220" customFormat="1">
      <c r="A54" s="125" t="s">
        <v>1410</v>
      </c>
      <c r="B54" s="1207"/>
      <c r="C54" s="1207"/>
      <c r="D54" s="1207"/>
      <c r="E54" s="1207">
        <f t="shared" ref="E54:M54" si="2">E52*E53</f>
        <v>-56011.926232698264</v>
      </c>
      <c r="F54" s="1207">
        <f t="shared" si="2"/>
        <v>13024.656659817147</v>
      </c>
      <c r="G54" s="1207">
        <f t="shared" si="2"/>
        <v>36567.32964860418</v>
      </c>
      <c r="H54" s="1207">
        <f t="shared" si="2"/>
        <v>48171.550980061853</v>
      </c>
      <c r="I54" s="1207">
        <f t="shared" si="2"/>
        <v>38385.640836577499</v>
      </c>
      <c r="J54" s="1207">
        <f t="shared" si="2"/>
        <v>32483.346955103378</v>
      </c>
      <c r="K54" s="1207">
        <f t="shared" si="2"/>
        <v>27047.417754668655</v>
      </c>
      <c r="L54" s="1207">
        <f t="shared" si="2"/>
        <v>19903.538723958798</v>
      </c>
      <c r="M54" s="1207">
        <f t="shared" si="2"/>
        <v>23740.766608903246</v>
      </c>
      <c r="N54" s="1210">
        <f>SUM(E54:M54)</f>
        <v>183312.32193499649</v>
      </c>
    </row>
    <row r="55" spans="1:14" s="220" customFormat="1">
      <c r="A55" s="125"/>
      <c r="B55" s="126"/>
      <c r="C55" s="126"/>
      <c r="D55" s="126"/>
      <c r="E55" s="126"/>
      <c r="F55" s="126"/>
      <c r="G55" s="126"/>
      <c r="H55" s="126"/>
      <c r="I55" s="126"/>
      <c r="J55" s="126"/>
      <c r="K55" s="126"/>
      <c r="L55" s="126"/>
      <c r="M55" s="126"/>
      <c r="N55" s="1208"/>
    </row>
    <row r="56" spans="1:14" s="220" customFormat="1">
      <c r="A56" s="125" t="s">
        <v>713</v>
      </c>
      <c r="B56" s="126">
        <v>85661.724840835101</v>
      </c>
      <c r="C56" s="126">
        <v>143874.33549196983</v>
      </c>
      <c r="D56" s="126">
        <v>118185.01358212715</v>
      </c>
      <c r="E56" s="126"/>
      <c r="F56" s="126"/>
      <c r="G56" s="126"/>
      <c r="H56" s="126"/>
      <c r="I56" s="126"/>
      <c r="J56" s="126"/>
      <c r="K56" s="126"/>
      <c r="L56" s="126"/>
      <c r="M56" s="126"/>
      <c r="N56" s="1208"/>
    </row>
    <row r="57" spans="1:14" s="220" customFormat="1">
      <c r="A57" s="1205" t="s">
        <v>1405</v>
      </c>
      <c r="B57" s="126">
        <v>-28473.514999999999</v>
      </c>
      <c r="C57" s="126">
        <v>-18495.899229999999</v>
      </c>
      <c r="D57" s="126">
        <v>-38035.709919999994</v>
      </c>
      <c r="E57" s="126">
        <f>'Cashflow trend'!H64</f>
        <v>85719.732000000004</v>
      </c>
      <c r="F57" s="126">
        <f>'Cashflow trend'!I64</f>
        <v>134046.27600000001</v>
      </c>
      <c r="G57" s="126">
        <f>'Cashflow trend'!J64</f>
        <v>137267.136</v>
      </c>
      <c r="H57" s="126">
        <f>'Cashflow trend'!K64</f>
        <v>133278.04800000001</v>
      </c>
      <c r="I57" s="126">
        <f>'Cashflow trend'!L64</f>
        <v>158321.95199999999</v>
      </c>
      <c r="J57" s="126">
        <f>'Cashflow trend'!M64</f>
        <v>170566.50650631488</v>
      </c>
      <c r="K57" s="126">
        <f>'Cashflow trend'!N64</f>
        <v>164447.57262953103</v>
      </c>
      <c r="L57" s="126">
        <f>'Cashflow trend'!O64</f>
        <v>193473.9868798586</v>
      </c>
      <c r="M57" s="126">
        <f>'Cashflow trend'!P64</f>
        <v>228079.40556351977</v>
      </c>
      <c r="N57" s="1208">
        <f>SUM(E57:M57)</f>
        <v>1405200.6155792244</v>
      </c>
    </row>
    <row r="58" spans="1:14" s="220" customFormat="1">
      <c r="A58" s="1205" t="s">
        <v>1406</v>
      </c>
      <c r="B58" s="126"/>
      <c r="C58" s="126"/>
      <c r="D58" s="126"/>
      <c r="E58" s="126">
        <f>'Cashflow trend'!H67</f>
        <v>122828.07600000002</v>
      </c>
      <c r="F58" s="126">
        <f>'Cashflow trend'!I67</f>
        <v>141529.61843999999</v>
      </c>
      <c r="G58" s="126">
        <f>'Cashflow trend'!J67</f>
        <v>157714.45925760001</v>
      </c>
      <c r="H58" s="126">
        <f>'Cashflow trend'!K67</f>
        <v>160735.629543552</v>
      </c>
      <c r="I58" s="126">
        <f>'Cashflow trend'!L67</f>
        <v>176143.59800190723</v>
      </c>
      <c r="J58" s="126">
        <f>'Cashflow trend'!M67</f>
        <v>193092.36330609795</v>
      </c>
      <c r="K58" s="126">
        <f>'Cashflow trend'!N67</f>
        <v>211736.00514070777</v>
      </c>
      <c r="L58" s="126">
        <f>'Cashflow trend'!O67</f>
        <v>215837.60634432195</v>
      </c>
      <c r="M58" s="126">
        <f>'Cashflow trend'!P67</f>
        <v>232572.13925506768</v>
      </c>
      <c r="N58" s="1208">
        <f>SUM(E58:M58)</f>
        <v>1612189.4952892545</v>
      </c>
    </row>
    <row r="59" spans="1:14" s="220" customFormat="1">
      <c r="A59" s="1205" t="s">
        <v>1407</v>
      </c>
      <c r="B59" s="126"/>
      <c r="C59" s="126"/>
      <c r="D59" s="126"/>
      <c r="E59" s="126">
        <f>E58-E57</f>
        <v>37108.344000000012</v>
      </c>
      <c r="F59" s="126">
        <f t="shared" ref="F59" si="3">F58-F57</f>
        <v>7483.3424399999785</v>
      </c>
      <c r="G59" s="126">
        <f t="shared" ref="G59" si="4">G58-G57</f>
        <v>20447.323257600015</v>
      </c>
      <c r="H59" s="126">
        <f t="shared" ref="H59" si="5">H58-H57</f>
        <v>27457.581543551991</v>
      </c>
      <c r="I59" s="126">
        <f t="shared" ref="I59" si="6">I58-I57</f>
        <v>17821.64600190724</v>
      </c>
      <c r="J59" s="126">
        <f t="shared" ref="J59" si="7">J58-J57</f>
        <v>22525.856799783069</v>
      </c>
      <c r="K59" s="126">
        <f t="shared" ref="K59" si="8">K58-K57</f>
        <v>47288.432511176739</v>
      </c>
      <c r="L59" s="126">
        <f t="shared" ref="L59" si="9">L58-L57</f>
        <v>22363.619464463351</v>
      </c>
      <c r="M59" s="126">
        <f t="shared" ref="M59" si="10">M58-M57</f>
        <v>4492.73369154791</v>
      </c>
      <c r="N59" s="1208">
        <f>SUM(E59:M59)</f>
        <v>206988.87971003031</v>
      </c>
    </row>
    <row r="60" spans="1:14" s="220" customFormat="1">
      <c r="A60" s="1205" t="s">
        <v>1408</v>
      </c>
      <c r="B60" s="126"/>
      <c r="C60" s="126"/>
      <c r="D60" s="126"/>
      <c r="E60" s="1206">
        <f>'Cashflow trend'!H65</f>
        <v>0.31836483231986334</v>
      </c>
      <c r="F60" s="1206">
        <f>'Cashflow trend'!I65</f>
        <v>0.3928231983058143</v>
      </c>
      <c r="G60" s="1206">
        <f>'Cashflow trend'!J65</f>
        <v>0.32995695840477363</v>
      </c>
      <c r="H60" s="1206">
        <f>'Cashflow trend'!K65</f>
        <v>0.47326960688165409</v>
      </c>
      <c r="I60" s="1206">
        <f>'Cashflow trend'!L65</f>
        <v>0.30136835079350144</v>
      </c>
      <c r="J60" s="1206">
        <f>'Cashflow trend'!M65</f>
        <v>0.23399774031488516</v>
      </c>
      <c r="K60" s="1206">
        <f>'Cashflow trend'!N65</f>
        <v>0.30200462833958913</v>
      </c>
      <c r="L60" s="1206">
        <f>'Cashflow trend'!O65</f>
        <v>0.30836007323580994</v>
      </c>
      <c r="M60" s="1206">
        <f>'Cashflow trend'!P65</f>
        <v>0.31575042751551413</v>
      </c>
      <c r="N60" s="1209" t="s">
        <v>78</v>
      </c>
    </row>
    <row r="61" spans="1:14" s="220" customFormat="1">
      <c r="A61" s="125" t="s">
        <v>1410</v>
      </c>
      <c r="B61" s="1207"/>
      <c r="C61" s="1207"/>
      <c r="D61" s="1207"/>
      <c r="E61" s="1207">
        <f t="shared" ref="E61:M61" si="11">E59*E60</f>
        <v>11813.99171522781</v>
      </c>
      <c r="F61" s="1207">
        <f t="shared" si="11"/>
        <v>2939.6305112984278</v>
      </c>
      <c r="G61" s="1207">
        <f t="shared" si="11"/>
        <v>6746.7365895968887</v>
      </c>
      <c r="H61" s="1207">
        <f t="shared" si="11"/>
        <v>12994.838823037811</v>
      </c>
      <c r="I61" s="1207">
        <f t="shared" si="11"/>
        <v>5370.8800640203835</v>
      </c>
      <c r="J61" s="1207">
        <f t="shared" si="11"/>
        <v>5270.9995898059287</v>
      </c>
      <c r="K61" s="1207">
        <f t="shared" si="11"/>
        <v>14281.325485299674</v>
      </c>
      <c r="L61" s="1207">
        <f t="shared" si="11"/>
        <v>6896.0473358797035</v>
      </c>
      <c r="M61" s="1207">
        <f t="shared" si="11"/>
        <v>1418.5825838196065</v>
      </c>
      <c r="N61" s="1210">
        <f>SUM(E61:M61)</f>
        <v>67733.032697986229</v>
      </c>
    </row>
    <row r="62" spans="1:14">
      <c r="A62" s="1205"/>
      <c r="B62" s="126"/>
      <c r="C62" s="126"/>
      <c r="D62" s="126"/>
      <c r="E62" s="126"/>
      <c r="F62" s="126"/>
      <c r="G62" s="126"/>
      <c r="H62" s="126"/>
      <c r="I62" s="126"/>
      <c r="J62" s="126"/>
      <c r="K62" s="126"/>
      <c r="L62" s="126"/>
      <c r="M62" s="126"/>
      <c r="N62" s="1208"/>
    </row>
    <row r="63" spans="1:14" ht="15.75" thickBot="1">
      <c r="A63" s="125" t="s">
        <v>1411</v>
      </c>
      <c r="B63" s="1207"/>
      <c r="C63" s="1207"/>
      <c r="D63" s="1207"/>
      <c r="E63" s="1207">
        <f>E54+E61</f>
        <v>-44197.93451747045</v>
      </c>
      <c r="F63" s="1207">
        <f t="shared" ref="F63:M63" si="12">F54+F61</f>
        <v>15964.287171115575</v>
      </c>
      <c r="G63" s="1207">
        <f t="shared" si="12"/>
        <v>43314.066238201071</v>
      </c>
      <c r="H63" s="1207">
        <f t="shared" si="12"/>
        <v>61166.389803099664</v>
      </c>
      <c r="I63" s="1207">
        <f t="shared" si="12"/>
        <v>43756.520900597883</v>
      </c>
      <c r="J63" s="1207">
        <f t="shared" si="12"/>
        <v>37754.346544909306</v>
      </c>
      <c r="K63" s="1207">
        <f t="shared" si="12"/>
        <v>41328.743239968331</v>
      </c>
      <c r="L63" s="1207">
        <f t="shared" si="12"/>
        <v>26799.586059838501</v>
      </c>
      <c r="M63" s="1207">
        <f t="shared" si="12"/>
        <v>25159.349192722853</v>
      </c>
      <c r="N63" s="1211">
        <f>SUM(E63:M63)</f>
        <v>251045.35463298269</v>
      </c>
    </row>
  </sheetData>
  <mergeCells count="2">
    <mergeCell ref="E31:G31"/>
    <mergeCell ref="H31:J31"/>
  </mergeCells>
  <phoneticPr fontId="301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rgb="FF00B0F0"/>
  </sheetPr>
  <dimension ref="A3:E23"/>
  <sheetViews>
    <sheetView workbookViewId="0">
      <selection activeCell="D21" sqref="D21"/>
    </sheetView>
  </sheetViews>
  <sheetFormatPr defaultColWidth="8.7109375" defaultRowHeight="15"/>
  <cols>
    <col min="1" max="1" width="3.7109375" style="223" customWidth="1"/>
    <col min="2" max="2" width="36.5703125" style="223" customWidth="1"/>
    <col min="3" max="3" width="13.42578125" style="223" customWidth="1"/>
    <col min="4" max="4" width="12.140625" style="223" customWidth="1"/>
    <col min="5" max="16384" width="8.7109375" style="223"/>
  </cols>
  <sheetData>
    <row r="3" spans="1:5">
      <c r="A3" s="5"/>
      <c r="B3" s="5"/>
      <c r="C3" s="5"/>
      <c r="D3" s="1167" t="s">
        <v>1383</v>
      </c>
      <c r="E3" s="5"/>
    </row>
    <row r="4" spans="1:5">
      <c r="A4" s="5" t="s">
        <v>1385</v>
      </c>
      <c r="B4" s="5"/>
      <c r="C4" s="1167">
        <f>'YL Capex (31 Mar 2021)'!E172/1000</f>
        <v>1838889.6214599998</v>
      </c>
      <c r="D4" s="5"/>
      <c r="E4" s="5"/>
    </row>
    <row r="5" spans="1:5">
      <c r="A5" s="5" t="s">
        <v>1386</v>
      </c>
      <c r="B5" s="5"/>
      <c r="C5" s="614">
        <f>'YL Capex (31 Mar 2021)'!R172/1000</f>
        <v>-61761.541649999999</v>
      </c>
      <c r="D5" s="5"/>
      <c r="E5" s="5"/>
    </row>
    <row r="6" spans="1:5">
      <c r="A6" s="5" t="s">
        <v>1387</v>
      </c>
      <c r="B6" s="5"/>
      <c r="C6" s="5">
        <f>SUM(C4:C5)</f>
        <v>1777128.0798099998</v>
      </c>
      <c r="D6" s="5">
        <f>C6</f>
        <v>1777128.0798099998</v>
      </c>
      <c r="E6" s="5"/>
    </row>
    <row r="7" spans="1:5">
      <c r="A7" s="5" t="s">
        <v>1373</v>
      </c>
      <c r="B7" s="5"/>
      <c r="C7" s="5"/>
      <c r="D7" s="5">
        <f>-SUM('Final Terms of Loan Financing'!AW25:AW117)/1000</f>
        <v>99333.039362083335</v>
      </c>
      <c r="E7" s="5"/>
    </row>
    <row r="8" spans="1:5">
      <c r="A8" s="1693" t="s">
        <v>1374</v>
      </c>
      <c r="B8" s="1693"/>
      <c r="C8" s="1168"/>
      <c r="D8" s="614">
        <f>(SUM('12 years sales &amp; PL forecast'!G210:P210)-SUM('12 years sales &amp; PL forecast'!G202:P202))/1000</f>
        <v>349013.52092760307</v>
      </c>
      <c r="E8" s="5"/>
    </row>
    <row r="9" spans="1:5">
      <c r="A9" s="6" t="s">
        <v>1375</v>
      </c>
      <c r="B9" s="5"/>
      <c r="C9" s="6"/>
      <c r="D9" s="6">
        <f>SUM(D5:D8)</f>
        <v>2225474.6400996861</v>
      </c>
      <c r="E9" s="5"/>
    </row>
    <row r="10" spans="1:5">
      <c r="A10" s="5"/>
      <c r="B10" s="5"/>
      <c r="C10" s="5"/>
      <c r="D10" s="5"/>
      <c r="E10" s="5"/>
    </row>
    <row r="11" spans="1:5">
      <c r="A11" s="224" t="s">
        <v>1376</v>
      </c>
      <c r="B11" s="225"/>
      <c r="C11" s="225"/>
      <c r="D11" s="225"/>
      <c r="E11" s="225"/>
    </row>
    <row r="12" spans="1:5">
      <c r="A12" s="225" t="s">
        <v>1388</v>
      </c>
      <c r="B12" s="225"/>
      <c r="C12" s="225"/>
      <c r="D12" s="225">
        <f>('YL Capex (31 Mar 2021)'!E150+5000000)/1000</f>
        <v>363397.55</v>
      </c>
      <c r="E12" s="225"/>
    </row>
    <row r="13" spans="1:5">
      <c r="A13" s="225" t="s">
        <v>1382</v>
      </c>
      <c r="B13" s="225"/>
      <c r="C13" s="225"/>
      <c r="D13" s="225"/>
      <c r="E13" s="225"/>
    </row>
    <row r="14" spans="1:5">
      <c r="A14" s="225"/>
      <c r="B14" s="225" t="s">
        <v>1377</v>
      </c>
      <c r="C14" s="225">
        <v>1000000</v>
      </c>
      <c r="D14" s="225"/>
      <c r="E14" s="225"/>
    </row>
    <row r="15" spans="1:5" ht="30">
      <c r="A15" s="225"/>
      <c r="B15" s="1169" t="s">
        <v>1380</v>
      </c>
      <c r="C15" s="1170">
        <f>SUM('Final Terms of Loan Financing'!AY24:AY117)/1000</f>
        <v>-599875</v>
      </c>
      <c r="D15" s="225"/>
      <c r="E15" s="225"/>
    </row>
    <row r="16" spans="1:5">
      <c r="A16" s="225" t="s">
        <v>1381</v>
      </c>
      <c r="B16" s="225"/>
      <c r="C16" s="225">
        <f>SUM(C14:C15)</f>
        <v>400125</v>
      </c>
      <c r="D16" s="225">
        <f>C16</f>
        <v>400125</v>
      </c>
      <c r="E16" s="225"/>
    </row>
    <row r="17" spans="1:5">
      <c r="A17" s="225" t="s">
        <v>1378</v>
      </c>
      <c r="B17" s="225"/>
      <c r="C17" s="225"/>
      <c r="D17" s="225">
        <f>SUM('Cashflow trend'!B16:J16)</f>
        <v>684215.99279470497</v>
      </c>
      <c r="E17" s="225"/>
    </row>
    <row r="18" spans="1:5">
      <c r="A18" s="225" t="s">
        <v>1379</v>
      </c>
      <c r="B18" s="225"/>
      <c r="C18" s="225"/>
      <c r="D18" s="1170">
        <f>'Cashflow forecast'!I86/1000</f>
        <v>256685.41399999999</v>
      </c>
      <c r="E18" s="225"/>
    </row>
    <row r="19" spans="1:5">
      <c r="A19" s="224" t="s">
        <v>1384</v>
      </c>
      <c r="B19" s="224"/>
      <c r="C19" s="224"/>
      <c r="D19" s="224">
        <f>SUM(D12:D18)</f>
        <v>1704423.9567947048</v>
      </c>
      <c r="E19" s="225"/>
    </row>
    <row r="20" spans="1:5">
      <c r="A20" s="225"/>
      <c r="B20" s="225"/>
      <c r="C20" s="225"/>
      <c r="D20" s="225"/>
      <c r="E20" s="225"/>
    </row>
    <row r="21" spans="1:5">
      <c r="A21" s="1166" t="s">
        <v>1389</v>
      </c>
      <c r="B21" s="7"/>
      <c r="C21" s="7"/>
      <c r="D21" s="1171">
        <f>D19-D9</f>
        <v>-521050.68330498133</v>
      </c>
      <c r="E21" s="7"/>
    </row>
    <row r="22" spans="1:5">
      <c r="A22" s="7"/>
      <c r="B22" s="7"/>
      <c r="C22" s="7"/>
      <c r="D22" s="7" t="s">
        <v>78</v>
      </c>
      <c r="E22" s="7"/>
    </row>
    <row r="23" spans="1:5">
      <c r="D23" s="223" t="s">
        <v>78</v>
      </c>
    </row>
  </sheetData>
  <mergeCells count="1">
    <mergeCell ref="A8:B8"/>
  </mergeCells>
  <phoneticPr fontId="301" type="noConversion"/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rgb="FF00B0F0"/>
  </sheetPr>
  <dimension ref="A2:G11"/>
  <sheetViews>
    <sheetView workbookViewId="0"/>
  </sheetViews>
  <sheetFormatPr defaultColWidth="8.7109375" defaultRowHeight="15"/>
  <cols>
    <col min="1" max="1" width="40.28515625" style="223" customWidth="1"/>
    <col min="2" max="7" width="13.85546875" style="223" customWidth="1"/>
    <col min="8" max="16384" width="8.7109375" style="223"/>
  </cols>
  <sheetData>
    <row r="2" spans="1:7" ht="15.75" thickBot="1"/>
    <row r="3" spans="1:7" ht="45.75" thickBot="1">
      <c r="A3" s="226"/>
      <c r="B3" s="1153" t="s">
        <v>1359</v>
      </c>
      <c r="C3" s="1154" t="s">
        <v>1362</v>
      </c>
      <c r="D3" s="1155" t="s">
        <v>1360</v>
      </c>
      <c r="E3" s="1156" t="s">
        <v>1361</v>
      </c>
      <c r="F3" s="1157" t="s">
        <v>1363</v>
      </c>
      <c r="G3" s="1158" t="s">
        <v>1364</v>
      </c>
    </row>
    <row r="4" spans="1:7">
      <c r="A4" s="1161" t="s">
        <v>1365</v>
      </c>
      <c r="B4" s="1159"/>
      <c r="C4" s="1145">
        <v>921500</v>
      </c>
      <c r="D4" s="608"/>
      <c r="E4" s="1147">
        <v>0</v>
      </c>
      <c r="F4" s="1149"/>
      <c r="G4" s="1150">
        <v>0</v>
      </c>
    </row>
    <row r="5" spans="1:7">
      <c r="A5" s="1162" t="s">
        <v>1366</v>
      </c>
      <c r="B5" s="1159">
        <v>-48500</v>
      </c>
      <c r="C5" s="1145">
        <f t="shared" ref="C5:C11" si="0">C4+B5</f>
        <v>873000</v>
      </c>
      <c r="D5" s="608">
        <f>F5</f>
        <v>50000</v>
      </c>
      <c r="E5" s="1147">
        <f t="shared" ref="E5:E11" si="1">E4+D5</f>
        <v>50000</v>
      </c>
      <c r="F5" s="1149">
        <v>50000</v>
      </c>
      <c r="G5" s="1150">
        <f t="shared" ref="G5:G11" si="2">G4+F5</f>
        <v>50000</v>
      </c>
    </row>
    <row r="6" spans="1:7">
      <c r="A6" s="1163" t="s">
        <v>1367</v>
      </c>
      <c r="B6" s="1159">
        <v>-194000</v>
      </c>
      <c r="C6" s="1145">
        <f t="shared" si="0"/>
        <v>679000</v>
      </c>
      <c r="D6" s="608">
        <f>F6</f>
        <v>210000</v>
      </c>
      <c r="E6" s="1147">
        <f t="shared" si="1"/>
        <v>260000</v>
      </c>
      <c r="F6" s="1149">
        <v>210000</v>
      </c>
      <c r="G6" s="1150">
        <f t="shared" si="2"/>
        <v>260000</v>
      </c>
    </row>
    <row r="7" spans="1:7">
      <c r="A7" s="1163" t="s">
        <v>1368</v>
      </c>
      <c r="B7" s="1159">
        <v>-145500</v>
      </c>
      <c r="C7" s="1145">
        <f t="shared" si="0"/>
        <v>533500</v>
      </c>
      <c r="D7" s="608">
        <f>F7</f>
        <v>90000</v>
      </c>
      <c r="E7" s="1147">
        <f t="shared" si="1"/>
        <v>350000</v>
      </c>
      <c r="F7" s="1149">
        <v>90000</v>
      </c>
      <c r="G7" s="1150">
        <f t="shared" si="2"/>
        <v>350000</v>
      </c>
    </row>
    <row r="8" spans="1:7" ht="30">
      <c r="A8" s="1164" t="s">
        <v>1369</v>
      </c>
      <c r="B8" s="1159">
        <v>150000</v>
      </c>
      <c r="C8" s="1145">
        <f t="shared" si="0"/>
        <v>683500</v>
      </c>
      <c r="D8" s="608">
        <f>-B8</f>
        <v>-150000</v>
      </c>
      <c r="E8" s="1147">
        <f t="shared" si="1"/>
        <v>200000</v>
      </c>
      <c r="F8" s="1149">
        <f>D8</f>
        <v>-150000</v>
      </c>
      <c r="G8" s="1150">
        <f t="shared" si="2"/>
        <v>200000</v>
      </c>
    </row>
    <row r="9" spans="1:7" ht="30">
      <c r="A9" s="1164" t="s">
        <v>1370</v>
      </c>
      <c r="B9" s="1159">
        <v>0</v>
      </c>
      <c r="C9" s="1145">
        <f t="shared" si="0"/>
        <v>683500</v>
      </c>
      <c r="D9" s="608">
        <v>0</v>
      </c>
      <c r="E9" s="1147">
        <f t="shared" si="1"/>
        <v>200000</v>
      </c>
      <c r="F9" s="1149">
        <f>-G8</f>
        <v>-200000</v>
      </c>
      <c r="G9" s="1150">
        <f t="shared" si="2"/>
        <v>0</v>
      </c>
    </row>
    <row r="10" spans="1:7" ht="30">
      <c r="A10" s="1164" t="s">
        <v>1371</v>
      </c>
      <c r="B10" s="1159">
        <f>-C8</f>
        <v>-683500</v>
      </c>
      <c r="C10" s="1145">
        <f t="shared" si="0"/>
        <v>0</v>
      </c>
      <c r="D10" s="608">
        <v>0</v>
      </c>
      <c r="E10" s="1147">
        <f t="shared" si="1"/>
        <v>200000</v>
      </c>
      <c r="F10" s="1149">
        <v>0</v>
      </c>
      <c r="G10" s="1150">
        <f t="shared" si="2"/>
        <v>0</v>
      </c>
    </row>
    <row r="11" spans="1:7" ht="45.75" thickBot="1">
      <c r="A11" s="1165" t="s">
        <v>1372</v>
      </c>
      <c r="B11" s="1160">
        <v>0</v>
      </c>
      <c r="C11" s="1146">
        <f t="shared" si="0"/>
        <v>0</v>
      </c>
      <c r="D11" s="610">
        <f>-E8</f>
        <v>-200000</v>
      </c>
      <c r="E11" s="1148">
        <f t="shared" si="1"/>
        <v>0</v>
      </c>
      <c r="F11" s="1151">
        <v>0</v>
      </c>
      <c r="G11" s="1152">
        <f t="shared" si="2"/>
        <v>0</v>
      </c>
    </row>
  </sheetData>
  <phoneticPr fontId="301" type="noConversion"/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tabColor rgb="FFFFC000"/>
  </sheetPr>
  <dimension ref="A1:CF204"/>
  <sheetViews>
    <sheetView topLeftCell="A6" zoomScale="85" zoomScaleNormal="85" workbookViewId="0">
      <pane xSplit="46" ySplit="17" topLeftCell="AU101" activePane="bottomRight" state="frozen"/>
      <selection activeCell="A6" sqref="A6"/>
      <selection pane="topRight" activeCell="AT6" sqref="AT6"/>
      <selection pane="bottomLeft" activeCell="A23" sqref="A23"/>
      <selection pane="bottomRight" activeCell="AY105" sqref="AY105"/>
    </sheetView>
  </sheetViews>
  <sheetFormatPr defaultColWidth="9.42578125" defaultRowHeight="14.25" outlineLevelRow="1" outlineLevelCol="1"/>
  <cols>
    <col min="1" max="2" width="7.42578125" style="229" customWidth="1"/>
    <col min="3" max="3" width="8.28515625" style="229" customWidth="1"/>
    <col min="4" max="4" width="13" style="229" customWidth="1"/>
    <col min="5" max="5" width="17.42578125" style="229" customWidth="1"/>
    <col min="6" max="6" width="9.42578125" style="228" hidden="1" customWidth="1" outlineLevel="1"/>
    <col min="7" max="7" width="14.42578125" style="229" hidden="1" customWidth="1" outlineLevel="1"/>
    <col min="8" max="8" width="14" style="229" hidden="1" customWidth="1" outlineLevel="1"/>
    <col min="9" max="9" width="15.42578125" style="229" hidden="1" customWidth="1" outlineLevel="1"/>
    <col min="10" max="10" width="15.42578125" style="230" hidden="1" customWidth="1" outlineLevel="1"/>
    <col min="11" max="13" width="14.42578125" style="229" hidden="1" customWidth="1" outlineLevel="1"/>
    <col min="14" max="14" width="4.42578125" style="229" hidden="1" customWidth="1" outlineLevel="1"/>
    <col min="15" max="15" width="9.42578125" style="228" hidden="1" customWidth="1" outlineLevel="1"/>
    <col min="16" max="16" width="14.42578125" style="229" hidden="1" customWidth="1" outlineLevel="1"/>
    <col min="17" max="17" width="14" style="229" hidden="1" customWidth="1" outlineLevel="1"/>
    <col min="18" max="18" width="15.42578125" style="229" hidden="1" customWidth="1" outlineLevel="1"/>
    <col min="19" max="19" width="15.42578125" style="230" hidden="1" customWidth="1" outlineLevel="1"/>
    <col min="20" max="20" width="13.5703125" style="229" hidden="1" customWidth="1" outlineLevel="1"/>
    <col min="21" max="22" width="14.42578125" style="229" hidden="1" customWidth="1" outlineLevel="1"/>
    <col min="23" max="23" width="3.5703125" style="229" hidden="1" customWidth="1" outlineLevel="1"/>
    <col min="24" max="24" width="9.42578125" style="228" hidden="1" customWidth="1" outlineLevel="1"/>
    <col min="25" max="25" width="14.42578125" style="229" hidden="1" customWidth="1" outlineLevel="1"/>
    <col min="26" max="26" width="13.42578125" style="229" hidden="1" customWidth="1" outlineLevel="1"/>
    <col min="27" max="27" width="15.42578125" style="229" hidden="1" customWidth="1" outlineLevel="1"/>
    <col min="28" max="28" width="15.42578125" style="230" hidden="1" customWidth="1" outlineLevel="1"/>
    <col min="29" max="29" width="12.5703125" style="229" hidden="1" customWidth="1" outlineLevel="1"/>
    <col min="30" max="31" width="14.42578125" style="229" hidden="1" customWidth="1" outlineLevel="1"/>
    <col min="32" max="32" width="4" style="229" hidden="1" customWidth="1" outlineLevel="1"/>
    <col min="33" max="35" width="15.42578125" style="229" hidden="1" customWidth="1" outlineLevel="1"/>
    <col min="36" max="36" width="9.42578125" style="229" hidden="1" customWidth="1" outlineLevel="1"/>
    <col min="37" max="37" width="9.42578125" style="228" hidden="1" customWidth="1" outlineLevel="1"/>
    <col min="38" max="38" width="16" style="229" hidden="1" customWidth="1" outlineLevel="1"/>
    <col min="39" max="39" width="14.42578125" style="229" hidden="1" customWidth="1" outlineLevel="1"/>
    <col min="40" max="40" width="15.42578125" style="229" hidden="1" customWidth="1" outlineLevel="1"/>
    <col min="41" max="41" width="15.42578125" style="230" hidden="1" customWidth="1" outlineLevel="1"/>
    <col min="42" max="42" width="12.5703125" style="229" hidden="1" customWidth="1" outlineLevel="1"/>
    <col min="43" max="45" width="14.42578125" style="229" hidden="1" customWidth="1" outlineLevel="1"/>
    <col min="46" max="46" width="9.42578125" style="229" hidden="1" customWidth="1" outlineLevel="1"/>
    <col min="47" max="47" width="9.42578125" style="228" collapsed="1"/>
    <col min="48" max="48" width="16" style="229" customWidth="1"/>
    <col min="49" max="50" width="14.42578125" style="229" customWidth="1"/>
    <col min="51" max="51" width="19.42578125" style="229" customWidth="1"/>
    <col min="52" max="52" width="15.42578125" style="229" customWidth="1"/>
    <col min="53" max="53" width="17.5703125" style="230" customWidth="1"/>
    <col min="54" max="55" width="15.42578125" style="230" customWidth="1"/>
    <col min="56" max="56" width="12.5703125" style="229" bestFit="1" customWidth="1"/>
    <col min="57" max="57" width="12.5703125" style="229" customWidth="1"/>
    <col min="58" max="58" width="14.42578125" style="229" customWidth="1"/>
    <col min="59" max="59" width="15.5703125" style="229" customWidth="1"/>
    <col min="60" max="60" width="18.42578125" style="229" customWidth="1"/>
    <col min="61" max="61" width="16" style="229" customWidth="1"/>
    <col min="62" max="62" width="13.42578125" style="229" customWidth="1"/>
    <col min="63" max="63" width="14.5703125" style="229" customWidth="1"/>
    <col min="64" max="65" width="15.5703125" style="229" customWidth="1"/>
    <col min="66" max="66" width="11.42578125" style="229" customWidth="1"/>
    <col min="67" max="67" width="12" style="229" customWidth="1"/>
    <col min="68" max="68" width="9.42578125" style="229"/>
    <col min="69" max="69" width="12.42578125" style="229" customWidth="1"/>
    <col min="70" max="70" width="13.42578125" style="229" customWidth="1"/>
    <col min="71" max="71" width="15.42578125" style="229" customWidth="1"/>
    <col min="72" max="72" width="10.140625" style="229" bestFit="1" customWidth="1"/>
    <col min="73" max="73" width="9.42578125" style="228"/>
    <col min="74" max="74" width="16" style="229" customWidth="1"/>
    <col min="75" max="75" width="14.42578125" style="229" customWidth="1"/>
    <col min="76" max="76" width="19.42578125" style="229" customWidth="1"/>
    <col min="77" max="77" width="15.42578125" style="229" customWidth="1"/>
    <col min="78" max="78" width="17.5703125" style="230" customWidth="1"/>
    <col min="79" max="80" width="15.42578125" style="230" customWidth="1"/>
    <col min="81" max="81" width="12.5703125" style="229" bestFit="1" customWidth="1"/>
    <col min="82" max="82" width="12.5703125" style="229" customWidth="1"/>
    <col min="83" max="83" width="14.42578125" style="229" customWidth="1"/>
    <col min="84" max="84" width="15.5703125" style="229" customWidth="1"/>
    <col min="85" max="16384" width="9.42578125" style="229"/>
  </cols>
  <sheetData>
    <row r="1" spans="1:84" ht="15" hidden="1" outlineLevel="1">
      <c r="A1" s="227" t="s">
        <v>473</v>
      </c>
      <c r="B1" s="227"/>
      <c r="C1" s="227"/>
      <c r="D1" s="227"/>
      <c r="E1" s="227"/>
    </row>
    <row r="2" spans="1:84" hidden="1" outlineLevel="1"/>
    <row r="3" spans="1:84" ht="16.5" hidden="1" customHeight="1" outlineLevel="1" thickBot="1">
      <c r="G3" s="1719" t="s">
        <v>474</v>
      </c>
      <c r="H3" s="1720"/>
      <c r="I3" s="1720"/>
      <c r="J3" s="1720"/>
      <c r="K3" s="1721"/>
      <c r="P3" s="1719" t="s">
        <v>475</v>
      </c>
      <c r="Q3" s="1720"/>
      <c r="R3" s="1720"/>
      <c r="S3" s="1720"/>
      <c r="T3" s="1721"/>
      <c r="Y3" s="1719" t="s">
        <v>476</v>
      </c>
      <c r="Z3" s="1720"/>
      <c r="AA3" s="1720"/>
      <c r="AB3" s="1720"/>
      <c r="AC3" s="1721"/>
      <c r="AG3" s="1703" t="s">
        <v>477</v>
      </c>
      <c r="AH3" s="1704"/>
      <c r="AI3" s="1705"/>
      <c r="AL3" s="1703" t="s">
        <v>478</v>
      </c>
      <c r="AM3" s="1704"/>
      <c r="AN3" s="1704"/>
      <c r="AO3" s="1705"/>
      <c r="AV3" s="1703" t="s">
        <v>479</v>
      </c>
      <c r="AW3" s="1704"/>
      <c r="AX3" s="1704"/>
      <c r="AY3" s="1704"/>
      <c r="AZ3" s="1704"/>
      <c r="BA3" s="1704"/>
      <c r="BB3" s="1705"/>
      <c r="BC3" s="361"/>
      <c r="BV3" s="1703" t="s">
        <v>479</v>
      </c>
      <c r="BW3" s="1704"/>
      <c r="BX3" s="1704"/>
      <c r="BY3" s="1704"/>
      <c r="BZ3" s="1704"/>
      <c r="CA3" s="1705"/>
      <c r="CB3" s="361"/>
    </row>
    <row r="4" spans="1:84" ht="36.75" hidden="1" customHeight="1" outlineLevel="1" thickBot="1">
      <c r="G4" s="231" t="s">
        <v>480</v>
      </c>
      <c r="H4" s="232" t="s">
        <v>481</v>
      </c>
      <c r="I4" s="231" t="s">
        <v>482</v>
      </c>
      <c r="J4" s="231" t="s">
        <v>483</v>
      </c>
      <c r="K4" s="232" t="s">
        <v>484</v>
      </c>
      <c r="P4" s="231" t="s">
        <v>480</v>
      </c>
      <c r="Q4" s="232" t="s">
        <v>481</v>
      </c>
      <c r="R4" s="231" t="s">
        <v>482</v>
      </c>
      <c r="S4" s="231" t="s">
        <v>483</v>
      </c>
      <c r="T4" s="232" t="s">
        <v>484</v>
      </c>
      <c r="Y4" s="231" t="s">
        <v>480</v>
      </c>
      <c r="Z4" s="232" t="s">
        <v>481</v>
      </c>
      <c r="AA4" s="231" t="s">
        <v>482</v>
      </c>
      <c r="AB4" s="231" t="s">
        <v>483</v>
      </c>
      <c r="AC4" s="232" t="s">
        <v>484</v>
      </c>
      <c r="AL4" s="231" t="s">
        <v>480</v>
      </c>
      <c r="AM4" s="232" t="s">
        <v>481</v>
      </c>
      <c r="AN4" s="231" t="s">
        <v>482</v>
      </c>
      <c r="AO4" s="231" t="s">
        <v>483</v>
      </c>
      <c r="AV4" s="233" t="s">
        <v>480</v>
      </c>
      <c r="AW4" s="234" t="s">
        <v>485</v>
      </c>
      <c r="AX4" s="234"/>
      <c r="AY4" s="234" t="s">
        <v>486</v>
      </c>
      <c r="AZ4" s="235" t="s">
        <v>487</v>
      </c>
      <c r="BA4" s="236" t="s">
        <v>488</v>
      </c>
      <c r="BB4" s="237" t="s">
        <v>489</v>
      </c>
      <c r="BC4" s="362"/>
      <c r="BI4" s="234" t="s">
        <v>487</v>
      </c>
      <c r="BJ4" s="236" t="s">
        <v>488</v>
      </c>
      <c r="BK4" s="237" t="s">
        <v>489</v>
      </c>
      <c r="BV4" s="233" t="s">
        <v>480</v>
      </c>
      <c r="BW4" s="234" t="s">
        <v>485</v>
      </c>
      <c r="BX4" s="234" t="s">
        <v>486</v>
      </c>
      <c r="BY4" s="235" t="s">
        <v>487</v>
      </c>
      <c r="BZ4" s="236" t="s">
        <v>488</v>
      </c>
      <c r="CA4" s="237" t="s">
        <v>489</v>
      </c>
      <c r="CB4" s="362"/>
    </row>
    <row r="5" spans="1:84" ht="15" hidden="1" outlineLevel="1" thickBot="1">
      <c r="G5" s="238"/>
      <c r="H5" s="239"/>
      <c r="I5" s="240"/>
      <c r="J5" s="241"/>
      <c r="K5" s="238"/>
      <c r="P5" s="238"/>
      <c r="Q5" s="239"/>
      <c r="R5" s="240"/>
      <c r="S5" s="241"/>
      <c r="T5" s="238"/>
      <c r="Y5" s="238"/>
      <c r="Z5" s="239"/>
      <c r="AA5" s="240"/>
      <c r="AB5" s="241"/>
      <c r="AC5" s="238"/>
      <c r="AL5" s="238"/>
      <c r="AM5" s="239"/>
      <c r="AN5" s="240"/>
      <c r="AO5" s="241"/>
      <c r="AV5" s="242">
        <v>1000000000</v>
      </c>
      <c r="AW5" s="243" t="s">
        <v>490</v>
      </c>
      <c r="AX5" s="1505"/>
      <c r="AY5" s="243" t="s">
        <v>491</v>
      </c>
      <c r="AZ5" s="244">
        <v>8.9289999999999997E-4</v>
      </c>
      <c r="BA5" s="245">
        <f>1.15%</f>
        <v>1.15E-2</v>
      </c>
      <c r="BB5" s="296">
        <f>AZ5+BA5</f>
        <v>1.23929E-2</v>
      </c>
      <c r="BC5" s="240"/>
      <c r="BI5" s="244">
        <f>AZ5</f>
        <v>8.9289999999999997E-4</v>
      </c>
      <c r="BJ5" s="245">
        <v>0.02</v>
      </c>
      <c r="BK5" s="296">
        <f>BI5+BJ5</f>
        <v>2.0892899999999999E-2</v>
      </c>
      <c r="BV5" s="242">
        <v>1000000000</v>
      </c>
      <c r="BW5" s="243" t="s">
        <v>490</v>
      </c>
      <c r="BX5" s="243" t="s">
        <v>491</v>
      </c>
      <c r="BY5" s="244">
        <v>8.9289999999999997E-4</v>
      </c>
      <c r="BZ5" s="245">
        <f>1.15%</f>
        <v>1.15E-2</v>
      </c>
      <c r="CA5" s="296">
        <f>BY5+BZ5</f>
        <v>1.23929E-2</v>
      </c>
      <c r="CB5" s="240"/>
    </row>
    <row r="6" spans="1:84" s="246" customFormat="1" ht="15" collapsed="1" thickBot="1">
      <c r="F6" s="247"/>
      <c r="G6" s="248"/>
      <c r="H6" s="249"/>
      <c r="I6" s="250"/>
      <c r="J6" s="251"/>
      <c r="K6" s="248"/>
      <c r="O6" s="247"/>
      <c r="P6" s="248"/>
      <c r="Q6" s="249"/>
      <c r="R6" s="250"/>
      <c r="S6" s="251"/>
      <c r="X6" s="247"/>
      <c r="Y6" s="248"/>
      <c r="Z6" s="249"/>
      <c r="AA6" s="250"/>
      <c r="AB6" s="251"/>
      <c r="AK6" s="247"/>
      <c r="AL6" s="248"/>
      <c r="AM6" s="249"/>
      <c r="AN6" s="250"/>
      <c r="AO6" s="251"/>
      <c r="AU6" s="247"/>
      <c r="AV6" s="248"/>
      <c r="AW6" s="249"/>
      <c r="AX6" s="249"/>
      <c r="AY6" s="1502"/>
      <c r="AZ6" s="250"/>
      <c r="BA6" s="251"/>
      <c r="BB6" s="251"/>
      <c r="BC6" s="251"/>
      <c r="BU6" s="247"/>
      <c r="BV6" s="248"/>
      <c r="BW6" s="249"/>
      <c r="BX6" s="250"/>
      <c r="BY6" s="250"/>
      <c r="BZ6" s="251"/>
      <c r="CA6" s="1489">
        <f>2.13446%+0.35%</f>
        <v>2.4844599999999998E-2</v>
      </c>
      <c r="CB6" s="251"/>
    </row>
    <row r="7" spans="1:84" ht="16.5" customHeight="1" thickBot="1">
      <c r="H7" s="252"/>
      <c r="I7" s="253"/>
      <c r="K7" s="1722" t="s">
        <v>492</v>
      </c>
      <c r="L7" s="1723"/>
      <c r="M7" s="1724"/>
      <c r="Q7" s="252"/>
      <c r="R7" s="253"/>
      <c r="T7" s="1725" t="s">
        <v>492</v>
      </c>
      <c r="U7" s="1726"/>
      <c r="V7" s="1727"/>
      <c r="Z7" s="252"/>
      <c r="AA7" s="253"/>
      <c r="AC7" s="1725" t="s">
        <v>492</v>
      </c>
      <c r="AD7" s="1726"/>
      <c r="AE7" s="1727"/>
      <c r="AG7" s="1728" t="s">
        <v>493</v>
      </c>
      <c r="AH7" s="1729"/>
      <c r="AI7" s="1730"/>
      <c r="AM7" s="252"/>
      <c r="AN7" s="253"/>
      <c r="AP7" s="1706" t="s">
        <v>492</v>
      </c>
      <c r="AQ7" s="1707"/>
      <c r="AR7" s="1707"/>
      <c r="AS7" s="1708"/>
      <c r="AW7" s="252"/>
      <c r="AX7" s="252"/>
      <c r="AY7" s="253"/>
      <c r="AZ7" s="253"/>
      <c r="BC7" s="253">
        <v>0.01</v>
      </c>
      <c r="BD7" s="1706" t="s">
        <v>492</v>
      </c>
      <c r="BE7" s="1707"/>
      <c r="BF7" s="1707"/>
      <c r="BG7" s="1708"/>
      <c r="BI7" s="1734" t="s">
        <v>1586</v>
      </c>
      <c r="BJ7" s="1735"/>
      <c r="BK7" s="1735"/>
      <c r="BL7" s="1735"/>
      <c r="BM7" s="1735"/>
      <c r="BN7" s="1736"/>
      <c r="BO7" s="363"/>
      <c r="BP7" s="1731" t="s">
        <v>492</v>
      </c>
      <c r="BQ7" s="1732"/>
      <c r="BR7" s="1732"/>
      <c r="BS7" s="1733"/>
      <c r="BU7" s="1702" t="s">
        <v>1587</v>
      </c>
      <c r="BV7" s="1702"/>
      <c r="BW7" s="1702"/>
      <c r="BX7" s="1702"/>
      <c r="BY7" s="1702"/>
      <c r="BZ7" s="1702"/>
      <c r="CA7" s="1702"/>
      <c r="CB7" s="253">
        <v>0.01</v>
      </c>
      <c r="CC7" s="1706" t="s">
        <v>492</v>
      </c>
      <c r="CD7" s="1707"/>
      <c r="CE7" s="1707"/>
      <c r="CF7" s="1708"/>
    </row>
    <row r="8" spans="1:84" s="254" customFormat="1" ht="56.25" customHeight="1">
      <c r="D8" s="255" t="s">
        <v>494</v>
      </c>
      <c r="E8" s="255" t="s">
        <v>495</v>
      </c>
      <c r="F8" s="256" t="s">
        <v>496</v>
      </c>
      <c r="G8" s="257" t="s">
        <v>497</v>
      </c>
      <c r="H8" s="257" t="s">
        <v>498</v>
      </c>
      <c r="I8" s="257" t="s">
        <v>499</v>
      </c>
      <c r="J8" s="257" t="s">
        <v>500</v>
      </c>
      <c r="K8" s="258" t="s">
        <v>501</v>
      </c>
      <c r="L8" s="258" t="s">
        <v>502</v>
      </c>
      <c r="M8" s="258" t="s">
        <v>503</v>
      </c>
      <c r="O8" s="256" t="s">
        <v>496</v>
      </c>
      <c r="P8" s="257" t="s">
        <v>497</v>
      </c>
      <c r="Q8" s="257" t="s">
        <v>498</v>
      </c>
      <c r="R8" s="257" t="s">
        <v>499</v>
      </c>
      <c r="S8" s="257" t="s">
        <v>500</v>
      </c>
      <c r="T8" s="257" t="s">
        <v>501</v>
      </c>
      <c r="U8" s="257" t="s">
        <v>502</v>
      </c>
      <c r="V8" s="257" t="s">
        <v>503</v>
      </c>
      <c r="X8" s="256" t="s">
        <v>496</v>
      </c>
      <c r="Y8" s="257" t="s">
        <v>497</v>
      </c>
      <c r="Z8" s="257" t="s">
        <v>498</v>
      </c>
      <c r="AA8" s="257" t="s">
        <v>499</v>
      </c>
      <c r="AB8" s="257" t="s">
        <v>500</v>
      </c>
      <c r="AC8" s="257" t="s">
        <v>501</v>
      </c>
      <c r="AD8" s="257" t="s">
        <v>502</v>
      </c>
      <c r="AE8" s="257" t="s">
        <v>503</v>
      </c>
      <c r="AG8" s="259" t="s">
        <v>501</v>
      </c>
      <c r="AH8" s="259" t="s">
        <v>502</v>
      </c>
      <c r="AI8" s="259" t="s">
        <v>503</v>
      </c>
      <c r="AK8" s="256" t="s">
        <v>496</v>
      </c>
      <c r="AL8" s="257" t="s">
        <v>497</v>
      </c>
      <c r="AM8" s="257" t="s">
        <v>498</v>
      </c>
      <c r="AN8" s="257" t="s">
        <v>499</v>
      </c>
      <c r="AO8" s="257" t="s">
        <v>500</v>
      </c>
      <c r="AP8" s="258" t="s">
        <v>501</v>
      </c>
      <c r="AQ8" s="258" t="s">
        <v>502</v>
      </c>
      <c r="AR8" s="258" t="s">
        <v>503</v>
      </c>
      <c r="AS8" s="258" t="s">
        <v>504</v>
      </c>
      <c r="AU8" s="256" t="s">
        <v>496</v>
      </c>
      <c r="AV8" s="257" t="s">
        <v>497</v>
      </c>
      <c r="AW8" s="257" t="s">
        <v>498</v>
      </c>
      <c r="AX8" s="1506" t="s">
        <v>1640</v>
      </c>
      <c r="AY8" s="257" t="s">
        <v>1641</v>
      </c>
      <c r="AZ8" s="257" t="s">
        <v>505</v>
      </c>
      <c r="BA8" s="257" t="s">
        <v>506</v>
      </c>
      <c r="BB8" s="257" t="s">
        <v>507</v>
      </c>
      <c r="BC8" s="257" t="s">
        <v>592</v>
      </c>
      <c r="BD8" s="258" t="s">
        <v>501</v>
      </c>
      <c r="BE8" s="258" t="s">
        <v>593</v>
      </c>
      <c r="BF8" s="258" t="s">
        <v>502</v>
      </c>
      <c r="BG8" s="258" t="s">
        <v>508</v>
      </c>
      <c r="BI8" s="357" t="s">
        <v>497</v>
      </c>
      <c r="BJ8" s="357" t="s">
        <v>498</v>
      </c>
      <c r="BK8" s="357" t="s">
        <v>499</v>
      </c>
      <c r="BL8" s="357" t="s">
        <v>505</v>
      </c>
      <c r="BM8" s="357" t="s">
        <v>506</v>
      </c>
      <c r="BN8" s="357" t="s">
        <v>507</v>
      </c>
      <c r="BO8" s="357" t="s">
        <v>592</v>
      </c>
      <c r="BP8" s="357" t="s">
        <v>501</v>
      </c>
      <c r="BQ8" s="357" t="s">
        <v>593</v>
      </c>
      <c r="BR8" s="357" t="s">
        <v>502</v>
      </c>
      <c r="BS8" s="357" t="s">
        <v>508</v>
      </c>
      <c r="BU8" s="256" t="s">
        <v>496</v>
      </c>
      <c r="BV8" s="257" t="s">
        <v>497</v>
      </c>
      <c r="BW8" s="257" t="s">
        <v>498</v>
      </c>
      <c r="BX8" s="257" t="s">
        <v>499</v>
      </c>
      <c r="BY8" s="257" t="s">
        <v>505</v>
      </c>
      <c r="BZ8" s="257" t="s">
        <v>506</v>
      </c>
      <c r="CA8" s="257" t="s">
        <v>507</v>
      </c>
      <c r="CB8" s="257" t="s">
        <v>592</v>
      </c>
      <c r="CC8" s="258" t="s">
        <v>501</v>
      </c>
      <c r="CD8" s="258" t="s">
        <v>593</v>
      </c>
      <c r="CE8" s="258" t="s">
        <v>502</v>
      </c>
      <c r="CF8" s="258" t="s">
        <v>508</v>
      </c>
    </row>
    <row r="9" spans="1:84" s="254" customFormat="1" ht="15" hidden="1" outlineLevel="1">
      <c r="A9" s="229"/>
      <c r="F9" s="260" t="s">
        <v>509</v>
      </c>
      <c r="G9" s="261" t="s">
        <v>78</v>
      </c>
      <c r="H9" s="262"/>
      <c r="I9" s="262"/>
      <c r="J9" s="261">
        <v>0</v>
      </c>
      <c r="K9" s="263"/>
      <c r="L9" s="263"/>
      <c r="M9" s="263"/>
      <c r="O9" s="260" t="s">
        <v>509</v>
      </c>
      <c r="P9" s="261" t="s">
        <v>78</v>
      </c>
      <c r="Q9" s="262"/>
      <c r="R9" s="262"/>
      <c r="S9" s="261">
        <v>0</v>
      </c>
      <c r="T9" s="263"/>
      <c r="U9" s="263"/>
      <c r="V9" s="263"/>
      <c r="X9" s="260" t="s">
        <v>509</v>
      </c>
      <c r="Y9" s="261" t="s">
        <v>78</v>
      </c>
      <c r="Z9" s="262"/>
      <c r="AA9" s="262"/>
      <c r="AB9" s="261">
        <v>0</v>
      </c>
      <c r="AC9" s="263"/>
      <c r="AD9" s="263"/>
      <c r="AE9" s="263"/>
      <c r="AG9" s="264"/>
      <c r="AH9" s="264"/>
      <c r="AI9" s="264"/>
      <c r="AK9" s="260" t="s">
        <v>509</v>
      </c>
      <c r="AL9" s="261" t="s">
        <v>78</v>
      </c>
      <c r="AM9" s="262"/>
      <c r="AN9" s="262"/>
      <c r="AO9" s="261">
        <v>0</v>
      </c>
      <c r="AP9" s="263"/>
      <c r="AQ9" s="263"/>
      <c r="AR9" s="263"/>
      <c r="AS9" s="263"/>
      <c r="AU9" s="260">
        <v>0</v>
      </c>
      <c r="AV9" s="261" t="s">
        <v>78</v>
      </c>
      <c r="AW9" s="262"/>
      <c r="AX9" s="1507"/>
      <c r="AY9" s="262"/>
      <c r="AZ9" s="262"/>
      <c r="BA9" s="261">
        <v>0</v>
      </c>
      <c r="BB9" s="261"/>
      <c r="BC9" s="261"/>
      <c r="BD9" s="263"/>
      <c r="BE9" s="263"/>
      <c r="BF9" s="263"/>
      <c r="BG9" s="263"/>
      <c r="BI9" s="261" t="s">
        <v>78</v>
      </c>
      <c r="BJ9" s="262"/>
      <c r="BK9" s="262"/>
      <c r="BL9" s="262"/>
      <c r="BM9" s="261">
        <v>0</v>
      </c>
      <c r="BN9" s="261"/>
      <c r="BO9" s="261"/>
      <c r="BP9" s="263"/>
      <c r="BQ9" s="263"/>
      <c r="BR9" s="263"/>
      <c r="BS9" s="263"/>
      <c r="BU9" s="260">
        <v>0</v>
      </c>
      <c r="BV9" s="261" t="s">
        <v>78</v>
      </c>
      <c r="BW9" s="262"/>
      <c r="BX9" s="262"/>
      <c r="BY9" s="262"/>
      <c r="BZ9" s="261">
        <v>0</v>
      </c>
      <c r="CA9" s="261"/>
      <c r="CB9" s="261"/>
      <c r="CC9" s="263"/>
      <c r="CD9" s="263"/>
      <c r="CE9" s="263"/>
      <c r="CF9" s="263"/>
    </row>
    <row r="10" spans="1:84" ht="15" hidden="1" outlineLevel="1">
      <c r="A10" s="265" t="s">
        <v>510</v>
      </c>
      <c r="B10" s="266">
        <v>2015</v>
      </c>
      <c r="C10" s="266"/>
      <c r="D10" s="266"/>
      <c r="E10" s="265">
        <f t="shared" ref="E10:E15" si="0">BA10</f>
        <v>0</v>
      </c>
      <c r="F10" s="267">
        <v>1</v>
      </c>
      <c r="G10" s="268" t="e">
        <f>SUM(H10:I10)</f>
        <v>#REF!</v>
      </c>
      <c r="H10" s="268" t="e">
        <f>-J9*#REF!</f>
        <v>#REF!</v>
      </c>
      <c r="I10" s="268">
        <v>0</v>
      </c>
      <c r="J10" s="269">
        <f>J9+I10</f>
        <v>0</v>
      </c>
      <c r="K10" s="1695" t="s">
        <v>0</v>
      </c>
      <c r="L10" s="1695" t="e">
        <f>SUM(H10:H21)</f>
        <v>#REF!</v>
      </c>
      <c r="M10" s="1695">
        <f>SUM(I10:I21)</f>
        <v>0</v>
      </c>
      <c r="O10" s="267">
        <v>1</v>
      </c>
      <c r="P10" s="268" t="e">
        <f t="shared" ref="P10:P73" si="1">SUM(Q10:R10)</f>
        <v>#REF!</v>
      </c>
      <c r="Q10" s="268" t="e">
        <f>-S9*#REF!</f>
        <v>#REF!</v>
      </c>
      <c r="R10" s="268">
        <v>0</v>
      </c>
      <c r="S10" s="269">
        <f>S9+R10</f>
        <v>0</v>
      </c>
      <c r="T10" s="1695" t="s">
        <v>0</v>
      </c>
      <c r="U10" s="1695" t="e">
        <f>SUM(Q10:Q21)</f>
        <v>#REF!</v>
      </c>
      <c r="V10" s="1695">
        <f>SUM(R10:R21)</f>
        <v>0</v>
      </c>
      <c r="X10" s="267">
        <v>1</v>
      </c>
      <c r="Y10" s="268" t="e">
        <f t="shared" ref="Y10:Y73" si="2">SUM(Z10:AA10)</f>
        <v>#REF!</v>
      </c>
      <c r="Z10" s="268" t="e">
        <f>-AB9*#REF!</f>
        <v>#REF!</v>
      </c>
      <c r="AA10" s="268">
        <v>0</v>
      </c>
      <c r="AB10" s="269">
        <f>AB9+AA10</f>
        <v>0</v>
      </c>
      <c r="AC10" s="1695" t="s">
        <v>0</v>
      </c>
      <c r="AD10" s="1695" t="e">
        <f>SUM(Z10:Z21)</f>
        <v>#REF!</v>
      </c>
      <c r="AE10" s="1695">
        <f>SUM(AA10:AA21)</f>
        <v>0</v>
      </c>
      <c r="AG10" s="1710" t="s">
        <v>0</v>
      </c>
      <c r="AH10" s="1710" t="e">
        <f>L10+U10+AD10</f>
        <v>#REF!</v>
      </c>
      <c r="AI10" s="1710">
        <f>M10+V10+AE10</f>
        <v>0</v>
      </c>
      <c r="AK10" s="267">
        <v>1</v>
      </c>
      <c r="AL10" s="268" t="e">
        <f t="shared" ref="AL10:AL73" si="3">SUM(AM10:AN10)</f>
        <v>#REF!</v>
      </c>
      <c r="AM10" s="268" t="e">
        <f>-AO9*#REF!</f>
        <v>#REF!</v>
      </c>
      <c r="AN10" s="268">
        <f>$AR$10/12</f>
        <v>0</v>
      </c>
      <c r="AO10" s="269">
        <f t="shared" ref="AO10:AO15" si="4">AO9+AN10</f>
        <v>0</v>
      </c>
      <c r="AP10" s="1695" t="s">
        <v>0</v>
      </c>
      <c r="AQ10" s="1695" t="e">
        <f>SUM(AM10:AM21)</f>
        <v>#REF!</v>
      </c>
      <c r="AR10" s="1695">
        <v>0</v>
      </c>
      <c r="AS10" s="1695">
        <v>0</v>
      </c>
      <c r="AU10" s="267">
        <v>0</v>
      </c>
      <c r="AV10" s="268">
        <f>SUM(AW10:AY10)</f>
        <v>0</v>
      </c>
      <c r="AW10" s="268">
        <v>0</v>
      </c>
      <c r="AX10" s="1490"/>
      <c r="AY10" s="268">
        <v>0</v>
      </c>
      <c r="AZ10" s="268"/>
      <c r="BA10" s="269">
        <f t="shared" ref="BA10:BA15" si="5">BA9+AY10</f>
        <v>0</v>
      </c>
      <c r="BB10" s="269"/>
      <c r="BC10" s="269"/>
      <c r="BD10" s="1695" t="s">
        <v>0</v>
      </c>
      <c r="BE10" s="354"/>
      <c r="BF10" s="1695">
        <f>SUM(AW10:AW21)</f>
        <v>0</v>
      </c>
      <c r="BG10" s="1695">
        <f>SUM(AY10:AZ21)</f>
        <v>0</v>
      </c>
      <c r="BI10" s="268">
        <f t="shared" ref="BI10:BI16" si="6">SUM(BJ10:BK10)</f>
        <v>0</v>
      </c>
      <c r="BJ10" s="268">
        <v>0</v>
      </c>
      <c r="BK10" s="268">
        <v>0</v>
      </c>
      <c r="BL10" s="268"/>
      <c r="BM10" s="269">
        <f t="shared" ref="BM10:BM15" si="7">BM9+BK10</f>
        <v>0</v>
      </c>
      <c r="BN10" s="269"/>
      <c r="BO10" s="269"/>
      <c r="BP10" s="1695" t="s">
        <v>0</v>
      </c>
      <c r="BQ10" s="354"/>
      <c r="BR10" s="1695">
        <f>SUM(BJ10:BJ21)</f>
        <v>0</v>
      </c>
      <c r="BS10" s="1695">
        <f>SUM(BK10:BL21)</f>
        <v>0</v>
      </c>
      <c r="BU10" s="267">
        <v>0</v>
      </c>
      <c r="BV10" s="268">
        <f>SUM(BW10:BX10)</f>
        <v>0</v>
      </c>
      <c r="BW10" s="268">
        <v>0</v>
      </c>
      <c r="BX10" s="268">
        <v>0</v>
      </c>
      <c r="BY10" s="268"/>
      <c r="BZ10" s="269">
        <f t="shared" ref="BZ10:BZ15" si="8">BZ9+BX10</f>
        <v>0</v>
      </c>
      <c r="CA10" s="269"/>
      <c r="CB10" s="269"/>
      <c r="CC10" s="1695" t="s">
        <v>0</v>
      </c>
      <c r="CD10" s="1478"/>
      <c r="CE10" s="1695">
        <f>SUM(BW10:BW21)</f>
        <v>0</v>
      </c>
      <c r="CF10" s="1695">
        <f>SUM(BX10:BY21)</f>
        <v>0</v>
      </c>
    </row>
    <row r="11" spans="1:84" ht="15" hidden="1" outlineLevel="1">
      <c r="A11" s="265" t="s">
        <v>511</v>
      </c>
      <c r="B11" s="266">
        <v>2015</v>
      </c>
      <c r="C11" s="266"/>
      <c r="D11" s="266"/>
      <c r="E11" s="265">
        <f t="shared" si="0"/>
        <v>0</v>
      </c>
      <c r="F11" s="267">
        <f>F10+1</f>
        <v>2</v>
      </c>
      <c r="G11" s="268" t="e">
        <f t="shared" ref="G11:G74" si="9">SUM(H11:I11)</f>
        <v>#REF!</v>
      </c>
      <c r="H11" s="268" t="e">
        <f>-J10*#REF!</f>
        <v>#REF!</v>
      </c>
      <c r="I11" s="268">
        <v>0</v>
      </c>
      <c r="J11" s="269">
        <f t="shared" ref="J11:J74" si="10">J10+I11</f>
        <v>0</v>
      </c>
      <c r="K11" s="1695"/>
      <c r="L11" s="1695"/>
      <c r="M11" s="1695"/>
      <c r="O11" s="267">
        <f>O10+1</f>
        <v>2</v>
      </c>
      <c r="P11" s="268" t="e">
        <f t="shared" si="1"/>
        <v>#REF!</v>
      </c>
      <c r="Q11" s="268" t="e">
        <f>-S10*#REF!</f>
        <v>#REF!</v>
      </c>
      <c r="R11" s="268">
        <v>0</v>
      </c>
      <c r="S11" s="269">
        <f t="shared" ref="S11:S74" si="11">S10+R11</f>
        <v>0</v>
      </c>
      <c r="T11" s="1695"/>
      <c r="U11" s="1695"/>
      <c r="V11" s="1695"/>
      <c r="X11" s="267">
        <f>X10+1</f>
        <v>2</v>
      </c>
      <c r="Y11" s="268" t="e">
        <f t="shared" si="2"/>
        <v>#REF!</v>
      </c>
      <c r="Z11" s="268" t="e">
        <f>-AB10*#REF!</f>
        <v>#REF!</v>
      </c>
      <c r="AA11" s="268">
        <v>0</v>
      </c>
      <c r="AB11" s="269">
        <f t="shared" ref="AB11:AB74" si="12">AB10+AA11</f>
        <v>0</v>
      </c>
      <c r="AC11" s="1695"/>
      <c r="AD11" s="1695"/>
      <c r="AE11" s="1695"/>
      <c r="AG11" s="1710"/>
      <c r="AH11" s="1710"/>
      <c r="AI11" s="1710"/>
      <c r="AK11" s="267">
        <f>AK10+1</f>
        <v>2</v>
      </c>
      <c r="AL11" s="268" t="e">
        <f t="shared" si="3"/>
        <v>#REF!</v>
      </c>
      <c r="AM11" s="268" t="e">
        <f>-AO10*#REF!</f>
        <v>#REF!</v>
      </c>
      <c r="AN11" s="268">
        <f t="shared" ref="AN11:AN21" si="13">$AR$10/12</f>
        <v>0</v>
      </c>
      <c r="AO11" s="269">
        <f t="shared" si="4"/>
        <v>0</v>
      </c>
      <c r="AP11" s="1695"/>
      <c r="AQ11" s="1695"/>
      <c r="AR11" s="1695"/>
      <c r="AS11" s="1695"/>
      <c r="AU11" s="267">
        <v>0</v>
      </c>
      <c r="AV11" s="268">
        <f t="shared" ref="AV11:AV22" si="14">SUM(AW11:AY11)</f>
        <v>0</v>
      </c>
      <c r="AW11" s="268">
        <v>0</v>
      </c>
      <c r="AX11" s="1490"/>
      <c r="AY11" s="268">
        <v>0</v>
      </c>
      <c r="AZ11" s="268"/>
      <c r="BA11" s="269">
        <f t="shared" si="5"/>
        <v>0</v>
      </c>
      <c r="BB11" s="269"/>
      <c r="BC11" s="269"/>
      <c r="BD11" s="1695"/>
      <c r="BE11" s="354"/>
      <c r="BF11" s="1695"/>
      <c r="BG11" s="1695"/>
      <c r="BI11" s="268">
        <f t="shared" si="6"/>
        <v>0</v>
      </c>
      <c r="BJ11" s="268">
        <v>0</v>
      </c>
      <c r="BK11" s="268">
        <v>0</v>
      </c>
      <c r="BL11" s="268"/>
      <c r="BM11" s="269">
        <f t="shared" si="7"/>
        <v>0</v>
      </c>
      <c r="BN11" s="269"/>
      <c r="BO11" s="269"/>
      <c r="BP11" s="1695"/>
      <c r="BQ11" s="354"/>
      <c r="BR11" s="1695"/>
      <c r="BS11" s="1695"/>
      <c r="BU11" s="267">
        <v>0</v>
      </c>
      <c r="BV11" s="268">
        <f t="shared" ref="BV11:BV15" si="15">SUM(BW11:BX11)</f>
        <v>0</v>
      </c>
      <c r="BW11" s="268">
        <v>0</v>
      </c>
      <c r="BX11" s="268">
        <v>0</v>
      </c>
      <c r="BY11" s="268"/>
      <c r="BZ11" s="269">
        <f t="shared" si="8"/>
        <v>0</v>
      </c>
      <c r="CA11" s="269"/>
      <c r="CB11" s="269"/>
      <c r="CC11" s="1695"/>
      <c r="CD11" s="1478"/>
      <c r="CE11" s="1695"/>
      <c r="CF11" s="1695"/>
    </row>
    <row r="12" spans="1:84" ht="15" hidden="1" outlineLevel="1">
      <c r="A12" s="270" t="s">
        <v>512</v>
      </c>
      <c r="B12" s="266">
        <v>2015</v>
      </c>
      <c r="C12" s="266"/>
      <c r="D12" s="266"/>
      <c r="E12" s="265">
        <f t="shared" si="0"/>
        <v>0</v>
      </c>
      <c r="F12" s="267">
        <f t="shared" ref="F12:F75" si="16">F11+1</f>
        <v>3</v>
      </c>
      <c r="G12" s="268" t="e">
        <f t="shared" si="9"/>
        <v>#REF!</v>
      </c>
      <c r="H12" s="268" t="e">
        <f>-J11*#REF!</f>
        <v>#REF!</v>
      </c>
      <c r="I12" s="268">
        <v>0</v>
      </c>
      <c r="J12" s="269">
        <f t="shared" si="10"/>
        <v>0</v>
      </c>
      <c r="K12" s="1695"/>
      <c r="L12" s="1695"/>
      <c r="M12" s="1695"/>
      <c r="O12" s="267">
        <f t="shared" ref="O12:O75" si="17">O11+1</f>
        <v>3</v>
      </c>
      <c r="P12" s="268" t="e">
        <f t="shared" si="1"/>
        <v>#REF!</v>
      </c>
      <c r="Q12" s="268" t="e">
        <f>-S11*#REF!</f>
        <v>#REF!</v>
      </c>
      <c r="R12" s="268">
        <v>0</v>
      </c>
      <c r="S12" s="269">
        <f t="shared" si="11"/>
        <v>0</v>
      </c>
      <c r="T12" s="1695"/>
      <c r="U12" s="1695"/>
      <c r="V12" s="1695"/>
      <c r="X12" s="267">
        <f t="shared" ref="X12:X75" si="18">X11+1</f>
        <v>3</v>
      </c>
      <c r="Y12" s="268" t="e">
        <f t="shared" si="2"/>
        <v>#REF!</v>
      </c>
      <c r="Z12" s="268" t="e">
        <f>-AB11*#REF!</f>
        <v>#REF!</v>
      </c>
      <c r="AA12" s="268">
        <v>0</v>
      </c>
      <c r="AB12" s="269">
        <f t="shared" si="12"/>
        <v>0</v>
      </c>
      <c r="AC12" s="1695"/>
      <c r="AD12" s="1695"/>
      <c r="AE12" s="1695"/>
      <c r="AG12" s="1710"/>
      <c r="AH12" s="1710"/>
      <c r="AI12" s="1710"/>
      <c r="AK12" s="267">
        <f t="shared" ref="AK12:AK75" si="19">AK11+1</f>
        <v>3</v>
      </c>
      <c r="AL12" s="268" t="e">
        <f t="shared" si="3"/>
        <v>#REF!</v>
      </c>
      <c r="AM12" s="268" t="e">
        <f>-AO11*#REF!</f>
        <v>#REF!</v>
      </c>
      <c r="AN12" s="268">
        <f t="shared" si="13"/>
        <v>0</v>
      </c>
      <c r="AO12" s="269">
        <f t="shared" si="4"/>
        <v>0</v>
      </c>
      <c r="AP12" s="1695"/>
      <c r="AQ12" s="1695"/>
      <c r="AR12" s="1695"/>
      <c r="AS12" s="1695"/>
      <c r="AU12" s="267">
        <v>0</v>
      </c>
      <c r="AV12" s="268">
        <f t="shared" si="14"/>
        <v>0</v>
      </c>
      <c r="AW12" s="268">
        <v>0</v>
      </c>
      <c r="AX12" s="1490"/>
      <c r="AY12" s="268">
        <v>0</v>
      </c>
      <c r="AZ12" s="268"/>
      <c r="BA12" s="269">
        <f t="shared" si="5"/>
        <v>0</v>
      </c>
      <c r="BB12" s="269"/>
      <c r="BC12" s="269"/>
      <c r="BD12" s="1695"/>
      <c r="BE12" s="354"/>
      <c r="BF12" s="1695"/>
      <c r="BG12" s="1695"/>
      <c r="BI12" s="268">
        <f t="shared" si="6"/>
        <v>0</v>
      </c>
      <c r="BJ12" s="268">
        <v>0</v>
      </c>
      <c r="BK12" s="268">
        <v>0</v>
      </c>
      <c r="BL12" s="268"/>
      <c r="BM12" s="269">
        <f t="shared" si="7"/>
        <v>0</v>
      </c>
      <c r="BN12" s="269"/>
      <c r="BO12" s="269"/>
      <c r="BP12" s="1695"/>
      <c r="BQ12" s="354"/>
      <c r="BR12" s="1695"/>
      <c r="BS12" s="1695"/>
      <c r="BU12" s="267">
        <v>0</v>
      </c>
      <c r="BV12" s="268">
        <f t="shared" si="15"/>
        <v>0</v>
      </c>
      <c r="BW12" s="268">
        <v>0</v>
      </c>
      <c r="BX12" s="268">
        <v>0</v>
      </c>
      <c r="BY12" s="268"/>
      <c r="BZ12" s="269">
        <f t="shared" si="8"/>
        <v>0</v>
      </c>
      <c r="CA12" s="269"/>
      <c r="CB12" s="269"/>
      <c r="CC12" s="1695"/>
      <c r="CD12" s="1478"/>
      <c r="CE12" s="1695"/>
      <c r="CF12" s="1695"/>
    </row>
    <row r="13" spans="1:84" ht="15" hidden="1" outlineLevel="1">
      <c r="A13" s="270" t="s">
        <v>513</v>
      </c>
      <c r="B13" s="266">
        <v>2015</v>
      </c>
      <c r="C13" s="266"/>
      <c r="D13" s="266"/>
      <c r="E13" s="265">
        <f t="shared" si="0"/>
        <v>0</v>
      </c>
      <c r="F13" s="267">
        <f t="shared" si="16"/>
        <v>4</v>
      </c>
      <c r="G13" s="268" t="e">
        <f t="shared" si="9"/>
        <v>#REF!</v>
      </c>
      <c r="H13" s="268" t="e">
        <f>-J12*#REF!</f>
        <v>#REF!</v>
      </c>
      <c r="I13" s="268">
        <v>0</v>
      </c>
      <c r="J13" s="269">
        <f t="shared" si="10"/>
        <v>0</v>
      </c>
      <c r="K13" s="1695"/>
      <c r="L13" s="1695"/>
      <c r="M13" s="1695"/>
      <c r="O13" s="267">
        <f t="shared" si="17"/>
        <v>4</v>
      </c>
      <c r="P13" s="268" t="e">
        <f t="shared" si="1"/>
        <v>#REF!</v>
      </c>
      <c r="Q13" s="268" t="e">
        <f>-S12*#REF!</f>
        <v>#REF!</v>
      </c>
      <c r="R13" s="268">
        <v>0</v>
      </c>
      <c r="S13" s="269">
        <f t="shared" si="11"/>
        <v>0</v>
      </c>
      <c r="T13" s="1695"/>
      <c r="U13" s="1695"/>
      <c r="V13" s="1695"/>
      <c r="X13" s="267">
        <f t="shared" si="18"/>
        <v>4</v>
      </c>
      <c r="Y13" s="268" t="e">
        <f t="shared" si="2"/>
        <v>#REF!</v>
      </c>
      <c r="Z13" s="268" t="e">
        <f>-AB12*#REF!</f>
        <v>#REF!</v>
      </c>
      <c r="AA13" s="268">
        <v>0</v>
      </c>
      <c r="AB13" s="269">
        <f t="shared" si="12"/>
        <v>0</v>
      </c>
      <c r="AC13" s="1695"/>
      <c r="AD13" s="1695"/>
      <c r="AE13" s="1695"/>
      <c r="AG13" s="1710"/>
      <c r="AH13" s="1710"/>
      <c r="AI13" s="1710"/>
      <c r="AK13" s="267">
        <f t="shared" si="19"/>
        <v>4</v>
      </c>
      <c r="AL13" s="268" t="e">
        <f t="shared" si="3"/>
        <v>#REF!</v>
      </c>
      <c r="AM13" s="268" t="e">
        <f>-AO12*#REF!</f>
        <v>#REF!</v>
      </c>
      <c r="AN13" s="268">
        <f t="shared" si="13"/>
        <v>0</v>
      </c>
      <c r="AO13" s="269">
        <f t="shared" si="4"/>
        <v>0</v>
      </c>
      <c r="AP13" s="1695"/>
      <c r="AQ13" s="1695"/>
      <c r="AR13" s="1695"/>
      <c r="AS13" s="1695"/>
      <c r="AU13" s="267">
        <v>0</v>
      </c>
      <c r="AV13" s="268">
        <f t="shared" si="14"/>
        <v>0</v>
      </c>
      <c r="AW13" s="268">
        <v>0</v>
      </c>
      <c r="AX13" s="1490"/>
      <c r="AY13" s="268">
        <v>0</v>
      </c>
      <c r="AZ13" s="268"/>
      <c r="BA13" s="269">
        <f t="shared" si="5"/>
        <v>0</v>
      </c>
      <c r="BB13" s="269"/>
      <c r="BC13" s="269"/>
      <c r="BD13" s="1695"/>
      <c r="BE13" s="354"/>
      <c r="BF13" s="1695"/>
      <c r="BG13" s="1695"/>
      <c r="BI13" s="268">
        <f t="shared" si="6"/>
        <v>0</v>
      </c>
      <c r="BJ13" s="268">
        <v>0</v>
      </c>
      <c r="BK13" s="268">
        <v>0</v>
      </c>
      <c r="BL13" s="268"/>
      <c r="BM13" s="269">
        <f t="shared" si="7"/>
        <v>0</v>
      </c>
      <c r="BN13" s="269"/>
      <c r="BO13" s="269"/>
      <c r="BP13" s="1695"/>
      <c r="BQ13" s="354"/>
      <c r="BR13" s="1695"/>
      <c r="BS13" s="1695"/>
      <c r="BU13" s="267">
        <v>0</v>
      </c>
      <c r="BV13" s="268">
        <f t="shared" si="15"/>
        <v>0</v>
      </c>
      <c r="BW13" s="268">
        <v>0</v>
      </c>
      <c r="BX13" s="268">
        <v>0</v>
      </c>
      <c r="BY13" s="268"/>
      <c r="BZ13" s="269">
        <f t="shared" si="8"/>
        <v>0</v>
      </c>
      <c r="CA13" s="269"/>
      <c r="CB13" s="269"/>
      <c r="CC13" s="1695"/>
      <c r="CD13" s="1478"/>
      <c r="CE13" s="1695"/>
      <c r="CF13" s="1695"/>
    </row>
    <row r="14" spans="1:84" ht="15" hidden="1" outlineLevel="1">
      <c r="A14" s="270" t="s">
        <v>514</v>
      </c>
      <c r="B14" s="266">
        <v>2015</v>
      </c>
      <c r="C14" s="266"/>
      <c r="D14" s="266"/>
      <c r="E14" s="265">
        <f t="shared" si="0"/>
        <v>0</v>
      </c>
      <c r="F14" s="267">
        <f t="shared" si="16"/>
        <v>5</v>
      </c>
      <c r="G14" s="268" t="e">
        <f t="shared" si="9"/>
        <v>#REF!</v>
      </c>
      <c r="H14" s="268" t="e">
        <f>-J13*#REF!</f>
        <v>#REF!</v>
      </c>
      <c r="I14" s="268">
        <v>0</v>
      </c>
      <c r="J14" s="269">
        <f t="shared" si="10"/>
        <v>0</v>
      </c>
      <c r="K14" s="1695"/>
      <c r="L14" s="1695"/>
      <c r="M14" s="1695"/>
      <c r="O14" s="267">
        <f t="shared" si="17"/>
        <v>5</v>
      </c>
      <c r="P14" s="268" t="e">
        <f t="shared" si="1"/>
        <v>#REF!</v>
      </c>
      <c r="Q14" s="268" t="e">
        <f>-S13*#REF!</f>
        <v>#REF!</v>
      </c>
      <c r="R14" s="268">
        <v>0</v>
      </c>
      <c r="S14" s="269">
        <f t="shared" si="11"/>
        <v>0</v>
      </c>
      <c r="T14" s="1695"/>
      <c r="U14" s="1695"/>
      <c r="V14" s="1695"/>
      <c r="X14" s="267">
        <f t="shared" si="18"/>
        <v>5</v>
      </c>
      <c r="Y14" s="268" t="e">
        <f t="shared" si="2"/>
        <v>#REF!</v>
      </c>
      <c r="Z14" s="268" t="e">
        <f>-AB13*#REF!</f>
        <v>#REF!</v>
      </c>
      <c r="AA14" s="268">
        <v>0</v>
      </c>
      <c r="AB14" s="269">
        <f t="shared" si="12"/>
        <v>0</v>
      </c>
      <c r="AC14" s="1695"/>
      <c r="AD14" s="1695"/>
      <c r="AE14" s="1695"/>
      <c r="AG14" s="1710"/>
      <c r="AH14" s="1710"/>
      <c r="AI14" s="1710"/>
      <c r="AK14" s="267">
        <f t="shared" si="19"/>
        <v>5</v>
      </c>
      <c r="AL14" s="268" t="e">
        <f t="shared" si="3"/>
        <v>#REF!</v>
      </c>
      <c r="AM14" s="268" t="e">
        <f>-AO13*#REF!</f>
        <v>#REF!</v>
      </c>
      <c r="AN14" s="268">
        <f t="shared" si="13"/>
        <v>0</v>
      </c>
      <c r="AO14" s="269">
        <f t="shared" si="4"/>
        <v>0</v>
      </c>
      <c r="AP14" s="1695"/>
      <c r="AQ14" s="1695"/>
      <c r="AR14" s="1695"/>
      <c r="AS14" s="1695"/>
      <c r="AU14" s="267">
        <v>0</v>
      </c>
      <c r="AV14" s="268">
        <f t="shared" si="14"/>
        <v>0</v>
      </c>
      <c r="AW14" s="268">
        <v>0</v>
      </c>
      <c r="AX14" s="1490"/>
      <c r="AY14" s="268">
        <v>0</v>
      </c>
      <c r="AZ14" s="268"/>
      <c r="BA14" s="269">
        <f t="shared" si="5"/>
        <v>0</v>
      </c>
      <c r="BB14" s="269"/>
      <c r="BC14" s="269"/>
      <c r="BD14" s="1695"/>
      <c r="BE14" s="354"/>
      <c r="BF14" s="1695"/>
      <c r="BG14" s="1695"/>
      <c r="BI14" s="268">
        <f t="shared" si="6"/>
        <v>0</v>
      </c>
      <c r="BJ14" s="268">
        <v>0</v>
      </c>
      <c r="BK14" s="268">
        <v>0</v>
      </c>
      <c r="BL14" s="268"/>
      <c r="BM14" s="269">
        <f t="shared" si="7"/>
        <v>0</v>
      </c>
      <c r="BN14" s="269"/>
      <c r="BO14" s="269"/>
      <c r="BP14" s="1695"/>
      <c r="BQ14" s="354"/>
      <c r="BR14" s="1695"/>
      <c r="BS14" s="1695"/>
      <c r="BU14" s="267">
        <v>0</v>
      </c>
      <c r="BV14" s="268">
        <f t="shared" si="15"/>
        <v>0</v>
      </c>
      <c r="BW14" s="268">
        <v>0</v>
      </c>
      <c r="BX14" s="268">
        <v>0</v>
      </c>
      <c r="BY14" s="268"/>
      <c r="BZ14" s="269">
        <f t="shared" si="8"/>
        <v>0</v>
      </c>
      <c r="CA14" s="269"/>
      <c r="CB14" s="269"/>
      <c r="CC14" s="1695"/>
      <c r="CD14" s="1478"/>
      <c r="CE14" s="1695"/>
      <c r="CF14" s="1695"/>
    </row>
    <row r="15" spans="1:84" ht="15" hidden="1" outlineLevel="1">
      <c r="A15" s="270" t="s">
        <v>515</v>
      </c>
      <c r="B15" s="266">
        <v>2015</v>
      </c>
      <c r="C15" s="266"/>
      <c r="D15" s="266"/>
      <c r="E15" s="265">
        <f t="shared" si="0"/>
        <v>0</v>
      </c>
      <c r="F15" s="267">
        <f t="shared" si="16"/>
        <v>6</v>
      </c>
      <c r="G15" s="268" t="e">
        <f t="shared" si="9"/>
        <v>#REF!</v>
      </c>
      <c r="H15" s="268" t="e">
        <f>-J14*#REF!</f>
        <v>#REF!</v>
      </c>
      <c r="I15" s="268">
        <v>0</v>
      </c>
      <c r="J15" s="269">
        <f t="shared" si="10"/>
        <v>0</v>
      </c>
      <c r="K15" s="1695"/>
      <c r="L15" s="1695"/>
      <c r="M15" s="1695"/>
      <c r="O15" s="267">
        <f t="shared" si="17"/>
        <v>6</v>
      </c>
      <c r="P15" s="268" t="e">
        <f t="shared" si="1"/>
        <v>#REF!</v>
      </c>
      <c r="Q15" s="268" t="e">
        <f>-S14*#REF!</f>
        <v>#REF!</v>
      </c>
      <c r="R15" s="268">
        <v>0</v>
      </c>
      <c r="S15" s="269">
        <f t="shared" si="11"/>
        <v>0</v>
      </c>
      <c r="T15" s="1695"/>
      <c r="U15" s="1695"/>
      <c r="V15" s="1695"/>
      <c r="X15" s="267">
        <f t="shared" si="18"/>
        <v>6</v>
      </c>
      <c r="Y15" s="268" t="e">
        <f t="shared" si="2"/>
        <v>#REF!</v>
      </c>
      <c r="Z15" s="268" t="e">
        <f>-AB14*#REF!</f>
        <v>#REF!</v>
      </c>
      <c r="AA15" s="268">
        <v>0</v>
      </c>
      <c r="AB15" s="269">
        <f t="shared" si="12"/>
        <v>0</v>
      </c>
      <c r="AC15" s="1695"/>
      <c r="AD15" s="1695"/>
      <c r="AE15" s="1695"/>
      <c r="AG15" s="1710"/>
      <c r="AH15" s="1710"/>
      <c r="AI15" s="1710"/>
      <c r="AK15" s="267">
        <f t="shared" si="19"/>
        <v>6</v>
      </c>
      <c r="AL15" s="268" t="e">
        <f t="shared" si="3"/>
        <v>#REF!</v>
      </c>
      <c r="AM15" s="268" t="e">
        <f>-AO14*#REF!</f>
        <v>#REF!</v>
      </c>
      <c r="AN15" s="268">
        <f t="shared" si="13"/>
        <v>0</v>
      </c>
      <c r="AO15" s="269">
        <f t="shared" si="4"/>
        <v>0</v>
      </c>
      <c r="AP15" s="1695"/>
      <c r="AQ15" s="1695"/>
      <c r="AR15" s="1695"/>
      <c r="AS15" s="1695"/>
      <c r="AU15" s="267">
        <v>0</v>
      </c>
      <c r="AV15" s="268">
        <f t="shared" si="14"/>
        <v>0</v>
      </c>
      <c r="AW15" s="268">
        <v>0</v>
      </c>
      <c r="AX15" s="1490"/>
      <c r="AY15" s="268">
        <v>0</v>
      </c>
      <c r="AZ15" s="268"/>
      <c r="BA15" s="269">
        <f t="shared" si="5"/>
        <v>0</v>
      </c>
      <c r="BB15" s="269"/>
      <c r="BC15" s="269"/>
      <c r="BD15" s="1695"/>
      <c r="BE15" s="354"/>
      <c r="BF15" s="1695"/>
      <c r="BG15" s="1695"/>
      <c r="BI15" s="268">
        <f t="shared" si="6"/>
        <v>0</v>
      </c>
      <c r="BJ15" s="268">
        <v>0</v>
      </c>
      <c r="BK15" s="268">
        <v>0</v>
      </c>
      <c r="BL15" s="268"/>
      <c r="BM15" s="269">
        <f t="shared" si="7"/>
        <v>0</v>
      </c>
      <c r="BN15" s="269"/>
      <c r="BO15" s="269"/>
      <c r="BP15" s="1695"/>
      <c r="BQ15" s="354"/>
      <c r="BR15" s="1695"/>
      <c r="BS15" s="1695"/>
      <c r="BU15" s="267">
        <v>0</v>
      </c>
      <c r="BV15" s="268">
        <f t="shared" si="15"/>
        <v>0</v>
      </c>
      <c r="BW15" s="268">
        <v>0</v>
      </c>
      <c r="BX15" s="268">
        <v>0</v>
      </c>
      <c r="BY15" s="268"/>
      <c r="BZ15" s="269">
        <f t="shared" si="8"/>
        <v>0</v>
      </c>
      <c r="CA15" s="269"/>
      <c r="CB15" s="269"/>
      <c r="CC15" s="1695"/>
      <c r="CD15" s="1478"/>
      <c r="CE15" s="1695"/>
      <c r="CF15" s="1695"/>
    </row>
    <row r="16" spans="1:84" ht="15" hidden="1" outlineLevel="1">
      <c r="A16" s="270" t="s">
        <v>516</v>
      </c>
      <c r="B16" s="266">
        <v>2015</v>
      </c>
      <c r="C16" s="266"/>
      <c r="D16" s="266"/>
      <c r="E16" s="265">
        <f>BA16</f>
        <v>0</v>
      </c>
      <c r="F16" s="267">
        <f t="shared" si="16"/>
        <v>7</v>
      </c>
      <c r="G16" s="268" t="e">
        <f t="shared" si="9"/>
        <v>#REF!</v>
      </c>
      <c r="H16" s="268" t="e">
        <f>-J15*#REF!</f>
        <v>#REF!</v>
      </c>
      <c r="I16" s="268">
        <v>0</v>
      </c>
      <c r="J16" s="269">
        <v>50000000</v>
      </c>
      <c r="K16" s="1695"/>
      <c r="L16" s="1695"/>
      <c r="M16" s="1695"/>
      <c r="O16" s="267">
        <f t="shared" si="17"/>
        <v>7</v>
      </c>
      <c r="P16" s="268" t="e">
        <f t="shared" si="1"/>
        <v>#REF!</v>
      </c>
      <c r="Q16" s="268" t="e">
        <f>-S15*#REF!</f>
        <v>#REF!</v>
      </c>
      <c r="R16" s="268">
        <v>0</v>
      </c>
      <c r="S16" s="269">
        <f t="shared" si="11"/>
        <v>0</v>
      </c>
      <c r="T16" s="1695"/>
      <c r="U16" s="1695"/>
      <c r="V16" s="1695"/>
      <c r="X16" s="267">
        <f t="shared" si="18"/>
        <v>7</v>
      </c>
      <c r="Y16" s="268" t="e">
        <f t="shared" si="2"/>
        <v>#REF!</v>
      </c>
      <c r="Z16" s="268" t="e">
        <f>-AB15*#REF!</f>
        <v>#REF!</v>
      </c>
      <c r="AA16" s="268">
        <v>0</v>
      </c>
      <c r="AB16" s="269">
        <f t="shared" si="12"/>
        <v>0</v>
      </c>
      <c r="AC16" s="1695"/>
      <c r="AD16" s="1695"/>
      <c r="AE16" s="1695"/>
      <c r="AG16" s="1710"/>
      <c r="AH16" s="1710"/>
      <c r="AI16" s="1710"/>
      <c r="AK16" s="267">
        <f t="shared" si="19"/>
        <v>7</v>
      </c>
      <c r="AL16" s="268" t="e">
        <f t="shared" si="3"/>
        <v>#REF!</v>
      </c>
      <c r="AM16" s="268" t="e">
        <f>-AO15*#REF!</f>
        <v>#REF!</v>
      </c>
      <c r="AN16" s="268">
        <f t="shared" si="13"/>
        <v>0</v>
      </c>
      <c r="AO16" s="269">
        <f>E16</f>
        <v>0</v>
      </c>
      <c r="AP16" s="1695"/>
      <c r="AQ16" s="1695"/>
      <c r="AR16" s="1695"/>
      <c r="AS16" s="1695"/>
      <c r="AU16" s="271">
        <v>1</v>
      </c>
      <c r="AV16" s="268">
        <f>SUM(AW16:AY16)</f>
        <v>0</v>
      </c>
      <c r="AW16" s="268">
        <v>0</v>
      </c>
      <c r="AX16" s="1490"/>
      <c r="AY16" s="268">
        <v>0</v>
      </c>
      <c r="AZ16" s="268">
        <v>0</v>
      </c>
      <c r="BA16" s="269">
        <f>SUM(AY16:AZ16)+BA15</f>
        <v>0</v>
      </c>
      <c r="BB16" s="272">
        <v>0</v>
      </c>
      <c r="BC16" s="272"/>
      <c r="BD16" s="1695"/>
      <c r="BE16" s="354"/>
      <c r="BF16" s="1695"/>
      <c r="BG16" s="1695"/>
      <c r="BI16" s="268">
        <f t="shared" si="6"/>
        <v>0</v>
      </c>
      <c r="BJ16" s="268">
        <v>0</v>
      </c>
      <c r="BK16" s="268">
        <v>0</v>
      </c>
      <c r="BL16" s="268">
        <v>0</v>
      </c>
      <c r="BM16" s="269">
        <f>SUM(BK16:BL16)+BM15</f>
        <v>0</v>
      </c>
      <c r="BN16" s="269"/>
      <c r="BO16" s="269"/>
      <c r="BP16" s="1695"/>
      <c r="BQ16" s="354"/>
      <c r="BR16" s="1695"/>
      <c r="BS16" s="1695"/>
      <c r="BU16" s="271"/>
      <c r="BV16" s="268">
        <f>SUM(BW16:BX16)</f>
        <v>0</v>
      </c>
      <c r="BW16" s="268">
        <v>0</v>
      </c>
      <c r="BX16" s="268">
        <v>0</v>
      </c>
      <c r="BY16" s="268">
        <v>0</v>
      </c>
      <c r="BZ16" s="269">
        <f>SUM(BX16:BY16)+BZ15</f>
        <v>0</v>
      </c>
      <c r="CA16" s="272">
        <v>0</v>
      </c>
      <c r="CB16" s="272"/>
      <c r="CC16" s="1695"/>
      <c r="CD16" s="1478"/>
      <c r="CE16" s="1695"/>
      <c r="CF16" s="1695"/>
    </row>
    <row r="17" spans="1:84" ht="15" hidden="1" outlineLevel="1">
      <c r="A17" s="270" t="s">
        <v>517</v>
      </c>
      <c r="B17" s="266">
        <v>2015</v>
      </c>
      <c r="C17" s="266"/>
      <c r="D17" s="266"/>
      <c r="E17" s="265">
        <f t="shared" ref="E17:E80" si="20">BA17</f>
        <v>0</v>
      </c>
      <c r="F17" s="267">
        <f t="shared" si="16"/>
        <v>8</v>
      </c>
      <c r="G17" s="268" t="e">
        <f t="shared" si="9"/>
        <v>#REF!</v>
      </c>
      <c r="H17" s="268" t="e">
        <f>-ROUNDDOWN(J16*#REF!,0)</f>
        <v>#REF!</v>
      </c>
      <c r="I17" s="268">
        <v>0</v>
      </c>
      <c r="J17" s="269">
        <f t="shared" si="10"/>
        <v>50000000</v>
      </c>
      <c r="K17" s="1695"/>
      <c r="L17" s="1695"/>
      <c r="M17" s="1695"/>
      <c r="O17" s="267">
        <f t="shared" si="17"/>
        <v>8</v>
      </c>
      <c r="P17" s="268" t="e">
        <f t="shared" si="1"/>
        <v>#REF!</v>
      </c>
      <c r="Q17" s="268" t="e">
        <f>-S16*#REF!</f>
        <v>#REF!</v>
      </c>
      <c r="R17" s="268">
        <v>0</v>
      </c>
      <c r="S17" s="269">
        <f t="shared" si="11"/>
        <v>0</v>
      </c>
      <c r="T17" s="1695"/>
      <c r="U17" s="1695"/>
      <c r="V17" s="1695"/>
      <c r="X17" s="267">
        <f t="shared" si="18"/>
        <v>8</v>
      </c>
      <c r="Y17" s="268" t="e">
        <f t="shared" si="2"/>
        <v>#REF!</v>
      </c>
      <c r="Z17" s="268" t="e">
        <f>-AB16*#REF!</f>
        <v>#REF!</v>
      </c>
      <c r="AA17" s="268">
        <v>0</v>
      </c>
      <c r="AB17" s="269">
        <f t="shared" si="12"/>
        <v>0</v>
      </c>
      <c r="AC17" s="1695"/>
      <c r="AD17" s="1695"/>
      <c r="AE17" s="1695"/>
      <c r="AG17" s="1710"/>
      <c r="AH17" s="1710"/>
      <c r="AI17" s="1710"/>
      <c r="AK17" s="267">
        <f t="shared" si="19"/>
        <v>8</v>
      </c>
      <c r="AL17" s="268" t="e">
        <f t="shared" si="3"/>
        <v>#REF!</v>
      </c>
      <c r="AM17" s="268" t="e">
        <f>-AO16*#REF!</f>
        <v>#REF!</v>
      </c>
      <c r="AN17" s="268">
        <f t="shared" si="13"/>
        <v>0</v>
      </c>
      <c r="AO17" s="269">
        <f>E17</f>
        <v>0</v>
      </c>
      <c r="AP17" s="1695"/>
      <c r="AQ17" s="1695"/>
      <c r="AR17" s="1695"/>
      <c r="AS17" s="1695"/>
      <c r="AU17" s="267">
        <f t="shared" ref="AU17:AU80" si="21">AU16+1</f>
        <v>2</v>
      </c>
      <c r="AV17" s="268">
        <f t="shared" si="14"/>
        <v>0</v>
      </c>
      <c r="AW17" s="268">
        <f>-BA16*BB16/12</f>
        <v>0</v>
      </c>
      <c r="AX17" s="1490"/>
      <c r="AY17" s="268">
        <v>0</v>
      </c>
      <c r="AZ17" s="268">
        <v>0</v>
      </c>
      <c r="BA17" s="269">
        <f t="shared" ref="BA17:BA80" si="22">SUM(AY17:AZ17)+BA16</f>
        <v>0</v>
      </c>
      <c r="BB17" s="272">
        <f t="shared" ref="BB17:BB23" si="23">BB16</f>
        <v>0</v>
      </c>
      <c r="BC17" s="272"/>
      <c r="BD17" s="1695"/>
      <c r="BE17" s="354"/>
      <c r="BF17" s="1695"/>
      <c r="BG17" s="1695"/>
      <c r="BI17" s="268">
        <f t="shared" ref="BI17:BI54" si="24">SUM(BJ17:BK17)</f>
        <v>0</v>
      </c>
      <c r="BJ17" s="268">
        <f>-BM16*BN16/12</f>
        <v>0</v>
      </c>
      <c r="BK17" s="268">
        <v>0</v>
      </c>
      <c r="BL17" s="268">
        <v>0</v>
      </c>
      <c r="BM17" s="269">
        <f t="shared" ref="BM17:BM54" si="25">SUM(BK17:BL17)+BM16</f>
        <v>0</v>
      </c>
      <c r="BN17" s="269"/>
      <c r="BO17" s="269"/>
      <c r="BP17" s="1695"/>
      <c r="BQ17" s="354"/>
      <c r="BR17" s="1695"/>
      <c r="BS17" s="1695"/>
      <c r="BU17" s="267"/>
      <c r="BV17" s="268">
        <f t="shared" ref="BV17:BV54" si="26">SUM(BW17:BX17)</f>
        <v>0</v>
      </c>
      <c r="BW17" s="268">
        <f>-BZ16*CA16/12</f>
        <v>0</v>
      </c>
      <c r="BX17" s="268">
        <v>0</v>
      </c>
      <c r="BY17" s="268">
        <v>0</v>
      </c>
      <c r="BZ17" s="269">
        <f t="shared" ref="BZ17:BZ54" si="27">SUM(BX17:BY17)+BZ16</f>
        <v>0</v>
      </c>
      <c r="CA17" s="272">
        <f t="shared" ref="CA17" si="28">CA16</f>
        <v>0</v>
      </c>
      <c r="CB17" s="272"/>
      <c r="CC17" s="1695"/>
      <c r="CD17" s="1478"/>
      <c r="CE17" s="1695"/>
      <c r="CF17" s="1695"/>
    </row>
    <row r="18" spans="1:84" ht="15" hidden="1" outlineLevel="1">
      <c r="A18" s="270" t="s">
        <v>518</v>
      </c>
      <c r="B18" s="266">
        <v>2015</v>
      </c>
      <c r="C18" s="266"/>
      <c r="D18" s="266"/>
      <c r="E18" s="265">
        <f t="shared" si="20"/>
        <v>0</v>
      </c>
      <c r="F18" s="267">
        <f t="shared" si="16"/>
        <v>9</v>
      </c>
      <c r="G18" s="268" t="e">
        <f t="shared" si="9"/>
        <v>#REF!</v>
      </c>
      <c r="H18" s="268" t="e">
        <f>-ROUNDDOWN(J17*#REF!,0)</f>
        <v>#REF!</v>
      </c>
      <c r="I18" s="268">
        <v>0</v>
      </c>
      <c r="J18" s="269">
        <f>J17+I18+50000000</f>
        <v>100000000</v>
      </c>
      <c r="K18" s="1695"/>
      <c r="L18" s="1695"/>
      <c r="M18" s="1695"/>
      <c r="O18" s="267">
        <f t="shared" si="17"/>
        <v>9</v>
      </c>
      <c r="P18" s="268" t="e">
        <f t="shared" si="1"/>
        <v>#REF!</v>
      </c>
      <c r="Q18" s="268" t="e">
        <f>-S17*#REF!</f>
        <v>#REF!</v>
      </c>
      <c r="R18" s="268">
        <v>0</v>
      </c>
      <c r="S18" s="269">
        <f t="shared" si="11"/>
        <v>0</v>
      </c>
      <c r="T18" s="1695"/>
      <c r="U18" s="1695"/>
      <c r="V18" s="1695"/>
      <c r="X18" s="267">
        <f t="shared" si="18"/>
        <v>9</v>
      </c>
      <c r="Y18" s="268" t="e">
        <f t="shared" si="2"/>
        <v>#REF!</v>
      </c>
      <c r="Z18" s="268" t="e">
        <f>-AB17*#REF!</f>
        <v>#REF!</v>
      </c>
      <c r="AA18" s="268">
        <v>0</v>
      </c>
      <c r="AB18" s="269">
        <f t="shared" si="12"/>
        <v>0</v>
      </c>
      <c r="AC18" s="1695"/>
      <c r="AD18" s="1695"/>
      <c r="AE18" s="1695"/>
      <c r="AG18" s="1710"/>
      <c r="AH18" s="1710"/>
      <c r="AI18" s="1710"/>
      <c r="AK18" s="267">
        <f t="shared" si="19"/>
        <v>9</v>
      </c>
      <c r="AL18" s="268" t="e">
        <f t="shared" si="3"/>
        <v>#REF!</v>
      </c>
      <c r="AM18" s="268" t="e">
        <f>-AO17*#REF!</f>
        <v>#REF!</v>
      </c>
      <c r="AN18" s="268">
        <f t="shared" si="13"/>
        <v>0</v>
      </c>
      <c r="AO18" s="269">
        <f t="shared" ref="AO18:AO56" si="29">E18</f>
        <v>0</v>
      </c>
      <c r="AP18" s="1695"/>
      <c r="AQ18" s="1695"/>
      <c r="AR18" s="1695"/>
      <c r="AS18" s="1695"/>
      <c r="AU18" s="267">
        <f t="shared" si="21"/>
        <v>3</v>
      </c>
      <c r="AV18" s="268">
        <f t="shared" si="14"/>
        <v>0</v>
      </c>
      <c r="AW18" s="268">
        <f>-BA17*BB17/12</f>
        <v>0</v>
      </c>
      <c r="AX18" s="1490"/>
      <c r="AY18" s="268">
        <v>0</v>
      </c>
      <c r="AZ18" s="268">
        <v>0</v>
      </c>
      <c r="BA18" s="269">
        <f t="shared" si="22"/>
        <v>0</v>
      </c>
      <c r="BB18" s="272">
        <f t="shared" si="23"/>
        <v>0</v>
      </c>
      <c r="BC18" s="272"/>
      <c r="BD18" s="1695"/>
      <c r="BE18" s="354"/>
      <c r="BF18" s="1695"/>
      <c r="BG18" s="1695"/>
      <c r="BI18" s="268">
        <f t="shared" si="24"/>
        <v>0</v>
      </c>
      <c r="BJ18" s="268">
        <f>-BM17*BN17/12</f>
        <v>0</v>
      </c>
      <c r="BK18" s="268">
        <v>0</v>
      </c>
      <c r="BL18" s="268">
        <v>0</v>
      </c>
      <c r="BM18" s="269">
        <f t="shared" si="25"/>
        <v>0</v>
      </c>
      <c r="BN18" s="269"/>
      <c r="BO18" s="269"/>
      <c r="BP18" s="1695"/>
      <c r="BQ18" s="354"/>
      <c r="BR18" s="1695"/>
      <c r="BS18" s="1695"/>
      <c r="BU18" s="267"/>
      <c r="BV18" s="268">
        <f t="shared" si="26"/>
        <v>0</v>
      </c>
      <c r="BW18" s="268">
        <f>-BZ17*CA17/12</f>
        <v>0</v>
      </c>
      <c r="BX18" s="268">
        <v>0</v>
      </c>
      <c r="BY18" s="268">
        <v>0</v>
      </c>
      <c r="BZ18" s="269">
        <f t="shared" si="27"/>
        <v>0</v>
      </c>
      <c r="CA18" s="272"/>
      <c r="CB18" s="272"/>
      <c r="CC18" s="1695"/>
      <c r="CD18" s="1478"/>
      <c r="CE18" s="1695"/>
      <c r="CF18" s="1695"/>
    </row>
    <row r="19" spans="1:84" ht="15" hidden="1" outlineLevel="1">
      <c r="A19" s="270" t="s">
        <v>519</v>
      </c>
      <c r="B19" s="266">
        <v>2016</v>
      </c>
      <c r="C19" s="266"/>
      <c r="D19" s="266"/>
      <c r="E19" s="265">
        <f t="shared" si="20"/>
        <v>0</v>
      </c>
      <c r="F19" s="267">
        <f t="shared" si="16"/>
        <v>10</v>
      </c>
      <c r="G19" s="268" t="e">
        <f t="shared" si="9"/>
        <v>#REF!</v>
      </c>
      <c r="H19" s="268" t="e">
        <f>-ROUNDDOWN(J18*#REF!,0)</f>
        <v>#REF!</v>
      </c>
      <c r="I19" s="268">
        <v>0</v>
      </c>
      <c r="J19" s="269">
        <f>J18+I19</f>
        <v>100000000</v>
      </c>
      <c r="K19" s="1695"/>
      <c r="L19" s="1695"/>
      <c r="M19" s="1695"/>
      <c r="O19" s="267">
        <f t="shared" si="17"/>
        <v>10</v>
      </c>
      <c r="P19" s="268" t="e">
        <f t="shared" si="1"/>
        <v>#REF!</v>
      </c>
      <c r="Q19" s="268" t="e">
        <f>-S18*#REF!</f>
        <v>#REF!</v>
      </c>
      <c r="R19" s="268">
        <v>0</v>
      </c>
      <c r="S19" s="269">
        <f t="shared" si="11"/>
        <v>0</v>
      </c>
      <c r="T19" s="1695"/>
      <c r="U19" s="1695"/>
      <c r="V19" s="1695"/>
      <c r="X19" s="267">
        <f t="shared" si="18"/>
        <v>10</v>
      </c>
      <c r="Y19" s="268" t="e">
        <f t="shared" si="2"/>
        <v>#REF!</v>
      </c>
      <c r="Z19" s="268" t="e">
        <f>-AB18*#REF!</f>
        <v>#REF!</v>
      </c>
      <c r="AA19" s="268">
        <v>0</v>
      </c>
      <c r="AB19" s="269">
        <f t="shared" si="12"/>
        <v>0</v>
      </c>
      <c r="AC19" s="1695"/>
      <c r="AD19" s="1695"/>
      <c r="AE19" s="1695"/>
      <c r="AG19" s="1710"/>
      <c r="AH19" s="1710"/>
      <c r="AI19" s="1710"/>
      <c r="AK19" s="267">
        <f t="shared" si="19"/>
        <v>10</v>
      </c>
      <c r="AL19" s="268" t="e">
        <f t="shared" si="3"/>
        <v>#REF!</v>
      </c>
      <c r="AM19" s="268" t="e">
        <f>-AO18*#REF!</f>
        <v>#REF!</v>
      </c>
      <c r="AN19" s="268">
        <f t="shared" si="13"/>
        <v>0</v>
      </c>
      <c r="AO19" s="269">
        <f t="shared" si="29"/>
        <v>0</v>
      </c>
      <c r="AP19" s="1695"/>
      <c r="AQ19" s="1695"/>
      <c r="AR19" s="1695"/>
      <c r="AS19" s="1695"/>
      <c r="AU19" s="267">
        <f t="shared" si="21"/>
        <v>4</v>
      </c>
      <c r="AV19" s="268">
        <f t="shared" si="14"/>
        <v>0</v>
      </c>
      <c r="AW19" s="268">
        <f t="shared" ref="AW19:AW24" si="30">-BA18*BB18/12</f>
        <v>0</v>
      </c>
      <c r="AX19" s="1490"/>
      <c r="AY19" s="268">
        <v>0</v>
      </c>
      <c r="AZ19" s="268">
        <v>0</v>
      </c>
      <c r="BA19" s="269">
        <f t="shared" si="22"/>
        <v>0</v>
      </c>
      <c r="BB19" s="272">
        <f t="shared" si="23"/>
        <v>0</v>
      </c>
      <c r="BC19" s="272"/>
      <c r="BD19" s="1695"/>
      <c r="BE19" s="354"/>
      <c r="BF19" s="1695"/>
      <c r="BG19" s="1695"/>
      <c r="BI19" s="268">
        <f t="shared" si="24"/>
        <v>0</v>
      </c>
      <c r="BJ19" s="268">
        <f t="shared" ref="BJ19:BJ24" si="31">-BM18*BN18/12</f>
        <v>0</v>
      </c>
      <c r="BK19" s="268">
        <v>0</v>
      </c>
      <c r="BL19" s="268">
        <v>0</v>
      </c>
      <c r="BM19" s="269">
        <f t="shared" si="25"/>
        <v>0</v>
      </c>
      <c r="BN19" s="269"/>
      <c r="BO19" s="269"/>
      <c r="BP19" s="1695"/>
      <c r="BQ19" s="354"/>
      <c r="BR19" s="1695"/>
      <c r="BS19" s="1695"/>
      <c r="BU19" s="267"/>
      <c r="BV19" s="268">
        <f t="shared" si="26"/>
        <v>0</v>
      </c>
      <c r="BW19" s="268">
        <f t="shared" ref="BW19:BW23" si="32">-BZ18*CA18/12</f>
        <v>0</v>
      </c>
      <c r="BX19" s="268">
        <v>0</v>
      </c>
      <c r="BY19" s="268">
        <v>0</v>
      </c>
      <c r="BZ19" s="269">
        <f t="shared" si="27"/>
        <v>0</v>
      </c>
      <c r="CA19" s="272"/>
      <c r="CB19" s="272"/>
      <c r="CC19" s="1695"/>
      <c r="CD19" s="1478"/>
      <c r="CE19" s="1695"/>
      <c r="CF19" s="1695"/>
    </row>
    <row r="20" spans="1:84" ht="15" hidden="1" outlineLevel="1">
      <c r="A20" s="270" t="s">
        <v>520</v>
      </c>
      <c r="B20" s="266">
        <v>2016</v>
      </c>
      <c r="C20" s="266"/>
      <c r="D20" s="266"/>
      <c r="E20" s="265">
        <f t="shared" si="20"/>
        <v>0</v>
      </c>
      <c r="F20" s="267">
        <f t="shared" si="16"/>
        <v>11</v>
      </c>
      <c r="G20" s="268" t="e">
        <f t="shared" si="9"/>
        <v>#REF!</v>
      </c>
      <c r="H20" s="268" t="e">
        <f>-ROUNDDOWN(J19*#REF!,0)</f>
        <v>#REF!</v>
      </c>
      <c r="I20" s="268">
        <v>0</v>
      </c>
      <c r="J20" s="269">
        <f>J19+I20+60000000</f>
        <v>160000000</v>
      </c>
      <c r="K20" s="1695"/>
      <c r="L20" s="1695"/>
      <c r="M20" s="1695"/>
      <c r="O20" s="267">
        <f t="shared" si="17"/>
        <v>11</v>
      </c>
      <c r="P20" s="268" t="e">
        <f t="shared" si="1"/>
        <v>#REF!</v>
      </c>
      <c r="Q20" s="268" t="e">
        <f>-S19*#REF!</f>
        <v>#REF!</v>
      </c>
      <c r="R20" s="268">
        <v>0</v>
      </c>
      <c r="S20" s="269">
        <f t="shared" si="11"/>
        <v>0</v>
      </c>
      <c r="T20" s="1695"/>
      <c r="U20" s="1695"/>
      <c r="V20" s="1695"/>
      <c r="X20" s="267">
        <f t="shared" si="18"/>
        <v>11</v>
      </c>
      <c r="Y20" s="268" t="e">
        <f t="shared" si="2"/>
        <v>#REF!</v>
      </c>
      <c r="Z20" s="268" t="e">
        <f>-AB19*#REF!</f>
        <v>#REF!</v>
      </c>
      <c r="AA20" s="268">
        <v>0</v>
      </c>
      <c r="AB20" s="269">
        <f t="shared" si="12"/>
        <v>0</v>
      </c>
      <c r="AC20" s="1695"/>
      <c r="AD20" s="1695"/>
      <c r="AE20" s="1695"/>
      <c r="AG20" s="1710"/>
      <c r="AH20" s="1710"/>
      <c r="AI20" s="1710"/>
      <c r="AK20" s="267">
        <f t="shared" si="19"/>
        <v>11</v>
      </c>
      <c r="AL20" s="268" t="e">
        <f t="shared" si="3"/>
        <v>#REF!</v>
      </c>
      <c r="AM20" s="268" t="e">
        <f>-AO19*#REF!</f>
        <v>#REF!</v>
      </c>
      <c r="AN20" s="268">
        <f t="shared" si="13"/>
        <v>0</v>
      </c>
      <c r="AO20" s="269">
        <f t="shared" si="29"/>
        <v>0</v>
      </c>
      <c r="AP20" s="1695"/>
      <c r="AQ20" s="1695"/>
      <c r="AR20" s="1695"/>
      <c r="AS20" s="1695"/>
      <c r="AU20" s="267">
        <f t="shared" si="21"/>
        <v>5</v>
      </c>
      <c r="AV20" s="268">
        <f t="shared" si="14"/>
        <v>0</v>
      </c>
      <c r="AW20" s="268">
        <f t="shared" si="30"/>
        <v>0</v>
      </c>
      <c r="AX20" s="1490"/>
      <c r="AY20" s="268">
        <v>0</v>
      </c>
      <c r="AZ20" s="268">
        <v>0</v>
      </c>
      <c r="BA20" s="269">
        <f t="shared" si="22"/>
        <v>0</v>
      </c>
      <c r="BB20" s="272">
        <f t="shared" si="23"/>
        <v>0</v>
      </c>
      <c r="BC20" s="272"/>
      <c r="BD20" s="1695"/>
      <c r="BE20" s="354"/>
      <c r="BF20" s="1695"/>
      <c r="BG20" s="1695"/>
      <c r="BI20" s="268">
        <f t="shared" si="24"/>
        <v>0</v>
      </c>
      <c r="BJ20" s="268">
        <f t="shared" si="31"/>
        <v>0</v>
      </c>
      <c r="BK20" s="268">
        <v>0</v>
      </c>
      <c r="BL20" s="268">
        <v>0</v>
      </c>
      <c r="BM20" s="269">
        <f t="shared" si="25"/>
        <v>0</v>
      </c>
      <c r="BN20" s="269"/>
      <c r="BO20" s="269"/>
      <c r="BP20" s="1695"/>
      <c r="BQ20" s="354"/>
      <c r="BR20" s="1695"/>
      <c r="BS20" s="1695"/>
      <c r="BU20" s="267"/>
      <c r="BV20" s="268">
        <f t="shared" si="26"/>
        <v>0</v>
      </c>
      <c r="BW20" s="268">
        <f t="shared" si="32"/>
        <v>0</v>
      </c>
      <c r="BX20" s="268">
        <v>0</v>
      </c>
      <c r="BY20" s="268">
        <v>0</v>
      </c>
      <c r="BZ20" s="269">
        <f t="shared" si="27"/>
        <v>0</v>
      </c>
      <c r="CA20" s="272"/>
      <c r="CB20" s="272"/>
      <c r="CC20" s="1695"/>
      <c r="CD20" s="1478"/>
      <c r="CE20" s="1695"/>
      <c r="CF20" s="1695"/>
    </row>
    <row r="21" spans="1:84" ht="15" hidden="1" outlineLevel="1">
      <c r="A21" s="270" t="s">
        <v>521</v>
      </c>
      <c r="B21" s="266">
        <v>2016</v>
      </c>
      <c r="C21" s="266"/>
      <c r="D21" s="266"/>
      <c r="E21" s="265">
        <f t="shared" si="20"/>
        <v>0</v>
      </c>
      <c r="F21" s="267">
        <f t="shared" si="16"/>
        <v>12</v>
      </c>
      <c r="G21" s="268" t="e">
        <f t="shared" si="9"/>
        <v>#REF!</v>
      </c>
      <c r="H21" s="268" t="e">
        <f>-ROUNDDOWN(J20*#REF!,0)</f>
        <v>#REF!</v>
      </c>
      <c r="I21" s="268">
        <v>0</v>
      </c>
      <c r="J21" s="269">
        <f t="shared" si="10"/>
        <v>160000000</v>
      </c>
      <c r="K21" s="1695"/>
      <c r="L21" s="1695"/>
      <c r="M21" s="1695"/>
      <c r="O21" s="267">
        <f t="shared" si="17"/>
        <v>12</v>
      </c>
      <c r="P21" s="268" t="e">
        <f t="shared" si="1"/>
        <v>#REF!</v>
      </c>
      <c r="Q21" s="268" t="e">
        <f>-S20*#REF!</f>
        <v>#REF!</v>
      </c>
      <c r="R21" s="268">
        <v>0</v>
      </c>
      <c r="S21" s="269">
        <f t="shared" si="11"/>
        <v>0</v>
      </c>
      <c r="T21" s="1695"/>
      <c r="U21" s="1695"/>
      <c r="V21" s="1695"/>
      <c r="X21" s="267">
        <f t="shared" si="18"/>
        <v>12</v>
      </c>
      <c r="Y21" s="268" t="e">
        <f t="shared" si="2"/>
        <v>#REF!</v>
      </c>
      <c r="Z21" s="268" t="e">
        <f>-AB20*#REF!</f>
        <v>#REF!</v>
      </c>
      <c r="AA21" s="268">
        <v>0</v>
      </c>
      <c r="AB21" s="269">
        <f t="shared" si="12"/>
        <v>0</v>
      </c>
      <c r="AC21" s="1695"/>
      <c r="AD21" s="1695"/>
      <c r="AE21" s="1695"/>
      <c r="AG21" s="1710"/>
      <c r="AH21" s="1710"/>
      <c r="AI21" s="1710"/>
      <c r="AK21" s="267">
        <f t="shared" si="19"/>
        <v>12</v>
      </c>
      <c r="AL21" s="268" t="e">
        <f t="shared" si="3"/>
        <v>#REF!</v>
      </c>
      <c r="AM21" s="268" t="e">
        <f>-AO20*#REF!</f>
        <v>#REF!</v>
      </c>
      <c r="AN21" s="268">
        <f t="shared" si="13"/>
        <v>0</v>
      </c>
      <c r="AO21" s="269">
        <f t="shared" si="29"/>
        <v>0</v>
      </c>
      <c r="AP21" s="1695"/>
      <c r="AQ21" s="1695"/>
      <c r="AR21" s="1695"/>
      <c r="AS21" s="1695"/>
      <c r="AU21" s="267">
        <f t="shared" si="21"/>
        <v>6</v>
      </c>
      <c r="AV21" s="268">
        <f t="shared" si="14"/>
        <v>0</v>
      </c>
      <c r="AW21" s="268">
        <f t="shared" si="30"/>
        <v>0</v>
      </c>
      <c r="AX21" s="1490"/>
      <c r="AY21" s="268">
        <v>0</v>
      </c>
      <c r="AZ21" s="268">
        <v>0</v>
      </c>
      <c r="BA21" s="269">
        <f t="shared" si="22"/>
        <v>0</v>
      </c>
      <c r="BB21" s="272">
        <f t="shared" si="23"/>
        <v>0</v>
      </c>
      <c r="BC21" s="272"/>
      <c r="BD21" s="1695"/>
      <c r="BE21" s="354"/>
      <c r="BF21" s="1695"/>
      <c r="BG21" s="1695"/>
      <c r="BI21" s="268">
        <f t="shared" si="24"/>
        <v>0</v>
      </c>
      <c r="BJ21" s="268">
        <f t="shared" si="31"/>
        <v>0</v>
      </c>
      <c r="BK21" s="268">
        <v>0</v>
      </c>
      <c r="BL21" s="268">
        <v>0</v>
      </c>
      <c r="BM21" s="269">
        <f t="shared" si="25"/>
        <v>0</v>
      </c>
      <c r="BN21" s="269"/>
      <c r="BO21" s="269"/>
      <c r="BP21" s="1695"/>
      <c r="BQ21" s="354"/>
      <c r="BR21" s="1695"/>
      <c r="BS21" s="1695"/>
      <c r="BU21" s="267"/>
      <c r="BV21" s="268">
        <f t="shared" si="26"/>
        <v>0</v>
      </c>
      <c r="BW21" s="268">
        <f t="shared" si="32"/>
        <v>0</v>
      </c>
      <c r="BX21" s="268">
        <v>0</v>
      </c>
      <c r="BY21" s="268">
        <v>0</v>
      </c>
      <c r="BZ21" s="269">
        <f t="shared" si="27"/>
        <v>0</v>
      </c>
      <c r="CA21" s="272"/>
      <c r="CB21" s="272"/>
      <c r="CC21" s="1695"/>
      <c r="CD21" s="1478"/>
      <c r="CE21" s="1695"/>
      <c r="CF21" s="1695"/>
    </row>
    <row r="22" spans="1:84" ht="15" hidden="1" outlineLevel="1">
      <c r="A22" s="273" t="s">
        <v>510</v>
      </c>
      <c r="B22" s="274">
        <v>2016</v>
      </c>
      <c r="C22" s="274"/>
      <c r="D22" s="274"/>
      <c r="E22" s="275">
        <f t="shared" si="20"/>
        <v>0</v>
      </c>
      <c r="F22" s="276">
        <f t="shared" si="16"/>
        <v>13</v>
      </c>
      <c r="G22" s="277" t="e">
        <f t="shared" si="9"/>
        <v>#REF!</v>
      </c>
      <c r="H22" s="277" t="e">
        <f>-ROUNDDOWN(J21*#REF!,0)</f>
        <v>#REF!</v>
      </c>
      <c r="I22" s="277">
        <v>0</v>
      </c>
      <c r="J22" s="278">
        <f t="shared" si="10"/>
        <v>160000000</v>
      </c>
      <c r="K22" s="1694" t="s">
        <v>1</v>
      </c>
      <c r="L22" s="1694" t="e">
        <f>SUM(H22:H33)</f>
        <v>#REF!</v>
      </c>
      <c r="M22" s="1694">
        <f>SUM(I22:I33)</f>
        <v>0</v>
      </c>
      <c r="O22" s="276">
        <f t="shared" si="17"/>
        <v>13</v>
      </c>
      <c r="P22" s="277" t="e">
        <f t="shared" si="1"/>
        <v>#REF!</v>
      </c>
      <c r="Q22" s="277" t="e">
        <f>-S21*#REF!</f>
        <v>#REF!</v>
      </c>
      <c r="R22" s="277">
        <v>0</v>
      </c>
      <c r="S22" s="278">
        <v>127500000</v>
      </c>
      <c r="T22" s="1694" t="s">
        <v>1</v>
      </c>
      <c r="U22" s="1694" t="e">
        <f>SUM(Q22:Q33)</f>
        <v>#REF!</v>
      </c>
      <c r="V22" s="1694">
        <f>SUM(R22:R33)</f>
        <v>0</v>
      </c>
      <c r="X22" s="276">
        <f t="shared" si="18"/>
        <v>13</v>
      </c>
      <c r="Y22" s="277" t="e">
        <f t="shared" si="2"/>
        <v>#REF!</v>
      </c>
      <c r="Z22" s="277" t="e">
        <f>-AB21*#REF!</f>
        <v>#REF!</v>
      </c>
      <c r="AA22" s="277">
        <v>0</v>
      </c>
      <c r="AB22" s="278">
        <f t="shared" si="12"/>
        <v>0</v>
      </c>
      <c r="AC22" s="1694" t="s">
        <v>1</v>
      </c>
      <c r="AD22" s="1694" t="e">
        <f>SUM(Z22:Z33)</f>
        <v>#REF!</v>
      </c>
      <c r="AE22" s="1694">
        <f>SUM(AA22:AA33)</f>
        <v>0</v>
      </c>
      <c r="AG22" s="1709" t="s">
        <v>1</v>
      </c>
      <c r="AH22" s="1709" t="e">
        <f>L22+U22+AD22</f>
        <v>#REF!</v>
      </c>
      <c r="AI22" s="1709">
        <f>M22+V22+AE22</f>
        <v>0</v>
      </c>
      <c r="AK22" s="276">
        <f t="shared" si="19"/>
        <v>13</v>
      </c>
      <c r="AL22" s="277" t="e">
        <f t="shared" si="3"/>
        <v>#REF!</v>
      </c>
      <c r="AM22" s="277" t="e">
        <f>-AO21*#REF!</f>
        <v>#REF!</v>
      </c>
      <c r="AN22" s="277">
        <f>$AR$22/12</f>
        <v>0</v>
      </c>
      <c r="AO22" s="278">
        <f t="shared" si="29"/>
        <v>0</v>
      </c>
      <c r="AP22" s="1694" t="s">
        <v>1</v>
      </c>
      <c r="AQ22" s="1694" t="e">
        <f>SUM(AM22:AM33)</f>
        <v>#REF!</v>
      </c>
      <c r="AR22" s="1694">
        <v>0</v>
      </c>
      <c r="AS22" s="1694">
        <v>0</v>
      </c>
      <c r="AU22" s="276">
        <f t="shared" si="21"/>
        <v>7</v>
      </c>
      <c r="AV22" s="277">
        <f t="shared" si="14"/>
        <v>0</v>
      </c>
      <c r="AW22" s="277">
        <f t="shared" si="30"/>
        <v>0</v>
      </c>
      <c r="AX22" s="1491"/>
      <c r="AY22" s="277">
        <v>0</v>
      </c>
      <c r="AZ22" s="277">
        <v>0</v>
      </c>
      <c r="BA22" s="278">
        <f t="shared" si="22"/>
        <v>0</v>
      </c>
      <c r="BB22" s="279">
        <f t="shared" si="23"/>
        <v>0</v>
      </c>
      <c r="BC22" s="279"/>
      <c r="BD22" s="1694" t="s">
        <v>1</v>
      </c>
      <c r="BE22" s="355"/>
      <c r="BF22" s="1694">
        <f>SUM(AW22:AW33)</f>
        <v>-811689.45000000007</v>
      </c>
      <c r="BG22" s="1694">
        <f>SUM(AY22:AZ33)</f>
        <v>156873302</v>
      </c>
      <c r="BI22" s="277">
        <f t="shared" si="24"/>
        <v>0</v>
      </c>
      <c r="BJ22" s="277">
        <f t="shared" si="31"/>
        <v>0</v>
      </c>
      <c r="BK22" s="277">
        <v>0</v>
      </c>
      <c r="BL22" s="277">
        <v>0</v>
      </c>
      <c r="BM22" s="278">
        <f t="shared" si="25"/>
        <v>0</v>
      </c>
      <c r="BN22" s="278"/>
      <c r="BO22" s="278"/>
      <c r="BP22" s="1694" t="s">
        <v>1</v>
      </c>
      <c r="BQ22" s="355"/>
      <c r="BR22" s="1694">
        <f>SUM(BJ22:BJ33)</f>
        <v>0</v>
      </c>
      <c r="BS22" s="1694">
        <f>SUM(BK22:BL33)</f>
        <v>0</v>
      </c>
      <c r="BU22" s="276"/>
      <c r="BV22" s="277">
        <f t="shared" si="26"/>
        <v>0</v>
      </c>
      <c r="BW22" s="277">
        <f t="shared" si="32"/>
        <v>0</v>
      </c>
      <c r="BX22" s="277">
        <v>0</v>
      </c>
      <c r="BY22" s="277">
        <v>0</v>
      </c>
      <c r="BZ22" s="278">
        <f t="shared" si="27"/>
        <v>0</v>
      </c>
      <c r="CA22" s="279"/>
      <c r="CB22" s="279"/>
      <c r="CC22" s="1694" t="s">
        <v>1</v>
      </c>
      <c r="CD22" s="1476"/>
      <c r="CE22" s="1694">
        <f>SUM(BW22:BW33)</f>
        <v>0</v>
      </c>
      <c r="CF22" s="1694">
        <f>SUM(BX22:BY33)</f>
        <v>0</v>
      </c>
    </row>
    <row r="23" spans="1:84" ht="15" collapsed="1">
      <c r="A23" s="273" t="s">
        <v>511</v>
      </c>
      <c r="B23" s="274">
        <v>2016</v>
      </c>
      <c r="C23" s="1503">
        <v>42491</v>
      </c>
      <c r="D23" s="274"/>
      <c r="E23" s="275">
        <f t="shared" si="20"/>
        <v>0</v>
      </c>
      <c r="F23" s="276">
        <f t="shared" si="16"/>
        <v>14</v>
      </c>
      <c r="G23" s="277" t="e">
        <f t="shared" si="9"/>
        <v>#REF!</v>
      </c>
      <c r="H23" s="277" t="e">
        <f>-ROUNDDOWN(J22*#REF!,0)</f>
        <v>#REF!</v>
      </c>
      <c r="I23" s="277">
        <v>0</v>
      </c>
      <c r="J23" s="278">
        <f t="shared" si="10"/>
        <v>160000000</v>
      </c>
      <c r="K23" s="1694"/>
      <c r="L23" s="1694"/>
      <c r="M23" s="1694"/>
      <c r="O23" s="276">
        <f t="shared" si="17"/>
        <v>14</v>
      </c>
      <c r="P23" s="277" t="e">
        <f t="shared" si="1"/>
        <v>#REF!</v>
      </c>
      <c r="Q23" s="277" t="e">
        <f>-S22*#REF!</f>
        <v>#REF!</v>
      </c>
      <c r="R23" s="277">
        <v>0</v>
      </c>
      <c r="S23" s="278">
        <f t="shared" si="11"/>
        <v>127500000</v>
      </c>
      <c r="T23" s="1694"/>
      <c r="U23" s="1694"/>
      <c r="V23" s="1694"/>
      <c r="X23" s="276">
        <f t="shared" si="18"/>
        <v>14</v>
      </c>
      <c r="Y23" s="277" t="e">
        <f t="shared" si="2"/>
        <v>#REF!</v>
      </c>
      <c r="Z23" s="277" t="e">
        <f>-AB22*#REF!</f>
        <v>#REF!</v>
      </c>
      <c r="AA23" s="277">
        <v>0</v>
      </c>
      <c r="AB23" s="278">
        <f t="shared" si="12"/>
        <v>0</v>
      </c>
      <c r="AC23" s="1694"/>
      <c r="AD23" s="1694"/>
      <c r="AE23" s="1694"/>
      <c r="AG23" s="1709"/>
      <c r="AH23" s="1709"/>
      <c r="AI23" s="1709"/>
      <c r="AK23" s="276">
        <f t="shared" si="19"/>
        <v>14</v>
      </c>
      <c r="AL23" s="277" t="e">
        <f t="shared" si="3"/>
        <v>#REF!</v>
      </c>
      <c r="AM23" s="277" t="e">
        <f>-AO22*#REF!</f>
        <v>#REF!</v>
      </c>
      <c r="AN23" s="277">
        <f t="shared" ref="AN23:AN33" si="33">$AR$22/12</f>
        <v>0</v>
      </c>
      <c r="AO23" s="278">
        <f t="shared" si="29"/>
        <v>0</v>
      </c>
      <c r="AP23" s="1694"/>
      <c r="AQ23" s="1694"/>
      <c r="AR23" s="1694"/>
      <c r="AS23" s="1694"/>
      <c r="AU23" s="276">
        <f t="shared" si="21"/>
        <v>8</v>
      </c>
      <c r="AV23" s="277">
        <f>AW23+AY23</f>
        <v>0</v>
      </c>
      <c r="AW23" s="277">
        <f t="shared" si="30"/>
        <v>0</v>
      </c>
      <c r="AX23" s="1491">
        <v>0</v>
      </c>
      <c r="AY23" s="277">
        <v>0</v>
      </c>
      <c r="AZ23" s="277">
        <v>0</v>
      </c>
      <c r="BA23" s="278">
        <f t="shared" si="22"/>
        <v>0</v>
      </c>
      <c r="BB23" s="279">
        <f t="shared" si="23"/>
        <v>0</v>
      </c>
      <c r="BC23" s="279"/>
      <c r="BD23" s="1694"/>
      <c r="BE23" s="355"/>
      <c r="BF23" s="1694"/>
      <c r="BG23" s="1694"/>
      <c r="BI23" s="277">
        <f t="shared" si="24"/>
        <v>0</v>
      </c>
      <c r="BJ23" s="277">
        <f t="shared" si="31"/>
        <v>0</v>
      </c>
      <c r="BK23" s="277">
        <v>0</v>
      </c>
      <c r="BL23" s="277">
        <v>0</v>
      </c>
      <c r="BM23" s="278">
        <f t="shared" si="25"/>
        <v>0</v>
      </c>
      <c r="BN23" s="278"/>
      <c r="BO23" s="278"/>
      <c r="BP23" s="1694"/>
      <c r="BQ23" s="355"/>
      <c r="BR23" s="1694"/>
      <c r="BS23" s="1694"/>
      <c r="BU23" s="276"/>
      <c r="BV23" s="277">
        <f t="shared" si="26"/>
        <v>0</v>
      </c>
      <c r="BW23" s="277">
        <f t="shared" si="32"/>
        <v>0</v>
      </c>
      <c r="BX23" s="277">
        <v>0</v>
      </c>
      <c r="BY23" s="277">
        <v>0</v>
      </c>
      <c r="BZ23" s="278">
        <f t="shared" si="27"/>
        <v>0</v>
      </c>
      <c r="CA23" s="279"/>
      <c r="CB23" s="279"/>
      <c r="CC23" s="1694"/>
      <c r="CD23" s="1476"/>
      <c r="CE23" s="1694"/>
      <c r="CF23" s="1694"/>
    </row>
    <row r="24" spans="1:84" ht="15">
      <c r="A24" s="273" t="s">
        <v>512</v>
      </c>
      <c r="B24" s="274">
        <v>2016</v>
      </c>
      <c r="C24" s="1503">
        <v>42522</v>
      </c>
      <c r="D24" s="274"/>
      <c r="E24" s="275">
        <f t="shared" si="20"/>
        <v>23437776</v>
      </c>
      <c r="F24" s="276">
        <f t="shared" si="16"/>
        <v>15</v>
      </c>
      <c r="G24" s="277" t="e">
        <f t="shared" si="9"/>
        <v>#REF!</v>
      </c>
      <c r="H24" s="277" t="e">
        <f>-ROUNDDOWN(J23*#REF!,0)</f>
        <v>#REF!</v>
      </c>
      <c r="I24" s="277">
        <v>0</v>
      </c>
      <c r="J24" s="278">
        <f t="shared" si="10"/>
        <v>160000000</v>
      </c>
      <c r="K24" s="1694"/>
      <c r="L24" s="1694"/>
      <c r="M24" s="1694"/>
      <c r="O24" s="276">
        <f t="shared" si="17"/>
        <v>15</v>
      </c>
      <c r="P24" s="277" t="e">
        <f t="shared" si="1"/>
        <v>#REF!</v>
      </c>
      <c r="Q24" s="277" t="e">
        <f>-S23*#REF!</f>
        <v>#REF!</v>
      </c>
      <c r="R24" s="277">
        <v>0</v>
      </c>
      <c r="S24" s="278">
        <f t="shared" si="11"/>
        <v>127500000</v>
      </c>
      <c r="T24" s="1694"/>
      <c r="U24" s="1694"/>
      <c r="V24" s="1694"/>
      <c r="X24" s="276">
        <f t="shared" si="18"/>
        <v>15</v>
      </c>
      <c r="Y24" s="277" t="e">
        <f t="shared" si="2"/>
        <v>#REF!</v>
      </c>
      <c r="Z24" s="277" t="e">
        <f>-AB23*#REF!</f>
        <v>#REF!</v>
      </c>
      <c r="AA24" s="277">
        <v>0</v>
      </c>
      <c r="AB24" s="278">
        <f t="shared" si="12"/>
        <v>0</v>
      </c>
      <c r="AC24" s="1694"/>
      <c r="AD24" s="1694"/>
      <c r="AE24" s="1694"/>
      <c r="AG24" s="1709"/>
      <c r="AH24" s="1709"/>
      <c r="AI24" s="1709"/>
      <c r="AK24" s="276">
        <f t="shared" si="19"/>
        <v>15</v>
      </c>
      <c r="AL24" s="277" t="e">
        <f t="shared" si="3"/>
        <v>#REF!</v>
      </c>
      <c r="AM24" s="277" t="e">
        <f>-AO23*#REF!</f>
        <v>#REF!</v>
      </c>
      <c r="AN24" s="277">
        <f t="shared" si="33"/>
        <v>0</v>
      </c>
      <c r="AO24" s="278">
        <f t="shared" si="29"/>
        <v>23437776</v>
      </c>
      <c r="AP24" s="1694"/>
      <c r="AQ24" s="1694"/>
      <c r="AR24" s="1694"/>
      <c r="AS24" s="1694"/>
      <c r="AU24" s="276">
        <f t="shared" si="21"/>
        <v>9</v>
      </c>
      <c r="AV24" s="277">
        <f t="shared" ref="AV24:AV87" si="34">AW24+AY24</f>
        <v>0</v>
      </c>
      <c r="AW24" s="277">
        <f t="shared" si="30"/>
        <v>0</v>
      </c>
      <c r="AX24" s="1491">
        <v>0</v>
      </c>
      <c r="AY24" s="277">
        <v>0</v>
      </c>
      <c r="AZ24" s="280">
        <v>23437776</v>
      </c>
      <c r="BA24" s="281">
        <f t="shared" si="22"/>
        <v>23437776</v>
      </c>
      <c r="BB24" s="350">
        <v>1.3898199999999999E-2</v>
      </c>
      <c r="BC24" s="350"/>
      <c r="BD24" s="1694"/>
      <c r="BE24" s="355"/>
      <c r="BF24" s="1694"/>
      <c r="BG24" s="1694"/>
      <c r="BI24" s="277">
        <f t="shared" si="24"/>
        <v>0</v>
      </c>
      <c r="BJ24" s="277">
        <f t="shared" si="31"/>
        <v>0</v>
      </c>
      <c r="BK24" s="277">
        <v>0</v>
      </c>
      <c r="BL24" s="280">
        <v>0</v>
      </c>
      <c r="BM24" s="281">
        <f t="shared" si="25"/>
        <v>0</v>
      </c>
      <c r="BN24" s="278"/>
      <c r="BO24" s="278"/>
      <c r="BP24" s="1694"/>
      <c r="BQ24" s="355"/>
      <c r="BR24" s="1694"/>
      <c r="BS24" s="1694"/>
      <c r="BU24" s="276"/>
      <c r="BV24" s="277">
        <f t="shared" si="26"/>
        <v>0</v>
      </c>
      <c r="BW24" s="277"/>
      <c r="BX24" s="277"/>
      <c r="BY24" s="280"/>
      <c r="BZ24" s="281">
        <f t="shared" si="27"/>
        <v>0</v>
      </c>
      <c r="CA24" s="350"/>
      <c r="CB24" s="350"/>
      <c r="CC24" s="1694"/>
      <c r="CD24" s="1476"/>
      <c r="CE24" s="1694"/>
      <c r="CF24" s="1694"/>
    </row>
    <row r="25" spans="1:84" ht="15">
      <c r="A25" s="273" t="s">
        <v>513</v>
      </c>
      <c r="B25" s="274">
        <v>2016</v>
      </c>
      <c r="C25" s="1503">
        <v>42552</v>
      </c>
      <c r="D25" s="274"/>
      <c r="E25" s="275">
        <f t="shared" si="20"/>
        <v>23437776</v>
      </c>
      <c r="F25" s="276">
        <f t="shared" si="16"/>
        <v>16</v>
      </c>
      <c r="G25" s="277" t="e">
        <f t="shared" si="9"/>
        <v>#REF!</v>
      </c>
      <c r="H25" s="277" t="e">
        <f>-ROUNDDOWN(J24*#REF!,0)</f>
        <v>#REF!</v>
      </c>
      <c r="I25" s="277">
        <v>0</v>
      </c>
      <c r="J25" s="278">
        <f t="shared" si="10"/>
        <v>160000000</v>
      </c>
      <c r="K25" s="1694"/>
      <c r="L25" s="1694"/>
      <c r="M25" s="1694"/>
      <c r="O25" s="276">
        <f t="shared" si="17"/>
        <v>16</v>
      </c>
      <c r="P25" s="277" t="e">
        <f t="shared" si="1"/>
        <v>#REF!</v>
      </c>
      <c r="Q25" s="277" t="e">
        <f>-S24*#REF!</f>
        <v>#REF!</v>
      </c>
      <c r="R25" s="277">
        <v>0</v>
      </c>
      <c r="S25" s="278">
        <f>S24+R25+127500000</f>
        <v>255000000</v>
      </c>
      <c r="T25" s="1694"/>
      <c r="U25" s="1694"/>
      <c r="V25" s="1694"/>
      <c r="X25" s="276">
        <f t="shared" si="18"/>
        <v>16</v>
      </c>
      <c r="Y25" s="277" t="e">
        <f t="shared" si="2"/>
        <v>#REF!</v>
      </c>
      <c r="Z25" s="277" t="e">
        <f>-AB24*#REF!</f>
        <v>#REF!</v>
      </c>
      <c r="AA25" s="277">
        <v>0</v>
      </c>
      <c r="AB25" s="278">
        <f t="shared" si="12"/>
        <v>0</v>
      </c>
      <c r="AC25" s="1694"/>
      <c r="AD25" s="1694"/>
      <c r="AE25" s="1694"/>
      <c r="AG25" s="1709"/>
      <c r="AH25" s="1709"/>
      <c r="AI25" s="1709"/>
      <c r="AK25" s="276">
        <f t="shared" si="19"/>
        <v>16</v>
      </c>
      <c r="AL25" s="277" t="e">
        <f t="shared" si="3"/>
        <v>#REF!</v>
      </c>
      <c r="AM25" s="277" t="e">
        <f>-AO24*#REF!</f>
        <v>#REF!</v>
      </c>
      <c r="AN25" s="277">
        <f t="shared" si="33"/>
        <v>0</v>
      </c>
      <c r="AO25" s="278">
        <f t="shared" si="29"/>
        <v>23437776</v>
      </c>
      <c r="AP25" s="1694"/>
      <c r="AQ25" s="1694"/>
      <c r="AR25" s="1694"/>
      <c r="AS25" s="1694"/>
      <c r="AU25" s="276">
        <f t="shared" si="21"/>
        <v>10</v>
      </c>
      <c r="AV25" s="349">
        <f t="shared" si="34"/>
        <v>-26405.26</v>
      </c>
      <c r="AW25" s="349">
        <v>-26405.26</v>
      </c>
      <c r="AX25" s="1508">
        <v>0</v>
      </c>
      <c r="AY25" s="277">
        <v>0</v>
      </c>
      <c r="AZ25" s="280">
        <v>0</v>
      </c>
      <c r="BA25" s="281">
        <f t="shared" si="22"/>
        <v>23437776</v>
      </c>
      <c r="BB25" s="350">
        <f>BB24</f>
        <v>1.3898199999999999E-2</v>
      </c>
      <c r="BC25" s="350"/>
      <c r="BD25" s="1694"/>
      <c r="BE25" s="355"/>
      <c r="BF25" s="1694"/>
      <c r="BG25" s="1694"/>
      <c r="BI25" s="349">
        <v>0</v>
      </c>
      <c r="BJ25" s="349">
        <v>0</v>
      </c>
      <c r="BK25" s="277">
        <v>0</v>
      </c>
      <c r="BL25" s="280">
        <v>0</v>
      </c>
      <c r="BM25" s="281">
        <f t="shared" si="25"/>
        <v>0</v>
      </c>
      <c r="BN25" s="278"/>
      <c r="BO25" s="278"/>
      <c r="BP25" s="1694"/>
      <c r="BQ25" s="355"/>
      <c r="BR25" s="1694"/>
      <c r="BS25" s="1694"/>
      <c r="BU25" s="276"/>
      <c r="BV25" s="349">
        <f t="shared" si="26"/>
        <v>0</v>
      </c>
      <c r="BW25" s="349"/>
      <c r="BX25" s="277"/>
      <c r="BY25" s="280"/>
      <c r="BZ25" s="281">
        <f t="shared" si="27"/>
        <v>0</v>
      </c>
      <c r="CA25" s="350"/>
      <c r="CB25" s="350"/>
      <c r="CC25" s="1694"/>
      <c r="CD25" s="1476"/>
      <c r="CE25" s="1694"/>
      <c r="CF25" s="1694"/>
    </row>
    <row r="26" spans="1:84" ht="15">
      <c r="A26" s="273" t="s">
        <v>514</v>
      </c>
      <c r="B26" s="274">
        <v>2016</v>
      </c>
      <c r="C26" s="1503">
        <v>42583</v>
      </c>
      <c r="D26" s="274"/>
      <c r="E26" s="275">
        <f t="shared" si="20"/>
        <v>23437776</v>
      </c>
      <c r="F26" s="276">
        <f t="shared" si="16"/>
        <v>17</v>
      </c>
      <c r="G26" s="277" t="e">
        <f t="shared" si="9"/>
        <v>#REF!</v>
      </c>
      <c r="H26" s="277" t="e">
        <f>-ROUNDDOWN(J25*#REF!,0)</f>
        <v>#REF!</v>
      </c>
      <c r="I26" s="277">
        <v>0</v>
      </c>
      <c r="J26" s="278">
        <f t="shared" si="10"/>
        <v>160000000</v>
      </c>
      <c r="K26" s="1694"/>
      <c r="L26" s="1694"/>
      <c r="M26" s="1694"/>
      <c r="O26" s="276">
        <f t="shared" si="17"/>
        <v>17</v>
      </c>
      <c r="P26" s="277" t="e">
        <f t="shared" si="1"/>
        <v>#REF!</v>
      </c>
      <c r="Q26" s="277" t="e">
        <f>-S25*#REF!</f>
        <v>#REF!</v>
      </c>
      <c r="R26" s="277">
        <v>0</v>
      </c>
      <c r="S26" s="278">
        <f t="shared" si="11"/>
        <v>255000000</v>
      </c>
      <c r="T26" s="1694"/>
      <c r="U26" s="1694"/>
      <c r="V26" s="1694"/>
      <c r="X26" s="276">
        <f t="shared" si="18"/>
        <v>17</v>
      </c>
      <c r="Y26" s="277" t="e">
        <f t="shared" si="2"/>
        <v>#REF!</v>
      </c>
      <c r="Z26" s="277" t="e">
        <f>-AB25*#REF!</f>
        <v>#REF!</v>
      </c>
      <c r="AA26" s="277">
        <v>0</v>
      </c>
      <c r="AB26" s="278">
        <f t="shared" si="12"/>
        <v>0</v>
      </c>
      <c r="AC26" s="1694"/>
      <c r="AD26" s="1694"/>
      <c r="AE26" s="1694"/>
      <c r="AG26" s="1709"/>
      <c r="AH26" s="1709"/>
      <c r="AI26" s="1709"/>
      <c r="AK26" s="276">
        <f t="shared" si="19"/>
        <v>17</v>
      </c>
      <c r="AL26" s="277" t="e">
        <f t="shared" si="3"/>
        <v>#REF!</v>
      </c>
      <c r="AM26" s="277" t="e">
        <f>-AO25*#REF!</f>
        <v>#REF!</v>
      </c>
      <c r="AN26" s="277">
        <f t="shared" si="33"/>
        <v>0</v>
      </c>
      <c r="AO26" s="278">
        <f t="shared" si="29"/>
        <v>23437776</v>
      </c>
      <c r="AP26" s="1694"/>
      <c r="AQ26" s="1694"/>
      <c r="AR26" s="1694"/>
      <c r="AS26" s="1694"/>
      <c r="AU26" s="276">
        <f t="shared" si="21"/>
        <v>11</v>
      </c>
      <c r="AV26" s="349">
        <f t="shared" si="34"/>
        <v>-29450.73</v>
      </c>
      <c r="AW26" s="349">
        <v>-29450.73</v>
      </c>
      <c r="AX26" s="1508">
        <v>0</v>
      </c>
      <c r="AY26" s="277">
        <v>0</v>
      </c>
      <c r="AZ26" s="280">
        <v>0</v>
      </c>
      <c r="BA26" s="281">
        <f t="shared" si="22"/>
        <v>23437776</v>
      </c>
      <c r="BB26" s="350">
        <v>1.3964300000000001E-2</v>
      </c>
      <c r="BC26" s="350"/>
      <c r="BD26" s="1694"/>
      <c r="BE26" s="355"/>
      <c r="BF26" s="1694"/>
      <c r="BG26" s="1694"/>
      <c r="BI26" s="349">
        <v>0</v>
      </c>
      <c r="BJ26" s="349">
        <v>0</v>
      </c>
      <c r="BK26" s="277">
        <v>0</v>
      </c>
      <c r="BL26" s="280">
        <v>0</v>
      </c>
      <c r="BM26" s="281">
        <f t="shared" si="25"/>
        <v>0</v>
      </c>
      <c r="BN26" s="278"/>
      <c r="BO26" s="278"/>
      <c r="BP26" s="1694"/>
      <c r="BQ26" s="355"/>
      <c r="BR26" s="1694"/>
      <c r="BS26" s="1694"/>
      <c r="BU26" s="276"/>
      <c r="BV26" s="349">
        <f t="shared" si="26"/>
        <v>0</v>
      </c>
      <c r="BW26" s="349"/>
      <c r="BX26" s="277"/>
      <c r="BY26" s="280"/>
      <c r="BZ26" s="281">
        <f t="shared" si="27"/>
        <v>0</v>
      </c>
      <c r="CA26" s="350"/>
      <c r="CB26" s="350"/>
      <c r="CC26" s="1694"/>
      <c r="CD26" s="1476"/>
      <c r="CE26" s="1694"/>
      <c r="CF26" s="1694"/>
    </row>
    <row r="27" spans="1:84" ht="15">
      <c r="A27" s="273" t="s">
        <v>515</v>
      </c>
      <c r="B27" s="274">
        <v>2016</v>
      </c>
      <c r="C27" s="1503">
        <v>42614</v>
      </c>
      <c r="D27" s="274"/>
      <c r="E27" s="275">
        <f t="shared" si="20"/>
        <v>54190776</v>
      </c>
      <c r="F27" s="276">
        <f t="shared" si="16"/>
        <v>18</v>
      </c>
      <c r="G27" s="277" t="e">
        <f t="shared" si="9"/>
        <v>#REF!</v>
      </c>
      <c r="H27" s="277" t="e">
        <f>-ROUNDDOWN(J26*#REF!,0)</f>
        <v>#REF!</v>
      </c>
      <c r="I27" s="277">
        <v>0</v>
      </c>
      <c r="J27" s="278">
        <f t="shared" si="10"/>
        <v>160000000</v>
      </c>
      <c r="K27" s="1694"/>
      <c r="L27" s="1694"/>
      <c r="M27" s="1694"/>
      <c r="O27" s="276">
        <f t="shared" si="17"/>
        <v>18</v>
      </c>
      <c r="P27" s="277" t="e">
        <f t="shared" si="1"/>
        <v>#REF!</v>
      </c>
      <c r="Q27" s="277" t="e">
        <f>-S26*#REF!</f>
        <v>#REF!</v>
      </c>
      <c r="R27" s="277">
        <v>0</v>
      </c>
      <c r="S27" s="278">
        <f t="shared" si="11"/>
        <v>255000000</v>
      </c>
      <c r="T27" s="1694"/>
      <c r="U27" s="1694"/>
      <c r="V27" s="1694"/>
      <c r="X27" s="276">
        <f t="shared" si="18"/>
        <v>18</v>
      </c>
      <c r="Y27" s="277" t="e">
        <f t="shared" si="2"/>
        <v>#REF!</v>
      </c>
      <c r="Z27" s="277" t="e">
        <f>-AB26*#REF!</f>
        <v>#REF!</v>
      </c>
      <c r="AA27" s="277">
        <v>0</v>
      </c>
      <c r="AB27" s="278">
        <f t="shared" si="12"/>
        <v>0</v>
      </c>
      <c r="AC27" s="1694"/>
      <c r="AD27" s="1694"/>
      <c r="AE27" s="1694"/>
      <c r="AG27" s="1709"/>
      <c r="AH27" s="1709"/>
      <c r="AI27" s="1709"/>
      <c r="AK27" s="276">
        <f t="shared" si="19"/>
        <v>18</v>
      </c>
      <c r="AL27" s="277" t="e">
        <f t="shared" si="3"/>
        <v>#REF!</v>
      </c>
      <c r="AM27" s="277" t="e">
        <f>-AO26*#REF!</f>
        <v>#REF!</v>
      </c>
      <c r="AN27" s="277">
        <f t="shared" si="33"/>
        <v>0</v>
      </c>
      <c r="AO27" s="278">
        <f t="shared" si="29"/>
        <v>54190776</v>
      </c>
      <c r="AP27" s="1694"/>
      <c r="AQ27" s="1694"/>
      <c r="AR27" s="1694"/>
      <c r="AS27" s="1694"/>
      <c r="AU27" s="276">
        <f t="shared" si="21"/>
        <v>12</v>
      </c>
      <c r="AV27" s="349">
        <f t="shared" si="34"/>
        <v>-27797.41</v>
      </c>
      <c r="AW27" s="349">
        <v>-27797.41</v>
      </c>
      <c r="AX27" s="1508">
        <v>0</v>
      </c>
      <c r="AY27" s="277">
        <v>0</v>
      </c>
      <c r="AZ27" s="280">
        <v>30753000</v>
      </c>
      <c r="BA27" s="281">
        <f t="shared" si="22"/>
        <v>54190776</v>
      </c>
      <c r="BB27" s="350">
        <v>1.41896E-2</v>
      </c>
      <c r="BC27" s="350"/>
      <c r="BD27" s="1694"/>
      <c r="BE27" s="355"/>
      <c r="BF27" s="1694"/>
      <c r="BG27" s="1694"/>
      <c r="BI27" s="349">
        <v>0</v>
      </c>
      <c r="BJ27" s="349">
        <v>0</v>
      </c>
      <c r="BK27" s="277">
        <v>0</v>
      </c>
      <c r="BL27" s="280">
        <v>0</v>
      </c>
      <c r="BM27" s="281">
        <f t="shared" si="25"/>
        <v>0</v>
      </c>
      <c r="BN27" s="278"/>
      <c r="BO27" s="278"/>
      <c r="BP27" s="1694"/>
      <c r="BQ27" s="355"/>
      <c r="BR27" s="1694"/>
      <c r="BS27" s="1694"/>
      <c r="BU27" s="276"/>
      <c r="BV27" s="349">
        <f t="shared" si="26"/>
        <v>0</v>
      </c>
      <c r="BW27" s="349"/>
      <c r="BX27" s="277"/>
      <c r="BY27" s="280"/>
      <c r="BZ27" s="281">
        <f t="shared" si="27"/>
        <v>0</v>
      </c>
      <c r="CA27" s="350"/>
      <c r="CB27" s="350"/>
      <c r="CC27" s="1694"/>
      <c r="CD27" s="1476"/>
      <c r="CE27" s="1694"/>
      <c r="CF27" s="1694"/>
    </row>
    <row r="28" spans="1:84" ht="15">
      <c r="A28" s="273" t="s">
        <v>516</v>
      </c>
      <c r="B28" s="274">
        <v>2016</v>
      </c>
      <c r="C28" s="1503">
        <v>42644</v>
      </c>
      <c r="D28" s="274"/>
      <c r="E28" s="275">
        <f t="shared" si="20"/>
        <v>54190776</v>
      </c>
      <c r="F28" s="276">
        <f t="shared" si="16"/>
        <v>19</v>
      </c>
      <c r="G28" s="277" t="e">
        <f t="shared" si="9"/>
        <v>#REF!</v>
      </c>
      <c r="H28" s="277" t="e">
        <f>-ROUNDDOWN(J27*#REF!,0)</f>
        <v>#REF!</v>
      </c>
      <c r="I28" s="277">
        <v>0</v>
      </c>
      <c r="J28" s="278">
        <f t="shared" si="10"/>
        <v>160000000</v>
      </c>
      <c r="K28" s="1694"/>
      <c r="L28" s="1694"/>
      <c r="M28" s="1694"/>
      <c r="O28" s="276">
        <f t="shared" si="17"/>
        <v>19</v>
      </c>
      <c r="P28" s="277" t="e">
        <f t="shared" si="1"/>
        <v>#REF!</v>
      </c>
      <c r="Q28" s="277" t="e">
        <f>-S27*#REF!</f>
        <v>#REF!</v>
      </c>
      <c r="R28" s="277">
        <v>0</v>
      </c>
      <c r="S28" s="278">
        <f>S27+R28+127500000</f>
        <v>382500000</v>
      </c>
      <c r="T28" s="1694"/>
      <c r="U28" s="1694"/>
      <c r="V28" s="1694"/>
      <c r="X28" s="276">
        <f t="shared" si="18"/>
        <v>19</v>
      </c>
      <c r="Y28" s="277" t="e">
        <f t="shared" si="2"/>
        <v>#REF!</v>
      </c>
      <c r="Z28" s="277" t="e">
        <f>-AB27*#REF!</f>
        <v>#REF!</v>
      </c>
      <c r="AA28" s="277">
        <v>0</v>
      </c>
      <c r="AB28" s="278">
        <f t="shared" si="12"/>
        <v>0</v>
      </c>
      <c r="AC28" s="1694"/>
      <c r="AD28" s="1694"/>
      <c r="AE28" s="1694"/>
      <c r="AG28" s="1709"/>
      <c r="AH28" s="1709"/>
      <c r="AI28" s="1709"/>
      <c r="AK28" s="276">
        <f t="shared" si="19"/>
        <v>19</v>
      </c>
      <c r="AL28" s="277" t="e">
        <f t="shared" si="3"/>
        <v>#REF!</v>
      </c>
      <c r="AM28" s="277" t="e">
        <f>-AO27*#REF!</f>
        <v>#REF!</v>
      </c>
      <c r="AN28" s="277">
        <f t="shared" si="33"/>
        <v>0</v>
      </c>
      <c r="AO28" s="278">
        <f t="shared" si="29"/>
        <v>54190776</v>
      </c>
      <c r="AP28" s="1694"/>
      <c r="AQ28" s="1694"/>
      <c r="AR28" s="1694"/>
      <c r="AS28" s="1694"/>
      <c r="AU28" s="276">
        <f t="shared" si="21"/>
        <v>13</v>
      </c>
      <c r="AV28" s="349">
        <f t="shared" si="34"/>
        <v>-66237.86</v>
      </c>
      <c r="AW28" s="349">
        <f>-29157.06-37080.8</f>
        <v>-66237.86</v>
      </c>
      <c r="AX28" s="1508">
        <v>0</v>
      </c>
      <c r="AY28" s="277">
        <v>0</v>
      </c>
      <c r="AZ28" s="280">
        <v>0</v>
      </c>
      <c r="BA28" s="281">
        <f t="shared" si="22"/>
        <v>54190776</v>
      </c>
      <c r="BB28" s="350">
        <v>1.44143E-2</v>
      </c>
      <c r="BC28" s="350"/>
      <c r="BD28" s="1694"/>
      <c r="BE28" s="355"/>
      <c r="BF28" s="1694"/>
      <c r="BG28" s="1694"/>
      <c r="BI28" s="349">
        <v>0</v>
      </c>
      <c r="BJ28" s="349">
        <v>0</v>
      </c>
      <c r="BK28" s="277">
        <v>0</v>
      </c>
      <c r="BL28" s="280">
        <v>0</v>
      </c>
      <c r="BM28" s="281">
        <f t="shared" si="25"/>
        <v>0</v>
      </c>
      <c r="BN28" s="278"/>
      <c r="BO28" s="278"/>
      <c r="BP28" s="1694"/>
      <c r="BQ28" s="355"/>
      <c r="BR28" s="1694"/>
      <c r="BS28" s="1694"/>
      <c r="BU28" s="276"/>
      <c r="BV28" s="349">
        <f t="shared" si="26"/>
        <v>0</v>
      </c>
      <c r="BW28" s="349"/>
      <c r="BX28" s="277"/>
      <c r="BY28" s="280"/>
      <c r="BZ28" s="281">
        <f t="shared" si="27"/>
        <v>0</v>
      </c>
      <c r="CA28" s="350"/>
      <c r="CB28" s="350"/>
      <c r="CC28" s="1694"/>
      <c r="CD28" s="1476"/>
      <c r="CE28" s="1694"/>
      <c r="CF28" s="1694"/>
    </row>
    <row r="29" spans="1:84" ht="15">
      <c r="A29" s="273" t="s">
        <v>517</v>
      </c>
      <c r="B29" s="274">
        <v>2016</v>
      </c>
      <c r="C29" s="1503">
        <v>42675</v>
      </c>
      <c r="D29" s="274"/>
      <c r="E29" s="275">
        <f t="shared" si="20"/>
        <v>54190776</v>
      </c>
      <c r="F29" s="276">
        <f t="shared" si="16"/>
        <v>20</v>
      </c>
      <c r="G29" s="277" t="e">
        <f t="shared" si="9"/>
        <v>#REF!</v>
      </c>
      <c r="H29" s="277" t="e">
        <f>-ROUNDDOWN(J28*#REF!,0)</f>
        <v>#REF!</v>
      </c>
      <c r="I29" s="277">
        <v>0</v>
      </c>
      <c r="J29" s="278">
        <f t="shared" si="10"/>
        <v>160000000</v>
      </c>
      <c r="K29" s="1694"/>
      <c r="L29" s="1694"/>
      <c r="M29" s="1694"/>
      <c r="O29" s="276">
        <f t="shared" si="17"/>
        <v>20</v>
      </c>
      <c r="P29" s="277" t="e">
        <f t="shared" si="1"/>
        <v>#REF!</v>
      </c>
      <c r="Q29" s="277" t="e">
        <f>-S28*#REF!</f>
        <v>#REF!</v>
      </c>
      <c r="R29" s="277">
        <v>0</v>
      </c>
      <c r="S29" s="278">
        <f t="shared" si="11"/>
        <v>382500000</v>
      </c>
      <c r="T29" s="1694"/>
      <c r="U29" s="1694"/>
      <c r="V29" s="1694"/>
      <c r="X29" s="276">
        <f t="shared" si="18"/>
        <v>20</v>
      </c>
      <c r="Y29" s="277" t="e">
        <f t="shared" si="2"/>
        <v>#REF!</v>
      </c>
      <c r="Z29" s="277" t="e">
        <f>-AB28*#REF!</f>
        <v>#REF!</v>
      </c>
      <c r="AA29" s="277">
        <v>0</v>
      </c>
      <c r="AB29" s="278">
        <f t="shared" si="12"/>
        <v>0</v>
      </c>
      <c r="AC29" s="1694"/>
      <c r="AD29" s="1694"/>
      <c r="AE29" s="1694"/>
      <c r="AG29" s="1709"/>
      <c r="AH29" s="1709"/>
      <c r="AI29" s="1709"/>
      <c r="AK29" s="276">
        <f t="shared" si="19"/>
        <v>20</v>
      </c>
      <c r="AL29" s="277" t="e">
        <f t="shared" si="3"/>
        <v>#REF!</v>
      </c>
      <c r="AM29" s="277" t="e">
        <f>-AO28*#REF!</f>
        <v>#REF!</v>
      </c>
      <c r="AN29" s="277">
        <f t="shared" si="33"/>
        <v>0</v>
      </c>
      <c r="AO29" s="278">
        <f t="shared" si="29"/>
        <v>54190776</v>
      </c>
      <c r="AP29" s="1694"/>
      <c r="AQ29" s="1694"/>
      <c r="AR29" s="1694"/>
      <c r="AS29" s="1694"/>
      <c r="AU29" s="276">
        <f t="shared" si="21"/>
        <v>14</v>
      </c>
      <c r="AV29" s="349">
        <f t="shared" si="34"/>
        <v>-66341.88</v>
      </c>
      <c r="AW29" s="349">
        <v>-66341.88</v>
      </c>
      <c r="AX29" s="1508">
        <v>0</v>
      </c>
      <c r="AY29" s="277">
        <v>0</v>
      </c>
      <c r="AZ29" s="280">
        <v>0</v>
      </c>
      <c r="BA29" s="281">
        <f t="shared" si="22"/>
        <v>54190776</v>
      </c>
      <c r="BB29" s="350">
        <v>1.52643E-2</v>
      </c>
      <c r="BC29" s="350"/>
      <c r="BD29" s="1694"/>
      <c r="BE29" s="355"/>
      <c r="BF29" s="1694"/>
      <c r="BG29" s="1694"/>
      <c r="BI29" s="349">
        <v>0</v>
      </c>
      <c r="BJ29" s="349">
        <v>0</v>
      </c>
      <c r="BK29" s="277">
        <v>0</v>
      </c>
      <c r="BL29" s="280">
        <v>0</v>
      </c>
      <c r="BM29" s="281">
        <f t="shared" si="25"/>
        <v>0</v>
      </c>
      <c r="BN29" s="278"/>
      <c r="BO29" s="278"/>
      <c r="BP29" s="1694"/>
      <c r="BQ29" s="355"/>
      <c r="BR29" s="1694"/>
      <c r="BS29" s="1694"/>
      <c r="BU29" s="276"/>
      <c r="BV29" s="349">
        <f t="shared" si="26"/>
        <v>0</v>
      </c>
      <c r="BW29" s="349"/>
      <c r="BX29" s="277"/>
      <c r="BY29" s="280"/>
      <c r="BZ29" s="281">
        <f t="shared" si="27"/>
        <v>0</v>
      </c>
      <c r="CA29" s="350"/>
      <c r="CB29" s="350"/>
      <c r="CC29" s="1694"/>
      <c r="CD29" s="1476"/>
      <c r="CE29" s="1694"/>
      <c r="CF29" s="1694"/>
    </row>
    <row r="30" spans="1:84" ht="15">
      <c r="A30" s="273" t="s">
        <v>518</v>
      </c>
      <c r="B30" s="274">
        <v>2016</v>
      </c>
      <c r="C30" s="1503">
        <v>42705</v>
      </c>
      <c r="D30" s="274"/>
      <c r="E30" s="275">
        <f t="shared" si="20"/>
        <v>107148302</v>
      </c>
      <c r="F30" s="276">
        <f t="shared" si="16"/>
        <v>21</v>
      </c>
      <c r="G30" s="277" t="e">
        <f t="shared" si="9"/>
        <v>#REF!</v>
      </c>
      <c r="H30" s="277" t="e">
        <f>-ROUNDDOWN(J29*#REF!,0)</f>
        <v>#REF!</v>
      </c>
      <c r="I30" s="277">
        <v>0</v>
      </c>
      <c r="J30" s="278">
        <f t="shared" si="10"/>
        <v>160000000</v>
      </c>
      <c r="K30" s="1694"/>
      <c r="L30" s="1694"/>
      <c r="M30" s="1694"/>
      <c r="O30" s="276">
        <f t="shared" si="17"/>
        <v>21</v>
      </c>
      <c r="P30" s="277" t="e">
        <f t="shared" si="1"/>
        <v>#REF!</v>
      </c>
      <c r="Q30" s="277" t="e">
        <f>-S29*#REF!</f>
        <v>#REF!</v>
      </c>
      <c r="R30" s="277">
        <v>0</v>
      </c>
      <c r="S30" s="278">
        <f t="shared" si="11"/>
        <v>382500000</v>
      </c>
      <c r="T30" s="1694"/>
      <c r="U30" s="1694"/>
      <c r="V30" s="1694"/>
      <c r="X30" s="276">
        <f t="shared" si="18"/>
        <v>21</v>
      </c>
      <c r="Y30" s="277" t="e">
        <f t="shared" si="2"/>
        <v>#REF!</v>
      </c>
      <c r="Z30" s="277" t="e">
        <f>-AB29*#REF!</f>
        <v>#REF!</v>
      </c>
      <c r="AA30" s="277">
        <v>0</v>
      </c>
      <c r="AB30" s="278">
        <f t="shared" si="12"/>
        <v>0</v>
      </c>
      <c r="AC30" s="1694"/>
      <c r="AD30" s="1694"/>
      <c r="AE30" s="1694"/>
      <c r="AG30" s="1709"/>
      <c r="AH30" s="1709"/>
      <c r="AI30" s="1709"/>
      <c r="AK30" s="276">
        <f t="shared" si="19"/>
        <v>21</v>
      </c>
      <c r="AL30" s="277" t="e">
        <f t="shared" si="3"/>
        <v>#REF!</v>
      </c>
      <c r="AM30" s="277" t="e">
        <f>-AO29*#REF!</f>
        <v>#REF!</v>
      </c>
      <c r="AN30" s="277">
        <f t="shared" si="33"/>
        <v>0</v>
      </c>
      <c r="AO30" s="278">
        <f t="shared" si="29"/>
        <v>107148302</v>
      </c>
      <c r="AP30" s="1694"/>
      <c r="AQ30" s="1694"/>
      <c r="AR30" s="1694"/>
      <c r="AS30" s="1694"/>
      <c r="AU30" s="276">
        <f t="shared" si="21"/>
        <v>15</v>
      </c>
      <c r="AV30" s="349">
        <f t="shared" si="34"/>
        <v>-77052.78</v>
      </c>
      <c r="AW30" s="349">
        <v>-77052.78</v>
      </c>
      <c r="AX30" s="1508">
        <v>0</v>
      </c>
      <c r="AY30" s="277">
        <v>0</v>
      </c>
      <c r="AZ30" s="280">
        <v>52957526</v>
      </c>
      <c r="BA30" s="281">
        <f t="shared" si="22"/>
        <v>107148302</v>
      </c>
      <c r="BB30" s="350">
        <v>1.87464E-2</v>
      </c>
      <c r="BC30" s="350"/>
      <c r="BD30" s="1694"/>
      <c r="BE30" s="355"/>
      <c r="BF30" s="1694"/>
      <c r="BG30" s="1694"/>
      <c r="BI30" s="349">
        <v>0</v>
      </c>
      <c r="BJ30" s="349">
        <v>0</v>
      </c>
      <c r="BK30" s="277">
        <v>0</v>
      </c>
      <c r="BL30" s="280">
        <v>0</v>
      </c>
      <c r="BM30" s="281">
        <f t="shared" si="25"/>
        <v>0</v>
      </c>
      <c r="BN30" s="278"/>
      <c r="BO30" s="278"/>
      <c r="BP30" s="1694"/>
      <c r="BQ30" s="355"/>
      <c r="BR30" s="1694"/>
      <c r="BS30" s="1694"/>
      <c r="BU30" s="276"/>
      <c r="BV30" s="349">
        <f t="shared" si="26"/>
        <v>0</v>
      </c>
      <c r="BW30" s="349"/>
      <c r="BX30" s="277"/>
      <c r="BY30" s="280"/>
      <c r="BZ30" s="281">
        <f t="shared" si="27"/>
        <v>0</v>
      </c>
      <c r="CA30" s="350"/>
      <c r="CB30" s="350"/>
      <c r="CC30" s="1694"/>
      <c r="CD30" s="1476"/>
      <c r="CE30" s="1694"/>
      <c r="CF30" s="1694"/>
    </row>
    <row r="31" spans="1:84" ht="15">
      <c r="A31" s="273" t="s">
        <v>519</v>
      </c>
      <c r="B31" s="274">
        <v>2017</v>
      </c>
      <c r="C31" s="1503">
        <v>42736</v>
      </c>
      <c r="D31" s="274"/>
      <c r="E31" s="275">
        <f t="shared" si="20"/>
        <v>107148302</v>
      </c>
      <c r="F31" s="276">
        <f t="shared" si="16"/>
        <v>22</v>
      </c>
      <c r="G31" s="277" t="e">
        <f t="shared" si="9"/>
        <v>#REF!</v>
      </c>
      <c r="H31" s="277" t="e">
        <f>-ROUNDDOWN(J30*#REF!,0)</f>
        <v>#REF!</v>
      </c>
      <c r="I31" s="277">
        <v>0</v>
      </c>
      <c r="J31" s="278">
        <f t="shared" si="10"/>
        <v>160000000</v>
      </c>
      <c r="K31" s="1694"/>
      <c r="L31" s="1694"/>
      <c r="M31" s="1694"/>
      <c r="O31" s="276">
        <f t="shared" si="17"/>
        <v>22</v>
      </c>
      <c r="P31" s="277" t="e">
        <f t="shared" si="1"/>
        <v>#REF!</v>
      </c>
      <c r="Q31" s="277" t="e">
        <f>-S30*#REF!</f>
        <v>#REF!</v>
      </c>
      <c r="R31" s="277">
        <v>0</v>
      </c>
      <c r="S31" s="278">
        <f>S30+R31+127500000</f>
        <v>510000000</v>
      </c>
      <c r="T31" s="1694"/>
      <c r="U31" s="1694"/>
      <c r="V31" s="1694"/>
      <c r="X31" s="276">
        <f t="shared" si="18"/>
        <v>22</v>
      </c>
      <c r="Y31" s="277" t="e">
        <f t="shared" si="2"/>
        <v>#REF!</v>
      </c>
      <c r="Z31" s="277" t="e">
        <f>-AB30*#REF!</f>
        <v>#REF!</v>
      </c>
      <c r="AA31" s="277">
        <v>0</v>
      </c>
      <c r="AB31" s="278">
        <f t="shared" si="12"/>
        <v>0</v>
      </c>
      <c r="AC31" s="1694"/>
      <c r="AD31" s="1694"/>
      <c r="AE31" s="1694"/>
      <c r="AG31" s="1709"/>
      <c r="AH31" s="1709"/>
      <c r="AI31" s="1709"/>
      <c r="AK31" s="276">
        <f t="shared" si="19"/>
        <v>22</v>
      </c>
      <c r="AL31" s="277" t="e">
        <f t="shared" si="3"/>
        <v>#REF!</v>
      </c>
      <c r="AM31" s="277" t="e">
        <f>-AO30*#REF!</f>
        <v>#REF!</v>
      </c>
      <c r="AN31" s="277">
        <f t="shared" si="33"/>
        <v>0</v>
      </c>
      <c r="AO31" s="278">
        <f t="shared" si="29"/>
        <v>107148302</v>
      </c>
      <c r="AP31" s="1694"/>
      <c r="AQ31" s="1694"/>
      <c r="AR31" s="1694"/>
      <c r="AS31" s="1694"/>
      <c r="AU31" s="276">
        <f t="shared" si="21"/>
        <v>16</v>
      </c>
      <c r="AV31" s="349">
        <f t="shared" si="34"/>
        <v>-165094.10999999999</v>
      </c>
      <c r="AW31" s="349">
        <f>-83497.15-81596.96</f>
        <v>-165094.10999999999</v>
      </c>
      <c r="AX31" s="1508">
        <v>0</v>
      </c>
      <c r="AY31" s="277">
        <v>0</v>
      </c>
      <c r="AZ31" s="280">
        <v>0</v>
      </c>
      <c r="BA31" s="281">
        <f t="shared" si="22"/>
        <v>107148302</v>
      </c>
      <c r="BB31" s="350">
        <v>1.7425E-2</v>
      </c>
      <c r="BC31" s="350"/>
      <c r="BD31" s="1694"/>
      <c r="BE31" s="355"/>
      <c r="BF31" s="1694"/>
      <c r="BG31" s="1694"/>
      <c r="BI31" s="349">
        <v>0</v>
      </c>
      <c r="BJ31" s="349">
        <v>0</v>
      </c>
      <c r="BK31" s="277">
        <v>0</v>
      </c>
      <c r="BL31" s="280">
        <v>0</v>
      </c>
      <c r="BM31" s="281">
        <f t="shared" si="25"/>
        <v>0</v>
      </c>
      <c r="BN31" s="278"/>
      <c r="BO31" s="278"/>
      <c r="BP31" s="1694"/>
      <c r="BQ31" s="355"/>
      <c r="BR31" s="1694"/>
      <c r="BS31" s="1694"/>
      <c r="BU31" s="276"/>
      <c r="BV31" s="349">
        <f t="shared" si="26"/>
        <v>0</v>
      </c>
      <c r="BW31" s="349"/>
      <c r="BX31" s="277"/>
      <c r="BY31" s="280"/>
      <c r="BZ31" s="281">
        <f t="shared" si="27"/>
        <v>0</v>
      </c>
      <c r="CA31" s="350"/>
      <c r="CB31" s="350"/>
      <c r="CC31" s="1694"/>
      <c r="CD31" s="1476"/>
      <c r="CE31" s="1694"/>
      <c r="CF31" s="1694"/>
    </row>
    <row r="32" spans="1:84" ht="15">
      <c r="A32" s="273" t="s">
        <v>520</v>
      </c>
      <c r="B32" s="274">
        <v>2017</v>
      </c>
      <c r="C32" s="1503">
        <v>42767</v>
      </c>
      <c r="D32" s="274"/>
      <c r="E32" s="275">
        <f t="shared" si="20"/>
        <v>156873302</v>
      </c>
      <c r="F32" s="276">
        <f t="shared" si="16"/>
        <v>23</v>
      </c>
      <c r="G32" s="277" t="e">
        <f t="shared" si="9"/>
        <v>#REF!</v>
      </c>
      <c r="H32" s="277" t="e">
        <f>-ROUNDDOWN(J31*#REF!,0)</f>
        <v>#REF!</v>
      </c>
      <c r="I32" s="277">
        <v>0</v>
      </c>
      <c r="J32" s="278">
        <f t="shared" si="10"/>
        <v>160000000</v>
      </c>
      <c r="K32" s="1694"/>
      <c r="L32" s="1694"/>
      <c r="M32" s="1694"/>
      <c r="O32" s="276">
        <f t="shared" si="17"/>
        <v>23</v>
      </c>
      <c r="P32" s="277" t="e">
        <f t="shared" si="1"/>
        <v>#REF!</v>
      </c>
      <c r="Q32" s="277" t="e">
        <f>-S31*#REF!</f>
        <v>#REF!</v>
      </c>
      <c r="R32" s="277">
        <v>0</v>
      </c>
      <c r="S32" s="278">
        <f t="shared" si="11"/>
        <v>510000000</v>
      </c>
      <c r="T32" s="1694"/>
      <c r="U32" s="1694"/>
      <c r="V32" s="1694"/>
      <c r="X32" s="276">
        <f t="shared" si="18"/>
        <v>23</v>
      </c>
      <c r="Y32" s="277" t="e">
        <f t="shared" si="2"/>
        <v>#REF!</v>
      </c>
      <c r="Z32" s="277" t="e">
        <f>-AB31*#REF!</f>
        <v>#REF!</v>
      </c>
      <c r="AA32" s="277">
        <v>0</v>
      </c>
      <c r="AB32" s="278">
        <f t="shared" si="12"/>
        <v>0</v>
      </c>
      <c r="AC32" s="1694"/>
      <c r="AD32" s="1694"/>
      <c r="AE32" s="1694"/>
      <c r="AG32" s="1709"/>
      <c r="AH32" s="1709"/>
      <c r="AI32" s="1709"/>
      <c r="AK32" s="276">
        <f t="shared" si="19"/>
        <v>23</v>
      </c>
      <c r="AL32" s="277" t="e">
        <f t="shared" si="3"/>
        <v>#REF!</v>
      </c>
      <c r="AM32" s="277" t="e">
        <f>-AO31*#REF!</f>
        <v>#REF!</v>
      </c>
      <c r="AN32" s="277">
        <f t="shared" si="33"/>
        <v>0</v>
      </c>
      <c r="AO32" s="278">
        <f t="shared" si="29"/>
        <v>156873302</v>
      </c>
      <c r="AP32" s="1694"/>
      <c r="AQ32" s="1694"/>
      <c r="AR32" s="1694"/>
      <c r="AS32" s="1694"/>
      <c r="AU32" s="276">
        <f t="shared" si="21"/>
        <v>17</v>
      </c>
      <c r="AV32" s="349">
        <f t="shared" si="34"/>
        <v>-158572.15</v>
      </c>
      <c r="AW32" s="349">
        <v>-158572.15</v>
      </c>
      <c r="AX32" s="1508">
        <v>0</v>
      </c>
      <c r="AY32" s="277">
        <v>0</v>
      </c>
      <c r="AZ32" s="280">
        <v>49725000</v>
      </c>
      <c r="BA32" s="281">
        <f t="shared" si="22"/>
        <v>156873302</v>
      </c>
      <c r="BB32" s="350">
        <v>1.6182100000000001E-2</v>
      </c>
      <c r="BC32" s="350"/>
      <c r="BD32" s="1694"/>
      <c r="BE32" s="355"/>
      <c r="BF32" s="1694"/>
      <c r="BG32" s="1694"/>
      <c r="BI32" s="349">
        <v>0</v>
      </c>
      <c r="BJ32" s="349">
        <v>0</v>
      </c>
      <c r="BK32" s="277">
        <v>0</v>
      </c>
      <c r="BL32" s="280">
        <v>0</v>
      </c>
      <c r="BM32" s="281">
        <f t="shared" si="25"/>
        <v>0</v>
      </c>
      <c r="BN32" s="278"/>
      <c r="BO32" s="278"/>
      <c r="BP32" s="1694"/>
      <c r="BQ32" s="355"/>
      <c r="BR32" s="1694"/>
      <c r="BS32" s="1694"/>
      <c r="BU32" s="276"/>
      <c r="BV32" s="349">
        <f t="shared" si="26"/>
        <v>0</v>
      </c>
      <c r="BW32" s="349"/>
      <c r="BX32" s="277"/>
      <c r="BY32" s="280"/>
      <c r="BZ32" s="281">
        <f t="shared" si="27"/>
        <v>0</v>
      </c>
      <c r="CA32" s="350"/>
      <c r="CB32" s="350"/>
      <c r="CC32" s="1694"/>
      <c r="CD32" s="1476"/>
      <c r="CE32" s="1694"/>
      <c r="CF32" s="1694"/>
    </row>
    <row r="33" spans="1:84" ht="15">
      <c r="A33" s="273" t="s">
        <v>521</v>
      </c>
      <c r="B33" s="274">
        <v>2017</v>
      </c>
      <c r="C33" s="1503">
        <v>42795</v>
      </c>
      <c r="D33" s="274"/>
      <c r="E33" s="275">
        <f t="shared" si="20"/>
        <v>156873302</v>
      </c>
      <c r="F33" s="276">
        <f t="shared" si="16"/>
        <v>24</v>
      </c>
      <c r="G33" s="277" t="e">
        <f t="shared" si="9"/>
        <v>#REF!</v>
      </c>
      <c r="H33" s="277" t="e">
        <f>-ROUNDDOWN(J32*#REF!,0)</f>
        <v>#REF!</v>
      </c>
      <c r="I33" s="277">
        <v>0</v>
      </c>
      <c r="J33" s="278">
        <f t="shared" si="10"/>
        <v>160000000</v>
      </c>
      <c r="K33" s="1694"/>
      <c r="L33" s="1694"/>
      <c r="M33" s="1694"/>
      <c r="O33" s="276">
        <f t="shared" si="17"/>
        <v>24</v>
      </c>
      <c r="P33" s="277" t="e">
        <f t="shared" si="1"/>
        <v>#REF!</v>
      </c>
      <c r="Q33" s="277" t="e">
        <f>-S32*#REF!</f>
        <v>#REF!</v>
      </c>
      <c r="R33" s="277">
        <v>0</v>
      </c>
      <c r="S33" s="278">
        <f t="shared" si="11"/>
        <v>510000000</v>
      </c>
      <c r="T33" s="1694"/>
      <c r="U33" s="1694"/>
      <c r="V33" s="1694"/>
      <c r="X33" s="276">
        <f t="shared" si="18"/>
        <v>24</v>
      </c>
      <c r="Y33" s="277" t="e">
        <f t="shared" si="2"/>
        <v>#REF!</v>
      </c>
      <c r="Z33" s="277" t="e">
        <f>-AB32*#REF!</f>
        <v>#REF!</v>
      </c>
      <c r="AA33" s="277">
        <v>0</v>
      </c>
      <c r="AB33" s="278">
        <f t="shared" si="12"/>
        <v>0</v>
      </c>
      <c r="AC33" s="1694"/>
      <c r="AD33" s="1694"/>
      <c r="AE33" s="1694"/>
      <c r="AG33" s="1709"/>
      <c r="AH33" s="1709"/>
      <c r="AI33" s="1709"/>
      <c r="AK33" s="276">
        <f t="shared" si="19"/>
        <v>24</v>
      </c>
      <c r="AL33" s="277" t="e">
        <f t="shared" si="3"/>
        <v>#REF!</v>
      </c>
      <c r="AM33" s="277" t="e">
        <f>-AO32*#REF!</f>
        <v>#REF!</v>
      </c>
      <c r="AN33" s="277">
        <f t="shared" si="33"/>
        <v>0</v>
      </c>
      <c r="AO33" s="278">
        <f t="shared" si="29"/>
        <v>156873302</v>
      </c>
      <c r="AP33" s="1694"/>
      <c r="AQ33" s="1694"/>
      <c r="AR33" s="1694"/>
      <c r="AS33" s="1694"/>
      <c r="AU33" s="276">
        <f t="shared" si="21"/>
        <v>18</v>
      </c>
      <c r="AV33" s="349">
        <f t="shared" si="34"/>
        <v>-194737.27000000002</v>
      </c>
      <c r="AW33" s="349">
        <f>-133010.32-61726.95</f>
        <v>-194737.27000000002</v>
      </c>
      <c r="AX33" s="1508">
        <v>0</v>
      </c>
      <c r="AY33" s="277">
        <v>0</v>
      </c>
      <c r="AZ33" s="280">
        <v>0</v>
      </c>
      <c r="BA33" s="281">
        <f t="shared" si="22"/>
        <v>156873302</v>
      </c>
      <c r="BB33" s="350">
        <v>1.5946399999999999E-2</v>
      </c>
      <c r="BC33" s="350"/>
      <c r="BD33" s="1694"/>
      <c r="BE33" s="355"/>
      <c r="BF33" s="1694"/>
      <c r="BG33" s="1694"/>
      <c r="BI33" s="349">
        <v>0</v>
      </c>
      <c r="BJ33" s="349">
        <v>0</v>
      </c>
      <c r="BK33" s="277">
        <v>0</v>
      </c>
      <c r="BL33" s="280">
        <v>0</v>
      </c>
      <c r="BM33" s="281">
        <f t="shared" si="25"/>
        <v>0</v>
      </c>
      <c r="BN33" s="278"/>
      <c r="BO33" s="278"/>
      <c r="BP33" s="1694"/>
      <c r="BQ33" s="355"/>
      <c r="BR33" s="1694"/>
      <c r="BS33" s="1694"/>
      <c r="BU33" s="276"/>
      <c r="BV33" s="349">
        <f t="shared" si="26"/>
        <v>0</v>
      </c>
      <c r="BW33" s="349"/>
      <c r="BX33" s="277"/>
      <c r="BY33" s="280"/>
      <c r="BZ33" s="281">
        <f t="shared" si="27"/>
        <v>0</v>
      </c>
      <c r="CA33" s="350"/>
      <c r="CB33" s="350"/>
      <c r="CC33" s="1694"/>
      <c r="CD33" s="1476"/>
      <c r="CE33" s="1694"/>
      <c r="CF33" s="1694"/>
    </row>
    <row r="34" spans="1:84" ht="15">
      <c r="A34" s="270" t="s">
        <v>510</v>
      </c>
      <c r="B34" s="266">
        <v>2017</v>
      </c>
      <c r="C34" s="1504">
        <v>42826</v>
      </c>
      <c r="D34" s="266"/>
      <c r="E34" s="265">
        <f t="shared" si="20"/>
        <v>156873302</v>
      </c>
      <c r="F34" s="267">
        <f t="shared" si="16"/>
        <v>25</v>
      </c>
      <c r="G34" s="268" t="e">
        <f t="shared" si="9"/>
        <v>#REF!</v>
      </c>
      <c r="H34" s="268" t="e">
        <f>-ROUNDDOWN(J33*#REF!,0)</f>
        <v>#REF!</v>
      </c>
      <c r="I34" s="268">
        <v>0</v>
      </c>
      <c r="J34" s="269">
        <f t="shared" si="10"/>
        <v>160000000</v>
      </c>
      <c r="K34" s="1695" t="s">
        <v>2</v>
      </c>
      <c r="L34" s="1695" t="e">
        <f>SUM(H34:H45)</f>
        <v>#REF!</v>
      </c>
      <c r="M34" s="1695">
        <f>SUM(I34:I45)</f>
        <v>0</v>
      </c>
      <c r="O34" s="267">
        <f t="shared" si="17"/>
        <v>25</v>
      </c>
      <c r="P34" s="268" t="e">
        <f t="shared" si="1"/>
        <v>#REF!</v>
      </c>
      <c r="Q34" s="268" t="e">
        <f>-S33*#REF!</f>
        <v>#REF!</v>
      </c>
      <c r="R34" s="268">
        <v>0</v>
      </c>
      <c r="S34" s="269">
        <f t="shared" si="11"/>
        <v>510000000</v>
      </c>
      <c r="T34" s="1695" t="s">
        <v>2</v>
      </c>
      <c r="U34" s="1695" t="e">
        <f>SUM(Q34:Q45)</f>
        <v>#REF!</v>
      </c>
      <c r="V34" s="1695">
        <f>SUM(R34:R45)</f>
        <v>0</v>
      </c>
      <c r="X34" s="267">
        <f t="shared" si="18"/>
        <v>25</v>
      </c>
      <c r="Y34" s="268" t="e">
        <f t="shared" si="2"/>
        <v>#REF!</v>
      </c>
      <c r="Z34" s="268" t="e">
        <f>-AB33*#REF!</f>
        <v>#REF!</v>
      </c>
      <c r="AA34" s="268">
        <v>0</v>
      </c>
      <c r="AB34" s="269">
        <v>170000000</v>
      </c>
      <c r="AC34" s="1695" t="s">
        <v>2</v>
      </c>
      <c r="AD34" s="1695" t="e">
        <f>SUM(Z34:Z45)</f>
        <v>#REF!</v>
      </c>
      <c r="AE34" s="1695">
        <f>SUM(AA34:AA45)</f>
        <v>0</v>
      </c>
      <c r="AG34" s="1710" t="s">
        <v>2</v>
      </c>
      <c r="AH34" s="1710" t="e">
        <f>L34+U34+AD34</f>
        <v>#REF!</v>
      </c>
      <c r="AI34" s="1710">
        <f>M34+V34+AE34</f>
        <v>0</v>
      </c>
      <c r="AK34" s="267">
        <f t="shared" si="19"/>
        <v>25</v>
      </c>
      <c r="AL34" s="268" t="e">
        <f t="shared" si="3"/>
        <v>#REF!</v>
      </c>
      <c r="AM34" s="268" t="e">
        <f>-AO33*#REF!</f>
        <v>#REF!</v>
      </c>
      <c r="AN34" s="268">
        <f>$AR$34/12</f>
        <v>0</v>
      </c>
      <c r="AO34" s="269">
        <f t="shared" si="29"/>
        <v>156873302</v>
      </c>
      <c r="AP34" s="1695" t="s">
        <v>2</v>
      </c>
      <c r="AQ34" s="1695" t="e">
        <f>SUM(AM34:AM45)</f>
        <v>#REF!</v>
      </c>
      <c r="AR34" s="1695">
        <v>0</v>
      </c>
      <c r="AS34" s="1695">
        <v>0</v>
      </c>
      <c r="AU34" s="267">
        <f t="shared" si="21"/>
        <v>19</v>
      </c>
      <c r="AV34" s="348">
        <f t="shared" si="34"/>
        <v>-212461.64</v>
      </c>
      <c r="AW34" s="348">
        <v>-212461.64</v>
      </c>
      <c r="AX34" s="1509">
        <v>0</v>
      </c>
      <c r="AY34" s="268">
        <v>0</v>
      </c>
      <c r="AZ34" s="268">
        <v>0</v>
      </c>
      <c r="BA34" s="352">
        <f t="shared" si="22"/>
        <v>156873302</v>
      </c>
      <c r="BB34" s="351">
        <v>1.5338600000000001E-2</v>
      </c>
      <c r="BC34" s="351"/>
      <c r="BD34" s="1695" t="s">
        <v>2</v>
      </c>
      <c r="BE34" s="354"/>
      <c r="BF34" s="1695">
        <f>SUM(AW34:AW45)</f>
        <v>-5101353.7700000005</v>
      </c>
      <c r="BG34" s="1695">
        <f>SUM(AY34:AZ45)</f>
        <v>301818000</v>
      </c>
      <c r="BI34" s="348">
        <f t="shared" si="24"/>
        <v>0</v>
      </c>
      <c r="BJ34" s="348">
        <v>0</v>
      </c>
      <c r="BK34" s="268">
        <v>0</v>
      </c>
      <c r="BL34" s="268">
        <v>0</v>
      </c>
      <c r="BM34" s="352">
        <f t="shared" si="25"/>
        <v>0</v>
      </c>
      <c r="BN34" s="269"/>
      <c r="BO34" s="269"/>
      <c r="BP34" s="1695" t="s">
        <v>2</v>
      </c>
      <c r="BQ34" s="354"/>
      <c r="BR34" s="1695">
        <f>SUM(BJ34:BJ45)</f>
        <v>0</v>
      </c>
      <c r="BS34" s="1695">
        <f>SUM(BK34:BL45)</f>
        <v>0</v>
      </c>
      <c r="BU34" s="267"/>
      <c r="BV34" s="348">
        <f t="shared" si="26"/>
        <v>0</v>
      </c>
      <c r="BW34" s="348"/>
      <c r="BX34" s="268"/>
      <c r="BY34" s="268"/>
      <c r="BZ34" s="352">
        <f t="shared" si="27"/>
        <v>0</v>
      </c>
      <c r="CA34" s="351"/>
      <c r="CB34" s="351"/>
      <c r="CC34" s="1695" t="s">
        <v>2</v>
      </c>
      <c r="CD34" s="1478"/>
      <c r="CE34" s="1695">
        <f>SUM(BW34:BW45)</f>
        <v>0</v>
      </c>
      <c r="CF34" s="1695">
        <f>SUM(BX34:BY45)</f>
        <v>0</v>
      </c>
    </row>
    <row r="35" spans="1:84" ht="15">
      <c r="A35" s="270" t="s">
        <v>511</v>
      </c>
      <c r="B35" s="266">
        <v>2017</v>
      </c>
      <c r="C35" s="1504">
        <v>42856</v>
      </c>
      <c r="D35" s="266"/>
      <c r="E35" s="265">
        <f t="shared" si="20"/>
        <v>213429302</v>
      </c>
      <c r="F35" s="267">
        <f t="shared" si="16"/>
        <v>26</v>
      </c>
      <c r="G35" s="268" t="e">
        <f t="shared" si="9"/>
        <v>#REF!</v>
      </c>
      <c r="H35" s="268" t="e">
        <f>-ROUNDDOWN(J34*#REF!,0)</f>
        <v>#REF!</v>
      </c>
      <c r="I35" s="268">
        <v>0</v>
      </c>
      <c r="J35" s="269">
        <f t="shared" si="10"/>
        <v>160000000</v>
      </c>
      <c r="K35" s="1695"/>
      <c r="L35" s="1695"/>
      <c r="M35" s="1695"/>
      <c r="O35" s="267">
        <f t="shared" si="17"/>
        <v>26</v>
      </c>
      <c r="P35" s="268" t="e">
        <f t="shared" si="1"/>
        <v>#REF!</v>
      </c>
      <c r="Q35" s="268" t="e">
        <f>-S34*#REF!</f>
        <v>#REF!</v>
      </c>
      <c r="R35" s="268">
        <v>0</v>
      </c>
      <c r="S35" s="269">
        <f t="shared" si="11"/>
        <v>510000000</v>
      </c>
      <c r="T35" s="1695"/>
      <c r="U35" s="1695"/>
      <c r="V35" s="1695"/>
      <c r="X35" s="267">
        <f t="shared" si="18"/>
        <v>26</v>
      </c>
      <c r="Y35" s="268" t="e">
        <f t="shared" si="2"/>
        <v>#REF!</v>
      </c>
      <c r="Z35" s="268" t="e">
        <f>-AB34*#REF!</f>
        <v>#REF!</v>
      </c>
      <c r="AA35" s="268">
        <v>0</v>
      </c>
      <c r="AB35" s="269">
        <f t="shared" si="12"/>
        <v>170000000</v>
      </c>
      <c r="AC35" s="1695"/>
      <c r="AD35" s="1695"/>
      <c r="AE35" s="1695"/>
      <c r="AG35" s="1710"/>
      <c r="AH35" s="1710"/>
      <c r="AI35" s="1710"/>
      <c r="AK35" s="267">
        <f t="shared" si="19"/>
        <v>26</v>
      </c>
      <c r="AL35" s="268" t="e">
        <f t="shared" si="3"/>
        <v>#REF!</v>
      </c>
      <c r="AM35" s="268" t="e">
        <f>-AO34*#REF!</f>
        <v>#REF!</v>
      </c>
      <c r="AN35" s="268">
        <f t="shared" ref="AN35:AN45" si="35">$AR$34/12</f>
        <v>0</v>
      </c>
      <c r="AO35" s="269">
        <f t="shared" si="29"/>
        <v>213429302</v>
      </c>
      <c r="AP35" s="1695"/>
      <c r="AQ35" s="1695"/>
      <c r="AR35" s="1695"/>
      <c r="AS35" s="1695"/>
      <c r="AU35" s="267">
        <f t="shared" si="21"/>
        <v>20</v>
      </c>
      <c r="AV35" s="348">
        <f t="shared" si="34"/>
        <v>-210956</v>
      </c>
      <c r="AW35" s="348">
        <v>-210956</v>
      </c>
      <c r="AX35" s="1509">
        <v>0</v>
      </c>
      <c r="AY35" s="268">
        <v>0</v>
      </c>
      <c r="AZ35" s="348">
        <v>56556000</v>
      </c>
      <c r="BA35" s="352">
        <f t="shared" si="22"/>
        <v>213429302</v>
      </c>
      <c r="BB35" s="351">
        <v>1.57143E-2</v>
      </c>
      <c r="BC35" s="351"/>
      <c r="BD35" s="1695"/>
      <c r="BE35" s="354"/>
      <c r="BF35" s="1695"/>
      <c r="BG35" s="1695"/>
      <c r="BI35" s="348">
        <f t="shared" si="24"/>
        <v>0</v>
      </c>
      <c r="BJ35" s="348">
        <v>0</v>
      </c>
      <c r="BK35" s="268">
        <v>0</v>
      </c>
      <c r="BL35" s="268">
        <v>0</v>
      </c>
      <c r="BM35" s="352">
        <f t="shared" si="25"/>
        <v>0</v>
      </c>
      <c r="BN35" s="269"/>
      <c r="BO35" s="269"/>
      <c r="BP35" s="1695"/>
      <c r="BQ35" s="354"/>
      <c r="BR35" s="1695"/>
      <c r="BS35" s="1695"/>
      <c r="BU35" s="267"/>
      <c r="BV35" s="348">
        <f t="shared" si="26"/>
        <v>0</v>
      </c>
      <c r="BW35" s="348"/>
      <c r="BX35" s="268"/>
      <c r="BY35" s="348"/>
      <c r="BZ35" s="352">
        <f t="shared" si="27"/>
        <v>0</v>
      </c>
      <c r="CA35" s="351"/>
      <c r="CB35" s="351"/>
      <c r="CC35" s="1695"/>
      <c r="CD35" s="1478"/>
      <c r="CE35" s="1695"/>
      <c r="CF35" s="1695"/>
    </row>
    <row r="36" spans="1:84" ht="15">
      <c r="A36" s="270" t="s">
        <v>512</v>
      </c>
      <c r="B36" s="266">
        <v>2017</v>
      </c>
      <c r="C36" s="1504">
        <v>42887</v>
      </c>
      <c r="D36" s="266"/>
      <c r="E36" s="265">
        <f t="shared" si="20"/>
        <v>213429302</v>
      </c>
      <c r="F36" s="267">
        <f t="shared" si="16"/>
        <v>27</v>
      </c>
      <c r="G36" s="268" t="e">
        <f t="shared" si="9"/>
        <v>#REF!</v>
      </c>
      <c r="H36" s="268" t="e">
        <f>-ROUNDDOWN(J35*#REF!,0)</f>
        <v>#REF!</v>
      </c>
      <c r="I36" s="268">
        <v>0</v>
      </c>
      <c r="J36" s="269">
        <f t="shared" si="10"/>
        <v>160000000</v>
      </c>
      <c r="K36" s="1695"/>
      <c r="L36" s="1695"/>
      <c r="M36" s="1695"/>
      <c r="O36" s="267">
        <f t="shared" si="17"/>
        <v>27</v>
      </c>
      <c r="P36" s="268" t="e">
        <f t="shared" si="1"/>
        <v>#REF!</v>
      </c>
      <c r="Q36" s="268" t="e">
        <f>-S35*#REF!</f>
        <v>#REF!</v>
      </c>
      <c r="R36" s="268">
        <v>0</v>
      </c>
      <c r="S36" s="269">
        <f t="shared" si="11"/>
        <v>510000000</v>
      </c>
      <c r="T36" s="1695"/>
      <c r="U36" s="1695"/>
      <c r="V36" s="1695"/>
      <c r="X36" s="267">
        <f t="shared" si="18"/>
        <v>27</v>
      </c>
      <c r="Y36" s="268" t="e">
        <f t="shared" si="2"/>
        <v>#REF!</v>
      </c>
      <c r="Z36" s="268" t="e">
        <f>-AB35*#REF!</f>
        <v>#REF!</v>
      </c>
      <c r="AA36" s="268">
        <v>0</v>
      </c>
      <c r="AB36" s="269">
        <f t="shared" si="12"/>
        <v>170000000</v>
      </c>
      <c r="AC36" s="1695"/>
      <c r="AD36" s="1695"/>
      <c r="AE36" s="1695"/>
      <c r="AG36" s="1710"/>
      <c r="AH36" s="1710"/>
      <c r="AI36" s="1710"/>
      <c r="AK36" s="267">
        <f t="shared" si="19"/>
        <v>27</v>
      </c>
      <c r="AL36" s="268" t="e">
        <f t="shared" si="3"/>
        <v>#REF!</v>
      </c>
      <c r="AM36" s="268" t="e">
        <f>-AO35*#REF!</f>
        <v>#REF!</v>
      </c>
      <c r="AN36" s="268">
        <f t="shared" si="35"/>
        <v>0</v>
      </c>
      <c r="AO36" s="269">
        <f t="shared" si="29"/>
        <v>213429302</v>
      </c>
      <c r="AP36" s="1695"/>
      <c r="AQ36" s="1695"/>
      <c r="AR36" s="1695"/>
      <c r="AS36" s="1695"/>
      <c r="AU36" s="267">
        <f t="shared" si="21"/>
        <v>21</v>
      </c>
      <c r="AV36" s="348">
        <f t="shared" si="34"/>
        <v>-273456.55</v>
      </c>
      <c r="AW36" s="348">
        <f>-200994.11-72462.44</f>
        <v>-273456.55</v>
      </c>
      <c r="AX36" s="1509">
        <v>0</v>
      </c>
      <c r="AY36" s="268">
        <v>0</v>
      </c>
      <c r="AZ36" s="268">
        <v>0</v>
      </c>
      <c r="BA36" s="352">
        <f t="shared" si="22"/>
        <v>213429302</v>
      </c>
      <c r="BB36" s="351">
        <v>1.6113200000000001E-2</v>
      </c>
      <c r="BC36" s="351"/>
      <c r="BD36" s="1695"/>
      <c r="BE36" s="354"/>
      <c r="BF36" s="1695"/>
      <c r="BG36" s="1695"/>
      <c r="BI36" s="348">
        <f t="shared" si="24"/>
        <v>0</v>
      </c>
      <c r="BJ36" s="348">
        <v>0</v>
      </c>
      <c r="BK36" s="268">
        <v>0</v>
      </c>
      <c r="BL36" s="268">
        <v>0</v>
      </c>
      <c r="BM36" s="352">
        <f t="shared" si="25"/>
        <v>0</v>
      </c>
      <c r="BN36" s="269"/>
      <c r="BO36" s="269"/>
      <c r="BP36" s="1695"/>
      <c r="BQ36" s="354"/>
      <c r="BR36" s="1695"/>
      <c r="BS36" s="1695"/>
      <c r="BU36" s="267"/>
      <c r="BV36" s="348">
        <f t="shared" si="26"/>
        <v>0</v>
      </c>
      <c r="BW36" s="348"/>
      <c r="BX36" s="268"/>
      <c r="BY36" s="268"/>
      <c r="BZ36" s="352">
        <f t="shared" si="27"/>
        <v>0</v>
      </c>
      <c r="CA36" s="351"/>
      <c r="CB36" s="351"/>
      <c r="CC36" s="1695"/>
      <c r="CD36" s="1478"/>
      <c r="CE36" s="1695"/>
      <c r="CF36" s="1695"/>
    </row>
    <row r="37" spans="1:84" ht="15">
      <c r="A37" s="270" t="s">
        <v>513</v>
      </c>
      <c r="B37" s="266">
        <v>2017</v>
      </c>
      <c r="C37" s="1504">
        <v>42917</v>
      </c>
      <c r="D37" s="266"/>
      <c r="E37" s="265">
        <f t="shared" si="20"/>
        <v>213429302</v>
      </c>
      <c r="F37" s="267">
        <f t="shared" si="16"/>
        <v>28</v>
      </c>
      <c r="G37" s="268" t="e">
        <f t="shared" si="9"/>
        <v>#REF!</v>
      </c>
      <c r="H37" s="268" t="e">
        <f>-ROUNDDOWN(J36*#REF!,0)</f>
        <v>#REF!</v>
      </c>
      <c r="I37" s="268">
        <v>0</v>
      </c>
      <c r="J37" s="269">
        <f t="shared" si="10"/>
        <v>160000000</v>
      </c>
      <c r="K37" s="1695"/>
      <c r="L37" s="1695"/>
      <c r="M37" s="1695"/>
      <c r="O37" s="267">
        <f t="shared" si="17"/>
        <v>28</v>
      </c>
      <c r="P37" s="268" t="e">
        <f t="shared" si="1"/>
        <v>#REF!</v>
      </c>
      <c r="Q37" s="268" t="e">
        <f>-S36*#REF!</f>
        <v>#REF!</v>
      </c>
      <c r="R37" s="268">
        <v>0</v>
      </c>
      <c r="S37" s="269">
        <f t="shared" si="11"/>
        <v>510000000</v>
      </c>
      <c r="T37" s="1695"/>
      <c r="U37" s="1695"/>
      <c r="V37" s="1695"/>
      <c r="X37" s="267">
        <f t="shared" si="18"/>
        <v>28</v>
      </c>
      <c r="Y37" s="268" t="e">
        <f t="shared" si="2"/>
        <v>#REF!</v>
      </c>
      <c r="Z37" s="268" t="e">
        <f>-AB36*#REF!</f>
        <v>#REF!</v>
      </c>
      <c r="AA37" s="268">
        <v>0</v>
      </c>
      <c r="AB37" s="269">
        <f t="shared" si="12"/>
        <v>170000000</v>
      </c>
      <c r="AC37" s="1695"/>
      <c r="AD37" s="1695"/>
      <c r="AE37" s="1695"/>
      <c r="AG37" s="1710"/>
      <c r="AH37" s="1710"/>
      <c r="AI37" s="1710"/>
      <c r="AK37" s="267">
        <f t="shared" si="19"/>
        <v>28</v>
      </c>
      <c r="AL37" s="268" t="e">
        <f t="shared" si="3"/>
        <v>#REF!</v>
      </c>
      <c r="AM37" s="268" t="e">
        <f>-AO36*#REF!</f>
        <v>#REF!</v>
      </c>
      <c r="AN37" s="268">
        <f t="shared" si="35"/>
        <v>0</v>
      </c>
      <c r="AO37" s="269">
        <f t="shared" si="29"/>
        <v>213429302</v>
      </c>
      <c r="AP37" s="1695"/>
      <c r="AQ37" s="1695"/>
      <c r="AR37" s="1695"/>
      <c r="AS37" s="1695"/>
      <c r="AU37" s="267">
        <f t="shared" si="21"/>
        <v>22</v>
      </c>
      <c r="AV37" s="348">
        <f t="shared" si="34"/>
        <v>-301503.91000000003</v>
      </c>
      <c r="AW37" s="348">
        <f>-221609.28-79894.63</f>
        <v>-301503.91000000003</v>
      </c>
      <c r="AX37" s="1509">
        <v>0</v>
      </c>
      <c r="AY37" s="268">
        <v>0</v>
      </c>
      <c r="AZ37" s="268">
        <v>0</v>
      </c>
      <c r="BA37" s="352">
        <f t="shared" si="22"/>
        <v>213429302</v>
      </c>
      <c r="BB37" s="351">
        <v>1.58832E-2</v>
      </c>
      <c r="BC37" s="351"/>
      <c r="BD37" s="1695"/>
      <c r="BE37" s="354"/>
      <c r="BF37" s="1695"/>
      <c r="BG37" s="1695"/>
      <c r="BI37" s="348">
        <f t="shared" si="24"/>
        <v>0</v>
      </c>
      <c r="BJ37" s="348">
        <v>0</v>
      </c>
      <c r="BK37" s="268">
        <v>0</v>
      </c>
      <c r="BL37" s="268">
        <v>0</v>
      </c>
      <c r="BM37" s="352">
        <f t="shared" si="25"/>
        <v>0</v>
      </c>
      <c r="BN37" s="269"/>
      <c r="BO37" s="269"/>
      <c r="BP37" s="1695"/>
      <c r="BQ37" s="354"/>
      <c r="BR37" s="1695"/>
      <c r="BS37" s="1695"/>
      <c r="BU37" s="267"/>
      <c r="BV37" s="348">
        <f t="shared" si="26"/>
        <v>0</v>
      </c>
      <c r="BW37" s="348"/>
      <c r="BX37" s="268"/>
      <c r="BY37" s="268"/>
      <c r="BZ37" s="352">
        <f t="shared" si="27"/>
        <v>0</v>
      </c>
      <c r="CA37" s="351"/>
      <c r="CB37" s="351"/>
      <c r="CC37" s="1695"/>
      <c r="CD37" s="1478"/>
      <c r="CE37" s="1695"/>
      <c r="CF37" s="1695"/>
    </row>
    <row r="38" spans="1:84" ht="15">
      <c r="A38" s="270" t="s">
        <v>514</v>
      </c>
      <c r="B38" s="266">
        <v>2017</v>
      </c>
      <c r="C38" s="1504">
        <v>42948</v>
      </c>
      <c r="D38" s="266"/>
      <c r="E38" s="265">
        <f t="shared" si="20"/>
        <v>213429302</v>
      </c>
      <c r="F38" s="267">
        <f t="shared" si="16"/>
        <v>29</v>
      </c>
      <c r="G38" s="268" t="e">
        <f t="shared" si="9"/>
        <v>#REF!</v>
      </c>
      <c r="H38" s="268" t="e">
        <f>-ROUNDDOWN(J37*#REF!,0)</f>
        <v>#REF!</v>
      </c>
      <c r="I38" s="268">
        <v>0</v>
      </c>
      <c r="J38" s="269">
        <f t="shared" si="10"/>
        <v>160000000</v>
      </c>
      <c r="K38" s="1695"/>
      <c r="L38" s="1695"/>
      <c r="M38" s="1695"/>
      <c r="O38" s="267">
        <f t="shared" si="17"/>
        <v>29</v>
      </c>
      <c r="P38" s="268" t="e">
        <f t="shared" si="1"/>
        <v>#REF!</v>
      </c>
      <c r="Q38" s="268" t="e">
        <f>-S37*#REF!</f>
        <v>#REF!</v>
      </c>
      <c r="R38" s="268">
        <v>0</v>
      </c>
      <c r="S38" s="269">
        <f t="shared" si="11"/>
        <v>510000000</v>
      </c>
      <c r="T38" s="1695"/>
      <c r="U38" s="1695"/>
      <c r="V38" s="1695"/>
      <c r="X38" s="267">
        <f t="shared" si="18"/>
        <v>29</v>
      </c>
      <c r="Y38" s="268" t="e">
        <f t="shared" si="2"/>
        <v>#REF!</v>
      </c>
      <c r="Z38" s="268" t="e">
        <f>-AB37*#REF!</f>
        <v>#REF!</v>
      </c>
      <c r="AA38" s="268">
        <v>0</v>
      </c>
      <c r="AB38" s="269">
        <f t="shared" si="12"/>
        <v>170000000</v>
      </c>
      <c r="AC38" s="1695"/>
      <c r="AD38" s="1695"/>
      <c r="AE38" s="1695"/>
      <c r="AG38" s="1710"/>
      <c r="AH38" s="1710"/>
      <c r="AI38" s="1710"/>
      <c r="AK38" s="267">
        <f t="shared" si="19"/>
        <v>29</v>
      </c>
      <c r="AL38" s="268" t="e">
        <f t="shared" si="3"/>
        <v>#REF!</v>
      </c>
      <c r="AM38" s="268" t="e">
        <f>-AO37*#REF!</f>
        <v>#REF!</v>
      </c>
      <c r="AN38" s="268">
        <f t="shared" si="35"/>
        <v>0</v>
      </c>
      <c r="AO38" s="269">
        <f t="shared" si="29"/>
        <v>213429302</v>
      </c>
      <c r="AP38" s="1695"/>
      <c r="AQ38" s="1695"/>
      <c r="AR38" s="1695"/>
      <c r="AS38" s="1695"/>
      <c r="AU38" s="267">
        <f t="shared" si="21"/>
        <v>23</v>
      </c>
      <c r="AV38" s="348">
        <f t="shared" si="34"/>
        <v>-287912.74</v>
      </c>
      <c r="AW38" s="348">
        <f>-211619.59-76293.15</f>
        <v>-287912.74</v>
      </c>
      <c r="AX38" s="1509">
        <v>0</v>
      </c>
      <c r="AY38" s="268">
        <v>0</v>
      </c>
      <c r="AZ38" s="268">
        <v>0</v>
      </c>
      <c r="BA38" s="352">
        <f t="shared" si="22"/>
        <v>213429302</v>
      </c>
      <c r="BB38" s="351">
        <f>BB37</f>
        <v>1.58832E-2</v>
      </c>
      <c r="BC38" s="351"/>
      <c r="BD38" s="1695"/>
      <c r="BE38" s="354"/>
      <c r="BF38" s="1695"/>
      <c r="BG38" s="1695"/>
      <c r="BI38" s="348">
        <f t="shared" si="24"/>
        <v>0</v>
      </c>
      <c r="BJ38" s="348">
        <v>0</v>
      </c>
      <c r="BK38" s="268">
        <v>0</v>
      </c>
      <c r="BL38" s="268">
        <v>0</v>
      </c>
      <c r="BM38" s="352">
        <f t="shared" si="25"/>
        <v>0</v>
      </c>
      <c r="BN38" s="269"/>
      <c r="BO38" s="269"/>
      <c r="BP38" s="1695"/>
      <c r="BQ38" s="354"/>
      <c r="BR38" s="1695"/>
      <c r="BS38" s="1695"/>
      <c r="BU38" s="267"/>
      <c r="BV38" s="348">
        <f t="shared" si="26"/>
        <v>0</v>
      </c>
      <c r="BW38" s="348"/>
      <c r="BX38" s="268"/>
      <c r="BY38" s="268"/>
      <c r="BZ38" s="352">
        <f t="shared" si="27"/>
        <v>0</v>
      </c>
      <c r="CA38" s="351"/>
      <c r="CB38" s="351"/>
      <c r="CC38" s="1695"/>
      <c r="CD38" s="1478"/>
      <c r="CE38" s="1695"/>
      <c r="CF38" s="1695"/>
    </row>
    <row r="39" spans="1:84" ht="15">
      <c r="A39" s="270" t="s">
        <v>515</v>
      </c>
      <c r="B39" s="266">
        <v>2017</v>
      </c>
      <c r="C39" s="1504">
        <v>42979</v>
      </c>
      <c r="D39" s="266"/>
      <c r="E39" s="265">
        <f t="shared" si="20"/>
        <v>278301302</v>
      </c>
      <c r="F39" s="267">
        <f t="shared" si="16"/>
        <v>30</v>
      </c>
      <c r="G39" s="268" t="e">
        <f t="shared" si="9"/>
        <v>#REF!</v>
      </c>
      <c r="H39" s="268" t="e">
        <f>-ROUNDDOWN(J38*#REF!,0)</f>
        <v>#REF!</v>
      </c>
      <c r="I39" s="268">
        <v>0</v>
      </c>
      <c r="J39" s="269">
        <f t="shared" si="10"/>
        <v>160000000</v>
      </c>
      <c r="K39" s="1695"/>
      <c r="L39" s="1695"/>
      <c r="M39" s="1695"/>
      <c r="O39" s="267">
        <f t="shared" si="17"/>
        <v>30</v>
      </c>
      <c r="P39" s="268" t="e">
        <f t="shared" si="1"/>
        <v>#REF!</v>
      </c>
      <c r="Q39" s="268" t="e">
        <f>-S38*#REF!</f>
        <v>#REF!</v>
      </c>
      <c r="R39" s="268">
        <v>0</v>
      </c>
      <c r="S39" s="269">
        <f t="shared" si="11"/>
        <v>510000000</v>
      </c>
      <c r="T39" s="1695"/>
      <c r="U39" s="1695"/>
      <c r="V39" s="1695"/>
      <c r="X39" s="267">
        <f t="shared" si="18"/>
        <v>30</v>
      </c>
      <c r="Y39" s="268" t="e">
        <f t="shared" si="2"/>
        <v>#REF!</v>
      </c>
      <c r="Z39" s="268" t="e">
        <f>-AB38*#REF!</f>
        <v>#REF!</v>
      </c>
      <c r="AA39" s="268">
        <v>0</v>
      </c>
      <c r="AB39" s="269">
        <f t="shared" si="12"/>
        <v>170000000</v>
      </c>
      <c r="AC39" s="1695"/>
      <c r="AD39" s="1695"/>
      <c r="AE39" s="1695"/>
      <c r="AG39" s="1710"/>
      <c r="AH39" s="1710"/>
      <c r="AI39" s="1710"/>
      <c r="AK39" s="267">
        <f t="shared" si="19"/>
        <v>30</v>
      </c>
      <c r="AL39" s="268" t="e">
        <f t="shared" si="3"/>
        <v>#REF!</v>
      </c>
      <c r="AM39" s="268" t="e">
        <f>-AO38*#REF!</f>
        <v>#REF!</v>
      </c>
      <c r="AN39" s="268">
        <f t="shared" si="35"/>
        <v>0</v>
      </c>
      <c r="AO39" s="269">
        <f t="shared" si="29"/>
        <v>278301302</v>
      </c>
      <c r="AP39" s="1695"/>
      <c r="AQ39" s="1695"/>
      <c r="AR39" s="1695"/>
      <c r="AS39" s="1695"/>
      <c r="AU39" s="267">
        <f t="shared" si="21"/>
        <v>24</v>
      </c>
      <c r="AV39" s="348">
        <f t="shared" si="34"/>
        <v>-266473.62</v>
      </c>
      <c r="AW39" s="348">
        <f>-195861.56-70612.06</f>
        <v>-266473.62</v>
      </c>
      <c r="AX39" s="1509">
        <v>0</v>
      </c>
      <c r="AY39" s="268">
        <v>0</v>
      </c>
      <c r="AZ39" s="348">
        <v>64872000</v>
      </c>
      <c r="BA39" s="352">
        <f t="shared" si="22"/>
        <v>278301302</v>
      </c>
      <c r="BB39" s="351">
        <v>1.7336600000000001E-2</v>
      </c>
      <c r="BC39" s="351"/>
      <c r="BD39" s="1695"/>
      <c r="BE39" s="354"/>
      <c r="BF39" s="1695"/>
      <c r="BG39" s="1695"/>
      <c r="BI39" s="348">
        <f t="shared" si="24"/>
        <v>0</v>
      </c>
      <c r="BJ39" s="348">
        <v>0</v>
      </c>
      <c r="BK39" s="268">
        <v>0</v>
      </c>
      <c r="BL39" s="268">
        <v>0</v>
      </c>
      <c r="BM39" s="352">
        <f t="shared" si="25"/>
        <v>0</v>
      </c>
      <c r="BN39" s="269"/>
      <c r="BO39" s="269"/>
      <c r="BP39" s="1695"/>
      <c r="BQ39" s="354"/>
      <c r="BR39" s="1695"/>
      <c r="BS39" s="1695"/>
      <c r="BU39" s="267"/>
      <c r="BV39" s="348">
        <f t="shared" si="26"/>
        <v>0</v>
      </c>
      <c r="BW39" s="348"/>
      <c r="BX39" s="268"/>
      <c r="BY39" s="348"/>
      <c r="BZ39" s="352">
        <f t="shared" si="27"/>
        <v>0</v>
      </c>
      <c r="CA39" s="351"/>
      <c r="CB39" s="351"/>
      <c r="CC39" s="1695"/>
      <c r="CD39" s="1478"/>
      <c r="CE39" s="1695"/>
      <c r="CF39" s="1695"/>
    </row>
    <row r="40" spans="1:84" ht="15">
      <c r="A40" s="270" t="s">
        <v>516</v>
      </c>
      <c r="B40" s="266">
        <v>2017</v>
      </c>
      <c r="C40" s="1504">
        <v>43009</v>
      </c>
      <c r="D40" s="266"/>
      <c r="E40" s="265">
        <f t="shared" si="20"/>
        <v>326361302</v>
      </c>
      <c r="F40" s="267">
        <f t="shared" si="16"/>
        <v>31</v>
      </c>
      <c r="G40" s="268" t="e">
        <f t="shared" si="9"/>
        <v>#REF!</v>
      </c>
      <c r="H40" s="268" t="e">
        <f>-ROUNDDOWN(J39*#REF!,0)</f>
        <v>#REF!</v>
      </c>
      <c r="I40" s="268">
        <v>0</v>
      </c>
      <c r="J40" s="269">
        <f t="shared" si="10"/>
        <v>160000000</v>
      </c>
      <c r="K40" s="1695"/>
      <c r="L40" s="1695"/>
      <c r="M40" s="1695"/>
      <c r="O40" s="267">
        <f t="shared" si="17"/>
        <v>31</v>
      </c>
      <c r="P40" s="268" t="e">
        <f t="shared" si="1"/>
        <v>#REF!</v>
      </c>
      <c r="Q40" s="268" t="e">
        <f>-S39*#REF!</f>
        <v>#REF!</v>
      </c>
      <c r="R40" s="268">
        <v>0</v>
      </c>
      <c r="S40" s="269">
        <f t="shared" si="11"/>
        <v>510000000</v>
      </c>
      <c r="T40" s="1695"/>
      <c r="U40" s="1695"/>
      <c r="V40" s="1695"/>
      <c r="X40" s="267">
        <f t="shared" si="18"/>
        <v>31</v>
      </c>
      <c r="Y40" s="268" t="e">
        <f t="shared" si="2"/>
        <v>#REF!</v>
      </c>
      <c r="Z40" s="268" t="e">
        <f>-AB39*#REF!</f>
        <v>#REF!</v>
      </c>
      <c r="AA40" s="268">
        <v>0</v>
      </c>
      <c r="AB40" s="269">
        <f t="shared" si="12"/>
        <v>170000000</v>
      </c>
      <c r="AC40" s="1695"/>
      <c r="AD40" s="1695"/>
      <c r="AE40" s="1695"/>
      <c r="AG40" s="1710"/>
      <c r="AH40" s="1710"/>
      <c r="AI40" s="1710"/>
      <c r="AK40" s="267">
        <f t="shared" si="19"/>
        <v>31</v>
      </c>
      <c r="AL40" s="268" t="e">
        <f t="shared" si="3"/>
        <v>#REF!</v>
      </c>
      <c r="AM40" s="268" t="e">
        <f>-AO39*#REF!</f>
        <v>#REF!</v>
      </c>
      <c r="AN40" s="268">
        <f t="shared" si="35"/>
        <v>0</v>
      </c>
      <c r="AO40" s="269">
        <f t="shared" si="29"/>
        <v>326361302</v>
      </c>
      <c r="AP40" s="1695"/>
      <c r="AQ40" s="1695"/>
      <c r="AR40" s="1695"/>
      <c r="AS40" s="1695"/>
      <c r="AU40" s="267">
        <f t="shared" si="21"/>
        <v>25</v>
      </c>
      <c r="AV40" s="348">
        <f t="shared" si="34"/>
        <v>-409777.4</v>
      </c>
      <c r="AW40" s="348">
        <f>-230983.95-83274.39-95519.06</f>
        <v>-409777.4</v>
      </c>
      <c r="AX40" s="1509">
        <v>0</v>
      </c>
      <c r="AY40" s="268">
        <v>0</v>
      </c>
      <c r="AZ40" s="348">
        <v>48060000</v>
      </c>
      <c r="BA40" s="352">
        <f t="shared" si="22"/>
        <v>326361302</v>
      </c>
      <c r="BB40" s="351">
        <v>1.88714E-2</v>
      </c>
      <c r="BC40" s="351"/>
      <c r="BD40" s="1695"/>
      <c r="BE40" s="354"/>
      <c r="BF40" s="1695"/>
      <c r="BG40" s="1695"/>
      <c r="BI40" s="348">
        <f t="shared" si="24"/>
        <v>0</v>
      </c>
      <c r="BJ40" s="348">
        <v>0</v>
      </c>
      <c r="BK40" s="268">
        <v>0</v>
      </c>
      <c r="BL40" s="268">
        <v>0</v>
      </c>
      <c r="BM40" s="352">
        <f t="shared" si="25"/>
        <v>0</v>
      </c>
      <c r="BN40" s="269"/>
      <c r="BO40" s="269"/>
      <c r="BP40" s="1695"/>
      <c r="BQ40" s="354"/>
      <c r="BR40" s="1695"/>
      <c r="BS40" s="1695"/>
      <c r="BU40" s="267"/>
      <c r="BV40" s="348">
        <f t="shared" si="26"/>
        <v>0</v>
      </c>
      <c r="BW40" s="348"/>
      <c r="BX40" s="268"/>
      <c r="BY40" s="348"/>
      <c r="BZ40" s="352">
        <f t="shared" si="27"/>
        <v>0</v>
      </c>
      <c r="CA40" s="351"/>
      <c r="CB40" s="351"/>
      <c r="CC40" s="1695"/>
      <c r="CD40" s="1478"/>
      <c r="CE40" s="1695"/>
      <c r="CF40" s="1695"/>
    </row>
    <row r="41" spans="1:84" ht="15">
      <c r="A41" s="270" t="s">
        <v>517</v>
      </c>
      <c r="B41" s="266">
        <v>2017</v>
      </c>
      <c r="C41" s="1504">
        <v>43040</v>
      </c>
      <c r="D41" s="266"/>
      <c r="E41" s="265">
        <f t="shared" si="20"/>
        <v>326361302</v>
      </c>
      <c r="F41" s="267">
        <f t="shared" si="16"/>
        <v>32</v>
      </c>
      <c r="G41" s="268" t="e">
        <f t="shared" si="9"/>
        <v>#REF!</v>
      </c>
      <c r="H41" s="268" t="e">
        <f>-ROUNDDOWN(J40*#REF!,0)</f>
        <v>#REF!</v>
      </c>
      <c r="I41" s="268">
        <v>0</v>
      </c>
      <c r="J41" s="269">
        <f t="shared" si="10"/>
        <v>160000000</v>
      </c>
      <c r="K41" s="1695"/>
      <c r="L41" s="1695"/>
      <c r="M41" s="1695"/>
      <c r="O41" s="267">
        <f t="shared" si="17"/>
        <v>32</v>
      </c>
      <c r="P41" s="268" t="e">
        <f t="shared" si="1"/>
        <v>#REF!</v>
      </c>
      <c r="Q41" s="268" t="e">
        <f>-S40*#REF!</f>
        <v>#REF!</v>
      </c>
      <c r="R41" s="268">
        <v>0</v>
      </c>
      <c r="S41" s="269">
        <f t="shared" si="11"/>
        <v>510000000</v>
      </c>
      <c r="T41" s="1695"/>
      <c r="U41" s="1695"/>
      <c r="V41" s="1695"/>
      <c r="X41" s="267">
        <f t="shared" si="18"/>
        <v>32</v>
      </c>
      <c r="Y41" s="268" t="e">
        <f t="shared" si="2"/>
        <v>#REF!</v>
      </c>
      <c r="Z41" s="268" t="e">
        <f>-AB40*#REF!</f>
        <v>#REF!</v>
      </c>
      <c r="AA41" s="268">
        <v>0</v>
      </c>
      <c r="AB41" s="269">
        <f t="shared" si="12"/>
        <v>170000000</v>
      </c>
      <c r="AC41" s="1695"/>
      <c r="AD41" s="1695"/>
      <c r="AE41" s="1695"/>
      <c r="AG41" s="1710"/>
      <c r="AH41" s="1710"/>
      <c r="AI41" s="1710"/>
      <c r="AK41" s="267">
        <f t="shared" si="19"/>
        <v>32</v>
      </c>
      <c r="AL41" s="268" t="e">
        <f t="shared" si="3"/>
        <v>#REF!</v>
      </c>
      <c r="AM41" s="268" t="e">
        <f>-AO40*#REF!</f>
        <v>#REF!</v>
      </c>
      <c r="AN41" s="268">
        <f t="shared" si="35"/>
        <v>0</v>
      </c>
      <c r="AO41" s="269">
        <f t="shared" si="29"/>
        <v>326361302</v>
      </c>
      <c r="AP41" s="1695"/>
      <c r="AQ41" s="1695"/>
      <c r="AR41" s="1695"/>
      <c r="AS41" s="1695"/>
      <c r="AU41" s="267">
        <f t="shared" si="21"/>
        <v>26</v>
      </c>
      <c r="AV41" s="348">
        <f t="shared" si="34"/>
        <v>-523084.21</v>
      </c>
      <c r="AW41" s="348">
        <f>-446054.77-77029.44</f>
        <v>-523084.21</v>
      </c>
      <c r="AX41" s="1509">
        <v>0</v>
      </c>
      <c r="AY41" s="268">
        <v>0</v>
      </c>
      <c r="AZ41" s="268">
        <v>0</v>
      </c>
      <c r="BA41" s="352">
        <f t="shared" si="22"/>
        <v>326361302</v>
      </c>
      <c r="BB41" s="351">
        <v>2.1489299999999999E-2</v>
      </c>
      <c r="BC41" s="351"/>
      <c r="BD41" s="1695"/>
      <c r="BE41" s="354"/>
      <c r="BF41" s="1695"/>
      <c r="BG41" s="1695"/>
      <c r="BI41" s="348">
        <f t="shared" si="24"/>
        <v>0</v>
      </c>
      <c r="BJ41" s="348">
        <v>0</v>
      </c>
      <c r="BK41" s="268">
        <v>0</v>
      </c>
      <c r="BL41" s="268">
        <v>0</v>
      </c>
      <c r="BM41" s="352">
        <f t="shared" si="25"/>
        <v>0</v>
      </c>
      <c r="BN41" s="269"/>
      <c r="BO41" s="269"/>
      <c r="BP41" s="1695"/>
      <c r="BQ41" s="354"/>
      <c r="BR41" s="1695"/>
      <c r="BS41" s="1695"/>
      <c r="BU41" s="267"/>
      <c r="BV41" s="348">
        <f t="shared" si="26"/>
        <v>0</v>
      </c>
      <c r="BW41" s="348"/>
      <c r="BX41" s="268"/>
      <c r="BY41" s="268"/>
      <c r="BZ41" s="352">
        <f t="shared" si="27"/>
        <v>0</v>
      </c>
      <c r="CA41" s="351"/>
      <c r="CB41" s="351"/>
      <c r="CC41" s="1695"/>
      <c r="CD41" s="1478"/>
      <c r="CE41" s="1695"/>
      <c r="CF41" s="1695"/>
    </row>
    <row r="42" spans="1:84" ht="15">
      <c r="A42" s="270" t="s">
        <v>518</v>
      </c>
      <c r="B42" s="266">
        <v>2017</v>
      </c>
      <c r="C42" s="1504">
        <v>43070</v>
      </c>
      <c r="D42" s="266"/>
      <c r="E42" s="265">
        <f t="shared" si="20"/>
        <v>377201302</v>
      </c>
      <c r="F42" s="267">
        <f t="shared" si="16"/>
        <v>33</v>
      </c>
      <c r="G42" s="268" t="e">
        <f t="shared" si="9"/>
        <v>#REF!</v>
      </c>
      <c r="H42" s="268" t="e">
        <f>-ROUNDDOWN(J41*#REF!,0)</f>
        <v>#REF!</v>
      </c>
      <c r="I42" s="268">
        <v>0</v>
      </c>
      <c r="J42" s="269">
        <f t="shared" si="10"/>
        <v>160000000</v>
      </c>
      <c r="K42" s="1695"/>
      <c r="L42" s="1695"/>
      <c r="M42" s="1695"/>
      <c r="O42" s="267">
        <f t="shared" si="17"/>
        <v>33</v>
      </c>
      <c r="P42" s="268" t="e">
        <f t="shared" si="1"/>
        <v>#REF!</v>
      </c>
      <c r="Q42" s="268" t="e">
        <f>-S41*#REF!</f>
        <v>#REF!</v>
      </c>
      <c r="R42" s="268">
        <v>0</v>
      </c>
      <c r="S42" s="269">
        <f t="shared" si="11"/>
        <v>510000000</v>
      </c>
      <c r="T42" s="1695"/>
      <c r="U42" s="1695"/>
      <c r="V42" s="1695"/>
      <c r="X42" s="267">
        <f t="shared" si="18"/>
        <v>33</v>
      </c>
      <c r="Y42" s="268" t="e">
        <f t="shared" si="2"/>
        <v>#REF!</v>
      </c>
      <c r="Z42" s="268" t="e">
        <f>-AB41*#REF!</f>
        <v>#REF!</v>
      </c>
      <c r="AA42" s="268">
        <v>0</v>
      </c>
      <c r="AB42" s="269">
        <f t="shared" si="12"/>
        <v>170000000</v>
      </c>
      <c r="AC42" s="1695"/>
      <c r="AD42" s="1695"/>
      <c r="AE42" s="1695"/>
      <c r="AG42" s="1710"/>
      <c r="AH42" s="1710"/>
      <c r="AI42" s="1710"/>
      <c r="AK42" s="267">
        <f t="shared" si="19"/>
        <v>33</v>
      </c>
      <c r="AL42" s="268" t="e">
        <f t="shared" si="3"/>
        <v>#REF!</v>
      </c>
      <c r="AM42" s="268" t="e">
        <f>-AO41*#REF!</f>
        <v>#REF!</v>
      </c>
      <c r="AN42" s="268">
        <f t="shared" si="35"/>
        <v>0</v>
      </c>
      <c r="AO42" s="269">
        <f t="shared" si="29"/>
        <v>377201302</v>
      </c>
      <c r="AP42" s="1695"/>
      <c r="AQ42" s="1695"/>
      <c r="AR42" s="1695"/>
      <c r="AS42" s="1695"/>
      <c r="AU42" s="267">
        <f t="shared" si="21"/>
        <v>27</v>
      </c>
      <c r="AV42" s="348">
        <f t="shared" si="34"/>
        <v>-557219.18000000005</v>
      </c>
      <c r="AW42" s="348">
        <v>-557219.18000000005</v>
      </c>
      <c r="AX42" s="1509">
        <v>0</v>
      </c>
      <c r="AY42" s="268">
        <v>0</v>
      </c>
      <c r="AZ42" s="348">
        <v>50840000</v>
      </c>
      <c r="BA42" s="352">
        <f t="shared" si="22"/>
        <v>377201302</v>
      </c>
      <c r="BB42" s="351">
        <v>2.34107E-2</v>
      </c>
      <c r="BC42" s="351"/>
      <c r="BD42" s="1695"/>
      <c r="BE42" s="354"/>
      <c r="BF42" s="1695"/>
      <c r="BG42" s="1695"/>
      <c r="BI42" s="348">
        <f t="shared" si="24"/>
        <v>0</v>
      </c>
      <c r="BJ42" s="348">
        <v>0</v>
      </c>
      <c r="BK42" s="268">
        <v>0</v>
      </c>
      <c r="BL42" s="268">
        <v>0</v>
      </c>
      <c r="BM42" s="352">
        <f t="shared" si="25"/>
        <v>0</v>
      </c>
      <c r="BN42" s="269"/>
      <c r="BO42" s="269"/>
      <c r="BP42" s="1695"/>
      <c r="BQ42" s="354"/>
      <c r="BR42" s="1695"/>
      <c r="BS42" s="1695"/>
      <c r="BU42" s="267"/>
      <c r="BV42" s="348">
        <f t="shared" si="26"/>
        <v>0</v>
      </c>
      <c r="BW42" s="348"/>
      <c r="BX42" s="268"/>
      <c r="BY42" s="348"/>
      <c r="BZ42" s="352">
        <f t="shared" si="27"/>
        <v>0</v>
      </c>
      <c r="CA42" s="351"/>
      <c r="CB42" s="351"/>
      <c r="CC42" s="1695"/>
      <c r="CD42" s="1478"/>
      <c r="CE42" s="1695"/>
      <c r="CF42" s="1695"/>
    </row>
    <row r="43" spans="1:84" ht="15">
      <c r="A43" s="270" t="s">
        <v>519</v>
      </c>
      <c r="B43" s="266">
        <v>2018</v>
      </c>
      <c r="C43" s="1504">
        <v>43101</v>
      </c>
      <c r="D43" s="266"/>
      <c r="E43" s="265">
        <f t="shared" si="20"/>
        <v>416421302</v>
      </c>
      <c r="F43" s="267">
        <f t="shared" si="16"/>
        <v>34</v>
      </c>
      <c r="G43" s="268" t="e">
        <f t="shared" si="9"/>
        <v>#REF!</v>
      </c>
      <c r="H43" s="268" t="e">
        <f>-ROUNDDOWN(J42*#REF!,0)</f>
        <v>#REF!</v>
      </c>
      <c r="I43" s="268">
        <v>0</v>
      </c>
      <c r="J43" s="269">
        <f t="shared" si="10"/>
        <v>160000000</v>
      </c>
      <c r="K43" s="1695"/>
      <c r="L43" s="1695"/>
      <c r="M43" s="1695"/>
      <c r="O43" s="267">
        <f t="shared" si="17"/>
        <v>34</v>
      </c>
      <c r="P43" s="268" t="e">
        <f t="shared" si="1"/>
        <v>#REF!</v>
      </c>
      <c r="Q43" s="268" t="e">
        <f>-S42*#REF!</f>
        <v>#REF!</v>
      </c>
      <c r="R43" s="268">
        <v>0</v>
      </c>
      <c r="S43" s="269">
        <f t="shared" si="11"/>
        <v>510000000</v>
      </c>
      <c r="T43" s="1695"/>
      <c r="U43" s="1695"/>
      <c r="V43" s="1695"/>
      <c r="X43" s="267">
        <f t="shared" si="18"/>
        <v>34</v>
      </c>
      <c r="Y43" s="268" t="e">
        <f t="shared" si="2"/>
        <v>#REF!</v>
      </c>
      <c r="Z43" s="268" t="e">
        <f>-AB42*#REF!</f>
        <v>#REF!</v>
      </c>
      <c r="AA43" s="268">
        <v>0</v>
      </c>
      <c r="AB43" s="269">
        <f t="shared" si="12"/>
        <v>170000000</v>
      </c>
      <c r="AC43" s="1695"/>
      <c r="AD43" s="1695"/>
      <c r="AE43" s="1695"/>
      <c r="AG43" s="1710"/>
      <c r="AH43" s="1710"/>
      <c r="AI43" s="1710"/>
      <c r="AK43" s="267">
        <f t="shared" si="19"/>
        <v>34</v>
      </c>
      <c r="AL43" s="268" t="e">
        <f t="shared" si="3"/>
        <v>#REF!</v>
      </c>
      <c r="AM43" s="268" t="e">
        <f>-AO42*#REF!</f>
        <v>#REF!</v>
      </c>
      <c r="AN43" s="268">
        <f t="shared" si="35"/>
        <v>0</v>
      </c>
      <c r="AO43" s="269">
        <f t="shared" si="29"/>
        <v>416421302</v>
      </c>
      <c r="AP43" s="1695"/>
      <c r="AQ43" s="1695"/>
      <c r="AR43" s="1695"/>
      <c r="AS43" s="1695"/>
      <c r="AU43" s="267">
        <f t="shared" si="21"/>
        <v>28</v>
      </c>
      <c r="AV43" s="348">
        <f t="shared" si="34"/>
        <v>-749991.62</v>
      </c>
      <c r="AW43" s="348">
        <f>-648906.14-101085.48</f>
        <v>-749991.62</v>
      </c>
      <c r="AX43" s="1509">
        <v>0</v>
      </c>
      <c r="AY43" s="268">
        <v>0</v>
      </c>
      <c r="AZ43" s="348">
        <v>39220000</v>
      </c>
      <c r="BA43" s="352">
        <f t="shared" si="22"/>
        <v>416421302</v>
      </c>
      <c r="BB43" s="351">
        <v>2.0657100000000001E-2</v>
      </c>
      <c r="BC43" s="351"/>
      <c r="BD43" s="1695"/>
      <c r="BE43" s="354"/>
      <c r="BF43" s="1695"/>
      <c r="BG43" s="1695"/>
      <c r="BI43" s="348">
        <f t="shared" si="24"/>
        <v>0</v>
      </c>
      <c r="BJ43" s="348">
        <v>0</v>
      </c>
      <c r="BK43" s="268">
        <v>0</v>
      </c>
      <c r="BL43" s="268">
        <v>0</v>
      </c>
      <c r="BM43" s="352">
        <f t="shared" si="25"/>
        <v>0</v>
      </c>
      <c r="BN43" s="269"/>
      <c r="BO43" s="269"/>
      <c r="BP43" s="1695"/>
      <c r="BQ43" s="354"/>
      <c r="BR43" s="1695"/>
      <c r="BS43" s="1695"/>
      <c r="BU43" s="267"/>
      <c r="BV43" s="348">
        <f t="shared" si="26"/>
        <v>0</v>
      </c>
      <c r="BW43" s="348"/>
      <c r="BX43" s="268"/>
      <c r="BY43" s="348"/>
      <c r="BZ43" s="352">
        <f t="shared" si="27"/>
        <v>0</v>
      </c>
      <c r="CA43" s="351"/>
      <c r="CB43" s="351"/>
      <c r="CC43" s="1695"/>
      <c r="CD43" s="1478"/>
      <c r="CE43" s="1695"/>
      <c r="CF43" s="1695"/>
    </row>
    <row r="44" spans="1:84" ht="15">
      <c r="A44" s="270" t="s">
        <v>520</v>
      </c>
      <c r="B44" s="266">
        <v>2018</v>
      </c>
      <c r="C44" s="1504">
        <v>43132</v>
      </c>
      <c r="D44" s="266"/>
      <c r="E44" s="265">
        <f t="shared" si="20"/>
        <v>416421302</v>
      </c>
      <c r="F44" s="267">
        <f t="shared" si="16"/>
        <v>35</v>
      </c>
      <c r="G44" s="268" t="e">
        <f t="shared" si="9"/>
        <v>#REF!</v>
      </c>
      <c r="H44" s="268" t="e">
        <f>-ROUNDDOWN(J43*#REF!,0)</f>
        <v>#REF!</v>
      </c>
      <c r="I44" s="268">
        <v>0</v>
      </c>
      <c r="J44" s="269">
        <f t="shared" si="10"/>
        <v>160000000</v>
      </c>
      <c r="K44" s="1695"/>
      <c r="L44" s="1695"/>
      <c r="M44" s="1695"/>
      <c r="O44" s="267">
        <f t="shared" si="17"/>
        <v>35</v>
      </c>
      <c r="P44" s="268" t="e">
        <f t="shared" si="1"/>
        <v>#REF!</v>
      </c>
      <c r="Q44" s="268" t="e">
        <f>-S43*#REF!</f>
        <v>#REF!</v>
      </c>
      <c r="R44" s="268">
        <v>0</v>
      </c>
      <c r="S44" s="269">
        <f t="shared" si="11"/>
        <v>510000000</v>
      </c>
      <c r="T44" s="1695"/>
      <c r="U44" s="1695"/>
      <c r="V44" s="1695"/>
      <c r="X44" s="267">
        <f t="shared" si="18"/>
        <v>35</v>
      </c>
      <c r="Y44" s="268" t="e">
        <f t="shared" si="2"/>
        <v>#REF!</v>
      </c>
      <c r="Z44" s="268" t="e">
        <f>-AB43*#REF!</f>
        <v>#REF!</v>
      </c>
      <c r="AA44" s="268">
        <v>0</v>
      </c>
      <c r="AB44" s="269">
        <f t="shared" si="12"/>
        <v>170000000</v>
      </c>
      <c r="AC44" s="1695"/>
      <c r="AD44" s="1695"/>
      <c r="AE44" s="1695"/>
      <c r="AG44" s="1710"/>
      <c r="AH44" s="1710"/>
      <c r="AI44" s="1710"/>
      <c r="AK44" s="267">
        <f t="shared" si="19"/>
        <v>35</v>
      </c>
      <c r="AL44" s="268" t="e">
        <f t="shared" si="3"/>
        <v>#REF!</v>
      </c>
      <c r="AM44" s="268" t="e">
        <f>-AO43*#REF!</f>
        <v>#REF!</v>
      </c>
      <c r="AN44" s="268">
        <f t="shared" si="35"/>
        <v>0</v>
      </c>
      <c r="AO44" s="269">
        <f t="shared" si="29"/>
        <v>416421302</v>
      </c>
      <c r="AP44" s="1695"/>
      <c r="AQ44" s="1695"/>
      <c r="AR44" s="1695"/>
      <c r="AS44" s="1695"/>
      <c r="AU44" s="267">
        <f t="shared" si="21"/>
        <v>29</v>
      </c>
      <c r="AV44" s="348">
        <f t="shared" si="34"/>
        <v>-707018.35000000009</v>
      </c>
      <c r="AW44" s="348">
        <f>-640428.91-66589.44</f>
        <v>-707018.35000000009</v>
      </c>
      <c r="AX44" s="1509">
        <v>0</v>
      </c>
      <c r="AY44" s="268">
        <v>0</v>
      </c>
      <c r="AZ44" s="268">
        <v>0</v>
      </c>
      <c r="BA44" s="352">
        <f t="shared" si="22"/>
        <v>416421302</v>
      </c>
      <c r="BB44" s="351">
        <v>1.88294E-2</v>
      </c>
      <c r="BC44" s="351"/>
      <c r="BD44" s="1695"/>
      <c r="BE44" s="354"/>
      <c r="BF44" s="1695"/>
      <c r="BG44" s="1695"/>
      <c r="BI44" s="348">
        <f t="shared" si="24"/>
        <v>0</v>
      </c>
      <c r="BJ44" s="348">
        <v>0</v>
      </c>
      <c r="BK44" s="268">
        <v>0</v>
      </c>
      <c r="BL44" s="268">
        <v>0</v>
      </c>
      <c r="BM44" s="352">
        <f t="shared" si="25"/>
        <v>0</v>
      </c>
      <c r="BN44" s="269"/>
      <c r="BO44" s="269"/>
      <c r="BP44" s="1695"/>
      <c r="BQ44" s="354"/>
      <c r="BR44" s="1695"/>
      <c r="BS44" s="1695"/>
      <c r="BU44" s="267"/>
      <c r="BV44" s="348">
        <f t="shared" si="26"/>
        <v>0</v>
      </c>
      <c r="BW44" s="348"/>
      <c r="BX44" s="268"/>
      <c r="BY44" s="268"/>
      <c r="BZ44" s="352">
        <f t="shared" si="27"/>
        <v>0</v>
      </c>
      <c r="CA44" s="351"/>
      <c r="CB44" s="351"/>
      <c r="CC44" s="1695"/>
      <c r="CD44" s="1478"/>
      <c r="CE44" s="1695"/>
      <c r="CF44" s="1695"/>
    </row>
    <row r="45" spans="1:84" ht="15">
      <c r="A45" s="270" t="s">
        <v>521</v>
      </c>
      <c r="B45" s="266">
        <v>2018</v>
      </c>
      <c r="C45" s="1504">
        <v>43160</v>
      </c>
      <c r="D45" s="266"/>
      <c r="E45" s="265">
        <f t="shared" si="20"/>
        <v>458691302</v>
      </c>
      <c r="F45" s="267">
        <f t="shared" si="16"/>
        <v>36</v>
      </c>
      <c r="G45" s="268" t="e">
        <f t="shared" si="9"/>
        <v>#REF!</v>
      </c>
      <c r="H45" s="268" t="e">
        <f>-ROUNDDOWN(J44*#REF!,0)</f>
        <v>#REF!</v>
      </c>
      <c r="I45" s="268">
        <v>0</v>
      </c>
      <c r="J45" s="269">
        <f t="shared" si="10"/>
        <v>160000000</v>
      </c>
      <c r="K45" s="1695"/>
      <c r="L45" s="1695"/>
      <c r="M45" s="1695"/>
      <c r="O45" s="267">
        <f t="shared" si="17"/>
        <v>36</v>
      </c>
      <c r="P45" s="268" t="e">
        <f t="shared" si="1"/>
        <v>#REF!</v>
      </c>
      <c r="Q45" s="268" t="e">
        <f>-S44*#REF!</f>
        <v>#REF!</v>
      </c>
      <c r="R45" s="268">
        <v>0</v>
      </c>
      <c r="S45" s="269">
        <f t="shared" si="11"/>
        <v>510000000</v>
      </c>
      <c r="T45" s="1695"/>
      <c r="U45" s="1695"/>
      <c r="V45" s="1695"/>
      <c r="X45" s="267">
        <f t="shared" si="18"/>
        <v>36</v>
      </c>
      <c r="Y45" s="268" t="e">
        <f t="shared" si="2"/>
        <v>#REF!</v>
      </c>
      <c r="Z45" s="268" t="e">
        <f>-AB44*#REF!</f>
        <v>#REF!</v>
      </c>
      <c r="AA45" s="268">
        <v>0</v>
      </c>
      <c r="AB45" s="269">
        <f t="shared" si="12"/>
        <v>170000000</v>
      </c>
      <c r="AC45" s="1695"/>
      <c r="AD45" s="1695"/>
      <c r="AE45" s="1695"/>
      <c r="AG45" s="1710"/>
      <c r="AH45" s="1710"/>
      <c r="AI45" s="1710"/>
      <c r="AK45" s="267">
        <f t="shared" si="19"/>
        <v>36</v>
      </c>
      <c r="AL45" s="268" t="e">
        <f t="shared" si="3"/>
        <v>#REF!</v>
      </c>
      <c r="AM45" s="268" t="e">
        <f>-AO44*#REF!</f>
        <v>#REF!</v>
      </c>
      <c r="AN45" s="268">
        <f t="shared" si="35"/>
        <v>0</v>
      </c>
      <c r="AO45" s="269">
        <f t="shared" si="29"/>
        <v>458691302</v>
      </c>
      <c r="AP45" s="1695"/>
      <c r="AQ45" s="1695"/>
      <c r="AR45" s="1695"/>
      <c r="AS45" s="1695"/>
      <c r="AU45" s="267">
        <f t="shared" si="21"/>
        <v>30</v>
      </c>
      <c r="AV45" s="348">
        <f t="shared" si="34"/>
        <v>-601498.55000000005</v>
      </c>
      <c r="AW45" s="348">
        <v>-601498.55000000005</v>
      </c>
      <c r="AX45" s="1509">
        <v>0</v>
      </c>
      <c r="AY45" s="268">
        <v>0</v>
      </c>
      <c r="AZ45" s="348">
        <v>42270000</v>
      </c>
      <c r="BA45" s="352">
        <f t="shared" si="22"/>
        <v>458691302</v>
      </c>
      <c r="BB45" s="351">
        <v>2.1825000000000001E-2</v>
      </c>
      <c r="BC45" s="351"/>
      <c r="BD45" s="1695"/>
      <c r="BE45" s="354"/>
      <c r="BF45" s="1695"/>
      <c r="BG45" s="1695"/>
      <c r="BI45" s="348">
        <f t="shared" si="24"/>
        <v>0</v>
      </c>
      <c r="BJ45" s="348">
        <v>0</v>
      </c>
      <c r="BK45" s="268">
        <v>0</v>
      </c>
      <c r="BL45" s="268">
        <v>0</v>
      </c>
      <c r="BM45" s="352">
        <f t="shared" si="25"/>
        <v>0</v>
      </c>
      <c r="BN45" s="269"/>
      <c r="BO45" s="269"/>
      <c r="BP45" s="1695"/>
      <c r="BQ45" s="354"/>
      <c r="BR45" s="1695"/>
      <c r="BS45" s="1695"/>
      <c r="BU45" s="267"/>
      <c r="BV45" s="348">
        <f t="shared" si="26"/>
        <v>0</v>
      </c>
      <c r="BW45" s="348"/>
      <c r="BX45" s="268"/>
      <c r="BY45" s="348"/>
      <c r="BZ45" s="352">
        <f t="shared" si="27"/>
        <v>0</v>
      </c>
      <c r="CA45" s="351"/>
      <c r="CB45" s="351"/>
      <c r="CC45" s="1695"/>
      <c r="CD45" s="1478"/>
      <c r="CE45" s="1695"/>
      <c r="CF45" s="1695"/>
    </row>
    <row r="46" spans="1:84" ht="15">
      <c r="A46" s="273" t="s">
        <v>510</v>
      </c>
      <c r="B46" s="274">
        <v>2018</v>
      </c>
      <c r="C46" s="1503">
        <v>43191</v>
      </c>
      <c r="D46" s="274"/>
      <c r="E46" s="275">
        <f t="shared" si="20"/>
        <v>458691302</v>
      </c>
      <c r="F46" s="276">
        <f t="shared" si="16"/>
        <v>37</v>
      </c>
      <c r="G46" s="277" t="e">
        <f t="shared" si="9"/>
        <v>#REF!</v>
      </c>
      <c r="H46" s="277" t="e">
        <f>-ROUNDDOWN(J45*#REF!,0)</f>
        <v>#REF!</v>
      </c>
      <c r="I46" s="277">
        <v>0</v>
      </c>
      <c r="J46" s="278">
        <f t="shared" si="10"/>
        <v>160000000</v>
      </c>
      <c r="K46" s="1694" t="s">
        <v>3</v>
      </c>
      <c r="L46" s="1694" t="e">
        <f>SUM(H46:H57)</f>
        <v>#REF!</v>
      </c>
      <c r="M46" s="1694">
        <f>SUM(I46:I57)</f>
        <v>0</v>
      </c>
      <c r="O46" s="276">
        <f t="shared" si="17"/>
        <v>37</v>
      </c>
      <c r="P46" s="277" t="e">
        <f t="shared" si="1"/>
        <v>#REF!</v>
      </c>
      <c r="Q46" s="277" t="e">
        <f>-S45*#REF!</f>
        <v>#REF!</v>
      </c>
      <c r="R46" s="277">
        <v>0</v>
      </c>
      <c r="S46" s="278">
        <f t="shared" si="11"/>
        <v>510000000</v>
      </c>
      <c r="T46" s="1694" t="s">
        <v>3</v>
      </c>
      <c r="U46" s="1694" t="e">
        <f>SUM(Q46:Q57)</f>
        <v>#REF!</v>
      </c>
      <c r="V46" s="1694">
        <f>SUM(R46:R57)</f>
        <v>0</v>
      </c>
      <c r="X46" s="276">
        <f t="shared" si="18"/>
        <v>37</v>
      </c>
      <c r="Y46" s="277" t="e">
        <f t="shared" si="2"/>
        <v>#REF!</v>
      </c>
      <c r="Z46" s="277" t="e">
        <f>-AB45*#REF!</f>
        <v>#REF!</v>
      </c>
      <c r="AA46" s="277">
        <v>0</v>
      </c>
      <c r="AB46" s="278">
        <f t="shared" si="12"/>
        <v>170000000</v>
      </c>
      <c r="AC46" s="1694" t="s">
        <v>3</v>
      </c>
      <c r="AD46" s="1694" t="e">
        <f>SUM(Z46:Z57)</f>
        <v>#REF!</v>
      </c>
      <c r="AE46" s="1694">
        <f>SUM(AA46:AA57)</f>
        <v>0</v>
      </c>
      <c r="AG46" s="1709" t="s">
        <v>3</v>
      </c>
      <c r="AH46" s="1709" t="e">
        <f>L46+U46+AD46</f>
        <v>#REF!</v>
      </c>
      <c r="AI46" s="1709">
        <f>M46+V46+AE46</f>
        <v>0</v>
      </c>
      <c r="AK46" s="276">
        <f t="shared" si="19"/>
        <v>37</v>
      </c>
      <c r="AL46" s="277" t="e">
        <f t="shared" si="3"/>
        <v>#REF!</v>
      </c>
      <c r="AM46" s="277" t="e">
        <f>-AO45*#REF!</f>
        <v>#REF!</v>
      </c>
      <c r="AN46" s="277">
        <f>$AR$46/12</f>
        <v>0</v>
      </c>
      <c r="AO46" s="278">
        <f t="shared" si="29"/>
        <v>458691302</v>
      </c>
      <c r="AP46" s="1694" t="s">
        <v>3</v>
      </c>
      <c r="AQ46" s="1694" t="e">
        <f>SUM(AM46:AM57)</f>
        <v>#REF!</v>
      </c>
      <c r="AR46" s="1694">
        <v>0</v>
      </c>
      <c r="AS46" s="1715">
        <v>0</v>
      </c>
      <c r="AU46" s="276">
        <f t="shared" si="21"/>
        <v>31</v>
      </c>
      <c r="AV46" s="349">
        <f t="shared" si="34"/>
        <v>-905098.47</v>
      </c>
      <c r="AW46" s="349">
        <f>-821690.5-83407.97</f>
        <v>-905098.47</v>
      </c>
      <c r="AX46" s="1508">
        <v>0</v>
      </c>
      <c r="AY46" s="277">
        <v>0</v>
      </c>
      <c r="AZ46" s="277">
        <v>0</v>
      </c>
      <c r="BA46" s="353">
        <f t="shared" si="22"/>
        <v>458691302</v>
      </c>
      <c r="BB46" s="350">
        <v>2.4564300000000001E-2</v>
      </c>
      <c r="BC46" s="350"/>
      <c r="BD46" s="1694" t="s">
        <v>3</v>
      </c>
      <c r="BE46" s="355"/>
      <c r="BF46" s="1694">
        <f>SUM(AW46:AW57)</f>
        <v>-14069060.729999999</v>
      </c>
      <c r="BG46" s="1694">
        <f>SUM(AY46:AZ57)</f>
        <v>225640000</v>
      </c>
      <c r="BI46" s="349">
        <f t="shared" si="24"/>
        <v>0</v>
      </c>
      <c r="BJ46" s="349">
        <v>0</v>
      </c>
      <c r="BK46" s="277">
        <v>0</v>
      </c>
      <c r="BL46" s="277">
        <v>0</v>
      </c>
      <c r="BM46" s="353">
        <f t="shared" si="25"/>
        <v>0</v>
      </c>
      <c r="BN46" s="278"/>
      <c r="BO46" s="278"/>
      <c r="BP46" s="1694" t="s">
        <v>3</v>
      </c>
      <c r="BQ46" s="355"/>
      <c r="BR46" s="1694">
        <f>SUM(BJ46:BJ57)</f>
        <v>0</v>
      </c>
      <c r="BS46" s="1694">
        <f>SUM(BK46:BL57)</f>
        <v>0</v>
      </c>
      <c r="BU46" s="276"/>
      <c r="BV46" s="349">
        <f t="shared" si="26"/>
        <v>0</v>
      </c>
      <c r="BW46" s="349"/>
      <c r="BX46" s="277"/>
      <c r="BY46" s="277"/>
      <c r="BZ46" s="353">
        <f t="shared" si="27"/>
        <v>0</v>
      </c>
      <c r="CA46" s="350"/>
      <c r="CB46" s="350"/>
      <c r="CC46" s="1694" t="s">
        <v>3</v>
      </c>
      <c r="CD46" s="1476"/>
      <c r="CE46" s="1694">
        <f>SUM(BW46:BW57)</f>
        <v>0</v>
      </c>
      <c r="CF46" s="1694">
        <f>SUM(BX46:BY57)</f>
        <v>0</v>
      </c>
    </row>
    <row r="47" spans="1:84" ht="15">
      <c r="A47" s="273" t="s">
        <v>511</v>
      </c>
      <c r="B47" s="274">
        <v>2018</v>
      </c>
      <c r="C47" s="1503">
        <v>43221</v>
      </c>
      <c r="D47" s="274"/>
      <c r="E47" s="275">
        <f t="shared" si="20"/>
        <v>458691302</v>
      </c>
      <c r="F47" s="276">
        <f t="shared" si="16"/>
        <v>38</v>
      </c>
      <c r="G47" s="277" t="e">
        <f t="shared" si="9"/>
        <v>#REF!</v>
      </c>
      <c r="H47" s="277" t="e">
        <f>-ROUNDDOWN(J46*#REF!,0)</f>
        <v>#REF!</v>
      </c>
      <c r="I47" s="277">
        <v>0</v>
      </c>
      <c r="J47" s="278">
        <f t="shared" si="10"/>
        <v>160000000</v>
      </c>
      <c r="K47" s="1694"/>
      <c r="L47" s="1694"/>
      <c r="M47" s="1694"/>
      <c r="O47" s="276">
        <f t="shared" si="17"/>
        <v>38</v>
      </c>
      <c r="P47" s="277" t="e">
        <f t="shared" si="1"/>
        <v>#REF!</v>
      </c>
      <c r="Q47" s="277" t="e">
        <f>-S46*#REF!</f>
        <v>#REF!</v>
      </c>
      <c r="R47" s="277">
        <v>0</v>
      </c>
      <c r="S47" s="278">
        <f t="shared" si="11"/>
        <v>510000000</v>
      </c>
      <c r="T47" s="1694"/>
      <c r="U47" s="1694"/>
      <c r="V47" s="1694"/>
      <c r="X47" s="276">
        <f t="shared" si="18"/>
        <v>38</v>
      </c>
      <c r="Y47" s="277" t="e">
        <f t="shared" si="2"/>
        <v>#REF!</v>
      </c>
      <c r="Z47" s="277" t="e">
        <f>-AB46*#REF!</f>
        <v>#REF!</v>
      </c>
      <c r="AA47" s="277">
        <v>0</v>
      </c>
      <c r="AB47" s="278">
        <f t="shared" si="12"/>
        <v>170000000</v>
      </c>
      <c r="AC47" s="1694"/>
      <c r="AD47" s="1694"/>
      <c r="AE47" s="1694"/>
      <c r="AG47" s="1709"/>
      <c r="AH47" s="1709"/>
      <c r="AI47" s="1709"/>
      <c r="AK47" s="276">
        <f t="shared" si="19"/>
        <v>38</v>
      </c>
      <c r="AL47" s="277" t="e">
        <f t="shared" si="3"/>
        <v>#REF!</v>
      </c>
      <c r="AM47" s="277" t="e">
        <f>-AO46*#REF!</f>
        <v>#REF!</v>
      </c>
      <c r="AN47" s="277">
        <f t="shared" ref="AN47:AN57" si="36">$AR$46/12</f>
        <v>0</v>
      </c>
      <c r="AO47" s="278">
        <f t="shared" si="29"/>
        <v>458691302</v>
      </c>
      <c r="AP47" s="1694"/>
      <c r="AQ47" s="1694"/>
      <c r="AR47" s="1694"/>
      <c r="AS47" s="1715"/>
      <c r="AU47" s="276">
        <f t="shared" si="21"/>
        <v>32</v>
      </c>
      <c r="AV47" s="349">
        <f t="shared" si="34"/>
        <v>-926090.2</v>
      </c>
      <c r="AW47" s="349">
        <v>-926090.2</v>
      </c>
      <c r="AX47" s="1508">
        <v>0</v>
      </c>
      <c r="AY47" s="277">
        <v>0</v>
      </c>
      <c r="AZ47" s="277">
        <v>0</v>
      </c>
      <c r="BA47" s="353">
        <f t="shared" si="22"/>
        <v>458691302</v>
      </c>
      <c r="BB47" s="350">
        <v>2.1614299999999999E-2</v>
      </c>
      <c r="BC47" s="350"/>
      <c r="BD47" s="1694"/>
      <c r="BE47" s="355"/>
      <c r="BF47" s="1694"/>
      <c r="BG47" s="1694"/>
      <c r="BI47" s="349">
        <f t="shared" si="24"/>
        <v>0</v>
      </c>
      <c r="BJ47" s="349">
        <v>0</v>
      </c>
      <c r="BK47" s="277">
        <v>0</v>
      </c>
      <c r="BL47" s="277">
        <v>0</v>
      </c>
      <c r="BM47" s="353">
        <f t="shared" si="25"/>
        <v>0</v>
      </c>
      <c r="BN47" s="278"/>
      <c r="BO47" s="278"/>
      <c r="BP47" s="1694"/>
      <c r="BQ47" s="355"/>
      <c r="BR47" s="1694"/>
      <c r="BS47" s="1694"/>
      <c r="BU47" s="276"/>
      <c r="BV47" s="349">
        <f t="shared" si="26"/>
        <v>0</v>
      </c>
      <c r="BW47" s="349"/>
      <c r="BX47" s="277"/>
      <c r="BY47" s="277"/>
      <c r="BZ47" s="353">
        <f t="shared" si="27"/>
        <v>0</v>
      </c>
      <c r="CA47" s="350"/>
      <c r="CB47" s="350"/>
      <c r="CC47" s="1694"/>
      <c r="CD47" s="1476"/>
      <c r="CE47" s="1694"/>
      <c r="CF47" s="1694"/>
    </row>
    <row r="48" spans="1:84" ht="15">
      <c r="A48" s="273" t="s">
        <v>512</v>
      </c>
      <c r="B48" s="274">
        <v>2018</v>
      </c>
      <c r="C48" s="1503">
        <v>43252</v>
      </c>
      <c r="D48" s="274"/>
      <c r="E48" s="275">
        <f t="shared" si="20"/>
        <v>519559302</v>
      </c>
      <c r="F48" s="276">
        <f t="shared" si="16"/>
        <v>39</v>
      </c>
      <c r="G48" s="277" t="e">
        <f t="shared" si="9"/>
        <v>#REF!</v>
      </c>
      <c r="H48" s="277" t="e">
        <f>-ROUNDDOWN(J47*#REF!,0)</f>
        <v>#REF!</v>
      </c>
      <c r="I48" s="277">
        <v>0</v>
      </c>
      <c r="J48" s="278">
        <f t="shared" si="10"/>
        <v>160000000</v>
      </c>
      <c r="K48" s="1694"/>
      <c r="L48" s="1694"/>
      <c r="M48" s="1694"/>
      <c r="O48" s="276">
        <f t="shared" si="17"/>
        <v>39</v>
      </c>
      <c r="P48" s="277" t="e">
        <f t="shared" si="1"/>
        <v>#REF!</v>
      </c>
      <c r="Q48" s="277" t="e">
        <f>-S47*#REF!</f>
        <v>#REF!</v>
      </c>
      <c r="R48" s="277">
        <v>0</v>
      </c>
      <c r="S48" s="278">
        <f t="shared" si="11"/>
        <v>510000000</v>
      </c>
      <c r="T48" s="1694"/>
      <c r="U48" s="1694"/>
      <c r="V48" s="1694"/>
      <c r="X48" s="276">
        <f t="shared" si="18"/>
        <v>39</v>
      </c>
      <c r="Y48" s="277" t="e">
        <f t="shared" si="2"/>
        <v>#REF!</v>
      </c>
      <c r="Z48" s="277" t="e">
        <f>-AB47*#REF!</f>
        <v>#REF!</v>
      </c>
      <c r="AA48" s="277">
        <v>0</v>
      </c>
      <c r="AB48" s="278">
        <f t="shared" si="12"/>
        <v>170000000</v>
      </c>
      <c r="AC48" s="1694"/>
      <c r="AD48" s="1694"/>
      <c r="AE48" s="1694"/>
      <c r="AG48" s="1709"/>
      <c r="AH48" s="1709"/>
      <c r="AI48" s="1709"/>
      <c r="AK48" s="276">
        <f t="shared" si="19"/>
        <v>39</v>
      </c>
      <c r="AL48" s="277" t="e">
        <f t="shared" si="3"/>
        <v>#REF!</v>
      </c>
      <c r="AM48" s="277" t="e">
        <f>-AO47*#REF!</f>
        <v>#REF!</v>
      </c>
      <c r="AN48" s="277">
        <f t="shared" si="36"/>
        <v>0</v>
      </c>
      <c r="AO48" s="278">
        <f t="shared" si="29"/>
        <v>519559302</v>
      </c>
      <c r="AP48" s="1694"/>
      <c r="AQ48" s="1694"/>
      <c r="AR48" s="1694"/>
      <c r="AS48" s="1715"/>
      <c r="AU48" s="276">
        <f t="shared" si="21"/>
        <v>33</v>
      </c>
      <c r="AV48" s="349">
        <f t="shared" si="34"/>
        <v>-814873.27</v>
      </c>
      <c r="AW48" s="349">
        <v>-814873.27</v>
      </c>
      <c r="AX48" s="1508">
        <v>0</v>
      </c>
      <c r="AY48" s="277">
        <v>0</v>
      </c>
      <c r="AZ48" s="349">
        <v>60868000</v>
      </c>
      <c r="BA48" s="353">
        <f t="shared" si="22"/>
        <v>519559302</v>
      </c>
      <c r="BB48" s="350">
        <v>3.1619599999999998E-2</v>
      </c>
      <c r="BC48" s="350"/>
      <c r="BD48" s="1694"/>
      <c r="BE48" s="355"/>
      <c r="BF48" s="1694"/>
      <c r="BG48" s="1694"/>
      <c r="BI48" s="349">
        <f t="shared" si="24"/>
        <v>0</v>
      </c>
      <c r="BJ48" s="349">
        <v>0</v>
      </c>
      <c r="BK48" s="277">
        <v>0</v>
      </c>
      <c r="BL48" s="277">
        <v>0</v>
      </c>
      <c r="BM48" s="353">
        <f t="shared" si="25"/>
        <v>0</v>
      </c>
      <c r="BN48" s="278"/>
      <c r="BO48" s="278"/>
      <c r="BP48" s="1694"/>
      <c r="BQ48" s="355"/>
      <c r="BR48" s="1694"/>
      <c r="BS48" s="1694"/>
      <c r="BU48" s="276"/>
      <c r="BV48" s="349">
        <f t="shared" si="26"/>
        <v>0</v>
      </c>
      <c r="BW48" s="349"/>
      <c r="BX48" s="277"/>
      <c r="BY48" s="349"/>
      <c r="BZ48" s="353">
        <f t="shared" si="27"/>
        <v>0</v>
      </c>
      <c r="CA48" s="350"/>
      <c r="CB48" s="350"/>
      <c r="CC48" s="1694"/>
      <c r="CD48" s="1476"/>
      <c r="CE48" s="1694"/>
      <c r="CF48" s="1694"/>
    </row>
    <row r="49" spans="1:84" ht="15">
      <c r="A49" s="273" t="s">
        <v>513</v>
      </c>
      <c r="B49" s="274">
        <v>2018</v>
      </c>
      <c r="C49" s="1503">
        <v>43282</v>
      </c>
      <c r="D49" s="274"/>
      <c r="E49" s="275">
        <f t="shared" si="20"/>
        <v>519559302</v>
      </c>
      <c r="F49" s="276">
        <f t="shared" si="16"/>
        <v>40</v>
      </c>
      <c r="G49" s="277" t="e">
        <f t="shared" si="9"/>
        <v>#REF!</v>
      </c>
      <c r="H49" s="277" t="e">
        <f>-ROUNDDOWN(J48*#REF!,0)</f>
        <v>#REF!</v>
      </c>
      <c r="I49" s="277">
        <v>0</v>
      </c>
      <c r="J49" s="278">
        <f t="shared" si="10"/>
        <v>160000000</v>
      </c>
      <c r="K49" s="1694"/>
      <c r="L49" s="1694"/>
      <c r="M49" s="1694"/>
      <c r="O49" s="276">
        <f t="shared" si="17"/>
        <v>40</v>
      </c>
      <c r="P49" s="277" t="e">
        <f t="shared" si="1"/>
        <v>#REF!</v>
      </c>
      <c r="Q49" s="277" t="e">
        <f>-S48*#REF!</f>
        <v>#REF!</v>
      </c>
      <c r="R49" s="277">
        <v>0</v>
      </c>
      <c r="S49" s="278">
        <f t="shared" si="11"/>
        <v>510000000</v>
      </c>
      <c r="T49" s="1694"/>
      <c r="U49" s="1694"/>
      <c r="V49" s="1694"/>
      <c r="X49" s="276">
        <f t="shared" si="18"/>
        <v>40</v>
      </c>
      <c r="Y49" s="277" t="e">
        <f t="shared" si="2"/>
        <v>#REF!</v>
      </c>
      <c r="Z49" s="277" t="e">
        <f>-AB48*#REF!</f>
        <v>#REF!</v>
      </c>
      <c r="AA49" s="277">
        <v>0</v>
      </c>
      <c r="AB49" s="278">
        <f t="shared" si="12"/>
        <v>170000000</v>
      </c>
      <c r="AC49" s="1694"/>
      <c r="AD49" s="1694"/>
      <c r="AE49" s="1694"/>
      <c r="AG49" s="1709"/>
      <c r="AH49" s="1709"/>
      <c r="AI49" s="1709"/>
      <c r="AK49" s="276">
        <f t="shared" si="19"/>
        <v>40</v>
      </c>
      <c r="AL49" s="277" t="e">
        <f t="shared" si="3"/>
        <v>#REF!</v>
      </c>
      <c r="AM49" s="277" t="e">
        <f>-AO48*#REF!</f>
        <v>#REF!</v>
      </c>
      <c r="AN49" s="277">
        <f t="shared" si="36"/>
        <v>0</v>
      </c>
      <c r="AO49" s="278">
        <f t="shared" si="29"/>
        <v>519559302</v>
      </c>
      <c r="AP49" s="1694"/>
      <c r="AQ49" s="1694"/>
      <c r="AR49" s="1694"/>
      <c r="AS49" s="1715"/>
      <c r="AU49" s="276">
        <f t="shared" si="21"/>
        <v>34</v>
      </c>
      <c r="AV49" s="349">
        <f t="shared" si="34"/>
        <v>-1395276.6500000001</v>
      </c>
      <c r="AW49" s="349">
        <f>-1363799.09-31477.56</f>
        <v>-1395276.6500000001</v>
      </c>
      <c r="AX49" s="1508">
        <v>0</v>
      </c>
      <c r="AY49" s="277">
        <v>0</v>
      </c>
      <c r="AZ49" s="277">
        <v>0</v>
      </c>
      <c r="BA49" s="353">
        <f t="shared" si="22"/>
        <v>519559302</v>
      </c>
      <c r="BB49" s="350">
        <v>2.8599599999999999E-2</v>
      </c>
      <c r="BC49" s="350"/>
      <c r="BD49" s="1694"/>
      <c r="BE49" s="355"/>
      <c r="BF49" s="1694"/>
      <c r="BG49" s="1694"/>
      <c r="BI49" s="349">
        <f t="shared" si="24"/>
        <v>0</v>
      </c>
      <c r="BJ49" s="349">
        <v>0</v>
      </c>
      <c r="BK49" s="277">
        <v>0</v>
      </c>
      <c r="BL49" s="277">
        <v>0</v>
      </c>
      <c r="BM49" s="353">
        <f t="shared" si="25"/>
        <v>0</v>
      </c>
      <c r="BN49" s="278"/>
      <c r="BO49" s="278"/>
      <c r="BP49" s="1694"/>
      <c r="BQ49" s="355"/>
      <c r="BR49" s="1694"/>
      <c r="BS49" s="1694"/>
      <c r="BU49" s="276"/>
      <c r="BV49" s="349">
        <f t="shared" si="26"/>
        <v>0</v>
      </c>
      <c r="BW49" s="349"/>
      <c r="BX49" s="277"/>
      <c r="BY49" s="277"/>
      <c r="BZ49" s="353">
        <f t="shared" si="27"/>
        <v>0</v>
      </c>
      <c r="CA49" s="350"/>
      <c r="CB49" s="350"/>
      <c r="CC49" s="1694"/>
      <c r="CD49" s="1476"/>
      <c r="CE49" s="1694"/>
      <c r="CF49" s="1694"/>
    </row>
    <row r="50" spans="1:84" ht="15">
      <c r="A50" s="273" t="s">
        <v>514</v>
      </c>
      <c r="B50" s="274">
        <v>2018</v>
      </c>
      <c r="C50" s="1503">
        <v>43313</v>
      </c>
      <c r="D50" s="274"/>
      <c r="E50" s="275">
        <f t="shared" si="20"/>
        <v>519559302</v>
      </c>
      <c r="F50" s="276">
        <f t="shared" si="16"/>
        <v>41</v>
      </c>
      <c r="G50" s="277" t="e">
        <f t="shared" si="9"/>
        <v>#REF!</v>
      </c>
      <c r="H50" s="277" t="e">
        <f>-ROUNDDOWN(J49*#REF!,0)</f>
        <v>#REF!</v>
      </c>
      <c r="I50" s="277">
        <v>0</v>
      </c>
      <c r="J50" s="278">
        <f t="shared" si="10"/>
        <v>160000000</v>
      </c>
      <c r="K50" s="1694"/>
      <c r="L50" s="1694"/>
      <c r="M50" s="1694"/>
      <c r="O50" s="276">
        <f t="shared" si="17"/>
        <v>41</v>
      </c>
      <c r="P50" s="277" t="e">
        <f t="shared" si="1"/>
        <v>#REF!</v>
      </c>
      <c r="Q50" s="277" t="e">
        <f>-S49*#REF!</f>
        <v>#REF!</v>
      </c>
      <c r="R50" s="277">
        <v>0</v>
      </c>
      <c r="S50" s="278">
        <f t="shared" si="11"/>
        <v>510000000</v>
      </c>
      <c r="T50" s="1694"/>
      <c r="U50" s="1694"/>
      <c r="V50" s="1694"/>
      <c r="X50" s="276">
        <f t="shared" si="18"/>
        <v>41</v>
      </c>
      <c r="Y50" s="277" t="e">
        <f t="shared" si="2"/>
        <v>#REF!</v>
      </c>
      <c r="Z50" s="277" t="e">
        <f>-AB49*#REF!</f>
        <v>#REF!</v>
      </c>
      <c r="AA50" s="277">
        <v>0</v>
      </c>
      <c r="AB50" s="278">
        <f t="shared" si="12"/>
        <v>170000000</v>
      </c>
      <c r="AC50" s="1694"/>
      <c r="AD50" s="1694"/>
      <c r="AE50" s="1694"/>
      <c r="AG50" s="1709"/>
      <c r="AH50" s="1709"/>
      <c r="AI50" s="1709"/>
      <c r="AK50" s="276">
        <f t="shared" si="19"/>
        <v>41</v>
      </c>
      <c r="AL50" s="277" t="e">
        <f t="shared" si="3"/>
        <v>#REF!</v>
      </c>
      <c r="AM50" s="277" t="e">
        <f>-AO49*#REF!</f>
        <v>#REF!</v>
      </c>
      <c r="AN50" s="277">
        <f t="shared" si="36"/>
        <v>0</v>
      </c>
      <c r="AO50" s="278">
        <f t="shared" si="29"/>
        <v>519559302</v>
      </c>
      <c r="AP50" s="1694"/>
      <c r="AQ50" s="1694"/>
      <c r="AR50" s="1694"/>
      <c r="AS50" s="1715"/>
      <c r="AU50" s="276">
        <f t="shared" si="21"/>
        <v>35</v>
      </c>
      <c r="AV50" s="349">
        <f t="shared" si="34"/>
        <v>-1262013.25</v>
      </c>
      <c r="AW50" s="349">
        <f>-1233542.12-28471.13</f>
        <v>-1262013.25</v>
      </c>
      <c r="AX50" s="1508">
        <v>0</v>
      </c>
      <c r="AY50" s="277">
        <v>0</v>
      </c>
      <c r="AZ50" s="277">
        <v>0</v>
      </c>
      <c r="BA50" s="353">
        <f t="shared" si="22"/>
        <v>519559302</v>
      </c>
      <c r="BB50" s="350">
        <v>2.6612500000000001E-2</v>
      </c>
      <c r="BC50" s="350"/>
      <c r="BD50" s="1694"/>
      <c r="BE50" s="355"/>
      <c r="BF50" s="1694"/>
      <c r="BG50" s="1694"/>
      <c r="BI50" s="349">
        <f t="shared" si="24"/>
        <v>0</v>
      </c>
      <c r="BJ50" s="349">
        <v>0</v>
      </c>
      <c r="BK50" s="277">
        <v>0</v>
      </c>
      <c r="BL50" s="277">
        <v>0</v>
      </c>
      <c r="BM50" s="353">
        <f t="shared" si="25"/>
        <v>0</v>
      </c>
      <c r="BN50" s="278"/>
      <c r="BO50" s="278"/>
      <c r="BP50" s="1694"/>
      <c r="BQ50" s="355"/>
      <c r="BR50" s="1694"/>
      <c r="BS50" s="1694"/>
      <c r="BU50" s="276"/>
      <c r="BV50" s="349">
        <f t="shared" si="26"/>
        <v>0</v>
      </c>
      <c r="BW50" s="349"/>
      <c r="BX50" s="277"/>
      <c r="BY50" s="277"/>
      <c r="BZ50" s="353">
        <f t="shared" si="27"/>
        <v>0</v>
      </c>
      <c r="CA50" s="350"/>
      <c r="CB50" s="350"/>
      <c r="CC50" s="1694"/>
      <c r="CD50" s="1476"/>
      <c r="CE50" s="1694"/>
      <c r="CF50" s="1694"/>
    </row>
    <row r="51" spans="1:84" ht="15">
      <c r="A51" s="273" t="s">
        <v>515</v>
      </c>
      <c r="B51" s="274">
        <v>2018</v>
      </c>
      <c r="C51" s="1503">
        <v>43344</v>
      </c>
      <c r="D51" s="274"/>
      <c r="E51" s="275">
        <f t="shared" si="20"/>
        <v>519559302</v>
      </c>
      <c r="F51" s="276">
        <f t="shared" si="16"/>
        <v>42</v>
      </c>
      <c r="G51" s="277" t="e">
        <f t="shared" si="9"/>
        <v>#REF!</v>
      </c>
      <c r="H51" s="277" t="e">
        <f>-ROUNDDOWN(J50*#REF!,0)</f>
        <v>#REF!</v>
      </c>
      <c r="I51" s="277">
        <v>0</v>
      </c>
      <c r="J51" s="278">
        <f t="shared" si="10"/>
        <v>160000000</v>
      </c>
      <c r="K51" s="1694"/>
      <c r="L51" s="1694"/>
      <c r="M51" s="1694"/>
      <c r="O51" s="276">
        <f t="shared" si="17"/>
        <v>42</v>
      </c>
      <c r="P51" s="277" t="e">
        <f t="shared" si="1"/>
        <v>#REF!</v>
      </c>
      <c r="Q51" s="277" t="e">
        <f>-S50*#REF!</f>
        <v>#REF!</v>
      </c>
      <c r="R51" s="277">
        <v>0</v>
      </c>
      <c r="S51" s="278">
        <f t="shared" si="11"/>
        <v>510000000</v>
      </c>
      <c r="T51" s="1694"/>
      <c r="U51" s="1694"/>
      <c r="V51" s="1694"/>
      <c r="X51" s="276">
        <f t="shared" si="18"/>
        <v>42</v>
      </c>
      <c r="Y51" s="277" t="e">
        <f t="shared" si="2"/>
        <v>#REF!</v>
      </c>
      <c r="Z51" s="277" t="e">
        <f>-AB50*#REF!</f>
        <v>#REF!</v>
      </c>
      <c r="AA51" s="277">
        <v>0</v>
      </c>
      <c r="AB51" s="278">
        <f t="shared" si="12"/>
        <v>170000000</v>
      </c>
      <c r="AC51" s="1694"/>
      <c r="AD51" s="1694"/>
      <c r="AE51" s="1694"/>
      <c r="AG51" s="1709"/>
      <c r="AH51" s="1709"/>
      <c r="AI51" s="1709"/>
      <c r="AK51" s="276">
        <f t="shared" si="19"/>
        <v>42</v>
      </c>
      <c r="AL51" s="277" t="e">
        <f t="shared" si="3"/>
        <v>#REF!</v>
      </c>
      <c r="AM51" s="277" t="e">
        <f>-AO50*#REF!</f>
        <v>#REF!</v>
      </c>
      <c r="AN51" s="277">
        <f t="shared" si="36"/>
        <v>0</v>
      </c>
      <c r="AO51" s="278">
        <f t="shared" si="29"/>
        <v>519559302</v>
      </c>
      <c r="AP51" s="1694"/>
      <c r="AQ51" s="1694"/>
      <c r="AR51" s="1694"/>
      <c r="AS51" s="1715"/>
      <c r="AU51" s="276">
        <f t="shared" si="21"/>
        <v>36</v>
      </c>
      <c r="AV51" s="349">
        <f t="shared" si="34"/>
        <v>-1098565.44</v>
      </c>
      <c r="AW51" s="349">
        <f>-1073781.71-24783.73</f>
        <v>-1098565.44</v>
      </c>
      <c r="AX51" s="1508">
        <v>0</v>
      </c>
      <c r="AY51" s="277">
        <v>0</v>
      </c>
      <c r="AZ51" s="277">
        <v>0</v>
      </c>
      <c r="BA51" s="353">
        <f t="shared" si="22"/>
        <v>519559302</v>
      </c>
      <c r="BB51" s="350">
        <v>3.38071E-2</v>
      </c>
      <c r="BC51" s="350"/>
      <c r="BD51" s="1694"/>
      <c r="BE51" s="355"/>
      <c r="BF51" s="1694"/>
      <c r="BG51" s="1694"/>
      <c r="BI51" s="349">
        <f t="shared" si="24"/>
        <v>0</v>
      </c>
      <c r="BJ51" s="349">
        <v>0</v>
      </c>
      <c r="BK51" s="277">
        <v>0</v>
      </c>
      <c r="BL51" s="277">
        <v>0</v>
      </c>
      <c r="BM51" s="353">
        <f t="shared" si="25"/>
        <v>0</v>
      </c>
      <c r="BN51" s="278"/>
      <c r="BO51" s="278"/>
      <c r="BP51" s="1694"/>
      <c r="BQ51" s="355"/>
      <c r="BR51" s="1694"/>
      <c r="BS51" s="1694"/>
      <c r="BU51" s="276"/>
      <c r="BV51" s="349">
        <f t="shared" si="26"/>
        <v>0</v>
      </c>
      <c r="BW51" s="349"/>
      <c r="BX51" s="277"/>
      <c r="BY51" s="277"/>
      <c r="BZ51" s="353">
        <f t="shared" si="27"/>
        <v>0</v>
      </c>
      <c r="CA51" s="350"/>
      <c r="CB51" s="350"/>
      <c r="CC51" s="1694"/>
      <c r="CD51" s="1476"/>
      <c r="CE51" s="1694"/>
      <c r="CF51" s="1694"/>
    </row>
    <row r="52" spans="1:84" ht="15">
      <c r="A52" s="273" t="s">
        <v>516</v>
      </c>
      <c r="B52" s="274">
        <v>2018</v>
      </c>
      <c r="C52" s="1503">
        <v>43374</v>
      </c>
      <c r="D52" s="274"/>
      <c r="E52" s="275">
        <f t="shared" si="20"/>
        <v>539161302</v>
      </c>
      <c r="F52" s="276">
        <f t="shared" si="16"/>
        <v>43</v>
      </c>
      <c r="G52" s="277" t="e">
        <f t="shared" si="9"/>
        <v>#REF!</v>
      </c>
      <c r="H52" s="277" t="e">
        <f>-ROUNDDOWN(J51*#REF!,0)</f>
        <v>#REF!</v>
      </c>
      <c r="I52" s="277">
        <v>0</v>
      </c>
      <c r="J52" s="278">
        <f t="shared" si="10"/>
        <v>160000000</v>
      </c>
      <c r="K52" s="1694"/>
      <c r="L52" s="1694"/>
      <c r="M52" s="1694"/>
      <c r="O52" s="276">
        <f t="shared" si="17"/>
        <v>43</v>
      </c>
      <c r="P52" s="277" t="e">
        <f t="shared" si="1"/>
        <v>#REF!</v>
      </c>
      <c r="Q52" s="277" t="e">
        <f>-S51*#REF!</f>
        <v>#REF!</v>
      </c>
      <c r="R52" s="277">
        <v>0</v>
      </c>
      <c r="S52" s="278">
        <f t="shared" si="11"/>
        <v>510000000</v>
      </c>
      <c r="T52" s="1694"/>
      <c r="U52" s="1694"/>
      <c r="V52" s="1694"/>
      <c r="X52" s="276">
        <f t="shared" si="18"/>
        <v>43</v>
      </c>
      <c r="Y52" s="277" t="e">
        <f t="shared" si="2"/>
        <v>#REF!</v>
      </c>
      <c r="Z52" s="277" t="e">
        <f>-AB51*#REF!</f>
        <v>#REF!</v>
      </c>
      <c r="AA52" s="277">
        <v>0</v>
      </c>
      <c r="AB52" s="278">
        <f t="shared" si="12"/>
        <v>170000000</v>
      </c>
      <c r="AC52" s="1694"/>
      <c r="AD52" s="1694"/>
      <c r="AE52" s="1694"/>
      <c r="AG52" s="1709"/>
      <c r="AH52" s="1709"/>
      <c r="AI52" s="1709"/>
      <c r="AK52" s="276">
        <f t="shared" si="19"/>
        <v>43</v>
      </c>
      <c r="AL52" s="277" t="e">
        <f t="shared" si="3"/>
        <v>#REF!</v>
      </c>
      <c r="AM52" s="277" t="e">
        <f>-AO51*#REF!</f>
        <v>#REF!</v>
      </c>
      <c r="AN52" s="277">
        <f t="shared" si="36"/>
        <v>0</v>
      </c>
      <c r="AO52" s="278">
        <f t="shared" si="29"/>
        <v>539161302</v>
      </c>
      <c r="AP52" s="1694"/>
      <c r="AQ52" s="1694"/>
      <c r="AR52" s="1694"/>
      <c r="AS52" s="1715"/>
      <c r="AU52" s="276">
        <f t="shared" si="21"/>
        <v>37</v>
      </c>
      <c r="AV52" s="349">
        <f t="shared" si="34"/>
        <v>-1491804.3599999999</v>
      </c>
      <c r="AW52" s="349">
        <f>-1458149.13-33655.23</f>
        <v>-1491804.3599999999</v>
      </c>
      <c r="AX52" s="1508">
        <v>0</v>
      </c>
      <c r="AY52" s="277">
        <v>0</v>
      </c>
      <c r="AZ52" s="349">
        <v>19602000</v>
      </c>
      <c r="BA52" s="353">
        <f t="shared" si="22"/>
        <v>539161302</v>
      </c>
      <c r="BB52" s="350">
        <v>2.5446400000000001E-2</v>
      </c>
      <c r="BC52" s="350"/>
      <c r="BD52" s="1694"/>
      <c r="BE52" s="355"/>
      <c r="BF52" s="1694"/>
      <c r="BG52" s="1694"/>
      <c r="BI52" s="349">
        <f t="shared" si="24"/>
        <v>0</v>
      </c>
      <c r="BJ52" s="349">
        <v>0</v>
      </c>
      <c r="BK52" s="277">
        <v>0</v>
      </c>
      <c r="BL52" s="277">
        <v>0</v>
      </c>
      <c r="BM52" s="353">
        <f t="shared" si="25"/>
        <v>0</v>
      </c>
      <c r="BN52" s="278"/>
      <c r="BO52" s="278"/>
      <c r="BP52" s="1694"/>
      <c r="BQ52" s="355"/>
      <c r="BR52" s="1694"/>
      <c r="BS52" s="1694"/>
      <c r="BU52" s="276"/>
      <c r="BV52" s="349">
        <f t="shared" si="26"/>
        <v>0</v>
      </c>
      <c r="BW52" s="349"/>
      <c r="BX52" s="277"/>
      <c r="BY52" s="349"/>
      <c r="BZ52" s="353">
        <f t="shared" si="27"/>
        <v>0</v>
      </c>
      <c r="CA52" s="350"/>
      <c r="CB52" s="350"/>
      <c r="CC52" s="1694"/>
      <c r="CD52" s="1476"/>
      <c r="CE52" s="1694"/>
      <c r="CF52" s="1694"/>
    </row>
    <row r="53" spans="1:84" ht="15">
      <c r="A53" s="273" t="s">
        <v>517</v>
      </c>
      <c r="B53" s="274">
        <v>2018</v>
      </c>
      <c r="C53" s="1503">
        <v>43405</v>
      </c>
      <c r="D53" s="274"/>
      <c r="E53" s="275">
        <f t="shared" si="20"/>
        <v>571795302</v>
      </c>
      <c r="F53" s="276">
        <f t="shared" si="16"/>
        <v>44</v>
      </c>
      <c r="G53" s="277" t="e">
        <f t="shared" si="9"/>
        <v>#REF!</v>
      </c>
      <c r="H53" s="277" t="e">
        <f>-ROUNDDOWN(J52*#REF!,0)</f>
        <v>#REF!</v>
      </c>
      <c r="I53" s="277">
        <v>0</v>
      </c>
      <c r="J53" s="278">
        <f t="shared" si="10"/>
        <v>160000000</v>
      </c>
      <c r="K53" s="1694"/>
      <c r="L53" s="1694"/>
      <c r="M53" s="1694"/>
      <c r="O53" s="276">
        <f t="shared" si="17"/>
        <v>44</v>
      </c>
      <c r="P53" s="277" t="e">
        <f t="shared" si="1"/>
        <v>#REF!</v>
      </c>
      <c r="Q53" s="277" t="e">
        <f>-S52*#REF!</f>
        <v>#REF!</v>
      </c>
      <c r="R53" s="277">
        <v>0</v>
      </c>
      <c r="S53" s="278">
        <f t="shared" si="11"/>
        <v>510000000</v>
      </c>
      <c r="T53" s="1694"/>
      <c r="U53" s="1694"/>
      <c r="V53" s="1694"/>
      <c r="X53" s="276">
        <f t="shared" si="18"/>
        <v>44</v>
      </c>
      <c r="Y53" s="277" t="e">
        <f t="shared" si="2"/>
        <v>#REF!</v>
      </c>
      <c r="Z53" s="277" t="e">
        <f>-AB52*#REF!</f>
        <v>#REF!</v>
      </c>
      <c r="AA53" s="277">
        <v>0</v>
      </c>
      <c r="AB53" s="278">
        <f t="shared" si="12"/>
        <v>170000000</v>
      </c>
      <c r="AC53" s="1694"/>
      <c r="AD53" s="1694"/>
      <c r="AE53" s="1694"/>
      <c r="AG53" s="1709"/>
      <c r="AH53" s="1709"/>
      <c r="AI53" s="1709"/>
      <c r="AK53" s="276">
        <f t="shared" si="19"/>
        <v>44</v>
      </c>
      <c r="AL53" s="277" t="e">
        <f t="shared" si="3"/>
        <v>#REF!</v>
      </c>
      <c r="AM53" s="277" t="e">
        <f>-AO52*#REF!</f>
        <v>#REF!</v>
      </c>
      <c r="AN53" s="277">
        <f t="shared" si="36"/>
        <v>0</v>
      </c>
      <c r="AO53" s="278">
        <f t="shared" si="29"/>
        <v>571795302</v>
      </c>
      <c r="AP53" s="1694"/>
      <c r="AQ53" s="1694"/>
      <c r="AR53" s="1694"/>
      <c r="AS53" s="1715"/>
      <c r="AU53" s="276">
        <f t="shared" si="21"/>
        <v>38</v>
      </c>
      <c r="AV53" s="349">
        <f t="shared" si="34"/>
        <v>-1165235.99</v>
      </c>
      <c r="AW53" s="349">
        <f>-1122872.13-42363.86</f>
        <v>-1165235.99</v>
      </c>
      <c r="AX53" s="1508">
        <v>0</v>
      </c>
      <c r="AY53" s="277">
        <v>0</v>
      </c>
      <c r="AZ53" s="349">
        <v>32634000</v>
      </c>
      <c r="BA53" s="353">
        <f t="shared" si="22"/>
        <v>571795302</v>
      </c>
      <c r="BB53" s="350">
        <v>2.2735700000000001E-2</v>
      </c>
      <c r="BC53" s="350"/>
      <c r="BD53" s="1694"/>
      <c r="BE53" s="355"/>
      <c r="BF53" s="1694"/>
      <c r="BG53" s="1694"/>
      <c r="BI53" s="349">
        <f t="shared" si="24"/>
        <v>0</v>
      </c>
      <c r="BJ53" s="349">
        <v>0</v>
      </c>
      <c r="BK53" s="277">
        <v>0</v>
      </c>
      <c r="BL53" s="277">
        <v>0</v>
      </c>
      <c r="BM53" s="353">
        <f t="shared" si="25"/>
        <v>0</v>
      </c>
      <c r="BN53" s="278"/>
      <c r="BO53" s="278"/>
      <c r="BP53" s="1694"/>
      <c r="BQ53" s="355"/>
      <c r="BR53" s="1694"/>
      <c r="BS53" s="1694"/>
      <c r="BU53" s="276"/>
      <c r="BV53" s="349">
        <f t="shared" si="26"/>
        <v>0</v>
      </c>
      <c r="BW53" s="349"/>
      <c r="BX53" s="277"/>
      <c r="BY53" s="349"/>
      <c r="BZ53" s="353">
        <f t="shared" si="27"/>
        <v>0</v>
      </c>
      <c r="CA53" s="350"/>
      <c r="CB53" s="350"/>
      <c r="CC53" s="1694"/>
      <c r="CD53" s="1476"/>
      <c r="CE53" s="1694"/>
      <c r="CF53" s="1694"/>
    </row>
    <row r="54" spans="1:84" ht="15">
      <c r="A54" s="273" t="s">
        <v>518</v>
      </c>
      <c r="B54" s="274">
        <v>2018</v>
      </c>
      <c r="C54" s="1503">
        <v>43435</v>
      </c>
      <c r="D54" s="274"/>
      <c r="E54" s="275">
        <f t="shared" si="20"/>
        <v>600316302</v>
      </c>
      <c r="F54" s="276">
        <f t="shared" si="16"/>
        <v>45</v>
      </c>
      <c r="G54" s="277" t="e">
        <f t="shared" si="9"/>
        <v>#REF!</v>
      </c>
      <c r="H54" s="277" t="e">
        <f>-ROUNDDOWN(J53*#REF!,0)</f>
        <v>#REF!</v>
      </c>
      <c r="I54" s="277">
        <v>0</v>
      </c>
      <c r="J54" s="278">
        <f t="shared" si="10"/>
        <v>160000000</v>
      </c>
      <c r="K54" s="1694"/>
      <c r="L54" s="1694"/>
      <c r="M54" s="1694"/>
      <c r="O54" s="276">
        <f t="shared" si="17"/>
        <v>45</v>
      </c>
      <c r="P54" s="277" t="e">
        <f t="shared" si="1"/>
        <v>#REF!</v>
      </c>
      <c r="Q54" s="277" t="e">
        <f>-S53*#REF!</f>
        <v>#REF!</v>
      </c>
      <c r="R54" s="277">
        <v>0</v>
      </c>
      <c r="S54" s="278">
        <f t="shared" si="11"/>
        <v>510000000</v>
      </c>
      <c r="T54" s="1694"/>
      <c r="U54" s="1694"/>
      <c r="V54" s="1694"/>
      <c r="X54" s="276">
        <f t="shared" si="18"/>
        <v>45</v>
      </c>
      <c r="Y54" s="277" t="e">
        <f t="shared" si="2"/>
        <v>#REF!</v>
      </c>
      <c r="Z54" s="277" t="e">
        <f>-AB53*#REF!</f>
        <v>#REF!</v>
      </c>
      <c r="AA54" s="277">
        <v>0</v>
      </c>
      <c r="AB54" s="278">
        <f t="shared" si="12"/>
        <v>170000000</v>
      </c>
      <c r="AC54" s="1694"/>
      <c r="AD54" s="1694"/>
      <c r="AE54" s="1694"/>
      <c r="AG54" s="1709"/>
      <c r="AH54" s="1709"/>
      <c r="AI54" s="1709"/>
      <c r="AK54" s="276">
        <f t="shared" si="19"/>
        <v>45</v>
      </c>
      <c r="AL54" s="277" t="e">
        <f t="shared" si="3"/>
        <v>#REF!</v>
      </c>
      <c r="AM54" s="277" t="e">
        <f>-AO53*#REF!</f>
        <v>#REF!</v>
      </c>
      <c r="AN54" s="277">
        <f t="shared" si="36"/>
        <v>0</v>
      </c>
      <c r="AO54" s="278">
        <f t="shared" si="29"/>
        <v>600316302</v>
      </c>
      <c r="AP54" s="1694"/>
      <c r="AQ54" s="1694"/>
      <c r="AR54" s="1694"/>
      <c r="AS54" s="1715"/>
      <c r="AU54" s="276">
        <f t="shared" si="21"/>
        <v>39</v>
      </c>
      <c r="AV54" s="349">
        <f t="shared" si="34"/>
        <v>-1139740.6200000001</v>
      </c>
      <c r="AW54" s="349">
        <f>-1074692.35-65048.27</f>
        <v>-1139740.6200000001</v>
      </c>
      <c r="AX54" s="1508">
        <v>0</v>
      </c>
      <c r="AY54" s="277">
        <v>0</v>
      </c>
      <c r="AZ54" s="349">
        <v>28521000</v>
      </c>
      <c r="BA54" s="353">
        <f t="shared" si="22"/>
        <v>600316302</v>
      </c>
      <c r="BB54" s="350">
        <v>3.3939299999999999E-2</v>
      </c>
      <c r="BC54" s="350"/>
      <c r="BD54" s="1694"/>
      <c r="BE54" s="355"/>
      <c r="BF54" s="1694"/>
      <c r="BG54" s="1694"/>
      <c r="BI54" s="349">
        <f t="shared" si="24"/>
        <v>0</v>
      </c>
      <c r="BJ54" s="349">
        <v>0</v>
      </c>
      <c r="BK54" s="277">
        <v>0</v>
      </c>
      <c r="BL54" s="277">
        <v>0</v>
      </c>
      <c r="BM54" s="353">
        <f t="shared" si="25"/>
        <v>0</v>
      </c>
      <c r="BN54" s="278"/>
      <c r="BO54" s="278"/>
      <c r="BP54" s="1694"/>
      <c r="BQ54" s="355"/>
      <c r="BR54" s="1694"/>
      <c r="BS54" s="1694"/>
      <c r="BU54" s="276"/>
      <c r="BV54" s="349">
        <f t="shared" si="26"/>
        <v>0</v>
      </c>
      <c r="BW54" s="349"/>
      <c r="BX54" s="277"/>
      <c r="BY54" s="349"/>
      <c r="BZ54" s="353">
        <f t="shared" si="27"/>
        <v>0</v>
      </c>
      <c r="CA54" s="350"/>
      <c r="CB54" s="350"/>
      <c r="CC54" s="1694"/>
      <c r="CD54" s="1476"/>
      <c r="CE54" s="1694"/>
      <c r="CF54" s="1694"/>
    </row>
    <row r="55" spans="1:84" ht="15">
      <c r="A55" s="273" t="s">
        <v>519</v>
      </c>
      <c r="B55" s="274">
        <v>2019</v>
      </c>
      <c r="C55" s="1503">
        <v>43466</v>
      </c>
      <c r="D55" s="274"/>
      <c r="E55" s="275">
        <f t="shared" si="20"/>
        <v>626240302</v>
      </c>
      <c r="F55" s="276">
        <f t="shared" si="16"/>
        <v>46</v>
      </c>
      <c r="G55" s="277" t="e">
        <f t="shared" si="9"/>
        <v>#REF!</v>
      </c>
      <c r="H55" s="277" t="e">
        <f>-ROUNDDOWN(J54*#REF!,0)</f>
        <v>#REF!</v>
      </c>
      <c r="I55" s="277">
        <v>0</v>
      </c>
      <c r="J55" s="278">
        <f t="shared" si="10"/>
        <v>160000000</v>
      </c>
      <c r="K55" s="1694"/>
      <c r="L55" s="1694"/>
      <c r="M55" s="1694"/>
      <c r="O55" s="276">
        <f t="shared" si="17"/>
        <v>46</v>
      </c>
      <c r="P55" s="277" t="e">
        <f t="shared" si="1"/>
        <v>#REF!</v>
      </c>
      <c r="Q55" s="277" t="e">
        <f>-S54*#REF!</f>
        <v>#REF!</v>
      </c>
      <c r="R55" s="277">
        <v>0</v>
      </c>
      <c r="S55" s="278">
        <f t="shared" si="11"/>
        <v>510000000</v>
      </c>
      <c r="T55" s="1694"/>
      <c r="U55" s="1694"/>
      <c r="V55" s="1694"/>
      <c r="X55" s="276">
        <f t="shared" si="18"/>
        <v>46</v>
      </c>
      <c r="Y55" s="277" t="e">
        <f t="shared" si="2"/>
        <v>#REF!</v>
      </c>
      <c r="Z55" s="277" t="e">
        <f>-AB54*#REF!</f>
        <v>#REF!</v>
      </c>
      <c r="AA55" s="277">
        <v>0</v>
      </c>
      <c r="AB55" s="278">
        <f t="shared" si="12"/>
        <v>170000000</v>
      </c>
      <c r="AC55" s="1694"/>
      <c r="AD55" s="1694"/>
      <c r="AE55" s="1694"/>
      <c r="AG55" s="1709"/>
      <c r="AH55" s="1709"/>
      <c r="AI55" s="1709"/>
      <c r="AK55" s="276">
        <f t="shared" si="19"/>
        <v>46</v>
      </c>
      <c r="AL55" s="277" t="e">
        <f t="shared" si="3"/>
        <v>#REF!</v>
      </c>
      <c r="AM55" s="277" t="e">
        <f>-AO54*#REF!</f>
        <v>#REF!</v>
      </c>
      <c r="AN55" s="277">
        <f t="shared" si="36"/>
        <v>0</v>
      </c>
      <c r="AO55" s="278">
        <f t="shared" si="29"/>
        <v>626240302</v>
      </c>
      <c r="AP55" s="1694"/>
      <c r="AQ55" s="1694"/>
      <c r="AR55" s="1694"/>
      <c r="AS55" s="1715"/>
      <c r="AU55" s="276">
        <f t="shared" si="21"/>
        <v>40</v>
      </c>
      <c r="AV55" s="349">
        <f t="shared" si="34"/>
        <v>-1730421.28</v>
      </c>
      <c r="AW55" s="349">
        <f>-1648209.04-82212.24</f>
        <v>-1730421.28</v>
      </c>
      <c r="AX55" s="1508">
        <v>0</v>
      </c>
      <c r="AY55" s="277">
        <v>0</v>
      </c>
      <c r="AZ55" s="349">
        <v>25924000</v>
      </c>
      <c r="BA55" s="353">
        <f>SUM(AY55:AZ55)+BA54</f>
        <v>626240302</v>
      </c>
      <c r="BB55" s="350">
        <f>BB5</f>
        <v>1.23929E-2</v>
      </c>
      <c r="BC55" s="350"/>
      <c r="BD55" s="1694"/>
      <c r="BE55" s="355"/>
      <c r="BF55" s="1694"/>
      <c r="BG55" s="1694"/>
      <c r="BI55" s="349">
        <f>SUM(BJ55:BK55)</f>
        <v>0</v>
      </c>
      <c r="BJ55" s="349">
        <v>0</v>
      </c>
      <c r="BK55" s="277">
        <v>0</v>
      </c>
      <c r="BL55" s="277">
        <v>0</v>
      </c>
      <c r="BM55" s="353">
        <f>SUM(BK55:BL55)+BM54</f>
        <v>0</v>
      </c>
      <c r="BN55" s="278"/>
      <c r="BO55" s="278"/>
      <c r="BP55" s="1694"/>
      <c r="BQ55" s="355"/>
      <c r="BR55" s="1694"/>
      <c r="BS55" s="1694"/>
      <c r="BU55" s="276"/>
      <c r="BV55" s="349">
        <f>SUM(BW55:BX55)</f>
        <v>0</v>
      </c>
      <c r="BW55" s="349"/>
      <c r="BX55" s="277"/>
      <c r="BY55" s="349"/>
      <c r="BZ55" s="353">
        <f>SUM(BX55:BY55)+BZ54</f>
        <v>0</v>
      </c>
      <c r="CA55" s="350"/>
      <c r="CB55" s="350"/>
      <c r="CC55" s="1694"/>
      <c r="CD55" s="1476"/>
      <c r="CE55" s="1694"/>
      <c r="CF55" s="1694"/>
    </row>
    <row r="56" spans="1:84" ht="15">
      <c r="A56" s="273" t="s">
        <v>520</v>
      </c>
      <c r="B56" s="274">
        <v>2019</v>
      </c>
      <c r="C56" s="1503">
        <v>43497</v>
      </c>
      <c r="D56" s="274"/>
      <c r="E56" s="275">
        <f t="shared" si="20"/>
        <v>660720302</v>
      </c>
      <c r="F56" s="276">
        <f t="shared" si="16"/>
        <v>47</v>
      </c>
      <c r="G56" s="277" t="e">
        <f t="shared" si="9"/>
        <v>#REF!</v>
      </c>
      <c r="H56" s="277" t="e">
        <f>-ROUNDDOWN(J55*#REF!,0)</f>
        <v>#REF!</v>
      </c>
      <c r="I56" s="277">
        <v>0</v>
      </c>
      <c r="J56" s="278">
        <f t="shared" si="10"/>
        <v>160000000</v>
      </c>
      <c r="K56" s="1694"/>
      <c r="L56" s="1694"/>
      <c r="M56" s="1694"/>
      <c r="O56" s="276">
        <f t="shared" si="17"/>
        <v>47</v>
      </c>
      <c r="P56" s="277" t="e">
        <f t="shared" si="1"/>
        <v>#REF!</v>
      </c>
      <c r="Q56" s="277" t="e">
        <f>-S55*#REF!</f>
        <v>#REF!</v>
      </c>
      <c r="R56" s="277">
        <v>0</v>
      </c>
      <c r="S56" s="278">
        <f t="shared" si="11"/>
        <v>510000000</v>
      </c>
      <c r="T56" s="1694"/>
      <c r="U56" s="1694"/>
      <c r="V56" s="1694"/>
      <c r="X56" s="276">
        <f t="shared" si="18"/>
        <v>47</v>
      </c>
      <c r="Y56" s="277" t="e">
        <f t="shared" si="2"/>
        <v>#REF!</v>
      </c>
      <c r="Z56" s="277" t="e">
        <f>-AB55*#REF!</f>
        <v>#REF!</v>
      </c>
      <c r="AA56" s="277">
        <v>0</v>
      </c>
      <c r="AB56" s="278">
        <f t="shared" si="12"/>
        <v>170000000</v>
      </c>
      <c r="AC56" s="1694"/>
      <c r="AD56" s="1694"/>
      <c r="AE56" s="1694"/>
      <c r="AG56" s="1709"/>
      <c r="AH56" s="1709"/>
      <c r="AI56" s="1709"/>
      <c r="AK56" s="276">
        <f t="shared" si="19"/>
        <v>47</v>
      </c>
      <c r="AL56" s="277" t="e">
        <f t="shared" si="3"/>
        <v>#REF!</v>
      </c>
      <c r="AM56" s="277" t="e">
        <f>-AO55*#REF!</f>
        <v>#REF!</v>
      </c>
      <c r="AN56" s="277">
        <f t="shared" si="36"/>
        <v>0</v>
      </c>
      <c r="AO56" s="278">
        <f t="shared" si="29"/>
        <v>660720302</v>
      </c>
      <c r="AP56" s="1694"/>
      <c r="AQ56" s="1694"/>
      <c r="AR56" s="1694"/>
      <c r="AS56" s="1715"/>
      <c r="AU56" s="276">
        <f t="shared" si="21"/>
        <v>41</v>
      </c>
      <c r="AV56" s="349">
        <f t="shared" si="34"/>
        <v>-1050022.78</v>
      </c>
      <c r="AW56" s="349">
        <f>-1006555.77-43467.01</f>
        <v>-1050022.78</v>
      </c>
      <c r="AX56" s="1508">
        <v>0</v>
      </c>
      <c r="AY56" s="277">
        <v>0</v>
      </c>
      <c r="AZ56" s="349">
        <v>34480000</v>
      </c>
      <c r="BA56" s="353">
        <f t="shared" si="22"/>
        <v>660720302</v>
      </c>
      <c r="BB56" s="421">
        <v>2.1503600000000001E-2</v>
      </c>
      <c r="BC56" s="279">
        <f>BC7</f>
        <v>0.01</v>
      </c>
      <c r="BD56" s="1694"/>
      <c r="BE56" s="355">
        <f>-BA55*BC56/12</f>
        <v>-521866.91833333339</v>
      </c>
      <c r="BF56" s="1694"/>
      <c r="BG56" s="1694"/>
      <c r="BI56" s="349">
        <f>SUM(BJ56:BK56)</f>
        <v>0</v>
      </c>
      <c r="BJ56" s="349">
        <v>0</v>
      </c>
      <c r="BK56" s="277">
        <v>0</v>
      </c>
      <c r="BL56" s="277">
        <v>0</v>
      </c>
      <c r="BM56" s="278">
        <f t="shared" ref="BM56:BM87" si="37">SUM(BK56:BL56)+BM55</f>
        <v>0</v>
      </c>
      <c r="BN56" s="278"/>
      <c r="BO56" s="279">
        <f>BC56</f>
        <v>0.01</v>
      </c>
      <c r="BP56" s="1694"/>
      <c r="BQ56" s="355"/>
      <c r="BR56" s="1694"/>
      <c r="BS56" s="1694"/>
      <c r="BU56" s="276"/>
      <c r="BV56" s="349">
        <f>SUM(BW56:BX56)</f>
        <v>0</v>
      </c>
      <c r="BW56" s="349"/>
      <c r="BX56" s="277"/>
      <c r="BY56" s="349"/>
      <c r="BZ56" s="353">
        <f t="shared" ref="BZ56:BZ80" si="38">SUM(BX56:BY56)+BZ55</f>
        <v>0</v>
      </c>
      <c r="CA56" s="421"/>
      <c r="CB56" s="279">
        <f>CB7</f>
        <v>0.01</v>
      </c>
      <c r="CC56" s="1694"/>
      <c r="CD56" s="1476">
        <f>-BZ55*CB56/12</f>
        <v>0</v>
      </c>
      <c r="CE56" s="1694"/>
      <c r="CF56" s="1694"/>
    </row>
    <row r="57" spans="1:84" ht="15">
      <c r="A57" s="273" t="s">
        <v>521</v>
      </c>
      <c r="B57" s="274">
        <v>2019</v>
      </c>
      <c r="C57" s="1503">
        <v>43525</v>
      </c>
      <c r="D57" s="274"/>
      <c r="E57" s="275">
        <f t="shared" si="20"/>
        <v>684331302</v>
      </c>
      <c r="F57" s="276">
        <f t="shared" si="16"/>
        <v>48</v>
      </c>
      <c r="G57" s="277" t="e">
        <f t="shared" si="9"/>
        <v>#REF!</v>
      </c>
      <c r="H57" s="277" t="e">
        <f>-ROUNDDOWN(J56*#REF!,0)</f>
        <v>#REF!</v>
      </c>
      <c r="I57" s="277">
        <v>0</v>
      </c>
      <c r="J57" s="278">
        <f t="shared" si="10"/>
        <v>160000000</v>
      </c>
      <c r="K57" s="1694"/>
      <c r="L57" s="1694"/>
      <c r="M57" s="1694"/>
      <c r="O57" s="276">
        <f t="shared" si="17"/>
        <v>48</v>
      </c>
      <c r="P57" s="277" t="e">
        <f t="shared" si="1"/>
        <v>#REF!</v>
      </c>
      <c r="Q57" s="277" t="e">
        <f>-S56*#REF!</f>
        <v>#REF!</v>
      </c>
      <c r="R57" s="277">
        <v>0</v>
      </c>
      <c r="S57" s="278">
        <f t="shared" si="11"/>
        <v>510000000</v>
      </c>
      <c r="T57" s="1694"/>
      <c r="U57" s="1694"/>
      <c r="V57" s="1694"/>
      <c r="X57" s="276">
        <f t="shared" si="18"/>
        <v>48</v>
      </c>
      <c r="Y57" s="277" t="e">
        <f t="shared" si="2"/>
        <v>#REF!</v>
      </c>
      <c r="Z57" s="277" t="e">
        <f>-AB56*#REF!</f>
        <v>#REF!</v>
      </c>
      <c r="AA57" s="277">
        <v>0</v>
      </c>
      <c r="AB57" s="278">
        <f t="shared" si="12"/>
        <v>170000000</v>
      </c>
      <c r="AC57" s="1694"/>
      <c r="AD57" s="1694"/>
      <c r="AE57" s="1694"/>
      <c r="AG57" s="1709"/>
      <c r="AH57" s="1709"/>
      <c r="AI57" s="1709"/>
      <c r="AK57" s="276">
        <f t="shared" si="19"/>
        <v>48</v>
      </c>
      <c r="AL57" s="277" t="e">
        <f t="shared" si="3"/>
        <v>#REF!</v>
      </c>
      <c r="AM57" s="277" t="e">
        <f>-AO56*#REF!</f>
        <v>#REF!</v>
      </c>
      <c r="AN57" s="277">
        <f t="shared" si="36"/>
        <v>0</v>
      </c>
      <c r="AO57" s="278">
        <f>E57</f>
        <v>684331302</v>
      </c>
      <c r="AP57" s="1694"/>
      <c r="AQ57" s="1694"/>
      <c r="AR57" s="1694"/>
      <c r="AS57" s="1715"/>
      <c r="AU57" s="276">
        <f t="shared" si="21"/>
        <v>42</v>
      </c>
      <c r="AV57" s="277">
        <f t="shared" si="34"/>
        <v>-1089918.42</v>
      </c>
      <c r="AW57" s="423">
        <v>-1089918.42</v>
      </c>
      <c r="AX57" s="1510">
        <v>0</v>
      </c>
      <c r="AY57" s="277">
        <v>0</v>
      </c>
      <c r="AZ57" s="423">
        <v>23611000</v>
      </c>
      <c r="BA57" s="278">
        <f t="shared" si="22"/>
        <v>684331302</v>
      </c>
      <c r="BB57" s="421">
        <v>2.82857E-2</v>
      </c>
      <c r="BC57" s="279">
        <f t="shared" ref="BC57:BC81" si="39">BC56</f>
        <v>0.01</v>
      </c>
      <c r="BD57" s="1694"/>
      <c r="BE57" s="355">
        <f t="shared" ref="BE57:BE120" si="40">-BA56*BC57/12</f>
        <v>-550600.25166666671</v>
      </c>
      <c r="BF57" s="1694"/>
      <c r="BG57" s="1694"/>
      <c r="BI57" s="277">
        <f t="shared" ref="BI57:BI120" si="41">SUM(BJ57:BK57)</f>
        <v>0</v>
      </c>
      <c r="BJ57" s="277">
        <f t="shared" ref="BJ57:BJ108" si="42">-BM56*BN56/12</f>
        <v>0</v>
      </c>
      <c r="BK57" s="277">
        <v>0</v>
      </c>
      <c r="BL57" s="277">
        <v>0</v>
      </c>
      <c r="BM57" s="278">
        <f t="shared" si="37"/>
        <v>0</v>
      </c>
      <c r="BN57" s="278"/>
      <c r="BO57" s="279">
        <f>BO56</f>
        <v>0.01</v>
      </c>
      <c r="BP57" s="1694"/>
      <c r="BQ57" s="355"/>
      <c r="BR57" s="1694"/>
      <c r="BS57" s="1694"/>
      <c r="BU57" s="276"/>
      <c r="BV57" s="277">
        <f t="shared" ref="BV57:BV74" si="43">SUM(BW57:BX57)</f>
        <v>0</v>
      </c>
      <c r="BW57" s="423"/>
      <c r="BX57" s="277"/>
      <c r="BY57" s="423"/>
      <c r="BZ57" s="278">
        <f t="shared" si="38"/>
        <v>0</v>
      </c>
      <c r="CA57" s="421"/>
      <c r="CB57" s="279">
        <f t="shared" ref="CB57:CB81" si="44">CB56</f>
        <v>0.01</v>
      </c>
      <c r="CC57" s="1694"/>
      <c r="CD57" s="1476">
        <f t="shared" ref="CD57:CD120" si="45">-BZ56*CB57/12</f>
        <v>0</v>
      </c>
      <c r="CE57" s="1694"/>
      <c r="CF57" s="1694"/>
    </row>
    <row r="58" spans="1:84" ht="15">
      <c r="A58" s="270" t="s">
        <v>510</v>
      </c>
      <c r="B58" s="266">
        <v>2019</v>
      </c>
      <c r="C58" s="1504">
        <v>43556</v>
      </c>
      <c r="D58" s="266"/>
      <c r="E58" s="265">
        <f t="shared" si="20"/>
        <v>700461302</v>
      </c>
      <c r="F58" s="267">
        <f t="shared" si="16"/>
        <v>49</v>
      </c>
      <c r="G58" s="268" t="e">
        <f t="shared" si="9"/>
        <v>#REF!</v>
      </c>
      <c r="H58" s="268" t="e">
        <f>-ROUNDDOWN(J57*#REF!,0)</f>
        <v>#REF!</v>
      </c>
      <c r="I58" s="268" t="e">
        <f>IF(ROUNDDOWN(J57,0)=0,0,-#REF!)</f>
        <v>#REF!</v>
      </c>
      <c r="J58" s="269" t="e">
        <f t="shared" si="10"/>
        <v>#REF!</v>
      </c>
      <c r="K58" s="1695" t="s">
        <v>4</v>
      </c>
      <c r="L58" s="1695" t="e">
        <f>SUM(H58:H69)</f>
        <v>#REF!</v>
      </c>
      <c r="M58" s="1695" t="e">
        <f>SUM(I58:I69)</f>
        <v>#REF!</v>
      </c>
      <c r="O58" s="267">
        <f t="shared" si="17"/>
        <v>49</v>
      </c>
      <c r="P58" s="268" t="e">
        <f t="shared" si="1"/>
        <v>#REF!</v>
      </c>
      <c r="Q58" s="268" t="e">
        <f>-S57*#REF!</f>
        <v>#REF!</v>
      </c>
      <c r="R58" s="268">
        <v>0</v>
      </c>
      <c r="S58" s="269">
        <f t="shared" si="11"/>
        <v>510000000</v>
      </c>
      <c r="T58" s="1695" t="s">
        <v>4</v>
      </c>
      <c r="U58" s="1695" t="e">
        <f>SUM(Q58:Q69)</f>
        <v>#REF!</v>
      </c>
      <c r="V58" s="1695">
        <f>SUM(R58:R69)</f>
        <v>0</v>
      </c>
      <c r="X58" s="267">
        <f t="shared" si="18"/>
        <v>49</v>
      </c>
      <c r="Y58" s="268" t="e">
        <f t="shared" si="2"/>
        <v>#REF!</v>
      </c>
      <c r="Z58" s="268" t="e">
        <f>-AB57*#REF!</f>
        <v>#REF!</v>
      </c>
      <c r="AA58" s="268">
        <v>0</v>
      </c>
      <c r="AB58" s="269">
        <f t="shared" si="12"/>
        <v>170000000</v>
      </c>
      <c r="AC58" s="1695" t="s">
        <v>4</v>
      </c>
      <c r="AD58" s="1695" t="e">
        <f>SUM(Z58:Z69)</f>
        <v>#REF!</v>
      </c>
      <c r="AE58" s="1695">
        <f>SUM(AA58:AA69)</f>
        <v>0</v>
      </c>
      <c r="AG58" s="1710" t="s">
        <v>4</v>
      </c>
      <c r="AH58" s="1710" t="e">
        <f>L58+U58+AD58</f>
        <v>#REF!</v>
      </c>
      <c r="AI58" s="1710" t="e">
        <f>M58+V58+AE58</f>
        <v>#REF!</v>
      </c>
      <c r="AK58" s="267">
        <f t="shared" si="19"/>
        <v>49</v>
      </c>
      <c r="AL58" s="268" t="e">
        <f t="shared" si="3"/>
        <v>#REF!</v>
      </c>
      <c r="AM58" s="268" t="e">
        <f>-AO57*#REF!</f>
        <v>#REF!</v>
      </c>
      <c r="AN58" s="268" t="e">
        <f>$AR$58/12</f>
        <v>#REF!</v>
      </c>
      <c r="AO58" s="269" t="e">
        <f>AN58+AO57</f>
        <v>#REF!</v>
      </c>
      <c r="AP58" s="1695" t="s">
        <v>4</v>
      </c>
      <c r="AQ58" s="1695" t="e">
        <f>SUM(AM58:AM69)</f>
        <v>#REF!</v>
      </c>
      <c r="AR58" s="1695" t="e">
        <f>-AS58*#REF!</f>
        <v>#REF!</v>
      </c>
      <c r="AS58" s="1711">
        <v>0.05</v>
      </c>
      <c r="AU58" s="267">
        <f t="shared" si="21"/>
        <v>43</v>
      </c>
      <c r="AV58" s="268">
        <f t="shared" si="34"/>
        <v>-1697034</v>
      </c>
      <c r="AW58" s="424">
        <v>-1697034</v>
      </c>
      <c r="AX58" s="1511">
        <v>0</v>
      </c>
      <c r="AY58" s="424">
        <v>0</v>
      </c>
      <c r="AZ58" s="424">
        <v>16130000</v>
      </c>
      <c r="BA58" s="269">
        <f t="shared" si="22"/>
        <v>700461302</v>
      </c>
      <c r="BB58" s="422">
        <v>3.2660700000000001E-2</v>
      </c>
      <c r="BC58" s="272">
        <f t="shared" si="39"/>
        <v>0.01</v>
      </c>
      <c r="BD58" s="1695" t="s">
        <v>4</v>
      </c>
      <c r="BE58" s="354">
        <f t="shared" si="40"/>
        <v>-570276.08500000008</v>
      </c>
      <c r="BF58" s="1695">
        <f>SUM(AW58:AW69)</f>
        <v>-23663446</v>
      </c>
      <c r="BG58" s="1695">
        <f>SUM(AY58:AZ69)</f>
        <v>110277000</v>
      </c>
      <c r="BI58" s="268">
        <f t="shared" si="41"/>
        <v>0</v>
      </c>
      <c r="BJ58" s="268">
        <f t="shared" si="42"/>
        <v>0</v>
      </c>
      <c r="BK58" s="268">
        <v>0</v>
      </c>
      <c r="BL58" s="268">
        <v>0</v>
      </c>
      <c r="BM58" s="269">
        <f t="shared" si="37"/>
        <v>0</v>
      </c>
      <c r="BN58" s="272">
        <v>0</v>
      </c>
      <c r="BO58" s="272">
        <f>BO57</f>
        <v>0.01</v>
      </c>
      <c r="BP58" s="1695" t="s">
        <v>4</v>
      </c>
      <c r="BQ58" s="354"/>
      <c r="BR58" s="1695">
        <f>SUM(BJ58:BJ69)</f>
        <v>0</v>
      </c>
      <c r="BS58" s="1695">
        <f>SUM(BK58:BL69)</f>
        <v>0</v>
      </c>
      <c r="BU58" s="267"/>
      <c r="BV58" s="268">
        <f t="shared" si="43"/>
        <v>0</v>
      </c>
      <c r="BW58" s="424"/>
      <c r="BX58" s="424"/>
      <c r="BY58" s="424"/>
      <c r="BZ58" s="269">
        <f t="shared" si="38"/>
        <v>0</v>
      </c>
      <c r="CA58" s="422"/>
      <c r="CB58" s="272">
        <f t="shared" si="44"/>
        <v>0.01</v>
      </c>
      <c r="CC58" s="1695" t="s">
        <v>4</v>
      </c>
      <c r="CD58" s="1478">
        <f t="shared" si="45"/>
        <v>0</v>
      </c>
      <c r="CE58" s="1695">
        <f>SUM(BW58:BW69)</f>
        <v>0</v>
      </c>
      <c r="CF58" s="1695">
        <f>SUM(BX58:BY69)</f>
        <v>0</v>
      </c>
    </row>
    <row r="59" spans="1:84" ht="15">
      <c r="A59" s="270" t="s">
        <v>511</v>
      </c>
      <c r="B59" s="266">
        <v>2019</v>
      </c>
      <c r="C59" s="1504">
        <v>43586</v>
      </c>
      <c r="D59" s="266"/>
      <c r="E59" s="265">
        <f t="shared" si="20"/>
        <v>700461302</v>
      </c>
      <c r="F59" s="267">
        <f t="shared" si="16"/>
        <v>50</v>
      </c>
      <c r="G59" s="268" t="e">
        <f t="shared" si="9"/>
        <v>#REF!</v>
      </c>
      <c r="H59" s="268" t="e">
        <f>-ROUNDDOWN(J58*#REF!,0)</f>
        <v>#REF!</v>
      </c>
      <c r="I59" s="268" t="e">
        <f>IF(ROUNDDOWN(J58,0)=0,0,-#REF!)</f>
        <v>#REF!</v>
      </c>
      <c r="J59" s="269" t="e">
        <f t="shared" si="10"/>
        <v>#REF!</v>
      </c>
      <c r="K59" s="1695"/>
      <c r="L59" s="1695"/>
      <c r="M59" s="1695"/>
      <c r="O59" s="267">
        <f t="shared" si="17"/>
        <v>50</v>
      </c>
      <c r="P59" s="268" t="e">
        <f t="shared" si="1"/>
        <v>#REF!</v>
      </c>
      <c r="Q59" s="268" t="e">
        <f>-S58*#REF!</f>
        <v>#REF!</v>
      </c>
      <c r="R59" s="268">
        <v>0</v>
      </c>
      <c r="S59" s="269">
        <f t="shared" si="11"/>
        <v>510000000</v>
      </c>
      <c r="T59" s="1695"/>
      <c r="U59" s="1695"/>
      <c r="V59" s="1695"/>
      <c r="X59" s="267">
        <f t="shared" si="18"/>
        <v>50</v>
      </c>
      <c r="Y59" s="268" t="e">
        <f t="shared" si="2"/>
        <v>#REF!</v>
      </c>
      <c r="Z59" s="268" t="e">
        <f>-AB58*#REF!</f>
        <v>#REF!</v>
      </c>
      <c r="AA59" s="268">
        <v>0</v>
      </c>
      <c r="AB59" s="269">
        <f t="shared" si="12"/>
        <v>170000000</v>
      </c>
      <c r="AC59" s="1695"/>
      <c r="AD59" s="1695"/>
      <c r="AE59" s="1695"/>
      <c r="AG59" s="1710"/>
      <c r="AH59" s="1710"/>
      <c r="AI59" s="1710"/>
      <c r="AK59" s="267">
        <f t="shared" si="19"/>
        <v>50</v>
      </c>
      <c r="AL59" s="268" t="e">
        <f t="shared" si="3"/>
        <v>#REF!</v>
      </c>
      <c r="AM59" s="268" t="e">
        <f>-AO58*#REF!</f>
        <v>#REF!</v>
      </c>
      <c r="AN59" s="268" t="e">
        <f t="shared" ref="AN59:AN69" si="46">$AR$58/12</f>
        <v>#REF!</v>
      </c>
      <c r="AO59" s="269" t="e">
        <f t="shared" ref="AO59:AO122" si="47">AN59+AO58</f>
        <v>#REF!</v>
      </c>
      <c r="AP59" s="1695"/>
      <c r="AQ59" s="1695"/>
      <c r="AR59" s="1695"/>
      <c r="AS59" s="1711"/>
      <c r="AU59" s="267">
        <f t="shared" si="21"/>
        <v>44</v>
      </c>
      <c r="AV59" s="268">
        <f t="shared" si="34"/>
        <v>-1880347</v>
      </c>
      <c r="AW59" s="424">
        <v>-1880347</v>
      </c>
      <c r="AX59" s="1511">
        <v>0</v>
      </c>
      <c r="AY59" s="424">
        <v>0</v>
      </c>
      <c r="AZ59" s="424">
        <v>0</v>
      </c>
      <c r="BA59" s="269">
        <f t="shared" si="22"/>
        <v>700461302</v>
      </c>
      <c r="BB59" s="422">
        <v>3.0675000000000001E-2</v>
      </c>
      <c r="BC59" s="272">
        <f t="shared" si="39"/>
        <v>0.01</v>
      </c>
      <c r="BD59" s="1695"/>
      <c r="BE59" s="354">
        <f t="shared" si="40"/>
        <v>-583717.75166666671</v>
      </c>
      <c r="BF59" s="1695"/>
      <c r="BG59" s="1695"/>
      <c r="BI59" s="268">
        <f t="shared" si="41"/>
        <v>0</v>
      </c>
      <c r="BJ59" s="268">
        <f t="shared" si="42"/>
        <v>0</v>
      </c>
      <c r="BK59" s="268">
        <v>0</v>
      </c>
      <c r="BL59" s="268">
        <v>0</v>
      </c>
      <c r="BM59" s="269">
        <f t="shared" si="37"/>
        <v>0</v>
      </c>
      <c r="BN59" s="272">
        <f>BN58</f>
        <v>0</v>
      </c>
      <c r="BO59" s="272">
        <f>BO58</f>
        <v>0.01</v>
      </c>
      <c r="BP59" s="1695"/>
      <c r="BQ59" s="354"/>
      <c r="BR59" s="1695"/>
      <c r="BS59" s="1695"/>
      <c r="BU59" s="267"/>
      <c r="BV59" s="268">
        <f t="shared" si="43"/>
        <v>0</v>
      </c>
      <c r="BW59" s="424"/>
      <c r="BX59" s="424"/>
      <c r="BY59" s="424"/>
      <c r="BZ59" s="269">
        <f t="shared" si="38"/>
        <v>0</v>
      </c>
      <c r="CA59" s="422"/>
      <c r="CB59" s="272">
        <f t="shared" si="44"/>
        <v>0.01</v>
      </c>
      <c r="CC59" s="1695"/>
      <c r="CD59" s="1478">
        <f t="shared" si="45"/>
        <v>0</v>
      </c>
      <c r="CE59" s="1695"/>
      <c r="CF59" s="1695"/>
    </row>
    <row r="60" spans="1:84" ht="15">
      <c r="A60" s="270" t="s">
        <v>512</v>
      </c>
      <c r="B60" s="266">
        <v>2019</v>
      </c>
      <c r="C60" s="1504">
        <v>43617</v>
      </c>
      <c r="D60" s="266"/>
      <c r="E60" s="265">
        <f t="shared" si="20"/>
        <v>718650302</v>
      </c>
      <c r="F60" s="267">
        <f t="shared" si="16"/>
        <v>51</v>
      </c>
      <c r="G60" s="268" t="e">
        <f t="shared" si="9"/>
        <v>#REF!</v>
      </c>
      <c r="H60" s="268" t="e">
        <f>-ROUNDDOWN(J59*#REF!,0)</f>
        <v>#REF!</v>
      </c>
      <c r="I60" s="268" t="e">
        <f>IF(ROUNDDOWN(J59,0)=0,0,-#REF!)</f>
        <v>#REF!</v>
      </c>
      <c r="J60" s="269" t="e">
        <f t="shared" si="10"/>
        <v>#REF!</v>
      </c>
      <c r="K60" s="1695"/>
      <c r="L60" s="1695"/>
      <c r="M60" s="1695"/>
      <c r="O60" s="267">
        <f t="shared" si="17"/>
        <v>51</v>
      </c>
      <c r="P60" s="268" t="e">
        <f t="shared" si="1"/>
        <v>#REF!</v>
      </c>
      <c r="Q60" s="268" t="e">
        <f>-S59*#REF!</f>
        <v>#REF!</v>
      </c>
      <c r="R60" s="268">
        <v>0</v>
      </c>
      <c r="S60" s="269">
        <f t="shared" si="11"/>
        <v>510000000</v>
      </c>
      <c r="T60" s="1695"/>
      <c r="U60" s="1695"/>
      <c r="V60" s="1695"/>
      <c r="X60" s="267">
        <f t="shared" si="18"/>
        <v>51</v>
      </c>
      <c r="Y60" s="268" t="e">
        <f t="shared" si="2"/>
        <v>#REF!</v>
      </c>
      <c r="Z60" s="268" t="e">
        <f>-AB59*#REF!</f>
        <v>#REF!</v>
      </c>
      <c r="AA60" s="268">
        <v>0</v>
      </c>
      <c r="AB60" s="269">
        <f t="shared" si="12"/>
        <v>170000000</v>
      </c>
      <c r="AC60" s="1695"/>
      <c r="AD60" s="1695"/>
      <c r="AE60" s="1695"/>
      <c r="AG60" s="1710"/>
      <c r="AH60" s="1710"/>
      <c r="AI60" s="1710"/>
      <c r="AK60" s="267">
        <f t="shared" si="19"/>
        <v>51</v>
      </c>
      <c r="AL60" s="268" t="e">
        <f t="shared" si="3"/>
        <v>#REF!</v>
      </c>
      <c r="AM60" s="268" t="e">
        <f>-AO59*#REF!</f>
        <v>#REF!</v>
      </c>
      <c r="AN60" s="268" t="e">
        <f t="shared" si="46"/>
        <v>#REF!</v>
      </c>
      <c r="AO60" s="269" t="e">
        <f t="shared" si="47"/>
        <v>#REF!</v>
      </c>
      <c r="AP60" s="1695"/>
      <c r="AQ60" s="1695"/>
      <c r="AR60" s="1695"/>
      <c r="AS60" s="1711"/>
      <c r="AU60" s="267">
        <f t="shared" si="21"/>
        <v>45</v>
      </c>
      <c r="AV60" s="268">
        <f t="shared" si="34"/>
        <v>-1766026</v>
      </c>
      <c r="AW60" s="424">
        <v>-1766026</v>
      </c>
      <c r="AX60" s="1511">
        <v>0</v>
      </c>
      <c r="AY60" s="424">
        <v>0</v>
      </c>
      <c r="AZ60" s="424">
        <v>18189000</v>
      </c>
      <c r="BA60" s="269">
        <f t="shared" si="22"/>
        <v>718650302</v>
      </c>
      <c r="BB60" s="422">
        <v>3.6810700000000002E-2</v>
      </c>
      <c r="BC60" s="272">
        <f t="shared" si="39"/>
        <v>0.01</v>
      </c>
      <c r="BD60" s="1695"/>
      <c r="BE60" s="354">
        <f t="shared" si="40"/>
        <v>-583717.75166666671</v>
      </c>
      <c r="BF60" s="1695"/>
      <c r="BG60" s="1695"/>
      <c r="BI60" s="268">
        <f t="shared" si="41"/>
        <v>0</v>
      </c>
      <c r="BJ60" s="268">
        <f t="shared" si="42"/>
        <v>0</v>
      </c>
      <c r="BK60" s="268">
        <v>0</v>
      </c>
      <c r="BL60" s="268">
        <v>0</v>
      </c>
      <c r="BM60" s="269">
        <f t="shared" si="37"/>
        <v>0</v>
      </c>
      <c r="BN60" s="272">
        <f t="shared" ref="BN60:BO69" si="48">BN59</f>
        <v>0</v>
      </c>
      <c r="BO60" s="272">
        <f t="shared" si="48"/>
        <v>0.01</v>
      </c>
      <c r="BP60" s="1695"/>
      <c r="BQ60" s="354"/>
      <c r="BR60" s="1695"/>
      <c r="BS60" s="1695"/>
      <c r="BU60" s="267"/>
      <c r="BV60" s="268">
        <f t="shared" si="43"/>
        <v>0</v>
      </c>
      <c r="BW60" s="424"/>
      <c r="BX60" s="424"/>
      <c r="BY60" s="424"/>
      <c r="BZ60" s="269">
        <f t="shared" si="38"/>
        <v>0</v>
      </c>
      <c r="CA60" s="422"/>
      <c r="CB60" s="272">
        <f t="shared" si="44"/>
        <v>0.01</v>
      </c>
      <c r="CC60" s="1695"/>
      <c r="CD60" s="1478">
        <f t="shared" si="45"/>
        <v>0</v>
      </c>
      <c r="CE60" s="1695"/>
      <c r="CF60" s="1695"/>
    </row>
    <row r="61" spans="1:84" ht="15">
      <c r="A61" s="270" t="s">
        <v>513</v>
      </c>
      <c r="B61" s="266">
        <v>2019</v>
      </c>
      <c r="C61" s="1504">
        <v>43647</v>
      </c>
      <c r="D61" s="266"/>
      <c r="E61" s="265">
        <f t="shared" si="20"/>
        <v>718650302</v>
      </c>
      <c r="F61" s="267">
        <f t="shared" si="16"/>
        <v>52</v>
      </c>
      <c r="G61" s="268" t="e">
        <f t="shared" si="9"/>
        <v>#REF!</v>
      </c>
      <c r="H61" s="268" t="e">
        <f>-ROUNDDOWN(J60*#REF!,0)</f>
        <v>#REF!</v>
      </c>
      <c r="I61" s="268" t="e">
        <f>IF(ROUNDDOWN(J60,0)=0,0,-#REF!)</f>
        <v>#REF!</v>
      </c>
      <c r="J61" s="269" t="e">
        <f t="shared" si="10"/>
        <v>#REF!</v>
      </c>
      <c r="K61" s="1695"/>
      <c r="L61" s="1695"/>
      <c r="M61" s="1695"/>
      <c r="O61" s="267">
        <f t="shared" si="17"/>
        <v>52</v>
      </c>
      <c r="P61" s="268" t="e">
        <f t="shared" si="1"/>
        <v>#REF!</v>
      </c>
      <c r="Q61" s="268" t="e">
        <f>-S60*#REF!</f>
        <v>#REF!</v>
      </c>
      <c r="R61" s="268">
        <v>0</v>
      </c>
      <c r="S61" s="269">
        <f t="shared" si="11"/>
        <v>510000000</v>
      </c>
      <c r="T61" s="1695"/>
      <c r="U61" s="1695"/>
      <c r="V61" s="1695"/>
      <c r="X61" s="267">
        <f t="shared" si="18"/>
        <v>52</v>
      </c>
      <c r="Y61" s="268" t="e">
        <f t="shared" si="2"/>
        <v>#REF!</v>
      </c>
      <c r="Z61" s="268" t="e">
        <f>-AB60*#REF!</f>
        <v>#REF!</v>
      </c>
      <c r="AA61" s="268">
        <v>0</v>
      </c>
      <c r="AB61" s="269">
        <f t="shared" si="12"/>
        <v>170000000</v>
      </c>
      <c r="AC61" s="1695"/>
      <c r="AD61" s="1695"/>
      <c r="AE61" s="1695"/>
      <c r="AG61" s="1710"/>
      <c r="AH61" s="1710"/>
      <c r="AI61" s="1710"/>
      <c r="AK61" s="267">
        <f t="shared" si="19"/>
        <v>52</v>
      </c>
      <c r="AL61" s="268" t="e">
        <f t="shared" si="3"/>
        <v>#REF!</v>
      </c>
      <c r="AM61" s="268" t="e">
        <f>-AO60*#REF!</f>
        <v>#REF!</v>
      </c>
      <c r="AN61" s="268" t="e">
        <f t="shared" si="46"/>
        <v>#REF!</v>
      </c>
      <c r="AO61" s="269" t="e">
        <f t="shared" si="47"/>
        <v>#REF!</v>
      </c>
      <c r="AP61" s="1695"/>
      <c r="AQ61" s="1695"/>
      <c r="AR61" s="1695"/>
      <c r="AS61" s="1711"/>
      <c r="AU61" s="267">
        <f t="shared" si="21"/>
        <v>46</v>
      </c>
      <c r="AV61" s="268">
        <f t="shared" si="34"/>
        <v>-2246780</v>
      </c>
      <c r="AW61" s="424">
        <v>-2246780</v>
      </c>
      <c r="AX61" s="1511">
        <v>0</v>
      </c>
      <c r="AY61" s="424">
        <v>0</v>
      </c>
      <c r="AZ61" s="424">
        <v>0</v>
      </c>
      <c r="BA61" s="269">
        <f t="shared" si="22"/>
        <v>718650302</v>
      </c>
      <c r="BB61" s="422">
        <v>3.1074999999999998E-2</v>
      </c>
      <c r="BC61" s="272">
        <f t="shared" si="39"/>
        <v>0.01</v>
      </c>
      <c r="BD61" s="1695"/>
      <c r="BE61" s="354">
        <f t="shared" si="40"/>
        <v>-598875.25166666671</v>
      </c>
      <c r="BF61" s="1695"/>
      <c r="BG61" s="1695"/>
      <c r="BI61" s="268">
        <f t="shared" si="41"/>
        <v>0</v>
      </c>
      <c r="BJ61" s="268">
        <f t="shared" si="42"/>
        <v>0</v>
      </c>
      <c r="BK61" s="268">
        <v>0</v>
      </c>
      <c r="BL61" s="268">
        <v>0</v>
      </c>
      <c r="BM61" s="269">
        <f t="shared" si="37"/>
        <v>0</v>
      </c>
      <c r="BN61" s="272">
        <f t="shared" si="48"/>
        <v>0</v>
      </c>
      <c r="BO61" s="272">
        <f t="shared" si="48"/>
        <v>0.01</v>
      </c>
      <c r="BP61" s="1695"/>
      <c r="BQ61" s="354"/>
      <c r="BR61" s="1695"/>
      <c r="BS61" s="1695"/>
      <c r="BU61" s="267"/>
      <c r="BV61" s="268">
        <f t="shared" si="43"/>
        <v>0</v>
      </c>
      <c r="BW61" s="424"/>
      <c r="BX61" s="424"/>
      <c r="BY61" s="424"/>
      <c r="BZ61" s="269">
        <f t="shared" si="38"/>
        <v>0</v>
      </c>
      <c r="CA61" s="422"/>
      <c r="CB61" s="272">
        <f t="shared" si="44"/>
        <v>0.01</v>
      </c>
      <c r="CC61" s="1695"/>
      <c r="CD61" s="1478">
        <f t="shared" si="45"/>
        <v>0</v>
      </c>
      <c r="CE61" s="1695"/>
      <c r="CF61" s="1695"/>
    </row>
    <row r="62" spans="1:84" ht="15">
      <c r="A62" s="270" t="s">
        <v>514</v>
      </c>
      <c r="B62" s="266">
        <v>2019</v>
      </c>
      <c r="C62" s="1504">
        <v>43678</v>
      </c>
      <c r="D62" s="266"/>
      <c r="E62" s="265">
        <f t="shared" si="20"/>
        <v>718650302</v>
      </c>
      <c r="F62" s="267">
        <f t="shared" si="16"/>
        <v>53</v>
      </c>
      <c r="G62" s="268" t="e">
        <f t="shared" si="9"/>
        <v>#REF!</v>
      </c>
      <c r="H62" s="268" t="e">
        <f>-ROUNDDOWN(J61*#REF!,0)</f>
        <v>#REF!</v>
      </c>
      <c r="I62" s="268" t="e">
        <f>IF(ROUNDDOWN(J61,0)=0,0,-#REF!)</f>
        <v>#REF!</v>
      </c>
      <c r="J62" s="269" t="e">
        <f t="shared" si="10"/>
        <v>#REF!</v>
      </c>
      <c r="K62" s="1695"/>
      <c r="L62" s="1695"/>
      <c r="M62" s="1695"/>
      <c r="O62" s="267">
        <f t="shared" si="17"/>
        <v>53</v>
      </c>
      <c r="P62" s="268" t="e">
        <f t="shared" si="1"/>
        <v>#REF!</v>
      </c>
      <c r="Q62" s="268" t="e">
        <f>-S61*#REF!</f>
        <v>#REF!</v>
      </c>
      <c r="R62" s="268">
        <v>0</v>
      </c>
      <c r="S62" s="269">
        <f t="shared" si="11"/>
        <v>510000000</v>
      </c>
      <c r="T62" s="1695"/>
      <c r="U62" s="1695"/>
      <c r="V62" s="1695"/>
      <c r="X62" s="267">
        <f t="shared" si="18"/>
        <v>53</v>
      </c>
      <c r="Y62" s="268" t="e">
        <f t="shared" si="2"/>
        <v>#REF!</v>
      </c>
      <c r="Z62" s="268" t="e">
        <f>-AB61*#REF!</f>
        <v>#REF!</v>
      </c>
      <c r="AA62" s="268">
        <v>0</v>
      </c>
      <c r="AB62" s="269">
        <f t="shared" si="12"/>
        <v>170000000</v>
      </c>
      <c r="AC62" s="1695"/>
      <c r="AD62" s="1695"/>
      <c r="AE62" s="1695"/>
      <c r="AG62" s="1710"/>
      <c r="AH62" s="1710"/>
      <c r="AI62" s="1710"/>
      <c r="AK62" s="267">
        <f t="shared" si="19"/>
        <v>53</v>
      </c>
      <c r="AL62" s="268" t="e">
        <f t="shared" si="3"/>
        <v>#REF!</v>
      </c>
      <c r="AM62" s="268" t="e">
        <f>-AO61*#REF!</f>
        <v>#REF!</v>
      </c>
      <c r="AN62" s="268" t="e">
        <f t="shared" si="46"/>
        <v>#REF!</v>
      </c>
      <c r="AO62" s="269" t="e">
        <f t="shared" si="47"/>
        <v>#REF!</v>
      </c>
      <c r="AP62" s="1695"/>
      <c r="AQ62" s="1695"/>
      <c r="AR62" s="1695"/>
      <c r="AS62" s="1711"/>
      <c r="AU62" s="267">
        <f t="shared" si="21"/>
        <v>47</v>
      </c>
      <c r="AV62" s="268">
        <f t="shared" si="34"/>
        <v>-1896695</v>
      </c>
      <c r="AW62" s="424">
        <v>-1896695</v>
      </c>
      <c r="AX62" s="1511">
        <v>0</v>
      </c>
      <c r="AY62" s="424">
        <v>0</v>
      </c>
      <c r="AZ62" s="424">
        <v>0</v>
      </c>
      <c r="BA62" s="269">
        <f t="shared" si="22"/>
        <v>718650302</v>
      </c>
      <c r="BB62" s="422">
        <v>3.0578600000000001E-2</v>
      </c>
      <c r="BC62" s="272">
        <f t="shared" si="39"/>
        <v>0.01</v>
      </c>
      <c r="BD62" s="1695"/>
      <c r="BE62" s="354">
        <f t="shared" si="40"/>
        <v>-598875.25166666671</v>
      </c>
      <c r="BF62" s="1695"/>
      <c r="BG62" s="1695"/>
      <c r="BI62" s="268">
        <f t="shared" si="41"/>
        <v>0</v>
      </c>
      <c r="BJ62" s="268">
        <f t="shared" si="42"/>
        <v>0</v>
      </c>
      <c r="BK62" s="268">
        <v>0</v>
      </c>
      <c r="BL62" s="268">
        <v>0</v>
      </c>
      <c r="BM62" s="269">
        <f t="shared" si="37"/>
        <v>0</v>
      </c>
      <c r="BN62" s="272">
        <f t="shared" si="48"/>
        <v>0</v>
      </c>
      <c r="BO62" s="272">
        <f t="shared" si="48"/>
        <v>0.01</v>
      </c>
      <c r="BP62" s="1695"/>
      <c r="BQ62" s="354"/>
      <c r="BR62" s="1695"/>
      <c r="BS62" s="1695"/>
      <c r="BU62" s="267"/>
      <c r="BV62" s="268">
        <f t="shared" si="43"/>
        <v>0</v>
      </c>
      <c r="BW62" s="424"/>
      <c r="BX62" s="424"/>
      <c r="BY62" s="424"/>
      <c r="BZ62" s="269">
        <f t="shared" si="38"/>
        <v>0</v>
      </c>
      <c r="CA62" s="422"/>
      <c r="CB62" s="272">
        <f t="shared" si="44"/>
        <v>0.01</v>
      </c>
      <c r="CC62" s="1695"/>
      <c r="CD62" s="1478">
        <f t="shared" si="45"/>
        <v>0</v>
      </c>
      <c r="CE62" s="1695"/>
      <c r="CF62" s="1695"/>
    </row>
    <row r="63" spans="1:84" ht="15">
      <c r="A63" s="270" t="s">
        <v>515</v>
      </c>
      <c r="B63" s="266">
        <v>2019</v>
      </c>
      <c r="C63" s="1504">
        <v>43709</v>
      </c>
      <c r="D63" s="266"/>
      <c r="E63" s="265">
        <f t="shared" si="20"/>
        <v>754086302</v>
      </c>
      <c r="F63" s="267">
        <f t="shared" si="16"/>
        <v>54</v>
      </c>
      <c r="G63" s="268" t="e">
        <f t="shared" si="9"/>
        <v>#REF!</v>
      </c>
      <c r="H63" s="268" t="e">
        <f>-ROUNDDOWN(J62*#REF!,0)</f>
        <v>#REF!</v>
      </c>
      <c r="I63" s="268" t="e">
        <f>IF(ROUNDDOWN(J62,0)=0,0,-#REF!)</f>
        <v>#REF!</v>
      </c>
      <c r="J63" s="269" t="e">
        <f t="shared" si="10"/>
        <v>#REF!</v>
      </c>
      <c r="K63" s="1695"/>
      <c r="L63" s="1695"/>
      <c r="M63" s="1695"/>
      <c r="O63" s="267">
        <f t="shared" si="17"/>
        <v>54</v>
      </c>
      <c r="P63" s="268" t="e">
        <f t="shared" si="1"/>
        <v>#REF!</v>
      </c>
      <c r="Q63" s="268" t="e">
        <f>-S62*#REF!</f>
        <v>#REF!</v>
      </c>
      <c r="R63" s="268">
        <v>0</v>
      </c>
      <c r="S63" s="269">
        <f t="shared" si="11"/>
        <v>510000000</v>
      </c>
      <c r="T63" s="1695"/>
      <c r="U63" s="1695"/>
      <c r="V63" s="1695"/>
      <c r="X63" s="267">
        <f t="shared" si="18"/>
        <v>54</v>
      </c>
      <c r="Y63" s="268" t="e">
        <f t="shared" si="2"/>
        <v>#REF!</v>
      </c>
      <c r="Z63" s="268" t="e">
        <f>-AB62*#REF!</f>
        <v>#REF!</v>
      </c>
      <c r="AA63" s="268">
        <v>0</v>
      </c>
      <c r="AB63" s="269">
        <f t="shared" si="12"/>
        <v>170000000</v>
      </c>
      <c r="AC63" s="1695"/>
      <c r="AD63" s="1695"/>
      <c r="AE63" s="1695"/>
      <c r="AG63" s="1710"/>
      <c r="AH63" s="1710"/>
      <c r="AI63" s="1710"/>
      <c r="AK63" s="267">
        <f t="shared" si="19"/>
        <v>54</v>
      </c>
      <c r="AL63" s="268" t="e">
        <f t="shared" si="3"/>
        <v>#REF!</v>
      </c>
      <c r="AM63" s="268" t="e">
        <f>-AO62*#REF!</f>
        <v>#REF!</v>
      </c>
      <c r="AN63" s="268" t="e">
        <f t="shared" si="46"/>
        <v>#REF!</v>
      </c>
      <c r="AO63" s="269" t="e">
        <f t="shared" si="47"/>
        <v>#REF!</v>
      </c>
      <c r="AP63" s="1695"/>
      <c r="AQ63" s="1695"/>
      <c r="AR63" s="1695"/>
      <c r="AS63" s="1711"/>
      <c r="AU63" s="267">
        <f t="shared" si="21"/>
        <v>48</v>
      </c>
      <c r="AV63" s="268">
        <f t="shared" si="34"/>
        <v>-1926603</v>
      </c>
      <c r="AW63" s="424">
        <v>-1926603</v>
      </c>
      <c r="AX63" s="1511">
        <v>0</v>
      </c>
      <c r="AY63" s="424">
        <v>0</v>
      </c>
      <c r="AZ63" s="424">
        <v>35436000</v>
      </c>
      <c r="BA63" s="269">
        <f t="shared" si="22"/>
        <v>754086302</v>
      </c>
      <c r="BB63" s="422">
        <v>3.03357E-2</v>
      </c>
      <c r="BC63" s="272">
        <f t="shared" si="39"/>
        <v>0.01</v>
      </c>
      <c r="BD63" s="1695"/>
      <c r="BE63" s="354">
        <f t="shared" si="40"/>
        <v>-598875.25166666671</v>
      </c>
      <c r="BF63" s="1695"/>
      <c r="BG63" s="1695"/>
      <c r="BI63" s="268">
        <f t="shared" si="41"/>
        <v>0</v>
      </c>
      <c r="BJ63" s="268">
        <f t="shared" si="42"/>
        <v>0</v>
      </c>
      <c r="BK63" s="268">
        <v>0</v>
      </c>
      <c r="BL63" s="268">
        <v>0</v>
      </c>
      <c r="BM63" s="269">
        <f t="shared" si="37"/>
        <v>0</v>
      </c>
      <c r="BN63" s="272">
        <f t="shared" si="48"/>
        <v>0</v>
      </c>
      <c r="BO63" s="272">
        <f t="shared" si="48"/>
        <v>0.01</v>
      </c>
      <c r="BP63" s="1695"/>
      <c r="BQ63" s="354"/>
      <c r="BR63" s="1695"/>
      <c r="BS63" s="1695"/>
      <c r="BU63" s="267"/>
      <c r="BV63" s="268">
        <f t="shared" si="43"/>
        <v>0</v>
      </c>
      <c r="BW63" s="424"/>
      <c r="BX63" s="424"/>
      <c r="BY63" s="424"/>
      <c r="BZ63" s="269">
        <f t="shared" si="38"/>
        <v>0</v>
      </c>
      <c r="CA63" s="422"/>
      <c r="CB63" s="272">
        <f t="shared" si="44"/>
        <v>0.01</v>
      </c>
      <c r="CC63" s="1695"/>
      <c r="CD63" s="1478">
        <f t="shared" si="45"/>
        <v>0</v>
      </c>
      <c r="CE63" s="1695"/>
      <c r="CF63" s="1695"/>
    </row>
    <row r="64" spans="1:84" ht="15">
      <c r="A64" s="270" t="s">
        <v>516</v>
      </c>
      <c r="B64" s="266">
        <v>2019</v>
      </c>
      <c r="C64" s="1504">
        <v>43739</v>
      </c>
      <c r="D64" s="266"/>
      <c r="E64" s="265">
        <f t="shared" si="20"/>
        <v>754086302</v>
      </c>
      <c r="F64" s="267">
        <f t="shared" si="16"/>
        <v>55</v>
      </c>
      <c r="G64" s="268" t="e">
        <f t="shared" si="9"/>
        <v>#REF!</v>
      </c>
      <c r="H64" s="268" t="e">
        <f>-ROUNDDOWN(J63*#REF!,0)</f>
        <v>#REF!</v>
      </c>
      <c r="I64" s="268" t="e">
        <f>IF(ROUNDDOWN(J63,0)=0,0,-#REF!)</f>
        <v>#REF!</v>
      </c>
      <c r="J64" s="269" t="e">
        <f t="shared" si="10"/>
        <v>#REF!</v>
      </c>
      <c r="K64" s="1695"/>
      <c r="L64" s="1695"/>
      <c r="M64" s="1695"/>
      <c r="O64" s="267">
        <f t="shared" si="17"/>
        <v>55</v>
      </c>
      <c r="P64" s="268" t="e">
        <f t="shared" si="1"/>
        <v>#REF!</v>
      </c>
      <c r="Q64" s="268" t="e">
        <f>-S63*#REF!</f>
        <v>#REF!</v>
      </c>
      <c r="R64" s="268">
        <v>0</v>
      </c>
      <c r="S64" s="269">
        <f t="shared" si="11"/>
        <v>510000000</v>
      </c>
      <c r="T64" s="1695"/>
      <c r="U64" s="1695"/>
      <c r="V64" s="1695"/>
      <c r="X64" s="267">
        <f t="shared" si="18"/>
        <v>55</v>
      </c>
      <c r="Y64" s="268" t="e">
        <f t="shared" si="2"/>
        <v>#REF!</v>
      </c>
      <c r="Z64" s="268" t="e">
        <f>-AB63*#REF!</f>
        <v>#REF!</v>
      </c>
      <c r="AA64" s="268">
        <v>0</v>
      </c>
      <c r="AB64" s="269">
        <f t="shared" si="12"/>
        <v>170000000</v>
      </c>
      <c r="AC64" s="1695"/>
      <c r="AD64" s="1695"/>
      <c r="AE64" s="1695"/>
      <c r="AG64" s="1710"/>
      <c r="AH64" s="1710"/>
      <c r="AI64" s="1710"/>
      <c r="AK64" s="267">
        <f t="shared" si="19"/>
        <v>55</v>
      </c>
      <c r="AL64" s="268" t="e">
        <f t="shared" si="3"/>
        <v>#REF!</v>
      </c>
      <c r="AM64" s="268" t="e">
        <f>-AO63*#REF!</f>
        <v>#REF!</v>
      </c>
      <c r="AN64" s="268" t="e">
        <f t="shared" si="46"/>
        <v>#REF!</v>
      </c>
      <c r="AO64" s="269" t="e">
        <f t="shared" si="47"/>
        <v>#REF!</v>
      </c>
      <c r="AP64" s="1695"/>
      <c r="AQ64" s="1695"/>
      <c r="AR64" s="1695"/>
      <c r="AS64" s="1711"/>
      <c r="AU64" s="267">
        <f t="shared" si="21"/>
        <v>49</v>
      </c>
      <c r="AV64" s="268">
        <f t="shared" si="34"/>
        <v>-1880197</v>
      </c>
      <c r="AW64" s="424">
        <v>-1880197</v>
      </c>
      <c r="AX64" s="1511">
        <v>0</v>
      </c>
      <c r="AY64" s="424">
        <v>0</v>
      </c>
      <c r="AZ64" s="424">
        <v>0</v>
      </c>
      <c r="BA64" s="269">
        <f t="shared" si="22"/>
        <v>754086302</v>
      </c>
      <c r="BB64" s="422">
        <v>2.9125000000000002E-2</v>
      </c>
      <c r="BC64" s="272">
        <f t="shared" si="39"/>
        <v>0.01</v>
      </c>
      <c r="BD64" s="1695"/>
      <c r="BE64" s="354">
        <f t="shared" si="40"/>
        <v>-628405.25166666671</v>
      </c>
      <c r="BF64" s="1695"/>
      <c r="BG64" s="1695"/>
      <c r="BI64" s="268">
        <f t="shared" si="41"/>
        <v>0</v>
      </c>
      <c r="BJ64" s="268">
        <f t="shared" si="42"/>
        <v>0</v>
      </c>
      <c r="BK64" s="268">
        <v>0</v>
      </c>
      <c r="BL64" s="268">
        <v>0</v>
      </c>
      <c r="BM64" s="269">
        <f t="shared" si="37"/>
        <v>0</v>
      </c>
      <c r="BN64" s="272">
        <f t="shared" si="48"/>
        <v>0</v>
      </c>
      <c r="BO64" s="272">
        <f t="shared" si="48"/>
        <v>0.01</v>
      </c>
      <c r="BP64" s="1695"/>
      <c r="BQ64" s="354"/>
      <c r="BR64" s="1695"/>
      <c r="BS64" s="1695"/>
      <c r="BU64" s="267"/>
      <c r="BV64" s="268">
        <f t="shared" si="43"/>
        <v>0</v>
      </c>
      <c r="BW64" s="424"/>
      <c r="BX64" s="424"/>
      <c r="BY64" s="424"/>
      <c r="BZ64" s="269">
        <f t="shared" si="38"/>
        <v>0</v>
      </c>
      <c r="CA64" s="422"/>
      <c r="CB64" s="272">
        <f t="shared" si="44"/>
        <v>0.01</v>
      </c>
      <c r="CC64" s="1695"/>
      <c r="CD64" s="1478">
        <f t="shared" si="45"/>
        <v>0</v>
      </c>
      <c r="CE64" s="1695"/>
      <c r="CF64" s="1695"/>
    </row>
    <row r="65" spans="1:84" ht="15">
      <c r="A65" s="270" t="s">
        <v>517</v>
      </c>
      <c r="B65" s="266">
        <v>2019</v>
      </c>
      <c r="C65" s="1504">
        <v>43770</v>
      </c>
      <c r="D65" s="266"/>
      <c r="E65" s="265">
        <f t="shared" si="20"/>
        <v>754086302</v>
      </c>
      <c r="F65" s="267">
        <f t="shared" si="16"/>
        <v>56</v>
      </c>
      <c r="G65" s="268" t="e">
        <f t="shared" si="9"/>
        <v>#REF!</v>
      </c>
      <c r="H65" s="268" t="e">
        <f>-ROUNDDOWN(J64*#REF!,0)</f>
        <v>#REF!</v>
      </c>
      <c r="I65" s="268" t="e">
        <f>IF(ROUNDDOWN(J64,0)=0,0,-#REF!)</f>
        <v>#REF!</v>
      </c>
      <c r="J65" s="269" t="e">
        <f t="shared" si="10"/>
        <v>#REF!</v>
      </c>
      <c r="K65" s="1695"/>
      <c r="L65" s="1695"/>
      <c r="M65" s="1695"/>
      <c r="O65" s="267">
        <f t="shared" si="17"/>
        <v>56</v>
      </c>
      <c r="P65" s="268" t="e">
        <f t="shared" si="1"/>
        <v>#REF!</v>
      </c>
      <c r="Q65" s="268" t="e">
        <f>-S64*#REF!</f>
        <v>#REF!</v>
      </c>
      <c r="R65" s="268">
        <v>0</v>
      </c>
      <c r="S65" s="269">
        <f t="shared" si="11"/>
        <v>510000000</v>
      </c>
      <c r="T65" s="1695"/>
      <c r="U65" s="1695"/>
      <c r="V65" s="1695"/>
      <c r="X65" s="267">
        <f t="shared" si="18"/>
        <v>56</v>
      </c>
      <c r="Y65" s="268" t="e">
        <f t="shared" si="2"/>
        <v>#REF!</v>
      </c>
      <c r="Z65" s="268" t="e">
        <f>-AB64*#REF!</f>
        <v>#REF!</v>
      </c>
      <c r="AA65" s="268">
        <v>0</v>
      </c>
      <c r="AB65" s="269">
        <f t="shared" si="12"/>
        <v>170000000</v>
      </c>
      <c r="AC65" s="1695"/>
      <c r="AD65" s="1695"/>
      <c r="AE65" s="1695"/>
      <c r="AG65" s="1710"/>
      <c r="AH65" s="1710"/>
      <c r="AI65" s="1710"/>
      <c r="AK65" s="267">
        <f t="shared" si="19"/>
        <v>56</v>
      </c>
      <c r="AL65" s="268" t="e">
        <f t="shared" si="3"/>
        <v>#REF!</v>
      </c>
      <c r="AM65" s="268" t="e">
        <f>-AO64*#REF!</f>
        <v>#REF!</v>
      </c>
      <c r="AN65" s="268" t="e">
        <f t="shared" si="46"/>
        <v>#REF!</v>
      </c>
      <c r="AO65" s="269" t="e">
        <f t="shared" si="47"/>
        <v>#REF!</v>
      </c>
      <c r="AP65" s="1695"/>
      <c r="AQ65" s="1695"/>
      <c r="AR65" s="1695"/>
      <c r="AS65" s="1711"/>
      <c r="AU65" s="267">
        <f t="shared" si="21"/>
        <v>50</v>
      </c>
      <c r="AV65" s="268">
        <f t="shared" si="34"/>
        <v>-1805159</v>
      </c>
      <c r="AW65" s="424">
        <v>-1805159</v>
      </c>
      <c r="AX65" s="1511">
        <v>0</v>
      </c>
      <c r="AY65" s="424">
        <v>0</v>
      </c>
      <c r="AZ65" s="424">
        <v>0</v>
      </c>
      <c r="BA65" s="269">
        <f t="shared" si="22"/>
        <v>754086302</v>
      </c>
      <c r="BB65" s="422">
        <v>3.3355999999999997E-2</v>
      </c>
      <c r="BC65" s="272">
        <f t="shared" si="39"/>
        <v>0.01</v>
      </c>
      <c r="BD65" s="1695"/>
      <c r="BE65" s="354">
        <f t="shared" si="40"/>
        <v>-628405.25166666671</v>
      </c>
      <c r="BF65" s="1695"/>
      <c r="BG65" s="1695"/>
      <c r="BI65" s="268">
        <f t="shared" si="41"/>
        <v>0</v>
      </c>
      <c r="BJ65" s="268">
        <f t="shared" si="42"/>
        <v>0</v>
      </c>
      <c r="BK65" s="268">
        <v>0</v>
      </c>
      <c r="BL65" s="268">
        <v>0</v>
      </c>
      <c r="BM65" s="269">
        <f t="shared" si="37"/>
        <v>0</v>
      </c>
      <c r="BN65" s="272">
        <f t="shared" si="48"/>
        <v>0</v>
      </c>
      <c r="BO65" s="272">
        <f t="shared" si="48"/>
        <v>0.01</v>
      </c>
      <c r="BP65" s="1695"/>
      <c r="BQ65" s="354"/>
      <c r="BR65" s="1695"/>
      <c r="BS65" s="1695"/>
      <c r="BU65" s="267"/>
      <c r="BV65" s="268">
        <f t="shared" si="43"/>
        <v>0</v>
      </c>
      <c r="BW65" s="424"/>
      <c r="BX65" s="424"/>
      <c r="BY65" s="424"/>
      <c r="BZ65" s="269">
        <f t="shared" si="38"/>
        <v>0</v>
      </c>
      <c r="CA65" s="422"/>
      <c r="CB65" s="272">
        <f t="shared" si="44"/>
        <v>0.01</v>
      </c>
      <c r="CC65" s="1695"/>
      <c r="CD65" s="1478">
        <f t="shared" si="45"/>
        <v>0</v>
      </c>
      <c r="CE65" s="1695"/>
      <c r="CF65" s="1695"/>
    </row>
    <row r="66" spans="1:84" ht="15">
      <c r="A66" s="270" t="s">
        <v>518</v>
      </c>
      <c r="B66" s="266">
        <v>2019</v>
      </c>
      <c r="C66" s="1504">
        <v>43800</v>
      </c>
      <c r="D66" s="266"/>
      <c r="E66" s="265">
        <f t="shared" si="20"/>
        <v>773788302</v>
      </c>
      <c r="F66" s="267">
        <f t="shared" si="16"/>
        <v>57</v>
      </c>
      <c r="G66" s="268" t="e">
        <f t="shared" si="9"/>
        <v>#REF!</v>
      </c>
      <c r="H66" s="268" t="e">
        <f>-ROUNDDOWN(J65*#REF!,0)</f>
        <v>#REF!</v>
      </c>
      <c r="I66" s="268" t="e">
        <f>IF(ROUNDDOWN(J65,0)=0,0,-#REF!)</f>
        <v>#REF!</v>
      </c>
      <c r="J66" s="269" t="e">
        <f t="shared" si="10"/>
        <v>#REF!</v>
      </c>
      <c r="K66" s="1695"/>
      <c r="L66" s="1695"/>
      <c r="M66" s="1695"/>
      <c r="O66" s="267">
        <f t="shared" si="17"/>
        <v>57</v>
      </c>
      <c r="P66" s="268" t="e">
        <f t="shared" si="1"/>
        <v>#REF!</v>
      </c>
      <c r="Q66" s="268" t="e">
        <f>-S65*#REF!</f>
        <v>#REF!</v>
      </c>
      <c r="R66" s="268">
        <v>0</v>
      </c>
      <c r="S66" s="269">
        <f t="shared" si="11"/>
        <v>510000000</v>
      </c>
      <c r="T66" s="1695"/>
      <c r="U66" s="1695"/>
      <c r="V66" s="1695"/>
      <c r="X66" s="267">
        <f t="shared" si="18"/>
        <v>57</v>
      </c>
      <c r="Y66" s="268" t="e">
        <f t="shared" si="2"/>
        <v>#REF!</v>
      </c>
      <c r="Z66" s="268" t="e">
        <f>-AB65*#REF!</f>
        <v>#REF!</v>
      </c>
      <c r="AA66" s="268">
        <v>0</v>
      </c>
      <c r="AB66" s="269">
        <f t="shared" si="12"/>
        <v>170000000</v>
      </c>
      <c r="AC66" s="1695"/>
      <c r="AD66" s="1695"/>
      <c r="AE66" s="1695"/>
      <c r="AG66" s="1710"/>
      <c r="AH66" s="1710"/>
      <c r="AI66" s="1710"/>
      <c r="AK66" s="267">
        <f t="shared" si="19"/>
        <v>57</v>
      </c>
      <c r="AL66" s="268" t="e">
        <f t="shared" si="3"/>
        <v>#REF!</v>
      </c>
      <c r="AM66" s="268" t="e">
        <f>-AO65*#REF!</f>
        <v>#REF!</v>
      </c>
      <c r="AN66" s="268" t="e">
        <f t="shared" si="46"/>
        <v>#REF!</v>
      </c>
      <c r="AO66" s="269" t="e">
        <f t="shared" si="47"/>
        <v>#REF!</v>
      </c>
      <c r="AP66" s="1695"/>
      <c r="AQ66" s="1695"/>
      <c r="AR66" s="1695"/>
      <c r="AS66" s="1711"/>
      <c r="AU66" s="267">
        <f t="shared" si="21"/>
        <v>51</v>
      </c>
      <c r="AV66" s="268">
        <f t="shared" si="34"/>
        <v>-32205221</v>
      </c>
      <c r="AW66" s="424">
        <v>-2205221</v>
      </c>
      <c r="AX66" s="1511">
        <v>-30000000</v>
      </c>
      <c r="AY66" s="424">
        <v>-30000000</v>
      </c>
      <c r="AZ66" s="424">
        <v>49702000</v>
      </c>
      <c r="BA66" s="269">
        <f t="shared" si="22"/>
        <v>773788302</v>
      </c>
      <c r="BB66" s="422">
        <v>3.8161300000000002E-2</v>
      </c>
      <c r="BC66" s="272">
        <f t="shared" si="39"/>
        <v>0.01</v>
      </c>
      <c r="BD66" s="1695"/>
      <c r="BE66" s="354">
        <f t="shared" si="40"/>
        <v>-628405.25166666671</v>
      </c>
      <c r="BF66" s="1695"/>
      <c r="BG66" s="1695"/>
      <c r="BI66" s="268">
        <f t="shared" si="41"/>
        <v>0</v>
      </c>
      <c r="BJ66" s="268">
        <f t="shared" si="42"/>
        <v>0</v>
      </c>
      <c r="BK66" s="268">
        <v>0</v>
      </c>
      <c r="BL66" s="268">
        <v>0</v>
      </c>
      <c r="BM66" s="269">
        <f t="shared" si="37"/>
        <v>0</v>
      </c>
      <c r="BN66" s="272">
        <f t="shared" si="48"/>
        <v>0</v>
      </c>
      <c r="BO66" s="272">
        <f t="shared" si="48"/>
        <v>0.01</v>
      </c>
      <c r="BP66" s="1695"/>
      <c r="BQ66" s="354"/>
      <c r="BR66" s="1695"/>
      <c r="BS66" s="1695"/>
      <c r="BU66" s="267"/>
      <c r="BV66" s="268">
        <f t="shared" si="43"/>
        <v>0</v>
      </c>
      <c r="BW66" s="424"/>
      <c r="BX66" s="424"/>
      <c r="BY66" s="424"/>
      <c r="BZ66" s="269">
        <f t="shared" si="38"/>
        <v>0</v>
      </c>
      <c r="CA66" s="422"/>
      <c r="CB66" s="272">
        <f t="shared" si="44"/>
        <v>0.01</v>
      </c>
      <c r="CC66" s="1695"/>
      <c r="CD66" s="1478">
        <f t="shared" si="45"/>
        <v>0</v>
      </c>
      <c r="CE66" s="1695"/>
      <c r="CF66" s="1695"/>
    </row>
    <row r="67" spans="1:84" ht="15">
      <c r="A67" s="270" t="s">
        <v>519</v>
      </c>
      <c r="B67" s="266">
        <v>2020</v>
      </c>
      <c r="C67" s="1504">
        <v>43831</v>
      </c>
      <c r="D67" s="266"/>
      <c r="E67" s="265">
        <f t="shared" si="20"/>
        <v>773788302</v>
      </c>
      <c r="F67" s="267">
        <f t="shared" si="16"/>
        <v>58</v>
      </c>
      <c r="G67" s="268" t="e">
        <f t="shared" si="9"/>
        <v>#REF!</v>
      </c>
      <c r="H67" s="268" t="e">
        <f>-ROUNDDOWN(J66*#REF!,0)</f>
        <v>#REF!</v>
      </c>
      <c r="I67" s="268" t="e">
        <f>IF(ROUNDDOWN(J66,0)=0,0,-#REF!)</f>
        <v>#REF!</v>
      </c>
      <c r="J67" s="269" t="e">
        <f t="shared" si="10"/>
        <v>#REF!</v>
      </c>
      <c r="K67" s="1695"/>
      <c r="L67" s="1695"/>
      <c r="M67" s="1695"/>
      <c r="O67" s="267">
        <f t="shared" si="17"/>
        <v>58</v>
      </c>
      <c r="P67" s="268" t="e">
        <f t="shared" si="1"/>
        <v>#REF!</v>
      </c>
      <c r="Q67" s="268" t="e">
        <f>-S66*#REF!</f>
        <v>#REF!</v>
      </c>
      <c r="R67" s="268">
        <v>0</v>
      </c>
      <c r="S67" s="269">
        <f t="shared" si="11"/>
        <v>510000000</v>
      </c>
      <c r="T67" s="1695"/>
      <c r="U67" s="1695"/>
      <c r="V67" s="1695"/>
      <c r="X67" s="267">
        <f t="shared" si="18"/>
        <v>58</v>
      </c>
      <c r="Y67" s="268" t="e">
        <f t="shared" si="2"/>
        <v>#REF!</v>
      </c>
      <c r="Z67" s="268" t="e">
        <f>-AB66*#REF!</f>
        <v>#REF!</v>
      </c>
      <c r="AA67" s="268">
        <v>0</v>
      </c>
      <c r="AB67" s="269">
        <f t="shared" si="12"/>
        <v>170000000</v>
      </c>
      <c r="AC67" s="1695"/>
      <c r="AD67" s="1695"/>
      <c r="AE67" s="1695"/>
      <c r="AG67" s="1710"/>
      <c r="AH67" s="1710"/>
      <c r="AI67" s="1710"/>
      <c r="AK67" s="267">
        <f t="shared" si="19"/>
        <v>58</v>
      </c>
      <c r="AL67" s="268" t="e">
        <f t="shared" si="3"/>
        <v>#REF!</v>
      </c>
      <c r="AM67" s="268" t="e">
        <f>-AO66*#REF!</f>
        <v>#REF!</v>
      </c>
      <c r="AN67" s="268" t="e">
        <f t="shared" si="46"/>
        <v>#REF!</v>
      </c>
      <c r="AO67" s="269" t="e">
        <f t="shared" si="47"/>
        <v>#REF!</v>
      </c>
      <c r="AP67" s="1695"/>
      <c r="AQ67" s="1695"/>
      <c r="AR67" s="1695"/>
      <c r="AS67" s="1711"/>
      <c r="AU67" s="267">
        <f t="shared" si="21"/>
        <v>52</v>
      </c>
      <c r="AV67" s="268">
        <f t="shared" si="34"/>
        <v>-2507923</v>
      </c>
      <c r="AW67" s="424">
        <v>-2507923</v>
      </c>
      <c r="AX67" s="1511">
        <v>0</v>
      </c>
      <c r="AY67" s="424">
        <v>0</v>
      </c>
      <c r="AZ67" s="424">
        <v>0</v>
      </c>
      <c r="BA67" s="269">
        <f t="shared" si="22"/>
        <v>773788302</v>
      </c>
      <c r="BB67" s="422">
        <v>3.38327E-2</v>
      </c>
      <c r="BC67" s="272">
        <f t="shared" si="39"/>
        <v>0.01</v>
      </c>
      <c r="BD67" s="1695"/>
      <c r="BE67" s="354">
        <f t="shared" si="40"/>
        <v>-644823.58500000008</v>
      </c>
      <c r="BF67" s="1695"/>
      <c r="BG67" s="1695"/>
      <c r="BI67" s="268">
        <f t="shared" si="41"/>
        <v>0</v>
      </c>
      <c r="BJ67" s="268">
        <f t="shared" si="42"/>
        <v>0</v>
      </c>
      <c r="BK67" s="268">
        <v>0</v>
      </c>
      <c r="BL67" s="268">
        <v>0</v>
      </c>
      <c r="BM67" s="269">
        <f t="shared" si="37"/>
        <v>0</v>
      </c>
      <c r="BN67" s="272">
        <f t="shared" si="48"/>
        <v>0</v>
      </c>
      <c r="BO67" s="272">
        <f t="shared" si="48"/>
        <v>0.01</v>
      </c>
      <c r="BP67" s="1695"/>
      <c r="BQ67" s="354"/>
      <c r="BR67" s="1695"/>
      <c r="BS67" s="1695"/>
      <c r="BU67" s="267"/>
      <c r="BV67" s="268">
        <f t="shared" si="43"/>
        <v>0</v>
      </c>
      <c r="BW67" s="424"/>
      <c r="BX67" s="424"/>
      <c r="BY67" s="424"/>
      <c r="BZ67" s="269">
        <f t="shared" si="38"/>
        <v>0</v>
      </c>
      <c r="CA67" s="422"/>
      <c r="CB67" s="272">
        <f t="shared" si="44"/>
        <v>0.01</v>
      </c>
      <c r="CC67" s="1695"/>
      <c r="CD67" s="1478">
        <f t="shared" si="45"/>
        <v>0</v>
      </c>
      <c r="CE67" s="1695"/>
      <c r="CF67" s="1695"/>
    </row>
    <row r="68" spans="1:84" ht="15">
      <c r="A68" s="270" t="s">
        <v>520</v>
      </c>
      <c r="B68" s="266">
        <v>2020</v>
      </c>
      <c r="C68" s="1504">
        <v>43862</v>
      </c>
      <c r="D68" s="266"/>
      <c r="E68" s="265">
        <f t="shared" si="20"/>
        <v>773788302</v>
      </c>
      <c r="F68" s="267">
        <f t="shared" si="16"/>
        <v>59</v>
      </c>
      <c r="G68" s="268" t="e">
        <f t="shared" si="9"/>
        <v>#REF!</v>
      </c>
      <c r="H68" s="268" t="e">
        <f>-ROUNDDOWN(J67*#REF!,0)</f>
        <v>#REF!</v>
      </c>
      <c r="I68" s="268" t="e">
        <f>IF(ROUNDDOWN(J67,0)=0,0,-#REF!)</f>
        <v>#REF!</v>
      </c>
      <c r="J68" s="269" t="e">
        <f t="shared" si="10"/>
        <v>#REF!</v>
      </c>
      <c r="K68" s="1695"/>
      <c r="L68" s="1695"/>
      <c r="M68" s="1695"/>
      <c r="O68" s="267">
        <f t="shared" si="17"/>
        <v>59</v>
      </c>
      <c r="P68" s="268" t="e">
        <f t="shared" si="1"/>
        <v>#REF!</v>
      </c>
      <c r="Q68" s="268" t="e">
        <f>-S67*#REF!</f>
        <v>#REF!</v>
      </c>
      <c r="R68" s="268">
        <v>0</v>
      </c>
      <c r="S68" s="269">
        <f t="shared" si="11"/>
        <v>510000000</v>
      </c>
      <c r="T68" s="1695"/>
      <c r="U68" s="1695"/>
      <c r="V68" s="1695"/>
      <c r="X68" s="267">
        <f t="shared" si="18"/>
        <v>59</v>
      </c>
      <c r="Y68" s="268" t="e">
        <f t="shared" si="2"/>
        <v>#REF!</v>
      </c>
      <c r="Z68" s="268" t="e">
        <f>-AB67*#REF!</f>
        <v>#REF!</v>
      </c>
      <c r="AA68" s="268">
        <v>0</v>
      </c>
      <c r="AB68" s="269">
        <f t="shared" si="12"/>
        <v>170000000</v>
      </c>
      <c r="AC68" s="1695"/>
      <c r="AD68" s="1695"/>
      <c r="AE68" s="1695"/>
      <c r="AG68" s="1710"/>
      <c r="AH68" s="1710"/>
      <c r="AI68" s="1710"/>
      <c r="AK68" s="267">
        <f t="shared" si="19"/>
        <v>59</v>
      </c>
      <c r="AL68" s="268" t="e">
        <f t="shared" si="3"/>
        <v>#REF!</v>
      </c>
      <c r="AM68" s="268" t="e">
        <f>-AO67*#REF!</f>
        <v>#REF!</v>
      </c>
      <c r="AN68" s="268" t="e">
        <f t="shared" si="46"/>
        <v>#REF!</v>
      </c>
      <c r="AO68" s="269" t="e">
        <f t="shared" si="47"/>
        <v>#REF!</v>
      </c>
      <c r="AP68" s="1695"/>
      <c r="AQ68" s="1695"/>
      <c r="AR68" s="1695"/>
      <c r="AS68" s="1711"/>
      <c r="AU68" s="267">
        <f t="shared" si="21"/>
        <v>53</v>
      </c>
      <c r="AV68" s="268">
        <f t="shared" si="34"/>
        <v>-2008279</v>
      </c>
      <c r="AW68" s="424">
        <v>-2008279</v>
      </c>
      <c r="AX68" s="1511">
        <v>0</v>
      </c>
      <c r="AY68" s="424">
        <v>0</v>
      </c>
      <c r="AZ68" s="424">
        <v>0</v>
      </c>
      <c r="BA68" s="269">
        <f t="shared" si="22"/>
        <v>773788302</v>
      </c>
      <c r="BB68" s="422">
        <v>2.8046399999999999E-2</v>
      </c>
      <c r="BC68" s="272">
        <f t="shared" si="39"/>
        <v>0.01</v>
      </c>
      <c r="BD68" s="1695"/>
      <c r="BE68" s="354">
        <f t="shared" si="40"/>
        <v>-644823.58500000008</v>
      </c>
      <c r="BF68" s="1695"/>
      <c r="BG68" s="1695"/>
      <c r="BI68" s="268">
        <f t="shared" si="41"/>
        <v>0</v>
      </c>
      <c r="BJ68" s="268">
        <f t="shared" si="42"/>
        <v>0</v>
      </c>
      <c r="BK68" s="268">
        <v>0</v>
      </c>
      <c r="BL68" s="268">
        <v>0</v>
      </c>
      <c r="BM68" s="269">
        <f t="shared" si="37"/>
        <v>0</v>
      </c>
      <c r="BN68" s="272">
        <f t="shared" si="48"/>
        <v>0</v>
      </c>
      <c r="BO68" s="272">
        <f t="shared" si="48"/>
        <v>0.01</v>
      </c>
      <c r="BP68" s="1695"/>
      <c r="BQ68" s="354"/>
      <c r="BR68" s="1695"/>
      <c r="BS68" s="1695"/>
      <c r="BU68" s="267"/>
      <c r="BV68" s="268">
        <f t="shared" si="43"/>
        <v>0</v>
      </c>
      <c r="BW68" s="424"/>
      <c r="BX68" s="424"/>
      <c r="BY68" s="424"/>
      <c r="BZ68" s="269">
        <f t="shared" si="38"/>
        <v>0</v>
      </c>
      <c r="CA68" s="422"/>
      <c r="CB68" s="272">
        <f t="shared" si="44"/>
        <v>0.01</v>
      </c>
      <c r="CC68" s="1695"/>
      <c r="CD68" s="1478">
        <f t="shared" si="45"/>
        <v>0</v>
      </c>
      <c r="CE68" s="1695"/>
      <c r="CF68" s="1695"/>
    </row>
    <row r="69" spans="1:84" ht="15">
      <c r="A69" s="270" t="s">
        <v>521</v>
      </c>
      <c r="B69" s="266">
        <v>2020</v>
      </c>
      <c r="C69" s="1504">
        <v>43891</v>
      </c>
      <c r="D69" s="266"/>
      <c r="E69" s="265">
        <f t="shared" si="20"/>
        <v>794608302</v>
      </c>
      <c r="F69" s="267">
        <f t="shared" si="16"/>
        <v>60</v>
      </c>
      <c r="G69" s="268" t="e">
        <f t="shared" si="9"/>
        <v>#REF!</v>
      </c>
      <c r="H69" s="268" t="e">
        <f>-ROUNDDOWN(J68*#REF!,0)</f>
        <v>#REF!</v>
      </c>
      <c r="I69" s="268" t="e">
        <f>IF(ROUNDDOWN(J68,0)=0,0,-#REF!)</f>
        <v>#REF!</v>
      </c>
      <c r="J69" s="269" t="e">
        <f t="shared" si="10"/>
        <v>#REF!</v>
      </c>
      <c r="K69" s="1695"/>
      <c r="L69" s="1695"/>
      <c r="M69" s="1695"/>
      <c r="O69" s="267">
        <f t="shared" si="17"/>
        <v>60</v>
      </c>
      <c r="P69" s="268" t="e">
        <f t="shared" si="1"/>
        <v>#REF!</v>
      </c>
      <c r="Q69" s="268" t="e">
        <f>-S68*#REF!</f>
        <v>#REF!</v>
      </c>
      <c r="R69" s="268">
        <v>0</v>
      </c>
      <c r="S69" s="269">
        <f t="shared" si="11"/>
        <v>510000000</v>
      </c>
      <c r="T69" s="1695"/>
      <c r="U69" s="1695"/>
      <c r="V69" s="1695"/>
      <c r="X69" s="267">
        <f t="shared" si="18"/>
        <v>60</v>
      </c>
      <c r="Y69" s="268" t="e">
        <f t="shared" si="2"/>
        <v>#REF!</v>
      </c>
      <c r="Z69" s="268" t="e">
        <f>-AB68*#REF!</f>
        <v>#REF!</v>
      </c>
      <c r="AA69" s="268">
        <v>0</v>
      </c>
      <c r="AB69" s="269">
        <f t="shared" si="12"/>
        <v>170000000</v>
      </c>
      <c r="AC69" s="1695"/>
      <c r="AD69" s="1695"/>
      <c r="AE69" s="1695"/>
      <c r="AG69" s="1710"/>
      <c r="AH69" s="1710"/>
      <c r="AI69" s="1710"/>
      <c r="AK69" s="267">
        <f t="shared" si="19"/>
        <v>60</v>
      </c>
      <c r="AL69" s="268" t="e">
        <f t="shared" si="3"/>
        <v>#REF!</v>
      </c>
      <c r="AM69" s="268" t="e">
        <f>-AO68*#REF!</f>
        <v>#REF!</v>
      </c>
      <c r="AN69" s="268" t="e">
        <f t="shared" si="46"/>
        <v>#REF!</v>
      </c>
      <c r="AO69" s="269" t="e">
        <f t="shared" si="47"/>
        <v>#REF!</v>
      </c>
      <c r="AP69" s="1695"/>
      <c r="AQ69" s="1695"/>
      <c r="AR69" s="1695"/>
      <c r="AS69" s="1711"/>
      <c r="AU69" s="267">
        <f t="shared" si="21"/>
        <v>54</v>
      </c>
      <c r="AV69" s="268">
        <f t="shared" si="34"/>
        <v>-1843182</v>
      </c>
      <c r="AW69" s="424">
        <v>-1843182</v>
      </c>
      <c r="AX69" s="1511">
        <v>0</v>
      </c>
      <c r="AY69" s="424">
        <v>0</v>
      </c>
      <c r="AZ69" s="424">
        <v>20820000</v>
      </c>
      <c r="BA69" s="269">
        <f t="shared" si="22"/>
        <v>794608302</v>
      </c>
      <c r="BB69" s="272">
        <v>3.2015500000000002E-2</v>
      </c>
      <c r="BC69" s="272">
        <f t="shared" si="39"/>
        <v>0.01</v>
      </c>
      <c r="BD69" s="1695"/>
      <c r="BE69" s="354">
        <f t="shared" si="40"/>
        <v>-644823.58500000008</v>
      </c>
      <c r="BF69" s="1695"/>
      <c r="BG69" s="1695"/>
      <c r="BI69" s="268">
        <f t="shared" si="41"/>
        <v>0</v>
      </c>
      <c r="BJ69" s="268">
        <f t="shared" si="42"/>
        <v>0</v>
      </c>
      <c r="BK69" s="268">
        <v>0</v>
      </c>
      <c r="BL69" s="268">
        <v>0</v>
      </c>
      <c r="BM69" s="269">
        <f t="shared" si="37"/>
        <v>0</v>
      </c>
      <c r="BN69" s="272">
        <f t="shared" si="48"/>
        <v>0</v>
      </c>
      <c r="BO69" s="272">
        <f t="shared" si="48"/>
        <v>0.01</v>
      </c>
      <c r="BP69" s="1695"/>
      <c r="BQ69" s="354"/>
      <c r="BR69" s="1695"/>
      <c r="BS69" s="1695"/>
      <c r="BU69" s="267"/>
      <c r="BV69" s="268">
        <f t="shared" si="43"/>
        <v>0</v>
      </c>
      <c r="BW69" s="424"/>
      <c r="BX69" s="424"/>
      <c r="BY69" s="424"/>
      <c r="BZ69" s="269">
        <f t="shared" si="38"/>
        <v>0</v>
      </c>
      <c r="CA69" s="272"/>
      <c r="CB69" s="272">
        <f t="shared" si="44"/>
        <v>0.01</v>
      </c>
      <c r="CC69" s="1695"/>
      <c r="CD69" s="1478">
        <f t="shared" si="45"/>
        <v>0</v>
      </c>
      <c r="CE69" s="1695"/>
      <c r="CF69" s="1695"/>
    </row>
    <row r="70" spans="1:84" ht="15">
      <c r="A70" s="273" t="s">
        <v>510</v>
      </c>
      <c r="B70" s="274">
        <v>2020</v>
      </c>
      <c r="C70" s="1503">
        <v>43922</v>
      </c>
      <c r="D70" s="274"/>
      <c r="E70" s="275">
        <f t="shared" si="20"/>
        <v>794608302</v>
      </c>
      <c r="F70" s="276">
        <f t="shared" si="16"/>
        <v>61</v>
      </c>
      <c r="G70" s="277" t="e">
        <f t="shared" si="9"/>
        <v>#REF!</v>
      </c>
      <c r="H70" s="277" t="e">
        <f>-ROUNDDOWN(J69*#REF!,0)</f>
        <v>#REF!</v>
      </c>
      <c r="I70" s="277" t="e">
        <f>IF(ROUNDDOWN(J69,0)=0,0,-#REF!)</f>
        <v>#REF!</v>
      </c>
      <c r="J70" s="278" t="e">
        <f t="shared" si="10"/>
        <v>#REF!</v>
      </c>
      <c r="K70" s="1694" t="s">
        <v>5</v>
      </c>
      <c r="L70" s="1694" t="e">
        <f>SUM(H70:H81)</f>
        <v>#REF!</v>
      </c>
      <c r="M70" s="1694" t="e">
        <f>SUM(I70:I81)</f>
        <v>#REF!</v>
      </c>
      <c r="O70" s="276">
        <f t="shared" si="17"/>
        <v>61</v>
      </c>
      <c r="P70" s="277" t="e">
        <f t="shared" si="1"/>
        <v>#REF!</v>
      </c>
      <c r="Q70" s="277" t="e">
        <f>-S69*#REF!</f>
        <v>#REF!</v>
      </c>
      <c r="R70" s="277" t="e">
        <f>IF(ROUNDDOWN(S69,0)=0,0,-#REF!)</f>
        <v>#REF!</v>
      </c>
      <c r="S70" s="278" t="e">
        <f t="shared" si="11"/>
        <v>#REF!</v>
      </c>
      <c r="T70" s="1694" t="s">
        <v>5</v>
      </c>
      <c r="U70" s="1694" t="e">
        <f>SUM(Q70:Q81)</f>
        <v>#REF!</v>
      </c>
      <c r="V70" s="1694" t="e">
        <f>SUM(R70:R81)</f>
        <v>#REF!</v>
      </c>
      <c r="X70" s="276">
        <f t="shared" si="18"/>
        <v>61</v>
      </c>
      <c r="Y70" s="277" t="e">
        <f t="shared" si="2"/>
        <v>#REF!</v>
      </c>
      <c r="Z70" s="277" t="e">
        <f>-AB69*#REF!</f>
        <v>#REF!</v>
      </c>
      <c r="AA70" s="277">
        <v>0</v>
      </c>
      <c r="AB70" s="278">
        <f t="shared" si="12"/>
        <v>170000000</v>
      </c>
      <c r="AC70" s="1694" t="s">
        <v>5</v>
      </c>
      <c r="AD70" s="1694" t="e">
        <f>SUM(Z70:Z81)</f>
        <v>#REF!</v>
      </c>
      <c r="AE70" s="1694">
        <f>SUM(AA70:AA81)</f>
        <v>0</v>
      </c>
      <c r="AG70" s="1709" t="s">
        <v>5</v>
      </c>
      <c r="AH70" s="1709" t="e">
        <f>L70+U70+AD70</f>
        <v>#REF!</v>
      </c>
      <c r="AI70" s="1709" t="e">
        <f>M70+V70+AE70</f>
        <v>#REF!</v>
      </c>
      <c r="AK70" s="276">
        <f t="shared" si="19"/>
        <v>61</v>
      </c>
      <c r="AL70" s="277" t="e">
        <f t="shared" si="3"/>
        <v>#REF!</v>
      </c>
      <c r="AM70" s="277" t="e">
        <f>-AO69*#REF!</f>
        <v>#REF!</v>
      </c>
      <c r="AN70" s="277" t="e">
        <f>$AR$70/12</f>
        <v>#REF!</v>
      </c>
      <c r="AO70" s="278" t="e">
        <f t="shared" si="47"/>
        <v>#REF!</v>
      </c>
      <c r="AP70" s="1694" t="s">
        <v>5</v>
      </c>
      <c r="AQ70" s="1694" t="e">
        <f>SUM(AM70:AM81)</f>
        <v>#REF!</v>
      </c>
      <c r="AR70" s="1694" t="e">
        <f>-AS70*#REF!</f>
        <v>#REF!</v>
      </c>
      <c r="AS70" s="1715">
        <v>0.15</v>
      </c>
      <c r="AU70" s="276">
        <f t="shared" si="21"/>
        <v>55</v>
      </c>
      <c r="AV70" s="277">
        <f t="shared" si="34"/>
        <v>-2090941</v>
      </c>
      <c r="AW70" s="277">
        <v>-2090941</v>
      </c>
      <c r="AX70" s="1491">
        <v>0</v>
      </c>
      <c r="AY70" s="277">
        <v>0</v>
      </c>
      <c r="AZ70" s="277">
        <v>0</v>
      </c>
      <c r="BA70" s="278">
        <f t="shared" si="22"/>
        <v>794608302</v>
      </c>
      <c r="BB70" s="279">
        <v>2.2983900000000002E-2</v>
      </c>
      <c r="BC70" s="279">
        <f t="shared" si="39"/>
        <v>0.01</v>
      </c>
      <c r="BD70" s="1694" t="s">
        <v>5</v>
      </c>
      <c r="BE70" s="355">
        <f t="shared" si="40"/>
        <v>-662173.58500000008</v>
      </c>
      <c r="BF70" s="1694">
        <f>SUM(AW70:AW81)</f>
        <v>-14274537.609999999</v>
      </c>
      <c r="BG70" s="1694">
        <f>SUM(AY70:AZ81)</f>
        <v>126891698</v>
      </c>
      <c r="BI70" s="277">
        <f t="shared" si="41"/>
        <v>0</v>
      </c>
      <c r="BJ70" s="277">
        <f t="shared" si="42"/>
        <v>0</v>
      </c>
      <c r="BK70" s="277">
        <v>0</v>
      </c>
      <c r="BL70" s="277"/>
      <c r="BM70" s="278">
        <f t="shared" si="37"/>
        <v>0</v>
      </c>
      <c r="BN70" s="279">
        <f>BN69</f>
        <v>0</v>
      </c>
      <c r="BO70" s="279">
        <f>BO69</f>
        <v>0.01</v>
      </c>
      <c r="BP70" s="1694" t="s">
        <v>5</v>
      </c>
      <c r="BQ70" s="355"/>
      <c r="BR70" s="1694">
        <f>SUM(BJ70:BJ81)</f>
        <v>0</v>
      </c>
      <c r="BS70" s="1694">
        <f>SUM(BK70:BL81)</f>
        <v>0</v>
      </c>
      <c r="BU70" s="276"/>
      <c r="BV70" s="277">
        <f t="shared" si="43"/>
        <v>0</v>
      </c>
      <c r="BW70" s="277"/>
      <c r="BX70" s="277"/>
      <c r="BY70" s="277"/>
      <c r="BZ70" s="278">
        <f t="shared" si="38"/>
        <v>0</v>
      </c>
      <c r="CA70" s="279"/>
      <c r="CB70" s="279">
        <f t="shared" si="44"/>
        <v>0.01</v>
      </c>
      <c r="CC70" s="1694" t="s">
        <v>5</v>
      </c>
      <c r="CD70" s="1476">
        <f t="shared" si="45"/>
        <v>0</v>
      </c>
      <c r="CE70" s="1694">
        <f>SUM(BW70:BW81)</f>
        <v>0</v>
      </c>
      <c r="CF70" s="1694">
        <f>SUM(BX70:BY81)</f>
        <v>0</v>
      </c>
    </row>
    <row r="71" spans="1:84" ht="15">
      <c r="A71" s="273" t="s">
        <v>511</v>
      </c>
      <c r="B71" s="274">
        <v>2020</v>
      </c>
      <c r="C71" s="1503">
        <v>43952</v>
      </c>
      <c r="D71" s="274"/>
      <c r="E71" s="275">
        <f t="shared" si="20"/>
        <v>794608302</v>
      </c>
      <c r="F71" s="276">
        <f t="shared" si="16"/>
        <v>62</v>
      </c>
      <c r="G71" s="277" t="e">
        <f t="shared" si="9"/>
        <v>#REF!</v>
      </c>
      <c r="H71" s="277" t="e">
        <f>-ROUNDDOWN(J70*#REF!,0)</f>
        <v>#REF!</v>
      </c>
      <c r="I71" s="277" t="e">
        <f>IF(ROUNDDOWN(J70,0)=0,0,-#REF!)</f>
        <v>#REF!</v>
      </c>
      <c r="J71" s="278" t="e">
        <f t="shared" si="10"/>
        <v>#REF!</v>
      </c>
      <c r="K71" s="1694"/>
      <c r="L71" s="1694"/>
      <c r="M71" s="1694"/>
      <c r="O71" s="276">
        <f t="shared" si="17"/>
        <v>62</v>
      </c>
      <c r="P71" s="277" t="e">
        <f t="shared" si="1"/>
        <v>#REF!</v>
      </c>
      <c r="Q71" s="277" t="e">
        <f>-S70*#REF!</f>
        <v>#REF!</v>
      </c>
      <c r="R71" s="277" t="e">
        <f>IF(ROUNDDOWN(S70,0)=0,0,-#REF!)</f>
        <v>#REF!</v>
      </c>
      <c r="S71" s="278" t="e">
        <f t="shared" si="11"/>
        <v>#REF!</v>
      </c>
      <c r="T71" s="1694"/>
      <c r="U71" s="1694"/>
      <c r="V71" s="1694"/>
      <c r="X71" s="276">
        <f t="shared" si="18"/>
        <v>62</v>
      </c>
      <c r="Y71" s="277" t="e">
        <f t="shared" si="2"/>
        <v>#REF!</v>
      </c>
      <c r="Z71" s="277" t="e">
        <f>-AB70*#REF!</f>
        <v>#REF!</v>
      </c>
      <c r="AA71" s="277">
        <v>0</v>
      </c>
      <c r="AB71" s="278">
        <f t="shared" si="12"/>
        <v>170000000</v>
      </c>
      <c r="AC71" s="1694"/>
      <c r="AD71" s="1694"/>
      <c r="AE71" s="1694"/>
      <c r="AG71" s="1709"/>
      <c r="AH71" s="1709"/>
      <c r="AI71" s="1709"/>
      <c r="AK71" s="276">
        <f t="shared" si="19"/>
        <v>62</v>
      </c>
      <c r="AL71" s="277" t="e">
        <f t="shared" si="3"/>
        <v>#REF!</v>
      </c>
      <c r="AM71" s="277" t="e">
        <f>-AO70*#REF!</f>
        <v>#REF!</v>
      </c>
      <c r="AN71" s="277" t="e">
        <f t="shared" ref="AN71:AN81" si="49">$AR$70/12</f>
        <v>#REF!</v>
      </c>
      <c r="AO71" s="278" t="e">
        <f t="shared" si="47"/>
        <v>#REF!</v>
      </c>
      <c r="AP71" s="1694"/>
      <c r="AQ71" s="1694"/>
      <c r="AR71" s="1694"/>
      <c r="AS71" s="1715"/>
      <c r="AU71" s="276">
        <f t="shared" si="21"/>
        <v>56</v>
      </c>
      <c r="AV71" s="277">
        <f t="shared" si="34"/>
        <v>-1501085</v>
      </c>
      <c r="AW71" s="277">
        <v>-1501085</v>
      </c>
      <c r="AX71" s="1491">
        <v>0</v>
      </c>
      <c r="AY71" s="277">
        <v>0</v>
      </c>
      <c r="AZ71" s="277">
        <v>0</v>
      </c>
      <c r="BA71" s="278">
        <f t="shared" si="22"/>
        <v>794608302</v>
      </c>
      <c r="BB71" s="279">
        <v>2.2009500000000001E-2</v>
      </c>
      <c r="BC71" s="279">
        <f t="shared" si="39"/>
        <v>0.01</v>
      </c>
      <c r="BD71" s="1694"/>
      <c r="BE71" s="355">
        <f t="shared" si="40"/>
        <v>-662173.58500000008</v>
      </c>
      <c r="BF71" s="1694"/>
      <c r="BG71" s="1694"/>
      <c r="BI71" s="277">
        <f t="shared" si="41"/>
        <v>0</v>
      </c>
      <c r="BJ71" s="277">
        <f t="shared" si="42"/>
        <v>0</v>
      </c>
      <c r="BK71" s="277">
        <v>0</v>
      </c>
      <c r="BL71" s="277"/>
      <c r="BM71" s="278">
        <f t="shared" si="37"/>
        <v>0</v>
      </c>
      <c r="BN71" s="279">
        <f t="shared" ref="BN71:BO93" si="50">BN70</f>
        <v>0</v>
      </c>
      <c r="BO71" s="279">
        <f t="shared" si="50"/>
        <v>0.01</v>
      </c>
      <c r="BP71" s="1694"/>
      <c r="BQ71" s="355"/>
      <c r="BR71" s="1694"/>
      <c r="BS71" s="1694"/>
      <c r="BU71" s="276"/>
      <c r="BV71" s="277">
        <f t="shared" si="43"/>
        <v>0</v>
      </c>
      <c r="BW71" s="277"/>
      <c r="BX71" s="277"/>
      <c r="BY71" s="277"/>
      <c r="BZ71" s="278">
        <f t="shared" si="38"/>
        <v>0</v>
      </c>
      <c r="CA71" s="279"/>
      <c r="CB71" s="279">
        <f t="shared" si="44"/>
        <v>0.01</v>
      </c>
      <c r="CC71" s="1694"/>
      <c r="CD71" s="1476">
        <f t="shared" si="45"/>
        <v>0</v>
      </c>
      <c r="CE71" s="1694"/>
      <c r="CF71" s="1694"/>
    </row>
    <row r="72" spans="1:84" ht="15">
      <c r="A72" s="273" t="s">
        <v>512</v>
      </c>
      <c r="B72" s="274">
        <v>2020</v>
      </c>
      <c r="C72" s="1503">
        <v>43983</v>
      </c>
      <c r="D72" s="274"/>
      <c r="E72" s="275">
        <f t="shared" si="20"/>
        <v>794608302</v>
      </c>
      <c r="F72" s="276">
        <f t="shared" si="16"/>
        <v>63</v>
      </c>
      <c r="G72" s="277" t="e">
        <f t="shared" si="9"/>
        <v>#REF!</v>
      </c>
      <c r="H72" s="277" t="e">
        <f>-ROUNDDOWN(J71*#REF!,0)</f>
        <v>#REF!</v>
      </c>
      <c r="I72" s="277" t="e">
        <f>IF(ROUNDDOWN(J71,0)=0,0,-#REF!)</f>
        <v>#REF!</v>
      </c>
      <c r="J72" s="278" t="e">
        <f t="shared" si="10"/>
        <v>#REF!</v>
      </c>
      <c r="K72" s="1694"/>
      <c r="L72" s="1694"/>
      <c r="M72" s="1694"/>
      <c r="O72" s="276">
        <f t="shared" si="17"/>
        <v>63</v>
      </c>
      <c r="P72" s="277" t="e">
        <f t="shared" si="1"/>
        <v>#REF!</v>
      </c>
      <c r="Q72" s="277" t="e">
        <f>-S71*#REF!</f>
        <v>#REF!</v>
      </c>
      <c r="R72" s="277" t="e">
        <f>IF(ROUNDDOWN(S71,0)=0,0,-#REF!)</f>
        <v>#REF!</v>
      </c>
      <c r="S72" s="278" t="e">
        <f t="shared" si="11"/>
        <v>#REF!</v>
      </c>
      <c r="T72" s="1694"/>
      <c r="U72" s="1694"/>
      <c r="V72" s="1694"/>
      <c r="X72" s="276">
        <f t="shared" si="18"/>
        <v>63</v>
      </c>
      <c r="Y72" s="277" t="e">
        <f t="shared" si="2"/>
        <v>#REF!</v>
      </c>
      <c r="Z72" s="277" t="e">
        <f>-AB71*#REF!</f>
        <v>#REF!</v>
      </c>
      <c r="AA72" s="277">
        <v>0</v>
      </c>
      <c r="AB72" s="278">
        <f t="shared" si="12"/>
        <v>170000000</v>
      </c>
      <c r="AC72" s="1694"/>
      <c r="AD72" s="1694"/>
      <c r="AE72" s="1694"/>
      <c r="AG72" s="1709"/>
      <c r="AH72" s="1709"/>
      <c r="AI72" s="1709"/>
      <c r="AK72" s="276">
        <f t="shared" si="19"/>
        <v>63</v>
      </c>
      <c r="AL72" s="277" t="e">
        <f t="shared" si="3"/>
        <v>#REF!</v>
      </c>
      <c r="AM72" s="277" t="e">
        <f>-AO71*#REF!</f>
        <v>#REF!</v>
      </c>
      <c r="AN72" s="277" t="e">
        <f t="shared" si="49"/>
        <v>#REF!</v>
      </c>
      <c r="AO72" s="278" t="e">
        <f t="shared" si="47"/>
        <v>#REF!</v>
      </c>
      <c r="AP72" s="1694"/>
      <c r="AQ72" s="1694"/>
      <c r="AR72" s="1694"/>
      <c r="AS72" s="1715"/>
      <c r="AU72" s="276">
        <f t="shared" si="21"/>
        <v>57</v>
      </c>
      <c r="AV72" s="277">
        <f t="shared" si="34"/>
        <v>-1485361</v>
      </c>
      <c r="AW72" s="277">
        <v>-1485361</v>
      </c>
      <c r="AX72" s="1491">
        <v>0</v>
      </c>
      <c r="AY72" s="277">
        <v>0</v>
      </c>
      <c r="AZ72" s="277">
        <v>0</v>
      </c>
      <c r="BA72" s="278">
        <f t="shared" si="22"/>
        <v>794608302</v>
      </c>
      <c r="BB72" s="279">
        <v>1.5926800000000001E-2</v>
      </c>
      <c r="BC72" s="279">
        <f t="shared" si="39"/>
        <v>0.01</v>
      </c>
      <c r="BD72" s="1694"/>
      <c r="BE72" s="355">
        <f t="shared" si="40"/>
        <v>-662173.58500000008</v>
      </c>
      <c r="BF72" s="1694"/>
      <c r="BG72" s="1694"/>
      <c r="BI72" s="277">
        <f t="shared" si="41"/>
        <v>0</v>
      </c>
      <c r="BJ72" s="277">
        <f t="shared" si="42"/>
        <v>0</v>
      </c>
      <c r="BK72" s="277">
        <v>0</v>
      </c>
      <c r="BL72" s="277"/>
      <c r="BM72" s="278">
        <f t="shared" si="37"/>
        <v>0</v>
      </c>
      <c r="BN72" s="279">
        <f t="shared" si="50"/>
        <v>0</v>
      </c>
      <c r="BO72" s="279">
        <f t="shared" si="50"/>
        <v>0.01</v>
      </c>
      <c r="BP72" s="1694"/>
      <c r="BQ72" s="355"/>
      <c r="BR72" s="1694"/>
      <c r="BS72" s="1694"/>
      <c r="BU72" s="276"/>
      <c r="BV72" s="277">
        <f t="shared" si="43"/>
        <v>0</v>
      </c>
      <c r="BW72" s="277"/>
      <c r="BX72" s="277"/>
      <c r="BY72" s="277"/>
      <c r="BZ72" s="278">
        <f t="shared" si="38"/>
        <v>0</v>
      </c>
      <c r="CA72" s="279"/>
      <c r="CB72" s="279">
        <f t="shared" si="44"/>
        <v>0.01</v>
      </c>
      <c r="CC72" s="1694"/>
      <c r="CD72" s="1476">
        <f t="shared" si="45"/>
        <v>0</v>
      </c>
      <c r="CE72" s="1694"/>
      <c r="CF72" s="1694"/>
    </row>
    <row r="73" spans="1:84" ht="15">
      <c r="A73" s="273" t="s">
        <v>513</v>
      </c>
      <c r="B73" s="274">
        <v>2020</v>
      </c>
      <c r="C73" s="1503">
        <v>44013</v>
      </c>
      <c r="D73" s="274"/>
      <c r="E73" s="275">
        <f t="shared" si="20"/>
        <v>816561802</v>
      </c>
      <c r="F73" s="276">
        <f t="shared" si="16"/>
        <v>64</v>
      </c>
      <c r="G73" s="277" t="e">
        <f t="shared" si="9"/>
        <v>#REF!</v>
      </c>
      <c r="H73" s="277" t="e">
        <f>-ROUNDDOWN(J72*#REF!,0)</f>
        <v>#REF!</v>
      </c>
      <c r="I73" s="277" t="e">
        <f>IF(ROUNDDOWN(J72,0)=0,0,-#REF!)</f>
        <v>#REF!</v>
      </c>
      <c r="J73" s="278" t="e">
        <f t="shared" si="10"/>
        <v>#REF!</v>
      </c>
      <c r="K73" s="1694"/>
      <c r="L73" s="1694"/>
      <c r="M73" s="1694"/>
      <c r="O73" s="276">
        <f t="shared" si="17"/>
        <v>64</v>
      </c>
      <c r="P73" s="277" t="e">
        <f t="shared" si="1"/>
        <v>#REF!</v>
      </c>
      <c r="Q73" s="277" t="e">
        <f>-S72*#REF!</f>
        <v>#REF!</v>
      </c>
      <c r="R73" s="277" t="e">
        <f>IF(ROUNDDOWN(S72,0)=0,0,-#REF!)</f>
        <v>#REF!</v>
      </c>
      <c r="S73" s="278" t="e">
        <f t="shared" si="11"/>
        <v>#REF!</v>
      </c>
      <c r="T73" s="1694"/>
      <c r="U73" s="1694"/>
      <c r="V73" s="1694"/>
      <c r="X73" s="276">
        <f t="shared" si="18"/>
        <v>64</v>
      </c>
      <c r="Y73" s="277" t="e">
        <f t="shared" si="2"/>
        <v>#REF!</v>
      </c>
      <c r="Z73" s="277" t="e">
        <f>-AB72*#REF!</f>
        <v>#REF!</v>
      </c>
      <c r="AA73" s="277">
        <v>0</v>
      </c>
      <c r="AB73" s="278">
        <f t="shared" si="12"/>
        <v>170000000</v>
      </c>
      <c r="AC73" s="1694"/>
      <c r="AD73" s="1694"/>
      <c r="AE73" s="1694"/>
      <c r="AG73" s="1709"/>
      <c r="AH73" s="1709"/>
      <c r="AI73" s="1709"/>
      <c r="AK73" s="276">
        <f t="shared" si="19"/>
        <v>64</v>
      </c>
      <c r="AL73" s="277" t="e">
        <f t="shared" si="3"/>
        <v>#REF!</v>
      </c>
      <c r="AM73" s="277" t="e">
        <f>-AO72*#REF!</f>
        <v>#REF!</v>
      </c>
      <c r="AN73" s="277" t="e">
        <f t="shared" si="49"/>
        <v>#REF!</v>
      </c>
      <c r="AO73" s="278" t="e">
        <f t="shared" si="47"/>
        <v>#REF!</v>
      </c>
      <c r="AP73" s="1694"/>
      <c r="AQ73" s="1694"/>
      <c r="AR73" s="1694"/>
      <c r="AS73" s="1715"/>
      <c r="AU73" s="276">
        <f t="shared" si="21"/>
        <v>58</v>
      </c>
      <c r="AV73" s="277">
        <f t="shared" si="34"/>
        <v>-1040184</v>
      </c>
      <c r="AW73" s="277">
        <v>-1040184</v>
      </c>
      <c r="AX73" s="1491">
        <v>0</v>
      </c>
      <c r="AY73" s="277">
        <v>0</v>
      </c>
      <c r="AZ73" s="277">
        <v>21953500</v>
      </c>
      <c r="BA73" s="278">
        <f t="shared" si="22"/>
        <v>816561802</v>
      </c>
      <c r="BB73" s="279">
        <v>1.4039299999999999E-2</v>
      </c>
      <c r="BC73" s="279">
        <f t="shared" si="39"/>
        <v>0.01</v>
      </c>
      <c r="BD73" s="1694"/>
      <c r="BE73" s="355">
        <f t="shared" si="40"/>
        <v>-662173.58500000008</v>
      </c>
      <c r="BF73" s="1694"/>
      <c r="BG73" s="1694"/>
      <c r="BI73" s="277">
        <f t="shared" si="41"/>
        <v>0</v>
      </c>
      <c r="BJ73" s="277">
        <f t="shared" si="42"/>
        <v>0</v>
      </c>
      <c r="BK73" s="277">
        <v>0</v>
      </c>
      <c r="BL73" s="277"/>
      <c r="BM73" s="278">
        <f t="shared" si="37"/>
        <v>0</v>
      </c>
      <c r="BN73" s="279">
        <f t="shared" si="50"/>
        <v>0</v>
      </c>
      <c r="BO73" s="279">
        <f t="shared" si="50"/>
        <v>0.01</v>
      </c>
      <c r="BP73" s="1694"/>
      <c r="BQ73" s="355"/>
      <c r="BR73" s="1694"/>
      <c r="BS73" s="1694"/>
      <c r="BU73" s="276"/>
      <c r="BV73" s="277">
        <f t="shared" si="43"/>
        <v>0</v>
      </c>
      <c r="BW73" s="277"/>
      <c r="BX73" s="277"/>
      <c r="BY73" s="277"/>
      <c r="BZ73" s="278">
        <f t="shared" si="38"/>
        <v>0</v>
      </c>
      <c r="CA73" s="279"/>
      <c r="CB73" s="279">
        <f t="shared" si="44"/>
        <v>0.01</v>
      </c>
      <c r="CC73" s="1694"/>
      <c r="CD73" s="1476">
        <f t="shared" si="45"/>
        <v>0</v>
      </c>
      <c r="CE73" s="1694"/>
      <c r="CF73" s="1694"/>
    </row>
    <row r="74" spans="1:84" ht="15">
      <c r="A74" s="273" t="s">
        <v>514</v>
      </c>
      <c r="B74" s="274">
        <v>2020</v>
      </c>
      <c r="C74" s="1503">
        <v>44044</v>
      </c>
      <c r="D74" s="274"/>
      <c r="E74" s="275">
        <f t="shared" si="20"/>
        <v>816561802</v>
      </c>
      <c r="F74" s="276">
        <f t="shared" si="16"/>
        <v>65</v>
      </c>
      <c r="G74" s="277" t="e">
        <f t="shared" si="9"/>
        <v>#REF!</v>
      </c>
      <c r="H74" s="277" t="e">
        <f>-ROUNDDOWN(J73*#REF!,0)</f>
        <v>#REF!</v>
      </c>
      <c r="I74" s="277" t="e">
        <f>IF(ROUNDDOWN(J73,0)=0,0,-#REF!)</f>
        <v>#REF!</v>
      </c>
      <c r="J74" s="278" t="e">
        <f t="shared" si="10"/>
        <v>#REF!</v>
      </c>
      <c r="K74" s="1694"/>
      <c r="L74" s="1694"/>
      <c r="M74" s="1694"/>
      <c r="O74" s="276">
        <f t="shared" si="17"/>
        <v>65</v>
      </c>
      <c r="P74" s="277" t="e">
        <f t="shared" ref="P74:P137" si="51">SUM(Q74:R74)</f>
        <v>#REF!</v>
      </c>
      <c r="Q74" s="277" t="e">
        <f>-S73*#REF!</f>
        <v>#REF!</v>
      </c>
      <c r="R74" s="277" t="e">
        <f>IF(ROUNDDOWN(S73,0)=0,0,-#REF!)</f>
        <v>#REF!</v>
      </c>
      <c r="S74" s="278" t="e">
        <f t="shared" si="11"/>
        <v>#REF!</v>
      </c>
      <c r="T74" s="1694"/>
      <c r="U74" s="1694"/>
      <c r="V74" s="1694"/>
      <c r="X74" s="276">
        <f t="shared" si="18"/>
        <v>65</v>
      </c>
      <c r="Y74" s="277" t="e">
        <f t="shared" ref="Y74:Y137" si="52">SUM(Z74:AA74)</f>
        <v>#REF!</v>
      </c>
      <c r="Z74" s="277" t="e">
        <f>-AB73*#REF!</f>
        <v>#REF!</v>
      </c>
      <c r="AA74" s="277">
        <v>0</v>
      </c>
      <c r="AB74" s="278">
        <f t="shared" si="12"/>
        <v>170000000</v>
      </c>
      <c r="AC74" s="1694"/>
      <c r="AD74" s="1694"/>
      <c r="AE74" s="1694"/>
      <c r="AG74" s="1709"/>
      <c r="AH74" s="1709"/>
      <c r="AI74" s="1709"/>
      <c r="AK74" s="276">
        <f t="shared" si="19"/>
        <v>65</v>
      </c>
      <c r="AL74" s="277" t="e">
        <f t="shared" ref="AL74:AL137" si="53">SUM(AM74:AN74)</f>
        <v>#REF!</v>
      </c>
      <c r="AM74" s="277" t="e">
        <f>-AO73*#REF!</f>
        <v>#REF!</v>
      </c>
      <c r="AN74" s="277" t="e">
        <f t="shared" si="49"/>
        <v>#REF!</v>
      </c>
      <c r="AO74" s="278" t="e">
        <f t="shared" si="47"/>
        <v>#REF!</v>
      </c>
      <c r="AP74" s="1694"/>
      <c r="AQ74" s="1694"/>
      <c r="AR74" s="1694"/>
      <c r="AS74" s="1715"/>
      <c r="AU74" s="276">
        <f t="shared" si="21"/>
        <v>59</v>
      </c>
      <c r="AV74" s="277">
        <f t="shared" si="34"/>
        <v>-1036467</v>
      </c>
      <c r="AW74" s="277">
        <v>-1036467</v>
      </c>
      <c r="AX74" s="1491">
        <v>0</v>
      </c>
      <c r="AY74" s="277">
        <v>0</v>
      </c>
      <c r="AZ74" s="277">
        <v>0</v>
      </c>
      <c r="BA74" s="278">
        <f t="shared" si="22"/>
        <v>816561802</v>
      </c>
      <c r="BB74" s="279">
        <v>1.52262E-2</v>
      </c>
      <c r="BC74" s="279">
        <f t="shared" si="39"/>
        <v>0.01</v>
      </c>
      <c r="BD74" s="1694"/>
      <c r="BE74" s="355">
        <f t="shared" si="40"/>
        <v>-680468.16833333333</v>
      </c>
      <c r="BF74" s="1694"/>
      <c r="BG74" s="1694"/>
      <c r="BI74" s="277">
        <f t="shared" si="41"/>
        <v>0</v>
      </c>
      <c r="BJ74" s="277">
        <f t="shared" si="42"/>
        <v>0</v>
      </c>
      <c r="BK74" s="277">
        <v>0</v>
      </c>
      <c r="BL74" s="277"/>
      <c r="BM74" s="278">
        <f t="shared" si="37"/>
        <v>0</v>
      </c>
      <c r="BN74" s="279">
        <f t="shared" si="50"/>
        <v>0</v>
      </c>
      <c r="BO74" s="279">
        <f t="shared" si="50"/>
        <v>0.01</v>
      </c>
      <c r="BP74" s="1694"/>
      <c r="BQ74" s="355"/>
      <c r="BR74" s="1694"/>
      <c r="BS74" s="1694"/>
      <c r="BU74" s="276"/>
      <c r="BV74" s="277">
        <f t="shared" si="43"/>
        <v>0</v>
      </c>
      <c r="BW74" s="277"/>
      <c r="BX74" s="277"/>
      <c r="BY74" s="277"/>
      <c r="BZ74" s="278">
        <f t="shared" si="38"/>
        <v>0</v>
      </c>
      <c r="CA74" s="279"/>
      <c r="CB74" s="279">
        <f t="shared" si="44"/>
        <v>0.01</v>
      </c>
      <c r="CC74" s="1694"/>
      <c r="CD74" s="1476">
        <f t="shared" si="45"/>
        <v>0</v>
      </c>
      <c r="CE74" s="1694"/>
      <c r="CF74" s="1694"/>
    </row>
    <row r="75" spans="1:84" ht="15">
      <c r="A75" s="273" t="s">
        <v>515</v>
      </c>
      <c r="B75" s="274">
        <v>2020</v>
      </c>
      <c r="C75" s="1503">
        <v>44075</v>
      </c>
      <c r="D75" s="274"/>
      <c r="E75" s="275">
        <f t="shared" si="20"/>
        <v>847950007</v>
      </c>
      <c r="F75" s="276">
        <f t="shared" si="16"/>
        <v>66</v>
      </c>
      <c r="G75" s="277" t="e">
        <f t="shared" ref="G75:G104" si="54">SUM(H75:I75)</f>
        <v>#REF!</v>
      </c>
      <c r="H75" s="277" t="e">
        <f>-ROUNDDOWN(J74*#REF!,0)</f>
        <v>#REF!</v>
      </c>
      <c r="I75" s="277" t="e">
        <f>IF(ROUNDDOWN(J74,0)=0,0,-#REF!)</f>
        <v>#REF!</v>
      </c>
      <c r="J75" s="278" t="e">
        <f t="shared" ref="J75:J138" si="55">J74+I75</f>
        <v>#REF!</v>
      </c>
      <c r="K75" s="1694"/>
      <c r="L75" s="1694"/>
      <c r="M75" s="1694"/>
      <c r="O75" s="276">
        <f t="shared" si="17"/>
        <v>66</v>
      </c>
      <c r="P75" s="277" t="e">
        <f t="shared" si="51"/>
        <v>#REF!</v>
      </c>
      <c r="Q75" s="277" t="e">
        <f>-S74*#REF!</f>
        <v>#REF!</v>
      </c>
      <c r="R75" s="277" t="e">
        <f>IF(ROUNDDOWN(S74,0)=0,0,-#REF!)</f>
        <v>#REF!</v>
      </c>
      <c r="S75" s="278" t="e">
        <f t="shared" ref="S75:S138" si="56">S74+R75</f>
        <v>#REF!</v>
      </c>
      <c r="T75" s="1694"/>
      <c r="U75" s="1694"/>
      <c r="V75" s="1694"/>
      <c r="X75" s="276">
        <f t="shared" si="18"/>
        <v>66</v>
      </c>
      <c r="Y75" s="277" t="e">
        <f t="shared" si="52"/>
        <v>#REF!</v>
      </c>
      <c r="Z75" s="277" t="e">
        <f>-AB74*#REF!</f>
        <v>#REF!</v>
      </c>
      <c r="AA75" s="277">
        <v>0</v>
      </c>
      <c r="AB75" s="278">
        <f t="shared" ref="AB75:AB138" si="57">AB74+AA75</f>
        <v>170000000</v>
      </c>
      <c r="AC75" s="1694"/>
      <c r="AD75" s="1694"/>
      <c r="AE75" s="1694"/>
      <c r="AG75" s="1709"/>
      <c r="AH75" s="1709"/>
      <c r="AI75" s="1709"/>
      <c r="AK75" s="276">
        <f t="shared" si="19"/>
        <v>66</v>
      </c>
      <c r="AL75" s="277" t="e">
        <f t="shared" si="53"/>
        <v>#REF!</v>
      </c>
      <c r="AM75" s="277" t="e">
        <f>-AO74*#REF!</f>
        <v>#REF!</v>
      </c>
      <c r="AN75" s="277" t="e">
        <f t="shared" si="49"/>
        <v>#REF!</v>
      </c>
      <c r="AO75" s="278" t="e">
        <f t="shared" si="47"/>
        <v>#REF!</v>
      </c>
      <c r="AP75" s="1694"/>
      <c r="AQ75" s="1694"/>
      <c r="AR75" s="1694"/>
      <c r="AS75" s="1715"/>
      <c r="AU75" s="276">
        <f t="shared" si="21"/>
        <v>60</v>
      </c>
      <c r="AV75" s="277">
        <f t="shared" si="34"/>
        <v>-1021901</v>
      </c>
      <c r="AW75" s="277">
        <v>-1021901</v>
      </c>
      <c r="AX75" s="1491">
        <v>0</v>
      </c>
      <c r="AY75" s="277">
        <v>0</v>
      </c>
      <c r="AZ75" s="277">
        <v>31388205</v>
      </c>
      <c r="BA75" s="278">
        <f t="shared" si="22"/>
        <v>847950007</v>
      </c>
      <c r="BB75" s="279">
        <v>1.6344600000000001E-2</v>
      </c>
      <c r="BC75" s="279">
        <f t="shared" si="39"/>
        <v>0.01</v>
      </c>
      <c r="BD75" s="1694"/>
      <c r="BE75" s="355">
        <f t="shared" si="40"/>
        <v>-680468.16833333333</v>
      </c>
      <c r="BF75" s="1694"/>
      <c r="BG75" s="1694"/>
      <c r="BI75" s="277">
        <f t="shared" si="41"/>
        <v>0</v>
      </c>
      <c r="BJ75" s="277">
        <f t="shared" si="42"/>
        <v>0</v>
      </c>
      <c r="BK75" s="277">
        <v>0</v>
      </c>
      <c r="BL75" s="277"/>
      <c r="BM75" s="278">
        <f t="shared" si="37"/>
        <v>0</v>
      </c>
      <c r="BN75" s="279">
        <f t="shared" si="50"/>
        <v>0</v>
      </c>
      <c r="BO75" s="279">
        <f t="shared" si="50"/>
        <v>0.01</v>
      </c>
      <c r="BP75" s="1694"/>
      <c r="BQ75" s="355"/>
      <c r="BR75" s="1694"/>
      <c r="BS75" s="1694"/>
      <c r="BU75" s="276"/>
      <c r="BV75" s="277">
        <f t="shared" ref="BV75:BV138" si="58">SUM(BW75:BX75)</f>
        <v>0</v>
      </c>
      <c r="BW75" s="277"/>
      <c r="BX75" s="277"/>
      <c r="BY75" s="277"/>
      <c r="BZ75" s="278">
        <f t="shared" si="38"/>
        <v>0</v>
      </c>
      <c r="CA75" s="279"/>
      <c r="CB75" s="279">
        <f t="shared" si="44"/>
        <v>0.01</v>
      </c>
      <c r="CC75" s="1694"/>
      <c r="CD75" s="1476">
        <f t="shared" si="45"/>
        <v>0</v>
      </c>
      <c r="CE75" s="1694"/>
      <c r="CF75" s="1694"/>
    </row>
    <row r="76" spans="1:84" ht="15">
      <c r="A76" s="273" t="s">
        <v>516</v>
      </c>
      <c r="B76" s="274">
        <v>2020</v>
      </c>
      <c r="C76" s="1503">
        <v>44105</v>
      </c>
      <c r="D76" s="274"/>
      <c r="E76" s="275">
        <f t="shared" si="20"/>
        <v>847950007</v>
      </c>
      <c r="F76" s="276">
        <f t="shared" ref="F76:F139" si="59">F75+1</f>
        <v>67</v>
      </c>
      <c r="G76" s="277" t="e">
        <f t="shared" si="54"/>
        <v>#REF!</v>
      </c>
      <c r="H76" s="277" t="e">
        <f>-ROUNDDOWN(J75*#REF!,0)</f>
        <v>#REF!</v>
      </c>
      <c r="I76" s="277" t="e">
        <f>IF(ROUNDDOWN(J75,0)=0,0,-#REF!)</f>
        <v>#REF!</v>
      </c>
      <c r="J76" s="278" t="e">
        <f t="shared" si="55"/>
        <v>#REF!</v>
      </c>
      <c r="K76" s="1694"/>
      <c r="L76" s="1694"/>
      <c r="M76" s="1694"/>
      <c r="O76" s="276">
        <f t="shared" ref="O76:O139" si="60">O75+1</f>
        <v>67</v>
      </c>
      <c r="P76" s="277" t="e">
        <f t="shared" si="51"/>
        <v>#REF!</v>
      </c>
      <c r="Q76" s="277" t="e">
        <f>-S75*#REF!</f>
        <v>#REF!</v>
      </c>
      <c r="R76" s="277" t="e">
        <f>IF(ROUNDDOWN(S75,0)=0,0,-#REF!)</f>
        <v>#REF!</v>
      </c>
      <c r="S76" s="278" t="e">
        <f t="shared" si="56"/>
        <v>#REF!</v>
      </c>
      <c r="T76" s="1694"/>
      <c r="U76" s="1694"/>
      <c r="V76" s="1694"/>
      <c r="X76" s="276">
        <f t="shared" ref="X76:X139" si="61">X75+1</f>
        <v>67</v>
      </c>
      <c r="Y76" s="277" t="e">
        <f t="shared" si="52"/>
        <v>#REF!</v>
      </c>
      <c r="Z76" s="277" t="e">
        <f>-AB75*#REF!</f>
        <v>#REF!</v>
      </c>
      <c r="AA76" s="277">
        <v>0</v>
      </c>
      <c r="AB76" s="278">
        <f t="shared" si="57"/>
        <v>170000000</v>
      </c>
      <c r="AC76" s="1694"/>
      <c r="AD76" s="1694"/>
      <c r="AE76" s="1694"/>
      <c r="AG76" s="1709"/>
      <c r="AH76" s="1709"/>
      <c r="AI76" s="1709"/>
      <c r="AK76" s="276">
        <f t="shared" ref="AK76:AK139" si="62">AK75+1</f>
        <v>67</v>
      </c>
      <c r="AL76" s="277" t="e">
        <f t="shared" si="53"/>
        <v>#REF!</v>
      </c>
      <c r="AM76" s="277" t="e">
        <f>-AO75*#REF!</f>
        <v>#REF!</v>
      </c>
      <c r="AN76" s="277" t="e">
        <f t="shared" si="49"/>
        <v>#REF!</v>
      </c>
      <c r="AO76" s="278" t="e">
        <f t="shared" si="47"/>
        <v>#REF!</v>
      </c>
      <c r="AP76" s="1694"/>
      <c r="AQ76" s="1694"/>
      <c r="AR76" s="1694"/>
      <c r="AS76" s="1715"/>
      <c r="AU76" s="276">
        <f t="shared" si="21"/>
        <v>61</v>
      </c>
      <c r="AV76" s="277">
        <f t="shared" si="34"/>
        <v>-1139129</v>
      </c>
      <c r="AW76" s="277">
        <v>-1139129</v>
      </c>
      <c r="AX76" s="1491">
        <v>0</v>
      </c>
      <c r="AY76" s="277">
        <v>0</v>
      </c>
      <c r="AZ76" s="277">
        <v>0</v>
      </c>
      <c r="BA76" s="278">
        <f t="shared" si="22"/>
        <v>847950007</v>
      </c>
      <c r="BB76" s="279">
        <v>1.55268E-2</v>
      </c>
      <c r="BC76" s="279">
        <f t="shared" si="39"/>
        <v>0.01</v>
      </c>
      <c r="BD76" s="1694"/>
      <c r="BE76" s="355">
        <f t="shared" si="40"/>
        <v>-706625.00583333336</v>
      </c>
      <c r="BF76" s="1694"/>
      <c r="BG76" s="1694"/>
      <c r="BI76" s="277">
        <f t="shared" si="41"/>
        <v>0</v>
      </c>
      <c r="BJ76" s="277">
        <f t="shared" si="42"/>
        <v>0</v>
      </c>
      <c r="BK76" s="277">
        <v>0</v>
      </c>
      <c r="BL76" s="277">
        <v>0</v>
      </c>
      <c r="BM76" s="278">
        <f t="shared" si="37"/>
        <v>0</v>
      </c>
      <c r="BN76" s="279">
        <f t="shared" si="50"/>
        <v>0</v>
      </c>
      <c r="BO76" s="279">
        <f t="shared" si="50"/>
        <v>0.01</v>
      </c>
      <c r="BP76" s="1694"/>
      <c r="BQ76" s="355"/>
      <c r="BR76" s="1694"/>
      <c r="BS76" s="1694"/>
      <c r="BU76" s="276"/>
      <c r="BV76" s="277">
        <f t="shared" si="58"/>
        <v>0</v>
      </c>
      <c r="BW76" s="277"/>
      <c r="BX76" s="277"/>
      <c r="BY76" s="277"/>
      <c r="BZ76" s="278">
        <f t="shared" si="38"/>
        <v>0</v>
      </c>
      <c r="CA76" s="279"/>
      <c r="CB76" s="279">
        <f t="shared" si="44"/>
        <v>0.01</v>
      </c>
      <c r="CC76" s="1694"/>
      <c r="CD76" s="1476">
        <f t="shared" si="45"/>
        <v>0</v>
      </c>
      <c r="CE76" s="1694"/>
      <c r="CF76" s="1694"/>
    </row>
    <row r="77" spans="1:84" ht="15.75" thickBot="1">
      <c r="A77" s="273" t="s">
        <v>517</v>
      </c>
      <c r="B77" s="274">
        <v>2020</v>
      </c>
      <c r="C77" s="1503">
        <v>44136</v>
      </c>
      <c r="D77" s="274"/>
      <c r="E77" s="275">
        <f t="shared" si="20"/>
        <v>970000000</v>
      </c>
      <c r="F77" s="276">
        <f t="shared" si="59"/>
        <v>68</v>
      </c>
      <c r="G77" s="277" t="e">
        <f t="shared" si="54"/>
        <v>#REF!</v>
      </c>
      <c r="H77" s="277" t="e">
        <f>-ROUNDDOWN(J76*#REF!,0)</f>
        <v>#REF!</v>
      </c>
      <c r="I77" s="277" t="e">
        <f>IF(ROUNDDOWN(J76,0)=0,0,-#REF!)</f>
        <v>#REF!</v>
      </c>
      <c r="J77" s="278" t="e">
        <f t="shared" si="55"/>
        <v>#REF!</v>
      </c>
      <c r="K77" s="1694"/>
      <c r="L77" s="1694"/>
      <c r="M77" s="1694"/>
      <c r="O77" s="276">
        <f t="shared" si="60"/>
        <v>68</v>
      </c>
      <c r="P77" s="277" t="e">
        <f t="shared" si="51"/>
        <v>#REF!</v>
      </c>
      <c r="Q77" s="277" t="e">
        <f>-S76*#REF!</f>
        <v>#REF!</v>
      </c>
      <c r="R77" s="277" t="e">
        <f>IF(ROUNDDOWN(S76,0)=0,0,-#REF!)</f>
        <v>#REF!</v>
      </c>
      <c r="S77" s="278" t="e">
        <f t="shared" si="56"/>
        <v>#REF!</v>
      </c>
      <c r="T77" s="1694"/>
      <c r="U77" s="1694"/>
      <c r="V77" s="1694"/>
      <c r="X77" s="276">
        <f t="shared" si="61"/>
        <v>68</v>
      </c>
      <c r="Y77" s="277" t="e">
        <f t="shared" si="52"/>
        <v>#REF!</v>
      </c>
      <c r="Z77" s="277" t="e">
        <f>-AB76*#REF!</f>
        <v>#REF!</v>
      </c>
      <c r="AA77" s="277">
        <v>0</v>
      </c>
      <c r="AB77" s="278">
        <f t="shared" si="57"/>
        <v>170000000</v>
      </c>
      <c r="AC77" s="1694"/>
      <c r="AD77" s="1694"/>
      <c r="AE77" s="1694"/>
      <c r="AG77" s="1709"/>
      <c r="AH77" s="1709"/>
      <c r="AI77" s="1709"/>
      <c r="AK77" s="276">
        <f t="shared" si="62"/>
        <v>68</v>
      </c>
      <c r="AL77" s="277" t="e">
        <f t="shared" si="53"/>
        <v>#REF!</v>
      </c>
      <c r="AM77" s="277" t="e">
        <f>-AO76*#REF!</f>
        <v>#REF!</v>
      </c>
      <c r="AN77" s="277" t="e">
        <f t="shared" si="49"/>
        <v>#REF!</v>
      </c>
      <c r="AO77" s="278" t="e">
        <f t="shared" si="47"/>
        <v>#REF!</v>
      </c>
      <c r="AP77" s="1694"/>
      <c r="AQ77" s="1694"/>
      <c r="AR77" s="1694"/>
      <c r="AS77" s="1715"/>
      <c r="AU77" s="276">
        <f t="shared" si="21"/>
        <v>62</v>
      </c>
      <c r="AV77" s="277">
        <f t="shared" si="34"/>
        <v>-1118204</v>
      </c>
      <c r="AW77" s="277">
        <v>-1118204</v>
      </c>
      <c r="AX77" s="1491">
        <v>0</v>
      </c>
      <c r="AY77" s="986">
        <v>0</v>
      </c>
      <c r="AZ77" s="987">
        <v>122049993</v>
      </c>
      <c r="BA77" s="278">
        <f t="shared" si="22"/>
        <v>970000000</v>
      </c>
      <c r="BB77" s="279">
        <v>1.2626800000000001E-2</v>
      </c>
      <c r="BC77" s="279">
        <f t="shared" si="39"/>
        <v>0.01</v>
      </c>
      <c r="BD77" s="1694"/>
      <c r="BE77" s="355">
        <f t="shared" si="40"/>
        <v>-706625.00583333336</v>
      </c>
      <c r="BF77" s="1694"/>
      <c r="BG77" s="1694"/>
      <c r="BH77" s="230" t="s">
        <v>589</v>
      </c>
      <c r="BI77" s="277">
        <f t="shared" si="41"/>
        <v>0</v>
      </c>
      <c r="BJ77" s="277">
        <f t="shared" si="42"/>
        <v>0</v>
      </c>
      <c r="BK77" s="277">
        <v>0</v>
      </c>
      <c r="BL77" s="277"/>
      <c r="BM77" s="278">
        <f t="shared" si="37"/>
        <v>0</v>
      </c>
      <c r="BN77" s="279">
        <f t="shared" si="50"/>
        <v>0</v>
      </c>
      <c r="BO77" s="279">
        <f t="shared" si="50"/>
        <v>0.01</v>
      </c>
      <c r="BP77" s="1694"/>
      <c r="BQ77" s="355">
        <f>-BM76*BO77/12</f>
        <v>0</v>
      </c>
      <c r="BR77" s="1694"/>
      <c r="BS77" s="1694"/>
      <c r="BU77" s="276"/>
      <c r="BV77" s="277">
        <f t="shared" si="58"/>
        <v>0</v>
      </c>
      <c r="BW77" s="277"/>
      <c r="BX77" s="986"/>
      <c r="BY77" s="987"/>
      <c r="BZ77" s="278">
        <f t="shared" si="38"/>
        <v>0</v>
      </c>
      <c r="CA77" s="279"/>
      <c r="CB77" s="279">
        <f t="shared" si="44"/>
        <v>0.01</v>
      </c>
      <c r="CC77" s="1694"/>
      <c r="CD77" s="1476">
        <f t="shared" si="45"/>
        <v>0</v>
      </c>
      <c r="CE77" s="1694"/>
      <c r="CF77" s="1694"/>
    </row>
    <row r="78" spans="1:84" ht="15">
      <c r="A78" s="273" t="s">
        <v>518</v>
      </c>
      <c r="B78" s="274">
        <v>2020</v>
      </c>
      <c r="C78" s="1503">
        <v>44166</v>
      </c>
      <c r="D78" s="1716">
        <v>0.05</v>
      </c>
      <c r="E78" s="275">
        <f t="shared" si="20"/>
        <v>921500000</v>
      </c>
      <c r="F78" s="276">
        <f t="shared" si="59"/>
        <v>69</v>
      </c>
      <c r="G78" s="277" t="e">
        <f t="shared" si="54"/>
        <v>#REF!</v>
      </c>
      <c r="H78" s="277" t="e">
        <f>-ROUNDDOWN(J77*#REF!,0)</f>
        <v>#REF!</v>
      </c>
      <c r="I78" s="277" t="e">
        <f>IF(ROUNDDOWN(J77,0)=0,0,-#REF!)</f>
        <v>#REF!</v>
      </c>
      <c r="J78" s="278" t="e">
        <f t="shared" si="55"/>
        <v>#REF!</v>
      </c>
      <c r="K78" s="1694"/>
      <c r="L78" s="1694"/>
      <c r="M78" s="1694"/>
      <c r="O78" s="276">
        <f t="shared" si="60"/>
        <v>69</v>
      </c>
      <c r="P78" s="277" t="e">
        <f t="shared" si="51"/>
        <v>#REF!</v>
      </c>
      <c r="Q78" s="277" t="e">
        <f>-S77*#REF!</f>
        <v>#REF!</v>
      </c>
      <c r="R78" s="277" t="e">
        <f>IF(ROUNDDOWN(S77,0)=0,0,-#REF!)</f>
        <v>#REF!</v>
      </c>
      <c r="S78" s="278" t="e">
        <f t="shared" si="56"/>
        <v>#REF!</v>
      </c>
      <c r="T78" s="1694"/>
      <c r="U78" s="1694"/>
      <c r="V78" s="1694"/>
      <c r="X78" s="276">
        <f t="shared" si="61"/>
        <v>69</v>
      </c>
      <c r="Y78" s="277" t="e">
        <f t="shared" si="52"/>
        <v>#REF!</v>
      </c>
      <c r="Z78" s="277" t="e">
        <f>-AB77*#REF!</f>
        <v>#REF!</v>
      </c>
      <c r="AA78" s="277">
        <v>0</v>
      </c>
      <c r="AB78" s="278">
        <f t="shared" si="57"/>
        <v>170000000</v>
      </c>
      <c r="AC78" s="1694"/>
      <c r="AD78" s="1694"/>
      <c r="AE78" s="1694"/>
      <c r="AG78" s="1709"/>
      <c r="AH78" s="1709"/>
      <c r="AI78" s="1709"/>
      <c r="AK78" s="276">
        <f t="shared" si="62"/>
        <v>69</v>
      </c>
      <c r="AL78" s="277" t="e">
        <f t="shared" si="53"/>
        <v>#REF!</v>
      </c>
      <c r="AM78" s="277" t="e">
        <f>-AO77*#REF!</f>
        <v>#REF!</v>
      </c>
      <c r="AN78" s="277" t="e">
        <f t="shared" si="49"/>
        <v>#REF!</v>
      </c>
      <c r="AO78" s="278" t="e">
        <f t="shared" si="47"/>
        <v>#REF!</v>
      </c>
      <c r="AP78" s="1694"/>
      <c r="AQ78" s="1694"/>
      <c r="AR78" s="1694"/>
      <c r="AS78" s="1715"/>
      <c r="AU78" s="276">
        <f t="shared" si="21"/>
        <v>63</v>
      </c>
      <c r="AV78" s="277">
        <f t="shared" si="34"/>
        <v>-49511355</v>
      </c>
      <c r="AW78" s="277">
        <f>-880019-131336</f>
        <v>-1011355</v>
      </c>
      <c r="AX78" s="1491">
        <v>-48500000</v>
      </c>
      <c r="AY78" s="986">
        <f>-BA77*5%</f>
        <v>-48500000</v>
      </c>
      <c r="AZ78" s="986">
        <v>0</v>
      </c>
      <c r="BA78" s="278">
        <f t="shared" si="22"/>
        <v>921500000</v>
      </c>
      <c r="BB78" s="279">
        <v>1.33268E-2</v>
      </c>
      <c r="BC78" s="279">
        <f t="shared" si="39"/>
        <v>0.01</v>
      </c>
      <c r="BD78" s="1694"/>
      <c r="BE78" s="355">
        <f t="shared" si="40"/>
        <v>-808333.33333333337</v>
      </c>
      <c r="BF78" s="1694"/>
      <c r="BG78" s="1694"/>
      <c r="BH78" s="230" t="s">
        <v>283</v>
      </c>
      <c r="BI78" s="277">
        <f t="shared" si="41"/>
        <v>0</v>
      </c>
      <c r="BJ78" s="277">
        <f t="shared" si="42"/>
        <v>0</v>
      </c>
      <c r="BK78" s="277">
        <v>0</v>
      </c>
      <c r="BL78" s="277"/>
      <c r="BM78" s="278">
        <f t="shared" si="37"/>
        <v>0</v>
      </c>
      <c r="BN78" s="279">
        <f t="shared" si="50"/>
        <v>0</v>
      </c>
      <c r="BO78" s="279">
        <f t="shared" si="50"/>
        <v>0.01</v>
      </c>
      <c r="BP78" s="1694"/>
      <c r="BQ78" s="355">
        <f t="shared" ref="BQ78:BQ141" si="63">-BM77*BO78/12</f>
        <v>0</v>
      </c>
      <c r="BR78" s="1694"/>
      <c r="BS78" s="1694"/>
      <c r="BU78" s="276"/>
      <c r="BV78" s="277">
        <f t="shared" si="58"/>
        <v>0</v>
      </c>
      <c r="BW78" s="277"/>
      <c r="BX78" s="986"/>
      <c r="BY78" s="986"/>
      <c r="BZ78" s="278">
        <f t="shared" si="38"/>
        <v>0</v>
      </c>
      <c r="CA78" s="279"/>
      <c r="CB78" s="279">
        <f t="shared" si="44"/>
        <v>0.01</v>
      </c>
      <c r="CC78" s="1694"/>
      <c r="CD78" s="1476">
        <f t="shared" si="45"/>
        <v>0</v>
      </c>
      <c r="CE78" s="1694"/>
      <c r="CF78" s="1694"/>
    </row>
    <row r="79" spans="1:84" ht="15.75" customHeight="1">
      <c r="A79" s="273" t="s">
        <v>519</v>
      </c>
      <c r="B79" s="274">
        <v>2021</v>
      </c>
      <c r="C79" s="1503">
        <v>44197</v>
      </c>
      <c r="D79" s="1717"/>
      <c r="E79" s="275">
        <f t="shared" si="20"/>
        <v>921500000</v>
      </c>
      <c r="F79" s="276">
        <f t="shared" si="59"/>
        <v>70</v>
      </c>
      <c r="G79" s="277" t="e">
        <f t="shared" si="54"/>
        <v>#REF!</v>
      </c>
      <c r="H79" s="277" t="e">
        <f>-ROUNDDOWN(J78*#REF!,0)</f>
        <v>#REF!</v>
      </c>
      <c r="I79" s="277" t="e">
        <f>IF(ROUNDDOWN(J78,0)=0,0,-#REF!)</f>
        <v>#REF!</v>
      </c>
      <c r="J79" s="278" t="e">
        <f t="shared" si="55"/>
        <v>#REF!</v>
      </c>
      <c r="K79" s="1694"/>
      <c r="L79" s="1694"/>
      <c r="M79" s="1694"/>
      <c r="O79" s="276">
        <f t="shared" si="60"/>
        <v>70</v>
      </c>
      <c r="P79" s="277" t="e">
        <f t="shared" si="51"/>
        <v>#REF!</v>
      </c>
      <c r="Q79" s="277" t="e">
        <f>-S78*#REF!</f>
        <v>#REF!</v>
      </c>
      <c r="R79" s="277" t="e">
        <f>IF(ROUNDDOWN(S78,0)=0,0,-#REF!)</f>
        <v>#REF!</v>
      </c>
      <c r="S79" s="278" t="e">
        <f t="shared" si="56"/>
        <v>#REF!</v>
      </c>
      <c r="T79" s="1694"/>
      <c r="U79" s="1694"/>
      <c r="V79" s="1694"/>
      <c r="X79" s="276">
        <f t="shared" si="61"/>
        <v>70</v>
      </c>
      <c r="Y79" s="277" t="e">
        <f t="shared" si="52"/>
        <v>#REF!</v>
      </c>
      <c r="Z79" s="277" t="e">
        <f>-AB78*#REF!</f>
        <v>#REF!</v>
      </c>
      <c r="AA79" s="277">
        <v>0</v>
      </c>
      <c r="AB79" s="278">
        <f t="shared" si="57"/>
        <v>170000000</v>
      </c>
      <c r="AC79" s="1694"/>
      <c r="AD79" s="1694"/>
      <c r="AE79" s="1694"/>
      <c r="AG79" s="1709"/>
      <c r="AH79" s="1709"/>
      <c r="AI79" s="1709"/>
      <c r="AK79" s="276">
        <f t="shared" si="62"/>
        <v>70</v>
      </c>
      <c r="AL79" s="277" t="e">
        <f t="shared" si="53"/>
        <v>#REF!</v>
      </c>
      <c r="AM79" s="277" t="e">
        <f>-AO78*#REF!</f>
        <v>#REF!</v>
      </c>
      <c r="AN79" s="277" t="e">
        <f t="shared" si="49"/>
        <v>#REF!</v>
      </c>
      <c r="AO79" s="278" t="e">
        <f t="shared" si="47"/>
        <v>#REF!</v>
      </c>
      <c r="AP79" s="1694"/>
      <c r="AQ79" s="1694"/>
      <c r="AR79" s="1694"/>
      <c r="AS79" s="1715"/>
      <c r="AU79" s="276">
        <f t="shared" si="21"/>
        <v>64</v>
      </c>
      <c r="AV79" s="277">
        <f t="shared" si="34"/>
        <v>-1006515.61</v>
      </c>
      <c r="AW79" s="277">
        <f>-928804.94-77710.67</f>
        <v>-1006515.61</v>
      </c>
      <c r="AX79" s="1491">
        <v>0</v>
      </c>
      <c r="AY79" s="277">
        <v>0</v>
      </c>
      <c r="AZ79" s="277"/>
      <c r="BA79" s="278">
        <f t="shared" si="22"/>
        <v>921500000</v>
      </c>
      <c r="BB79" s="279">
        <v>1.30691E-2</v>
      </c>
      <c r="BC79" s="279">
        <f t="shared" si="39"/>
        <v>0.01</v>
      </c>
      <c r="BD79" s="1694"/>
      <c r="BE79" s="355">
        <f t="shared" si="40"/>
        <v>-767916.66666666663</v>
      </c>
      <c r="BF79" s="1694"/>
      <c r="BG79" s="1694"/>
      <c r="BI79" s="277">
        <f t="shared" si="41"/>
        <v>0</v>
      </c>
      <c r="BJ79" s="277">
        <f t="shared" si="42"/>
        <v>0</v>
      </c>
      <c r="BK79" s="277">
        <v>0</v>
      </c>
      <c r="BL79" s="277">
        <v>0</v>
      </c>
      <c r="BM79" s="278">
        <f t="shared" si="37"/>
        <v>0</v>
      </c>
      <c r="BN79" s="279">
        <f t="shared" si="50"/>
        <v>0</v>
      </c>
      <c r="BO79" s="279">
        <f t="shared" si="50"/>
        <v>0.01</v>
      </c>
      <c r="BP79" s="1694"/>
      <c r="BQ79" s="355">
        <f t="shared" si="63"/>
        <v>0</v>
      </c>
      <c r="BR79" s="1694"/>
      <c r="BS79" s="1694"/>
      <c r="BU79" s="276"/>
      <c r="BV79" s="277">
        <f t="shared" si="58"/>
        <v>0</v>
      </c>
      <c r="BW79" s="277"/>
      <c r="BX79" s="277"/>
      <c r="BY79" s="277"/>
      <c r="BZ79" s="278">
        <f t="shared" si="38"/>
        <v>0</v>
      </c>
      <c r="CA79" s="279"/>
      <c r="CB79" s="279">
        <f t="shared" si="44"/>
        <v>0.01</v>
      </c>
      <c r="CC79" s="1694"/>
      <c r="CD79" s="1476">
        <f t="shared" si="45"/>
        <v>0</v>
      </c>
      <c r="CE79" s="1694"/>
      <c r="CF79" s="1694"/>
    </row>
    <row r="80" spans="1:84" ht="15.75" customHeight="1">
      <c r="A80" s="273" t="s">
        <v>520</v>
      </c>
      <c r="B80" s="274">
        <v>2021</v>
      </c>
      <c r="C80" s="1503">
        <v>44228</v>
      </c>
      <c r="D80" s="1717"/>
      <c r="E80" s="275">
        <f t="shared" si="20"/>
        <v>921500000</v>
      </c>
      <c r="F80" s="276">
        <f t="shared" si="59"/>
        <v>71</v>
      </c>
      <c r="G80" s="277" t="e">
        <f t="shared" si="54"/>
        <v>#REF!</v>
      </c>
      <c r="H80" s="277" t="e">
        <f>-ROUNDDOWN(J79*#REF!,0)</f>
        <v>#REF!</v>
      </c>
      <c r="I80" s="277" t="e">
        <f>IF(ROUNDDOWN(J79,0)=0,0,-#REF!)</f>
        <v>#REF!</v>
      </c>
      <c r="J80" s="278" t="e">
        <f t="shared" si="55"/>
        <v>#REF!</v>
      </c>
      <c r="K80" s="1694"/>
      <c r="L80" s="1694"/>
      <c r="M80" s="1694"/>
      <c r="O80" s="276">
        <f t="shared" si="60"/>
        <v>71</v>
      </c>
      <c r="P80" s="277" t="e">
        <f t="shared" si="51"/>
        <v>#REF!</v>
      </c>
      <c r="Q80" s="277" t="e">
        <f>-S79*#REF!</f>
        <v>#REF!</v>
      </c>
      <c r="R80" s="277" t="e">
        <f>IF(ROUNDDOWN(S79,0)=0,0,-#REF!)</f>
        <v>#REF!</v>
      </c>
      <c r="S80" s="278" t="e">
        <f t="shared" si="56"/>
        <v>#REF!</v>
      </c>
      <c r="T80" s="1694"/>
      <c r="U80" s="1694"/>
      <c r="V80" s="1694"/>
      <c r="X80" s="276">
        <f t="shared" si="61"/>
        <v>71</v>
      </c>
      <c r="Y80" s="277" t="e">
        <f t="shared" si="52"/>
        <v>#REF!</v>
      </c>
      <c r="Z80" s="277" t="e">
        <f>-AB79*#REF!</f>
        <v>#REF!</v>
      </c>
      <c r="AA80" s="277">
        <v>0</v>
      </c>
      <c r="AB80" s="278">
        <f t="shared" si="57"/>
        <v>170000000</v>
      </c>
      <c r="AC80" s="1694"/>
      <c r="AD80" s="1694"/>
      <c r="AE80" s="1694"/>
      <c r="AG80" s="1709"/>
      <c r="AH80" s="1709"/>
      <c r="AI80" s="1709"/>
      <c r="AK80" s="276">
        <f t="shared" si="62"/>
        <v>71</v>
      </c>
      <c r="AL80" s="277" t="e">
        <f t="shared" si="53"/>
        <v>#REF!</v>
      </c>
      <c r="AM80" s="277" t="e">
        <f>-AO79*#REF!</f>
        <v>#REF!</v>
      </c>
      <c r="AN80" s="277" t="e">
        <f t="shared" si="49"/>
        <v>#REF!</v>
      </c>
      <c r="AO80" s="278" t="e">
        <f t="shared" si="47"/>
        <v>#REF!</v>
      </c>
      <c r="AP80" s="1694"/>
      <c r="AQ80" s="1694"/>
      <c r="AR80" s="1694"/>
      <c r="AS80" s="1715"/>
      <c r="AU80" s="276">
        <f t="shared" si="21"/>
        <v>65</v>
      </c>
      <c r="AV80" s="277">
        <f t="shared" si="34"/>
        <v>-923860</v>
      </c>
      <c r="AW80" s="277">
        <v>-923860</v>
      </c>
      <c r="AX80" s="1491">
        <v>0</v>
      </c>
      <c r="AY80" s="277">
        <v>0</v>
      </c>
      <c r="AZ80" s="277"/>
      <c r="BA80" s="278">
        <f t="shared" si="22"/>
        <v>921500000</v>
      </c>
      <c r="BB80" s="279">
        <v>1.2725E-2</v>
      </c>
      <c r="BC80" s="279">
        <f t="shared" si="39"/>
        <v>0.01</v>
      </c>
      <c r="BD80" s="1694"/>
      <c r="BE80" s="355">
        <f t="shared" si="40"/>
        <v>-767916.66666666663</v>
      </c>
      <c r="BF80" s="1694"/>
      <c r="BG80" s="1694"/>
      <c r="BI80" s="277">
        <f t="shared" si="41"/>
        <v>0</v>
      </c>
      <c r="BJ80" s="277">
        <f t="shared" si="42"/>
        <v>0</v>
      </c>
      <c r="BK80" s="277">
        <v>0</v>
      </c>
      <c r="BL80" s="277"/>
      <c r="BM80" s="278">
        <f t="shared" si="37"/>
        <v>0</v>
      </c>
      <c r="BN80" s="279">
        <f t="shared" si="50"/>
        <v>0</v>
      </c>
      <c r="BO80" s="279">
        <f t="shared" si="50"/>
        <v>0.01</v>
      </c>
      <c r="BP80" s="1694"/>
      <c r="BQ80" s="355">
        <f t="shared" si="63"/>
        <v>0</v>
      </c>
      <c r="BR80" s="1694"/>
      <c r="BS80" s="1694"/>
      <c r="BU80" s="276"/>
      <c r="BV80" s="277">
        <f t="shared" si="58"/>
        <v>0</v>
      </c>
      <c r="BW80" s="277"/>
      <c r="BX80" s="277"/>
      <c r="BY80" s="277"/>
      <c r="BZ80" s="278">
        <f t="shared" si="38"/>
        <v>0</v>
      </c>
      <c r="CA80" s="279"/>
      <c r="CB80" s="279">
        <f t="shared" si="44"/>
        <v>0.01</v>
      </c>
      <c r="CC80" s="1694"/>
      <c r="CD80" s="1476">
        <f t="shared" si="45"/>
        <v>0</v>
      </c>
      <c r="CE80" s="1694"/>
      <c r="CF80" s="1694"/>
    </row>
    <row r="81" spans="1:84" ht="15.75" customHeight="1">
      <c r="A81" s="273" t="s">
        <v>521</v>
      </c>
      <c r="B81" s="274">
        <v>2021</v>
      </c>
      <c r="C81" s="1503">
        <v>44256</v>
      </c>
      <c r="D81" s="1717"/>
      <c r="E81" s="275">
        <f t="shared" ref="E81:E144" si="64">BA81</f>
        <v>921500000</v>
      </c>
      <c r="F81" s="276">
        <f t="shared" si="59"/>
        <v>72</v>
      </c>
      <c r="G81" s="277" t="e">
        <f t="shared" si="54"/>
        <v>#REF!</v>
      </c>
      <c r="H81" s="277" t="e">
        <f>-ROUNDDOWN(J80*#REF!,0)</f>
        <v>#REF!</v>
      </c>
      <c r="I81" s="277" t="e">
        <f>IF(ROUNDDOWN(J80,0)=0,0,-#REF!)</f>
        <v>#REF!</v>
      </c>
      <c r="J81" s="278" t="e">
        <f t="shared" si="55"/>
        <v>#REF!</v>
      </c>
      <c r="K81" s="1694"/>
      <c r="L81" s="1694"/>
      <c r="M81" s="1694"/>
      <c r="O81" s="276">
        <f t="shared" si="60"/>
        <v>72</v>
      </c>
      <c r="P81" s="277" t="e">
        <f t="shared" si="51"/>
        <v>#REF!</v>
      </c>
      <c r="Q81" s="277" t="e">
        <f>-S80*#REF!</f>
        <v>#REF!</v>
      </c>
      <c r="R81" s="277" t="e">
        <f>IF(ROUNDDOWN(S80,0)=0,0,-#REF!)</f>
        <v>#REF!</v>
      </c>
      <c r="S81" s="278" t="e">
        <f t="shared" si="56"/>
        <v>#REF!</v>
      </c>
      <c r="T81" s="1694"/>
      <c r="U81" s="1694"/>
      <c r="V81" s="1694"/>
      <c r="X81" s="276">
        <f t="shared" si="61"/>
        <v>72</v>
      </c>
      <c r="Y81" s="277" t="e">
        <f t="shared" si="52"/>
        <v>#REF!</v>
      </c>
      <c r="Z81" s="277" t="e">
        <f>-AB80*#REF!</f>
        <v>#REF!</v>
      </c>
      <c r="AA81" s="277">
        <v>0</v>
      </c>
      <c r="AB81" s="278">
        <f t="shared" si="57"/>
        <v>170000000</v>
      </c>
      <c r="AC81" s="1694"/>
      <c r="AD81" s="1694"/>
      <c r="AE81" s="1694"/>
      <c r="AG81" s="1709"/>
      <c r="AH81" s="1709"/>
      <c r="AI81" s="1709"/>
      <c r="AK81" s="276">
        <f t="shared" si="62"/>
        <v>72</v>
      </c>
      <c r="AL81" s="277" t="e">
        <f t="shared" si="53"/>
        <v>#REF!</v>
      </c>
      <c r="AM81" s="277" t="e">
        <f>-AO80*#REF!</f>
        <v>#REF!</v>
      </c>
      <c r="AN81" s="277" t="e">
        <f t="shared" si="49"/>
        <v>#REF!</v>
      </c>
      <c r="AO81" s="278" t="e">
        <f t="shared" si="47"/>
        <v>#REF!</v>
      </c>
      <c r="AP81" s="1694"/>
      <c r="AQ81" s="1694"/>
      <c r="AR81" s="1694"/>
      <c r="AS81" s="1715"/>
      <c r="AU81" s="276">
        <f t="shared" ref="AU81:AU144" si="65">AU80+1</f>
        <v>66</v>
      </c>
      <c r="AV81" s="277">
        <f t="shared" si="34"/>
        <v>-899535</v>
      </c>
      <c r="AW81" s="277">
        <v>-899535</v>
      </c>
      <c r="AX81" s="1491">
        <v>0</v>
      </c>
      <c r="AY81" s="277">
        <v>0</v>
      </c>
      <c r="AZ81" s="277"/>
      <c r="BA81" s="278">
        <f t="shared" ref="BA81:BA144" si="66">SUM(AY81:AZ81)+BA80</f>
        <v>921500000</v>
      </c>
      <c r="BB81" s="279">
        <v>1.2825E-2</v>
      </c>
      <c r="BC81" s="279">
        <f t="shared" si="39"/>
        <v>0.01</v>
      </c>
      <c r="BD81" s="1694"/>
      <c r="BE81" s="355">
        <f t="shared" si="40"/>
        <v>-767916.66666666663</v>
      </c>
      <c r="BF81" s="1694"/>
      <c r="BG81" s="1694"/>
      <c r="BH81" s="229">
        <f>'Cashflow trend'!G23</f>
        <v>165676.57245760833</v>
      </c>
      <c r="BI81" s="277">
        <f t="shared" si="41"/>
        <v>0</v>
      </c>
      <c r="BJ81" s="277">
        <f t="shared" si="42"/>
        <v>0</v>
      </c>
      <c r="BK81" s="277">
        <v>0</v>
      </c>
      <c r="BL81" s="277">
        <v>0</v>
      </c>
      <c r="BM81" s="278">
        <f t="shared" si="37"/>
        <v>0</v>
      </c>
      <c r="BN81" s="279">
        <f t="shared" si="50"/>
        <v>0</v>
      </c>
      <c r="BO81" s="279">
        <f t="shared" si="50"/>
        <v>0.01</v>
      </c>
      <c r="BP81" s="1694"/>
      <c r="BQ81" s="355">
        <f t="shared" si="63"/>
        <v>0</v>
      </c>
      <c r="BR81" s="1694"/>
      <c r="BS81" s="1694"/>
      <c r="BU81" s="276"/>
      <c r="BV81" s="277">
        <f t="shared" si="58"/>
        <v>0</v>
      </c>
      <c r="BW81" s="277"/>
      <c r="BX81" s="277"/>
      <c r="BY81" s="277"/>
      <c r="BZ81" s="278">
        <f t="shared" ref="BZ81:BZ87" si="67">SUM(BX81:BY81)+BZ80</f>
        <v>0</v>
      </c>
      <c r="CA81" s="279"/>
      <c r="CB81" s="279">
        <f t="shared" si="44"/>
        <v>0.01</v>
      </c>
      <c r="CC81" s="1694"/>
      <c r="CD81" s="1476">
        <f t="shared" si="45"/>
        <v>0</v>
      </c>
      <c r="CE81" s="1694"/>
      <c r="CF81" s="1694"/>
    </row>
    <row r="82" spans="1:84" ht="15.75" customHeight="1">
      <c r="A82" s="270" t="s">
        <v>510</v>
      </c>
      <c r="B82" s="266">
        <v>2021</v>
      </c>
      <c r="C82" s="1504">
        <v>44287</v>
      </c>
      <c r="D82" s="1717"/>
      <c r="E82" s="265">
        <f t="shared" si="64"/>
        <v>921500000</v>
      </c>
      <c r="F82" s="267">
        <f t="shared" si="59"/>
        <v>73</v>
      </c>
      <c r="G82" s="268" t="e">
        <f t="shared" si="54"/>
        <v>#REF!</v>
      </c>
      <c r="H82" s="268" t="e">
        <f>-ROUNDDOWN(J81*#REF!,0)</f>
        <v>#REF!</v>
      </c>
      <c r="I82" s="268" t="e">
        <f>IF(ROUNDDOWN(J81,0)=0,0,-#REF!)</f>
        <v>#REF!</v>
      </c>
      <c r="J82" s="269" t="e">
        <f t="shared" si="55"/>
        <v>#REF!</v>
      </c>
      <c r="K82" s="1695" t="s">
        <v>6</v>
      </c>
      <c r="L82" s="1695" t="e">
        <f>SUM(H82:H93)</f>
        <v>#REF!</v>
      </c>
      <c r="M82" s="1695" t="e">
        <f>SUM(I82:I93)</f>
        <v>#REF!</v>
      </c>
      <c r="O82" s="267">
        <f t="shared" si="60"/>
        <v>73</v>
      </c>
      <c r="P82" s="268" t="e">
        <f t="shared" si="51"/>
        <v>#REF!</v>
      </c>
      <c r="Q82" s="268" t="e">
        <f>-S81*#REF!</f>
        <v>#REF!</v>
      </c>
      <c r="R82" s="268" t="e">
        <f>IF(ROUNDDOWN(S81,0)=0,0,-#REF!)</f>
        <v>#REF!</v>
      </c>
      <c r="S82" s="269" t="e">
        <f t="shared" si="56"/>
        <v>#REF!</v>
      </c>
      <c r="T82" s="1695" t="s">
        <v>6</v>
      </c>
      <c r="U82" s="1695" t="e">
        <f>SUM(Q82:Q93)</f>
        <v>#REF!</v>
      </c>
      <c r="V82" s="1695" t="e">
        <f>SUM(R82:R93)</f>
        <v>#REF!</v>
      </c>
      <c r="X82" s="267">
        <f t="shared" si="61"/>
        <v>73</v>
      </c>
      <c r="Y82" s="268" t="e">
        <f t="shared" si="52"/>
        <v>#REF!</v>
      </c>
      <c r="Z82" s="268" t="e">
        <f>-AB81*#REF!</f>
        <v>#REF!</v>
      </c>
      <c r="AA82" s="268" t="e">
        <f>IF(ROUNDDOWN(AB81,0)=0,0,-#REF!)</f>
        <v>#REF!</v>
      </c>
      <c r="AB82" s="269" t="e">
        <f t="shared" si="57"/>
        <v>#REF!</v>
      </c>
      <c r="AC82" s="1695" t="s">
        <v>6</v>
      </c>
      <c r="AD82" s="1695" t="e">
        <f>SUM(Z82:Z93)</f>
        <v>#REF!</v>
      </c>
      <c r="AE82" s="1695" t="e">
        <f>SUM(AA82:AA93)</f>
        <v>#REF!</v>
      </c>
      <c r="AG82" s="1710" t="s">
        <v>6</v>
      </c>
      <c r="AH82" s="1710" t="e">
        <f>L82+U82+AD82</f>
        <v>#REF!</v>
      </c>
      <c r="AI82" s="1710" t="e">
        <f>M82+V82+AE82</f>
        <v>#REF!</v>
      </c>
      <c r="AK82" s="267">
        <f t="shared" si="62"/>
        <v>73</v>
      </c>
      <c r="AL82" s="268" t="e">
        <f t="shared" si="53"/>
        <v>#REF!</v>
      </c>
      <c r="AM82" s="268" t="e">
        <f>-AO81*#REF!</f>
        <v>#REF!</v>
      </c>
      <c r="AN82" s="268" t="e">
        <f>$AR$82/12</f>
        <v>#REF!</v>
      </c>
      <c r="AO82" s="269" t="e">
        <f t="shared" si="47"/>
        <v>#REF!</v>
      </c>
      <c r="AP82" s="1695" t="s">
        <v>6</v>
      </c>
      <c r="AQ82" s="1695" t="e">
        <f>SUM(AM82:AM93)</f>
        <v>#REF!</v>
      </c>
      <c r="AR82" s="1695" t="e">
        <f>-AS82*#REF!</f>
        <v>#REF!</v>
      </c>
      <c r="AS82" s="1711">
        <v>0.2</v>
      </c>
      <c r="AU82" s="267">
        <f t="shared" si="65"/>
        <v>67</v>
      </c>
      <c r="AV82" s="268">
        <f t="shared" si="34"/>
        <v>-1003741</v>
      </c>
      <c r="AW82" s="1490">
        <v>-1003741</v>
      </c>
      <c r="AX82" s="1490">
        <v>0</v>
      </c>
      <c r="AY82" s="268">
        <v>0</v>
      </c>
      <c r="AZ82" s="268"/>
      <c r="BA82" s="269">
        <f t="shared" si="66"/>
        <v>921500000</v>
      </c>
      <c r="BB82" s="983">
        <v>1.23929E-2</v>
      </c>
      <c r="BC82" s="272">
        <f t="shared" ref="BB82:BC145" si="68">BC81</f>
        <v>0.01</v>
      </c>
      <c r="BD82" s="1695" t="s">
        <v>6</v>
      </c>
      <c r="BE82" s="354">
        <f t="shared" si="40"/>
        <v>-767916.66666666663</v>
      </c>
      <c r="BF82" s="1695">
        <f>SUM(AW82:AW93)</f>
        <v>-11636599</v>
      </c>
      <c r="BG82" s="1695">
        <f>SUM(AY82:AZ93)</f>
        <v>-97000000</v>
      </c>
      <c r="BI82" s="268">
        <f t="shared" si="41"/>
        <v>0</v>
      </c>
      <c r="BJ82" s="268">
        <f t="shared" si="42"/>
        <v>0</v>
      </c>
      <c r="BK82" s="268">
        <v>0</v>
      </c>
      <c r="BL82" s="268"/>
      <c r="BM82" s="269">
        <f t="shared" si="37"/>
        <v>0</v>
      </c>
      <c r="BN82" s="272">
        <f t="shared" si="50"/>
        <v>0</v>
      </c>
      <c r="BO82" s="272">
        <f t="shared" si="50"/>
        <v>0.01</v>
      </c>
      <c r="BP82" s="1695" t="s">
        <v>6</v>
      </c>
      <c r="BQ82" s="354">
        <f t="shared" si="63"/>
        <v>0</v>
      </c>
      <c r="BR82" s="1695">
        <f>SUM(BJ82:BJ93)</f>
        <v>0</v>
      </c>
      <c r="BS82" s="1695">
        <f>SUM(BK82:BL93)</f>
        <v>100000000</v>
      </c>
      <c r="BU82" s="267"/>
      <c r="BV82" s="268">
        <f t="shared" si="58"/>
        <v>0</v>
      </c>
      <c r="BW82" s="268"/>
      <c r="BX82" s="268"/>
      <c r="BY82" s="268">
        <f>IF('Cashflow trend'!$L$13&lt;=$C82,-$AY82,0)</f>
        <v>0</v>
      </c>
      <c r="BZ82" s="269">
        <f t="shared" si="67"/>
        <v>0</v>
      </c>
      <c r="CA82" s="983">
        <f>$CA$6</f>
        <v>2.4844599999999998E-2</v>
      </c>
      <c r="CB82" s="272">
        <f t="shared" ref="CB82" si="69">CB81</f>
        <v>0.01</v>
      </c>
      <c r="CC82" s="1695" t="s">
        <v>6</v>
      </c>
      <c r="CD82" s="1478">
        <f t="shared" si="45"/>
        <v>0</v>
      </c>
      <c r="CE82" s="1695">
        <f>SUM(BW82:BW93)</f>
        <v>0</v>
      </c>
      <c r="CF82" s="1695">
        <f>SUM(BX82:BY93)</f>
        <v>0</v>
      </c>
    </row>
    <row r="83" spans="1:84" ht="15.75" customHeight="1">
      <c r="A83" s="270" t="s">
        <v>511</v>
      </c>
      <c r="B83" s="266">
        <v>2021</v>
      </c>
      <c r="C83" s="1504">
        <v>44317</v>
      </c>
      <c r="D83" s="1717"/>
      <c r="E83" s="265">
        <f t="shared" si="64"/>
        <v>921500000</v>
      </c>
      <c r="F83" s="267">
        <f t="shared" si="59"/>
        <v>74</v>
      </c>
      <c r="G83" s="268" t="e">
        <f t="shared" si="54"/>
        <v>#REF!</v>
      </c>
      <c r="H83" s="268" t="e">
        <f>-ROUNDDOWN(J82*#REF!,0)</f>
        <v>#REF!</v>
      </c>
      <c r="I83" s="268" t="e">
        <f>IF(ROUNDDOWN(J82,0)=0,0,-#REF!)</f>
        <v>#REF!</v>
      </c>
      <c r="J83" s="269" t="e">
        <f t="shared" si="55"/>
        <v>#REF!</v>
      </c>
      <c r="K83" s="1695"/>
      <c r="L83" s="1695"/>
      <c r="M83" s="1695"/>
      <c r="O83" s="267">
        <f t="shared" si="60"/>
        <v>74</v>
      </c>
      <c r="P83" s="268" t="e">
        <f t="shared" si="51"/>
        <v>#REF!</v>
      </c>
      <c r="Q83" s="268" t="e">
        <f>-S82*#REF!</f>
        <v>#REF!</v>
      </c>
      <c r="R83" s="268" t="e">
        <f>IF(ROUNDDOWN(S82,0)=0,0,-#REF!)</f>
        <v>#REF!</v>
      </c>
      <c r="S83" s="269" t="e">
        <f t="shared" si="56"/>
        <v>#REF!</v>
      </c>
      <c r="T83" s="1695"/>
      <c r="U83" s="1695"/>
      <c r="V83" s="1695"/>
      <c r="X83" s="267">
        <f t="shared" si="61"/>
        <v>74</v>
      </c>
      <c r="Y83" s="268" t="e">
        <f t="shared" si="52"/>
        <v>#REF!</v>
      </c>
      <c r="Z83" s="268" t="e">
        <f>-AB82*#REF!</f>
        <v>#REF!</v>
      </c>
      <c r="AA83" s="268" t="e">
        <f>IF(ROUNDDOWN(AB82,0)=0,0,-#REF!)</f>
        <v>#REF!</v>
      </c>
      <c r="AB83" s="269" t="e">
        <f t="shared" si="57"/>
        <v>#REF!</v>
      </c>
      <c r="AC83" s="1695"/>
      <c r="AD83" s="1695"/>
      <c r="AE83" s="1695"/>
      <c r="AG83" s="1710"/>
      <c r="AH83" s="1710"/>
      <c r="AI83" s="1710"/>
      <c r="AK83" s="267">
        <f t="shared" si="62"/>
        <v>74</v>
      </c>
      <c r="AL83" s="268" t="e">
        <f t="shared" si="53"/>
        <v>#REF!</v>
      </c>
      <c r="AM83" s="268" t="e">
        <f>-AO82*#REF!</f>
        <v>#REF!</v>
      </c>
      <c r="AN83" s="268" t="e">
        <f t="shared" ref="AN83:AN93" si="70">$AR$82/12</f>
        <v>#REF!</v>
      </c>
      <c r="AO83" s="269" t="e">
        <f t="shared" si="47"/>
        <v>#REF!</v>
      </c>
      <c r="AP83" s="1695"/>
      <c r="AQ83" s="1695"/>
      <c r="AR83" s="1695"/>
      <c r="AS83" s="1711"/>
      <c r="AU83" s="267">
        <f t="shared" si="65"/>
        <v>68</v>
      </c>
      <c r="AV83" s="268">
        <f t="shared" si="34"/>
        <v>-938635</v>
      </c>
      <c r="AW83" s="1512">
        <v>-938635</v>
      </c>
      <c r="AX83" s="1512">
        <v>0</v>
      </c>
      <c r="AY83" s="268">
        <v>0</v>
      </c>
      <c r="AZ83" s="268"/>
      <c r="BA83" s="269">
        <f t="shared" si="66"/>
        <v>921500000</v>
      </c>
      <c r="BB83" s="983">
        <v>1.2344600000000001E-2</v>
      </c>
      <c r="BC83" s="272">
        <f t="shared" si="68"/>
        <v>0.01</v>
      </c>
      <c r="BD83" s="1695"/>
      <c r="BE83" s="354">
        <f t="shared" si="40"/>
        <v>-767916.66666666663</v>
      </c>
      <c r="BF83" s="1695"/>
      <c r="BG83" s="1695"/>
      <c r="BI83" s="268">
        <f t="shared" si="41"/>
        <v>0</v>
      </c>
      <c r="BJ83" s="268">
        <f t="shared" si="42"/>
        <v>0</v>
      </c>
      <c r="BK83" s="268">
        <v>0</v>
      </c>
      <c r="BL83" s="268"/>
      <c r="BM83" s="269">
        <f t="shared" si="37"/>
        <v>0</v>
      </c>
      <c r="BN83" s="272">
        <f t="shared" si="50"/>
        <v>0</v>
      </c>
      <c r="BO83" s="272">
        <f t="shared" si="50"/>
        <v>0.01</v>
      </c>
      <c r="BP83" s="1695"/>
      <c r="BQ83" s="354">
        <f t="shared" si="63"/>
        <v>0</v>
      </c>
      <c r="BR83" s="1695"/>
      <c r="BS83" s="1695"/>
      <c r="BU83" s="267"/>
      <c r="BV83" s="268">
        <f t="shared" si="58"/>
        <v>0</v>
      </c>
      <c r="BW83" s="984"/>
      <c r="BX83" s="268"/>
      <c r="BY83" s="268">
        <f>IF('Cashflow trend'!$L$13&lt;=$C83,-$AY83,0)</f>
        <v>0</v>
      </c>
      <c r="BZ83" s="269">
        <f t="shared" si="67"/>
        <v>0</v>
      </c>
      <c r="CA83" s="983">
        <f t="shared" ref="CA83:CA146" si="71">$CA$6</f>
        <v>2.4844599999999998E-2</v>
      </c>
      <c r="CB83" s="272">
        <f t="shared" ref="CB83" si="72">CB82</f>
        <v>0.01</v>
      </c>
      <c r="CC83" s="1695"/>
      <c r="CD83" s="1478">
        <f t="shared" si="45"/>
        <v>0</v>
      </c>
      <c r="CE83" s="1695"/>
      <c r="CF83" s="1695"/>
    </row>
    <row r="84" spans="1:84" ht="15.75" customHeight="1">
      <c r="A84" s="270" t="s">
        <v>512</v>
      </c>
      <c r="B84" s="266">
        <v>2021</v>
      </c>
      <c r="C84" s="1504">
        <v>44348</v>
      </c>
      <c r="D84" s="1717"/>
      <c r="E84" s="265">
        <f t="shared" si="64"/>
        <v>921500000</v>
      </c>
      <c r="F84" s="267">
        <f t="shared" si="59"/>
        <v>75</v>
      </c>
      <c r="G84" s="268" t="e">
        <f t="shared" si="54"/>
        <v>#REF!</v>
      </c>
      <c r="H84" s="268" t="e">
        <f>-ROUNDDOWN(J83*#REF!,0)</f>
        <v>#REF!</v>
      </c>
      <c r="I84" s="268" t="e">
        <f>IF(ROUNDDOWN(J83,0)=0,0,-#REF!)</f>
        <v>#REF!</v>
      </c>
      <c r="J84" s="269" t="e">
        <f t="shared" si="55"/>
        <v>#REF!</v>
      </c>
      <c r="K84" s="1695"/>
      <c r="L84" s="1695"/>
      <c r="M84" s="1695"/>
      <c r="O84" s="267">
        <f t="shared" si="60"/>
        <v>75</v>
      </c>
      <c r="P84" s="268" t="e">
        <f t="shared" si="51"/>
        <v>#REF!</v>
      </c>
      <c r="Q84" s="268" t="e">
        <f>-S83*#REF!</f>
        <v>#REF!</v>
      </c>
      <c r="R84" s="268" t="e">
        <f>IF(ROUNDDOWN(S83,0)=0,0,-#REF!)</f>
        <v>#REF!</v>
      </c>
      <c r="S84" s="269" t="e">
        <f t="shared" si="56"/>
        <v>#REF!</v>
      </c>
      <c r="T84" s="1695"/>
      <c r="U84" s="1695"/>
      <c r="V84" s="1695"/>
      <c r="X84" s="267">
        <f t="shared" si="61"/>
        <v>75</v>
      </c>
      <c r="Y84" s="268" t="e">
        <f t="shared" si="52"/>
        <v>#REF!</v>
      </c>
      <c r="Z84" s="268" t="e">
        <f>-AB83*#REF!</f>
        <v>#REF!</v>
      </c>
      <c r="AA84" s="268" t="e">
        <f>IF(ROUNDDOWN(AB83,0)=0,0,-#REF!)</f>
        <v>#REF!</v>
      </c>
      <c r="AB84" s="269" t="e">
        <f t="shared" si="57"/>
        <v>#REF!</v>
      </c>
      <c r="AC84" s="1695"/>
      <c r="AD84" s="1695"/>
      <c r="AE84" s="1695"/>
      <c r="AG84" s="1710"/>
      <c r="AH84" s="1710"/>
      <c r="AI84" s="1710"/>
      <c r="AK84" s="267">
        <f t="shared" si="62"/>
        <v>75</v>
      </c>
      <c r="AL84" s="268" t="e">
        <f t="shared" si="53"/>
        <v>#REF!</v>
      </c>
      <c r="AM84" s="268" t="e">
        <f>-AO83*#REF!</f>
        <v>#REF!</v>
      </c>
      <c r="AN84" s="268" t="e">
        <f t="shared" si="70"/>
        <v>#REF!</v>
      </c>
      <c r="AO84" s="269" t="e">
        <f t="shared" si="47"/>
        <v>#REF!</v>
      </c>
      <c r="AP84" s="1695"/>
      <c r="AQ84" s="1695"/>
      <c r="AR84" s="1695"/>
      <c r="AS84" s="1711"/>
      <c r="AU84" s="267">
        <f t="shared" si="65"/>
        <v>69</v>
      </c>
      <c r="AV84" s="268">
        <f t="shared" si="34"/>
        <v>-1028474</v>
      </c>
      <c r="AW84" s="1512">
        <v>-1028474</v>
      </c>
      <c r="AX84" s="1513">
        <v>0</v>
      </c>
      <c r="AY84" s="268">
        <v>0</v>
      </c>
      <c r="AZ84" s="268"/>
      <c r="BA84" s="269">
        <f t="shared" si="66"/>
        <v>921500000</v>
      </c>
      <c r="BB84" s="1793">
        <v>1.24244E-2</v>
      </c>
      <c r="BC84" s="272">
        <f t="shared" si="68"/>
        <v>0.01</v>
      </c>
      <c r="BD84" s="1695"/>
      <c r="BE84" s="354">
        <f t="shared" si="40"/>
        <v>-767916.66666666663</v>
      </c>
      <c r="BF84" s="1695"/>
      <c r="BG84" s="1695"/>
      <c r="BI84" s="268">
        <f t="shared" si="41"/>
        <v>0</v>
      </c>
      <c r="BJ84" s="268">
        <f t="shared" si="42"/>
        <v>0</v>
      </c>
      <c r="BK84" s="268">
        <v>0</v>
      </c>
      <c r="BL84" s="268">
        <v>0</v>
      </c>
      <c r="BM84" s="269">
        <f t="shared" si="37"/>
        <v>0</v>
      </c>
      <c r="BN84" s="272">
        <f t="shared" si="50"/>
        <v>0</v>
      </c>
      <c r="BO84" s="272">
        <f t="shared" si="50"/>
        <v>0.01</v>
      </c>
      <c r="BP84" s="1695"/>
      <c r="BQ84" s="354">
        <f t="shared" si="63"/>
        <v>0</v>
      </c>
      <c r="BR84" s="1695"/>
      <c r="BS84" s="1695"/>
      <c r="BU84" s="267"/>
      <c r="BV84" s="268">
        <f t="shared" si="58"/>
        <v>0</v>
      </c>
      <c r="BW84" s="504"/>
      <c r="BX84" s="268"/>
      <c r="BY84" s="268">
        <f>IF('Cashflow trend'!$L$13&lt;=$C84,-$AY84,0)</f>
        <v>0</v>
      </c>
      <c r="BZ84" s="269">
        <f t="shared" si="67"/>
        <v>0</v>
      </c>
      <c r="CA84" s="983">
        <f t="shared" si="71"/>
        <v>2.4844599999999998E-2</v>
      </c>
      <c r="CB84" s="272">
        <f t="shared" ref="CB84" si="73">CB83</f>
        <v>0.01</v>
      </c>
      <c r="CC84" s="1695"/>
      <c r="CD84" s="1478">
        <f t="shared" si="45"/>
        <v>0</v>
      </c>
      <c r="CE84" s="1695"/>
      <c r="CF84" s="1695"/>
    </row>
    <row r="85" spans="1:84" ht="15.75" customHeight="1">
      <c r="A85" s="270" t="s">
        <v>513</v>
      </c>
      <c r="B85" s="266">
        <v>2021</v>
      </c>
      <c r="C85" s="1504">
        <v>44378</v>
      </c>
      <c r="D85" s="1717"/>
      <c r="E85" s="265">
        <f t="shared" si="64"/>
        <v>921500000</v>
      </c>
      <c r="F85" s="267">
        <f t="shared" si="59"/>
        <v>76</v>
      </c>
      <c r="G85" s="268" t="e">
        <f t="shared" si="54"/>
        <v>#REF!</v>
      </c>
      <c r="H85" s="268" t="e">
        <f>-ROUNDDOWN(J84*#REF!,0)</f>
        <v>#REF!</v>
      </c>
      <c r="I85" s="268" t="e">
        <f>IF(ROUNDDOWN(J84,0)=0,0,-#REF!)</f>
        <v>#REF!</v>
      </c>
      <c r="J85" s="269" t="e">
        <f t="shared" si="55"/>
        <v>#REF!</v>
      </c>
      <c r="K85" s="1695"/>
      <c r="L85" s="1695"/>
      <c r="M85" s="1695"/>
      <c r="O85" s="267">
        <f t="shared" si="60"/>
        <v>76</v>
      </c>
      <c r="P85" s="268" t="e">
        <f t="shared" si="51"/>
        <v>#REF!</v>
      </c>
      <c r="Q85" s="268" t="e">
        <f>-S84*#REF!</f>
        <v>#REF!</v>
      </c>
      <c r="R85" s="268" t="e">
        <f>IF(ROUNDDOWN(S84,0)=0,0,-#REF!)</f>
        <v>#REF!</v>
      </c>
      <c r="S85" s="269" t="e">
        <f t="shared" si="56"/>
        <v>#REF!</v>
      </c>
      <c r="T85" s="1695"/>
      <c r="U85" s="1695"/>
      <c r="V85" s="1695"/>
      <c r="X85" s="267">
        <f t="shared" si="61"/>
        <v>76</v>
      </c>
      <c r="Y85" s="268" t="e">
        <f t="shared" si="52"/>
        <v>#REF!</v>
      </c>
      <c r="Z85" s="268" t="e">
        <f>-AB84*#REF!</f>
        <v>#REF!</v>
      </c>
      <c r="AA85" s="268" t="e">
        <f>IF(ROUNDDOWN(AB84,0)=0,0,-#REF!)</f>
        <v>#REF!</v>
      </c>
      <c r="AB85" s="269" t="e">
        <f t="shared" si="57"/>
        <v>#REF!</v>
      </c>
      <c r="AC85" s="1695"/>
      <c r="AD85" s="1695"/>
      <c r="AE85" s="1695"/>
      <c r="AG85" s="1710"/>
      <c r="AH85" s="1710"/>
      <c r="AI85" s="1710"/>
      <c r="AK85" s="267">
        <f t="shared" si="62"/>
        <v>76</v>
      </c>
      <c r="AL85" s="268" t="e">
        <f t="shared" si="53"/>
        <v>#REF!</v>
      </c>
      <c r="AM85" s="268" t="e">
        <f>-AO84*#REF!</f>
        <v>#REF!</v>
      </c>
      <c r="AN85" s="268" t="e">
        <f t="shared" si="70"/>
        <v>#REF!</v>
      </c>
      <c r="AO85" s="269" t="e">
        <f t="shared" si="47"/>
        <v>#REF!</v>
      </c>
      <c r="AP85" s="1695"/>
      <c r="AQ85" s="1695"/>
      <c r="AR85" s="1695"/>
      <c r="AS85" s="1711"/>
      <c r="AU85" s="267">
        <f t="shared" si="65"/>
        <v>70</v>
      </c>
      <c r="AV85" s="268">
        <f t="shared" si="34"/>
        <v>-941021</v>
      </c>
      <c r="AW85" s="1490">
        <v>-941021</v>
      </c>
      <c r="AX85" s="1490">
        <v>0</v>
      </c>
      <c r="AY85" s="268">
        <v>0</v>
      </c>
      <c r="AZ85" s="268"/>
      <c r="BA85" s="269">
        <f t="shared" si="66"/>
        <v>921500000</v>
      </c>
      <c r="BB85" s="1793">
        <v>1.23839E-2</v>
      </c>
      <c r="BC85" s="272">
        <f t="shared" si="68"/>
        <v>0.01</v>
      </c>
      <c r="BD85" s="1695"/>
      <c r="BE85" s="354">
        <f t="shared" si="40"/>
        <v>-767916.66666666663</v>
      </c>
      <c r="BF85" s="1695"/>
      <c r="BG85" s="1695"/>
      <c r="BI85" s="268">
        <f t="shared" si="41"/>
        <v>0</v>
      </c>
      <c r="BJ85" s="268">
        <f t="shared" si="42"/>
        <v>0</v>
      </c>
      <c r="BK85" s="268">
        <v>0</v>
      </c>
      <c r="BL85" s="268"/>
      <c r="BM85" s="269">
        <f t="shared" si="37"/>
        <v>0</v>
      </c>
      <c r="BN85" s="272">
        <f t="shared" si="50"/>
        <v>0</v>
      </c>
      <c r="BO85" s="272">
        <f t="shared" si="50"/>
        <v>0.01</v>
      </c>
      <c r="BP85" s="1695"/>
      <c r="BQ85" s="354">
        <f t="shared" si="63"/>
        <v>0</v>
      </c>
      <c r="BR85" s="1695"/>
      <c r="BS85" s="1695"/>
      <c r="BU85" s="267"/>
      <c r="BV85" s="268">
        <f t="shared" si="58"/>
        <v>0</v>
      </c>
      <c r="BW85" s="268"/>
      <c r="BX85" s="268"/>
      <c r="BY85" s="268">
        <f>IF('Cashflow trend'!$L$13&lt;=$C85,-$AY85,0)</f>
        <v>0</v>
      </c>
      <c r="BZ85" s="269">
        <f t="shared" si="67"/>
        <v>0</v>
      </c>
      <c r="CA85" s="983">
        <f t="shared" si="71"/>
        <v>2.4844599999999998E-2</v>
      </c>
      <c r="CB85" s="272">
        <f t="shared" ref="CB85" si="74">CB84</f>
        <v>0.01</v>
      </c>
      <c r="CC85" s="1695"/>
      <c r="CD85" s="1478">
        <f t="shared" si="45"/>
        <v>0</v>
      </c>
      <c r="CE85" s="1695"/>
      <c r="CF85" s="1695"/>
    </row>
    <row r="86" spans="1:84" ht="16.5" customHeight="1">
      <c r="A86" s="270" t="s">
        <v>514</v>
      </c>
      <c r="B86" s="266">
        <v>2021</v>
      </c>
      <c r="C86" s="1504">
        <v>44409</v>
      </c>
      <c r="D86" s="1717"/>
      <c r="E86" s="265">
        <f t="shared" si="64"/>
        <v>921500000</v>
      </c>
      <c r="F86" s="267">
        <f t="shared" si="59"/>
        <v>77</v>
      </c>
      <c r="G86" s="268" t="e">
        <f t="shared" si="54"/>
        <v>#REF!</v>
      </c>
      <c r="H86" s="268" t="e">
        <f>-ROUNDDOWN(J85*#REF!,0)</f>
        <v>#REF!</v>
      </c>
      <c r="I86" s="268" t="e">
        <f>IF(ROUNDDOWN(J85,0)=0,0,-#REF!)</f>
        <v>#REF!</v>
      </c>
      <c r="J86" s="269" t="e">
        <f t="shared" si="55"/>
        <v>#REF!</v>
      </c>
      <c r="K86" s="1695"/>
      <c r="L86" s="1695"/>
      <c r="M86" s="1695"/>
      <c r="O86" s="267">
        <f t="shared" si="60"/>
        <v>77</v>
      </c>
      <c r="P86" s="268" t="e">
        <f t="shared" si="51"/>
        <v>#REF!</v>
      </c>
      <c r="Q86" s="268" t="e">
        <f>-S85*#REF!</f>
        <v>#REF!</v>
      </c>
      <c r="R86" s="268" t="e">
        <f>IF(ROUNDDOWN(S85,0)=0,0,-#REF!)</f>
        <v>#REF!</v>
      </c>
      <c r="S86" s="269" t="e">
        <f t="shared" si="56"/>
        <v>#REF!</v>
      </c>
      <c r="T86" s="1695"/>
      <c r="U86" s="1695"/>
      <c r="V86" s="1695"/>
      <c r="X86" s="267">
        <f t="shared" si="61"/>
        <v>77</v>
      </c>
      <c r="Y86" s="268" t="e">
        <f t="shared" si="52"/>
        <v>#REF!</v>
      </c>
      <c r="Z86" s="268" t="e">
        <f>-AB85*#REF!</f>
        <v>#REF!</v>
      </c>
      <c r="AA86" s="268" t="e">
        <f>IF(ROUNDDOWN(AB85,0)=0,0,-#REF!)</f>
        <v>#REF!</v>
      </c>
      <c r="AB86" s="269" t="e">
        <f t="shared" si="57"/>
        <v>#REF!</v>
      </c>
      <c r="AC86" s="1695"/>
      <c r="AD86" s="1695"/>
      <c r="AE86" s="1695"/>
      <c r="AG86" s="1710"/>
      <c r="AH86" s="1710"/>
      <c r="AI86" s="1710"/>
      <c r="AK86" s="267">
        <f t="shared" si="62"/>
        <v>77</v>
      </c>
      <c r="AL86" s="268" t="e">
        <f t="shared" si="53"/>
        <v>#REF!</v>
      </c>
      <c r="AM86" s="268" t="e">
        <f>-AO85*#REF!</f>
        <v>#REF!</v>
      </c>
      <c r="AN86" s="268" t="e">
        <f t="shared" si="70"/>
        <v>#REF!</v>
      </c>
      <c r="AO86" s="269" t="e">
        <f t="shared" si="47"/>
        <v>#REF!</v>
      </c>
      <c r="AP86" s="1695"/>
      <c r="AQ86" s="1695"/>
      <c r="AR86" s="1695"/>
      <c r="AS86" s="1711"/>
      <c r="AU86" s="267">
        <f t="shared" si="65"/>
        <v>71</v>
      </c>
      <c r="AV86" s="268">
        <f t="shared" si="34"/>
        <v>-1031749</v>
      </c>
      <c r="AW86" s="1490">
        <v>-1031749</v>
      </c>
      <c r="AX86" s="1490">
        <v>0</v>
      </c>
      <c r="AY86" s="268">
        <v>0</v>
      </c>
      <c r="AZ86" s="268"/>
      <c r="BA86" s="269">
        <f t="shared" si="66"/>
        <v>921500000</v>
      </c>
      <c r="BB86" s="1793">
        <v>1.21625E-2</v>
      </c>
      <c r="BC86" s="272">
        <f t="shared" si="68"/>
        <v>0.01</v>
      </c>
      <c r="BD86" s="1695"/>
      <c r="BE86" s="354">
        <f t="shared" si="40"/>
        <v>-767916.66666666663</v>
      </c>
      <c r="BF86" s="1695"/>
      <c r="BG86" s="1695"/>
      <c r="BI86" s="268">
        <f t="shared" si="41"/>
        <v>0</v>
      </c>
      <c r="BJ86" s="268">
        <f t="shared" si="42"/>
        <v>0</v>
      </c>
      <c r="BK86" s="268">
        <v>0</v>
      </c>
      <c r="BL86" s="268"/>
      <c r="BM86" s="269">
        <f t="shared" si="37"/>
        <v>0</v>
      </c>
      <c r="BN86" s="272">
        <f t="shared" si="50"/>
        <v>0</v>
      </c>
      <c r="BO86" s="272">
        <f t="shared" si="50"/>
        <v>0.01</v>
      </c>
      <c r="BP86" s="1695"/>
      <c r="BQ86" s="354">
        <f t="shared" si="63"/>
        <v>0</v>
      </c>
      <c r="BR86" s="1695"/>
      <c r="BS86" s="1695"/>
      <c r="BU86" s="267"/>
      <c r="BV86" s="268">
        <f t="shared" si="58"/>
        <v>0</v>
      </c>
      <c r="BW86" s="268"/>
      <c r="BX86" s="268"/>
      <c r="BY86" s="268">
        <f>IF('Cashflow trend'!$L$13&lt;=$C86,-$AY86,0)</f>
        <v>0</v>
      </c>
      <c r="BZ86" s="269">
        <f t="shared" si="67"/>
        <v>0</v>
      </c>
      <c r="CA86" s="983">
        <f t="shared" si="71"/>
        <v>2.4844599999999998E-2</v>
      </c>
      <c r="CB86" s="272">
        <f t="shared" ref="CB86" si="75">CB85</f>
        <v>0.01</v>
      </c>
      <c r="CC86" s="1695"/>
      <c r="CD86" s="1478">
        <f t="shared" si="45"/>
        <v>0</v>
      </c>
      <c r="CE86" s="1695"/>
      <c r="CF86" s="1695"/>
    </row>
    <row r="87" spans="1:84" ht="16.5" customHeight="1">
      <c r="A87" s="270" t="s">
        <v>515</v>
      </c>
      <c r="B87" s="266">
        <v>2021</v>
      </c>
      <c r="C87" s="1504">
        <v>44440</v>
      </c>
      <c r="D87" s="1717"/>
      <c r="E87" s="265">
        <f t="shared" si="64"/>
        <v>921500000</v>
      </c>
      <c r="F87" s="282">
        <f t="shared" si="59"/>
        <v>78</v>
      </c>
      <c r="G87" s="268" t="e">
        <f t="shared" si="54"/>
        <v>#REF!</v>
      </c>
      <c r="H87" s="268" t="e">
        <f>-ROUNDDOWN(J86*#REF!,0)</f>
        <v>#REF!</v>
      </c>
      <c r="I87" s="268" t="e">
        <f>IF(ROUNDDOWN(J86,0)=0,0,-#REF!)</f>
        <v>#REF!</v>
      </c>
      <c r="J87" s="269" t="e">
        <f t="shared" si="55"/>
        <v>#REF!</v>
      </c>
      <c r="K87" s="1695"/>
      <c r="L87" s="1695"/>
      <c r="M87" s="1695"/>
      <c r="O87" s="267">
        <f t="shared" si="60"/>
        <v>78</v>
      </c>
      <c r="P87" s="268" t="e">
        <f t="shared" si="51"/>
        <v>#REF!</v>
      </c>
      <c r="Q87" s="268" t="e">
        <f>-S86*#REF!</f>
        <v>#REF!</v>
      </c>
      <c r="R87" s="268" t="e">
        <f>IF(ROUNDDOWN(S86,0)=0,0,-#REF!)</f>
        <v>#REF!</v>
      </c>
      <c r="S87" s="269" t="e">
        <f t="shared" si="56"/>
        <v>#REF!</v>
      </c>
      <c r="T87" s="1695"/>
      <c r="U87" s="1695"/>
      <c r="V87" s="1695"/>
      <c r="X87" s="267">
        <f t="shared" si="61"/>
        <v>78</v>
      </c>
      <c r="Y87" s="268" t="e">
        <f t="shared" si="52"/>
        <v>#REF!</v>
      </c>
      <c r="Z87" s="268" t="e">
        <f>-AB86*#REF!</f>
        <v>#REF!</v>
      </c>
      <c r="AA87" s="268" t="e">
        <f>IF(ROUNDDOWN(AB86,0)=0,0,-#REF!)</f>
        <v>#REF!</v>
      </c>
      <c r="AB87" s="269" t="e">
        <f t="shared" si="57"/>
        <v>#REF!</v>
      </c>
      <c r="AC87" s="1695"/>
      <c r="AD87" s="1695"/>
      <c r="AE87" s="1695"/>
      <c r="AG87" s="1710"/>
      <c r="AH87" s="1710"/>
      <c r="AI87" s="1710"/>
      <c r="AK87" s="267">
        <f t="shared" si="62"/>
        <v>78</v>
      </c>
      <c r="AL87" s="268" t="e">
        <f t="shared" si="53"/>
        <v>#REF!</v>
      </c>
      <c r="AM87" s="268" t="e">
        <f>-AO86*#REF!</f>
        <v>#REF!</v>
      </c>
      <c r="AN87" s="268" t="e">
        <f t="shared" si="70"/>
        <v>#REF!</v>
      </c>
      <c r="AO87" s="269" t="e">
        <f t="shared" si="47"/>
        <v>#REF!</v>
      </c>
      <c r="AP87" s="1695"/>
      <c r="AQ87" s="1695"/>
      <c r="AR87" s="1695"/>
      <c r="AS87" s="1711"/>
      <c r="AU87" s="267">
        <f t="shared" si="65"/>
        <v>72</v>
      </c>
      <c r="AV87" s="268">
        <f t="shared" si="34"/>
        <v>-951891</v>
      </c>
      <c r="AW87" s="1490">
        <v>-951891</v>
      </c>
      <c r="AX87" s="1490">
        <v>0</v>
      </c>
      <c r="AY87" s="268">
        <v>0</v>
      </c>
      <c r="AZ87" s="268"/>
      <c r="BA87" s="269">
        <f t="shared" si="66"/>
        <v>921500000</v>
      </c>
      <c r="BB87" s="1793">
        <v>1.21339E-2</v>
      </c>
      <c r="BC87" s="272">
        <f t="shared" si="68"/>
        <v>0.01</v>
      </c>
      <c r="BD87" s="1695"/>
      <c r="BE87" s="354">
        <f t="shared" si="40"/>
        <v>-767916.66666666663</v>
      </c>
      <c r="BF87" s="1695"/>
      <c r="BG87" s="1695"/>
      <c r="BI87" s="268">
        <f t="shared" si="41"/>
        <v>0</v>
      </c>
      <c r="BJ87" s="268">
        <f t="shared" si="42"/>
        <v>0</v>
      </c>
      <c r="BK87" s="268">
        <v>0</v>
      </c>
      <c r="BL87" s="268">
        <v>0</v>
      </c>
      <c r="BM87" s="269">
        <f t="shared" si="37"/>
        <v>0</v>
      </c>
      <c r="BN87" s="272">
        <f t="shared" si="50"/>
        <v>0</v>
      </c>
      <c r="BO87" s="272">
        <f t="shared" si="50"/>
        <v>0.01</v>
      </c>
      <c r="BP87" s="1695"/>
      <c r="BQ87" s="354">
        <f t="shared" si="63"/>
        <v>0</v>
      </c>
      <c r="BR87" s="1695"/>
      <c r="BS87" s="1695"/>
      <c r="BU87" s="267"/>
      <c r="BV87" s="268">
        <f t="shared" si="58"/>
        <v>0</v>
      </c>
      <c r="BW87" s="268"/>
      <c r="BX87" s="268"/>
      <c r="BY87" s="268">
        <f>IF('Cashflow trend'!$L$13&lt;=$C87,-$AY87,0)</f>
        <v>0</v>
      </c>
      <c r="BZ87" s="269">
        <f t="shared" si="67"/>
        <v>0</v>
      </c>
      <c r="CA87" s="983">
        <f t="shared" si="71"/>
        <v>2.4844599999999998E-2</v>
      </c>
      <c r="CB87" s="272">
        <f t="shared" ref="CB87" si="76">CB86</f>
        <v>0.01</v>
      </c>
      <c r="CC87" s="1695"/>
      <c r="CD87" s="1478">
        <f t="shared" si="45"/>
        <v>0</v>
      </c>
      <c r="CE87" s="1695"/>
      <c r="CF87" s="1695"/>
    </row>
    <row r="88" spans="1:84" ht="15.75" customHeight="1">
      <c r="A88" s="270" t="s">
        <v>516</v>
      </c>
      <c r="B88" s="266">
        <v>2021</v>
      </c>
      <c r="C88" s="1504">
        <v>44470</v>
      </c>
      <c r="D88" s="1717"/>
      <c r="E88" s="265">
        <f t="shared" si="64"/>
        <v>921500000</v>
      </c>
      <c r="F88" s="267">
        <f t="shared" si="59"/>
        <v>79</v>
      </c>
      <c r="G88" s="268" t="e">
        <f t="shared" si="54"/>
        <v>#REF!</v>
      </c>
      <c r="H88" s="268" t="e">
        <f>-ROUNDDOWN(J87*#REF!,0)</f>
        <v>#REF!</v>
      </c>
      <c r="I88" s="268" t="e">
        <f>IF(ROUNDDOWN(J87,0)=0,0,-#REF!)</f>
        <v>#REF!</v>
      </c>
      <c r="J88" s="269" t="e">
        <f t="shared" si="55"/>
        <v>#REF!</v>
      </c>
      <c r="K88" s="1695"/>
      <c r="L88" s="1695"/>
      <c r="M88" s="1695"/>
      <c r="O88" s="267">
        <f t="shared" si="60"/>
        <v>79</v>
      </c>
      <c r="P88" s="268" t="e">
        <f t="shared" si="51"/>
        <v>#REF!</v>
      </c>
      <c r="Q88" s="268" t="e">
        <f>-S87*#REF!</f>
        <v>#REF!</v>
      </c>
      <c r="R88" s="268" t="e">
        <f>IF(ROUNDDOWN(S87,0)=0,0,-#REF!)</f>
        <v>#REF!</v>
      </c>
      <c r="S88" s="269" t="e">
        <f t="shared" si="56"/>
        <v>#REF!</v>
      </c>
      <c r="T88" s="1695"/>
      <c r="U88" s="1695"/>
      <c r="V88" s="1695"/>
      <c r="X88" s="267">
        <f t="shared" si="61"/>
        <v>79</v>
      </c>
      <c r="Y88" s="268" t="e">
        <f t="shared" si="52"/>
        <v>#REF!</v>
      </c>
      <c r="Z88" s="268" t="e">
        <f>-AB87*#REF!</f>
        <v>#REF!</v>
      </c>
      <c r="AA88" s="268" t="e">
        <f>IF(ROUNDDOWN(AB87,0)=0,0,-#REF!)</f>
        <v>#REF!</v>
      </c>
      <c r="AB88" s="269" t="e">
        <f t="shared" si="57"/>
        <v>#REF!</v>
      </c>
      <c r="AC88" s="1695"/>
      <c r="AD88" s="1695"/>
      <c r="AE88" s="1695"/>
      <c r="AG88" s="1710"/>
      <c r="AH88" s="1710"/>
      <c r="AI88" s="1710"/>
      <c r="AK88" s="267">
        <f t="shared" si="62"/>
        <v>79</v>
      </c>
      <c r="AL88" s="268" t="e">
        <f t="shared" si="53"/>
        <v>#REF!</v>
      </c>
      <c r="AM88" s="268" t="e">
        <f>-AO87*#REF!</f>
        <v>#REF!</v>
      </c>
      <c r="AN88" s="268" t="e">
        <f t="shared" si="70"/>
        <v>#REF!</v>
      </c>
      <c r="AO88" s="269" t="e">
        <f t="shared" si="47"/>
        <v>#REF!</v>
      </c>
      <c r="AP88" s="1695"/>
      <c r="AQ88" s="1695"/>
      <c r="AR88" s="1695"/>
      <c r="AS88" s="1711"/>
      <c r="AU88" s="267">
        <f t="shared" si="65"/>
        <v>73</v>
      </c>
      <c r="AV88" s="268">
        <f t="shared" ref="AV88:AV151" si="77">AW88+AY88</f>
        <v>-888384</v>
      </c>
      <c r="AW88" s="1490">
        <v>-888384</v>
      </c>
      <c r="AX88" s="1490">
        <v>0</v>
      </c>
      <c r="AY88" s="268">
        <v>0</v>
      </c>
      <c r="AZ88" s="268"/>
      <c r="BA88" s="269">
        <f>SUM(AY88:AZ88)+BA87</f>
        <v>921500000</v>
      </c>
      <c r="BB88" s="1793">
        <v>1.2178599999999999E-2</v>
      </c>
      <c r="BC88" s="272">
        <f t="shared" si="68"/>
        <v>0.01</v>
      </c>
      <c r="BD88" s="1695"/>
      <c r="BE88" s="354">
        <f t="shared" si="40"/>
        <v>-767916.66666666663</v>
      </c>
      <c r="BF88" s="1695"/>
      <c r="BG88" s="1695"/>
      <c r="BI88" s="268">
        <f t="shared" si="41"/>
        <v>0</v>
      </c>
      <c r="BJ88" s="268">
        <f t="shared" si="42"/>
        <v>0</v>
      </c>
      <c r="BK88" s="268">
        <v>0</v>
      </c>
      <c r="BL88" s="268"/>
      <c r="BM88" s="269">
        <f>SUM(BK88:BL88)+BM87</f>
        <v>0</v>
      </c>
      <c r="BN88" s="272">
        <f t="shared" si="50"/>
        <v>0</v>
      </c>
      <c r="BO88" s="272">
        <f t="shared" si="50"/>
        <v>0.01</v>
      </c>
      <c r="BP88" s="1695"/>
      <c r="BQ88" s="354">
        <f t="shared" si="63"/>
        <v>0</v>
      </c>
      <c r="BR88" s="1695"/>
      <c r="BS88" s="1695"/>
      <c r="BU88" s="267"/>
      <c r="BV88" s="268">
        <f t="shared" si="58"/>
        <v>0</v>
      </c>
      <c r="BW88" s="268"/>
      <c r="BX88" s="268"/>
      <c r="BY88" s="268">
        <f>IF('Cashflow trend'!$L$13&lt;=$C88,-$AY88,0)</f>
        <v>0</v>
      </c>
      <c r="BZ88" s="269">
        <f>SUM(BX88:BY88)+BZ87</f>
        <v>0</v>
      </c>
      <c r="CA88" s="983">
        <f t="shared" si="71"/>
        <v>2.4844599999999998E-2</v>
      </c>
      <c r="CB88" s="272">
        <f t="shared" ref="CB88" si="78">CB87</f>
        <v>0.01</v>
      </c>
      <c r="CC88" s="1695"/>
      <c r="CD88" s="1478">
        <f t="shared" si="45"/>
        <v>0</v>
      </c>
      <c r="CE88" s="1695"/>
      <c r="CF88" s="1695"/>
    </row>
    <row r="89" spans="1:84" ht="15.75" customHeight="1">
      <c r="A89" s="270" t="s">
        <v>517</v>
      </c>
      <c r="B89" s="266">
        <v>2021</v>
      </c>
      <c r="C89" s="1504">
        <v>44501</v>
      </c>
      <c r="D89" s="1717"/>
      <c r="E89" s="265">
        <f t="shared" si="64"/>
        <v>921500000</v>
      </c>
      <c r="F89" s="267">
        <f t="shared" si="59"/>
        <v>80</v>
      </c>
      <c r="G89" s="268" t="e">
        <f t="shared" si="54"/>
        <v>#REF!</v>
      </c>
      <c r="H89" s="268" t="e">
        <f>-ROUNDDOWN(J88*#REF!,0)</f>
        <v>#REF!</v>
      </c>
      <c r="I89" s="268" t="e">
        <f>IF(ROUNDDOWN(J88,0)=0,0,-#REF!)</f>
        <v>#REF!</v>
      </c>
      <c r="J89" s="269" t="e">
        <f t="shared" si="55"/>
        <v>#REF!</v>
      </c>
      <c r="K89" s="1695"/>
      <c r="L89" s="1695"/>
      <c r="M89" s="1695"/>
      <c r="O89" s="267">
        <f t="shared" si="60"/>
        <v>80</v>
      </c>
      <c r="P89" s="268" t="e">
        <f t="shared" si="51"/>
        <v>#REF!</v>
      </c>
      <c r="Q89" s="268" t="e">
        <f>-S88*#REF!</f>
        <v>#REF!</v>
      </c>
      <c r="R89" s="268" t="e">
        <f>IF(ROUNDDOWN(S88,0)=0,0,-#REF!)</f>
        <v>#REF!</v>
      </c>
      <c r="S89" s="269" t="e">
        <f t="shared" si="56"/>
        <v>#REF!</v>
      </c>
      <c r="T89" s="1695"/>
      <c r="U89" s="1695"/>
      <c r="V89" s="1695"/>
      <c r="X89" s="267">
        <f t="shared" si="61"/>
        <v>80</v>
      </c>
      <c r="Y89" s="268" t="e">
        <f t="shared" si="52"/>
        <v>#REF!</v>
      </c>
      <c r="Z89" s="268" t="e">
        <f>-AB88*#REF!</f>
        <v>#REF!</v>
      </c>
      <c r="AA89" s="268" t="e">
        <f>IF(ROUNDDOWN(AB88,0)=0,0,-#REF!)</f>
        <v>#REF!</v>
      </c>
      <c r="AB89" s="269" t="e">
        <f t="shared" si="57"/>
        <v>#REF!</v>
      </c>
      <c r="AC89" s="1695"/>
      <c r="AD89" s="1695"/>
      <c r="AE89" s="1695"/>
      <c r="AG89" s="1710"/>
      <c r="AH89" s="1710"/>
      <c r="AI89" s="1710"/>
      <c r="AK89" s="267">
        <f t="shared" si="62"/>
        <v>80</v>
      </c>
      <c r="AL89" s="268" t="e">
        <f t="shared" si="53"/>
        <v>#REF!</v>
      </c>
      <c r="AM89" s="268" t="e">
        <f>-AO88*#REF!</f>
        <v>#REF!</v>
      </c>
      <c r="AN89" s="268" t="e">
        <f t="shared" si="70"/>
        <v>#REF!</v>
      </c>
      <c r="AO89" s="269" t="e">
        <f t="shared" si="47"/>
        <v>#REF!</v>
      </c>
      <c r="AP89" s="1695"/>
      <c r="AQ89" s="1695"/>
      <c r="AR89" s="1695"/>
      <c r="AS89" s="1711"/>
      <c r="AU89" s="267">
        <f t="shared" si="65"/>
        <v>74</v>
      </c>
      <c r="AV89" s="268">
        <f t="shared" si="77"/>
        <v>-953151</v>
      </c>
      <c r="AW89" s="1490">
        <v>-953151</v>
      </c>
      <c r="AX89" s="1490">
        <v>0</v>
      </c>
      <c r="AY89" s="268">
        <v>0</v>
      </c>
      <c r="AZ89" s="268"/>
      <c r="BA89" s="269">
        <f t="shared" si="66"/>
        <v>921500000</v>
      </c>
      <c r="BB89" s="1793">
        <v>1.2566000000000001E-2</v>
      </c>
      <c r="BC89" s="272">
        <f t="shared" si="68"/>
        <v>0.01</v>
      </c>
      <c r="BD89" s="1695"/>
      <c r="BE89" s="354">
        <f t="shared" si="40"/>
        <v>-767916.66666666663</v>
      </c>
      <c r="BF89" s="1695"/>
      <c r="BG89" s="1695"/>
      <c r="BI89" s="268">
        <f t="shared" si="41"/>
        <v>0</v>
      </c>
      <c r="BJ89" s="268">
        <f t="shared" si="42"/>
        <v>0</v>
      </c>
      <c r="BK89" s="268">
        <v>0</v>
      </c>
      <c r="BL89" s="268"/>
      <c r="BM89" s="269">
        <f t="shared" ref="BM89:BM152" si="79">SUM(BK89:BL89)+BM88</f>
        <v>0</v>
      </c>
      <c r="BN89" s="272">
        <f t="shared" si="50"/>
        <v>0</v>
      </c>
      <c r="BO89" s="272">
        <f t="shared" si="50"/>
        <v>0.01</v>
      </c>
      <c r="BP89" s="1695"/>
      <c r="BQ89" s="354">
        <f t="shared" si="63"/>
        <v>0</v>
      </c>
      <c r="BR89" s="1695"/>
      <c r="BS89" s="1695"/>
      <c r="BU89" s="267"/>
      <c r="BV89" s="268">
        <f t="shared" si="58"/>
        <v>0</v>
      </c>
      <c r="BW89" s="268"/>
      <c r="BX89" s="268"/>
      <c r="BY89" s="268">
        <f>IF('Cashflow trend'!$L$13&lt;=$C89,-$AY89,0)</f>
        <v>0</v>
      </c>
      <c r="BZ89" s="269">
        <f t="shared" ref="BZ89:BZ152" si="80">SUM(BX89:BY89)+BZ88</f>
        <v>0</v>
      </c>
      <c r="CA89" s="983">
        <f t="shared" si="71"/>
        <v>2.4844599999999998E-2</v>
      </c>
      <c r="CB89" s="272">
        <f t="shared" ref="CB89" si="81">CB88</f>
        <v>0.01</v>
      </c>
      <c r="CC89" s="1695"/>
      <c r="CD89" s="1478">
        <f t="shared" si="45"/>
        <v>0</v>
      </c>
      <c r="CE89" s="1695"/>
      <c r="CF89" s="1695"/>
    </row>
    <row r="90" spans="1:84" ht="15.75" customHeight="1">
      <c r="A90" s="270" t="s">
        <v>518</v>
      </c>
      <c r="B90" s="266">
        <v>2021</v>
      </c>
      <c r="C90" s="1504">
        <v>44531</v>
      </c>
      <c r="D90" s="1717"/>
      <c r="E90" s="265">
        <f t="shared" si="64"/>
        <v>873000000</v>
      </c>
      <c r="F90" s="267">
        <f t="shared" si="59"/>
        <v>81</v>
      </c>
      <c r="G90" s="268" t="e">
        <f t="shared" si="54"/>
        <v>#REF!</v>
      </c>
      <c r="H90" s="268" t="e">
        <f>-ROUNDDOWN(J89*#REF!,0)</f>
        <v>#REF!</v>
      </c>
      <c r="I90" s="268" t="e">
        <f>IF(ROUNDDOWN(J89,0)=0,0,-#REF!)</f>
        <v>#REF!</v>
      </c>
      <c r="J90" s="269" t="e">
        <f t="shared" si="55"/>
        <v>#REF!</v>
      </c>
      <c r="K90" s="1695"/>
      <c r="L90" s="1695"/>
      <c r="M90" s="1695"/>
      <c r="O90" s="267">
        <f t="shared" si="60"/>
        <v>81</v>
      </c>
      <c r="P90" s="268" t="e">
        <f t="shared" si="51"/>
        <v>#REF!</v>
      </c>
      <c r="Q90" s="268" t="e">
        <f>-S89*#REF!</f>
        <v>#REF!</v>
      </c>
      <c r="R90" s="268" t="e">
        <f>IF(ROUNDDOWN(S89,0)=0,0,-#REF!)</f>
        <v>#REF!</v>
      </c>
      <c r="S90" s="269" t="e">
        <f t="shared" si="56"/>
        <v>#REF!</v>
      </c>
      <c r="T90" s="1695"/>
      <c r="U90" s="1695"/>
      <c r="V90" s="1695"/>
      <c r="X90" s="267">
        <f t="shared" si="61"/>
        <v>81</v>
      </c>
      <c r="Y90" s="268" t="e">
        <f t="shared" si="52"/>
        <v>#REF!</v>
      </c>
      <c r="Z90" s="268" t="e">
        <f>-AB89*#REF!</f>
        <v>#REF!</v>
      </c>
      <c r="AA90" s="268" t="e">
        <f>IF(ROUNDDOWN(AB89,0)=0,0,-#REF!)</f>
        <v>#REF!</v>
      </c>
      <c r="AB90" s="269" t="e">
        <f t="shared" si="57"/>
        <v>#REF!</v>
      </c>
      <c r="AC90" s="1695"/>
      <c r="AD90" s="1695"/>
      <c r="AE90" s="1695"/>
      <c r="AG90" s="1710"/>
      <c r="AH90" s="1710"/>
      <c r="AI90" s="1710"/>
      <c r="AK90" s="267">
        <f t="shared" si="62"/>
        <v>81</v>
      </c>
      <c r="AL90" s="268" t="e">
        <f t="shared" si="53"/>
        <v>#REF!</v>
      </c>
      <c r="AM90" s="268" t="e">
        <f>-AO89*#REF!</f>
        <v>#REF!</v>
      </c>
      <c r="AN90" s="268" t="e">
        <f t="shared" si="70"/>
        <v>#REF!</v>
      </c>
      <c r="AO90" s="269" t="e">
        <f t="shared" si="47"/>
        <v>#REF!</v>
      </c>
      <c r="AP90" s="1695"/>
      <c r="AQ90" s="1695"/>
      <c r="AR90" s="1695"/>
      <c r="AS90" s="1711"/>
      <c r="AU90" s="267">
        <f t="shared" si="65"/>
        <v>75</v>
      </c>
      <c r="AV90" s="268">
        <f t="shared" si="77"/>
        <v>-49515195</v>
      </c>
      <c r="AW90" s="1490">
        <v>-1015195</v>
      </c>
      <c r="AX90" s="1490">
        <v>-48500000</v>
      </c>
      <c r="AY90" s="268">
        <f>-$BA$77*$D$78</f>
        <v>-48500000</v>
      </c>
      <c r="AZ90" s="268"/>
      <c r="BA90" s="269">
        <f t="shared" si="66"/>
        <v>873000000</v>
      </c>
      <c r="BB90" s="1793">
        <v>1.30911E-2</v>
      </c>
      <c r="BC90" s="272">
        <f t="shared" si="68"/>
        <v>0.01</v>
      </c>
      <c r="BD90" s="1695"/>
      <c r="BE90" s="354">
        <f t="shared" si="40"/>
        <v>-767916.66666666663</v>
      </c>
      <c r="BF90" s="1695"/>
      <c r="BG90" s="1695"/>
      <c r="BI90" s="268">
        <f t="shared" si="41"/>
        <v>0</v>
      </c>
      <c r="BJ90" s="268">
        <f t="shared" si="42"/>
        <v>0</v>
      </c>
      <c r="BK90" s="268">
        <v>0</v>
      </c>
      <c r="BL90" s="268">
        <v>50000000</v>
      </c>
      <c r="BM90" s="269">
        <f t="shared" si="79"/>
        <v>50000000</v>
      </c>
      <c r="BN90" s="272">
        <f t="shared" si="50"/>
        <v>0</v>
      </c>
      <c r="BO90" s="272">
        <f t="shared" si="50"/>
        <v>0.01</v>
      </c>
      <c r="BP90" s="1695"/>
      <c r="BQ90" s="354">
        <f t="shared" si="63"/>
        <v>0</v>
      </c>
      <c r="BR90" s="1695"/>
      <c r="BS90" s="1695"/>
      <c r="BU90" s="267"/>
      <c r="BV90" s="268">
        <f t="shared" si="58"/>
        <v>0</v>
      </c>
      <c r="BW90" s="268"/>
      <c r="BX90" s="268"/>
      <c r="BY90" s="268">
        <f>IF('Cashflow trend'!$L$13&lt;=$C90,-$AY90,0)</f>
        <v>0</v>
      </c>
      <c r="BZ90" s="269">
        <f t="shared" si="80"/>
        <v>0</v>
      </c>
      <c r="CA90" s="983">
        <f t="shared" si="71"/>
        <v>2.4844599999999998E-2</v>
      </c>
      <c r="CB90" s="272">
        <f t="shared" ref="CB90" si="82">CB89</f>
        <v>0.01</v>
      </c>
      <c r="CC90" s="1695"/>
      <c r="CD90" s="1478">
        <f t="shared" si="45"/>
        <v>0</v>
      </c>
      <c r="CE90" s="1695"/>
      <c r="CF90" s="1695"/>
    </row>
    <row r="91" spans="1:84" ht="15.75" customHeight="1">
      <c r="A91" s="270" t="s">
        <v>519</v>
      </c>
      <c r="B91" s="266">
        <v>2022</v>
      </c>
      <c r="C91" s="1504">
        <v>44562</v>
      </c>
      <c r="D91" s="1717"/>
      <c r="E91" s="265">
        <f t="shared" si="64"/>
        <v>873000000</v>
      </c>
      <c r="F91" s="267">
        <f t="shared" si="59"/>
        <v>82</v>
      </c>
      <c r="G91" s="268" t="e">
        <f t="shared" si="54"/>
        <v>#REF!</v>
      </c>
      <c r="H91" s="268" t="e">
        <f>-ROUNDDOWN(J90*#REF!,0)</f>
        <v>#REF!</v>
      </c>
      <c r="I91" s="268" t="e">
        <f>IF(ROUNDDOWN(J90,0)=0,0,-#REF!)</f>
        <v>#REF!</v>
      </c>
      <c r="J91" s="269" t="e">
        <f t="shared" si="55"/>
        <v>#REF!</v>
      </c>
      <c r="K91" s="1695"/>
      <c r="L91" s="1695"/>
      <c r="M91" s="1695"/>
      <c r="O91" s="267">
        <f t="shared" si="60"/>
        <v>82</v>
      </c>
      <c r="P91" s="268" t="e">
        <f t="shared" si="51"/>
        <v>#REF!</v>
      </c>
      <c r="Q91" s="268" t="e">
        <f>-S90*#REF!</f>
        <v>#REF!</v>
      </c>
      <c r="R91" s="268" t="e">
        <f>IF(ROUNDDOWN(S90,0)=0,0,-#REF!)</f>
        <v>#REF!</v>
      </c>
      <c r="S91" s="269" t="e">
        <f t="shared" si="56"/>
        <v>#REF!</v>
      </c>
      <c r="T91" s="1695"/>
      <c r="U91" s="1695"/>
      <c r="V91" s="1695"/>
      <c r="X91" s="267">
        <f t="shared" si="61"/>
        <v>82</v>
      </c>
      <c r="Y91" s="268" t="e">
        <f t="shared" si="52"/>
        <v>#REF!</v>
      </c>
      <c r="Z91" s="268" t="e">
        <f>-AB90*#REF!</f>
        <v>#REF!</v>
      </c>
      <c r="AA91" s="268" t="e">
        <f>IF(ROUNDDOWN(AB90,0)=0,0,-#REF!)</f>
        <v>#REF!</v>
      </c>
      <c r="AB91" s="269" t="e">
        <f t="shared" si="57"/>
        <v>#REF!</v>
      </c>
      <c r="AC91" s="1695"/>
      <c r="AD91" s="1695"/>
      <c r="AE91" s="1695"/>
      <c r="AG91" s="1710"/>
      <c r="AH91" s="1710"/>
      <c r="AI91" s="1710"/>
      <c r="AK91" s="267">
        <f t="shared" si="62"/>
        <v>82</v>
      </c>
      <c r="AL91" s="268" t="e">
        <f t="shared" si="53"/>
        <v>#REF!</v>
      </c>
      <c r="AM91" s="268" t="e">
        <f>-AO90*#REF!</f>
        <v>#REF!</v>
      </c>
      <c r="AN91" s="268" t="e">
        <f t="shared" si="70"/>
        <v>#REF!</v>
      </c>
      <c r="AO91" s="269" t="e">
        <f t="shared" si="47"/>
        <v>#REF!</v>
      </c>
      <c r="AP91" s="1695"/>
      <c r="AQ91" s="1695"/>
      <c r="AR91" s="1695"/>
      <c r="AS91" s="1711"/>
      <c r="AU91" s="267">
        <f t="shared" si="65"/>
        <v>76</v>
      </c>
      <c r="AV91" s="268">
        <f t="shared" si="77"/>
        <v>-970642</v>
      </c>
      <c r="AW91" s="1490">
        <v>-970642</v>
      </c>
      <c r="AX91" s="1490">
        <v>0</v>
      </c>
      <c r="AY91" s="268">
        <v>0</v>
      </c>
      <c r="AZ91" s="268"/>
      <c r="BA91" s="269">
        <f t="shared" si="66"/>
        <v>873000000</v>
      </c>
      <c r="BB91" s="1793">
        <v>1.34821E-2</v>
      </c>
      <c r="BC91" s="272">
        <f t="shared" si="68"/>
        <v>0.01</v>
      </c>
      <c r="BD91" s="1695"/>
      <c r="BE91" s="354">
        <f t="shared" si="40"/>
        <v>-727500</v>
      </c>
      <c r="BF91" s="1695"/>
      <c r="BG91" s="1695"/>
      <c r="BI91" s="268">
        <f t="shared" si="41"/>
        <v>0</v>
      </c>
      <c r="BJ91" s="268">
        <f t="shared" si="42"/>
        <v>0</v>
      </c>
      <c r="BK91" s="268">
        <v>0</v>
      </c>
      <c r="BL91" s="268"/>
      <c r="BM91" s="269">
        <f t="shared" si="79"/>
        <v>50000000</v>
      </c>
      <c r="BN91" s="272">
        <f t="shared" si="50"/>
        <v>0</v>
      </c>
      <c r="BO91" s="272">
        <f t="shared" si="50"/>
        <v>0.01</v>
      </c>
      <c r="BP91" s="1695"/>
      <c r="BQ91" s="354">
        <f t="shared" si="63"/>
        <v>-41666.666666666664</v>
      </c>
      <c r="BR91" s="1695"/>
      <c r="BS91" s="1695"/>
      <c r="BU91" s="267"/>
      <c r="BV91" s="268">
        <f t="shared" si="58"/>
        <v>0</v>
      </c>
      <c r="BW91" s="268"/>
      <c r="BX91" s="268"/>
      <c r="BY91" s="268">
        <f>IF('Cashflow trend'!$L$13&lt;=$C91,-$AY91,0)</f>
        <v>0</v>
      </c>
      <c r="BZ91" s="269">
        <f t="shared" si="80"/>
        <v>0</v>
      </c>
      <c r="CA91" s="983">
        <f t="shared" si="71"/>
        <v>2.4844599999999998E-2</v>
      </c>
      <c r="CB91" s="272">
        <f t="shared" ref="CB91" si="83">CB90</f>
        <v>0.01</v>
      </c>
      <c r="CC91" s="1695"/>
      <c r="CD91" s="1478">
        <f t="shared" si="45"/>
        <v>0</v>
      </c>
      <c r="CE91" s="1695"/>
      <c r="CF91" s="1695"/>
    </row>
    <row r="92" spans="1:84" ht="15.75" customHeight="1">
      <c r="A92" s="270" t="s">
        <v>520</v>
      </c>
      <c r="B92" s="266">
        <v>2022</v>
      </c>
      <c r="C92" s="1504">
        <v>44593</v>
      </c>
      <c r="D92" s="1717"/>
      <c r="E92" s="265">
        <f t="shared" si="64"/>
        <v>873000000</v>
      </c>
      <c r="F92" s="267">
        <f t="shared" si="59"/>
        <v>83</v>
      </c>
      <c r="G92" s="268" t="e">
        <f t="shared" si="54"/>
        <v>#REF!</v>
      </c>
      <c r="H92" s="268" t="e">
        <f>-ROUNDDOWN(J91*#REF!,0)</f>
        <v>#REF!</v>
      </c>
      <c r="I92" s="268" t="e">
        <f>IF(ROUNDDOWN(J91,0)=0,0,-#REF!)</f>
        <v>#REF!</v>
      </c>
      <c r="J92" s="269" t="e">
        <f t="shared" si="55"/>
        <v>#REF!</v>
      </c>
      <c r="K92" s="1695"/>
      <c r="L92" s="1695"/>
      <c r="M92" s="1695"/>
      <c r="O92" s="267">
        <f t="shared" si="60"/>
        <v>83</v>
      </c>
      <c r="P92" s="268" t="e">
        <f t="shared" si="51"/>
        <v>#REF!</v>
      </c>
      <c r="Q92" s="268" t="e">
        <f>-S91*#REF!</f>
        <v>#REF!</v>
      </c>
      <c r="R92" s="268" t="e">
        <f>IF(ROUNDDOWN(S91,0)=0,0,-#REF!)</f>
        <v>#REF!</v>
      </c>
      <c r="S92" s="269" t="e">
        <f t="shared" si="56"/>
        <v>#REF!</v>
      </c>
      <c r="T92" s="1695"/>
      <c r="U92" s="1695"/>
      <c r="V92" s="1695"/>
      <c r="X92" s="267">
        <f t="shared" si="61"/>
        <v>83</v>
      </c>
      <c r="Y92" s="268" t="e">
        <f t="shared" si="52"/>
        <v>#REF!</v>
      </c>
      <c r="Z92" s="268" t="e">
        <f>-AB91*#REF!</f>
        <v>#REF!</v>
      </c>
      <c r="AA92" s="268" t="e">
        <f>IF(ROUNDDOWN(AB91,0)=0,0,-#REF!)</f>
        <v>#REF!</v>
      </c>
      <c r="AB92" s="269" t="e">
        <f t="shared" si="57"/>
        <v>#REF!</v>
      </c>
      <c r="AC92" s="1695"/>
      <c r="AD92" s="1695"/>
      <c r="AE92" s="1695"/>
      <c r="AG92" s="1710"/>
      <c r="AH92" s="1710"/>
      <c r="AI92" s="1710"/>
      <c r="AK92" s="267">
        <f t="shared" si="62"/>
        <v>83</v>
      </c>
      <c r="AL92" s="268" t="e">
        <f t="shared" si="53"/>
        <v>#REF!</v>
      </c>
      <c r="AM92" s="268" t="e">
        <f>-AO91*#REF!</f>
        <v>#REF!</v>
      </c>
      <c r="AN92" s="268" t="e">
        <f t="shared" si="70"/>
        <v>#REF!</v>
      </c>
      <c r="AO92" s="269" t="e">
        <f t="shared" si="47"/>
        <v>#REF!</v>
      </c>
      <c r="AP92" s="1695"/>
      <c r="AQ92" s="1695"/>
      <c r="AR92" s="1695"/>
      <c r="AS92" s="1711"/>
      <c r="AU92" s="267">
        <f t="shared" si="65"/>
        <v>77</v>
      </c>
      <c r="AV92" s="268">
        <f t="shared" si="77"/>
        <v>-902894</v>
      </c>
      <c r="AW92" s="1490">
        <v>-902894</v>
      </c>
      <c r="AX92" s="1490">
        <v>0</v>
      </c>
      <c r="AY92" s="268">
        <v>0</v>
      </c>
      <c r="AZ92" s="268"/>
      <c r="BA92" s="269">
        <f t="shared" si="66"/>
        <v>873000000</v>
      </c>
      <c r="BB92" s="1793">
        <v>1.3632999999999999E-2</v>
      </c>
      <c r="BC92" s="272">
        <f t="shared" si="68"/>
        <v>0.01</v>
      </c>
      <c r="BD92" s="1695"/>
      <c r="BE92" s="354">
        <f t="shared" si="40"/>
        <v>-727500</v>
      </c>
      <c r="BF92" s="1695"/>
      <c r="BG92" s="1695"/>
      <c r="BI92" s="268">
        <f t="shared" si="41"/>
        <v>0</v>
      </c>
      <c r="BJ92" s="268">
        <f t="shared" si="42"/>
        <v>0</v>
      </c>
      <c r="BK92" s="268">
        <v>0</v>
      </c>
      <c r="BL92" s="268"/>
      <c r="BM92" s="269">
        <f t="shared" si="79"/>
        <v>50000000</v>
      </c>
      <c r="BN92" s="272">
        <f>BN91</f>
        <v>0</v>
      </c>
      <c r="BO92" s="272">
        <f>BO91</f>
        <v>0.01</v>
      </c>
      <c r="BP92" s="1695"/>
      <c r="BQ92" s="354">
        <f t="shared" si="63"/>
        <v>-41666.666666666664</v>
      </c>
      <c r="BR92" s="1695"/>
      <c r="BS92" s="1695"/>
      <c r="BU92" s="267"/>
      <c r="BV92" s="268">
        <f t="shared" si="58"/>
        <v>0</v>
      </c>
      <c r="BW92" s="268"/>
      <c r="BX92" s="268"/>
      <c r="BY92" s="268">
        <f>IF('Cashflow trend'!$L$13&lt;=$C92,-$AY92,0)</f>
        <v>0</v>
      </c>
      <c r="BZ92" s="269">
        <f t="shared" si="80"/>
        <v>0</v>
      </c>
      <c r="CA92" s="983">
        <f t="shared" si="71"/>
        <v>2.4844599999999998E-2</v>
      </c>
      <c r="CB92" s="272">
        <f t="shared" ref="CB92" si="84">CB91</f>
        <v>0.01</v>
      </c>
      <c r="CC92" s="1695"/>
      <c r="CD92" s="1478">
        <f t="shared" si="45"/>
        <v>0</v>
      </c>
      <c r="CE92" s="1695"/>
      <c r="CF92" s="1695"/>
    </row>
    <row r="93" spans="1:84" ht="15.75" customHeight="1">
      <c r="A93" s="270" t="s">
        <v>521</v>
      </c>
      <c r="B93" s="266">
        <v>2022</v>
      </c>
      <c r="C93" s="1504">
        <v>44621</v>
      </c>
      <c r="D93" s="1717"/>
      <c r="E93" s="265">
        <f t="shared" si="64"/>
        <v>824500000</v>
      </c>
      <c r="F93" s="267">
        <f t="shared" si="59"/>
        <v>84</v>
      </c>
      <c r="G93" s="268" t="e">
        <f t="shared" si="54"/>
        <v>#REF!</v>
      </c>
      <c r="H93" s="268" t="e">
        <f>-ROUNDDOWN(J92*#REF!,0)</f>
        <v>#REF!</v>
      </c>
      <c r="I93" s="268" t="e">
        <f>IF(ROUNDDOWN(J92,0)=0,0,-#REF!)</f>
        <v>#REF!</v>
      </c>
      <c r="J93" s="269" t="e">
        <f t="shared" si="55"/>
        <v>#REF!</v>
      </c>
      <c r="K93" s="1695"/>
      <c r="L93" s="1695"/>
      <c r="M93" s="1695"/>
      <c r="O93" s="267">
        <f t="shared" si="60"/>
        <v>84</v>
      </c>
      <c r="P93" s="268" t="e">
        <f t="shared" si="51"/>
        <v>#REF!</v>
      </c>
      <c r="Q93" s="268" t="e">
        <f>-S92*#REF!</f>
        <v>#REF!</v>
      </c>
      <c r="R93" s="268" t="e">
        <f>IF(ROUNDDOWN(S92,0)=0,0,-#REF!)</f>
        <v>#REF!</v>
      </c>
      <c r="S93" s="269" t="e">
        <f t="shared" si="56"/>
        <v>#REF!</v>
      </c>
      <c r="T93" s="1695"/>
      <c r="U93" s="1695"/>
      <c r="V93" s="1695"/>
      <c r="X93" s="267">
        <f t="shared" si="61"/>
        <v>84</v>
      </c>
      <c r="Y93" s="268" t="e">
        <f t="shared" si="52"/>
        <v>#REF!</v>
      </c>
      <c r="Z93" s="268" t="e">
        <f>-AB92*#REF!</f>
        <v>#REF!</v>
      </c>
      <c r="AA93" s="268" t="e">
        <f>IF(ROUNDDOWN(AB92,0)=0,0,-#REF!)</f>
        <v>#REF!</v>
      </c>
      <c r="AB93" s="269" t="e">
        <f t="shared" si="57"/>
        <v>#REF!</v>
      </c>
      <c r="AC93" s="1695"/>
      <c r="AD93" s="1695"/>
      <c r="AE93" s="1695"/>
      <c r="AG93" s="1710"/>
      <c r="AH93" s="1710"/>
      <c r="AI93" s="1710"/>
      <c r="AK93" s="267">
        <f t="shared" si="62"/>
        <v>84</v>
      </c>
      <c r="AL93" s="268" t="e">
        <f t="shared" si="53"/>
        <v>#REF!</v>
      </c>
      <c r="AM93" s="268" t="e">
        <f>-AO92*#REF!</f>
        <v>#REF!</v>
      </c>
      <c r="AN93" s="268" t="e">
        <f t="shared" si="70"/>
        <v>#REF!</v>
      </c>
      <c r="AO93" s="269" t="e">
        <f t="shared" si="47"/>
        <v>#REF!</v>
      </c>
      <c r="AP93" s="1695"/>
      <c r="AQ93" s="1695"/>
      <c r="AR93" s="1695"/>
      <c r="AS93" s="1711"/>
      <c r="AU93" s="267">
        <f t="shared" si="65"/>
        <v>78</v>
      </c>
      <c r="AV93" s="268">
        <f t="shared" si="77"/>
        <v>-49510822</v>
      </c>
      <c r="AW93" s="1490">
        <v>-1010822</v>
      </c>
      <c r="AX93" s="1490">
        <v>-48500000</v>
      </c>
      <c r="AY93" s="268">
        <f>-$BA$77*$D$78</f>
        <v>-48500000</v>
      </c>
      <c r="AZ93" s="268"/>
      <c r="BA93" s="269">
        <f t="shared" si="66"/>
        <v>824500000</v>
      </c>
      <c r="BB93" s="1793">
        <v>1.4581E-2</v>
      </c>
      <c r="BC93" s="272">
        <f t="shared" si="68"/>
        <v>0.01</v>
      </c>
      <c r="BD93" s="1695"/>
      <c r="BE93" s="354">
        <f t="shared" si="40"/>
        <v>-727500</v>
      </c>
      <c r="BF93" s="1695"/>
      <c r="BG93" s="1695"/>
      <c r="BH93" s="229">
        <f>'Cashflow trend'!H23</f>
        <v>139044.44913937888</v>
      </c>
      <c r="BI93" s="268">
        <f t="shared" si="41"/>
        <v>0</v>
      </c>
      <c r="BJ93" s="268">
        <f t="shared" si="42"/>
        <v>0</v>
      </c>
      <c r="BK93" s="268">
        <v>0</v>
      </c>
      <c r="BL93" s="268">
        <v>50000000</v>
      </c>
      <c r="BM93" s="269">
        <f t="shared" si="79"/>
        <v>100000000</v>
      </c>
      <c r="BN93" s="272">
        <f t="shared" si="50"/>
        <v>0</v>
      </c>
      <c r="BO93" s="272">
        <f t="shared" si="50"/>
        <v>0.01</v>
      </c>
      <c r="BP93" s="1695"/>
      <c r="BQ93" s="354">
        <f t="shared" si="63"/>
        <v>-41666.666666666664</v>
      </c>
      <c r="BR93" s="1695"/>
      <c r="BS93" s="1695"/>
      <c r="BU93" s="267"/>
      <c r="BV93" s="268">
        <f t="shared" si="58"/>
        <v>0</v>
      </c>
      <c r="BW93" s="268"/>
      <c r="BX93" s="268"/>
      <c r="BY93" s="268">
        <f>IF('Cashflow trend'!$L$13&lt;=$C93,-$AY93,0)</f>
        <v>0</v>
      </c>
      <c r="BZ93" s="269">
        <f t="shared" si="80"/>
        <v>0</v>
      </c>
      <c r="CA93" s="983">
        <f t="shared" si="71"/>
        <v>2.4844599999999998E-2</v>
      </c>
      <c r="CB93" s="272">
        <f t="shared" ref="CB93" si="85">CB92</f>
        <v>0.01</v>
      </c>
      <c r="CC93" s="1695"/>
      <c r="CD93" s="1478">
        <f t="shared" si="45"/>
        <v>0</v>
      </c>
      <c r="CE93" s="1695"/>
      <c r="CF93" s="1695"/>
    </row>
    <row r="94" spans="1:84" ht="15.75" customHeight="1">
      <c r="A94" s="273" t="s">
        <v>510</v>
      </c>
      <c r="B94" s="274">
        <v>2022</v>
      </c>
      <c r="C94" s="1503">
        <v>44652</v>
      </c>
      <c r="D94" s="1717"/>
      <c r="E94" s="275">
        <f t="shared" si="64"/>
        <v>824500000</v>
      </c>
      <c r="F94" s="276">
        <f t="shared" si="59"/>
        <v>85</v>
      </c>
      <c r="G94" s="277" t="e">
        <f t="shared" si="54"/>
        <v>#REF!</v>
      </c>
      <c r="H94" s="277" t="e">
        <f>-ROUNDDOWN(J93*#REF!,0)</f>
        <v>#REF!</v>
      </c>
      <c r="I94" s="277" t="e">
        <f>IF(ROUNDDOWN(J93,0)=0,0,-#REF!)</f>
        <v>#REF!</v>
      </c>
      <c r="J94" s="278" t="e">
        <f t="shared" si="55"/>
        <v>#REF!</v>
      </c>
      <c r="K94" s="1694" t="s">
        <v>7</v>
      </c>
      <c r="L94" s="1694" t="e">
        <f>SUM(H94:H105)</f>
        <v>#REF!</v>
      </c>
      <c r="M94" s="1694" t="e">
        <f>SUM(I94:I105)</f>
        <v>#REF!</v>
      </c>
      <c r="O94" s="276">
        <f t="shared" si="60"/>
        <v>85</v>
      </c>
      <c r="P94" s="277" t="e">
        <f t="shared" si="51"/>
        <v>#REF!</v>
      </c>
      <c r="Q94" s="277" t="e">
        <f>-S93*#REF!</f>
        <v>#REF!</v>
      </c>
      <c r="R94" s="277" t="e">
        <f>IF(ROUNDDOWN(S93,0)=0,0,-#REF!)</f>
        <v>#REF!</v>
      </c>
      <c r="S94" s="278" t="e">
        <f t="shared" si="56"/>
        <v>#REF!</v>
      </c>
      <c r="T94" s="1694" t="s">
        <v>7</v>
      </c>
      <c r="U94" s="1694" t="e">
        <f>SUM(Q94:Q105)</f>
        <v>#REF!</v>
      </c>
      <c r="V94" s="1694" t="e">
        <f>SUM(R94:R105)</f>
        <v>#REF!</v>
      </c>
      <c r="X94" s="276">
        <f t="shared" si="61"/>
        <v>85</v>
      </c>
      <c r="Y94" s="277" t="e">
        <f t="shared" si="52"/>
        <v>#REF!</v>
      </c>
      <c r="Z94" s="277" t="e">
        <f>-AB93*#REF!</f>
        <v>#REF!</v>
      </c>
      <c r="AA94" s="277" t="e">
        <f>IF(ROUNDDOWN(AB93,0)=0,0,-#REF!)</f>
        <v>#REF!</v>
      </c>
      <c r="AB94" s="278" t="e">
        <f t="shared" si="57"/>
        <v>#REF!</v>
      </c>
      <c r="AC94" s="1694" t="s">
        <v>7</v>
      </c>
      <c r="AD94" s="1694" t="e">
        <f>SUM(Z94:Z105)</f>
        <v>#REF!</v>
      </c>
      <c r="AE94" s="1694" t="e">
        <f>SUM(AA94:AA105)</f>
        <v>#REF!</v>
      </c>
      <c r="AG94" s="1709" t="s">
        <v>7</v>
      </c>
      <c r="AH94" s="1709" t="e">
        <f>L94+U94+AD94</f>
        <v>#REF!</v>
      </c>
      <c r="AI94" s="1709" t="e">
        <f>M94+V94+AE94</f>
        <v>#REF!</v>
      </c>
      <c r="AK94" s="276">
        <f t="shared" si="62"/>
        <v>85</v>
      </c>
      <c r="AL94" s="277" t="e">
        <f t="shared" si="53"/>
        <v>#REF!</v>
      </c>
      <c r="AM94" s="277" t="e">
        <f>-AO93*#REF!</f>
        <v>#REF!</v>
      </c>
      <c r="AN94" s="277" t="e">
        <f>$AR$94/12</f>
        <v>#REF!</v>
      </c>
      <c r="AO94" s="278" t="e">
        <f t="shared" si="47"/>
        <v>#REF!</v>
      </c>
      <c r="AP94" s="1694" t="s">
        <v>7</v>
      </c>
      <c r="AQ94" s="1694" t="e">
        <f>SUM(AM94:AM105)</f>
        <v>#REF!</v>
      </c>
      <c r="AR94" s="1694" t="e">
        <f>-AS94*#REF!</f>
        <v>#REF!</v>
      </c>
      <c r="AS94" s="1715">
        <v>0.25</v>
      </c>
      <c r="AU94" s="276">
        <f t="shared" si="65"/>
        <v>79</v>
      </c>
      <c r="AV94" s="277">
        <f t="shared" si="77"/>
        <v>-955175</v>
      </c>
      <c r="AW94" s="1491">
        <v>-955175</v>
      </c>
      <c r="AX94" s="1491">
        <v>0</v>
      </c>
      <c r="AY94" s="277">
        <f>IF('Cashflow trend'!$L$13&lt;=$C94,-$BA93,$AX94)</f>
        <v>0</v>
      </c>
      <c r="AZ94" s="277">
        <v>0</v>
      </c>
      <c r="BA94" s="278">
        <f t="shared" si="66"/>
        <v>824500000</v>
      </c>
      <c r="BB94" s="1794">
        <v>1.35619E-2</v>
      </c>
      <c r="BC94" s="279">
        <f t="shared" si="68"/>
        <v>0.01</v>
      </c>
      <c r="BD94" s="1694" t="s">
        <v>7</v>
      </c>
      <c r="BE94" s="355">
        <f t="shared" si="40"/>
        <v>-687083.33333333337</v>
      </c>
      <c r="BF94" s="1694">
        <f>SUM(AW94:AW105)</f>
        <v>-16053596.08333333</v>
      </c>
      <c r="BG94" s="1694">
        <f>SUM(AY94:AZ105)</f>
        <v>-194000000</v>
      </c>
      <c r="BI94" s="277">
        <f t="shared" si="41"/>
        <v>0</v>
      </c>
      <c r="BJ94" s="277">
        <f t="shared" si="42"/>
        <v>0</v>
      </c>
      <c r="BK94" s="277">
        <v>0</v>
      </c>
      <c r="BL94" s="277">
        <v>0</v>
      </c>
      <c r="BM94" s="278">
        <f t="shared" si="79"/>
        <v>100000000</v>
      </c>
      <c r="BN94" s="279">
        <f>BN93</f>
        <v>0</v>
      </c>
      <c r="BO94" s="279">
        <f>BO93</f>
        <v>0.01</v>
      </c>
      <c r="BP94" s="1694" t="s">
        <v>7</v>
      </c>
      <c r="BQ94" s="355">
        <f t="shared" si="63"/>
        <v>-83333.333333333328</v>
      </c>
      <c r="BR94" s="1694">
        <f>SUM(BJ94:BJ105)</f>
        <v>0</v>
      </c>
      <c r="BS94" s="1694">
        <f>SUM(BK94:BL105)</f>
        <v>200000000</v>
      </c>
      <c r="BU94" s="276">
        <f>IF($BU93=0,IF($BY93&lt;&gt;0,1,0),$BU93+1)</f>
        <v>0</v>
      </c>
      <c r="BV94" s="277">
        <f t="shared" si="58"/>
        <v>0</v>
      </c>
      <c r="BW94" s="277">
        <f t="shared" ref="BW94:BW105" si="86">-BZ93*CA93/12</f>
        <v>0</v>
      </c>
      <c r="BX94" s="277">
        <f t="shared" ref="BX94:BX107" si="87">IF($BU94&lt;&gt;0,-$BY$202/60,0)</f>
        <v>0</v>
      </c>
      <c r="BY94" s="277">
        <f>IF('Cashflow trend'!$L$13&lt;=$C94,-$AY94,0)</f>
        <v>0</v>
      </c>
      <c r="BZ94" s="278">
        <f t="shared" si="80"/>
        <v>0</v>
      </c>
      <c r="CA94" s="279">
        <f t="shared" si="71"/>
        <v>2.4844599999999998E-2</v>
      </c>
      <c r="CB94" s="279">
        <f t="shared" ref="CB94" si="88">CB93</f>
        <v>0.01</v>
      </c>
      <c r="CC94" s="1694" t="s">
        <v>7</v>
      </c>
      <c r="CD94" s="1476">
        <f t="shared" si="45"/>
        <v>0</v>
      </c>
      <c r="CE94" s="1694">
        <f>SUM(BW94:BW105)</f>
        <v>0</v>
      </c>
      <c r="CF94" s="1694">
        <f>SUM(BX94:BY105)</f>
        <v>0</v>
      </c>
    </row>
    <row r="95" spans="1:84" ht="15.75" customHeight="1">
      <c r="A95" s="273" t="s">
        <v>511</v>
      </c>
      <c r="B95" s="274">
        <v>2022</v>
      </c>
      <c r="C95" s="1503">
        <v>44682</v>
      </c>
      <c r="D95" s="1717"/>
      <c r="E95" s="275">
        <f t="shared" si="64"/>
        <v>824500000</v>
      </c>
      <c r="F95" s="276">
        <f t="shared" si="59"/>
        <v>86</v>
      </c>
      <c r="G95" s="277" t="e">
        <f t="shared" si="54"/>
        <v>#REF!</v>
      </c>
      <c r="H95" s="277" t="e">
        <f>-ROUNDDOWN(J94*#REF!,0)</f>
        <v>#REF!</v>
      </c>
      <c r="I95" s="277" t="e">
        <f>IF(ROUNDDOWN(J94,0)=0,0,-#REF!)</f>
        <v>#REF!</v>
      </c>
      <c r="J95" s="278" t="e">
        <f t="shared" si="55"/>
        <v>#REF!</v>
      </c>
      <c r="K95" s="1694"/>
      <c r="L95" s="1694"/>
      <c r="M95" s="1694"/>
      <c r="O95" s="276">
        <f t="shared" si="60"/>
        <v>86</v>
      </c>
      <c r="P95" s="277" t="e">
        <f t="shared" si="51"/>
        <v>#REF!</v>
      </c>
      <c r="Q95" s="277" t="e">
        <f>-S94*#REF!</f>
        <v>#REF!</v>
      </c>
      <c r="R95" s="277" t="e">
        <f>IF(ROUNDDOWN(S94,0)=0,0,-#REF!)</f>
        <v>#REF!</v>
      </c>
      <c r="S95" s="278" t="e">
        <f t="shared" si="56"/>
        <v>#REF!</v>
      </c>
      <c r="T95" s="1694"/>
      <c r="U95" s="1694"/>
      <c r="V95" s="1694"/>
      <c r="X95" s="276">
        <f t="shared" si="61"/>
        <v>86</v>
      </c>
      <c r="Y95" s="277" t="e">
        <f t="shared" si="52"/>
        <v>#REF!</v>
      </c>
      <c r="Z95" s="277" t="e">
        <f>-AB94*#REF!</f>
        <v>#REF!</v>
      </c>
      <c r="AA95" s="277" t="e">
        <f>IF(ROUNDDOWN(AB94,0)=0,0,-#REF!)</f>
        <v>#REF!</v>
      </c>
      <c r="AB95" s="278" t="e">
        <f t="shared" si="57"/>
        <v>#REF!</v>
      </c>
      <c r="AC95" s="1694"/>
      <c r="AD95" s="1694"/>
      <c r="AE95" s="1694"/>
      <c r="AG95" s="1709"/>
      <c r="AH95" s="1709"/>
      <c r="AI95" s="1709"/>
      <c r="AK95" s="276">
        <f t="shared" si="62"/>
        <v>86</v>
      </c>
      <c r="AL95" s="277" t="e">
        <f t="shared" si="53"/>
        <v>#REF!</v>
      </c>
      <c r="AM95" s="277" t="e">
        <f>-AO94*#REF!</f>
        <v>#REF!</v>
      </c>
      <c r="AN95" s="277" t="e">
        <f t="shared" ref="AN95:AN105" si="89">$AR$94/12</f>
        <v>#REF!</v>
      </c>
      <c r="AO95" s="278" t="e">
        <f t="shared" si="47"/>
        <v>#REF!</v>
      </c>
      <c r="AP95" s="1694"/>
      <c r="AQ95" s="1694"/>
      <c r="AR95" s="1694"/>
      <c r="AS95" s="1715"/>
      <c r="AU95" s="276">
        <f t="shared" si="65"/>
        <v>80</v>
      </c>
      <c r="AV95" s="277">
        <f t="shared" si="77"/>
        <v>-949686</v>
      </c>
      <c r="AW95" s="1491">
        <v>-949686</v>
      </c>
      <c r="AX95" s="1491">
        <v>0</v>
      </c>
      <c r="AY95" s="277">
        <f>IF('Cashflow trend'!$L$13&lt;=$C95,-$BA94,$AX95)</f>
        <v>0</v>
      </c>
      <c r="AZ95" s="277"/>
      <c r="BA95" s="278">
        <f t="shared" si="66"/>
        <v>824500000</v>
      </c>
      <c r="BB95" s="1794">
        <v>1.3441699999999999E-2</v>
      </c>
      <c r="BC95" s="279">
        <f t="shared" si="68"/>
        <v>0.01</v>
      </c>
      <c r="BD95" s="1694"/>
      <c r="BE95" s="355">
        <f t="shared" si="40"/>
        <v>-687083.33333333337</v>
      </c>
      <c r="BF95" s="1694"/>
      <c r="BG95" s="1694"/>
      <c r="BI95" s="277">
        <f t="shared" si="41"/>
        <v>0</v>
      </c>
      <c r="BJ95" s="277">
        <f t="shared" si="42"/>
        <v>0</v>
      </c>
      <c r="BK95" s="277">
        <v>0</v>
      </c>
      <c r="BL95" s="277"/>
      <c r="BM95" s="278">
        <f t="shared" si="79"/>
        <v>100000000</v>
      </c>
      <c r="BN95" s="279">
        <f t="shared" ref="BN95:BO145" si="90">BN94</f>
        <v>0</v>
      </c>
      <c r="BO95" s="279">
        <f t="shared" si="90"/>
        <v>0.01</v>
      </c>
      <c r="BP95" s="1694"/>
      <c r="BQ95" s="355">
        <f t="shared" si="63"/>
        <v>-83333.333333333328</v>
      </c>
      <c r="BR95" s="1694"/>
      <c r="BS95" s="1694"/>
      <c r="BU95" s="276">
        <f t="shared" ref="BU95:BU107" si="91">IF($BU94=0,IF($BY94&lt;&gt;0,1,0),$BU94+1)</f>
        <v>0</v>
      </c>
      <c r="BV95" s="277">
        <f t="shared" si="58"/>
        <v>0</v>
      </c>
      <c r="BW95" s="277">
        <f t="shared" si="86"/>
        <v>0</v>
      </c>
      <c r="BX95" s="277">
        <f t="shared" si="87"/>
        <v>0</v>
      </c>
      <c r="BY95" s="277">
        <f>IF('Cashflow trend'!$L$13&lt;=$C95,-$AY95,0)</f>
        <v>0</v>
      </c>
      <c r="BZ95" s="278">
        <f t="shared" si="80"/>
        <v>0</v>
      </c>
      <c r="CA95" s="279">
        <f t="shared" si="71"/>
        <v>2.4844599999999998E-2</v>
      </c>
      <c r="CB95" s="279">
        <f t="shared" ref="CB95" si="92">CB94</f>
        <v>0.01</v>
      </c>
      <c r="CC95" s="1694"/>
      <c r="CD95" s="1476">
        <f t="shared" si="45"/>
        <v>0</v>
      </c>
      <c r="CE95" s="1694"/>
      <c r="CF95" s="1694"/>
    </row>
    <row r="96" spans="1:84" ht="15.75" customHeight="1">
      <c r="A96" s="273" t="s">
        <v>512</v>
      </c>
      <c r="B96" s="274">
        <v>2022</v>
      </c>
      <c r="C96" s="1503">
        <v>44713</v>
      </c>
      <c r="D96" s="1717"/>
      <c r="E96" s="275">
        <f t="shared" si="64"/>
        <v>776000000</v>
      </c>
      <c r="F96" s="276">
        <f t="shared" si="59"/>
        <v>87</v>
      </c>
      <c r="G96" s="277" t="e">
        <f t="shared" si="54"/>
        <v>#REF!</v>
      </c>
      <c r="H96" s="277" t="e">
        <f>-ROUNDDOWN(J95*#REF!,0)</f>
        <v>#REF!</v>
      </c>
      <c r="I96" s="277" t="e">
        <f>IF(ROUNDDOWN(J95,0)=0,0,-#REF!)</f>
        <v>#REF!</v>
      </c>
      <c r="J96" s="278" t="e">
        <f t="shared" si="55"/>
        <v>#REF!</v>
      </c>
      <c r="K96" s="1694"/>
      <c r="L96" s="1694"/>
      <c r="M96" s="1694"/>
      <c r="O96" s="276">
        <f t="shared" si="60"/>
        <v>87</v>
      </c>
      <c r="P96" s="277" t="e">
        <f t="shared" si="51"/>
        <v>#REF!</v>
      </c>
      <c r="Q96" s="277" t="e">
        <f>-S95*#REF!</f>
        <v>#REF!</v>
      </c>
      <c r="R96" s="277" t="e">
        <f>IF(ROUNDDOWN(S95,0)=0,0,-#REF!)</f>
        <v>#REF!</v>
      </c>
      <c r="S96" s="278" t="e">
        <f t="shared" si="56"/>
        <v>#REF!</v>
      </c>
      <c r="T96" s="1694"/>
      <c r="U96" s="1694"/>
      <c r="V96" s="1694"/>
      <c r="X96" s="276">
        <f t="shared" si="61"/>
        <v>87</v>
      </c>
      <c r="Y96" s="277" t="e">
        <f t="shared" si="52"/>
        <v>#REF!</v>
      </c>
      <c r="Z96" s="277" t="e">
        <f>-AB95*#REF!</f>
        <v>#REF!</v>
      </c>
      <c r="AA96" s="277" t="e">
        <f>IF(ROUNDDOWN(AB95,0)=0,0,-#REF!)</f>
        <v>#REF!</v>
      </c>
      <c r="AB96" s="278" t="e">
        <f t="shared" si="57"/>
        <v>#REF!</v>
      </c>
      <c r="AC96" s="1694"/>
      <c r="AD96" s="1694"/>
      <c r="AE96" s="1694"/>
      <c r="AG96" s="1709"/>
      <c r="AH96" s="1709"/>
      <c r="AI96" s="1709"/>
      <c r="AK96" s="276">
        <f t="shared" si="62"/>
        <v>87</v>
      </c>
      <c r="AL96" s="277" t="e">
        <f t="shared" si="53"/>
        <v>#REF!</v>
      </c>
      <c r="AM96" s="277" t="e">
        <f>-AO95*#REF!</f>
        <v>#REF!</v>
      </c>
      <c r="AN96" s="277" t="e">
        <f t="shared" si="89"/>
        <v>#REF!</v>
      </c>
      <c r="AO96" s="278" t="e">
        <f t="shared" si="47"/>
        <v>#REF!</v>
      </c>
      <c r="AP96" s="1694"/>
      <c r="AQ96" s="1694"/>
      <c r="AR96" s="1694"/>
      <c r="AS96" s="1715"/>
      <c r="AU96" s="276">
        <f t="shared" si="65"/>
        <v>81</v>
      </c>
      <c r="AV96" s="277">
        <f t="shared" si="77"/>
        <v>-49441269</v>
      </c>
      <c r="AW96" s="1491">
        <v>-941269</v>
      </c>
      <c r="AX96" s="1491">
        <v>-48500000</v>
      </c>
      <c r="AY96" s="277">
        <f>IF('Cashflow trend'!$L$13&lt;=$C96,-$BA95,$AX96)</f>
        <v>-48500000</v>
      </c>
      <c r="AZ96" s="277"/>
      <c r="BA96" s="278">
        <f t="shared" si="66"/>
        <v>776000000</v>
      </c>
      <c r="BB96" s="1794">
        <v>2.0210100000000002E-2</v>
      </c>
      <c r="BC96" s="279">
        <f t="shared" si="68"/>
        <v>0.01</v>
      </c>
      <c r="BD96" s="1694"/>
      <c r="BE96" s="355">
        <f t="shared" si="40"/>
        <v>-687083.33333333337</v>
      </c>
      <c r="BF96" s="1694"/>
      <c r="BG96" s="1694"/>
      <c r="BI96" s="277">
        <f t="shared" si="41"/>
        <v>0</v>
      </c>
      <c r="BJ96" s="277">
        <f t="shared" si="42"/>
        <v>0</v>
      </c>
      <c r="BK96" s="277">
        <v>0</v>
      </c>
      <c r="BL96" s="277">
        <v>50000000</v>
      </c>
      <c r="BM96" s="278">
        <f t="shared" si="79"/>
        <v>150000000</v>
      </c>
      <c r="BN96" s="279">
        <f t="shared" si="90"/>
        <v>0</v>
      </c>
      <c r="BO96" s="279">
        <f t="shared" si="90"/>
        <v>0.01</v>
      </c>
      <c r="BP96" s="1694"/>
      <c r="BQ96" s="355">
        <f t="shared" si="63"/>
        <v>-83333.333333333328</v>
      </c>
      <c r="BR96" s="1694"/>
      <c r="BS96" s="1694"/>
      <c r="BU96" s="276">
        <f t="shared" si="91"/>
        <v>0</v>
      </c>
      <c r="BV96" s="277">
        <f t="shared" si="58"/>
        <v>0</v>
      </c>
      <c r="BW96" s="277">
        <f t="shared" si="86"/>
        <v>0</v>
      </c>
      <c r="BX96" s="277">
        <f t="shared" si="87"/>
        <v>0</v>
      </c>
      <c r="BY96" s="277">
        <f>IF('Cashflow trend'!$L$13&lt;=$C96,-$AY96,0)</f>
        <v>0</v>
      </c>
      <c r="BZ96" s="278">
        <f t="shared" si="80"/>
        <v>0</v>
      </c>
      <c r="CA96" s="279">
        <f t="shared" si="71"/>
        <v>2.4844599999999998E-2</v>
      </c>
      <c r="CB96" s="279">
        <f t="shared" ref="CB96" si="93">CB95</f>
        <v>0.01</v>
      </c>
      <c r="CC96" s="1694"/>
      <c r="CD96" s="1476">
        <f t="shared" si="45"/>
        <v>0</v>
      </c>
      <c r="CE96" s="1694"/>
      <c r="CF96" s="1694"/>
    </row>
    <row r="97" spans="1:84" ht="15.75" customHeight="1">
      <c r="A97" s="273" t="s">
        <v>513</v>
      </c>
      <c r="B97" s="274">
        <v>2022</v>
      </c>
      <c r="C97" s="1503">
        <v>44743</v>
      </c>
      <c r="D97" s="1717"/>
      <c r="E97" s="275">
        <f t="shared" si="64"/>
        <v>776000000</v>
      </c>
      <c r="F97" s="276">
        <f t="shared" si="59"/>
        <v>88</v>
      </c>
      <c r="G97" s="277" t="e">
        <f t="shared" si="54"/>
        <v>#REF!</v>
      </c>
      <c r="H97" s="277" t="e">
        <f>-ROUNDDOWN(J96*#REF!,0)</f>
        <v>#REF!</v>
      </c>
      <c r="I97" s="277" t="e">
        <f>IF(ROUNDDOWN(J96,0)=0,0,-#REF!)</f>
        <v>#REF!</v>
      </c>
      <c r="J97" s="278" t="e">
        <f t="shared" si="55"/>
        <v>#REF!</v>
      </c>
      <c r="K97" s="1694"/>
      <c r="L97" s="1694"/>
      <c r="M97" s="1694"/>
      <c r="O97" s="276">
        <f t="shared" si="60"/>
        <v>88</v>
      </c>
      <c r="P97" s="277" t="e">
        <f t="shared" si="51"/>
        <v>#REF!</v>
      </c>
      <c r="Q97" s="277" t="e">
        <f>-S96*#REF!</f>
        <v>#REF!</v>
      </c>
      <c r="R97" s="277" t="e">
        <f>IF(ROUNDDOWN(S96,0)=0,0,-#REF!)</f>
        <v>#REF!</v>
      </c>
      <c r="S97" s="278" t="e">
        <f t="shared" si="56"/>
        <v>#REF!</v>
      </c>
      <c r="T97" s="1694"/>
      <c r="U97" s="1694"/>
      <c r="V97" s="1694"/>
      <c r="X97" s="276">
        <f t="shared" si="61"/>
        <v>88</v>
      </c>
      <c r="Y97" s="277" t="e">
        <f t="shared" si="52"/>
        <v>#REF!</v>
      </c>
      <c r="Z97" s="277" t="e">
        <f>-AB96*#REF!</f>
        <v>#REF!</v>
      </c>
      <c r="AA97" s="277" t="e">
        <f>IF(ROUNDDOWN(AB96,0)=0,0,-#REF!)</f>
        <v>#REF!</v>
      </c>
      <c r="AB97" s="278" t="e">
        <f t="shared" si="57"/>
        <v>#REF!</v>
      </c>
      <c r="AC97" s="1694"/>
      <c r="AD97" s="1694"/>
      <c r="AE97" s="1694"/>
      <c r="AG97" s="1709"/>
      <c r="AH97" s="1709"/>
      <c r="AI97" s="1709"/>
      <c r="AK97" s="276">
        <f t="shared" si="62"/>
        <v>88</v>
      </c>
      <c r="AL97" s="277" t="e">
        <f t="shared" si="53"/>
        <v>#REF!</v>
      </c>
      <c r="AM97" s="277" t="e">
        <f>-AO96*#REF!</f>
        <v>#REF!</v>
      </c>
      <c r="AN97" s="277" t="e">
        <f t="shared" si="89"/>
        <v>#REF!</v>
      </c>
      <c r="AO97" s="278" t="e">
        <f t="shared" si="47"/>
        <v>#REF!</v>
      </c>
      <c r="AP97" s="1694"/>
      <c r="AQ97" s="1694"/>
      <c r="AR97" s="1694"/>
      <c r="AS97" s="1715"/>
      <c r="AU97" s="276">
        <f t="shared" si="65"/>
        <v>82</v>
      </c>
      <c r="AV97" s="277">
        <f t="shared" si="77"/>
        <v>-1246050</v>
      </c>
      <c r="AW97" s="1491">
        <v>-1246050</v>
      </c>
      <c r="AX97" s="1491">
        <v>0</v>
      </c>
      <c r="AY97" s="277">
        <f>IF('Cashflow trend'!$L$13&lt;=$C97,-$BA96,$AX97)</f>
        <v>0</v>
      </c>
      <c r="AZ97" s="277"/>
      <c r="BA97" s="278">
        <f t="shared" si="66"/>
        <v>776000000</v>
      </c>
      <c r="BB97" s="1795">
        <v>2.4806000000000002E-2</v>
      </c>
      <c r="BC97" s="279">
        <f t="shared" si="68"/>
        <v>0.01</v>
      </c>
      <c r="BD97" s="1694"/>
      <c r="BE97" s="355">
        <f t="shared" si="40"/>
        <v>-646666.66666666663</v>
      </c>
      <c r="BF97" s="1694"/>
      <c r="BG97" s="1694"/>
      <c r="BI97" s="277">
        <f t="shared" si="41"/>
        <v>0</v>
      </c>
      <c r="BJ97" s="277">
        <f t="shared" si="42"/>
        <v>0</v>
      </c>
      <c r="BK97" s="277">
        <v>0</v>
      </c>
      <c r="BL97" s="277"/>
      <c r="BM97" s="278">
        <f t="shared" si="79"/>
        <v>150000000</v>
      </c>
      <c r="BN97" s="279">
        <f t="shared" si="90"/>
        <v>0</v>
      </c>
      <c r="BO97" s="279">
        <f t="shared" si="90"/>
        <v>0.01</v>
      </c>
      <c r="BP97" s="1694"/>
      <c r="BQ97" s="355">
        <f t="shared" si="63"/>
        <v>-125000</v>
      </c>
      <c r="BR97" s="1694"/>
      <c r="BS97" s="1694"/>
      <c r="BU97" s="276">
        <f t="shared" si="91"/>
        <v>0</v>
      </c>
      <c r="BV97" s="277">
        <f t="shared" si="58"/>
        <v>0</v>
      </c>
      <c r="BW97" s="277">
        <f t="shared" si="86"/>
        <v>0</v>
      </c>
      <c r="BX97" s="277">
        <f t="shared" si="87"/>
        <v>0</v>
      </c>
      <c r="BY97" s="277">
        <f>IF('Cashflow trend'!$L$13&lt;=$C97,-$AY97,0)</f>
        <v>0</v>
      </c>
      <c r="BZ97" s="278">
        <f t="shared" si="80"/>
        <v>0</v>
      </c>
      <c r="CA97" s="279">
        <f t="shared" si="71"/>
        <v>2.4844599999999998E-2</v>
      </c>
      <c r="CB97" s="279">
        <f t="shared" ref="CB97" si="94">CB96</f>
        <v>0.01</v>
      </c>
      <c r="CC97" s="1694"/>
      <c r="CD97" s="1476">
        <f t="shared" si="45"/>
        <v>0</v>
      </c>
      <c r="CE97" s="1694"/>
      <c r="CF97" s="1694"/>
    </row>
    <row r="98" spans="1:84" ht="15.75" customHeight="1">
      <c r="A98" s="273" t="s">
        <v>514</v>
      </c>
      <c r="B98" s="274">
        <v>2022</v>
      </c>
      <c r="C98" s="1503">
        <v>44774</v>
      </c>
      <c r="D98" s="1717"/>
      <c r="E98" s="275">
        <f t="shared" si="64"/>
        <v>776000000</v>
      </c>
      <c r="F98" s="276">
        <f t="shared" si="59"/>
        <v>89</v>
      </c>
      <c r="G98" s="277" t="e">
        <f t="shared" si="54"/>
        <v>#REF!</v>
      </c>
      <c r="H98" s="277" t="e">
        <f>-ROUNDDOWN(J97*#REF!,0)</f>
        <v>#REF!</v>
      </c>
      <c r="I98" s="277" t="e">
        <f>IF(ROUNDDOWN(J97,0)=0,0,-#REF!)</f>
        <v>#REF!</v>
      </c>
      <c r="J98" s="278" t="e">
        <f t="shared" si="55"/>
        <v>#REF!</v>
      </c>
      <c r="K98" s="1694"/>
      <c r="L98" s="1694"/>
      <c r="M98" s="1694"/>
      <c r="O98" s="276">
        <f t="shared" si="60"/>
        <v>89</v>
      </c>
      <c r="P98" s="277" t="e">
        <f t="shared" si="51"/>
        <v>#REF!</v>
      </c>
      <c r="Q98" s="277" t="e">
        <f>-S97*#REF!</f>
        <v>#REF!</v>
      </c>
      <c r="R98" s="277" t="e">
        <f>IF(ROUNDDOWN(S97,0)=0,0,-#REF!)</f>
        <v>#REF!</v>
      </c>
      <c r="S98" s="278" t="e">
        <f t="shared" si="56"/>
        <v>#REF!</v>
      </c>
      <c r="T98" s="1694"/>
      <c r="U98" s="1694"/>
      <c r="V98" s="1694"/>
      <c r="X98" s="276">
        <f t="shared" si="61"/>
        <v>89</v>
      </c>
      <c r="Y98" s="277" t="e">
        <f t="shared" si="52"/>
        <v>#REF!</v>
      </c>
      <c r="Z98" s="277" t="e">
        <f>-AB97*#REF!</f>
        <v>#REF!</v>
      </c>
      <c r="AA98" s="277" t="e">
        <f>IF(ROUNDDOWN(AB97,0)=0,0,-#REF!)</f>
        <v>#REF!</v>
      </c>
      <c r="AB98" s="278" t="e">
        <f t="shared" si="57"/>
        <v>#REF!</v>
      </c>
      <c r="AC98" s="1694"/>
      <c r="AD98" s="1694"/>
      <c r="AE98" s="1694"/>
      <c r="AG98" s="1709"/>
      <c r="AH98" s="1709"/>
      <c r="AI98" s="1709"/>
      <c r="AK98" s="276">
        <f t="shared" si="62"/>
        <v>89</v>
      </c>
      <c r="AL98" s="277" t="e">
        <f t="shared" si="53"/>
        <v>#REF!</v>
      </c>
      <c r="AM98" s="277" t="e">
        <f>-AO97*#REF!</f>
        <v>#REF!</v>
      </c>
      <c r="AN98" s="277" t="e">
        <f t="shared" si="89"/>
        <v>#REF!</v>
      </c>
      <c r="AO98" s="278" t="e">
        <f t="shared" si="47"/>
        <v>#REF!</v>
      </c>
      <c r="AP98" s="1694"/>
      <c r="AQ98" s="1694"/>
      <c r="AR98" s="1694"/>
      <c r="AS98" s="1715"/>
      <c r="AU98" s="276">
        <f t="shared" si="65"/>
        <v>83</v>
      </c>
      <c r="AV98" s="277">
        <f t="shared" si="77"/>
        <v>-1634885</v>
      </c>
      <c r="AW98" s="1796">
        <v>-1634885</v>
      </c>
      <c r="AX98" s="1491">
        <v>0</v>
      </c>
      <c r="AY98" s="277">
        <f>IF('Cashflow trend'!$L$13&lt;=$C98,-$BA97,$AX98)</f>
        <v>0</v>
      </c>
      <c r="AZ98" s="277"/>
      <c r="BA98" s="278">
        <f t="shared" si="66"/>
        <v>776000000</v>
      </c>
      <c r="BB98" s="279">
        <f t="shared" si="68"/>
        <v>2.4806000000000002E-2</v>
      </c>
      <c r="BC98" s="279">
        <f t="shared" si="68"/>
        <v>0.01</v>
      </c>
      <c r="BD98" s="1694"/>
      <c r="BE98" s="355">
        <f t="shared" si="40"/>
        <v>-646666.66666666663</v>
      </c>
      <c r="BF98" s="1694"/>
      <c r="BG98" s="1694"/>
      <c r="BI98" s="277">
        <f t="shared" si="41"/>
        <v>0</v>
      </c>
      <c r="BJ98" s="277">
        <f t="shared" si="42"/>
        <v>0</v>
      </c>
      <c r="BK98" s="277">
        <v>0</v>
      </c>
      <c r="BL98" s="277"/>
      <c r="BM98" s="278">
        <f t="shared" si="79"/>
        <v>150000000</v>
      </c>
      <c r="BN98" s="279">
        <f t="shared" si="90"/>
        <v>0</v>
      </c>
      <c r="BO98" s="279">
        <f t="shared" si="90"/>
        <v>0.01</v>
      </c>
      <c r="BP98" s="1694"/>
      <c r="BQ98" s="355">
        <f t="shared" si="63"/>
        <v>-125000</v>
      </c>
      <c r="BR98" s="1694"/>
      <c r="BS98" s="1694"/>
      <c r="BU98" s="276">
        <f t="shared" si="91"/>
        <v>0</v>
      </c>
      <c r="BV98" s="277">
        <f t="shared" si="58"/>
        <v>0</v>
      </c>
      <c r="BW98" s="277">
        <f t="shared" si="86"/>
        <v>0</v>
      </c>
      <c r="BX98" s="277">
        <f t="shared" si="87"/>
        <v>0</v>
      </c>
      <c r="BY98" s="277">
        <f>IF('Cashflow trend'!$L$13&lt;=$C98,-$AY98,0)</f>
        <v>0</v>
      </c>
      <c r="BZ98" s="278">
        <f t="shared" si="80"/>
        <v>0</v>
      </c>
      <c r="CA98" s="279">
        <f t="shared" si="71"/>
        <v>2.4844599999999998E-2</v>
      </c>
      <c r="CB98" s="279">
        <f t="shared" ref="CB98" si="95">CB97</f>
        <v>0.01</v>
      </c>
      <c r="CC98" s="1694"/>
      <c r="CD98" s="1476">
        <f t="shared" si="45"/>
        <v>0</v>
      </c>
      <c r="CE98" s="1694"/>
      <c r="CF98" s="1694"/>
    </row>
    <row r="99" spans="1:84" ht="15.75" customHeight="1">
      <c r="A99" s="273" t="s">
        <v>515</v>
      </c>
      <c r="B99" s="274">
        <v>2022</v>
      </c>
      <c r="C99" s="1503">
        <v>44805</v>
      </c>
      <c r="D99" s="1717"/>
      <c r="E99" s="275">
        <f t="shared" si="64"/>
        <v>727500000</v>
      </c>
      <c r="F99" s="276">
        <f t="shared" si="59"/>
        <v>90</v>
      </c>
      <c r="G99" s="277" t="e">
        <f t="shared" si="54"/>
        <v>#REF!</v>
      </c>
      <c r="H99" s="277" t="e">
        <f>-ROUNDDOWN(J98*#REF!,0)</f>
        <v>#REF!</v>
      </c>
      <c r="I99" s="277" t="e">
        <f>IF(ROUNDDOWN(J98,0)=0,0,-#REF!)</f>
        <v>#REF!</v>
      </c>
      <c r="J99" s="278" t="e">
        <f t="shared" si="55"/>
        <v>#REF!</v>
      </c>
      <c r="K99" s="1694"/>
      <c r="L99" s="1694"/>
      <c r="M99" s="1694"/>
      <c r="O99" s="276">
        <f t="shared" si="60"/>
        <v>90</v>
      </c>
      <c r="P99" s="277" t="e">
        <f t="shared" si="51"/>
        <v>#REF!</v>
      </c>
      <c r="Q99" s="277" t="e">
        <f>-S98*#REF!</f>
        <v>#REF!</v>
      </c>
      <c r="R99" s="277" t="e">
        <f>IF(ROUNDDOWN(S98,0)=0,0,-#REF!)</f>
        <v>#REF!</v>
      </c>
      <c r="S99" s="278" t="e">
        <f t="shared" si="56"/>
        <v>#REF!</v>
      </c>
      <c r="T99" s="1694"/>
      <c r="U99" s="1694"/>
      <c r="V99" s="1694"/>
      <c r="X99" s="276">
        <f t="shared" si="61"/>
        <v>90</v>
      </c>
      <c r="Y99" s="277" t="e">
        <f t="shared" si="52"/>
        <v>#REF!</v>
      </c>
      <c r="Z99" s="277" t="e">
        <f>-AB98*#REF!</f>
        <v>#REF!</v>
      </c>
      <c r="AA99" s="277" t="e">
        <f>IF(ROUNDDOWN(AB98,0)=0,0,-#REF!)</f>
        <v>#REF!</v>
      </c>
      <c r="AB99" s="278" t="e">
        <f t="shared" si="57"/>
        <v>#REF!</v>
      </c>
      <c r="AC99" s="1694"/>
      <c r="AD99" s="1694"/>
      <c r="AE99" s="1694"/>
      <c r="AG99" s="1709"/>
      <c r="AH99" s="1709"/>
      <c r="AI99" s="1709"/>
      <c r="AK99" s="276">
        <f t="shared" si="62"/>
        <v>90</v>
      </c>
      <c r="AL99" s="277" t="e">
        <f t="shared" si="53"/>
        <v>#REF!</v>
      </c>
      <c r="AM99" s="277" t="e">
        <f>-AO98*#REF!</f>
        <v>#REF!</v>
      </c>
      <c r="AN99" s="277" t="e">
        <f t="shared" si="89"/>
        <v>#REF!</v>
      </c>
      <c r="AO99" s="278" t="e">
        <f t="shared" si="47"/>
        <v>#REF!</v>
      </c>
      <c r="AP99" s="1694"/>
      <c r="AQ99" s="1694"/>
      <c r="AR99" s="1694"/>
      <c r="AS99" s="1715"/>
      <c r="AU99" s="276">
        <f t="shared" si="65"/>
        <v>84</v>
      </c>
      <c r="AV99" s="277">
        <f t="shared" si="77"/>
        <v>-50104121.333333336</v>
      </c>
      <c r="AW99" s="277">
        <f t="shared" ref="AW85:AW146" si="96">-BA98*BB98/12</f>
        <v>-1604121.3333333333</v>
      </c>
      <c r="AX99" s="1491">
        <v>-48500000</v>
      </c>
      <c r="AY99" s="277">
        <f>IF('Cashflow trend'!$L$13&lt;=$C99,-$BA98,$AX99)</f>
        <v>-48500000</v>
      </c>
      <c r="AZ99" s="277"/>
      <c r="BA99" s="278">
        <f t="shared" si="66"/>
        <v>727500000</v>
      </c>
      <c r="BB99" s="279">
        <f t="shared" si="68"/>
        <v>2.4806000000000002E-2</v>
      </c>
      <c r="BC99" s="279">
        <f t="shared" si="68"/>
        <v>0.01</v>
      </c>
      <c r="BD99" s="1694"/>
      <c r="BE99" s="355">
        <f t="shared" si="40"/>
        <v>-646666.66666666663</v>
      </c>
      <c r="BF99" s="1694"/>
      <c r="BG99" s="1694"/>
      <c r="BI99" s="277">
        <f t="shared" si="41"/>
        <v>0</v>
      </c>
      <c r="BJ99" s="277">
        <f t="shared" si="42"/>
        <v>0</v>
      </c>
      <c r="BK99" s="277">
        <v>0</v>
      </c>
      <c r="BL99" s="277">
        <v>50000000</v>
      </c>
      <c r="BM99" s="278">
        <f t="shared" si="79"/>
        <v>200000000</v>
      </c>
      <c r="BN99" s="279">
        <f t="shared" si="90"/>
        <v>0</v>
      </c>
      <c r="BO99" s="279">
        <f t="shared" si="90"/>
        <v>0.01</v>
      </c>
      <c r="BP99" s="1694"/>
      <c r="BQ99" s="355">
        <f t="shared" si="63"/>
        <v>-125000</v>
      </c>
      <c r="BR99" s="1694"/>
      <c r="BS99" s="1694"/>
      <c r="BU99" s="276">
        <f t="shared" si="91"/>
        <v>0</v>
      </c>
      <c r="BV99" s="277">
        <f t="shared" si="58"/>
        <v>0</v>
      </c>
      <c r="BW99" s="277">
        <f t="shared" si="86"/>
        <v>0</v>
      </c>
      <c r="BX99" s="277">
        <f t="shared" si="87"/>
        <v>0</v>
      </c>
      <c r="BY99" s="277">
        <f>IF('Cashflow trend'!$L$13&lt;=$C99,-$AY99,0)</f>
        <v>0</v>
      </c>
      <c r="BZ99" s="278">
        <f t="shared" si="80"/>
        <v>0</v>
      </c>
      <c r="CA99" s="279">
        <f t="shared" si="71"/>
        <v>2.4844599999999998E-2</v>
      </c>
      <c r="CB99" s="279">
        <f t="shared" ref="CB99" si="97">CB98</f>
        <v>0.01</v>
      </c>
      <c r="CC99" s="1694"/>
      <c r="CD99" s="1476">
        <f t="shared" si="45"/>
        <v>0</v>
      </c>
      <c r="CE99" s="1694"/>
      <c r="CF99" s="1694"/>
    </row>
    <row r="100" spans="1:84" ht="15.75" customHeight="1">
      <c r="A100" s="273" t="s">
        <v>516</v>
      </c>
      <c r="B100" s="274">
        <v>2022</v>
      </c>
      <c r="C100" s="1503">
        <v>44835</v>
      </c>
      <c r="D100" s="1717"/>
      <c r="E100" s="275">
        <f t="shared" si="64"/>
        <v>727500000</v>
      </c>
      <c r="F100" s="276">
        <f t="shared" si="59"/>
        <v>91</v>
      </c>
      <c r="G100" s="277" t="e">
        <f t="shared" si="54"/>
        <v>#REF!</v>
      </c>
      <c r="H100" s="277" t="e">
        <f>-ROUNDDOWN(J99*#REF!,0)</f>
        <v>#REF!</v>
      </c>
      <c r="I100" s="277" t="e">
        <f>IF(ROUNDDOWN(J99,0)=0,0,-#REF!)</f>
        <v>#REF!</v>
      </c>
      <c r="J100" s="278" t="e">
        <f t="shared" si="55"/>
        <v>#REF!</v>
      </c>
      <c r="K100" s="1694"/>
      <c r="L100" s="1694"/>
      <c r="M100" s="1694"/>
      <c r="O100" s="276">
        <f t="shared" si="60"/>
        <v>91</v>
      </c>
      <c r="P100" s="277" t="e">
        <f t="shared" si="51"/>
        <v>#REF!</v>
      </c>
      <c r="Q100" s="277" t="e">
        <f>-S99*#REF!</f>
        <v>#REF!</v>
      </c>
      <c r="R100" s="277" t="e">
        <f>IF(ROUNDDOWN(S99,0)=0,0,-#REF!)</f>
        <v>#REF!</v>
      </c>
      <c r="S100" s="278" t="e">
        <f t="shared" si="56"/>
        <v>#REF!</v>
      </c>
      <c r="T100" s="1694"/>
      <c r="U100" s="1694"/>
      <c r="V100" s="1694"/>
      <c r="X100" s="276">
        <f t="shared" si="61"/>
        <v>91</v>
      </c>
      <c r="Y100" s="277" t="e">
        <f t="shared" si="52"/>
        <v>#REF!</v>
      </c>
      <c r="Z100" s="277" t="e">
        <f>-AB99*#REF!</f>
        <v>#REF!</v>
      </c>
      <c r="AA100" s="277" t="e">
        <f>IF(ROUNDDOWN(AB99,0)=0,0,-#REF!)</f>
        <v>#REF!</v>
      </c>
      <c r="AB100" s="278" t="e">
        <f t="shared" si="57"/>
        <v>#REF!</v>
      </c>
      <c r="AC100" s="1694"/>
      <c r="AD100" s="1694"/>
      <c r="AE100" s="1694"/>
      <c r="AG100" s="1709"/>
      <c r="AH100" s="1709"/>
      <c r="AI100" s="1709"/>
      <c r="AK100" s="276">
        <f t="shared" si="62"/>
        <v>91</v>
      </c>
      <c r="AL100" s="277" t="e">
        <f t="shared" si="53"/>
        <v>#REF!</v>
      </c>
      <c r="AM100" s="277" t="e">
        <f>-AO99*#REF!</f>
        <v>#REF!</v>
      </c>
      <c r="AN100" s="277" t="e">
        <f t="shared" si="89"/>
        <v>#REF!</v>
      </c>
      <c r="AO100" s="278" t="e">
        <f t="shared" si="47"/>
        <v>#REF!</v>
      </c>
      <c r="AP100" s="1694"/>
      <c r="AQ100" s="1694"/>
      <c r="AR100" s="1694"/>
      <c r="AS100" s="1715"/>
      <c r="AU100" s="276">
        <f t="shared" si="65"/>
        <v>85</v>
      </c>
      <c r="AV100" s="277">
        <f t="shared" si="77"/>
        <v>-1503863.75</v>
      </c>
      <c r="AW100" s="277">
        <f t="shared" si="96"/>
        <v>-1503863.75</v>
      </c>
      <c r="AX100" s="1491">
        <v>0</v>
      </c>
      <c r="AY100" s="277">
        <f>IF('Cashflow trend'!$L$13&lt;=$C100,-$BA99,$AX100)</f>
        <v>0</v>
      </c>
      <c r="AZ100" s="277"/>
      <c r="BA100" s="278">
        <f t="shared" si="66"/>
        <v>727500000</v>
      </c>
      <c r="BB100" s="279">
        <f t="shared" si="68"/>
        <v>2.4806000000000002E-2</v>
      </c>
      <c r="BC100" s="279">
        <f t="shared" si="68"/>
        <v>0.01</v>
      </c>
      <c r="BD100" s="1694"/>
      <c r="BE100" s="355">
        <f t="shared" si="40"/>
        <v>-606250</v>
      </c>
      <c r="BF100" s="1694"/>
      <c r="BG100" s="1694"/>
      <c r="BI100" s="277">
        <f t="shared" si="41"/>
        <v>0</v>
      </c>
      <c r="BJ100" s="277">
        <f t="shared" si="42"/>
        <v>0</v>
      </c>
      <c r="BK100" s="277">
        <v>0</v>
      </c>
      <c r="BL100" s="277"/>
      <c r="BM100" s="278">
        <f t="shared" si="79"/>
        <v>200000000</v>
      </c>
      <c r="BN100" s="279">
        <f t="shared" si="90"/>
        <v>0</v>
      </c>
      <c r="BO100" s="279">
        <f t="shared" si="90"/>
        <v>0.01</v>
      </c>
      <c r="BP100" s="1694"/>
      <c r="BQ100" s="355">
        <f t="shared" si="63"/>
        <v>-166666.66666666666</v>
      </c>
      <c r="BR100" s="1694"/>
      <c r="BS100" s="1694"/>
      <c r="BU100" s="276">
        <f t="shared" si="91"/>
        <v>0</v>
      </c>
      <c r="BV100" s="277">
        <f t="shared" si="58"/>
        <v>0</v>
      </c>
      <c r="BW100" s="277">
        <f t="shared" si="86"/>
        <v>0</v>
      </c>
      <c r="BX100" s="277">
        <f t="shared" si="87"/>
        <v>0</v>
      </c>
      <c r="BY100" s="277">
        <f>IF('Cashflow trend'!$L$13&lt;=$C100,-$AY100,0)</f>
        <v>0</v>
      </c>
      <c r="BZ100" s="278">
        <f t="shared" si="80"/>
        <v>0</v>
      </c>
      <c r="CA100" s="279">
        <f t="shared" si="71"/>
        <v>2.4844599999999998E-2</v>
      </c>
      <c r="CB100" s="279">
        <f t="shared" ref="CB100" si="98">CB99</f>
        <v>0.01</v>
      </c>
      <c r="CC100" s="1694"/>
      <c r="CD100" s="1476">
        <f t="shared" si="45"/>
        <v>0</v>
      </c>
      <c r="CE100" s="1694"/>
      <c r="CF100" s="1694"/>
    </row>
    <row r="101" spans="1:84" ht="15.75" customHeight="1">
      <c r="A101" s="273" t="s">
        <v>517</v>
      </c>
      <c r="B101" s="274">
        <v>2022</v>
      </c>
      <c r="C101" s="1503">
        <v>44866</v>
      </c>
      <c r="D101" s="1717"/>
      <c r="E101" s="275">
        <f t="shared" si="64"/>
        <v>727500000</v>
      </c>
      <c r="F101" s="276">
        <f t="shared" si="59"/>
        <v>92</v>
      </c>
      <c r="G101" s="277" t="e">
        <f t="shared" si="54"/>
        <v>#REF!</v>
      </c>
      <c r="H101" s="277" t="e">
        <f>-ROUNDDOWN(J100*#REF!,0)</f>
        <v>#REF!</v>
      </c>
      <c r="I101" s="277" t="e">
        <f>IF(ROUNDDOWN(J100,0)=0,0,-#REF!)</f>
        <v>#REF!</v>
      </c>
      <c r="J101" s="278" t="e">
        <f t="shared" si="55"/>
        <v>#REF!</v>
      </c>
      <c r="K101" s="1694"/>
      <c r="L101" s="1694"/>
      <c r="M101" s="1694"/>
      <c r="O101" s="276">
        <f t="shared" si="60"/>
        <v>92</v>
      </c>
      <c r="P101" s="277" t="e">
        <f t="shared" si="51"/>
        <v>#REF!</v>
      </c>
      <c r="Q101" s="277" t="e">
        <f>-S100*#REF!</f>
        <v>#REF!</v>
      </c>
      <c r="R101" s="277" t="e">
        <f>IF(ROUNDDOWN(S100,0)=0,0,-#REF!)</f>
        <v>#REF!</v>
      </c>
      <c r="S101" s="278" t="e">
        <f t="shared" si="56"/>
        <v>#REF!</v>
      </c>
      <c r="T101" s="1694"/>
      <c r="U101" s="1694"/>
      <c r="V101" s="1694"/>
      <c r="X101" s="276">
        <f t="shared" si="61"/>
        <v>92</v>
      </c>
      <c r="Y101" s="277" t="e">
        <f t="shared" si="52"/>
        <v>#REF!</v>
      </c>
      <c r="Z101" s="277" t="e">
        <f>-AB100*#REF!</f>
        <v>#REF!</v>
      </c>
      <c r="AA101" s="277" t="e">
        <f>IF(ROUNDDOWN(AB100,0)=0,0,-#REF!)</f>
        <v>#REF!</v>
      </c>
      <c r="AB101" s="278" t="e">
        <f t="shared" si="57"/>
        <v>#REF!</v>
      </c>
      <c r="AC101" s="1694"/>
      <c r="AD101" s="1694"/>
      <c r="AE101" s="1694"/>
      <c r="AG101" s="1709"/>
      <c r="AH101" s="1709"/>
      <c r="AI101" s="1709"/>
      <c r="AK101" s="276">
        <f t="shared" si="62"/>
        <v>92</v>
      </c>
      <c r="AL101" s="277" t="e">
        <f t="shared" si="53"/>
        <v>#REF!</v>
      </c>
      <c r="AM101" s="277" t="e">
        <f>-AO100*#REF!</f>
        <v>#REF!</v>
      </c>
      <c r="AN101" s="277" t="e">
        <f t="shared" si="89"/>
        <v>#REF!</v>
      </c>
      <c r="AO101" s="278" t="e">
        <f t="shared" si="47"/>
        <v>#REF!</v>
      </c>
      <c r="AP101" s="1694"/>
      <c r="AQ101" s="1694"/>
      <c r="AR101" s="1694"/>
      <c r="AS101" s="1715"/>
      <c r="AU101" s="276">
        <f t="shared" si="65"/>
        <v>86</v>
      </c>
      <c r="AV101" s="277">
        <f t="shared" si="77"/>
        <v>-1503863.75</v>
      </c>
      <c r="AW101" s="277">
        <f t="shared" si="96"/>
        <v>-1503863.75</v>
      </c>
      <c r="AX101" s="1491">
        <v>0</v>
      </c>
      <c r="AY101" s="277">
        <f>IF('Cashflow trend'!$L$13&lt;=$C101,-$BA100,$AX101)</f>
        <v>0</v>
      </c>
      <c r="AZ101" s="277"/>
      <c r="BA101" s="278">
        <f t="shared" si="66"/>
        <v>727500000</v>
      </c>
      <c r="BB101" s="279">
        <f t="shared" si="68"/>
        <v>2.4806000000000002E-2</v>
      </c>
      <c r="BC101" s="279">
        <f t="shared" si="68"/>
        <v>0.01</v>
      </c>
      <c r="BD101" s="1694"/>
      <c r="BE101" s="355">
        <f t="shared" si="40"/>
        <v>-606250</v>
      </c>
      <c r="BF101" s="1694"/>
      <c r="BG101" s="1694"/>
      <c r="BI101" s="277">
        <f t="shared" si="41"/>
        <v>0</v>
      </c>
      <c r="BJ101" s="277">
        <f t="shared" si="42"/>
        <v>0</v>
      </c>
      <c r="BK101" s="277">
        <v>0</v>
      </c>
      <c r="BL101" s="277"/>
      <c r="BM101" s="278">
        <f t="shared" si="79"/>
        <v>200000000</v>
      </c>
      <c r="BN101" s="279">
        <f t="shared" si="90"/>
        <v>0</v>
      </c>
      <c r="BO101" s="279">
        <f t="shared" si="90"/>
        <v>0.01</v>
      </c>
      <c r="BP101" s="1694"/>
      <c r="BQ101" s="355">
        <f t="shared" si="63"/>
        <v>-166666.66666666666</v>
      </c>
      <c r="BR101" s="1694"/>
      <c r="BS101" s="1694"/>
      <c r="BU101" s="276">
        <f t="shared" si="91"/>
        <v>0</v>
      </c>
      <c r="BV101" s="277">
        <f t="shared" si="58"/>
        <v>0</v>
      </c>
      <c r="BW101" s="277">
        <f t="shared" si="86"/>
        <v>0</v>
      </c>
      <c r="BX101" s="277">
        <f t="shared" si="87"/>
        <v>0</v>
      </c>
      <c r="BY101" s="277">
        <f>IF('Cashflow trend'!$L$13&lt;=$C101,-$AY101,0)</f>
        <v>0</v>
      </c>
      <c r="BZ101" s="278">
        <f t="shared" si="80"/>
        <v>0</v>
      </c>
      <c r="CA101" s="279">
        <f t="shared" si="71"/>
        <v>2.4844599999999998E-2</v>
      </c>
      <c r="CB101" s="279">
        <f t="shared" ref="CB101" si="99">CB100</f>
        <v>0.01</v>
      </c>
      <c r="CC101" s="1694"/>
      <c r="CD101" s="1476">
        <f t="shared" si="45"/>
        <v>0</v>
      </c>
      <c r="CE101" s="1694"/>
      <c r="CF101" s="1694"/>
    </row>
    <row r="102" spans="1:84" ht="15.75" customHeight="1">
      <c r="A102" s="273" t="s">
        <v>518</v>
      </c>
      <c r="B102" s="274">
        <v>2022</v>
      </c>
      <c r="C102" s="1503">
        <v>44896</v>
      </c>
      <c r="D102" s="1717"/>
      <c r="E102" s="275">
        <f t="shared" si="64"/>
        <v>679000000</v>
      </c>
      <c r="F102" s="276">
        <f t="shared" si="59"/>
        <v>93</v>
      </c>
      <c r="G102" s="277" t="e">
        <f t="shared" si="54"/>
        <v>#REF!</v>
      </c>
      <c r="H102" s="277" t="e">
        <f>-ROUNDDOWN(J101*#REF!,0)</f>
        <v>#REF!</v>
      </c>
      <c r="I102" s="277" t="e">
        <f>IF(ROUNDDOWN(J101,0)=0,0,-#REF!)</f>
        <v>#REF!</v>
      </c>
      <c r="J102" s="278" t="e">
        <f t="shared" si="55"/>
        <v>#REF!</v>
      </c>
      <c r="K102" s="1694"/>
      <c r="L102" s="1694"/>
      <c r="M102" s="1694"/>
      <c r="O102" s="276">
        <f t="shared" si="60"/>
        <v>93</v>
      </c>
      <c r="P102" s="277" t="e">
        <f t="shared" si="51"/>
        <v>#REF!</v>
      </c>
      <c r="Q102" s="277" t="e">
        <f>-S101*#REF!</f>
        <v>#REF!</v>
      </c>
      <c r="R102" s="277" t="e">
        <f>IF(ROUNDDOWN(S101,0)=0,0,-#REF!)</f>
        <v>#REF!</v>
      </c>
      <c r="S102" s="278" t="e">
        <f t="shared" si="56"/>
        <v>#REF!</v>
      </c>
      <c r="T102" s="1694"/>
      <c r="U102" s="1694"/>
      <c r="V102" s="1694"/>
      <c r="X102" s="276">
        <f t="shared" si="61"/>
        <v>93</v>
      </c>
      <c r="Y102" s="277" t="e">
        <f t="shared" si="52"/>
        <v>#REF!</v>
      </c>
      <c r="Z102" s="277" t="e">
        <f>-AB101*#REF!</f>
        <v>#REF!</v>
      </c>
      <c r="AA102" s="277" t="e">
        <f>IF(ROUNDDOWN(AB101,0)=0,0,-#REF!)</f>
        <v>#REF!</v>
      </c>
      <c r="AB102" s="278" t="e">
        <f t="shared" si="57"/>
        <v>#REF!</v>
      </c>
      <c r="AC102" s="1694"/>
      <c r="AD102" s="1694"/>
      <c r="AE102" s="1694"/>
      <c r="AG102" s="1709"/>
      <c r="AH102" s="1709"/>
      <c r="AI102" s="1709"/>
      <c r="AK102" s="276">
        <f t="shared" si="62"/>
        <v>93</v>
      </c>
      <c r="AL102" s="277" t="e">
        <f t="shared" si="53"/>
        <v>#REF!</v>
      </c>
      <c r="AM102" s="277" t="e">
        <f>-AO101*#REF!</f>
        <v>#REF!</v>
      </c>
      <c r="AN102" s="277" t="e">
        <f t="shared" si="89"/>
        <v>#REF!</v>
      </c>
      <c r="AO102" s="278" t="e">
        <f t="shared" si="47"/>
        <v>#REF!</v>
      </c>
      <c r="AP102" s="1694"/>
      <c r="AQ102" s="1694"/>
      <c r="AR102" s="1694"/>
      <c r="AS102" s="1715"/>
      <c r="AU102" s="276">
        <f t="shared" si="65"/>
        <v>87</v>
      </c>
      <c r="AV102" s="277">
        <f t="shared" si="77"/>
        <v>-50003863.75</v>
      </c>
      <c r="AW102" s="277">
        <f t="shared" si="96"/>
        <v>-1503863.75</v>
      </c>
      <c r="AX102" s="1491">
        <v>-48500000</v>
      </c>
      <c r="AY102" s="277">
        <f>IF('Cashflow trend'!$L$13&lt;=$C102,-$BA101,$AX102)</f>
        <v>-48500000</v>
      </c>
      <c r="AZ102" s="277"/>
      <c r="BA102" s="278">
        <f t="shared" si="66"/>
        <v>679000000</v>
      </c>
      <c r="BB102" s="279">
        <f t="shared" si="68"/>
        <v>2.4806000000000002E-2</v>
      </c>
      <c r="BC102" s="279">
        <f t="shared" si="68"/>
        <v>0.01</v>
      </c>
      <c r="BD102" s="1694"/>
      <c r="BE102" s="355">
        <f t="shared" si="40"/>
        <v>-606250</v>
      </c>
      <c r="BF102" s="1694"/>
      <c r="BG102" s="1694"/>
      <c r="BI102" s="277">
        <f t="shared" si="41"/>
        <v>0</v>
      </c>
      <c r="BJ102" s="277">
        <f t="shared" si="42"/>
        <v>0</v>
      </c>
      <c r="BK102" s="277">
        <v>0</v>
      </c>
      <c r="BL102" s="277">
        <v>50000000</v>
      </c>
      <c r="BM102" s="278">
        <f t="shared" si="79"/>
        <v>250000000</v>
      </c>
      <c r="BN102" s="279">
        <f t="shared" si="90"/>
        <v>0</v>
      </c>
      <c r="BO102" s="279">
        <f t="shared" si="90"/>
        <v>0.01</v>
      </c>
      <c r="BP102" s="1694"/>
      <c r="BQ102" s="355">
        <f t="shared" si="63"/>
        <v>-166666.66666666666</v>
      </c>
      <c r="BR102" s="1694"/>
      <c r="BS102" s="1694"/>
      <c r="BU102" s="276">
        <f t="shared" si="91"/>
        <v>0</v>
      </c>
      <c r="BV102" s="277">
        <f t="shared" si="58"/>
        <v>0</v>
      </c>
      <c r="BW102" s="277">
        <f t="shared" si="86"/>
        <v>0</v>
      </c>
      <c r="BX102" s="277">
        <f t="shared" si="87"/>
        <v>0</v>
      </c>
      <c r="BY102" s="277">
        <f>IF('Cashflow trend'!$L$13&lt;=$C102,-$AY102,0)</f>
        <v>0</v>
      </c>
      <c r="BZ102" s="278">
        <f t="shared" si="80"/>
        <v>0</v>
      </c>
      <c r="CA102" s="279">
        <f t="shared" si="71"/>
        <v>2.4844599999999998E-2</v>
      </c>
      <c r="CB102" s="279">
        <f t="shared" ref="CB102" si="100">CB101</f>
        <v>0.01</v>
      </c>
      <c r="CC102" s="1694"/>
      <c r="CD102" s="1476">
        <f t="shared" si="45"/>
        <v>0</v>
      </c>
      <c r="CE102" s="1694"/>
      <c r="CF102" s="1694"/>
    </row>
    <row r="103" spans="1:84" ht="15.75" customHeight="1">
      <c r="A103" s="273" t="s">
        <v>519</v>
      </c>
      <c r="B103" s="274">
        <v>2023</v>
      </c>
      <c r="C103" s="1503">
        <v>44927</v>
      </c>
      <c r="D103" s="1717"/>
      <c r="E103" s="275">
        <f t="shared" si="64"/>
        <v>679000000</v>
      </c>
      <c r="F103" s="276">
        <f t="shared" si="59"/>
        <v>94</v>
      </c>
      <c r="G103" s="277" t="e">
        <f t="shared" si="54"/>
        <v>#REF!</v>
      </c>
      <c r="H103" s="277" t="e">
        <f>-ROUNDDOWN(J102*#REF!,0)</f>
        <v>#REF!</v>
      </c>
      <c r="I103" s="277" t="e">
        <f>IF(ROUNDDOWN(J102,0)=0,0,-#REF!)</f>
        <v>#REF!</v>
      </c>
      <c r="J103" s="278" t="e">
        <f t="shared" si="55"/>
        <v>#REF!</v>
      </c>
      <c r="K103" s="1694"/>
      <c r="L103" s="1694"/>
      <c r="M103" s="1694"/>
      <c r="O103" s="276">
        <f t="shared" si="60"/>
        <v>94</v>
      </c>
      <c r="P103" s="277" t="e">
        <f t="shared" si="51"/>
        <v>#REF!</v>
      </c>
      <c r="Q103" s="277" t="e">
        <f>-S102*#REF!</f>
        <v>#REF!</v>
      </c>
      <c r="R103" s="277" t="e">
        <f>IF(ROUNDDOWN(S102,0)=0,0,-#REF!)</f>
        <v>#REF!</v>
      </c>
      <c r="S103" s="278" t="e">
        <f t="shared" si="56"/>
        <v>#REF!</v>
      </c>
      <c r="T103" s="1694"/>
      <c r="U103" s="1694"/>
      <c r="V103" s="1694"/>
      <c r="X103" s="276">
        <f t="shared" si="61"/>
        <v>94</v>
      </c>
      <c r="Y103" s="277" t="e">
        <f t="shared" si="52"/>
        <v>#REF!</v>
      </c>
      <c r="Z103" s="277" t="e">
        <f>-AB102*#REF!</f>
        <v>#REF!</v>
      </c>
      <c r="AA103" s="277" t="e">
        <f>IF(ROUNDDOWN(AB102,0)=0,0,-#REF!)</f>
        <v>#REF!</v>
      </c>
      <c r="AB103" s="278" t="e">
        <f t="shared" si="57"/>
        <v>#REF!</v>
      </c>
      <c r="AC103" s="1694"/>
      <c r="AD103" s="1694"/>
      <c r="AE103" s="1694"/>
      <c r="AG103" s="1709"/>
      <c r="AH103" s="1709"/>
      <c r="AI103" s="1709"/>
      <c r="AK103" s="276">
        <f t="shared" si="62"/>
        <v>94</v>
      </c>
      <c r="AL103" s="277" t="e">
        <f t="shared" si="53"/>
        <v>#REF!</v>
      </c>
      <c r="AM103" s="277" t="e">
        <f>-AO102*#REF!</f>
        <v>#REF!</v>
      </c>
      <c r="AN103" s="277" t="e">
        <f t="shared" si="89"/>
        <v>#REF!</v>
      </c>
      <c r="AO103" s="278" t="e">
        <f t="shared" si="47"/>
        <v>#REF!</v>
      </c>
      <c r="AP103" s="1694"/>
      <c r="AQ103" s="1694"/>
      <c r="AR103" s="1694"/>
      <c r="AS103" s="1715"/>
      <c r="AU103" s="276">
        <f t="shared" si="65"/>
        <v>88</v>
      </c>
      <c r="AV103" s="277">
        <f t="shared" si="77"/>
        <v>-1403606.1666666667</v>
      </c>
      <c r="AW103" s="277">
        <f t="shared" si="96"/>
        <v>-1403606.1666666667</v>
      </c>
      <c r="AX103" s="1491">
        <v>0</v>
      </c>
      <c r="AY103" s="277">
        <f>IF('Cashflow trend'!$L$13&lt;=$C103,-$BA102,$AX103)</f>
        <v>0</v>
      </c>
      <c r="AZ103" s="277"/>
      <c r="BA103" s="278">
        <f t="shared" si="66"/>
        <v>679000000</v>
      </c>
      <c r="BB103" s="279">
        <f t="shared" si="68"/>
        <v>2.4806000000000002E-2</v>
      </c>
      <c r="BC103" s="279">
        <f t="shared" si="68"/>
        <v>0.01</v>
      </c>
      <c r="BD103" s="1694"/>
      <c r="BE103" s="355">
        <f t="shared" si="40"/>
        <v>-565833.33333333337</v>
      </c>
      <c r="BF103" s="1694"/>
      <c r="BG103" s="1694"/>
      <c r="BI103" s="277">
        <f t="shared" si="41"/>
        <v>0</v>
      </c>
      <c r="BJ103" s="277">
        <f t="shared" si="42"/>
        <v>0</v>
      </c>
      <c r="BK103" s="277">
        <v>0</v>
      </c>
      <c r="BL103" s="277"/>
      <c r="BM103" s="278">
        <f t="shared" si="79"/>
        <v>250000000</v>
      </c>
      <c r="BN103" s="279">
        <f t="shared" si="90"/>
        <v>0</v>
      </c>
      <c r="BO103" s="279">
        <f t="shared" si="90"/>
        <v>0.01</v>
      </c>
      <c r="BP103" s="1694"/>
      <c r="BQ103" s="355">
        <f t="shared" si="63"/>
        <v>-208333.33333333334</v>
      </c>
      <c r="BR103" s="1694"/>
      <c r="BS103" s="1694"/>
      <c r="BU103" s="276">
        <f t="shared" si="91"/>
        <v>0</v>
      </c>
      <c r="BV103" s="277">
        <f t="shared" si="58"/>
        <v>0</v>
      </c>
      <c r="BW103" s="277">
        <f t="shared" si="86"/>
        <v>0</v>
      </c>
      <c r="BX103" s="277">
        <f t="shared" si="87"/>
        <v>0</v>
      </c>
      <c r="BY103" s="277">
        <f>IF('Cashflow trend'!$L$13&lt;=$C103,-$AY103,0)</f>
        <v>0</v>
      </c>
      <c r="BZ103" s="278">
        <f t="shared" si="80"/>
        <v>0</v>
      </c>
      <c r="CA103" s="279">
        <f t="shared" si="71"/>
        <v>2.4844599999999998E-2</v>
      </c>
      <c r="CB103" s="279">
        <f t="shared" ref="CB103" si="101">CB102</f>
        <v>0.01</v>
      </c>
      <c r="CC103" s="1694"/>
      <c r="CD103" s="1476">
        <f t="shared" si="45"/>
        <v>0</v>
      </c>
      <c r="CE103" s="1694"/>
      <c r="CF103" s="1694"/>
    </row>
    <row r="104" spans="1:84" ht="15.75" customHeight="1">
      <c r="A104" s="273" t="s">
        <v>520</v>
      </c>
      <c r="B104" s="274">
        <v>2023</v>
      </c>
      <c r="C104" s="1503">
        <v>44958</v>
      </c>
      <c r="D104" s="1717"/>
      <c r="E104" s="275">
        <f t="shared" si="64"/>
        <v>679000000</v>
      </c>
      <c r="F104" s="276">
        <f t="shared" si="59"/>
        <v>95</v>
      </c>
      <c r="G104" s="277" t="e">
        <f t="shared" si="54"/>
        <v>#REF!</v>
      </c>
      <c r="H104" s="277" t="e">
        <f>-ROUNDDOWN(J103*#REF!,0)</f>
        <v>#REF!</v>
      </c>
      <c r="I104" s="277" t="e">
        <f>IF(ROUNDDOWN(J103,0)=0,0,-#REF!)</f>
        <v>#REF!</v>
      </c>
      <c r="J104" s="278" t="e">
        <f t="shared" si="55"/>
        <v>#REF!</v>
      </c>
      <c r="K104" s="1694"/>
      <c r="L104" s="1694"/>
      <c r="M104" s="1694"/>
      <c r="O104" s="276">
        <f t="shared" si="60"/>
        <v>95</v>
      </c>
      <c r="P104" s="277" t="e">
        <f t="shared" si="51"/>
        <v>#REF!</v>
      </c>
      <c r="Q104" s="277" t="e">
        <f>-S103*#REF!</f>
        <v>#REF!</v>
      </c>
      <c r="R104" s="277" t="e">
        <f>IF(ROUNDDOWN(S103,0)=0,0,-#REF!)</f>
        <v>#REF!</v>
      </c>
      <c r="S104" s="278" t="e">
        <f t="shared" si="56"/>
        <v>#REF!</v>
      </c>
      <c r="T104" s="1694"/>
      <c r="U104" s="1694"/>
      <c r="V104" s="1694"/>
      <c r="X104" s="276">
        <f t="shared" si="61"/>
        <v>95</v>
      </c>
      <c r="Y104" s="277" t="e">
        <f t="shared" si="52"/>
        <v>#REF!</v>
      </c>
      <c r="Z104" s="277" t="e">
        <f>-AB103*#REF!</f>
        <v>#REF!</v>
      </c>
      <c r="AA104" s="277" t="e">
        <f>IF(ROUNDDOWN(AB103,0)=0,0,-#REF!)</f>
        <v>#REF!</v>
      </c>
      <c r="AB104" s="278" t="e">
        <f t="shared" si="57"/>
        <v>#REF!</v>
      </c>
      <c r="AC104" s="1694"/>
      <c r="AD104" s="1694"/>
      <c r="AE104" s="1694"/>
      <c r="AG104" s="1709"/>
      <c r="AH104" s="1709"/>
      <c r="AI104" s="1709"/>
      <c r="AK104" s="276">
        <f t="shared" si="62"/>
        <v>95</v>
      </c>
      <c r="AL104" s="277" t="e">
        <f t="shared" si="53"/>
        <v>#REF!</v>
      </c>
      <c r="AM104" s="277" t="e">
        <f>-AO103*#REF!</f>
        <v>#REF!</v>
      </c>
      <c r="AN104" s="277" t="e">
        <f t="shared" si="89"/>
        <v>#REF!</v>
      </c>
      <c r="AO104" s="278" t="e">
        <f t="shared" si="47"/>
        <v>#REF!</v>
      </c>
      <c r="AP104" s="1694"/>
      <c r="AQ104" s="1694"/>
      <c r="AR104" s="1694"/>
      <c r="AS104" s="1715"/>
      <c r="AU104" s="276">
        <f t="shared" si="65"/>
        <v>89</v>
      </c>
      <c r="AV104" s="277">
        <f t="shared" si="77"/>
        <v>-1403606.1666666667</v>
      </c>
      <c r="AW104" s="277">
        <f t="shared" si="96"/>
        <v>-1403606.1666666667</v>
      </c>
      <c r="AX104" s="1491">
        <v>0</v>
      </c>
      <c r="AY104" s="277">
        <f>IF('Cashflow trend'!$L$13&lt;=$C104,-$BA103,$AX104)</f>
        <v>0</v>
      </c>
      <c r="AZ104" s="277"/>
      <c r="BA104" s="278">
        <f t="shared" si="66"/>
        <v>679000000</v>
      </c>
      <c r="BB104" s="279">
        <f t="shared" si="68"/>
        <v>2.4806000000000002E-2</v>
      </c>
      <c r="BC104" s="279">
        <f t="shared" si="68"/>
        <v>0.01</v>
      </c>
      <c r="BD104" s="1694"/>
      <c r="BE104" s="355">
        <f t="shared" si="40"/>
        <v>-565833.33333333337</v>
      </c>
      <c r="BF104" s="1694"/>
      <c r="BG104" s="1694"/>
      <c r="BI104" s="277">
        <f t="shared" si="41"/>
        <v>0</v>
      </c>
      <c r="BJ104" s="277">
        <f t="shared" si="42"/>
        <v>0</v>
      </c>
      <c r="BK104" s="277">
        <v>0</v>
      </c>
      <c r="BL104" s="277"/>
      <c r="BM104" s="278">
        <f t="shared" si="79"/>
        <v>250000000</v>
      </c>
      <c r="BN104" s="279">
        <f t="shared" si="90"/>
        <v>0</v>
      </c>
      <c r="BO104" s="279">
        <f t="shared" si="90"/>
        <v>0.01</v>
      </c>
      <c r="BP104" s="1694"/>
      <c r="BQ104" s="355">
        <f t="shared" si="63"/>
        <v>-208333.33333333334</v>
      </c>
      <c r="BR104" s="1694"/>
      <c r="BS104" s="1694"/>
      <c r="BU104" s="276">
        <f t="shared" si="91"/>
        <v>0</v>
      </c>
      <c r="BV104" s="277">
        <f t="shared" si="58"/>
        <v>0</v>
      </c>
      <c r="BW104" s="277">
        <f t="shared" si="86"/>
        <v>0</v>
      </c>
      <c r="BX104" s="277">
        <f t="shared" si="87"/>
        <v>0</v>
      </c>
      <c r="BY104" s="277">
        <f>IF('Cashflow trend'!$L$13&lt;=$C104,-$AY104,0)</f>
        <v>0</v>
      </c>
      <c r="BZ104" s="278">
        <f t="shared" si="80"/>
        <v>0</v>
      </c>
      <c r="CA104" s="279">
        <f t="shared" si="71"/>
        <v>2.4844599999999998E-2</v>
      </c>
      <c r="CB104" s="279">
        <f t="shared" ref="CB104" si="102">CB103</f>
        <v>0.01</v>
      </c>
      <c r="CC104" s="1694"/>
      <c r="CD104" s="1476">
        <f t="shared" si="45"/>
        <v>0</v>
      </c>
      <c r="CE104" s="1694"/>
      <c r="CF104" s="1694"/>
    </row>
    <row r="105" spans="1:84" ht="15.75" customHeight="1">
      <c r="A105" s="273" t="s">
        <v>521</v>
      </c>
      <c r="B105" s="274">
        <v>2023</v>
      </c>
      <c r="C105" s="1503">
        <v>44986</v>
      </c>
      <c r="D105" s="1717"/>
      <c r="E105" s="275">
        <f t="shared" si="64"/>
        <v>630500000</v>
      </c>
      <c r="F105" s="276">
        <f t="shared" si="59"/>
        <v>96</v>
      </c>
      <c r="G105" s="277" t="e">
        <f>SUM(H105:I105)</f>
        <v>#REF!</v>
      </c>
      <c r="H105" s="277" t="e">
        <f>-ROUNDDOWN(J104*#REF!,0)</f>
        <v>#REF!</v>
      </c>
      <c r="I105" s="277" t="e">
        <f>IF(ROUNDDOWN(J104,0)=0,0,-#REF!)</f>
        <v>#REF!</v>
      </c>
      <c r="J105" s="278" t="e">
        <f>J104+I105</f>
        <v>#REF!</v>
      </c>
      <c r="K105" s="1694"/>
      <c r="L105" s="1694"/>
      <c r="M105" s="1694"/>
      <c r="O105" s="276">
        <f t="shared" si="60"/>
        <v>96</v>
      </c>
      <c r="P105" s="277" t="e">
        <f t="shared" si="51"/>
        <v>#REF!</v>
      </c>
      <c r="Q105" s="277" t="e">
        <f>-S104*#REF!</f>
        <v>#REF!</v>
      </c>
      <c r="R105" s="277" t="e">
        <f>IF(ROUNDDOWN(S104,0)=0,0,-#REF!)</f>
        <v>#REF!</v>
      </c>
      <c r="S105" s="278" t="e">
        <f t="shared" si="56"/>
        <v>#REF!</v>
      </c>
      <c r="T105" s="1694"/>
      <c r="U105" s="1694"/>
      <c r="V105" s="1694"/>
      <c r="X105" s="276">
        <f t="shared" si="61"/>
        <v>96</v>
      </c>
      <c r="Y105" s="277" t="e">
        <f t="shared" si="52"/>
        <v>#REF!</v>
      </c>
      <c r="Z105" s="277" t="e">
        <f>-AB104*#REF!</f>
        <v>#REF!</v>
      </c>
      <c r="AA105" s="277" t="e">
        <f>IF(ROUNDDOWN(AB104,0)=0,0,-#REF!)</f>
        <v>#REF!</v>
      </c>
      <c r="AB105" s="278" t="e">
        <f t="shared" si="57"/>
        <v>#REF!</v>
      </c>
      <c r="AC105" s="1694"/>
      <c r="AD105" s="1694"/>
      <c r="AE105" s="1694"/>
      <c r="AG105" s="1709"/>
      <c r="AH105" s="1709"/>
      <c r="AI105" s="1709"/>
      <c r="AK105" s="276">
        <f t="shared" si="62"/>
        <v>96</v>
      </c>
      <c r="AL105" s="277" t="e">
        <f t="shared" si="53"/>
        <v>#REF!</v>
      </c>
      <c r="AM105" s="277" t="e">
        <f>-AO104*#REF!</f>
        <v>#REF!</v>
      </c>
      <c r="AN105" s="277" t="e">
        <f t="shared" si="89"/>
        <v>#REF!</v>
      </c>
      <c r="AO105" s="278" t="e">
        <f t="shared" si="47"/>
        <v>#REF!</v>
      </c>
      <c r="AP105" s="1694"/>
      <c r="AQ105" s="1694"/>
      <c r="AR105" s="1694"/>
      <c r="AS105" s="1715"/>
      <c r="AU105" s="276">
        <f t="shared" si="65"/>
        <v>90</v>
      </c>
      <c r="AV105" s="277">
        <f t="shared" si="77"/>
        <v>-49903606.166666664</v>
      </c>
      <c r="AW105" s="277">
        <f t="shared" si="96"/>
        <v>-1403606.1666666667</v>
      </c>
      <c r="AX105" s="1491">
        <v>-48500000</v>
      </c>
      <c r="AY105" s="277">
        <f>IF('Cashflow trend'!$L$13&lt;=$C105,-$BA104,$AX105)</f>
        <v>-48500000</v>
      </c>
      <c r="AZ105" s="277"/>
      <c r="BA105" s="278">
        <f t="shared" si="66"/>
        <v>630500000</v>
      </c>
      <c r="BB105" s="279">
        <f t="shared" si="68"/>
        <v>2.4806000000000002E-2</v>
      </c>
      <c r="BC105" s="279">
        <f t="shared" si="68"/>
        <v>0.01</v>
      </c>
      <c r="BD105" s="1694"/>
      <c r="BE105" s="355">
        <f t="shared" si="40"/>
        <v>-565833.33333333337</v>
      </c>
      <c r="BF105" s="1694"/>
      <c r="BG105" s="1694"/>
      <c r="BH105" s="229">
        <f>'Cashflow trend'!I23</f>
        <v>80061.653417678564</v>
      </c>
      <c r="BI105" s="277">
        <f t="shared" si="41"/>
        <v>0</v>
      </c>
      <c r="BJ105" s="277">
        <f t="shared" si="42"/>
        <v>0</v>
      </c>
      <c r="BK105" s="277">
        <v>0</v>
      </c>
      <c r="BL105" s="277">
        <v>50000000</v>
      </c>
      <c r="BM105" s="278">
        <f t="shared" si="79"/>
        <v>300000000</v>
      </c>
      <c r="BN105" s="279">
        <f t="shared" si="90"/>
        <v>0</v>
      </c>
      <c r="BO105" s="279">
        <f t="shared" si="90"/>
        <v>0.01</v>
      </c>
      <c r="BP105" s="1694"/>
      <c r="BQ105" s="355">
        <f t="shared" si="63"/>
        <v>-208333.33333333334</v>
      </c>
      <c r="BR105" s="1694"/>
      <c r="BS105" s="1694"/>
      <c r="BU105" s="276">
        <f t="shared" si="91"/>
        <v>0</v>
      </c>
      <c r="BV105" s="277">
        <f t="shared" si="58"/>
        <v>0</v>
      </c>
      <c r="BW105" s="277">
        <f t="shared" si="86"/>
        <v>0</v>
      </c>
      <c r="BX105" s="277">
        <f t="shared" si="87"/>
        <v>0</v>
      </c>
      <c r="BY105" s="277">
        <f>IF('Cashflow trend'!$L$13&lt;=$C105,-$AY105,0)</f>
        <v>0</v>
      </c>
      <c r="BZ105" s="278">
        <f t="shared" si="80"/>
        <v>0</v>
      </c>
      <c r="CA105" s="279">
        <f t="shared" si="71"/>
        <v>2.4844599999999998E-2</v>
      </c>
      <c r="CB105" s="279">
        <f t="shared" ref="CB105" si="103">CB104</f>
        <v>0.01</v>
      </c>
      <c r="CC105" s="1694"/>
      <c r="CD105" s="1476">
        <f t="shared" si="45"/>
        <v>0</v>
      </c>
      <c r="CE105" s="1694"/>
      <c r="CF105" s="1694"/>
    </row>
    <row r="106" spans="1:84" ht="15.75" customHeight="1">
      <c r="A106" s="270" t="s">
        <v>510</v>
      </c>
      <c r="B106" s="266">
        <v>2023</v>
      </c>
      <c r="C106" s="1504">
        <v>45017</v>
      </c>
      <c r="D106" s="1717"/>
      <c r="E106" s="265">
        <f t="shared" si="64"/>
        <v>630500000</v>
      </c>
      <c r="F106" s="267">
        <f t="shared" si="59"/>
        <v>97</v>
      </c>
      <c r="G106" s="268" t="e">
        <f>SUM(H106:I106)</f>
        <v>#REF!</v>
      </c>
      <c r="H106" s="268" t="e">
        <f>-ROUNDDOWN(J105*#REF!,0)</f>
        <v>#REF!</v>
      </c>
      <c r="I106" s="268" t="e">
        <f>IF(ROUNDDOWN(J105,0)=0,0,-#REF!)</f>
        <v>#REF!</v>
      </c>
      <c r="J106" s="269" t="e">
        <f t="shared" si="55"/>
        <v>#REF!</v>
      </c>
      <c r="K106" s="1695" t="s">
        <v>13</v>
      </c>
      <c r="L106" s="1695" t="e">
        <f>SUM(H106:H117)</f>
        <v>#REF!</v>
      </c>
      <c r="M106" s="1695" t="e">
        <f>SUM(I106:I117)</f>
        <v>#REF!</v>
      </c>
      <c r="O106" s="267">
        <f t="shared" si="60"/>
        <v>97</v>
      </c>
      <c r="P106" s="268" t="e">
        <f t="shared" si="51"/>
        <v>#REF!</v>
      </c>
      <c r="Q106" s="268" t="e">
        <f>-S105*#REF!</f>
        <v>#REF!</v>
      </c>
      <c r="R106" s="268" t="e">
        <f>IF(ROUNDDOWN(S105,0)=0,0,-#REF!)</f>
        <v>#REF!</v>
      </c>
      <c r="S106" s="269" t="e">
        <f t="shared" si="56"/>
        <v>#REF!</v>
      </c>
      <c r="T106" s="1695" t="s">
        <v>13</v>
      </c>
      <c r="U106" s="1695" t="e">
        <f>SUM(Q106:Q117)</f>
        <v>#REF!</v>
      </c>
      <c r="V106" s="1695" t="e">
        <f>SUM(R106:R117)</f>
        <v>#REF!</v>
      </c>
      <c r="X106" s="267">
        <f t="shared" si="61"/>
        <v>97</v>
      </c>
      <c r="Y106" s="268" t="e">
        <f t="shared" si="52"/>
        <v>#REF!</v>
      </c>
      <c r="Z106" s="268" t="e">
        <f>-AB105*#REF!</f>
        <v>#REF!</v>
      </c>
      <c r="AA106" s="268" t="e">
        <f>IF(ROUNDDOWN(AB105,0)=0,0,-#REF!)</f>
        <v>#REF!</v>
      </c>
      <c r="AB106" s="269" t="e">
        <f t="shared" si="57"/>
        <v>#REF!</v>
      </c>
      <c r="AC106" s="1695" t="s">
        <v>13</v>
      </c>
      <c r="AD106" s="1695" t="e">
        <f>SUM(Z106:Z117)</f>
        <v>#REF!</v>
      </c>
      <c r="AE106" s="1695" t="e">
        <f>SUM(AA106:AA117)</f>
        <v>#REF!</v>
      </c>
      <c r="AG106" s="1710" t="s">
        <v>13</v>
      </c>
      <c r="AH106" s="1710" t="e">
        <f>L106+U106+AD106</f>
        <v>#REF!</v>
      </c>
      <c r="AI106" s="1710" t="e">
        <f>M106+V106+AE106</f>
        <v>#REF!</v>
      </c>
      <c r="AK106" s="267">
        <f t="shared" si="62"/>
        <v>97</v>
      </c>
      <c r="AL106" s="268" t="e">
        <f t="shared" si="53"/>
        <v>#REF!</v>
      </c>
      <c r="AM106" s="268" t="e">
        <f>-AO105*#REF!</f>
        <v>#REF!</v>
      </c>
      <c r="AN106" s="268" t="e">
        <f>$AR$106/12</f>
        <v>#REF!</v>
      </c>
      <c r="AO106" s="269" t="e">
        <f t="shared" si="47"/>
        <v>#REF!</v>
      </c>
      <c r="AP106" s="1695" t="s">
        <v>13</v>
      </c>
      <c r="AQ106" s="1695" t="e">
        <f>SUM(AM106:AM117)</f>
        <v>#REF!</v>
      </c>
      <c r="AR106" s="1695" t="e">
        <f>-AS106*#REF!</f>
        <v>#REF!</v>
      </c>
      <c r="AS106" s="1711">
        <v>0.35</v>
      </c>
      <c r="AU106" s="267">
        <f t="shared" si="65"/>
        <v>91</v>
      </c>
      <c r="AV106" s="268">
        <f t="shared" si="77"/>
        <v>-1303348.5833333335</v>
      </c>
      <c r="AW106" s="268">
        <f t="shared" si="96"/>
        <v>-1303348.5833333335</v>
      </c>
      <c r="AX106" s="1490">
        <v>0</v>
      </c>
      <c r="AY106" s="268">
        <f>IF('Cashflow trend'!$L$13&lt;=$C106,-$BA105,$AX106)</f>
        <v>0</v>
      </c>
      <c r="AZ106" s="268">
        <v>0</v>
      </c>
      <c r="BA106" s="269">
        <f t="shared" si="66"/>
        <v>630500000</v>
      </c>
      <c r="BB106" s="272">
        <f t="shared" si="68"/>
        <v>2.4806000000000002E-2</v>
      </c>
      <c r="BC106" s="272">
        <f t="shared" si="68"/>
        <v>0.01</v>
      </c>
      <c r="BD106" s="1695" t="s">
        <v>13</v>
      </c>
      <c r="BE106" s="354">
        <f t="shared" si="40"/>
        <v>-525416.66666666663</v>
      </c>
      <c r="BF106" s="1695">
        <f>SUM(AW106:AW117)</f>
        <v>-13722756.718750002</v>
      </c>
      <c r="BG106" s="1695">
        <f>SUM(AY106:AZ117)</f>
        <v>-230375000</v>
      </c>
      <c r="BI106" s="268">
        <f t="shared" si="41"/>
        <v>0</v>
      </c>
      <c r="BJ106" s="268">
        <f t="shared" si="42"/>
        <v>0</v>
      </c>
      <c r="BK106" s="268">
        <v>0</v>
      </c>
      <c r="BL106" s="268">
        <v>0</v>
      </c>
      <c r="BM106" s="269">
        <f t="shared" si="79"/>
        <v>300000000</v>
      </c>
      <c r="BN106" s="272">
        <f t="shared" si="90"/>
        <v>0</v>
      </c>
      <c r="BO106" s="272">
        <f t="shared" si="90"/>
        <v>0.01</v>
      </c>
      <c r="BP106" s="1695" t="s">
        <v>13</v>
      </c>
      <c r="BQ106" s="354">
        <f t="shared" si="63"/>
        <v>-250000</v>
      </c>
      <c r="BR106" s="1695">
        <f>SUM(BJ106:BJ117)</f>
        <v>0</v>
      </c>
      <c r="BS106" s="1695">
        <f>SUM(BK106:BL117)</f>
        <v>50000000</v>
      </c>
      <c r="BU106" s="267">
        <f t="shared" si="91"/>
        <v>0</v>
      </c>
      <c r="BV106" s="268">
        <f t="shared" si="58"/>
        <v>0</v>
      </c>
      <c r="BW106" s="268">
        <f t="shared" ref="BW106:BW108" si="104">-BZ105*CA105/12</f>
        <v>0</v>
      </c>
      <c r="BX106" s="268">
        <f t="shared" si="87"/>
        <v>0</v>
      </c>
      <c r="BY106" s="268">
        <f>IF('Cashflow trend'!$L$13&lt;=$C106,-$AY106,0)</f>
        <v>0</v>
      </c>
      <c r="BZ106" s="269">
        <f t="shared" si="80"/>
        <v>0</v>
      </c>
      <c r="CA106" s="272">
        <f t="shared" si="71"/>
        <v>2.4844599999999998E-2</v>
      </c>
      <c r="CB106" s="272">
        <f t="shared" ref="CB106" si="105">CB105</f>
        <v>0.01</v>
      </c>
      <c r="CC106" s="1695" t="s">
        <v>13</v>
      </c>
      <c r="CD106" s="1478">
        <f t="shared" si="45"/>
        <v>0</v>
      </c>
      <c r="CE106" s="1695">
        <f>SUM(BW106:BW117)</f>
        <v>0</v>
      </c>
      <c r="CF106" s="1695">
        <f>SUM(BX106:BY117)</f>
        <v>0</v>
      </c>
    </row>
    <row r="107" spans="1:84" ht="15.75" customHeight="1">
      <c r="A107" s="270" t="s">
        <v>511</v>
      </c>
      <c r="B107" s="266">
        <v>2023</v>
      </c>
      <c r="C107" s="1504">
        <v>45047</v>
      </c>
      <c r="D107" s="1717"/>
      <c r="E107" s="265">
        <f t="shared" si="64"/>
        <v>630500000</v>
      </c>
      <c r="F107" s="267">
        <f t="shared" si="59"/>
        <v>98</v>
      </c>
      <c r="G107" s="268" t="e">
        <f t="shared" ref="G107:G153" si="106">SUM(H107:I107)</f>
        <v>#REF!</v>
      </c>
      <c r="H107" s="268" t="e">
        <f>-ROUNDDOWN(J106*#REF!,0)</f>
        <v>#REF!</v>
      </c>
      <c r="I107" s="268" t="e">
        <f>IF(ROUNDDOWN(J106,0)=0,0,-#REF!)</f>
        <v>#REF!</v>
      </c>
      <c r="J107" s="269" t="e">
        <f t="shared" si="55"/>
        <v>#REF!</v>
      </c>
      <c r="K107" s="1695"/>
      <c r="L107" s="1695"/>
      <c r="M107" s="1695"/>
      <c r="O107" s="267">
        <f t="shared" si="60"/>
        <v>98</v>
      </c>
      <c r="P107" s="268" t="e">
        <f t="shared" si="51"/>
        <v>#REF!</v>
      </c>
      <c r="Q107" s="268" t="e">
        <f>-S106*#REF!</f>
        <v>#REF!</v>
      </c>
      <c r="R107" s="268" t="e">
        <f>IF(ROUNDDOWN(S106,0)=0,0,-#REF!)</f>
        <v>#REF!</v>
      </c>
      <c r="S107" s="269" t="e">
        <f t="shared" si="56"/>
        <v>#REF!</v>
      </c>
      <c r="T107" s="1695"/>
      <c r="U107" s="1695"/>
      <c r="V107" s="1695"/>
      <c r="X107" s="267">
        <f t="shared" si="61"/>
        <v>98</v>
      </c>
      <c r="Y107" s="268" t="e">
        <f t="shared" si="52"/>
        <v>#REF!</v>
      </c>
      <c r="Z107" s="268" t="e">
        <f>-AB106*#REF!</f>
        <v>#REF!</v>
      </c>
      <c r="AA107" s="268" t="e">
        <f>IF(ROUNDDOWN(AB106,0)=0,0,-#REF!)</f>
        <v>#REF!</v>
      </c>
      <c r="AB107" s="269" t="e">
        <f t="shared" si="57"/>
        <v>#REF!</v>
      </c>
      <c r="AC107" s="1695"/>
      <c r="AD107" s="1695"/>
      <c r="AE107" s="1695"/>
      <c r="AG107" s="1710"/>
      <c r="AH107" s="1710"/>
      <c r="AI107" s="1710"/>
      <c r="AK107" s="267">
        <f t="shared" si="62"/>
        <v>98</v>
      </c>
      <c r="AL107" s="268" t="e">
        <f t="shared" si="53"/>
        <v>#REF!</v>
      </c>
      <c r="AM107" s="268" t="e">
        <f>-AO106*#REF!</f>
        <v>#REF!</v>
      </c>
      <c r="AN107" s="268" t="e">
        <f t="shared" ref="AN107:AN117" si="107">$AR$106/12</f>
        <v>#REF!</v>
      </c>
      <c r="AO107" s="269" t="e">
        <f t="shared" si="47"/>
        <v>#REF!</v>
      </c>
      <c r="AP107" s="1695"/>
      <c r="AQ107" s="1695"/>
      <c r="AR107" s="1695"/>
      <c r="AS107" s="1711"/>
      <c r="AU107" s="267">
        <f t="shared" si="65"/>
        <v>92</v>
      </c>
      <c r="AV107" s="268">
        <f t="shared" si="77"/>
        <v>-1303348.5833333335</v>
      </c>
      <c r="AW107" s="268">
        <f t="shared" si="96"/>
        <v>-1303348.5833333335</v>
      </c>
      <c r="AX107" s="1490">
        <v>0</v>
      </c>
      <c r="AY107" s="268">
        <f>IF('Cashflow trend'!$L$13&lt;=$C107,-$BA106,$AX107)</f>
        <v>0</v>
      </c>
      <c r="AZ107" s="268"/>
      <c r="BA107" s="269">
        <f t="shared" si="66"/>
        <v>630500000</v>
      </c>
      <c r="BB107" s="272">
        <f t="shared" si="68"/>
        <v>2.4806000000000002E-2</v>
      </c>
      <c r="BC107" s="272">
        <f t="shared" si="68"/>
        <v>0.01</v>
      </c>
      <c r="BD107" s="1695"/>
      <c r="BE107" s="354">
        <f t="shared" si="40"/>
        <v>-525416.66666666663</v>
      </c>
      <c r="BF107" s="1695"/>
      <c r="BG107" s="1695"/>
      <c r="BI107" s="268">
        <f t="shared" si="41"/>
        <v>0</v>
      </c>
      <c r="BJ107" s="268">
        <f t="shared" si="42"/>
        <v>0</v>
      </c>
      <c r="BK107" s="268">
        <v>0</v>
      </c>
      <c r="BL107" s="268"/>
      <c r="BM107" s="269">
        <f t="shared" si="79"/>
        <v>300000000</v>
      </c>
      <c r="BN107" s="272">
        <f t="shared" si="90"/>
        <v>0</v>
      </c>
      <c r="BO107" s="272">
        <f t="shared" si="90"/>
        <v>0.01</v>
      </c>
      <c r="BP107" s="1695"/>
      <c r="BQ107" s="354">
        <f t="shared" si="63"/>
        <v>-250000</v>
      </c>
      <c r="BR107" s="1695"/>
      <c r="BS107" s="1695"/>
      <c r="BU107" s="267">
        <f t="shared" si="91"/>
        <v>0</v>
      </c>
      <c r="BV107" s="268">
        <f t="shared" si="58"/>
        <v>0</v>
      </c>
      <c r="BW107" s="268">
        <f t="shared" si="104"/>
        <v>0</v>
      </c>
      <c r="BX107" s="268">
        <f t="shared" si="87"/>
        <v>0</v>
      </c>
      <c r="BY107" s="268">
        <f>IF('Cashflow trend'!$L$13&lt;=$C107,-$AY107,0)</f>
        <v>0</v>
      </c>
      <c r="BZ107" s="269">
        <f t="shared" si="80"/>
        <v>0</v>
      </c>
      <c r="CA107" s="272">
        <f t="shared" si="71"/>
        <v>2.4844599999999998E-2</v>
      </c>
      <c r="CB107" s="272">
        <f t="shared" ref="CB107" si="108">CB106</f>
        <v>0.01</v>
      </c>
      <c r="CC107" s="1695"/>
      <c r="CD107" s="1478">
        <f t="shared" si="45"/>
        <v>0</v>
      </c>
      <c r="CE107" s="1695"/>
      <c r="CF107" s="1695"/>
    </row>
    <row r="108" spans="1:84" ht="15.75" customHeight="1">
      <c r="A108" s="270" t="s">
        <v>512</v>
      </c>
      <c r="B108" s="266">
        <v>2023</v>
      </c>
      <c r="C108" s="1504">
        <v>45078</v>
      </c>
      <c r="D108" s="1717"/>
      <c r="E108" s="265">
        <f t="shared" si="64"/>
        <v>582000000</v>
      </c>
      <c r="F108" s="267">
        <f t="shared" si="59"/>
        <v>99</v>
      </c>
      <c r="G108" s="268" t="e">
        <f t="shared" si="106"/>
        <v>#REF!</v>
      </c>
      <c r="H108" s="268" t="e">
        <f>-ROUNDDOWN(J107*#REF!,0)</f>
        <v>#REF!</v>
      </c>
      <c r="I108" s="268" t="e">
        <f>IF(ROUNDDOWN(J107,0)=0,0,-#REF!)</f>
        <v>#REF!</v>
      </c>
      <c r="J108" s="269" t="e">
        <f t="shared" si="55"/>
        <v>#REF!</v>
      </c>
      <c r="K108" s="1695"/>
      <c r="L108" s="1695"/>
      <c r="M108" s="1695"/>
      <c r="O108" s="267">
        <f t="shared" si="60"/>
        <v>99</v>
      </c>
      <c r="P108" s="268" t="e">
        <f t="shared" si="51"/>
        <v>#REF!</v>
      </c>
      <c r="Q108" s="268" t="e">
        <f>-S107*#REF!</f>
        <v>#REF!</v>
      </c>
      <c r="R108" s="268" t="e">
        <f>IF(ROUNDDOWN(S107,0)=0,0,-#REF!)</f>
        <v>#REF!</v>
      </c>
      <c r="S108" s="269" t="e">
        <f t="shared" si="56"/>
        <v>#REF!</v>
      </c>
      <c r="T108" s="1695"/>
      <c r="U108" s="1695"/>
      <c r="V108" s="1695"/>
      <c r="X108" s="267">
        <f t="shared" si="61"/>
        <v>99</v>
      </c>
      <c r="Y108" s="268" t="e">
        <f t="shared" si="52"/>
        <v>#REF!</v>
      </c>
      <c r="Z108" s="268" t="e">
        <f>-AB107*#REF!</f>
        <v>#REF!</v>
      </c>
      <c r="AA108" s="268" t="e">
        <f>IF(ROUNDDOWN(AB107,0)=0,0,-#REF!)</f>
        <v>#REF!</v>
      </c>
      <c r="AB108" s="269" t="e">
        <f t="shared" si="57"/>
        <v>#REF!</v>
      </c>
      <c r="AC108" s="1695"/>
      <c r="AD108" s="1695"/>
      <c r="AE108" s="1695"/>
      <c r="AG108" s="1710"/>
      <c r="AH108" s="1710"/>
      <c r="AI108" s="1710"/>
      <c r="AK108" s="267">
        <f t="shared" si="62"/>
        <v>99</v>
      </c>
      <c r="AL108" s="268" t="e">
        <f t="shared" si="53"/>
        <v>#REF!</v>
      </c>
      <c r="AM108" s="268" t="e">
        <f>-AO107*#REF!</f>
        <v>#REF!</v>
      </c>
      <c r="AN108" s="268" t="e">
        <f t="shared" si="107"/>
        <v>#REF!</v>
      </c>
      <c r="AO108" s="269" t="e">
        <f t="shared" si="47"/>
        <v>#REF!</v>
      </c>
      <c r="AP108" s="1695"/>
      <c r="AQ108" s="1695"/>
      <c r="AR108" s="1695"/>
      <c r="AS108" s="1711"/>
      <c r="AU108" s="267">
        <f t="shared" si="65"/>
        <v>93</v>
      </c>
      <c r="AV108" s="268">
        <f t="shared" si="77"/>
        <v>-49803348.583333336</v>
      </c>
      <c r="AW108" s="268">
        <f t="shared" si="96"/>
        <v>-1303348.5833333335</v>
      </c>
      <c r="AX108" s="1490">
        <v>-48500000</v>
      </c>
      <c r="AY108" s="268">
        <f>IF('Cashflow trend'!$L$13&lt;=$C108,-$BA107,$AX108)</f>
        <v>-48500000</v>
      </c>
      <c r="AZ108" s="268"/>
      <c r="BA108" s="269">
        <f t="shared" si="66"/>
        <v>582000000</v>
      </c>
      <c r="BB108" s="272">
        <f t="shared" si="68"/>
        <v>2.4806000000000002E-2</v>
      </c>
      <c r="BC108" s="272">
        <f t="shared" si="68"/>
        <v>0.01</v>
      </c>
      <c r="BD108" s="1695"/>
      <c r="BE108" s="354">
        <f t="shared" si="40"/>
        <v>-525416.66666666663</v>
      </c>
      <c r="BF108" s="1695"/>
      <c r="BG108" s="1695"/>
      <c r="BI108" s="268">
        <f t="shared" si="41"/>
        <v>0</v>
      </c>
      <c r="BJ108" s="268">
        <f t="shared" si="42"/>
        <v>0</v>
      </c>
      <c r="BK108" s="268">
        <v>0</v>
      </c>
      <c r="BL108" s="277">
        <v>50000000</v>
      </c>
      <c r="BM108" s="269">
        <f t="shared" si="79"/>
        <v>350000000</v>
      </c>
      <c r="BN108" s="272">
        <f t="shared" si="90"/>
        <v>0</v>
      </c>
      <c r="BO108" s="272">
        <f t="shared" si="90"/>
        <v>0.01</v>
      </c>
      <c r="BP108" s="1695"/>
      <c r="BQ108" s="354">
        <f t="shared" si="63"/>
        <v>-250000</v>
      </c>
      <c r="BR108" s="1695"/>
      <c r="BS108" s="1695"/>
      <c r="BU108" s="267">
        <f>IF(OR($BU107=0,$BU107&gt;=60),IF($BY107&lt;&gt;0,1,0),$BU107+1)</f>
        <v>0</v>
      </c>
      <c r="BV108" s="268">
        <f t="shared" si="58"/>
        <v>0</v>
      </c>
      <c r="BW108" s="268">
        <f t="shared" si="104"/>
        <v>0</v>
      </c>
      <c r="BX108" s="268">
        <f>IF($BU108&lt;&gt;0,-$BY$202/60,0)</f>
        <v>0</v>
      </c>
      <c r="BY108" s="268">
        <f>IF('Cashflow trend'!$L$13&lt;=$C108,-$AY108,0)</f>
        <v>0</v>
      </c>
      <c r="BZ108" s="269">
        <f t="shared" si="80"/>
        <v>0</v>
      </c>
      <c r="CA108" s="272">
        <f t="shared" si="71"/>
        <v>2.4844599999999998E-2</v>
      </c>
      <c r="CB108" s="272">
        <f t="shared" ref="CB108" si="109">CB107</f>
        <v>0.01</v>
      </c>
      <c r="CC108" s="1695"/>
      <c r="CD108" s="1478">
        <f t="shared" si="45"/>
        <v>0</v>
      </c>
      <c r="CE108" s="1695"/>
      <c r="CF108" s="1695"/>
    </row>
    <row r="109" spans="1:84" ht="15.75" customHeight="1">
      <c r="A109" s="270" t="s">
        <v>513</v>
      </c>
      <c r="B109" s="266">
        <v>2023</v>
      </c>
      <c r="C109" s="1504">
        <v>45108</v>
      </c>
      <c r="D109" s="1717"/>
      <c r="E109" s="265">
        <f t="shared" si="64"/>
        <v>582000000</v>
      </c>
      <c r="F109" s="267">
        <f t="shared" si="59"/>
        <v>100</v>
      </c>
      <c r="G109" s="268" t="e">
        <f t="shared" si="106"/>
        <v>#REF!</v>
      </c>
      <c r="H109" s="268" t="e">
        <f>-ROUNDDOWN(J108*#REF!,0)</f>
        <v>#REF!</v>
      </c>
      <c r="I109" s="268" t="e">
        <f>IF(ROUNDDOWN(J108,0)=0,0,-#REF!)</f>
        <v>#REF!</v>
      </c>
      <c r="J109" s="269" t="e">
        <f t="shared" si="55"/>
        <v>#REF!</v>
      </c>
      <c r="K109" s="1695"/>
      <c r="L109" s="1695"/>
      <c r="M109" s="1695"/>
      <c r="O109" s="267">
        <f t="shared" si="60"/>
        <v>100</v>
      </c>
      <c r="P109" s="268" t="e">
        <f t="shared" si="51"/>
        <v>#REF!</v>
      </c>
      <c r="Q109" s="268" t="e">
        <f>-S108*#REF!</f>
        <v>#REF!</v>
      </c>
      <c r="R109" s="268" t="e">
        <f>IF(ROUNDDOWN(S108,0)=0,0,-#REF!)</f>
        <v>#REF!</v>
      </c>
      <c r="S109" s="269" t="e">
        <f t="shared" si="56"/>
        <v>#REF!</v>
      </c>
      <c r="T109" s="1695"/>
      <c r="U109" s="1695"/>
      <c r="V109" s="1695"/>
      <c r="X109" s="267">
        <f t="shared" si="61"/>
        <v>100</v>
      </c>
      <c r="Y109" s="268" t="e">
        <f t="shared" si="52"/>
        <v>#REF!</v>
      </c>
      <c r="Z109" s="268" t="e">
        <f>-AB108*#REF!</f>
        <v>#REF!</v>
      </c>
      <c r="AA109" s="268" t="e">
        <f>IF(ROUNDDOWN(AB108,0)=0,0,-#REF!)</f>
        <v>#REF!</v>
      </c>
      <c r="AB109" s="269" t="e">
        <f t="shared" si="57"/>
        <v>#REF!</v>
      </c>
      <c r="AC109" s="1695"/>
      <c r="AD109" s="1695"/>
      <c r="AE109" s="1695"/>
      <c r="AG109" s="1710"/>
      <c r="AH109" s="1710"/>
      <c r="AI109" s="1710"/>
      <c r="AK109" s="267">
        <f t="shared" si="62"/>
        <v>100</v>
      </c>
      <c r="AL109" s="268" t="e">
        <f t="shared" si="53"/>
        <v>#REF!</v>
      </c>
      <c r="AM109" s="268" t="e">
        <f>-AO108*#REF!</f>
        <v>#REF!</v>
      </c>
      <c r="AN109" s="268" t="e">
        <f t="shared" si="107"/>
        <v>#REF!</v>
      </c>
      <c r="AO109" s="269" t="e">
        <f t="shared" si="47"/>
        <v>#REF!</v>
      </c>
      <c r="AP109" s="1695"/>
      <c r="AQ109" s="1695"/>
      <c r="AR109" s="1695"/>
      <c r="AS109" s="1711"/>
      <c r="AU109" s="267">
        <f t="shared" si="65"/>
        <v>94</v>
      </c>
      <c r="AV109" s="268">
        <f t="shared" si="77"/>
        <v>-1203091.0000000002</v>
      </c>
      <c r="AW109" s="268">
        <f>-BA108*BB108/12</f>
        <v>-1203091.0000000002</v>
      </c>
      <c r="AX109" s="1490">
        <v>0</v>
      </c>
      <c r="AY109" s="268">
        <f>IF('Cashflow trend'!$L$13&lt;=$C109,-$BA108,$AX109)</f>
        <v>0</v>
      </c>
      <c r="AZ109" s="268"/>
      <c r="BA109" s="269">
        <f t="shared" si="66"/>
        <v>582000000</v>
      </c>
      <c r="BB109" s="272">
        <f t="shared" si="68"/>
        <v>2.4806000000000002E-2</v>
      </c>
      <c r="BC109" s="272">
        <f t="shared" si="68"/>
        <v>0.01</v>
      </c>
      <c r="BD109" s="1695"/>
      <c r="BE109" s="354">
        <f t="shared" si="40"/>
        <v>-485000</v>
      </c>
      <c r="BF109" s="1695"/>
      <c r="BG109" s="1695"/>
      <c r="BI109" s="268">
        <f t="shared" si="41"/>
        <v>0</v>
      </c>
      <c r="BJ109" s="268">
        <f>-BM108*BN108/12</f>
        <v>0</v>
      </c>
      <c r="BK109" s="268">
        <v>0</v>
      </c>
      <c r="BL109" s="268"/>
      <c r="BM109" s="269">
        <f t="shared" si="79"/>
        <v>350000000</v>
      </c>
      <c r="BN109" s="272">
        <f t="shared" si="90"/>
        <v>0</v>
      </c>
      <c r="BO109" s="272">
        <f t="shared" si="90"/>
        <v>0.01</v>
      </c>
      <c r="BP109" s="1695"/>
      <c r="BQ109" s="354">
        <f t="shared" si="63"/>
        <v>-291666.66666666669</v>
      </c>
      <c r="BR109" s="1695"/>
      <c r="BS109" s="1695"/>
      <c r="BU109" s="267">
        <f t="shared" ref="BU109:BU172" si="110">IF(OR($BU108=0,$BU108&gt;=60),IF($BY108&lt;&gt;0,1,0),$BU108+1)</f>
        <v>0</v>
      </c>
      <c r="BV109" s="268">
        <f t="shared" si="58"/>
        <v>0</v>
      </c>
      <c r="BW109" s="268">
        <f>-BZ108*CA108/12</f>
        <v>0</v>
      </c>
      <c r="BX109" s="268">
        <f t="shared" ref="BX109:BX172" si="111">IF($BU109&lt;&gt;0,-$BY$202/60,0)</f>
        <v>0</v>
      </c>
      <c r="BY109" s="268">
        <f>IF('Cashflow trend'!$L$13&lt;=$C109,-$AY109,0)</f>
        <v>0</v>
      </c>
      <c r="BZ109" s="269">
        <f t="shared" si="80"/>
        <v>0</v>
      </c>
      <c r="CA109" s="272">
        <f t="shared" si="71"/>
        <v>2.4844599999999998E-2</v>
      </c>
      <c r="CB109" s="272">
        <f t="shared" ref="CB109" si="112">CB108</f>
        <v>0.01</v>
      </c>
      <c r="CC109" s="1695"/>
      <c r="CD109" s="1478">
        <f t="shared" si="45"/>
        <v>0</v>
      </c>
      <c r="CE109" s="1695"/>
      <c r="CF109" s="1695"/>
    </row>
    <row r="110" spans="1:84" ht="15.75" customHeight="1">
      <c r="A110" s="270" t="s">
        <v>514</v>
      </c>
      <c r="B110" s="266">
        <v>2023</v>
      </c>
      <c r="C110" s="1504">
        <v>45139</v>
      </c>
      <c r="D110" s="1717"/>
      <c r="E110" s="265">
        <f t="shared" si="64"/>
        <v>582000000</v>
      </c>
      <c r="F110" s="267">
        <f t="shared" si="59"/>
        <v>101</v>
      </c>
      <c r="G110" s="268" t="e">
        <f t="shared" si="106"/>
        <v>#REF!</v>
      </c>
      <c r="H110" s="268" t="e">
        <f>-ROUNDDOWN(J109*#REF!,0)</f>
        <v>#REF!</v>
      </c>
      <c r="I110" s="268" t="e">
        <f>IF(ROUNDDOWN(J109,0)=0,0,-#REF!)</f>
        <v>#REF!</v>
      </c>
      <c r="J110" s="269" t="e">
        <f t="shared" si="55"/>
        <v>#REF!</v>
      </c>
      <c r="K110" s="1695"/>
      <c r="L110" s="1695"/>
      <c r="M110" s="1695"/>
      <c r="O110" s="267">
        <f t="shared" si="60"/>
        <v>101</v>
      </c>
      <c r="P110" s="268" t="e">
        <f t="shared" si="51"/>
        <v>#REF!</v>
      </c>
      <c r="Q110" s="268" t="e">
        <f>-S109*#REF!</f>
        <v>#REF!</v>
      </c>
      <c r="R110" s="268" t="e">
        <f>IF(ROUNDDOWN(S109,0)=0,0,-#REF!)</f>
        <v>#REF!</v>
      </c>
      <c r="S110" s="269" t="e">
        <f t="shared" si="56"/>
        <v>#REF!</v>
      </c>
      <c r="T110" s="1695"/>
      <c r="U110" s="1695"/>
      <c r="V110" s="1695"/>
      <c r="X110" s="267">
        <f t="shared" si="61"/>
        <v>101</v>
      </c>
      <c r="Y110" s="268" t="e">
        <f t="shared" si="52"/>
        <v>#REF!</v>
      </c>
      <c r="Z110" s="268" t="e">
        <f>-AB109*#REF!</f>
        <v>#REF!</v>
      </c>
      <c r="AA110" s="268" t="e">
        <f>IF(ROUNDDOWN(AB109,0)=0,0,-#REF!)</f>
        <v>#REF!</v>
      </c>
      <c r="AB110" s="269" t="e">
        <f t="shared" si="57"/>
        <v>#REF!</v>
      </c>
      <c r="AC110" s="1695"/>
      <c r="AD110" s="1695"/>
      <c r="AE110" s="1695"/>
      <c r="AG110" s="1710"/>
      <c r="AH110" s="1710"/>
      <c r="AI110" s="1710"/>
      <c r="AK110" s="267">
        <f t="shared" si="62"/>
        <v>101</v>
      </c>
      <c r="AL110" s="268" t="e">
        <f t="shared" si="53"/>
        <v>#REF!</v>
      </c>
      <c r="AM110" s="268" t="e">
        <f>-AO109*#REF!</f>
        <v>#REF!</v>
      </c>
      <c r="AN110" s="268" t="e">
        <f t="shared" si="107"/>
        <v>#REF!</v>
      </c>
      <c r="AO110" s="269" t="e">
        <f t="shared" si="47"/>
        <v>#REF!</v>
      </c>
      <c r="AP110" s="1695"/>
      <c r="AQ110" s="1695"/>
      <c r="AR110" s="1695"/>
      <c r="AS110" s="1711"/>
      <c r="AU110" s="267">
        <f t="shared" si="65"/>
        <v>95</v>
      </c>
      <c r="AV110" s="268">
        <f t="shared" si="77"/>
        <v>-1203091.0000000002</v>
      </c>
      <c r="AW110" s="268">
        <f t="shared" si="96"/>
        <v>-1203091.0000000002</v>
      </c>
      <c r="AX110" s="1490">
        <v>0</v>
      </c>
      <c r="AY110" s="268">
        <f>IF('Cashflow trend'!$L$13&lt;=$C110,-$BA109,$AX110)</f>
        <v>0</v>
      </c>
      <c r="AZ110" s="268"/>
      <c r="BA110" s="269">
        <f t="shared" si="66"/>
        <v>582000000</v>
      </c>
      <c r="BB110" s="272">
        <f t="shared" si="68"/>
        <v>2.4806000000000002E-2</v>
      </c>
      <c r="BC110" s="272">
        <f t="shared" si="68"/>
        <v>0.01</v>
      </c>
      <c r="BD110" s="1695"/>
      <c r="BE110" s="354">
        <f t="shared" si="40"/>
        <v>-485000</v>
      </c>
      <c r="BF110" s="1695"/>
      <c r="BG110" s="1695"/>
      <c r="BI110" s="268">
        <f t="shared" si="41"/>
        <v>0</v>
      </c>
      <c r="BJ110" s="268">
        <f t="shared" ref="BJ110:BJ153" si="113">-BM109*BN109/12</f>
        <v>0</v>
      </c>
      <c r="BK110" s="268">
        <v>0</v>
      </c>
      <c r="BL110" s="268"/>
      <c r="BM110" s="269">
        <f t="shared" si="79"/>
        <v>350000000</v>
      </c>
      <c r="BN110" s="272">
        <f t="shared" si="90"/>
        <v>0</v>
      </c>
      <c r="BO110" s="272">
        <f t="shared" si="90"/>
        <v>0.01</v>
      </c>
      <c r="BP110" s="1695"/>
      <c r="BQ110" s="354">
        <f t="shared" si="63"/>
        <v>-291666.66666666669</v>
      </c>
      <c r="BR110" s="1695"/>
      <c r="BS110" s="1695"/>
      <c r="BU110" s="267">
        <f t="shared" si="110"/>
        <v>0</v>
      </c>
      <c r="BV110" s="268">
        <f t="shared" si="58"/>
        <v>0</v>
      </c>
      <c r="BW110" s="268">
        <f t="shared" ref="BW110:BW153" si="114">-BZ109*CA109/12</f>
        <v>0</v>
      </c>
      <c r="BX110" s="268">
        <f t="shared" si="111"/>
        <v>0</v>
      </c>
      <c r="BY110" s="268">
        <f>IF('Cashflow trend'!$L$13&lt;=$C110,-$AY110,0)</f>
        <v>0</v>
      </c>
      <c r="BZ110" s="269">
        <f t="shared" si="80"/>
        <v>0</v>
      </c>
      <c r="CA110" s="272">
        <f t="shared" si="71"/>
        <v>2.4844599999999998E-2</v>
      </c>
      <c r="CB110" s="272">
        <f t="shared" ref="CB110" si="115">CB109</f>
        <v>0.01</v>
      </c>
      <c r="CC110" s="1695"/>
      <c r="CD110" s="1478">
        <f t="shared" si="45"/>
        <v>0</v>
      </c>
      <c r="CE110" s="1695"/>
      <c r="CF110" s="1695"/>
    </row>
    <row r="111" spans="1:84" ht="16.5" customHeight="1" thickBot="1">
      <c r="A111" s="270" t="s">
        <v>515</v>
      </c>
      <c r="B111" s="266">
        <v>2023</v>
      </c>
      <c r="C111" s="1504">
        <v>45170</v>
      </c>
      <c r="D111" s="1718"/>
      <c r="E111" s="265">
        <f t="shared" si="64"/>
        <v>533500000</v>
      </c>
      <c r="F111" s="267">
        <f t="shared" si="59"/>
        <v>102</v>
      </c>
      <c r="G111" s="268" t="e">
        <f t="shared" si="106"/>
        <v>#REF!</v>
      </c>
      <c r="H111" s="268" t="e">
        <f>-ROUNDDOWN(J110*#REF!,0)</f>
        <v>#REF!</v>
      </c>
      <c r="I111" s="268" t="e">
        <f>IF(ROUNDDOWN(J110,0)=0,0,-#REF!)</f>
        <v>#REF!</v>
      </c>
      <c r="J111" s="269" t="e">
        <f t="shared" si="55"/>
        <v>#REF!</v>
      </c>
      <c r="K111" s="1695"/>
      <c r="L111" s="1695"/>
      <c r="M111" s="1695"/>
      <c r="O111" s="267">
        <f t="shared" si="60"/>
        <v>102</v>
      </c>
      <c r="P111" s="268" t="e">
        <f t="shared" si="51"/>
        <v>#REF!</v>
      </c>
      <c r="Q111" s="268" t="e">
        <f>-S110*#REF!</f>
        <v>#REF!</v>
      </c>
      <c r="R111" s="268" t="e">
        <f>IF(ROUNDDOWN(S110,0)=0,0,-#REF!)</f>
        <v>#REF!</v>
      </c>
      <c r="S111" s="269" t="e">
        <f t="shared" si="56"/>
        <v>#REF!</v>
      </c>
      <c r="T111" s="1695"/>
      <c r="U111" s="1695"/>
      <c r="V111" s="1695"/>
      <c r="X111" s="267">
        <f t="shared" si="61"/>
        <v>102</v>
      </c>
      <c r="Y111" s="268" t="e">
        <f t="shared" si="52"/>
        <v>#REF!</v>
      </c>
      <c r="Z111" s="268" t="e">
        <f>-AB110*#REF!</f>
        <v>#REF!</v>
      </c>
      <c r="AA111" s="268" t="e">
        <f>IF(ROUNDDOWN(AB110,0)=0,0,-#REF!)</f>
        <v>#REF!</v>
      </c>
      <c r="AB111" s="269" t="e">
        <f t="shared" si="57"/>
        <v>#REF!</v>
      </c>
      <c r="AC111" s="1695"/>
      <c r="AD111" s="1695"/>
      <c r="AE111" s="1695"/>
      <c r="AG111" s="1710"/>
      <c r="AH111" s="1710"/>
      <c r="AI111" s="1710"/>
      <c r="AK111" s="267">
        <f t="shared" si="62"/>
        <v>102</v>
      </c>
      <c r="AL111" s="268" t="e">
        <f t="shared" si="53"/>
        <v>#REF!</v>
      </c>
      <c r="AM111" s="268" t="e">
        <f>-AO110*#REF!</f>
        <v>#REF!</v>
      </c>
      <c r="AN111" s="268" t="e">
        <f t="shared" si="107"/>
        <v>#REF!</v>
      </c>
      <c r="AO111" s="269" t="e">
        <f t="shared" si="47"/>
        <v>#REF!</v>
      </c>
      <c r="AP111" s="1695"/>
      <c r="AQ111" s="1695"/>
      <c r="AR111" s="1695"/>
      <c r="AS111" s="1711"/>
      <c r="AU111" s="267">
        <f t="shared" si="65"/>
        <v>96</v>
      </c>
      <c r="AV111" s="268">
        <f t="shared" si="77"/>
        <v>-49703091</v>
      </c>
      <c r="AW111" s="268">
        <f t="shared" si="96"/>
        <v>-1203091.0000000002</v>
      </c>
      <c r="AX111" s="1490">
        <v>-48500000</v>
      </c>
      <c r="AY111" s="268">
        <f>IF('Cashflow trend'!$L$13&lt;=$C111,-$BA110,$AX111)</f>
        <v>-48500000</v>
      </c>
      <c r="AZ111" s="268"/>
      <c r="BA111" s="269">
        <f t="shared" si="66"/>
        <v>533500000</v>
      </c>
      <c r="BB111" s="272">
        <f t="shared" si="68"/>
        <v>2.4806000000000002E-2</v>
      </c>
      <c r="BC111" s="272">
        <f t="shared" si="68"/>
        <v>0.01</v>
      </c>
      <c r="BD111" s="1695"/>
      <c r="BE111" s="354">
        <f t="shared" si="40"/>
        <v>-485000</v>
      </c>
      <c r="BF111" s="1695"/>
      <c r="BG111" s="1695"/>
      <c r="BI111" s="268">
        <f t="shared" si="41"/>
        <v>0</v>
      </c>
      <c r="BJ111" s="268">
        <f t="shared" si="113"/>
        <v>0</v>
      </c>
      <c r="BK111" s="268"/>
      <c r="BL111" s="268">
        <v>0</v>
      </c>
      <c r="BM111" s="269">
        <f t="shared" si="79"/>
        <v>350000000</v>
      </c>
      <c r="BN111" s="272">
        <f t="shared" si="90"/>
        <v>0</v>
      </c>
      <c r="BO111" s="272">
        <f t="shared" si="90"/>
        <v>0.01</v>
      </c>
      <c r="BP111" s="1695"/>
      <c r="BQ111" s="354">
        <f t="shared" si="63"/>
        <v>-291666.66666666669</v>
      </c>
      <c r="BR111" s="1695"/>
      <c r="BS111" s="1695"/>
      <c r="BU111" s="267">
        <f t="shared" si="110"/>
        <v>0</v>
      </c>
      <c r="BV111" s="268">
        <f t="shared" si="58"/>
        <v>0</v>
      </c>
      <c r="BW111" s="268">
        <f t="shared" si="114"/>
        <v>0</v>
      </c>
      <c r="BX111" s="268">
        <f t="shared" si="111"/>
        <v>0</v>
      </c>
      <c r="BY111" s="268">
        <f>IF('Cashflow trend'!$L$13&lt;=$C111,-$AY111,0)</f>
        <v>0</v>
      </c>
      <c r="BZ111" s="269">
        <f t="shared" si="80"/>
        <v>0</v>
      </c>
      <c r="CA111" s="272">
        <f t="shared" si="71"/>
        <v>2.4844599999999998E-2</v>
      </c>
      <c r="CB111" s="272">
        <f t="shared" ref="CB111" si="116">CB110</f>
        <v>0.01</v>
      </c>
      <c r="CC111" s="1695"/>
      <c r="CD111" s="1478">
        <f t="shared" si="45"/>
        <v>0</v>
      </c>
      <c r="CE111" s="1695"/>
      <c r="CF111" s="1695"/>
    </row>
    <row r="112" spans="1:84" ht="15">
      <c r="A112" s="270" t="s">
        <v>516</v>
      </c>
      <c r="B112" s="266">
        <v>2023</v>
      </c>
      <c r="C112" s="1504">
        <v>45200</v>
      </c>
      <c r="D112" s="1712">
        <v>6.8750000000000006E-2</v>
      </c>
      <c r="E112" s="265">
        <f t="shared" si="64"/>
        <v>533500000</v>
      </c>
      <c r="F112" s="267">
        <f t="shared" si="59"/>
        <v>103</v>
      </c>
      <c r="G112" s="268" t="e">
        <f t="shared" si="106"/>
        <v>#REF!</v>
      </c>
      <c r="H112" s="268" t="e">
        <f>-ROUNDDOWN(J111*#REF!,0)</f>
        <v>#REF!</v>
      </c>
      <c r="I112" s="268" t="e">
        <f>IF(ROUNDDOWN(J111,0)=0,0,-#REF!)</f>
        <v>#REF!</v>
      </c>
      <c r="J112" s="269" t="e">
        <f t="shared" si="55"/>
        <v>#REF!</v>
      </c>
      <c r="K112" s="1695"/>
      <c r="L112" s="1695"/>
      <c r="M112" s="1695"/>
      <c r="O112" s="267">
        <f t="shared" si="60"/>
        <v>103</v>
      </c>
      <c r="P112" s="268" t="e">
        <f t="shared" si="51"/>
        <v>#REF!</v>
      </c>
      <c r="Q112" s="268" t="e">
        <f>-S111*#REF!</f>
        <v>#REF!</v>
      </c>
      <c r="R112" s="268" t="e">
        <f>IF(ROUNDDOWN(S111,0)=0,0,-#REF!)</f>
        <v>#REF!</v>
      </c>
      <c r="S112" s="269" t="e">
        <f t="shared" si="56"/>
        <v>#REF!</v>
      </c>
      <c r="T112" s="1695"/>
      <c r="U112" s="1695"/>
      <c r="V112" s="1695"/>
      <c r="X112" s="267">
        <f t="shared" si="61"/>
        <v>103</v>
      </c>
      <c r="Y112" s="268" t="e">
        <f t="shared" si="52"/>
        <v>#REF!</v>
      </c>
      <c r="Z112" s="268" t="e">
        <f>-AB111*#REF!</f>
        <v>#REF!</v>
      </c>
      <c r="AA112" s="268" t="e">
        <f>IF(ROUNDDOWN(AB111,0)=0,0,-#REF!)</f>
        <v>#REF!</v>
      </c>
      <c r="AB112" s="269" t="e">
        <f t="shared" si="57"/>
        <v>#REF!</v>
      </c>
      <c r="AC112" s="1695"/>
      <c r="AD112" s="1695"/>
      <c r="AE112" s="1695"/>
      <c r="AG112" s="1710"/>
      <c r="AH112" s="1710"/>
      <c r="AI112" s="1710"/>
      <c r="AK112" s="267">
        <f t="shared" si="62"/>
        <v>103</v>
      </c>
      <c r="AL112" s="268" t="e">
        <f t="shared" si="53"/>
        <v>#REF!</v>
      </c>
      <c r="AM112" s="268" t="e">
        <f>-AO111*#REF!</f>
        <v>#REF!</v>
      </c>
      <c r="AN112" s="268" t="e">
        <f t="shared" si="107"/>
        <v>#REF!</v>
      </c>
      <c r="AO112" s="269" t="e">
        <f t="shared" si="47"/>
        <v>#REF!</v>
      </c>
      <c r="AP112" s="1695"/>
      <c r="AQ112" s="1695"/>
      <c r="AR112" s="1695"/>
      <c r="AS112" s="1711"/>
      <c r="AU112" s="267">
        <f t="shared" si="65"/>
        <v>97</v>
      </c>
      <c r="AV112" s="268">
        <f t="shared" si="77"/>
        <v>-1102833.4166666667</v>
      </c>
      <c r="AW112" s="268">
        <f t="shared" si="96"/>
        <v>-1102833.4166666667</v>
      </c>
      <c r="AX112" s="1490">
        <v>0</v>
      </c>
      <c r="AY112" s="268">
        <f>IF('Cashflow trend'!$L$13&lt;=$C112,-$BA111,$AX112)</f>
        <v>0</v>
      </c>
      <c r="AZ112" s="268"/>
      <c r="BA112" s="269">
        <f t="shared" si="66"/>
        <v>533500000</v>
      </c>
      <c r="BB112" s="272">
        <f t="shared" si="68"/>
        <v>2.4806000000000002E-2</v>
      </c>
      <c r="BC112" s="272">
        <f t="shared" si="68"/>
        <v>0.01</v>
      </c>
      <c r="BD112" s="1695"/>
      <c r="BE112" s="354">
        <f t="shared" si="40"/>
        <v>-444583.33333333331</v>
      </c>
      <c r="BF112" s="1695"/>
      <c r="BG112" s="1695"/>
      <c r="BI112" s="268">
        <f t="shared" si="41"/>
        <v>0</v>
      </c>
      <c r="BJ112" s="268">
        <f t="shared" si="113"/>
        <v>0</v>
      </c>
      <c r="BK112" s="268">
        <v>0</v>
      </c>
      <c r="BL112" s="268"/>
      <c r="BM112" s="269">
        <f t="shared" si="79"/>
        <v>350000000</v>
      </c>
      <c r="BN112" s="272">
        <f t="shared" si="90"/>
        <v>0</v>
      </c>
      <c r="BO112" s="272">
        <f t="shared" si="90"/>
        <v>0.01</v>
      </c>
      <c r="BP112" s="1695"/>
      <c r="BQ112" s="354">
        <f t="shared" si="63"/>
        <v>-291666.66666666669</v>
      </c>
      <c r="BR112" s="1695"/>
      <c r="BS112" s="1695"/>
      <c r="BU112" s="267">
        <f t="shared" si="110"/>
        <v>0</v>
      </c>
      <c r="BV112" s="268">
        <f t="shared" si="58"/>
        <v>0</v>
      </c>
      <c r="BW112" s="268">
        <f t="shared" si="114"/>
        <v>0</v>
      </c>
      <c r="BX112" s="268">
        <f t="shared" si="111"/>
        <v>0</v>
      </c>
      <c r="BY112" s="268">
        <f>IF('Cashflow trend'!$L$13&lt;=$C112,-$AY112,0)</f>
        <v>0</v>
      </c>
      <c r="BZ112" s="269">
        <f>SUM(BX112:BY112)+BZ111</f>
        <v>0</v>
      </c>
      <c r="CA112" s="272">
        <f t="shared" si="71"/>
        <v>2.4844599999999998E-2</v>
      </c>
      <c r="CB112" s="272">
        <f t="shared" ref="CB112" si="117">CB111</f>
        <v>0.01</v>
      </c>
      <c r="CC112" s="1695"/>
      <c r="CD112" s="1478">
        <f t="shared" si="45"/>
        <v>0</v>
      </c>
      <c r="CE112" s="1695"/>
      <c r="CF112" s="1695"/>
    </row>
    <row r="113" spans="1:84" ht="15.75" customHeight="1">
      <c r="A113" s="270" t="s">
        <v>517</v>
      </c>
      <c r="B113" s="266">
        <v>2023</v>
      </c>
      <c r="C113" s="1504">
        <v>45231</v>
      </c>
      <c r="D113" s="1713"/>
      <c r="E113" s="265">
        <f t="shared" si="64"/>
        <v>533500000</v>
      </c>
      <c r="F113" s="267">
        <f t="shared" si="59"/>
        <v>104</v>
      </c>
      <c r="G113" s="268" t="e">
        <f t="shared" si="106"/>
        <v>#REF!</v>
      </c>
      <c r="H113" s="268" t="e">
        <f>-ROUNDDOWN(J112*#REF!,0)</f>
        <v>#REF!</v>
      </c>
      <c r="I113" s="268" t="e">
        <f>IF(ROUNDDOWN(J112,0)=0,0,-#REF!)</f>
        <v>#REF!</v>
      </c>
      <c r="J113" s="269" t="e">
        <f t="shared" si="55"/>
        <v>#REF!</v>
      </c>
      <c r="K113" s="1695"/>
      <c r="L113" s="1695"/>
      <c r="M113" s="1695"/>
      <c r="O113" s="267">
        <f t="shared" si="60"/>
        <v>104</v>
      </c>
      <c r="P113" s="268" t="e">
        <f t="shared" si="51"/>
        <v>#REF!</v>
      </c>
      <c r="Q113" s="268" t="e">
        <f>-S112*#REF!</f>
        <v>#REF!</v>
      </c>
      <c r="R113" s="268" t="e">
        <f>IF(ROUNDDOWN(S112,0)=0,0,-#REF!)</f>
        <v>#REF!</v>
      </c>
      <c r="S113" s="269" t="e">
        <f t="shared" si="56"/>
        <v>#REF!</v>
      </c>
      <c r="T113" s="1695"/>
      <c r="U113" s="1695"/>
      <c r="V113" s="1695"/>
      <c r="X113" s="267">
        <f t="shared" si="61"/>
        <v>104</v>
      </c>
      <c r="Y113" s="268" t="e">
        <f t="shared" si="52"/>
        <v>#REF!</v>
      </c>
      <c r="Z113" s="268" t="e">
        <f>-AB112*#REF!</f>
        <v>#REF!</v>
      </c>
      <c r="AA113" s="268" t="e">
        <f>IF(ROUNDDOWN(AB112,0)=0,0,-#REF!)</f>
        <v>#REF!</v>
      </c>
      <c r="AB113" s="269" t="e">
        <f t="shared" si="57"/>
        <v>#REF!</v>
      </c>
      <c r="AC113" s="1695"/>
      <c r="AD113" s="1695"/>
      <c r="AE113" s="1695"/>
      <c r="AG113" s="1710"/>
      <c r="AH113" s="1710"/>
      <c r="AI113" s="1710"/>
      <c r="AK113" s="267">
        <f t="shared" si="62"/>
        <v>104</v>
      </c>
      <c r="AL113" s="268" t="e">
        <f t="shared" si="53"/>
        <v>#REF!</v>
      </c>
      <c r="AM113" s="268" t="e">
        <f>-AO112*#REF!</f>
        <v>#REF!</v>
      </c>
      <c r="AN113" s="268" t="e">
        <f t="shared" si="107"/>
        <v>#REF!</v>
      </c>
      <c r="AO113" s="269" t="e">
        <f t="shared" si="47"/>
        <v>#REF!</v>
      </c>
      <c r="AP113" s="1695"/>
      <c r="AQ113" s="1695"/>
      <c r="AR113" s="1695"/>
      <c r="AS113" s="1711"/>
      <c r="AU113" s="267">
        <f t="shared" si="65"/>
        <v>98</v>
      </c>
      <c r="AV113" s="268">
        <f t="shared" si="77"/>
        <v>-1102833.4166666667</v>
      </c>
      <c r="AW113" s="268">
        <f t="shared" si="96"/>
        <v>-1102833.4166666667</v>
      </c>
      <c r="AX113" s="1490">
        <v>0</v>
      </c>
      <c r="AY113" s="268">
        <f>IF('Cashflow trend'!$L$13&lt;=$C113,-$BA112,$AX113)</f>
        <v>0</v>
      </c>
      <c r="AZ113" s="268"/>
      <c r="BA113" s="269">
        <f t="shared" si="66"/>
        <v>533500000</v>
      </c>
      <c r="BB113" s="272">
        <f t="shared" si="68"/>
        <v>2.4806000000000002E-2</v>
      </c>
      <c r="BC113" s="272">
        <f t="shared" si="68"/>
        <v>0.01</v>
      </c>
      <c r="BD113" s="1695"/>
      <c r="BE113" s="354">
        <f t="shared" si="40"/>
        <v>-444583.33333333331</v>
      </c>
      <c r="BF113" s="1695"/>
      <c r="BG113" s="1695"/>
      <c r="BI113" s="268">
        <f t="shared" si="41"/>
        <v>0</v>
      </c>
      <c r="BJ113" s="268">
        <f t="shared" si="113"/>
        <v>0</v>
      </c>
      <c r="BK113" s="268">
        <v>0</v>
      </c>
      <c r="BL113" s="268"/>
      <c r="BM113" s="269">
        <f t="shared" si="79"/>
        <v>350000000</v>
      </c>
      <c r="BN113" s="272">
        <f t="shared" si="90"/>
        <v>0</v>
      </c>
      <c r="BO113" s="272">
        <f t="shared" si="90"/>
        <v>0.01</v>
      </c>
      <c r="BP113" s="1695"/>
      <c r="BQ113" s="354">
        <f t="shared" si="63"/>
        <v>-291666.66666666669</v>
      </c>
      <c r="BR113" s="1695"/>
      <c r="BS113" s="1695"/>
      <c r="BU113" s="267">
        <f t="shared" si="110"/>
        <v>0</v>
      </c>
      <c r="BV113" s="268">
        <f t="shared" si="58"/>
        <v>0</v>
      </c>
      <c r="BW113" s="268">
        <f t="shared" si="114"/>
        <v>0</v>
      </c>
      <c r="BX113" s="268">
        <f t="shared" si="111"/>
        <v>0</v>
      </c>
      <c r="BY113" s="268">
        <f>IF('Cashflow trend'!$L$13&lt;=$C113,-$AY113,0)</f>
        <v>0</v>
      </c>
      <c r="BZ113" s="269">
        <f t="shared" si="80"/>
        <v>0</v>
      </c>
      <c r="CA113" s="272">
        <f t="shared" si="71"/>
        <v>2.4844599999999998E-2</v>
      </c>
      <c r="CB113" s="272">
        <f t="shared" ref="CB113" si="118">CB112</f>
        <v>0.01</v>
      </c>
      <c r="CC113" s="1695"/>
      <c r="CD113" s="1478">
        <f t="shared" si="45"/>
        <v>0</v>
      </c>
      <c r="CE113" s="1695"/>
      <c r="CF113" s="1695"/>
    </row>
    <row r="114" spans="1:84" ht="15.75" customHeight="1">
      <c r="A114" s="270" t="s">
        <v>518</v>
      </c>
      <c r="B114" s="266">
        <v>2023</v>
      </c>
      <c r="C114" s="1504">
        <v>45261</v>
      </c>
      <c r="D114" s="1713"/>
      <c r="E114" s="265">
        <f t="shared" si="64"/>
        <v>466812500</v>
      </c>
      <c r="F114" s="267">
        <f t="shared" si="59"/>
        <v>105</v>
      </c>
      <c r="G114" s="268" t="e">
        <f t="shared" si="106"/>
        <v>#REF!</v>
      </c>
      <c r="H114" s="268" t="e">
        <f>-ROUNDDOWN(J113*#REF!,0)</f>
        <v>#REF!</v>
      </c>
      <c r="I114" s="268" t="e">
        <f>IF(ROUNDDOWN(J113,0)=0,0,-#REF!)</f>
        <v>#REF!</v>
      </c>
      <c r="J114" s="269" t="e">
        <f t="shared" si="55"/>
        <v>#REF!</v>
      </c>
      <c r="K114" s="1695"/>
      <c r="L114" s="1695"/>
      <c r="M114" s="1695"/>
      <c r="O114" s="267">
        <f t="shared" si="60"/>
        <v>105</v>
      </c>
      <c r="P114" s="268" t="e">
        <f t="shared" si="51"/>
        <v>#REF!</v>
      </c>
      <c r="Q114" s="268" t="e">
        <f>-S113*#REF!</f>
        <v>#REF!</v>
      </c>
      <c r="R114" s="268" t="e">
        <f>IF(ROUNDDOWN(S113,0)=0,0,-#REF!)</f>
        <v>#REF!</v>
      </c>
      <c r="S114" s="269" t="e">
        <f t="shared" si="56"/>
        <v>#REF!</v>
      </c>
      <c r="T114" s="1695"/>
      <c r="U114" s="1695"/>
      <c r="V114" s="1695"/>
      <c r="X114" s="267">
        <f t="shared" si="61"/>
        <v>105</v>
      </c>
      <c r="Y114" s="268" t="e">
        <f t="shared" si="52"/>
        <v>#REF!</v>
      </c>
      <c r="Z114" s="268" t="e">
        <f>-AB113*#REF!</f>
        <v>#REF!</v>
      </c>
      <c r="AA114" s="268" t="e">
        <f>IF(ROUNDDOWN(AB113,0)=0,0,-#REF!)</f>
        <v>#REF!</v>
      </c>
      <c r="AB114" s="269" t="e">
        <f t="shared" si="57"/>
        <v>#REF!</v>
      </c>
      <c r="AC114" s="1695"/>
      <c r="AD114" s="1695"/>
      <c r="AE114" s="1695"/>
      <c r="AG114" s="1710"/>
      <c r="AH114" s="1710"/>
      <c r="AI114" s="1710"/>
      <c r="AK114" s="267">
        <f t="shared" si="62"/>
        <v>105</v>
      </c>
      <c r="AL114" s="268" t="e">
        <f t="shared" si="53"/>
        <v>#REF!</v>
      </c>
      <c r="AM114" s="268" t="e">
        <f>-AO113*#REF!</f>
        <v>#REF!</v>
      </c>
      <c r="AN114" s="268" t="e">
        <f t="shared" si="107"/>
        <v>#REF!</v>
      </c>
      <c r="AO114" s="269" t="e">
        <f t="shared" si="47"/>
        <v>#REF!</v>
      </c>
      <c r="AP114" s="1695"/>
      <c r="AQ114" s="1695"/>
      <c r="AR114" s="1695"/>
      <c r="AS114" s="1711"/>
      <c r="AU114" s="267">
        <f t="shared" si="65"/>
        <v>99</v>
      </c>
      <c r="AV114" s="268">
        <f t="shared" si="77"/>
        <v>-67790333.416666672</v>
      </c>
      <c r="AW114" s="268">
        <f t="shared" si="96"/>
        <v>-1102833.4166666667</v>
      </c>
      <c r="AX114" s="1490">
        <v>-66687500.000000007</v>
      </c>
      <c r="AY114" s="1490">
        <f>IF('Cashflow trend'!$L$13&lt;=$C114,-$BA113,$AX114)</f>
        <v>-66687500.000000007</v>
      </c>
      <c r="AZ114" s="268"/>
      <c r="BA114" s="269">
        <f t="shared" si="66"/>
        <v>466812500</v>
      </c>
      <c r="BB114" s="272">
        <f t="shared" si="68"/>
        <v>2.4806000000000002E-2</v>
      </c>
      <c r="BC114" s="272">
        <f t="shared" si="68"/>
        <v>0.01</v>
      </c>
      <c r="BD114" s="1695"/>
      <c r="BE114" s="354">
        <f t="shared" si="40"/>
        <v>-444583.33333333331</v>
      </c>
      <c r="BF114" s="1695"/>
      <c r="BG114" s="1695"/>
      <c r="BI114" s="268">
        <f t="shared" si="41"/>
        <v>0</v>
      </c>
      <c r="BJ114" s="268">
        <f t="shared" si="113"/>
        <v>0</v>
      </c>
      <c r="BK114" s="268">
        <v>0</v>
      </c>
      <c r="BL114" s="268">
        <v>0</v>
      </c>
      <c r="BM114" s="269">
        <f t="shared" si="79"/>
        <v>350000000</v>
      </c>
      <c r="BN114" s="272">
        <f t="shared" si="90"/>
        <v>0</v>
      </c>
      <c r="BO114" s="272">
        <f t="shared" si="90"/>
        <v>0.01</v>
      </c>
      <c r="BP114" s="1695"/>
      <c r="BQ114" s="354">
        <f t="shared" si="63"/>
        <v>-291666.66666666669</v>
      </c>
      <c r="BR114" s="1695"/>
      <c r="BS114" s="1695"/>
      <c r="BU114" s="267">
        <f t="shared" si="110"/>
        <v>0</v>
      </c>
      <c r="BV114" s="268">
        <f t="shared" si="58"/>
        <v>0</v>
      </c>
      <c r="BW114" s="268">
        <f t="shared" si="114"/>
        <v>0</v>
      </c>
      <c r="BX114" s="268">
        <f t="shared" si="111"/>
        <v>0</v>
      </c>
      <c r="BY114" s="268">
        <f>IF('Cashflow trend'!$L$13&lt;=$C114,-$AY114,0)</f>
        <v>0</v>
      </c>
      <c r="BZ114" s="269">
        <f t="shared" si="80"/>
        <v>0</v>
      </c>
      <c r="CA114" s="272">
        <f t="shared" si="71"/>
        <v>2.4844599999999998E-2</v>
      </c>
      <c r="CB114" s="272">
        <f t="shared" ref="CB114" si="119">CB113</f>
        <v>0.01</v>
      </c>
      <c r="CC114" s="1695"/>
      <c r="CD114" s="1478">
        <f t="shared" si="45"/>
        <v>0</v>
      </c>
      <c r="CE114" s="1695"/>
      <c r="CF114" s="1695"/>
    </row>
    <row r="115" spans="1:84" ht="15.75" customHeight="1">
      <c r="A115" s="270" t="s">
        <v>519</v>
      </c>
      <c r="B115" s="266">
        <v>2024</v>
      </c>
      <c r="C115" s="1504">
        <v>45292</v>
      </c>
      <c r="D115" s="1713"/>
      <c r="E115" s="265">
        <f t="shared" si="64"/>
        <v>466812500</v>
      </c>
      <c r="F115" s="267">
        <f t="shared" si="59"/>
        <v>106</v>
      </c>
      <c r="G115" s="268" t="e">
        <f t="shared" si="106"/>
        <v>#REF!</v>
      </c>
      <c r="H115" s="268" t="e">
        <f>-ROUNDDOWN(J114*#REF!,0)</f>
        <v>#REF!</v>
      </c>
      <c r="I115" s="268" t="e">
        <f>IF(ROUNDDOWN(J114,0)=0,0,-#REF!)</f>
        <v>#REF!</v>
      </c>
      <c r="J115" s="269" t="e">
        <f t="shared" si="55"/>
        <v>#REF!</v>
      </c>
      <c r="K115" s="1695"/>
      <c r="L115" s="1695"/>
      <c r="M115" s="1695"/>
      <c r="O115" s="267">
        <f t="shared" si="60"/>
        <v>106</v>
      </c>
      <c r="P115" s="268" t="e">
        <f t="shared" si="51"/>
        <v>#REF!</v>
      </c>
      <c r="Q115" s="268" t="e">
        <f>-S114*#REF!</f>
        <v>#REF!</v>
      </c>
      <c r="R115" s="268" t="e">
        <f>IF(ROUNDDOWN(S114,0)=0,0,-#REF!)</f>
        <v>#REF!</v>
      </c>
      <c r="S115" s="269" t="e">
        <f t="shared" si="56"/>
        <v>#REF!</v>
      </c>
      <c r="T115" s="1695"/>
      <c r="U115" s="1695"/>
      <c r="V115" s="1695"/>
      <c r="X115" s="267">
        <f t="shared" si="61"/>
        <v>106</v>
      </c>
      <c r="Y115" s="268" t="e">
        <f t="shared" si="52"/>
        <v>#REF!</v>
      </c>
      <c r="Z115" s="268" t="e">
        <f>-AB114*#REF!</f>
        <v>#REF!</v>
      </c>
      <c r="AA115" s="268" t="e">
        <f>IF(ROUNDDOWN(AB114,0)=0,0,-#REF!)</f>
        <v>#REF!</v>
      </c>
      <c r="AB115" s="269" t="e">
        <f t="shared" si="57"/>
        <v>#REF!</v>
      </c>
      <c r="AC115" s="1695"/>
      <c r="AD115" s="1695"/>
      <c r="AE115" s="1695"/>
      <c r="AG115" s="1710"/>
      <c r="AH115" s="1710"/>
      <c r="AI115" s="1710"/>
      <c r="AK115" s="267">
        <f t="shared" si="62"/>
        <v>106</v>
      </c>
      <c r="AL115" s="268" t="e">
        <f t="shared" si="53"/>
        <v>#REF!</v>
      </c>
      <c r="AM115" s="268" t="e">
        <f>-AO114*#REF!</f>
        <v>#REF!</v>
      </c>
      <c r="AN115" s="268" t="e">
        <f t="shared" si="107"/>
        <v>#REF!</v>
      </c>
      <c r="AO115" s="269" t="e">
        <f t="shared" si="47"/>
        <v>#REF!</v>
      </c>
      <c r="AP115" s="1695"/>
      <c r="AQ115" s="1695"/>
      <c r="AR115" s="1695"/>
      <c r="AS115" s="1711"/>
      <c r="AU115" s="267">
        <f t="shared" si="65"/>
        <v>100</v>
      </c>
      <c r="AV115" s="268">
        <f t="shared" si="77"/>
        <v>-964979.23958333337</v>
      </c>
      <c r="AW115" s="268">
        <f t="shared" si="96"/>
        <v>-964979.23958333337</v>
      </c>
      <c r="AX115" s="1490">
        <v>0</v>
      </c>
      <c r="AY115" s="1490">
        <f>IF('Cashflow trend'!$L$13&lt;=$C115,-$BA114,$AX115)</f>
        <v>0</v>
      </c>
      <c r="AZ115" s="268"/>
      <c r="BA115" s="269">
        <f t="shared" si="66"/>
        <v>466812500</v>
      </c>
      <c r="BB115" s="272">
        <f t="shared" si="68"/>
        <v>2.4806000000000002E-2</v>
      </c>
      <c r="BC115" s="272">
        <f t="shared" si="68"/>
        <v>0.01</v>
      </c>
      <c r="BD115" s="1695"/>
      <c r="BE115" s="354">
        <f t="shared" si="40"/>
        <v>-389010.41666666669</v>
      </c>
      <c r="BF115" s="1695"/>
      <c r="BG115" s="1695"/>
      <c r="BI115" s="268">
        <f t="shared" si="41"/>
        <v>0</v>
      </c>
      <c r="BJ115" s="268">
        <f t="shared" si="113"/>
        <v>0</v>
      </c>
      <c r="BK115" s="268">
        <v>0</v>
      </c>
      <c r="BL115" s="268"/>
      <c r="BM115" s="269">
        <f t="shared" si="79"/>
        <v>350000000</v>
      </c>
      <c r="BN115" s="272">
        <f t="shared" si="90"/>
        <v>0</v>
      </c>
      <c r="BO115" s="272">
        <f t="shared" si="90"/>
        <v>0.01</v>
      </c>
      <c r="BP115" s="1695"/>
      <c r="BQ115" s="354">
        <f t="shared" si="63"/>
        <v>-291666.66666666669</v>
      </c>
      <c r="BR115" s="1695"/>
      <c r="BS115" s="1695"/>
      <c r="BT115" s="229">
        <f>BY114/60</f>
        <v>0</v>
      </c>
      <c r="BU115" s="267">
        <f t="shared" si="110"/>
        <v>0</v>
      </c>
      <c r="BV115" s="268">
        <f t="shared" si="58"/>
        <v>0</v>
      </c>
      <c r="BW115" s="268">
        <f t="shared" si="114"/>
        <v>0</v>
      </c>
      <c r="BX115" s="268">
        <f t="shared" si="111"/>
        <v>0</v>
      </c>
      <c r="BY115" s="268">
        <f>IF('Cashflow trend'!$L$13&lt;=$C115,-$AY115,0)</f>
        <v>0</v>
      </c>
      <c r="BZ115" s="269">
        <f t="shared" si="80"/>
        <v>0</v>
      </c>
      <c r="CA115" s="272">
        <f t="shared" si="71"/>
        <v>2.4844599999999998E-2</v>
      </c>
      <c r="CB115" s="272">
        <f t="shared" ref="CB115" si="120">CB114</f>
        <v>0.01</v>
      </c>
      <c r="CC115" s="1695"/>
      <c r="CD115" s="1478">
        <f t="shared" si="45"/>
        <v>0</v>
      </c>
      <c r="CE115" s="1695"/>
      <c r="CF115" s="1695"/>
    </row>
    <row r="116" spans="1:84" ht="15.75" customHeight="1">
      <c r="A116" s="270" t="s">
        <v>520</v>
      </c>
      <c r="B116" s="266">
        <v>2024</v>
      </c>
      <c r="C116" s="1504">
        <v>45323</v>
      </c>
      <c r="D116" s="1713"/>
      <c r="E116" s="265">
        <f t="shared" si="64"/>
        <v>466812500</v>
      </c>
      <c r="F116" s="267">
        <f t="shared" si="59"/>
        <v>107</v>
      </c>
      <c r="G116" s="268" t="e">
        <f t="shared" si="106"/>
        <v>#REF!</v>
      </c>
      <c r="H116" s="268" t="e">
        <f>-ROUNDDOWN(J115*#REF!,0)</f>
        <v>#REF!</v>
      </c>
      <c r="I116" s="268" t="e">
        <f>IF(ROUNDDOWN(J115,0)=0,0,-#REF!)</f>
        <v>#REF!</v>
      </c>
      <c r="J116" s="269" t="e">
        <f t="shared" si="55"/>
        <v>#REF!</v>
      </c>
      <c r="K116" s="1695"/>
      <c r="L116" s="1695"/>
      <c r="M116" s="1695"/>
      <c r="O116" s="267">
        <f t="shared" si="60"/>
        <v>107</v>
      </c>
      <c r="P116" s="268" t="e">
        <f t="shared" si="51"/>
        <v>#REF!</v>
      </c>
      <c r="Q116" s="268" t="e">
        <f>-S115*#REF!</f>
        <v>#REF!</v>
      </c>
      <c r="R116" s="268" t="e">
        <f>IF(ROUNDDOWN(S115,0)=0,0,-#REF!)</f>
        <v>#REF!</v>
      </c>
      <c r="S116" s="269" t="e">
        <f t="shared" si="56"/>
        <v>#REF!</v>
      </c>
      <c r="T116" s="1695"/>
      <c r="U116" s="1695"/>
      <c r="V116" s="1695"/>
      <c r="X116" s="267">
        <f t="shared" si="61"/>
        <v>107</v>
      </c>
      <c r="Y116" s="268" t="e">
        <f t="shared" si="52"/>
        <v>#REF!</v>
      </c>
      <c r="Z116" s="268" t="e">
        <f>-AB115*#REF!</f>
        <v>#REF!</v>
      </c>
      <c r="AA116" s="268" t="e">
        <f>IF(ROUNDDOWN(AB115,0)=0,0,-#REF!)</f>
        <v>#REF!</v>
      </c>
      <c r="AB116" s="269" t="e">
        <f t="shared" si="57"/>
        <v>#REF!</v>
      </c>
      <c r="AC116" s="1695"/>
      <c r="AD116" s="1695"/>
      <c r="AE116" s="1695"/>
      <c r="AG116" s="1710"/>
      <c r="AH116" s="1710"/>
      <c r="AI116" s="1710"/>
      <c r="AK116" s="267">
        <f t="shared" si="62"/>
        <v>107</v>
      </c>
      <c r="AL116" s="268" t="e">
        <f t="shared" si="53"/>
        <v>#REF!</v>
      </c>
      <c r="AM116" s="268" t="e">
        <f>-AO115*#REF!</f>
        <v>#REF!</v>
      </c>
      <c r="AN116" s="268" t="e">
        <f t="shared" si="107"/>
        <v>#REF!</v>
      </c>
      <c r="AO116" s="269" t="e">
        <f t="shared" si="47"/>
        <v>#REF!</v>
      </c>
      <c r="AP116" s="1695"/>
      <c r="AQ116" s="1695"/>
      <c r="AR116" s="1695"/>
      <c r="AS116" s="1711"/>
      <c r="AU116" s="267">
        <f t="shared" si="65"/>
        <v>101</v>
      </c>
      <c r="AV116" s="268">
        <f t="shared" si="77"/>
        <v>-964979.23958333337</v>
      </c>
      <c r="AW116" s="268">
        <f t="shared" si="96"/>
        <v>-964979.23958333337</v>
      </c>
      <c r="AX116" s="1490">
        <v>0</v>
      </c>
      <c r="AY116" s="1490">
        <f>IF('Cashflow trend'!$L$13&lt;=$C116,-$BA115,$AX116)</f>
        <v>0</v>
      </c>
      <c r="AZ116" s="268"/>
      <c r="BA116" s="269">
        <f t="shared" si="66"/>
        <v>466812500</v>
      </c>
      <c r="BB116" s="272">
        <f t="shared" si="68"/>
        <v>2.4806000000000002E-2</v>
      </c>
      <c r="BC116" s="272">
        <f t="shared" si="68"/>
        <v>0.01</v>
      </c>
      <c r="BD116" s="1695"/>
      <c r="BE116" s="354">
        <f t="shared" si="40"/>
        <v>-389010.41666666669</v>
      </c>
      <c r="BF116" s="1695"/>
      <c r="BG116" s="1695"/>
      <c r="BI116" s="268">
        <f t="shared" si="41"/>
        <v>0</v>
      </c>
      <c r="BJ116" s="268">
        <f t="shared" si="113"/>
        <v>0</v>
      </c>
      <c r="BK116" s="268">
        <v>0</v>
      </c>
      <c r="BL116" s="268"/>
      <c r="BM116" s="269">
        <f t="shared" si="79"/>
        <v>350000000</v>
      </c>
      <c r="BN116" s="272">
        <f t="shared" si="90"/>
        <v>0</v>
      </c>
      <c r="BO116" s="272">
        <f t="shared" si="90"/>
        <v>0.01</v>
      </c>
      <c r="BP116" s="1695"/>
      <c r="BQ116" s="354">
        <f t="shared" si="63"/>
        <v>-291666.66666666669</v>
      </c>
      <c r="BR116" s="1695"/>
      <c r="BS116" s="1695"/>
      <c r="BU116" s="267">
        <f t="shared" si="110"/>
        <v>0</v>
      </c>
      <c r="BV116" s="268">
        <f t="shared" si="58"/>
        <v>0</v>
      </c>
      <c r="BW116" s="268">
        <f t="shared" si="114"/>
        <v>0</v>
      </c>
      <c r="BX116" s="268">
        <f t="shared" si="111"/>
        <v>0</v>
      </c>
      <c r="BY116" s="268">
        <f>IF('Cashflow trend'!$L$13&lt;=$C116,-$AY116,0)</f>
        <v>0</v>
      </c>
      <c r="BZ116" s="269">
        <f t="shared" si="80"/>
        <v>0</v>
      </c>
      <c r="CA116" s="272">
        <f t="shared" si="71"/>
        <v>2.4844599999999998E-2</v>
      </c>
      <c r="CB116" s="272">
        <f t="shared" ref="CB116" si="121">CB115</f>
        <v>0.01</v>
      </c>
      <c r="CC116" s="1695"/>
      <c r="CD116" s="1478">
        <f t="shared" si="45"/>
        <v>0</v>
      </c>
      <c r="CE116" s="1695"/>
      <c r="CF116" s="1695"/>
    </row>
    <row r="117" spans="1:84" ht="15.75" customHeight="1">
      <c r="A117" s="270" t="s">
        <v>521</v>
      </c>
      <c r="B117" s="266">
        <v>2024</v>
      </c>
      <c r="C117" s="1504">
        <v>45352</v>
      </c>
      <c r="D117" s="1713"/>
      <c r="E117" s="265">
        <f t="shared" si="64"/>
        <v>400125000</v>
      </c>
      <c r="F117" s="267">
        <f t="shared" si="59"/>
        <v>108</v>
      </c>
      <c r="G117" s="268" t="e">
        <f t="shared" si="106"/>
        <v>#REF!</v>
      </c>
      <c r="H117" s="268" t="e">
        <f>-ROUNDDOWN(J116*#REF!,0)</f>
        <v>#REF!</v>
      </c>
      <c r="I117" s="268" t="e">
        <f>IF(ROUNDDOWN(J116,0)=0,0,-#REF!)</f>
        <v>#REF!</v>
      </c>
      <c r="J117" s="269" t="e">
        <f t="shared" si="55"/>
        <v>#REF!</v>
      </c>
      <c r="K117" s="1695"/>
      <c r="L117" s="1695"/>
      <c r="M117" s="1695"/>
      <c r="O117" s="267">
        <f t="shared" si="60"/>
        <v>108</v>
      </c>
      <c r="P117" s="268" t="e">
        <f t="shared" si="51"/>
        <v>#REF!</v>
      </c>
      <c r="Q117" s="268" t="e">
        <f>-S116*#REF!</f>
        <v>#REF!</v>
      </c>
      <c r="R117" s="268" t="e">
        <f>IF(ROUNDDOWN(S116,0)=0,0,-#REF!)</f>
        <v>#REF!</v>
      </c>
      <c r="S117" s="269" t="e">
        <f t="shared" si="56"/>
        <v>#REF!</v>
      </c>
      <c r="T117" s="1695"/>
      <c r="U117" s="1695"/>
      <c r="V117" s="1695"/>
      <c r="X117" s="267">
        <f t="shared" si="61"/>
        <v>108</v>
      </c>
      <c r="Y117" s="268" t="e">
        <f t="shared" si="52"/>
        <v>#REF!</v>
      </c>
      <c r="Z117" s="268" t="e">
        <f>-AB116*#REF!</f>
        <v>#REF!</v>
      </c>
      <c r="AA117" s="268" t="e">
        <f>IF(ROUNDDOWN(AB116,0)=0,0,-#REF!)</f>
        <v>#REF!</v>
      </c>
      <c r="AB117" s="269" t="e">
        <f>ROUND(AB116+AA117,0)</f>
        <v>#REF!</v>
      </c>
      <c r="AC117" s="1695"/>
      <c r="AD117" s="1695"/>
      <c r="AE117" s="1695"/>
      <c r="AG117" s="1710"/>
      <c r="AH117" s="1710"/>
      <c r="AI117" s="1710"/>
      <c r="AK117" s="267">
        <f t="shared" si="62"/>
        <v>108</v>
      </c>
      <c r="AL117" s="268" t="e">
        <f t="shared" si="53"/>
        <v>#REF!</v>
      </c>
      <c r="AM117" s="268" t="e">
        <f>-AO116*#REF!</f>
        <v>#REF!</v>
      </c>
      <c r="AN117" s="268" t="e">
        <f t="shared" si="107"/>
        <v>#REF!</v>
      </c>
      <c r="AO117" s="269" t="e">
        <f t="shared" si="47"/>
        <v>#REF!</v>
      </c>
      <c r="AP117" s="1695"/>
      <c r="AQ117" s="1695"/>
      <c r="AR117" s="1695"/>
      <c r="AS117" s="1711"/>
      <c r="AU117" s="267">
        <f t="shared" si="65"/>
        <v>102</v>
      </c>
      <c r="AV117" s="268">
        <f t="shared" si="77"/>
        <v>-67652479.239583343</v>
      </c>
      <c r="AW117" s="268">
        <f t="shared" si="96"/>
        <v>-964979.23958333337</v>
      </c>
      <c r="AX117" s="1490">
        <v>-66687500.000000007</v>
      </c>
      <c r="AY117" s="1490">
        <f>IF('Cashflow trend'!$L$13&lt;=$C117,-$BA116,$AX117)</f>
        <v>-66687500.000000007</v>
      </c>
      <c r="AZ117" s="268"/>
      <c r="BA117" s="269">
        <f t="shared" si="66"/>
        <v>400125000</v>
      </c>
      <c r="BB117" s="272">
        <f t="shared" si="68"/>
        <v>2.4806000000000002E-2</v>
      </c>
      <c r="BC117" s="272">
        <f t="shared" si="68"/>
        <v>0.01</v>
      </c>
      <c r="BD117" s="1695"/>
      <c r="BE117" s="354">
        <f t="shared" si="40"/>
        <v>-389010.41666666669</v>
      </c>
      <c r="BF117" s="1695"/>
      <c r="BG117" s="1695"/>
      <c r="BH117" s="229">
        <f>'Cashflow trend'!J23</f>
        <v>-128442.08941441268</v>
      </c>
      <c r="BI117" s="268">
        <f t="shared" si="41"/>
        <v>0</v>
      </c>
      <c r="BJ117" s="268">
        <f t="shared" si="113"/>
        <v>0</v>
      </c>
      <c r="BK117" s="268">
        <v>0</v>
      </c>
      <c r="BL117" s="268">
        <v>0</v>
      </c>
      <c r="BM117" s="269">
        <f t="shared" si="79"/>
        <v>350000000</v>
      </c>
      <c r="BN117" s="272">
        <f t="shared" si="90"/>
        <v>0</v>
      </c>
      <c r="BO117" s="272">
        <f t="shared" si="90"/>
        <v>0.01</v>
      </c>
      <c r="BP117" s="1695"/>
      <c r="BQ117" s="354">
        <f t="shared" si="63"/>
        <v>-291666.66666666669</v>
      </c>
      <c r="BR117" s="1695"/>
      <c r="BS117" s="1695"/>
      <c r="BU117" s="267">
        <f t="shared" si="110"/>
        <v>0</v>
      </c>
      <c r="BV117" s="268">
        <f t="shared" si="58"/>
        <v>0</v>
      </c>
      <c r="BW117" s="268">
        <f t="shared" si="114"/>
        <v>0</v>
      </c>
      <c r="BX117" s="268">
        <f t="shared" si="111"/>
        <v>0</v>
      </c>
      <c r="BY117" s="268">
        <f>IF('Cashflow trend'!$L$13&lt;=$C117,-$AY117,0)</f>
        <v>0</v>
      </c>
      <c r="BZ117" s="269">
        <f t="shared" si="80"/>
        <v>0</v>
      </c>
      <c r="CA117" s="272">
        <f t="shared" si="71"/>
        <v>2.4844599999999998E-2</v>
      </c>
      <c r="CB117" s="272">
        <f t="shared" ref="CB117" si="122">CB116</f>
        <v>0.01</v>
      </c>
      <c r="CC117" s="1695"/>
      <c r="CD117" s="1478">
        <f t="shared" si="45"/>
        <v>0</v>
      </c>
      <c r="CE117" s="1695"/>
      <c r="CF117" s="1695"/>
    </row>
    <row r="118" spans="1:84" ht="15.75" customHeight="1">
      <c r="A118" s="273" t="s">
        <v>510</v>
      </c>
      <c r="B118" s="274">
        <v>2024</v>
      </c>
      <c r="C118" s="1503">
        <v>45383</v>
      </c>
      <c r="D118" s="1713"/>
      <c r="E118" s="275">
        <f t="shared" si="64"/>
        <v>400125000</v>
      </c>
      <c r="F118" s="276">
        <f t="shared" si="59"/>
        <v>109</v>
      </c>
      <c r="G118" s="277" t="e">
        <f t="shared" si="106"/>
        <v>#REF!</v>
      </c>
      <c r="H118" s="277" t="e">
        <f>-ROUNDDOWN(J117*#REF!,0)</f>
        <v>#REF!</v>
      </c>
      <c r="I118" s="277" t="e">
        <f>IF(ROUNDDOWN(J117,0)=0,0,-#REF!)</f>
        <v>#REF!</v>
      </c>
      <c r="J118" s="278" t="e">
        <f t="shared" si="55"/>
        <v>#REF!</v>
      </c>
      <c r="K118" s="1694" t="s">
        <v>14</v>
      </c>
      <c r="L118" s="1694" t="e">
        <f>SUM(H118:H129)</f>
        <v>#REF!</v>
      </c>
      <c r="M118" s="1694" t="e">
        <f>SUM(I118:I129)</f>
        <v>#REF!</v>
      </c>
      <c r="O118" s="276">
        <f t="shared" si="60"/>
        <v>109</v>
      </c>
      <c r="P118" s="277" t="e">
        <f t="shared" si="51"/>
        <v>#REF!</v>
      </c>
      <c r="Q118" s="277" t="e">
        <f>-S117*#REF!</f>
        <v>#REF!</v>
      </c>
      <c r="R118" s="277" t="e">
        <f>IF(ROUNDDOWN(S117,0)=0,0,-#REF!)</f>
        <v>#REF!</v>
      </c>
      <c r="S118" s="278" t="e">
        <f t="shared" si="56"/>
        <v>#REF!</v>
      </c>
      <c r="T118" s="1694" t="s">
        <v>14</v>
      </c>
      <c r="U118" s="1694" t="e">
        <f>SUM(Q118:Q129)</f>
        <v>#REF!</v>
      </c>
      <c r="V118" s="1694" t="e">
        <f>SUM(R118:R129)</f>
        <v>#REF!</v>
      </c>
      <c r="X118" s="276">
        <f t="shared" si="61"/>
        <v>109</v>
      </c>
      <c r="Y118" s="277" t="e">
        <f t="shared" si="52"/>
        <v>#REF!</v>
      </c>
      <c r="Z118" s="277" t="e">
        <f>-AB117*#REF!</f>
        <v>#REF!</v>
      </c>
      <c r="AA118" s="277" t="e">
        <f>IF(ROUNDDOWN(AB117,0)=0,0,-#REF!)</f>
        <v>#REF!</v>
      </c>
      <c r="AB118" s="278" t="e">
        <f t="shared" si="57"/>
        <v>#REF!</v>
      </c>
      <c r="AC118" s="1694" t="s">
        <v>14</v>
      </c>
      <c r="AD118" s="1694" t="e">
        <f>SUM(Z118:Z129)</f>
        <v>#REF!</v>
      </c>
      <c r="AE118" s="1694" t="e">
        <f>SUM(AA118:AA129)</f>
        <v>#REF!</v>
      </c>
      <c r="AG118" s="1709" t="s">
        <v>14</v>
      </c>
      <c r="AH118" s="1709" t="e">
        <f>L118+U118+AD118</f>
        <v>#REF!</v>
      </c>
      <c r="AI118" s="1709" t="e">
        <f>M118+V118+AE118</f>
        <v>#REF!</v>
      </c>
      <c r="AK118" s="276">
        <f t="shared" si="62"/>
        <v>109</v>
      </c>
      <c r="AL118" s="277" t="e">
        <f t="shared" si="53"/>
        <v>#REF!</v>
      </c>
      <c r="AM118" s="277" t="e">
        <f>-AO117*#REF!</f>
        <v>#REF!</v>
      </c>
      <c r="AN118" s="277" t="e">
        <f>IF(ROUNDDOWN(AO117,0)=0,0,-#REF!)</f>
        <v>#REF!</v>
      </c>
      <c r="AO118" s="278" t="e">
        <f t="shared" si="47"/>
        <v>#REF!</v>
      </c>
      <c r="AP118" s="1694" t="s">
        <v>14</v>
      </c>
      <c r="AQ118" s="1694" t="e">
        <f>SUM(AM118:AM129)</f>
        <v>#REF!</v>
      </c>
      <c r="AR118" s="1694" t="e">
        <f>SUM(AN118:AN129)</f>
        <v>#REF!</v>
      </c>
      <c r="AS118" s="1694"/>
      <c r="AU118" s="276">
        <f t="shared" si="65"/>
        <v>103</v>
      </c>
      <c r="AV118" s="277">
        <f t="shared" si="77"/>
        <v>-827125.0625</v>
      </c>
      <c r="AW118" s="277">
        <f t="shared" si="96"/>
        <v>-827125.0625</v>
      </c>
      <c r="AX118" s="1491">
        <v>0</v>
      </c>
      <c r="AY118" s="1491">
        <f>IF('Cashflow trend'!$L$13&lt;=$C118,-$BA117,$AX118)</f>
        <v>0</v>
      </c>
      <c r="AZ118" s="277">
        <v>0</v>
      </c>
      <c r="BA118" s="278">
        <f t="shared" si="66"/>
        <v>400125000</v>
      </c>
      <c r="BB118" s="279">
        <f t="shared" si="68"/>
        <v>2.4806000000000002E-2</v>
      </c>
      <c r="BC118" s="279">
        <f t="shared" si="68"/>
        <v>0.01</v>
      </c>
      <c r="BD118" s="1694" t="s">
        <v>14</v>
      </c>
      <c r="BE118" s="355">
        <f t="shared" si="40"/>
        <v>-333437.5</v>
      </c>
      <c r="BF118" s="1694">
        <f>SUM(AW118:AW129)</f>
        <v>-7444125.5625</v>
      </c>
      <c r="BG118" s="1694">
        <f>SUM(AY118:AZ129)</f>
        <v>-266750000.00000003</v>
      </c>
      <c r="BI118" s="277">
        <f t="shared" si="41"/>
        <v>0</v>
      </c>
      <c r="BJ118" s="277">
        <f t="shared" si="113"/>
        <v>0</v>
      </c>
      <c r="BK118" s="277">
        <v>0</v>
      </c>
      <c r="BL118" s="277">
        <v>0</v>
      </c>
      <c r="BM118" s="278">
        <f t="shared" si="79"/>
        <v>350000000</v>
      </c>
      <c r="BN118" s="279">
        <f t="shared" si="90"/>
        <v>0</v>
      </c>
      <c r="BO118" s="279">
        <f t="shared" si="90"/>
        <v>0.01</v>
      </c>
      <c r="BP118" s="1694" t="s">
        <v>14</v>
      </c>
      <c r="BQ118" s="355">
        <f t="shared" si="63"/>
        <v>-291666.66666666669</v>
      </c>
      <c r="BR118" s="1694">
        <f>SUM(BJ118:BJ129)</f>
        <v>0</v>
      </c>
      <c r="BS118" s="1694">
        <f>SUM(BK118:BL129)</f>
        <v>0</v>
      </c>
      <c r="BT118" s="79"/>
      <c r="BU118" s="276">
        <f t="shared" si="110"/>
        <v>0</v>
      </c>
      <c r="BV118" s="277">
        <f t="shared" si="58"/>
        <v>0</v>
      </c>
      <c r="BW118" s="277">
        <f t="shared" si="114"/>
        <v>0</v>
      </c>
      <c r="BX118" s="277">
        <f t="shared" si="111"/>
        <v>0</v>
      </c>
      <c r="BY118" s="277">
        <f>IF('Cashflow trend'!$L$13&lt;=$C118,-$AY118,0)</f>
        <v>0</v>
      </c>
      <c r="BZ118" s="278">
        <f t="shared" si="80"/>
        <v>0</v>
      </c>
      <c r="CA118" s="279">
        <f t="shared" si="71"/>
        <v>2.4844599999999998E-2</v>
      </c>
      <c r="CB118" s="279">
        <f t="shared" ref="CB118" si="123">CB117</f>
        <v>0.01</v>
      </c>
      <c r="CC118" s="1694" t="s">
        <v>14</v>
      </c>
      <c r="CD118" s="1476">
        <f t="shared" si="45"/>
        <v>0</v>
      </c>
      <c r="CE118" s="1694">
        <f>SUM(BW118:BW129)</f>
        <v>0</v>
      </c>
      <c r="CF118" s="1694">
        <f>SUM(BX118:BY129)</f>
        <v>0</v>
      </c>
    </row>
    <row r="119" spans="1:84" ht="15.75" customHeight="1">
      <c r="A119" s="273" t="s">
        <v>511</v>
      </c>
      <c r="B119" s="274">
        <v>2024</v>
      </c>
      <c r="C119" s="1503">
        <v>45413</v>
      </c>
      <c r="D119" s="1713"/>
      <c r="E119" s="275">
        <f t="shared" si="64"/>
        <v>400125000</v>
      </c>
      <c r="F119" s="276">
        <f t="shared" si="59"/>
        <v>110</v>
      </c>
      <c r="G119" s="277" t="e">
        <f t="shared" si="106"/>
        <v>#REF!</v>
      </c>
      <c r="H119" s="277" t="e">
        <f>-ROUNDDOWN(J118*#REF!,0)</f>
        <v>#REF!</v>
      </c>
      <c r="I119" s="277" t="e">
        <f>IF(ROUNDDOWN(J118,0)=0,0,-#REF!)</f>
        <v>#REF!</v>
      </c>
      <c r="J119" s="278" t="e">
        <f t="shared" si="55"/>
        <v>#REF!</v>
      </c>
      <c r="K119" s="1694"/>
      <c r="L119" s="1694"/>
      <c r="M119" s="1694"/>
      <c r="O119" s="276">
        <f t="shared" si="60"/>
        <v>110</v>
      </c>
      <c r="P119" s="277" t="e">
        <f t="shared" si="51"/>
        <v>#REF!</v>
      </c>
      <c r="Q119" s="277" t="e">
        <f>-S118*#REF!</f>
        <v>#REF!</v>
      </c>
      <c r="R119" s="277" t="e">
        <f>IF(ROUNDDOWN(S118,0)=0,0,-#REF!)</f>
        <v>#REF!</v>
      </c>
      <c r="S119" s="278" t="e">
        <f t="shared" si="56"/>
        <v>#REF!</v>
      </c>
      <c r="T119" s="1694"/>
      <c r="U119" s="1694"/>
      <c r="V119" s="1694"/>
      <c r="X119" s="276">
        <f t="shared" si="61"/>
        <v>110</v>
      </c>
      <c r="Y119" s="277" t="e">
        <f t="shared" si="52"/>
        <v>#REF!</v>
      </c>
      <c r="Z119" s="277" t="e">
        <f>-AB118*#REF!</f>
        <v>#REF!</v>
      </c>
      <c r="AA119" s="277" t="e">
        <f>IF(ROUNDDOWN(AB118,0)=0,0,-#REF!)</f>
        <v>#REF!</v>
      </c>
      <c r="AB119" s="278" t="e">
        <f t="shared" si="57"/>
        <v>#REF!</v>
      </c>
      <c r="AC119" s="1694"/>
      <c r="AD119" s="1694"/>
      <c r="AE119" s="1694"/>
      <c r="AG119" s="1709"/>
      <c r="AH119" s="1709"/>
      <c r="AI119" s="1709"/>
      <c r="AK119" s="276">
        <f t="shared" si="62"/>
        <v>110</v>
      </c>
      <c r="AL119" s="277" t="e">
        <f t="shared" si="53"/>
        <v>#REF!</v>
      </c>
      <c r="AM119" s="277" t="e">
        <f>-AO118*#REF!</f>
        <v>#REF!</v>
      </c>
      <c r="AN119" s="277" t="e">
        <f>IF(ROUNDDOWN(AO118,0)=0,0,-#REF!)</f>
        <v>#REF!</v>
      </c>
      <c r="AO119" s="278" t="e">
        <f t="shared" si="47"/>
        <v>#REF!</v>
      </c>
      <c r="AP119" s="1694"/>
      <c r="AQ119" s="1694"/>
      <c r="AR119" s="1694"/>
      <c r="AS119" s="1694"/>
      <c r="AU119" s="276">
        <f t="shared" si="65"/>
        <v>104</v>
      </c>
      <c r="AV119" s="277">
        <f t="shared" si="77"/>
        <v>-827125.0625</v>
      </c>
      <c r="AW119" s="277">
        <f t="shared" si="96"/>
        <v>-827125.0625</v>
      </c>
      <c r="AX119" s="1491">
        <v>0</v>
      </c>
      <c r="AY119" s="1491">
        <f>IF('Cashflow trend'!$L$13&lt;=$C119,-$BA118,$AX119)</f>
        <v>0</v>
      </c>
      <c r="AZ119" s="277"/>
      <c r="BA119" s="278">
        <f t="shared" si="66"/>
        <v>400125000</v>
      </c>
      <c r="BB119" s="279">
        <f t="shared" si="68"/>
        <v>2.4806000000000002E-2</v>
      </c>
      <c r="BC119" s="279">
        <f t="shared" si="68"/>
        <v>0.01</v>
      </c>
      <c r="BD119" s="1694"/>
      <c r="BE119" s="355">
        <f t="shared" si="40"/>
        <v>-333437.5</v>
      </c>
      <c r="BF119" s="1694"/>
      <c r="BG119" s="1694"/>
      <c r="BI119" s="277">
        <f t="shared" si="41"/>
        <v>0</v>
      </c>
      <c r="BJ119" s="277">
        <f t="shared" si="113"/>
        <v>0</v>
      </c>
      <c r="BK119" s="277">
        <v>0</v>
      </c>
      <c r="BL119" s="277"/>
      <c r="BM119" s="278">
        <f t="shared" si="79"/>
        <v>350000000</v>
      </c>
      <c r="BN119" s="279">
        <f t="shared" si="90"/>
        <v>0</v>
      </c>
      <c r="BO119" s="279">
        <f t="shared" si="90"/>
        <v>0.01</v>
      </c>
      <c r="BP119" s="1694"/>
      <c r="BQ119" s="355">
        <f t="shared" si="63"/>
        <v>-291666.66666666669</v>
      </c>
      <c r="BR119" s="1694"/>
      <c r="BS119" s="1694"/>
      <c r="BU119" s="276">
        <f t="shared" si="110"/>
        <v>0</v>
      </c>
      <c r="BV119" s="277">
        <f t="shared" si="58"/>
        <v>0</v>
      </c>
      <c r="BW119" s="277">
        <f t="shared" si="114"/>
        <v>0</v>
      </c>
      <c r="BX119" s="277">
        <f t="shared" si="111"/>
        <v>0</v>
      </c>
      <c r="BY119" s="277">
        <f>IF('Cashflow trend'!$L$13&lt;=$C119,-$AY119,0)</f>
        <v>0</v>
      </c>
      <c r="BZ119" s="278">
        <f t="shared" si="80"/>
        <v>0</v>
      </c>
      <c r="CA119" s="279">
        <f t="shared" si="71"/>
        <v>2.4844599999999998E-2</v>
      </c>
      <c r="CB119" s="279">
        <f t="shared" ref="CB119" si="124">CB118</f>
        <v>0.01</v>
      </c>
      <c r="CC119" s="1694"/>
      <c r="CD119" s="1476">
        <f t="shared" si="45"/>
        <v>0</v>
      </c>
      <c r="CE119" s="1694"/>
      <c r="CF119" s="1694"/>
    </row>
    <row r="120" spans="1:84" ht="15.75" customHeight="1">
      <c r="A120" s="273" t="s">
        <v>512</v>
      </c>
      <c r="B120" s="274">
        <v>2024</v>
      </c>
      <c r="C120" s="1503">
        <v>45444</v>
      </c>
      <c r="D120" s="1713"/>
      <c r="E120" s="275">
        <f t="shared" si="64"/>
        <v>333437500</v>
      </c>
      <c r="F120" s="276">
        <f t="shared" si="59"/>
        <v>111</v>
      </c>
      <c r="G120" s="277" t="e">
        <f t="shared" si="106"/>
        <v>#REF!</v>
      </c>
      <c r="H120" s="277" t="e">
        <f>-ROUNDDOWN(J119*#REF!,0)</f>
        <v>#REF!</v>
      </c>
      <c r="I120" s="277" t="e">
        <f>IF(ROUNDDOWN(J119,0)=0,0,-#REF!)</f>
        <v>#REF!</v>
      </c>
      <c r="J120" s="278" t="e">
        <f t="shared" si="55"/>
        <v>#REF!</v>
      </c>
      <c r="K120" s="1694"/>
      <c r="L120" s="1694"/>
      <c r="M120" s="1694"/>
      <c r="O120" s="276">
        <f t="shared" si="60"/>
        <v>111</v>
      </c>
      <c r="P120" s="277" t="e">
        <f t="shared" si="51"/>
        <v>#REF!</v>
      </c>
      <c r="Q120" s="277" t="e">
        <f>-S119*#REF!</f>
        <v>#REF!</v>
      </c>
      <c r="R120" s="277" t="e">
        <f>IF(ROUNDDOWN(S119,0)=0,0,-#REF!)</f>
        <v>#REF!</v>
      </c>
      <c r="S120" s="278" t="e">
        <f t="shared" si="56"/>
        <v>#REF!</v>
      </c>
      <c r="T120" s="1694"/>
      <c r="U120" s="1694"/>
      <c r="V120" s="1694"/>
      <c r="X120" s="276">
        <f t="shared" si="61"/>
        <v>111</v>
      </c>
      <c r="Y120" s="277" t="e">
        <f t="shared" si="52"/>
        <v>#REF!</v>
      </c>
      <c r="Z120" s="277" t="e">
        <f>-AB119*#REF!</f>
        <v>#REF!</v>
      </c>
      <c r="AA120" s="277" t="e">
        <f>IF(ROUNDDOWN(AB119,0)=0,0,-#REF!)</f>
        <v>#REF!</v>
      </c>
      <c r="AB120" s="278" t="e">
        <f t="shared" si="57"/>
        <v>#REF!</v>
      </c>
      <c r="AC120" s="1694"/>
      <c r="AD120" s="1694"/>
      <c r="AE120" s="1694"/>
      <c r="AG120" s="1709"/>
      <c r="AH120" s="1709"/>
      <c r="AI120" s="1709"/>
      <c r="AK120" s="276">
        <f t="shared" si="62"/>
        <v>111</v>
      </c>
      <c r="AL120" s="277" t="e">
        <f t="shared" si="53"/>
        <v>#REF!</v>
      </c>
      <c r="AM120" s="277" t="e">
        <f>-AO119*#REF!</f>
        <v>#REF!</v>
      </c>
      <c r="AN120" s="277" t="e">
        <f>IF(ROUNDDOWN(AO119,0)=0,0,-#REF!)</f>
        <v>#REF!</v>
      </c>
      <c r="AO120" s="278" t="e">
        <f t="shared" si="47"/>
        <v>#REF!</v>
      </c>
      <c r="AP120" s="1694"/>
      <c r="AQ120" s="1694"/>
      <c r="AR120" s="1694"/>
      <c r="AS120" s="1694"/>
      <c r="AU120" s="276">
        <f t="shared" si="65"/>
        <v>105</v>
      </c>
      <c r="AV120" s="277">
        <f t="shared" si="77"/>
        <v>-67514625.0625</v>
      </c>
      <c r="AW120" s="277">
        <f t="shared" si="96"/>
        <v>-827125.0625</v>
      </c>
      <c r="AX120" s="1491">
        <v>-66687500.000000007</v>
      </c>
      <c r="AY120" s="1491">
        <f>IF('Cashflow trend'!$L$13&lt;=$C120,-$BA119,$AX120)</f>
        <v>-66687500.000000007</v>
      </c>
      <c r="AZ120" s="277"/>
      <c r="BA120" s="278">
        <f t="shared" si="66"/>
        <v>333437500</v>
      </c>
      <c r="BB120" s="279">
        <f t="shared" si="68"/>
        <v>2.4806000000000002E-2</v>
      </c>
      <c r="BC120" s="279">
        <f t="shared" si="68"/>
        <v>0.01</v>
      </c>
      <c r="BD120" s="1694"/>
      <c r="BE120" s="355">
        <f t="shared" si="40"/>
        <v>-333437.5</v>
      </c>
      <c r="BF120" s="1694"/>
      <c r="BG120" s="1694"/>
      <c r="BI120" s="277">
        <f t="shared" si="41"/>
        <v>0</v>
      </c>
      <c r="BJ120" s="277">
        <f t="shared" si="113"/>
        <v>0</v>
      </c>
      <c r="BK120" s="277">
        <v>0</v>
      </c>
      <c r="BL120" s="277">
        <v>0</v>
      </c>
      <c r="BM120" s="278">
        <f t="shared" si="79"/>
        <v>350000000</v>
      </c>
      <c r="BN120" s="279">
        <f t="shared" si="90"/>
        <v>0</v>
      </c>
      <c r="BO120" s="279">
        <f t="shared" si="90"/>
        <v>0.01</v>
      </c>
      <c r="BP120" s="1694"/>
      <c r="BQ120" s="355">
        <f t="shared" si="63"/>
        <v>-291666.66666666669</v>
      </c>
      <c r="BR120" s="1694"/>
      <c r="BS120" s="1694"/>
      <c r="BU120" s="276">
        <f t="shared" si="110"/>
        <v>0</v>
      </c>
      <c r="BV120" s="277">
        <f t="shared" si="58"/>
        <v>0</v>
      </c>
      <c r="BW120" s="277">
        <f t="shared" si="114"/>
        <v>0</v>
      </c>
      <c r="BX120" s="277">
        <f t="shared" si="111"/>
        <v>0</v>
      </c>
      <c r="BY120" s="277">
        <f>IF('Cashflow trend'!$L$13&lt;=$C120,-$AY120,0)</f>
        <v>0</v>
      </c>
      <c r="BZ120" s="278">
        <f t="shared" si="80"/>
        <v>0</v>
      </c>
      <c r="CA120" s="279">
        <f t="shared" si="71"/>
        <v>2.4844599999999998E-2</v>
      </c>
      <c r="CB120" s="279">
        <f t="shared" ref="CB120" si="125">CB119</f>
        <v>0.01</v>
      </c>
      <c r="CC120" s="1694"/>
      <c r="CD120" s="1476">
        <f t="shared" si="45"/>
        <v>0</v>
      </c>
      <c r="CE120" s="1694"/>
      <c r="CF120" s="1694"/>
    </row>
    <row r="121" spans="1:84" ht="15.75" customHeight="1">
      <c r="A121" s="273" t="s">
        <v>513</v>
      </c>
      <c r="B121" s="274">
        <v>2024</v>
      </c>
      <c r="C121" s="1503">
        <v>45474</v>
      </c>
      <c r="D121" s="1713"/>
      <c r="E121" s="275">
        <f t="shared" si="64"/>
        <v>333437500</v>
      </c>
      <c r="F121" s="276">
        <f t="shared" si="59"/>
        <v>112</v>
      </c>
      <c r="G121" s="277" t="e">
        <f t="shared" si="106"/>
        <v>#REF!</v>
      </c>
      <c r="H121" s="277" t="e">
        <f>-ROUNDDOWN(J120*#REF!,0)</f>
        <v>#REF!</v>
      </c>
      <c r="I121" s="277" t="e">
        <f>IF(ROUNDDOWN(J120,0)=0,0,-#REF!)</f>
        <v>#REF!</v>
      </c>
      <c r="J121" s="278" t="e">
        <f t="shared" si="55"/>
        <v>#REF!</v>
      </c>
      <c r="K121" s="1694"/>
      <c r="L121" s="1694"/>
      <c r="M121" s="1694"/>
      <c r="O121" s="276">
        <f t="shared" si="60"/>
        <v>112</v>
      </c>
      <c r="P121" s="277" t="e">
        <f t="shared" si="51"/>
        <v>#REF!</v>
      </c>
      <c r="Q121" s="277" t="e">
        <f>-S120*#REF!</f>
        <v>#REF!</v>
      </c>
      <c r="R121" s="277" t="e">
        <f>IF(ROUNDDOWN(S120,0)=0,0,-#REF!)</f>
        <v>#REF!</v>
      </c>
      <c r="S121" s="278" t="e">
        <f t="shared" si="56"/>
        <v>#REF!</v>
      </c>
      <c r="T121" s="1694"/>
      <c r="U121" s="1694"/>
      <c r="V121" s="1694"/>
      <c r="X121" s="276">
        <f t="shared" si="61"/>
        <v>112</v>
      </c>
      <c r="Y121" s="277" t="e">
        <f t="shared" si="52"/>
        <v>#REF!</v>
      </c>
      <c r="Z121" s="277" t="e">
        <f>-AB120*#REF!</f>
        <v>#REF!</v>
      </c>
      <c r="AA121" s="277" t="e">
        <f>IF(ROUNDDOWN(AB120,0)=0,0,-#REF!)</f>
        <v>#REF!</v>
      </c>
      <c r="AB121" s="278" t="e">
        <f t="shared" si="57"/>
        <v>#REF!</v>
      </c>
      <c r="AC121" s="1694"/>
      <c r="AD121" s="1694"/>
      <c r="AE121" s="1694"/>
      <c r="AG121" s="1709"/>
      <c r="AH121" s="1709"/>
      <c r="AI121" s="1709"/>
      <c r="AK121" s="276">
        <f t="shared" si="62"/>
        <v>112</v>
      </c>
      <c r="AL121" s="277" t="e">
        <f t="shared" si="53"/>
        <v>#REF!</v>
      </c>
      <c r="AM121" s="277" t="e">
        <f>-AO120*#REF!</f>
        <v>#REF!</v>
      </c>
      <c r="AN121" s="277" t="e">
        <f>IF(ROUNDDOWN(AO120,0)=0,0,-#REF!)</f>
        <v>#REF!</v>
      </c>
      <c r="AO121" s="278" t="e">
        <f t="shared" si="47"/>
        <v>#REF!</v>
      </c>
      <c r="AP121" s="1694"/>
      <c r="AQ121" s="1694"/>
      <c r="AR121" s="1694"/>
      <c r="AS121" s="1694"/>
      <c r="AU121" s="276">
        <f t="shared" si="65"/>
        <v>106</v>
      </c>
      <c r="AV121" s="277">
        <f t="shared" si="77"/>
        <v>-689270.88541666674</v>
      </c>
      <c r="AW121" s="277">
        <f t="shared" si="96"/>
        <v>-689270.88541666674</v>
      </c>
      <c r="AX121" s="1491">
        <v>0</v>
      </c>
      <c r="AY121" s="1491">
        <f>IF('Cashflow trend'!$L$13&lt;=$C121,-$BA120,$AX121)</f>
        <v>0</v>
      </c>
      <c r="AZ121" s="277"/>
      <c r="BA121" s="278">
        <f t="shared" si="66"/>
        <v>333437500</v>
      </c>
      <c r="BB121" s="279">
        <f t="shared" si="68"/>
        <v>2.4806000000000002E-2</v>
      </c>
      <c r="BC121" s="279">
        <f t="shared" si="68"/>
        <v>0.01</v>
      </c>
      <c r="BD121" s="1694"/>
      <c r="BE121" s="355">
        <f t="shared" ref="BE121:BE153" si="126">-BA120*BC121/12</f>
        <v>-277864.58333333331</v>
      </c>
      <c r="BF121" s="1694"/>
      <c r="BG121" s="1694"/>
      <c r="BI121" s="277">
        <f t="shared" ref="BI121:BI153" si="127">SUM(BJ121:BK121)</f>
        <v>0</v>
      </c>
      <c r="BJ121" s="277">
        <f t="shared" si="113"/>
        <v>0</v>
      </c>
      <c r="BK121" s="277">
        <v>0</v>
      </c>
      <c r="BL121" s="277"/>
      <c r="BM121" s="278">
        <f t="shared" si="79"/>
        <v>350000000</v>
      </c>
      <c r="BN121" s="279">
        <f t="shared" si="90"/>
        <v>0</v>
      </c>
      <c r="BO121" s="279">
        <f t="shared" si="90"/>
        <v>0.01</v>
      </c>
      <c r="BP121" s="1694"/>
      <c r="BQ121" s="355">
        <f t="shared" si="63"/>
        <v>-291666.66666666669</v>
      </c>
      <c r="BR121" s="1694"/>
      <c r="BS121" s="1694"/>
      <c r="BT121" s="79"/>
      <c r="BU121" s="276">
        <f t="shared" si="110"/>
        <v>0</v>
      </c>
      <c r="BV121" s="277">
        <f t="shared" si="58"/>
        <v>0</v>
      </c>
      <c r="BW121" s="277">
        <f t="shared" si="114"/>
        <v>0</v>
      </c>
      <c r="BX121" s="277">
        <f t="shared" si="111"/>
        <v>0</v>
      </c>
      <c r="BY121" s="277">
        <f>IF('Cashflow trend'!$L$13&lt;=$C121,-$AY121,0)</f>
        <v>0</v>
      </c>
      <c r="BZ121" s="278">
        <f t="shared" si="80"/>
        <v>0</v>
      </c>
      <c r="CA121" s="279">
        <f t="shared" si="71"/>
        <v>2.4844599999999998E-2</v>
      </c>
      <c r="CB121" s="279">
        <f t="shared" ref="CB121" si="128">CB120</f>
        <v>0.01</v>
      </c>
      <c r="CC121" s="1694"/>
      <c r="CD121" s="1476">
        <f t="shared" ref="CD121:CD165" si="129">-BZ120*CB121/12</f>
        <v>0</v>
      </c>
      <c r="CE121" s="1694"/>
      <c r="CF121" s="1694"/>
    </row>
    <row r="122" spans="1:84" ht="15.75" customHeight="1">
      <c r="A122" s="273" t="s">
        <v>514</v>
      </c>
      <c r="B122" s="274">
        <v>2024</v>
      </c>
      <c r="C122" s="1503">
        <v>45505</v>
      </c>
      <c r="D122" s="1713"/>
      <c r="E122" s="275">
        <f t="shared" si="64"/>
        <v>333437500</v>
      </c>
      <c r="F122" s="276">
        <f t="shared" si="59"/>
        <v>113</v>
      </c>
      <c r="G122" s="277" t="e">
        <f t="shared" si="106"/>
        <v>#REF!</v>
      </c>
      <c r="H122" s="277" t="e">
        <f>-ROUNDDOWN(J121*#REF!,0)</f>
        <v>#REF!</v>
      </c>
      <c r="I122" s="277" t="e">
        <f>IF(ROUNDDOWN(J121,0)=0,0,-#REF!)</f>
        <v>#REF!</v>
      </c>
      <c r="J122" s="278" t="e">
        <f t="shared" si="55"/>
        <v>#REF!</v>
      </c>
      <c r="K122" s="1694"/>
      <c r="L122" s="1694"/>
      <c r="M122" s="1694"/>
      <c r="O122" s="276">
        <f t="shared" si="60"/>
        <v>113</v>
      </c>
      <c r="P122" s="277" t="e">
        <f t="shared" si="51"/>
        <v>#REF!</v>
      </c>
      <c r="Q122" s="277" t="e">
        <f>-S121*#REF!</f>
        <v>#REF!</v>
      </c>
      <c r="R122" s="277" t="e">
        <f>IF(ROUNDDOWN(S121,0)=0,0,-#REF!)</f>
        <v>#REF!</v>
      </c>
      <c r="S122" s="278" t="e">
        <f t="shared" si="56"/>
        <v>#REF!</v>
      </c>
      <c r="T122" s="1694"/>
      <c r="U122" s="1694"/>
      <c r="V122" s="1694"/>
      <c r="X122" s="276">
        <f t="shared" si="61"/>
        <v>113</v>
      </c>
      <c r="Y122" s="277" t="e">
        <f t="shared" si="52"/>
        <v>#REF!</v>
      </c>
      <c r="Z122" s="277" t="e">
        <f>-AB121*#REF!</f>
        <v>#REF!</v>
      </c>
      <c r="AA122" s="277" t="e">
        <f>IF(ROUNDDOWN(AB121,0)=0,0,-#REF!)</f>
        <v>#REF!</v>
      </c>
      <c r="AB122" s="278" t="e">
        <f t="shared" si="57"/>
        <v>#REF!</v>
      </c>
      <c r="AC122" s="1694"/>
      <c r="AD122" s="1694"/>
      <c r="AE122" s="1694"/>
      <c r="AG122" s="1709"/>
      <c r="AH122" s="1709"/>
      <c r="AI122" s="1709"/>
      <c r="AK122" s="276">
        <f t="shared" si="62"/>
        <v>113</v>
      </c>
      <c r="AL122" s="277" t="e">
        <f t="shared" si="53"/>
        <v>#REF!</v>
      </c>
      <c r="AM122" s="277" t="e">
        <f>-AO121*#REF!</f>
        <v>#REF!</v>
      </c>
      <c r="AN122" s="277" t="e">
        <f>IF(ROUNDDOWN(AO121,0)=0,0,-#REF!)</f>
        <v>#REF!</v>
      </c>
      <c r="AO122" s="278" t="e">
        <f t="shared" si="47"/>
        <v>#REF!</v>
      </c>
      <c r="AP122" s="1694"/>
      <c r="AQ122" s="1694"/>
      <c r="AR122" s="1694"/>
      <c r="AS122" s="1694"/>
      <c r="AU122" s="276">
        <f t="shared" si="65"/>
        <v>107</v>
      </c>
      <c r="AV122" s="277">
        <f t="shared" si="77"/>
        <v>-689270.88541666674</v>
      </c>
      <c r="AW122" s="277">
        <f t="shared" si="96"/>
        <v>-689270.88541666674</v>
      </c>
      <c r="AX122" s="1491">
        <v>0</v>
      </c>
      <c r="AY122" s="1491">
        <f>IF('Cashflow trend'!$L$13&lt;=$C122,-$BA121,$AX122)</f>
        <v>0</v>
      </c>
      <c r="AZ122" s="277"/>
      <c r="BA122" s="278">
        <f t="shared" si="66"/>
        <v>333437500</v>
      </c>
      <c r="BB122" s="279">
        <f t="shared" si="68"/>
        <v>2.4806000000000002E-2</v>
      </c>
      <c r="BC122" s="279">
        <f t="shared" si="68"/>
        <v>0.01</v>
      </c>
      <c r="BD122" s="1694"/>
      <c r="BE122" s="355">
        <f t="shared" si="126"/>
        <v>-277864.58333333331</v>
      </c>
      <c r="BF122" s="1694"/>
      <c r="BG122" s="1694"/>
      <c r="BI122" s="277">
        <f t="shared" si="127"/>
        <v>0</v>
      </c>
      <c r="BJ122" s="277">
        <f t="shared" si="113"/>
        <v>0</v>
      </c>
      <c r="BK122" s="277">
        <v>0</v>
      </c>
      <c r="BL122" s="277"/>
      <c r="BM122" s="278">
        <f t="shared" si="79"/>
        <v>350000000</v>
      </c>
      <c r="BN122" s="279">
        <f t="shared" si="90"/>
        <v>0</v>
      </c>
      <c r="BO122" s="279">
        <f t="shared" si="90"/>
        <v>0.01</v>
      </c>
      <c r="BP122" s="1694"/>
      <c r="BQ122" s="355">
        <f t="shared" si="63"/>
        <v>-291666.66666666669</v>
      </c>
      <c r="BR122" s="1694"/>
      <c r="BS122" s="1694"/>
      <c r="BT122" s="79"/>
      <c r="BU122" s="276">
        <f t="shared" si="110"/>
        <v>0</v>
      </c>
      <c r="BV122" s="277">
        <f t="shared" si="58"/>
        <v>0</v>
      </c>
      <c r="BW122" s="277">
        <f t="shared" si="114"/>
        <v>0</v>
      </c>
      <c r="BX122" s="277">
        <f t="shared" si="111"/>
        <v>0</v>
      </c>
      <c r="BY122" s="277">
        <f>IF('Cashflow trend'!$L$13&lt;=$C122,-$AY122,0)</f>
        <v>0</v>
      </c>
      <c r="BZ122" s="278">
        <f t="shared" si="80"/>
        <v>0</v>
      </c>
      <c r="CA122" s="279">
        <f t="shared" si="71"/>
        <v>2.4844599999999998E-2</v>
      </c>
      <c r="CB122" s="279">
        <f t="shared" ref="CB122" si="130">CB121</f>
        <v>0.01</v>
      </c>
      <c r="CC122" s="1694"/>
      <c r="CD122" s="1476">
        <f t="shared" si="129"/>
        <v>0</v>
      </c>
      <c r="CE122" s="1694"/>
      <c r="CF122" s="1694"/>
    </row>
    <row r="123" spans="1:84" ht="15.75" customHeight="1">
      <c r="A123" s="273" t="s">
        <v>515</v>
      </c>
      <c r="B123" s="274">
        <v>2024</v>
      </c>
      <c r="C123" s="1503">
        <v>45536</v>
      </c>
      <c r="D123" s="1713"/>
      <c r="E123" s="275">
        <f t="shared" si="64"/>
        <v>266750000</v>
      </c>
      <c r="F123" s="276">
        <f t="shared" si="59"/>
        <v>114</v>
      </c>
      <c r="G123" s="277" t="e">
        <f t="shared" si="106"/>
        <v>#REF!</v>
      </c>
      <c r="H123" s="277" t="e">
        <f>-ROUNDDOWN(J122*#REF!,0)</f>
        <v>#REF!</v>
      </c>
      <c r="I123" s="277" t="e">
        <f>IF(ROUNDDOWN(J122,0)=0,0,-#REF!)</f>
        <v>#REF!</v>
      </c>
      <c r="J123" s="278" t="e">
        <f t="shared" si="55"/>
        <v>#REF!</v>
      </c>
      <c r="K123" s="1694"/>
      <c r="L123" s="1694"/>
      <c r="M123" s="1694"/>
      <c r="O123" s="276">
        <f t="shared" si="60"/>
        <v>114</v>
      </c>
      <c r="P123" s="277" t="e">
        <f t="shared" si="51"/>
        <v>#REF!</v>
      </c>
      <c r="Q123" s="277" t="e">
        <f>-S122*#REF!</f>
        <v>#REF!</v>
      </c>
      <c r="R123" s="277" t="e">
        <f>IF(ROUNDDOWN(S122,0)=0,0,-#REF!)</f>
        <v>#REF!</v>
      </c>
      <c r="S123" s="278" t="e">
        <f t="shared" si="56"/>
        <v>#REF!</v>
      </c>
      <c r="T123" s="1694"/>
      <c r="U123" s="1694"/>
      <c r="V123" s="1694"/>
      <c r="X123" s="276">
        <f t="shared" si="61"/>
        <v>114</v>
      </c>
      <c r="Y123" s="277" t="e">
        <f t="shared" si="52"/>
        <v>#REF!</v>
      </c>
      <c r="Z123" s="277" t="e">
        <f>-AB122*#REF!</f>
        <v>#REF!</v>
      </c>
      <c r="AA123" s="277" t="e">
        <f>IF(ROUNDDOWN(AB122,0)=0,0,-#REF!)</f>
        <v>#REF!</v>
      </c>
      <c r="AB123" s="278" t="e">
        <f t="shared" si="57"/>
        <v>#REF!</v>
      </c>
      <c r="AC123" s="1694"/>
      <c r="AD123" s="1694"/>
      <c r="AE123" s="1694"/>
      <c r="AG123" s="1709"/>
      <c r="AH123" s="1709"/>
      <c r="AI123" s="1709"/>
      <c r="AK123" s="276">
        <f t="shared" si="62"/>
        <v>114</v>
      </c>
      <c r="AL123" s="277" t="e">
        <f t="shared" si="53"/>
        <v>#REF!</v>
      </c>
      <c r="AM123" s="277" t="e">
        <f>-AO122*#REF!</f>
        <v>#REF!</v>
      </c>
      <c r="AN123" s="277" t="e">
        <f>IF(ROUNDDOWN(AO122,0)=0,0,-#REF!)</f>
        <v>#REF!</v>
      </c>
      <c r="AO123" s="278" t="e">
        <f t="shared" ref="AO123:AO153" si="131">AN123+AO122</f>
        <v>#REF!</v>
      </c>
      <c r="AP123" s="1694"/>
      <c r="AQ123" s="1694"/>
      <c r="AR123" s="1694"/>
      <c r="AS123" s="1694"/>
      <c r="AU123" s="276">
        <f t="shared" si="65"/>
        <v>108</v>
      </c>
      <c r="AV123" s="277">
        <f t="shared" si="77"/>
        <v>-67376770.885416672</v>
      </c>
      <c r="AW123" s="277">
        <f t="shared" si="96"/>
        <v>-689270.88541666674</v>
      </c>
      <c r="AX123" s="1491">
        <v>-66687500.000000007</v>
      </c>
      <c r="AY123" s="1491">
        <f>IF('Cashflow trend'!$L$13&lt;=$C123,-$BA122,$AX123)</f>
        <v>-66687500.000000007</v>
      </c>
      <c r="AZ123" s="277"/>
      <c r="BA123" s="278">
        <f t="shared" si="66"/>
        <v>266750000</v>
      </c>
      <c r="BB123" s="279">
        <f t="shared" si="68"/>
        <v>2.4806000000000002E-2</v>
      </c>
      <c r="BC123" s="279">
        <f t="shared" si="68"/>
        <v>0.01</v>
      </c>
      <c r="BD123" s="1694"/>
      <c r="BE123" s="355">
        <f t="shared" si="126"/>
        <v>-277864.58333333331</v>
      </c>
      <c r="BF123" s="1694"/>
      <c r="BG123" s="1694"/>
      <c r="BI123" s="277">
        <f t="shared" si="127"/>
        <v>0</v>
      </c>
      <c r="BJ123" s="277">
        <f t="shared" si="113"/>
        <v>0</v>
      </c>
      <c r="BK123" s="277">
        <v>0</v>
      </c>
      <c r="BL123" s="277">
        <v>0</v>
      </c>
      <c r="BM123" s="278">
        <f t="shared" si="79"/>
        <v>350000000</v>
      </c>
      <c r="BN123" s="279">
        <f t="shared" si="90"/>
        <v>0</v>
      </c>
      <c r="BO123" s="279">
        <f t="shared" si="90"/>
        <v>0.01</v>
      </c>
      <c r="BP123" s="1694"/>
      <c r="BQ123" s="355">
        <f t="shared" si="63"/>
        <v>-291666.66666666669</v>
      </c>
      <c r="BR123" s="1694"/>
      <c r="BS123" s="1694"/>
      <c r="BT123" s="79"/>
      <c r="BU123" s="276">
        <f t="shared" si="110"/>
        <v>0</v>
      </c>
      <c r="BV123" s="277">
        <f t="shared" si="58"/>
        <v>0</v>
      </c>
      <c r="BW123" s="277">
        <f t="shared" si="114"/>
        <v>0</v>
      </c>
      <c r="BX123" s="277">
        <f t="shared" si="111"/>
        <v>0</v>
      </c>
      <c r="BY123" s="277">
        <f>IF('Cashflow trend'!$L$13&lt;=$C123,-$AY123,0)</f>
        <v>0</v>
      </c>
      <c r="BZ123" s="278">
        <f t="shared" si="80"/>
        <v>0</v>
      </c>
      <c r="CA123" s="279">
        <f t="shared" si="71"/>
        <v>2.4844599999999998E-2</v>
      </c>
      <c r="CB123" s="279">
        <f t="shared" ref="CB123" si="132">CB122</f>
        <v>0.01</v>
      </c>
      <c r="CC123" s="1694"/>
      <c r="CD123" s="1476">
        <f t="shared" si="129"/>
        <v>0</v>
      </c>
      <c r="CE123" s="1694"/>
      <c r="CF123" s="1694"/>
    </row>
    <row r="124" spans="1:84" ht="15.75" customHeight="1">
      <c r="A124" s="273" t="s">
        <v>516</v>
      </c>
      <c r="B124" s="274">
        <v>2024</v>
      </c>
      <c r="C124" s="1503">
        <v>45566</v>
      </c>
      <c r="D124" s="1713"/>
      <c r="E124" s="275">
        <f t="shared" si="64"/>
        <v>266750000</v>
      </c>
      <c r="F124" s="276">
        <f t="shared" si="59"/>
        <v>115</v>
      </c>
      <c r="G124" s="277" t="e">
        <f t="shared" si="106"/>
        <v>#REF!</v>
      </c>
      <c r="H124" s="277" t="e">
        <f>-ROUNDDOWN(J123*#REF!,0)</f>
        <v>#REF!</v>
      </c>
      <c r="I124" s="277" t="e">
        <f>IF(ROUNDDOWN(J123,0)=0,0,-#REF!)</f>
        <v>#REF!</v>
      </c>
      <c r="J124" s="278" t="e">
        <f t="shared" si="55"/>
        <v>#REF!</v>
      </c>
      <c r="K124" s="1694"/>
      <c r="L124" s="1694"/>
      <c r="M124" s="1694"/>
      <c r="O124" s="276">
        <f t="shared" si="60"/>
        <v>115</v>
      </c>
      <c r="P124" s="277" t="e">
        <f t="shared" si="51"/>
        <v>#REF!</v>
      </c>
      <c r="Q124" s="277" t="e">
        <f>-S123*#REF!</f>
        <v>#REF!</v>
      </c>
      <c r="R124" s="277" t="e">
        <f>IF(ROUNDDOWN(S123,0)=0,0,-#REF!)</f>
        <v>#REF!</v>
      </c>
      <c r="S124" s="278" t="e">
        <f t="shared" si="56"/>
        <v>#REF!</v>
      </c>
      <c r="T124" s="1694"/>
      <c r="U124" s="1694"/>
      <c r="V124" s="1694"/>
      <c r="X124" s="276">
        <f t="shared" si="61"/>
        <v>115</v>
      </c>
      <c r="Y124" s="277" t="e">
        <f t="shared" si="52"/>
        <v>#REF!</v>
      </c>
      <c r="Z124" s="277" t="e">
        <f>-AB123*#REF!</f>
        <v>#REF!</v>
      </c>
      <c r="AA124" s="277" t="e">
        <f>IF(ROUNDDOWN(AB123,0)=0,0,-#REF!)</f>
        <v>#REF!</v>
      </c>
      <c r="AB124" s="278" t="e">
        <f t="shared" si="57"/>
        <v>#REF!</v>
      </c>
      <c r="AC124" s="1694"/>
      <c r="AD124" s="1694"/>
      <c r="AE124" s="1694"/>
      <c r="AG124" s="1709"/>
      <c r="AH124" s="1709"/>
      <c r="AI124" s="1709"/>
      <c r="AK124" s="276">
        <f t="shared" si="62"/>
        <v>115</v>
      </c>
      <c r="AL124" s="277" t="e">
        <f t="shared" si="53"/>
        <v>#REF!</v>
      </c>
      <c r="AM124" s="277" t="e">
        <f>-AO123*#REF!</f>
        <v>#REF!</v>
      </c>
      <c r="AN124" s="277" t="e">
        <f>IF(ROUNDDOWN(AO123,0)=0,0,-#REF!)</f>
        <v>#REF!</v>
      </c>
      <c r="AO124" s="278" t="e">
        <f t="shared" si="131"/>
        <v>#REF!</v>
      </c>
      <c r="AP124" s="1694"/>
      <c r="AQ124" s="1694"/>
      <c r="AR124" s="1694"/>
      <c r="AS124" s="1694"/>
      <c r="AU124" s="276">
        <f t="shared" si="65"/>
        <v>109</v>
      </c>
      <c r="AV124" s="277">
        <f t="shared" si="77"/>
        <v>-551416.70833333337</v>
      </c>
      <c r="AW124" s="277">
        <f t="shared" si="96"/>
        <v>-551416.70833333337</v>
      </c>
      <c r="AX124" s="1491">
        <v>0</v>
      </c>
      <c r="AY124" s="1491">
        <f>IF('Cashflow trend'!$L$13&lt;=$C124,-$BA123,$AX124)</f>
        <v>0</v>
      </c>
      <c r="AZ124" s="277"/>
      <c r="BA124" s="278">
        <f t="shared" si="66"/>
        <v>266750000</v>
      </c>
      <c r="BB124" s="279">
        <f t="shared" si="68"/>
        <v>2.4806000000000002E-2</v>
      </c>
      <c r="BC124" s="279">
        <f t="shared" si="68"/>
        <v>0.01</v>
      </c>
      <c r="BD124" s="1694"/>
      <c r="BE124" s="355">
        <f t="shared" si="126"/>
        <v>-222291.66666666666</v>
      </c>
      <c r="BF124" s="1694"/>
      <c r="BG124" s="1694"/>
      <c r="BI124" s="277">
        <f t="shared" si="127"/>
        <v>0</v>
      </c>
      <c r="BJ124" s="277">
        <f t="shared" si="113"/>
        <v>0</v>
      </c>
      <c r="BK124" s="277">
        <v>0</v>
      </c>
      <c r="BL124" s="277"/>
      <c r="BM124" s="278">
        <f t="shared" si="79"/>
        <v>350000000</v>
      </c>
      <c r="BN124" s="279">
        <f t="shared" si="90"/>
        <v>0</v>
      </c>
      <c r="BO124" s="279">
        <f t="shared" si="90"/>
        <v>0.01</v>
      </c>
      <c r="BP124" s="1694"/>
      <c r="BQ124" s="355">
        <f t="shared" si="63"/>
        <v>-291666.66666666669</v>
      </c>
      <c r="BR124" s="1694"/>
      <c r="BS124" s="1694"/>
      <c r="BT124" s="79"/>
      <c r="BU124" s="276">
        <f t="shared" si="110"/>
        <v>0</v>
      </c>
      <c r="BV124" s="277">
        <f t="shared" si="58"/>
        <v>0</v>
      </c>
      <c r="BW124" s="277">
        <f t="shared" si="114"/>
        <v>0</v>
      </c>
      <c r="BX124" s="277">
        <f t="shared" si="111"/>
        <v>0</v>
      </c>
      <c r="BY124" s="277">
        <f>IF('Cashflow trend'!$L$13&lt;=$C124,-$AY124,0)</f>
        <v>0</v>
      </c>
      <c r="BZ124" s="278">
        <f t="shared" si="80"/>
        <v>0</v>
      </c>
      <c r="CA124" s="279">
        <f t="shared" si="71"/>
        <v>2.4844599999999998E-2</v>
      </c>
      <c r="CB124" s="279">
        <f t="shared" ref="CB124" si="133">CB123</f>
        <v>0.01</v>
      </c>
      <c r="CC124" s="1694"/>
      <c r="CD124" s="1476">
        <f t="shared" si="129"/>
        <v>0</v>
      </c>
      <c r="CE124" s="1694"/>
      <c r="CF124" s="1694"/>
    </row>
    <row r="125" spans="1:84" ht="15.75" customHeight="1">
      <c r="A125" s="273" t="s">
        <v>517</v>
      </c>
      <c r="B125" s="274">
        <v>2024</v>
      </c>
      <c r="C125" s="1503">
        <v>45597</v>
      </c>
      <c r="D125" s="1713"/>
      <c r="E125" s="275">
        <f t="shared" si="64"/>
        <v>266750000</v>
      </c>
      <c r="F125" s="276">
        <f t="shared" si="59"/>
        <v>116</v>
      </c>
      <c r="G125" s="277" t="e">
        <f t="shared" si="106"/>
        <v>#REF!</v>
      </c>
      <c r="H125" s="277" t="e">
        <f>-ROUNDDOWN(J124*#REF!,0)</f>
        <v>#REF!</v>
      </c>
      <c r="I125" s="277" t="e">
        <f>IF(ROUNDDOWN(J124,0)=0,0,-#REF!)</f>
        <v>#REF!</v>
      </c>
      <c r="J125" s="278" t="e">
        <f t="shared" si="55"/>
        <v>#REF!</v>
      </c>
      <c r="K125" s="1694"/>
      <c r="L125" s="1694"/>
      <c r="M125" s="1694"/>
      <c r="O125" s="276">
        <f t="shared" si="60"/>
        <v>116</v>
      </c>
      <c r="P125" s="277" t="e">
        <f t="shared" si="51"/>
        <v>#REF!</v>
      </c>
      <c r="Q125" s="277" t="e">
        <f>-S124*#REF!</f>
        <v>#REF!</v>
      </c>
      <c r="R125" s="277" t="e">
        <f>IF(ROUNDDOWN(S124,0)=0,0,-#REF!)</f>
        <v>#REF!</v>
      </c>
      <c r="S125" s="278" t="e">
        <f t="shared" si="56"/>
        <v>#REF!</v>
      </c>
      <c r="T125" s="1694"/>
      <c r="U125" s="1694"/>
      <c r="V125" s="1694"/>
      <c r="X125" s="276">
        <f t="shared" si="61"/>
        <v>116</v>
      </c>
      <c r="Y125" s="277" t="e">
        <f t="shared" si="52"/>
        <v>#REF!</v>
      </c>
      <c r="Z125" s="277" t="e">
        <f>-AB124*#REF!</f>
        <v>#REF!</v>
      </c>
      <c r="AA125" s="277" t="e">
        <f>IF(ROUNDDOWN(AB124,0)=0,0,-#REF!)</f>
        <v>#REF!</v>
      </c>
      <c r="AB125" s="278" t="e">
        <f t="shared" si="57"/>
        <v>#REF!</v>
      </c>
      <c r="AC125" s="1694"/>
      <c r="AD125" s="1694"/>
      <c r="AE125" s="1694"/>
      <c r="AG125" s="1709"/>
      <c r="AH125" s="1709"/>
      <c r="AI125" s="1709"/>
      <c r="AK125" s="276">
        <f t="shared" si="62"/>
        <v>116</v>
      </c>
      <c r="AL125" s="277" t="e">
        <f t="shared" si="53"/>
        <v>#REF!</v>
      </c>
      <c r="AM125" s="277" t="e">
        <f>-AO124*#REF!</f>
        <v>#REF!</v>
      </c>
      <c r="AN125" s="277" t="e">
        <f>IF(ROUNDDOWN(AO124,0)=0,0,-#REF!)</f>
        <v>#REF!</v>
      </c>
      <c r="AO125" s="278" t="e">
        <f t="shared" si="131"/>
        <v>#REF!</v>
      </c>
      <c r="AP125" s="1694"/>
      <c r="AQ125" s="1694"/>
      <c r="AR125" s="1694"/>
      <c r="AS125" s="1694"/>
      <c r="AU125" s="276">
        <f t="shared" si="65"/>
        <v>110</v>
      </c>
      <c r="AV125" s="277">
        <f t="shared" si="77"/>
        <v>-551416.70833333337</v>
      </c>
      <c r="AW125" s="277">
        <f t="shared" si="96"/>
        <v>-551416.70833333337</v>
      </c>
      <c r="AX125" s="1491">
        <v>0</v>
      </c>
      <c r="AY125" s="1491">
        <f>IF('Cashflow trend'!$L$13&lt;=$C125,-$BA124,$AX125)</f>
        <v>0</v>
      </c>
      <c r="AZ125" s="277"/>
      <c r="BA125" s="278">
        <f t="shared" si="66"/>
        <v>266750000</v>
      </c>
      <c r="BB125" s="279">
        <f t="shared" si="68"/>
        <v>2.4806000000000002E-2</v>
      </c>
      <c r="BC125" s="279">
        <f t="shared" si="68"/>
        <v>0.01</v>
      </c>
      <c r="BD125" s="1694"/>
      <c r="BE125" s="355">
        <f t="shared" si="126"/>
        <v>-222291.66666666666</v>
      </c>
      <c r="BF125" s="1694"/>
      <c r="BG125" s="1694"/>
      <c r="BI125" s="277">
        <f t="shared" si="127"/>
        <v>0</v>
      </c>
      <c r="BJ125" s="277">
        <f t="shared" si="113"/>
        <v>0</v>
      </c>
      <c r="BK125" s="277">
        <v>0</v>
      </c>
      <c r="BL125" s="277"/>
      <c r="BM125" s="278">
        <f t="shared" si="79"/>
        <v>350000000</v>
      </c>
      <c r="BN125" s="279">
        <f t="shared" si="90"/>
        <v>0</v>
      </c>
      <c r="BO125" s="279">
        <f t="shared" si="90"/>
        <v>0.01</v>
      </c>
      <c r="BP125" s="1694"/>
      <c r="BQ125" s="355">
        <f t="shared" si="63"/>
        <v>-291666.66666666669</v>
      </c>
      <c r="BR125" s="1694"/>
      <c r="BS125" s="1694"/>
      <c r="BT125" s="79"/>
      <c r="BU125" s="276">
        <f t="shared" si="110"/>
        <v>0</v>
      </c>
      <c r="BV125" s="277">
        <f t="shared" si="58"/>
        <v>0</v>
      </c>
      <c r="BW125" s="277">
        <f t="shared" si="114"/>
        <v>0</v>
      </c>
      <c r="BX125" s="277">
        <f t="shared" si="111"/>
        <v>0</v>
      </c>
      <c r="BY125" s="277">
        <f>IF('Cashflow trend'!$L$13&lt;=$C125,-$AY125,0)</f>
        <v>0</v>
      </c>
      <c r="BZ125" s="278">
        <f t="shared" si="80"/>
        <v>0</v>
      </c>
      <c r="CA125" s="279">
        <f t="shared" si="71"/>
        <v>2.4844599999999998E-2</v>
      </c>
      <c r="CB125" s="279">
        <f t="shared" ref="CB125" si="134">CB124</f>
        <v>0.01</v>
      </c>
      <c r="CC125" s="1694"/>
      <c r="CD125" s="1476">
        <f t="shared" si="129"/>
        <v>0</v>
      </c>
      <c r="CE125" s="1694"/>
      <c r="CF125" s="1694"/>
    </row>
    <row r="126" spans="1:84" ht="15.75" customHeight="1">
      <c r="A126" s="273" t="s">
        <v>518</v>
      </c>
      <c r="B126" s="274">
        <v>2024</v>
      </c>
      <c r="C126" s="1503">
        <v>45627</v>
      </c>
      <c r="D126" s="1713"/>
      <c r="E126" s="275">
        <f t="shared" si="64"/>
        <v>200062500</v>
      </c>
      <c r="F126" s="276">
        <f t="shared" si="59"/>
        <v>117</v>
      </c>
      <c r="G126" s="277" t="e">
        <f t="shared" si="106"/>
        <v>#REF!</v>
      </c>
      <c r="H126" s="277" t="e">
        <f>-ROUNDDOWN(J125*#REF!,0)</f>
        <v>#REF!</v>
      </c>
      <c r="I126" s="277" t="e">
        <f>IF(ROUNDDOWN(J125,0)=0,0,-#REF!)</f>
        <v>#REF!</v>
      </c>
      <c r="J126" s="278" t="e">
        <f t="shared" si="55"/>
        <v>#REF!</v>
      </c>
      <c r="K126" s="1694"/>
      <c r="L126" s="1694"/>
      <c r="M126" s="1694"/>
      <c r="O126" s="276">
        <f t="shared" si="60"/>
        <v>117</v>
      </c>
      <c r="P126" s="277" t="e">
        <f t="shared" si="51"/>
        <v>#REF!</v>
      </c>
      <c r="Q126" s="277" t="e">
        <f>-S125*#REF!</f>
        <v>#REF!</v>
      </c>
      <c r="R126" s="277" t="e">
        <f>IF(ROUNDDOWN(S125,0)=0,0,-#REF!)</f>
        <v>#REF!</v>
      </c>
      <c r="S126" s="278" t="e">
        <f t="shared" si="56"/>
        <v>#REF!</v>
      </c>
      <c r="T126" s="1694"/>
      <c r="U126" s="1694"/>
      <c r="V126" s="1694"/>
      <c r="X126" s="276">
        <f t="shared" si="61"/>
        <v>117</v>
      </c>
      <c r="Y126" s="277" t="e">
        <f t="shared" si="52"/>
        <v>#REF!</v>
      </c>
      <c r="Z126" s="277" t="e">
        <f>-AB125*#REF!</f>
        <v>#REF!</v>
      </c>
      <c r="AA126" s="277" t="e">
        <f>IF(ROUNDDOWN(AB125,0)=0,0,-#REF!)</f>
        <v>#REF!</v>
      </c>
      <c r="AB126" s="278" t="e">
        <f t="shared" si="57"/>
        <v>#REF!</v>
      </c>
      <c r="AC126" s="1694"/>
      <c r="AD126" s="1694"/>
      <c r="AE126" s="1694"/>
      <c r="AG126" s="1709"/>
      <c r="AH126" s="1709"/>
      <c r="AI126" s="1709"/>
      <c r="AK126" s="276">
        <f t="shared" si="62"/>
        <v>117</v>
      </c>
      <c r="AL126" s="277" t="e">
        <f t="shared" si="53"/>
        <v>#REF!</v>
      </c>
      <c r="AM126" s="277" t="e">
        <f>-AO125*#REF!</f>
        <v>#REF!</v>
      </c>
      <c r="AN126" s="277" t="e">
        <f>IF(ROUNDDOWN(AO125,0)=0,0,-#REF!)</f>
        <v>#REF!</v>
      </c>
      <c r="AO126" s="278" t="e">
        <f t="shared" si="131"/>
        <v>#REF!</v>
      </c>
      <c r="AP126" s="1694"/>
      <c r="AQ126" s="1694"/>
      <c r="AR126" s="1694"/>
      <c r="AS126" s="1694"/>
      <c r="AU126" s="276">
        <f t="shared" si="65"/>
        <v>111</v>
      </c>
      <c r="AV126" s="277">
        <f t="shared" si="77"/>
        <v>-67238916.708333343</v>
      </c>
      <c r="AW126" s="277">
        <f t="shared" si="96"/>
        <v>-551416.70833333337</v>
      </c>
      <c r="AX126" s="1491">
        <v>-66687500.000000007</v>
      </c>
      <c r="AY126" s="1491">
        <f>IF('Cashflow trend'!$L$13&lt;=$C126,-$BA125,$AX126)</f>
        <v>-66687500.000000007</v>
      </c>
      <c r="AZ126" s="277"/>
      <c r="BA126" s="278">
        <f t="shared" si="66"/>
        <v>200062500</v>
      </c>
      <c r="BB126" s="279">
        <f t="shared" si="68"/>
        <v>2.4806000000000002E-2</v>
      </c>
      <c r="BC126" s="279">
        <f t="shared" si="68"/>
        <v>0.01</v>
      </c>
      <c r="BD126" s="1694"/>
      <c r="BE126" s="355">
        <f t="shared" si="126"/>
        <v>-222291.66666666666</v>
      </c>
      <c r="BF126" s="1694"/>
      <c r="BG126" s="1694"/>
      <c r="BI126" s="277">
        <f t="shared" si="127"/>
        <v>0</v>
      </c>
      <c r="BJ126" s="277">
        <f t="shared" si="113"/>
        <v>0</v>
      </c>
      <c r="BK126" s="277">
        <v>0</v>
      </c>
      <c r="BL126" s="277"/>
      <c r="BM126" s="278">
        <f t="shared" si="79"/>
        <v>350000000</v>
      </c>
      <c r="BN126" s="279">
        <f t="shared" si="90"/>
        <v>0</v>
      </c>
      <c r="BO126" s="279">
        <f t="shared" si="90"/>
        <v>0.01</v>
      </c>
      <c r="BP126" s="1694"/>
      <c r="BQ126" s="355">
        <f t="shared" si="63"/>
        <v>-291666.66666666669</v>
      </c>
      <c r="BR126" s="1694"/>
      <c r="BS126" s="1694"/>
      <c r="BT126" s="79"/>
      <c r="BU126" s="276">
        <f t="shared" si="110"/>
        <v>0</v>
      </c>
      <c r="BV126" s="277">
        <f t="shared" si="58"/>
        <v>0</v>
      </c>
      <c r="BW126" s="277">
        <f t="shared" si="114"/>
        <v>0</v>
      </c>
      <c r="BX126" s="277">
        <f t="shared" si="111"/>
        <v>0</v>
      </c>
      <c r="BY126" s="277">
        <f>IF('Cashflow trend'!$L$13&lt;=$C126,-$AY126,0)</f>
        <v>0</v>
      </c>
      <c r="BZ126" s="278">
        <f t="shared" si="80"/>
        <v>0</v>
      </c>
      <c r="CA126" s="279">
        <f t="shared" si="71"/>
        <v>2.4844599999999998E-2</v>
      </c>
      <c r="CB126" s="279">
        <f t="shared" ref="CB126" si="135">CB125</f>
        <v>0.01</v>
      </c>
      <c r="CC126" s="1694"/>
      <c r="CD126" s="1476">
        <f t="shared" si="129"/>
        <v>0</v>
      </c>
      <c r="CE126" s="1694"/>
      <c r="CF126" s="1694"/>
    </row>
    <row r="127" spans="1:84" ht="15.75" customHeight="1">
      <c r="A127" s="273" t="s">
        <v>519</v>
      </c>
      <c r="B127" s="274">
        <v>2025</v>
      </c>
      <c r="C127" s="1503">
        <v>45658</v>
      </c>
      <c r="D127" s="1713"/>
      <c r="E127" s="275">
        <f t="shared" si="64"/>
        <v>200062500</v>
      </c>
      <c r="F127" s="276">
        <f t="shared" si="59"/>
        <v>118</v>
      </c>
      <c r="G127" s="277" t="e">
        <f t="shared" si="106"/>
        <v>#REF!</v>
      </c>
      <c r="H127" s="277" t="e">
        <f>-ROUNDDOWN(J126*#REF!,0)</f>
        <v>#REF!</v>
      </c>
      <c r="I127" s="277" t="e">
        <f>IF(ROUNDDOWN(J126,0)=0,0,-#REF!)</f>
        <v>#REF!</v>
      </c>
      <c r="J127" s="278" t="e">
        <f t="shared" si="55"/>
        <v>#REF!</v>
      </c>
      <c r="K127" s="1694"/>
      <c r="L127" s="1694"/>
      <c r="M127" s="1694"/>
      <c r="O127" s="276">
        <f t="shared" si="60"/>
        <v>118</v>
      </c>
      <c r="P127" s="277" t="e">
        <f t="shared" si="51"/>
        <v>#REF!</v>
      </c>
      <c r="Q127" s="277" t="e">
        <f>-S126*#REF!</f>
        <v>#REF!</v>
      </c>
      <c r="R127" s="277" t="e">
        <f>IF(ROUNDDOWN(S126,0)=0,0,-#REF!)</f>
        <v>#REF!</v>
      </c>
      <c r="S127" s="278" t="e">
        <f t="shared" si="56"/>
        <v>#REF!</v>
      </c>
      <c r="T127" s="1694"/>
      <c r="U127" s="1694"/>
      <c r="V127" s="1694"/>
      <c r="X127" s="276">
        <f t="shared" si="61"/>
        <v>118</v>
      </c>
      <c r="Y127" s="277" t="e">
        <f t="shared" si="52"/>
        <v>#REF!</v>
      </c>
      <c r="Z127" s="277" t="e">
        <f>-AB126*#REF!</f>
        <v>#REF!</v>
      </c>
      <c r="AA127" s="277" t="e">
        <f>IF(ROUNDDOWN(AB126,0)=0,0,-#REF!)</f>
        <v>#REF!</v>
      </c>
      <c r="AB127" s="278" t="e">
        <f t="shared" si="57"/>
        <v>#REF!</v>
      </c>
      <c r="AC127" s="1694"/>
      <c r="AD127" s="1694"/>
      <c r="AE127" s="1694"/>
      <c r="AG127" s="1709"/>
      <c r="AH127" s="1709"/>
      <c r="AI127" s="1709"/>
      <c r="AK127" s="276">
        <f t="shared" si="62"/>
        <v>118</v>
      </c>
      <c r="AL127" s="277" t="e">
        <f t="shared" si="53"/>
        <v>#REF!</v>
      </c>
      <c r="AM127" s="277" t="e">
        <f>-AO126*#REF!</f>
        <v>#REF!</v>
      </c>
      <c r="AN127" s="277" t="e">
        <f>IF(ROUNDDOWN(AO126,0)=0,0,-#REF!)</f>
        <v>#REF!</v>
      </c>
      <c r="AO127" s="278" t="e">
        <f t="shared" si="131"/>
        <v>#REF!</v>
      </c>
      <c r="AP127" s="1694"/>
      <c r="AQ127" s="1694"/>
      <c r="AR127" s="1694"/>
      <c r="AS127" s="1694"/>
      <c r="AU127" s="276">
        <f t="shared" si="65"/>
        <v>112</v>
      </c>
      <c r="AV127" s="277">
        <f t="shared" si="77"/>
        <v>-413562.53125</v>
      </c>
      <c r="AW127" s="277">
        <f t="shared" si="96"/>
        <v>-413562.53125</v>
      </c>
      <c r="AX127" s="1491">
        <v>0</v>
      </c>
      <c r="AY127" s="1491">
        <f>IF('Cashflow trend'!$L$13&lt;=$C127,-$BA126,$AX127)</f>
        <v>0</v>
      </c>
      <c r="AZ127" s="277"/>
      <c r="BA127" s="278">
        <f t="shared" si="66"/>
        <v>200062500</v>
      </c>
      <c r="BB127" s="279">
        <f t="shared" si="68"/>
        <v>2.4806000000000002E-2</v>
      </c>
      <c r="BC127" s="279">
        <f t="shared" si="68"/>
        <v>0.01</v>
      </c>
      <c r="BD127" s="1694"/>
      <c r="BE127" s="355">
        <f t="shared" si="126"/>
        <v>-166718.75</v>
      </c>
      <c r="BF127" s="1694"/>
      <c r="BG127" s="1694"/>
      <c r="BI127" s="277">
        <f t="shared" si="127"/>
        <v>0</v>
      </c>
      <c r="BJ127" s="277">
        <f t="shared" si="113"/>
        <v>0</v>
      </c>
      <c r="BK127" s="277">
        <v>0</v>
      </c>
      <c r="BL127" s="277"/>
      <c r="BM127" s="278">
        <f t="shared" si="79"/>
        <v>350000000</v>
      </c>
      <c r="BN127" s="279">
        <f t="shared" si="90"/>
        <v>0</v>
      </c>
      <c r="BO127" s="279">
        <f t="shared" si="90"/>
        <v>0.01</v>
      </c>
      <c r="BP127" s="1694"/>
      <c r="BQ127" s="355">
        <f t="shared" si="63"/>
        <v>-291666.66666666669</v>
      </c>
      <c r="BR127" s="1694"/>
      <c r="BS127" s="1694"/>
      <c r="BT127" s="79"/>
      <c r="BU127" s="276">
        <f t="shared" si="110"/>
        <v>0</v>
      </c>
      <c r="BV127" s="277">
        <f t="shared" si="58"/>
        <v>0</v>
      </c>
      <c r="BW127" s="277">
        <f t="shared" si="114"/>
        <v>0</v>
      </c>
      <c r="BX127" s="277">
        <f t="shared" si="111"/>
        <v>0</v>
      </c>
      <c r="BY127" s="277">
        <f>IF('Cashflow trend'!$L$13&lt;=$C127,-$AY127,0)</f>
        <v>0</v>
      </c>
      <c r="BZ127" s="278">
        <f t="shared" si="80"/>
        <v>0</v>
      </c>
      <c r="CA127" s="279">
        <f t="shared" si="71"/>
        <v>2.4844599999999998E-2</v>
      </c>
      <c r="CB127" s="279">
        <f t="shared" ref="CB127" si="136">CB126</f>
        <v>0.01</v>
      </c>
      <c r="CC127" s="1694"/>
      <c r="CD127" s="1476">
        <f t="shared" si="129"/>
        <v>0</v>
      </c>
      <c r="CE127" s="1694"/>
      <c r="CF127" s="1694"/>
    </row>
    <row r="128" spans="1:84" ht="15.75" customHeight="1">
      <c r="A128" s="273" t="s">
        <v>520</v>
      </c>
      <c r="B128" s="274">
        <v>2025</v>
      </c>
      <c r="C128" s="1503">
        <v>45689</v>
      </c>
      <c r="D128" s="1713"/>
      <c r="E128" s="275">
        <f t="shared" si="64"/>
        <v>200062500</v>
      </c>
      <c r="F128" s="276">
        <f t="shared" si="59"/>
        <v>119</v>
      </c>
      <c r="G128" s="277" t="e">
        <f t="shared" si="106"/>
        <v>#REF!</v>
      </c>
      <c r="H128" s="277" t="e">
        <f>-ROUNDDOWN(J127*#REF!,0)</f>
        <v>#REF!</v>
      </c>
      <c r="I128" s="277" t="e">
        <f>IF(ROUNDDOWN(J127,0)=0,0,-#REF!)</f>
        <v>#REF!</v>
      </c>
      <c r="J128" s="278" t="e">
        <f t="shared" si="55"/>
        <v>#REF!</v>
      </c>
      <c r="K128" s="1694"/>
      <c r="L128" s="1694"/>
      <c r="M128" s="1694"/>
      <c r="O128" s="276">
        <f t="shared" si="60"/>
        <v>119</v>
      </c>
      <c r="P128" s="277" t="e">
        <f t="shared" si="51"/>
        <v>#REF!</v>
      </c>
      <c r="Q128" s="277" t="e">
        <f>-S127*#REF!</f>
        <v>#REF!</v>
      </c>
      <c r="R128" s="277" t="e">
        <f>IF(ROUNDDOWN(S127,0)=0,0,-#REF!)</f>
        <v>#REF!</v>
      </c>
      <c r="S128" s="278" t="e">
        <f t="shared" si="56"/>
        <v>#REF!</v>
      </c>
      <c r="T128" s="1694"/>
      <c r="U128" s="1694"/>
      <c r="V128" s="1694"/>
      <c r="X128" s="276">
        <f t="shared" si="61"/>
        <v>119</v>
      </c>
      <c r="Y128" s="277" t="e">
        <f t="shared" si="52"/>
        <v>#REF!</v>
      </c>
      <c r="Z128" s="277" t="e">
        <f>-AB127*#REF!</f>
        <v>#REF!</v>
      </c>
      <c r="AA128" s="277" t="e">
        <f>IF(ROUNDDOWN(AB127,0)=0,0,-#REF!)</f>
        <v>#REF!</v>
      </c>
      <c r="AB128" s="278" t="e">
        <f t="shared" si="57"/>
        <v>#REF!</v>
      </c>
      <c r="AC128" s="1694"/>
      <c r="AD128" s="1694"/>
      <c r="AE128" s="1694"/>
      <c r="AG128" s="1709"/>
      <c r="AH128" s="1709"/>
      <c r="AI128" s="1709"/>
      <c r="AK128" s="276">
        <f t="shared" si="62"/>
        <v>119</v>
      </c>
      <c r="AL128" s="277" t="e">
        <f t="shared" si="53"/>
        <v>#REF!</v>
      </c>
      <c r="AM128" s="277" t="e">
        <f>-AO127*#REF!</f>
        <v>#REF!</v>
      </c>
      <c r="AN128" s="277" t="e">
        <f>IF(ROUNDDOWN(AO127,0)=0,0,-#REF!)</f>
        <v>#REF!</v>
      </c>
      <c r="AO128" s="278" t="e">
        <f t="shared" si="131"/>
        <v>#REF!</v>
      </c>
      <c r="AP128" s="1694"/>
      <c r="AQ128" s="1694"/>
      <c r="AR128" s="1694"/>
      <c r="AS128" s="1694"/>
      <c r="AU128" s="276">
        <f t="shared" si="65"/>
        <v>113</v>
      </c>
      <c r="AV128" s="277">
        <f t="shared" si="77"/>
        <v>-413562.53125</v>
      </c>
      <c r="AW128" s="277">
        <f t="shared" si="96"/>
        <v>-413562.53125</v>
      </c>
      <c r="AX128" s="1491">
        <v>0</v>
      </c>
      <c r="AY128" s="1491">
        <f>IF('Cashflow trend'!$L$13&lt;=$C128,-$BA127,$AX128)</f>
        <v>0</v>
      </c>
      <c r="AZ128" s="277"/>
      <c r="BA128" s="278">
        <f t="shared" si="66"/>
        <v>200062500</v>
      </c>
      <c r="BB128" s="279">
        <f t="shared" si="68"/>
        <v>2.4806000000000002E-2</v>
      </c>
      <c r="BC128" s="279">
        <f t="shared" si="68"/>
        <v>0.01</v>
      </c>
      <c r="BD128" s="1694"/>
      <c r="BE128" s="355">
        <f t="shared" si="126"/>
        <v>-166718.75</v>
      </c>
      <c r="BF128" s="1694"/>
      <c r="BG128" s="1694"/>
      <c r="BI128" s="277">
        <f t="shared" si="127"/>
        <v>0</v>
      </c>
      <c r="BJ128" s="277">
        <f t="shared" si="113"/>
        <v>0</v>
      </c>
      <c r="BK128" s="277">
        <v>0</v>
      </c>
      <c r="BL128" s="277"/>
      <c r="BM128" s="278">
        <f t="shared" si="79"/>
        <v>350000000</v>
      </c>
      <c r="BN128" s="279">
        <f t="shared" si="90"/>
        <v>0</v>
      </c>
      <c r="BO128" s="279">
        <f t="shared" si="90"/>
        <v>0.01</v>
      </c>
      <c r="BP128" s="1694"/>
      <c r="BQ128" s="355">
        <f t="shared" si="63"/>
        <v>-291666.66666666669</v>
      </c>
      <c r="BR128" s="1694"/>
      <c r="BS128" s="1694"/>
      <c r="BT128" s="79"/>
      <c r="BU128" s="276">
        <f t="shared" si="110"/>
        <v>0</v>
      </c>
      <c r="BV128" s="277">
        <f t="shared" si="58"/>
        <v>0</v>
      </c>
      <c r="BW128" s="277">
        <f t="shared" si="114"/>
        <v>0</v>
      </c>
      <c r="BX128" s="277">
        <f t="shared" si="111"/>
        <v>0</v>
      </c>
      <c r="BY128" s="277">
        <f>IF('Cashflow trend'!$L$13&lt;=$C128,-$AY128,0)</f>
        <v>0</v>
      </c>
      <c r="BZ128" s="278">
        <f t="shared" si="80"/>
        <v>0</v>
      </c>
      <c r="CA128" s="279">
        <f t="shared" si="71"/>
        <v>2.4844599999999998E-2</v>
      </c>
      <c r="CB128" s="279">
        <f t="shared" ref="CB128" si="137">CB127</f>
        <v>0.01</v>
      </c>
      <c r="CC128" s="1694"/>
      <c r="CD128" s="1476">
        <f t="shared" si="129"/>
        <v>0</v>
      </c>
      <c r="CE128" s="1694"/>
      <c r="CF128" s="1694"/>
    </row>
    <row r="129" spans="1:84" ht="15.75" customHeight="1">
      <c r="A129" s="273" t="s">
        <v>521</v>
      </c>
      <c r="B129" s="274">
        <v>2025</v>
      </c>
      <c r="C129" s="1503">
        <v>45717</v>
      </c>
      <c r="D129" s="1713"/>
      <c r="E129" s="275">
        <f t="shared" si="64"/>
        <v>133375000</v>
      </c>
      <c r="F129" s="276">
        <f t="shared" si="59"/>
        <v>120</v>
      </c>
      <c r="G129" s="277" t="e">
        <f t="shared" si="106"/>
        <v>#REF!</v>
      </c>
      <c r="H129" s="277" t="e">
        <f>-ROUNDDOWN(J128*#REF!,0)</f>
        <v>#REF!</v>
      </c>
      <c r="I129" s="277" t="e">
        <f>IF(ROUNDDOWN(J128,0)=0,0,-#REF!)</f>
        <v>#REF!</v>
      </c>
      <c r="J129" s="278" t="e">
        <f t="shared" si="55"/>
        <v>#REF!</v>
      </c>
      <c r="K129" s="1694"/>
      <c r="L129" s="1694"/>
      <c r="M129" s="1694"/>
      <c r="O129" s="276">
        <f t="shared" si="60"/>
        <v>120</v>
      </c>
      <c r="P129" s="277" t="e">
        <f t="shared" si="51"/>
        <v>#REF!</v>
      </c>
      <c r="Q129" s="277" t="e">
        <f>-S128*#REF!</f>
        <v>#REF!</v>
      </c>
      <c r="R129" s="277" t="e">
        <f>IF(ROUNDDOWN(S128,0)=0,0,-#REF!)</f>
        <v>#REF!</v>
      </c>
      <c r="S129" s="278" t="e">
        <f t="shared" si="56"/>
        <v>#REF!</v>
      </c>
      <c r="T129" s="1694"/>
      <c r="U129" s="1694"/>
      <c r="V129" s="1694"/>
      <c r="X129" s="276">
        <f t="shared" si="61"/>
        <v>120</v>
      </c>
      <c r="Y129" s="277" t="e">
        <f t="shared" si="52"/>
        <v>#REF!</v>
      </c>
      <c r="Z129" s="277" t="e">
        <f>-AB128*#REF!</f>
        <v>#REF!</v>
      </c>
      <c r="AA129" s="277" t="e">
        <f>IF(ROUNDDOWN(AB128,0)=0,0,-#REF!)</f>
        <v>#REF!</v>
      </c>
      <c r="AB129" s="278" t="e">
        <f t="shared" si="57"/>
        <v>#REF!</v>
      </c>
      <c r="AC129" s="1694"/>
      <c r="AD129" s="1694"/>
      <c r="AE129" s="1694"/>
      <c r="AG129" s="1709"/>
      <c r="AH129" s="1709"/>
      <c r="AI129" s="1709"/>
      <c r="AK129" s="276">
        <f t="shared" si="62"/>
        <v>120</v>
      </c>
      <c r="AL129" s="277" t="e">
        <f t="shared" si="53"/>
        <v>#REF!</v>
      </c>
      <c r="AM129" s="277" t="e">
        <f>-AO128*#REF!</f>
        <v>#REF!</v>
      </c>
      <c r="AN129" s="277" t="e">
        <f>IF(ROUNDDOWN(AO128,0)=0,0,-#REF!)</f>
        <v>#REF!</v>
      </c>
      <c r="AO129" s="278" t="e">
        <f t="shared" si="131"/>
        <v>#REF!</v>
      </c>
      <c r="AP129" s="1694"/>
      <c r="AQ129" s="1694"/>
      <c r="AR129" s="1694"/>
      <c r="AS129" s="1694"/>
      <c r="AU129" s="276">
        <f t="shared" si="65"/>
        <v>114</v>
      </c>
      <c r="AV129" s="277">
        <f t="shared" si="77"/>
        <v>-67101062.531250007</v>
      </c>
      <c r="AW129" s="277">
        <f t="shared" si="96"/>
        <v>-413562.53125</v>
      </c>
      <c r="AX129" s="1491">
        <v>-66687500.000000007</v>
      </c>
      <c r="AY129" s="1491">
        <f>IF('Cashflow trend'!$L$13&lt;=$C129,-$BA128,$AX129)</f>
        <v>-66687500.000000007</v>
      </c>
      <c r="AZ129" s="277"/>
      <c r="BA129" s="278">
        <f t="shared" si="66"/>
        <v>133375000</v>
      </c>
      <c r="BB129" s="279">
        <f t="shared" si="68"/>
        <v>2.4806000000000002E-2</v>
      </c>
      <c r="BC129" s="279">
        <f t="shared" si="68"/>
        <v>0.01</v>
      </c>
      <c r="BD129" s="1694"/>
      <c r="BE129" s="355">
        <f t="shared" si="126"/>
        <v>-166718.75</v>
      </c>
      <c r="BF129" s="1694"/>
      <c r="BG129" s="1694"/>
      <c r="BH129" s="229">
        <f>'Cashflow trend'!K23</f>
        <v>-354077.70304904378</v>
      </c>
      <c r="BI129" s="277">
        <f t="shared" si="127"/>
        <v>0</v>
      </c>
      <c r="BJ129" s="277">
        <f t="shared" si="113"/>
        <v>0</v>
      </c>
      <c r="BK129" s="277">
        <v>0</v>
      </c>
      <c r="BL129" s="277"/>
      <c r="BM129" s="278">
        <f t="shared" si="79"/>
        <v>350000000</v>
      </c>
      <c r="BN129" s="279">
        <f t="shared" si="90"/>
        <v>0</v>
      </c>
      <c r="BO129" s="279">
        <f t="shared" si="90"/>
        <v>0.01</v>
      </c>
      <c r="BP129" s="1694"/>
      <c r="BQ129" s="355">
        <f t="shared" si="63"/>
        <v>-291666.66666666669</v>
      </c>
      <c r="BR129" s="1694"/>
      <c r="BS129" s="1694"/>
      <c r="BT129" s="79"/>
      <c r="BU129" s="276">
        <f t="shared" si="110"/>
        <v>0</v>
      </c>
      <c r="BV129" s="277">
        <f t="shared" si="58"/>
        <v>0</v>
      </c>
      <c r="BW129" s="277">
        <f t="shared" si="114"/>
        <v>0</v>
      </c>
      <c r="BX129" s="277">
        <f t="shared" si="111"/>
        <v>0</v>
      </c>
      <c r="BY129" s="277">
        <f>IF('Cashflow trend'!$L$13&lt;=$C129,-$AY129,0)</f>
        <v>0</v>
      </c>
      <c r="BZ129" s="278">
        <f t="shared" si="80"/>
        <v>0</v>
      </c>
      <c r="CA129" s="279">
        <f t="shared" si="71"/>
        <v>2.4844599999999998E-2</v>
      </c>
      <c r="CB129" s="279">
        <f t="shared" ref="CB129" si="138">CB128</f>
        <v>0.01</v>
      </c>
      <c r="CC129" s="1694"/>
      <c r="CD129" s="1476">
        <f t="shared" si="129"/>
        <v>0</v>
      </c>
      <c r="CE129" s="1694"/>
      <c r="CF129" s="1694"/>
    </row>
    <row r="130" spans="1:84" ht="15.75" customHeight="1">
      <c r="A130" s="270" t="s">
        <v>510</v>
      </c>
      <c r="B130" s="266">
        <v>2025</v>
      </c>
      <c r="C130" s="1504">
        <v>45748</v>
      </c>
      <c r="D130" s="1713"/>
      <c r="E130" s="265">
        <f t="shared" si="64"/>
        <v>133375000</v>
      </c>
      <c r="F130" s="267">
        <f t="shared" si="59"/>
        <v>121</v>
      </c>
      <c r="G130" s="268" t="e">
        <f t="shared" si="106"/>
        <v>#REF!</v>
      </c>
      <c r="H130" s="268" t="e">
        <f>-ROUNDDOWN(J129*#REF!,0)</f>
        <v>#REF!</v>
      </c>
      <c r="I130" s="268" t="e">
        <f>IF(ROUNDDOWN(J129,0)=0,0,-#REF!)</f>
        <v>#REF!</v>
      </c>
      <c r="J130" s="269" t="e">
        <f t="shared" si="55"/>
        <v>#REF!</v>
      </c>
      <c r="K130" s="1695" t="s">
        <v>15</v>
      </c>
      <c r="L130" s="1695" t="e">
        <f>SUM(H130:H141)</f>
        <v>#REF!</v>
      </c>
      <c r="M130" s="1695" t="e">
        <f>SUM(I130:I141)</f>
        <v>#REF!</v>
      </c>
      <c r="O130" s="267">
        <f t="shared" si="60"/>
        <v>121</v>
      </c>
      <c r="P130" s="268" t="e">
        <f t="shared" si="51"/>
        <v>#REF!</v>
      </c>
      <c r="Q130" s="268" t="e">
        <f>-S129*#REF!</f>
        <v>#REF!</v>
      </c>
      <c r="R130" s="268" t="e">
        <f>IF(ROUNDDOWN(S129,0)=0,0,-#REF!)</f>
        <v>#REF!</v>
      </c>
      <c r="S130" s="269" t="e">
        <f t="shared" si="56"/>
        <v>#REF!</v>
      </c>
      <c r="T130" s="1695" t="s">
        <v>15</v>
      </c>
      <c r="U130" s="1695" t="e">
        <f>SUM(Q130:Q141)</f>
        <v>#REF!</v>
      </c>
      <c r="V130" s="1695" t="e">
        <f>SUM(R130:R141)</f>
        <v>#REF!</v>
      </c>
      <c r="X130" s="267">
        <f t="shared" si="61"/>
        <v>121</v>
      </c>
      <c r="Y130" s="268" t="e">
        <f t="shared" si="52"/>
        <v>#REF!</v>
      </c>
      <c r="Z130" s="268" t="e">
        <f>-AB129*#REF!</f>
        <v>#REF!</v>
      </c>
      <c r="AA130" s="268" t="e">
        <f>IF(ROUNDDOWN(AB129,0)=0,0,-#REF!)</f>
        <v>#REF!</v>
      </c>
      <c r="AB130" s="269" t="e">
        <f t="shared" si="57"/>
        <v>#REF!</v>
      </c>
      <c r="AC130" s="1695" t="s">
        <v>15</v>
      </c>
      <c r="AD130" s="1695" t="e">
        <f>SUM(Z130:Z141)</f>
        <v>#REF!</v>
      </c>
      <c r="AE130" s="1695" t="e">
        <f>SUM(AA130:AA141)</f>
        <v>#REF!</v>
      </c>
      <c r="AG130" s="1710" t="s">
        <v>15</v>
      </c>
      <c r="AH130" s="1710" t="e">
        <f>L130+U130+AD130</f>
        <v>#REF!</v>
      </c>
      <c r="AI130" s="1710" t="e">
        <f>M130+V130+AE130</f>
        <v>#REF!</v>
      </c>
      <c r="AK130" s="267">
        <f t="shared" si="62"/>
        <v>121</v>
      </c>
      <c r="AL130" s="268" t="e">
        <f t="shared" si="53"/>
        <v>#REF!</v>
      </c>
      <c r="AM130" s="268" t="e">
        <f>-AO129*#REF!</f>
        <v>#REF!</v>
      </c>
      <c r="AN130" s="268" t="e">
        <f>IF(ROUNDDOWN(AO129,0)=0,0,-#REF!)</f>
        <v>#REF!</v>
      </c>
      <c r="AO130" s="269" t="e">
        <f t="shared" si="131"/>
        <v>#REF!</v>
      </c>
      <c r="AP130" s="1695" t="s">
        <v>15</v>
      </c>
      <c r="AQ130" s="1695" t="e">
        <f>SUM(AM130:AM141)</f>
        <v>#REF!</v>
      </c>
      <c r="AR130" s="1695" t="e">
        <f>SUM(AN130:AN141)</f>
        <v>#REF!</v>
      </c>
      <c r="AS130" s="1695"/>
      <c r="AU130" s="267">
        <f t="shared" si="65"/>
        <v>115</v>
      </c>
      <c r="AV130" s="268">
        <f t="shared" si="77"/>
        <v>-275708.35416666669</v>
      </c>
      <c r="AW130" s="268">
        <f t="shared" si="96"/>
        <v>-275708.35416666669</v>
      </c>
      <c r="AX130" s="1490">
        <v>0</v>
      </c>
      <c r="AY130" s="1490">
        <f>IF('Cashflow trend'!$L$13&lt;=$C130,-$BA129,$AX130)</f>
        <v>0</v>
      </c>
      <c r="AZ130" s="268">
        <v>0</v>
      </c>
      <c r="BA130" s="269">
        <f t="shared" si="66"/>
        <v>133375000</v>
      </c>
      <c r="BB130" s="272">
        <f t="shared" si="68"/>
        <v>2.4806000000000002E-2</v>
      </c>
      <c r="BC130" s="272">
        <f t="shared" si="68"/>
        <v>0.01</v>
      </c>
      <c r="BD130" s="1695" t="s">
        <v>15</v>
      </c>
      <c r="BE130" s="354">
        <f t="shared" si="126"/>
        <v>-111145.83333333333</v>
      </c>
      <c r="BF130" s="1695">
        <f>SUM(AW130:AW141)</f>
        <v>-1240687.59375</v>
      </c>
      <c r="BG130" s="1695">
        <f>SUM(AY130:AZ141)</f>
        <v>-133375000.00000001</v>
      </c>
      <c r="BI130" s="268">
        <f t="shared" si="127"/>
        <v>0</v>
      </c>
      <c r="BJ130" s="268">
        <f t="shared" si="113"/>
        <v>0</v>
      </c>
      <c r="BK130" s="268">
        <v>0</v>
      </c>
      <c r="BL130" s="268">
        <v>0</v>
      </c>
      <c r="BM130" s="269">
        <f t="shared" si="79"/>
        <v>350000000</v>
      </c>
      <c r="BN130" s="272">
        <f t="shared" si="90"/>
        <v>0</v>
      </c>
      <c r="BO130" s="272">
        <f t="shared" si="90"/>
        <v>0.01</v>
      </c>
      <c r="BP130" s="1695" t="s">
        <v>15</v>
      </c>
      <c r="BQ130" s="354">
        <f t="shared" si="63"/>
        <v>-291666.66666666669</v>
      </c>
      <c r="BR130" s="1695">
        <f>SUM(BJ130:BJ141)</f>
        <v>0</v>
      </c>
      <c r="BS130" s="1695">
        <f>SUM(BK130:BL141)</f>
        <v>0</v>
      </c>
      <c r="BT130" s="79"/>
      <c r="BU130" s="267">
        <f t="shared" si="110"/>
        <v>0</v>
      </c>
      <c r="BV130" s="268">
        <f t="shared" si="58"/>
        <v>0</v>
      </c>
      <c r="BW130" s="268">
        <f t="shared" si="114"/>
        <v>0</v>
      </c>
      <c r="BX130" s="268">
        <f t="shared" si="111"/>
        <v>0</v>
      </c>
      <c r="BY130" s="268">
        <f>IF('Cashflow trend'!$L$13&lt;=$C130,-$AY130,0)</f>
        <v>0</v>
      </c>
      <c r="BZ130" s="269">
        <f t="shared" si="80"/>
        <v>0</v>
      </c>
      <c r="CA130" s="272">
        <f t="shared" si="71"/>
        <v>2.4844599999999998E-2</v>
      </c>
      <c r="CB130" s="272">
        <f t="shared" ref="CB130" si="139">CB129</f>
        <v>0.01</v>
      </c>
      <c r="CC130" s="1695" t="s">
        <v>15</v>
      </c>
      <c r="CD130" s="1478">
        <f t="shared" si="129"/>
        <v>0</v>
      </c>
      <c r="CE130" s="1695">
        <f>SUM(BW130:BW141)</f>
        <v>0</v>
      </c>
      <c r="CF130" s="1695">
        <f>SUM(BX130:BY141)</f>
        <v>0</v>
      </c>
    </row>
    <row r="131" spans="1:84" ht="15.75" customHeight="1">
      <c r="A131" s="270" t="s">
        <v>511</v>
      </c>
      <c r="B131" s="266">
        <v>2025</v>
      </c>
      <c r="C131" s="1504">
        <v>45778</v>
      </c>
      <c r="D131" s="1713"/>
      <c r="E131" s="265">
        <f t="shared" si="64"/>
        <v>133375000</v>
      </c>
      <c r="F131" s="267">
        <f t="shared" si="59"/>
        <v>122</v>
      </c>
      <c r="G131" s="268" t="e">
        <f t="shared" si="106"/>
        <v>#REF!</v>
      </c>
      <c r="H131" s="268" t="e">
        <f>-ROUNDDOWN(J130*#REF!,0)</f>
        <v>#REF!</v>
      </c>
      <c r="I131" s="268" t="e">
        <f>IF(ROUNDDOWN(J130,0)=0,0,-#REF!)</f>
        <v>#REF!</v>
      </c>
      <c r="J131" s="269" t="e">
        <f t="shared" si="55"/>
        <v>#REF!</v>
      </c>
      <c r="K131" s="1695"/>
      <c r="L131" s="1695"/>
      <c r="M131" s="1695"/>
      <c r="O131" s="267">
        <f t="shared" si="60"/>
        <v>122</v>
      </c>
      <c r="P131" s="268" t="e">
        <f t="shared" si="51"/>
        <v>#REF!</v>
      </c>
      <c r="Q131" s="268" t="e">
        <f>-S130*#REF!</f>
        <v>#REF!</v>
      </c>
      <c r="R131" s="268" t="e">
        <f>IF(ROUNDDOWN(S130,0)=0,0,-#REF!)</f>
        <v>#REF!</v>
      </c>
      <c r="S131" s="269" t="e">
        <f t="shared" si="56"/>
        <v>#REF!</v>
      </c>
      <c r="T131" s="1695"/>
      <c r="U131" s="1695"/>
      <c r="V131" s="1695"/>
      <c r="X131" s="267">
        <f t="shared" si="61"/>
        <v>122</v>
      </c>
      <c r="Y131" s="268" t="e">
        <f t="shared" si="52"/>
        <v>#REF!</v>
      </c>
      <c r="Z131" s="268" t="e">
        <f>-AB130*#REF!</f>
        <v>#REF!</v>
      </c>
      <c r="AA131" s="268" t="e">
        <f>IF(ROUNDDOWN(AB130,0)=0,0,-#REF!)</f>
        <v>#REF!</v>
      </c>
      <c r="AB131" s="269" t="e">
        <f t="shared" si="57"/>
        <v>#REF!</v>
      </c>
      <c r="AC131" s="1695"/>
      <c r="AD131" s="1695"/>
      <c r="AE131" s="1695"/>
      <c r="AG131" s="1710"/>
      <c r="AH131" s="1710"/>
      <c r="AI131" s="1710"/>
      <c r="AK131" s="267">
        <f t="shared" si="62"/>
        <v>122</v>
      </c>
      <c r="AL131" s="268" t="e">
        <f t="shared" si="53"/>
        <v>#REF!</v>
      </c>
      <c r="AM131" s="268" t="e">
        <f>-AO130*#REF!</f>
        <v>#REF!</v>
      </c>
      <c r="AN131" s="268" t="e">
        <f>IF(ROUNDDOWN(AO130,0)=0,0,-#REF!)</f>
        <v>#REF!</v>
      </c>
      <c r="AO131" s="269" t="e">
        <f t="shared" si="131"/>
        <v>#REF!</v>
      </c>
      <c r="AP131" s="1695"/>
      <c r="AQ131" s="1695"/>
      <c r="AR131" s="1695"/>
      <c r="AS131" s="1695"/>
      <c r="AU131" s="267">
        <f t="shared" si="65"/>
        <v>116</v>
      </c>
      <c r="AV131" s="268">
        <f t="shared" si="77"/>
        <v>-275708.35416666669</v>
      </c>
      <c r="AW131" s="268">
        <f t="shared" si="96"/>
        <v>-275708.35416666669</v>
      </c>
      <c r="AX131" s="1490">
        <v>0</v>
      </c>
      <c r="AY131" s="1490">
        <f>IF('Cashflow trend'!$L$13&lt;=$C131,-$BA130,$AX131)</f>
        <v>0</v>
      </c>
      <c r="AZ131" s="268"/>
      <c r="BA131" s="269">
        <f t="shared" si="66"/>
        <v>133375000</v>
      </c>
      <c r="BB131" s="272">
        <f t="shared" si="68"/>
        <v>2.4806000000000002E-2</v>
      </c>
      <c r="BC131" s="272">
        <f t="shared" si="68"/>
        <v>0.01</v>
      </c>
      <c r="BD131" s="1695"/>
      <c r="BE131" s="354">
        <f t="shared" si="126"/>
        <v>-111145.83333333333</v>
      </c>
      <c r="BF131" s="1695"/>
      <c r="BG131" s="1695"/>
      <c r="BI131" s="268">
        <f t="shared" si="127"/>
        <v>0</v>
      </c>
      <c r="BJ131" s="268">
        <f t="shared" si="113"/>
        <v>0</v>
      </c>
      <c r="BK131" s="268">
        <v>0</v>
      </c>
      <c r="BL131" s="268"/>
      <c r="BM131" s="269">
        <f t="shared" si="79"/>
        <v>350000000</v>
      </c>
      <c r="BN131" s="272">
        <f t="shared" si="90"/>
        <v>0</v>
      </c>
      <c r="BO131" s="272">
        <f t="shared" si="90"/>
        <v>0.01</v>
      </c>
      <c r="BP131" s="1695"/>
      <c r="BQ131" s="354">
        <f t="shared" si="63"/>
        <v>-291666.66666666669</v>
      </c>
      <c r="BR131" s="1695"/>
      <c r="BS131" s="1695"/>
      <c r="BT131" s="79"/>
      <c r="BU131" s="267">
        <f t="shared" si="110"/>
        <v>0</v>
      </c>
      <c r="BV131" s="268">
        <f t="shared" si="58"/>
        <v>0</v>
      </c>
      <c r="BW131" s="268">
        <f t="shared" si="114"/>
        <v>0</v>
      </c>
      <c r="BX131" s="268">
        <f t="shared" si="111"/>
        <v>0</v>
      </c>
      <c r="BY131" s="268">
        <f>IF('Cashflow trend'!$L$13&lt;=$C131,-$AY131,0)</f>
        <v>0</v>
      </c>
      <c r="BZ131" s="269">
        <f t="shared" si="80"/>
        <v>0</v>
      </c>
      <c r="CA131" s="272">
        <f t="shared" si="71"/>
        <v>2.4844599999999998E-2</v>
      </c>
      <c r="CB131" s="272">
        <f t="shared" ref="CB131" si="140">CB130</f>
        <v>0.01</v>
      </c>
      <c r="CC131" s="1695"/>
      <c r="CD131" s="1478">
        <f t="shared" si="129"/>
        <v>0</v>
      </c>
      <c r="CE131" s="1695"/>
      <c r="CF131" s="1695"/>
    </row>
    <row r="132" spans="1:84" ht="15.75" customHeight="1">
      <c r="A132" s="270" t="s">
        <v>512</v>
      </c>
      <c r="B132" s="266">
        <v>2025</v>
      </c>
      <c r="C132" s="1504">
        <v>45809</v>
      </c>
      <c r="D132" s="1713"/>
      <c r="E132" s="265">
        <f t="shared" si="64"/>
        <v>66687499.999999993</v>
      </c>
      <c r="F132" s="267">
        <f t="shared" si="59"/>
        <v>123</v>
      </c>
      <c r="G132" s="268" t="e">
        <f t="shared" si="106"/>
        <v>#REF!</v>
      </c>
      <c r="H132" s="268" t="e">
        <f>-ROUNDDOWN(J131*#REF!,0)</f>
        <v>#REF!</v>
      </c>
      <c r="I132" s="268" t="e">
        <f>IF(ROUNDDOWN(J131,0)=0,0,-#REF!)</f>
        <v>#REF!</v>
      </c>
      <c r="J132" s="269" t="e">
        <f t="shared" si="55"/>
        <v>#REF!</v>
      </c>
      <c r="K132" s="1695"/>
      <c r="L132" s="1695"/>
      <c r="M132" s="1695"/>
      <c r="O132" s="267">
        <f t="shared" si="60"/>
        <v>123</v>
      </c>
      <c r="P132" s="268" t="e">
        <f t="shared" si="51"/>
        <v>#REF!</v>
      </c>
      <c r="Q132" s="268" t="e">
        <f>-S131*#REF!</f>
        <v>#REF!</v>
      </c>
      <c r="R132" s="268" t="e">
        <f>IF(ROUNDDOWN(S131,0)=0,0,-#REF!)</f>
        <v>#REF!</v>
      </c>
      <c r="S132" s="269" t="e">
        <f t="shared" si="56"/>
        <v>#REF!</v>
      </c>
      <c r="T132" s="1695"/>
      <c r="U132" s="1695"/>
      <c r="V132" s="1695"/>
      <c r="X132" s="267">
        <f t="shared" si="61"/>
        <v>123</v>
      </c>
      <c r="Y132" s="268" t="e">
        <f t="shared" si="52"/>
        <v>#REF!</v>
      </c>
      <c r="Z132" s="268" t="e">
        <f>-AB131*#REF!</f>
        <v>#REF!</v>
      </c>
      <c r="AA132" s="268" t="e">
        <f>IF(ROUNDDOWN(AB131,0)=0,0,-#REF!)</f>
        <v>#REF!</v>
      </c>
      <c r="AB132" s="269" t="e">
        <f t="shared" si="57"/>
        <v>#REF!</v>
      </c>
      <c r="AC132" s="1695"/>
      <c r="AD132" s="1695"/>
      <c r="AE132" s="1695"/>
      <c r="AG132" s="1710"/>
      <c r="AH132" s="1710"/>
      <c r="AI132" s="1710"/>
      <c r="AK132" s="267">
        <f t="shared" si="62"/>
        <v>123</v>
      </c>
      <c r="AL132" s="268" t="e">
        <f t="shared" si="53"/>
        <v>#REF!</v>
      </c>
      <c r="AM132" s="268" t="e">
        <f>-AO131*#REF!</f>
        <v>#REF!</v>
      </c>
      <c r="AN132" s="268" t="e">
        <f>IF(ROUNDDOWN(AO131,0)=0,0,-#REF!)</f>
        <v>#REF!</v>
      </c>
      <c r="AO132" s="269" t="e">
        <f t="shared" si="131"/>
        <v>#REF!</v>
      </c>
      <c r="AP132" s="1695"/>
      <c r="AQ132" s="1695"/>
      <c r="AR132" s="1695"/>
      <c r="AS132" s="1695"/>
      <c r="AU132" s="267">
        <f t="shared" si="65"/>
        <v>117</v>
      </c>
      <c r="AV132" s="268">
        <f t="shared" si="77"/>
        <v>-66963208.354166672</v>
      </c>
      <c r="AW132" s="268">
        <f t="shared" si="96"/>
        <v>-275708.35416666669</v>
      </c>
      <c r="AX132" s="1490">
        <v>-66687500.000000007</v>
      </c>
      <c r="AY132" s="1490">
        <f>IF('Cashflow trend'!$L$13&lt;=$C132,-$BA131,$AX132)</f>
        <v>-66687500.000000007</v>
      </c>
      <c r="AZ132" s="268"/>
      <c r="BA132" s="269">
        <f t="shared" si="66"/>
        <v>66687499.999999993</v>
      </c>
      <c r="BB132" s="272">
        <f t="shared" si="68"/>
        <v>2.4806000000000002E-2</v>
      </c>
      <c r="BC132" s="272">
        <f t="shared" si="68"/>
        <v>0.01</v>
      </c>
      <c r="BD132" s="1695"/>
      <c r="BE132" s="354">
        <f t="shared" si="126"/>
        <v>-111145.83333333333</v>
      </c>
      <c r="BF132" s="1695"/>
      <c r="BG132" s="1695"/>
      <c r="BI132" s="268">
        <f t="shared" si="127"/>
        <v>0</v>
      </c>
      <c r="BJ132" s="268">
        <f t="shared" si="113"/>
        <v>0</v>
      </c>
      <c r="BK132" s="268">
        <v>0</v>
      </c>
      <c r="BL132" s="268"/>
      <c r="BM132" s="269">
        <f t="shared" si="79"/>
        <v>350000000</v>
      </c>
      <c r="BN132" s="272">
        <f t="shared" si="90"/>
        <v>0</v>
      </c>
      <c r="BO132" s="272">
        <f t="shared" si="90"/>
        <v>0.01</v>
      </c>
      <c r="BP132" s="1695"/>
      <c r="BQ132" s="354">
        <f t="shared" si="63"/>
        <v>-291666.66666666669</v>
      </c>
      <c r="BR132" s="1695"/>
      <c r="BS132" s="1695"/>
      <c r="BT132" s="79"/>
      <c r="BU132" s="267">
        <f t="shared" si="110"/>
        <v>0</v>
      </c>
      <c r="BV132" s="268">
        <f t="shared" si="58"/>
        <v>0</v>
      </c>
      <c r="BW132" s="268">
        <f t="shared" si="114"/>
        <v>0</v>
      </c>
      <c r="BX132" s="268">
        <f t="shared" si="111"/>
        <v>0</v>
      </c>
      <c r="BY132" s="268">
        <f>IF('Cashflow trend'!$L$13&lt;=$C132,-$AY132,0)</f>
        <v>0</v>
      </c>
      <c r="BZ132" s="269">
        <f t="shared" si="80"/>
        <v>0</v>
      </c>
      <c r="CA132" s="272">
        <f t="shared" si="71"/>
        <v>2.4844599999999998E-2</v>
      </c>
      <c r="CB132" s="272">
        <f t="shared" ref="CB132" si="141">CB131</f>
        <v>0.01</v>
      </c>
      <c r="CC132" s="1695"/>
      <c r="CD132" s="1478">
        <f t="shared" si="129"/>
        <v>0</v>
      </c>
      <c r="CE132" s="1695"/>
      <c r="CF132" s="1695"/>
    </row>
    <row r="133" spans="1:84" ht="15.75" customHeight="1">
      <c r="A133" s="270" t="s">
        <v>513</v>
      </c>
      <c r="B133" s="266">
        <v>2025</v>
      </c>
      <c r="C133" s="1504">
        <v>45839</v>
      </c>
      <c r="D133" s="1713"/>
      <c r="E133" s="265">
        <f t="shared" si="64"/>
        <v>66687499.999999993</v>
      </c>
      <c r="F133" s="267">
        <f t="shared" si="59"/>
        <v>124</v>
      </c>
      <c r="G133" s="268" t="e">
        <f t="shared" si="106"/>
        <v>#REF!</v>
      </c>
      <c r="H133" s="268" t="e">
        <f>-ROUNDDOWN(J132*#REF!,0)</f>
        <v>#REF!</v>
      </c>
      <c r="I133" s="268" t="e">
        <f>IF(ROUNDDOWN(J132,0)=0,0,-#REF!)</f>
        <v>#REF!</v>
      </c>
      <c r="J133" s="269" t="e">
        <f t="shared" si="55"/>
        <v>#REF!</v>
      </c>
      <c r="K133" s="1695"/>
      <c r="L133" s="1695"/>
      <c r="M133" s="1695"/>
      <c r="O133" s="267">
        <f t="shared" si="60"/>
        <v>124</v>
      </c>
      <c r="P133" s="268" t="e">
        <f t="shared" si="51"/>
        <v>#REF!</v>
      </c>
      <c r="Q133" s="268" t="e">
        <f>-S132*#REF!</f>
        <v>#REF!</v>
      </c>
      <c r="R133" s="268" t="e">
        <f>IF(ROUNDDOWN(S132,0)=0,0,-#REF!)</f>
        <v>#REF!</v>
      </c>
      <c r="S133" s="269" t="e">
        <f t="shared" si="56"/>
        <v>#REF!</v>
      </c>
      <c r="T133" s="1695"/>
      <c r="U133" s="1695"/>
      <c r="V133" s="1695"/>
      <c r="X133" s="267">
        <f t="shared" si="61"/>
        <v>124</v>
      </c>
      <c r="Y133" s="268" t="e">
        <f t="shared" si="52"/>
        <v>#REF!</v>
      </c>
      <c r="Z133" s="268" t="e">
        <f>-AB132*#REF!</f>
        <v>#REF!</v>
      </c>
      <c r="AA133" s="268" t="e">
        <f>IF(ROUNDDOWN(AB132,0)=0,0,-#REF!)</f>
        <v>#REF!</v>
      </c>
      <c r="AB133" s="269" t="e">
        <f t="shared" si="57"/>
        <v>#REF!</v>
      </c>
      <c r="AC133" s="1695"/>
      <c r="AD133" s="1695"/>
      <c r="AE133" s="1695"/>
      <c r="AG133" s="1710"/>
      <c r="AH133" s="1710"/>
      <c r="AI133" s="1710"/>
      <c r="AK133" s="267">
        <f t="shared" si="62"/>
        <v>124</v>
      </c>
      <c r="AL133" s="268" t="e">
        <f t="shared" si="53"/>
        <v>#REF!</v>
      </c>
      <c r="AM133" s="268" t="e">
        <f>-AO132*#REF!</f>
        <v>#REF!</v>
      </c>
      <c r="AN133" s="268" t="e">
        <f>IF(ROUNDDOWN(AO132,0)=0,0,-#REF!)</f>
        <v>#REF!</v>
      </c>
      <c r="AO133" s="269" t="e">
        <f t="shared" si="131"/>
        <v>#REF!</v>
      </c>
      <c r="AP133" s="1695"/>
      <c r="AQ133" s="1695"/>
      <c r="AR133" s="1695"/>
      <c r="AS133" s="1695"/>
      <c r="AU133" s="267">
        <f t="shared" si="65"/>
        <v>118</v>
      </c>
      <c r="AV133" s="268">
        <f t="shared" si="77"/>
        <v>-137854.17708333334</v>
      </c>
      <c r="AW133" s="268">
        <f t="shared" si="96"/>
        <v>-137854.17708333334</v>
      </c>
      <c r="AX133" s="1490">
        <v>0</v>
      </c>
      <c r="AY133" s="1490">
        <f>IF('Cashflow trend'!$L$13&lt;=$C133,-$BA132,$AX133)</f>
        <v>0</v>
      </c>
      <c r="AZ133" s="268"/>
      <c r="BA133" s="269">
        <f t="shared" si="66"/>
        <v>66687499.999999993</v>
      </c>
      <c r="BB133" s="272">
        <f t="shared" si="68"/>
        <v>2.4806000000000002E-2</v>
      </c>
      <c r="BC133" s="272">
        <f t="shared" si="68"/>
        <v>0.01</v>
      </c>
      <c r="BD133" s="1695"/>
      <c r="BE133" s="354">
        <f t="shared" si="126"/>
        <v>-55572.916666666657</v>
      </c>
      <c r="BF133" s="1695"/>
      <c r="BG133" s="1695"/>
      <c r="BI133" s="268">
        <f t="shared" si="127"/>
        <v>0</v>
      </c>
      <c r="BJ133" s="268">
        <f t="shared" si="113"/>
        <v>0</v>
      </c>
      <c r="BK133" s="268">
        <v>0</v>
      </c>
      <c r="BL133" s="268"/>
      <c r="BM133" s="269">
        <f t="shared" si="79"/>
        <v>350000000</v>
      </c>
      <c r="BN133" s="272">
        <f t="shared" si="90"/>
        <v>0</v>
      </c>
      <c r="BO133" s="272">
        <f t="shared" si="90"/>
        <v>0.01</v>
      </c>
      <c r="BP133" s="1695"/>
      <c r="BQ133" s="354">
        <f t="shared" si="63"/>
        <v>-291666.66666666669</v>
      </c>
      <c r="BR133" s="1695"/>
      <c r="BS133" s="1695"/>
      <c r="BT133" s="79"/>
      <c r="BU133" s="267">
        <f t="shared" si="110"/>
        <v>0</v>
      </c>
      <c r="BV133" s="268">
        <f t="shared" si="58"/>
        <v>0</v>
      </c>
      <c r="BW133" s="268">
        <f t="shared" si="114"/>
        <v>0</v>
      </c>
      <c r="BX133" s="268">
        <f t="shared" si="111"/>
        <v>0</v>
      </c>
      <c r="BY133" s="268">
        <f>IF('Cashflow trend'!$L$13&lt;=$C133,-$AY133,0)</f>
        <v>0</v>
      </c>
      <c r="BZ133" s="269">
        <f t="shared" si="80"/>
        <v>0</v>
      </c>
      <c r="CA133" s="272">
        <f t="shared" si="71"/>
        <v>2.4844599999999998E-2</v>
      </c>
      <c r="CB133" s="272">
        <f t="shared" ref="CB133" si="142">CB132</f>
        <v>0.01</v>
      </c>
      <c r="CC133" s="1695"/>
      <c r="CD133" s="1478">
        <f t="shared" si="129"/>
        <v>0</v>
      </c>
      <c r="CE133" s="1695"/>
      <c r="CF133" s="1695"/>
    </row>
    <row r="134" spans="1:84" ht="15.75" customHeight="1">
      <c r="A134" s="270" t="s">
        <v>514</v>
      </c>
      <c r="B134" s="266">
        <v>2025</v>
      </c>
      <c r="C134" s="1504">
        <v>45870</v>
      </c>
      <c r="D134" s="1713"/>
      <c r="E134" s="265">
        <f t="shared" si="64"/>
        <v>66687499.999999993</v>
      </c>
      <c r="F134" s="267">
        <f t="shared" si="59"/>
        <v>125</v>
      </c>
      <c r="G134" s="268" t="e">
        <f t="shared" si="106"/>
        <v>#REF!</v>
      </c>
      <c r="H134" s="268" t="e">
        <f>-ROUNDDOWN(J133*#REF!,0)</f>
        <v>#REF!</v>
      </c>
      <c r="I134" s="268" t="e">
        <f>IF(ROUNDDOWN(J133,0)=0,0,-#REF!)</f>
        <v>#REF!</v>
      </c>
      <c r="J134" s="269" t="e">
        <f t="shared" si="55"/>
        <v>#REF!</v>
      </c>
      <c r="K134" s="1695"/>
      <c r="L134" s="1695"/>
      <c r="M134" s="1695"/>
      <c r="O134" s="267">
        <f t="shared" si="60"/>
        <v>125</v>
      </c>
      <c r="P134" s="268" t="e">
        <f t="shared" si="51"/>
        <v>#REF!</v>
      </c>
      <c r="Q134" s="268" t="e">
        <f>-S133*#REF!</f>
        <v>#REF!</v>
      </c>
      <c r="R134" s="268" t="e">
        <f>IF(ROUNDDOWN(S133,0)=0,0,-#REF!)</f>
        <v>#REF!</v>
      </c>
      <c r="S134" s="269" t="e">
        <f t="shared" si="56"/>
        <v>#REF!</v>
      </c>
      <c r="T134" s="1695"/>
      <c r="U134" s="1695"/>
      <c r="V134" s="1695"/>
      <c r="X134" s="267">
        <f t="shared" si="61"/>
        <v>125</v>
      </c>
      <c r="Y134" s="268" t="e">
        <f t="shared" si="52"/>
        <v>#REF!</v>
      </c>
      <c r="Z134" s="268" t="e">
        <f>-AB133*#REF!</f>
        <v>#REF!</v>
      </c>
      <c r="AA134" s="268" t="e">
        <f>IF(ROUNDDOWN(AB133,0)=0,0,-#REF!)</f>
        <v>#REF!</v>
      </c>
      <c r="AB134" s="269" t="e">
        <f t="shared" si="57"/>
        <v>#REF!</v>
      </c>
      <c r="AC134" s="1695"/>
      <c r="AD134" s="1695"/>
      <c r="AE134" s="1695"/>
      <c r="AG134" s="1710"/>
      <c r="AH134" s="1710"/>
      <c r="AI134" s="1710"/>
      <c r="AK134" s="267">
        <f t="shared" si="62"/>
        <v>125</v>
      </c>
      <c r="AL134" s="268" t="e">
        <f t="shared" si="53"/>
        <v>#REF!</v>
      </c>
      <c r="AM134" s="268" t="e">
        <f>-AO133*#REF!</f>
        <v>#REF!</v>
      </c>
      <c r="AN134" s="268" t="e">
        <f>IF(ROUNDDOWN(AO133,0)=0,0,-#REF!)</f>
        <v>#REF!</v>
      </c>
      <c r="AO134" s="269" t="e">
        <f t="shared" si="131"/>
        <v>#REF!</v>
      </c>
      <c r="AP134" s="1695"/>
      <c r="AQ134" s="1695"/>
      <c r="AR134" s="1695"/>
      <c r="AS134" s="1695"/>
      <c r="AU134" s="267">
        <f t="shared" si="65"/>
        <v>119</v>
      </c>
      <c r="AV134" s="268">
        <f t="shared" si="77"/>
        <v>-137854.17708333334</v>
      </c>
      <c r="AW134" s="268">
        <f t="shared" si="96"/>
        <v>-137854.17708333334</v>
      </c>
      <c r="AX134" s="1490">
        <v>0</v>
      </c>
      <c r="AY134" s="1490">
        <f>IF('Cashflow trend'!$L$13&lt;=$C134,-$BA133,$AX134)</f>
        <v>0</v>
      </c>
      <c r="AZ134" s="268"/>
      <c r="BA134" s="269">
        <f t="shared" si="66"/>
        <v>66687499.999999993</v>
      </c>
      <c r="BB134" s="272">
        <f t="shared" si="68"/>
        <v>2.4806000000000002E-2</v>
      </c>
      <c r="BC134" s="272">
        <f t="shared" si="68"/>
        <v>0.01</v>
      </c>
      <c r="BD134" s="1695"/>
      <c r="BE134" s="354">
        <f t="shared" si="126"/>
        <v>-55572.916666666657</v>
      </c>
      <c r="BF134" s="1695"/>
      <c r="BG134" s="1695"/>
      <c r="BI134" s="268">
        <f t="shared" si="127"/>
        <v>0</v>
      </c>
      <c r="BJ134" s="268">
        <f t="shared" si="113"/>
        <v>0</v>
      </c>
      <c r="BK134" s="268"/>
      <c r="BL134" s="268"/>
      <c r="BM134" s="269">
        <f t="shared" si="79"/>
        <v>350000000</v>
      </c>
      <c r="BN134" s="272">
        <f t="shared" si="90"/>
        <v>0</v>
      </c>
      <c r="BO134" s="272">
        <f t="shared" si="90"/>
        <v>0.01</v>
      </c>
      <c r="BP134" s="1695"/>
      <c r="BQ134" s="354">
        <f t="shared" si="63"/>
        <v>-291666.66666666669</v>
      </c>
      <c r="BR134" s="1695"/>
      <c r="BS134" s="1695"/>
      <c r="BT134" s="79"/>
      <c r="BU134" s="267">
        <f t="shared" si="110"/>
        <v>0</v>
      </c>
      <c r="BV134" s="268">
        <f t="shared" si="58"/>
        <v>0</v>
      </c>
      <c r="BW134" s="268">
        <f t="shared" si="114"/>
        <v>0</v>
      </c>
      <c r="BX134" s="268">
        <f t="shared" si="111"/>
        <v>0</v>
      </c>
      <c r="BY134" s="268">
        <f>IF('Cashflow trend'!$L$13&lt;=$C134,-$AY134,0)</f>
        <v>0</v>
      </c>
      <c r="BZ134" s="269">
        <f t="shared" si="80"/>
        <v>0</v>
      </c>
      <c r="CA134" s="272">
        <f t="shared" si="71"/>
        <v>2.4844599999999998E-2</v>
      </c>
      <c r="CB134" s="272">
        <f t="shared" ref="CB134" si="143">CB133</f>
        <v>0.01</v>
      </c>
      <c r="CC134" s="1695"/>
      <c r="CD134" s="1478">
        <f t="shared" si="129"/>
        <v>0</v>
      </c>
      <c r="CE134" s="1695"/>
      <c r="CF134" s="1695"/>
    </row>
    <row r="135" spans="1:84" ht="15.75" customHeight="1" thickBot="1">
      <c r="A135" s="270" t="s">
        <v>515</v>
      </c>
      <c r="B135" s="266">
        <v>2025</v>
      </c>
      <c r="C135" s="1504">
        <v>45901</v>
      </c>
      <c r="D135" s="1714"/>
      <c r="E135" s="265">
        <f t="shared" si="64"/>
        <v>0</v>
      </c>
      <c r="F135" s="267">
        <f t="shared" si="59"/>
        <v>126</v>
      </c>
      <c r="G135" s="268" t="e">
        <f t="shared" si="106"/>
        <v>#REF!</v>
      </c>
      <c r="H135" s="268" t="e">
        <f>-ROUNDDOWN(J134*#REF!,0)</f>
        <v>#REF!</v>
      </c>
      <c r="I135" s="268" t="e">
        <f>IF(ROUNDDOWN(J134,0)=0,0,-#REF!)</f>
        <v>#REF!</v>
      </c>
      <c r="J135" s="269" t="e">
        <f t="shared" si="55"/>
        <v>#REF!</v>
      </c>
      <c r="K135" s="1695"/>
      <c r="L135" s="1695"/>
      <c r="M135" s="1695"/>
      <c r="O135" s="267">
        <f t="shared" si="60"/>
        <v>126</v>
      </c>
      <c r="P135" s="268" t="e">
        <f t="shared" si="51"/>
        <v>#REF!</v>
      </c>
      <c r="Q135" s="268" t="e">
        <f>-S134*#REF!</f>
        <v>#REF!</v>
      </c>
      <c r="R135" s="268" t="e">
        <f>IF(ROUNDDOWN(S134,0)=0,0,-#REF!)</f>
        <v>#REF!</v>
      </c>
      <c r="S135" s="269" t="e">
        <f t="shared" si="56"/>
        <v>#REF!</v>
      </c>
      <c r="T135" s="1695"/>
      <c r="U135" s="1695"/>
      <c r="V135" s="1695"/>
      <c r="X135" s="267">
        <f t="shared" si="61"/>
        <v>126</v>
      </c>
      <c r="Y135" s="268" t="e">
        <f t="shared" si="52"/>
        <v>#REF!</v>
      </c>
      <c r="Z135" s="268" t="e">
        <f>-AB134*#REF!</f>
        <v>#REF!</v>
      </c>
      <c r="AA135" s="268" t="e">
        <f>IF(ROUNDDOWN(AB134,0)=0,0,-#REF!)</f>
        <v>#REF!</v>
      </c>
      <c r="AB135" s="269" t="e">
        <f t="shared" si="57"/>
        <v>#REF!</v>
      </c>
      <c r="AC135" s="1695"/>
      <c r="AD135" s="1695"/>
      <c r="AE135" s="1695"/>
      <c r="AG135" s="1710"/>
      <c r="AH135" s="1710"/>
      <c r="AI135" s="1710"/>
      <c r="AK135" s="267">
        <f t="shared" si="62"/>
        <v>126</v>
      </c>
      <c r="AL135" s="268" t="e">
        <f t="shared" si="53"/>
        <v>#REF!</v>
      </c>
      <c r="AM135" s="268" t="e">
        <f>-AO134*#REF!</f>
        <v>#REF!</v>
      </c>
      <c r="AN135" s="268" t="e">
        <f>IF(ROUNDDOWN(AO134,0)=0,0,-#REF!)</f>
        <v>#REF!</v>
      </c>
      <c r="AO135" s="269" t="e">
        <f t="shared" si="131"/>
        <v>#REF!</v>
      </c>
      <c r="AP135" s="1695"/>
      <c r="AQ135" s="1695"/>
      <c r="AR135" s="1695"/>
      <c r="AS135" s="1695"/>
      <c r="AU135" s="267">
        <f t="shared" si="65"/>
        <v>120</v>
      </c>
      <c r="AV135" s="268">
        <f t="shared" si="77"/>
        <v>-66825354.177083343</v>
      </c>
      <c r="AW135" s="268">
        <f t="shared" si="96"/>
        <v>-137854.17708333334</v>
      </c>
      <c r="AX135" s="1490">
        <v>-66687500.000000007</v>
      </c>
      <c r="AY135" s="1490">
        <f>IF('Cashflow trend'!$L$13&lt;=$C135,-$BA134,$AX135)</f>
        <v>-66687500.000000007</v>
      </c>
      <c r="AZ135" s="268"/>
      <c r="BA135" s="269">
        <f t="shared" si="66"/>
        <v>0</v>
      </c>
      <c r="BB135" s="272">
        <f t="shared" si="68"/>
        <v>2.4806000000000002E-2</v>
      </c>
      <c r="BC135" s="272">
        <f t="shared" si="68"/>
        <v>0.01</v>
      </c>
      <c r="BD135" s="1695"/>
      <c r="BE135" s="354">
        <f t="shared" si="126"/>
        <v>-55572.916666666657</v>
      </c>
      <c r="BF135" s="1695"/>
      <c r="BG135" s="1695"/>
      <c r="BI135" s="268">
        <f t="shared" si="127"/>
        <v>0</v>
      </c>
      <c r="BJ135" s="268">
        <f t="shared" si="113"/>
        <v>0</v>
      </c>
      <c r="BK135" s="268"/>
      <c r="BL135" s="268"/>
      <c r="BM135" s="269">
        <f t="shared" si="79"/>
        <v>350000000</v>
      </c>
      <c r="BN135" s="272">
        <f t="shared" si="90"/>
        <v>0</v>
      </c>
      <c r="BO135" s="272">
        <f t="shared" si="90"/>
        <v>0.01</v>
      </c>
      <c r="BP135" s="1695"/>
      <c r="BQ135" s="354">
        <f t="shared" si="63"/>
        <v>-291666.66666666669</v>
      </c>
      <c r="BR135" s="1695"/>
      <c r="BS135" s="1695"/>
      <c r="BT135" s="79"/>
      <c r="BU135" s="267">
        <f t="shared" si="110"/>
        <v>0</v>
      </c>
      <c r="BV135" s="268">
        <f t="shared" si="58"/>
        <v>0</v>
      </c>
      <c r="BW135" s="268">
        <f t="shared" si="114"/>
        <v>0</v>
      </c>
      <c r="BX135" s="268">
        <f t="shared" si="111"/>
        <v>0</v>
      </c>
      <c r="BY135" s="268">
        <f>IF('Cashflow trend'!$L$13&lt;=$C135,-$AY135,0)</f>
        <v>0</v>
      </c>
      <c r="BZ135" s="269">
        <f t="shared" si="80"/>
        <v>0</v>
      </c>
      <c r="CA135" s="272">
        <f t="shared" si="71"/>
        <v>2.4844599999999998E-2</v>
      </c>
      <c r="CB135" s="272">
        <f t="shared" ref="CB135" si="144">CB134</f>
        <v>0.01</v>
      </c>
      <c r="CC135" s="1695"/>
      <c r="CD135" s="1478">
        <f t="shared" si="129"/>
        <v>0</v>
      </c>
      <c r="CE135" s="1695"/>
      <c r="CF135" s="1695"/>
    </row>
    <row r="136" spans="1:84" ht="15">
      <c r="A136" s="270" t="s">
        <v>516</v>
      </c>
      <c r="B136" s="266">
        <v>2025</v>
      </c>
      <c r="C136" s="1504">
        <v>45931</v>
      </c>
      <c r="D136" s="266"/>
      <c r="E136" s="265">
        <f t="shared" si="64"/>
        <v>0</v>
      </c>
      <c r="F136" s="267">
        <f t="shared" si="59"/>
        <v>127</v>
      </c>
      <c r="G136" s="268" t="e">
        <f t="shared" si="106"/>
        <v>#REF!</v>
      </c>
      <c r="H136" s="268" t="e">
        <f>-ROUNDDOWN(J135*#REF!,0)</f>
        <v>#REF!</v>
      </c>
      <c r="I136" s="268" t="e">
        <f>IF(ROUNDDOWN(J135,0)=0,0,-#REF!)</f>
        <v>#REF!</v>
      </c>
      <c r="J136" s="269" t="e">
        <f t="shared" si="55"/>
        <v>#REF!</v>
      </c>
      <c r="K136" s="1695"/>
      <c r="L136" s="1695"/>
      <c r="M136" s="1695"/>
      <c r="O136" s="267">
        <f t="shared" si="60"/>
        <v>127</v>
      </c>
      <c r="P136" s="268" t="e">
        <f t="shared" si="51"/>
        <v>#REF!</v>
      </c>
      <c r="Q136" s="268" t="e">
        <f>-S135*#REF!</f>
        <v>#REF!</v>
      </c>
      <c r="R136" s="268" t="e">
        <f>IF(ROUNDDOWN(S135,0)=0,0,-#REF!)</f>
        <v>#REF!</v>
      </c>
      <c r="S136" s="269" t="e">
        <f t="shared" si="56"/>
        <v>#REF!</v>
      </c>
      <c r="T136" s="1695"/>
      <c r="U136" s="1695"/>
      <c r="V136" s="1695"/>
      <c r="X136" s="267">
        <f t="shared" si="61"/>
        <v>127</v>
      </c>
      <c r="Y136" s="268" t="e">
        <f t="shared" si="52"/>
        <v>#REF!</v>
      </c>
      <c r="Z136" s="268" t="e">
        <f>-AB135*#REF!</f>
        <v>#REF!</v>
      </c>
      <c r="AA136" s="268" t="e">
        <f>IF(ROUNDDOWN(AB135,0)=0,0,-#REF!)</f>
        <v>#REF!</v>
      </c>
      <c r="AB136" s="269" t="e">
        <f t="shared" si="57"/>
        <v>#REF!</v>
      </c>
      <c r="AC136" s="1695"/>
      <c r="AD136" s="1695"/>
      <c r="AE136" s="1695"/>
      <c r="AG136" s="1710"/>
      <c r="AH136" s="1710"/>
      <c r="AI136" s="1710"/>
      <c r="AK136" s="267">
        <f t="shared" si="62"/>
        <v>127</v>
      </c>
      <c r="AL136" s="268" t="e">
        <f t="shared" si="53"/>
        <v>#REF!</v>
      </c>
      <c r="AM136" s="268" t="e">
        <f>-AO135*#REF!</f>
        <v>#REF!</v>
      </c>
      <c r="AN136" s="268" t="e">
        <f>IF(ROUNDDOWN(AO135,0)=0,0,-#REF!)</f>
        <v>#REF!</v>
      </c>
      <c r="AO136" s="269" t="e">
        <f t="shared" si="131"/>
        <v>#REF!</v>
      </c>
      <c r="AP136" s="1695"/>
      <c r="AQ136" s="1695"/>
      <c r="AR136" s="1695"/>
      <c r="AS136" s="1695"/>
      <c r="AU136" s="267">
        <f t="shared" si="65"/>
        <v>121</v>
      </c>
      <c r="AV136" s="268">
        <f t="shared" si="77"/>
        <v>0</v>
      </c>
      <c r="AW136" s="268">
        <f t="shared" si="96"/>
        <v>0</v>
      </c>
      <c r="AX136" s="1490"/>
      <c r="AY136" s="268"/>
      <c r="AZ136" s="268"/>
      <c r="BA136" s="269">
        <f t="shared" si="66"/>
        <v>0</v>
      </c>
      <c r="BB136" s="272">
        <f t="shared" si="68"/>
        <v>2.4806000000000002E-2</v>
      </c>
      <c r="BC136" s="272">
        <f t="shared" si="68"/>
        <v>0.01</v>
      </c>
      <c r="BD136" s="1695"/>
      <c r="BE136" s="354">
        <f t="shared" si="126"/>
        <v>0</v>
      </c>
      <c r="BF136" s="1695"/>
      <c r="BG136" s="1695"/>
      <c r="BI136" s="268">
        <f t="shared" si="127"/>
        <v>0</v>
      </c>
      <c r="BJ136" s="268">
        <f t="shared" si="113"/>
        <v>0</v>
      </c>
      <c r="BK136" s="268"/>
      <c r="BL136" s="268"/>
      <c r="BM136" s="269">
        <f t="shared" si="79"/>
        <v>350000000</v>
      </c>
      <c r="BN136" s="272">
        <f t="shared" si="90"/>
        <v>0</v>
      </c>
      <c r="BO136" s="272">
        <f t="shared" si="90"/>
        <v>0.01</v>
      </c>
      <c r="BP136" s="1695"/>
      <c r="BQ136" s="354">
        <f t="shared" si="63"/>
        <v>-291666.66666666669</v>
      </c>
      <c r="BR136" s="1695"/>
      <c r="BS136" s="1695"/>
      <c r="BT136" s="79"/>
      <c r="BU136" s="267">
        <f t="shared" si="110"/>
        <v>0</v>
      </c>
      <c r="BV136" s="268">
        <f t="shared" si="58"/>
        <v>0</v>
      </c>
      <c r="BW136" s="268">
        <f t="shared" si="114"/>
        <v>0</v>
      </c>
      <c r="BX136" s="268">
        <f t="shared" si="111"/>
        <v>0</v>
      </c>
      <c r="BY136" s="268">
        <f>IF('Cashflow trend'!$L$13&lt;=$C136,-$AY136,0)</f>
        <v>0</v>
      </c>
      <c r="BZ136" s="269">
        <f t="shared" si="80"/>
        <v>0</v>
      </c>
      <c r="CA136" s="272">
        <f t="shared" si="71"/>
        <v>2.4844599999999998E-2</v>
      </c>
      <c r="CB136" s="272">
        <f t="shared" ref="CB136" si="145">CB135</f>
        <v>0.01</v>
      </c>
      <c r="CC136" s="1695"/>
      <c r="CD136" s="1478">
        <f t="shared" si="129"/>
        <v>0</v>
      </c>
      <c r="CE136" s="1695"/>
      <c r="CF136" s="1695"/>
    </row>
    <row r="137" spans="1:84" ht="15">
      <c r="A137" s="270" t="s">
        <v>517</v>
      </c>
      <c r="B137" s="266">
        <v>2025</v>
      </c>
      <c r="C137" s="1504">
        <v>45962</v>
      </c>
      <c r="D137" s="266"/>
      <c r="E137" s="265">
        <f t="shared" si="64"/>
        <v>0</v>
      </c>
      <c r="F137" s="267">
        <f t="shared" si="59"/>
        <v>128</v>
      </c>
      <c r="G137" s="268" t="e">
        <f t="shared" si="106"/>
        <v>#REF!</v>
      </c>
      <c r="H137" s="268" t="e">
        <f>-ROUNDDOWN(J136*#REF!,0)</f>
        <v>#REF!</v>
      </c>
      <c r="I137" s="268" t="e">
        <f>IF(ROUNDDOWN(J136,0)=0,0,-#REF!)</f>
        <v>#REF!</v>
      </c>
      <c r="J137" s="269" t="e">
        <f t="shared" si="55"/>
        <v>#REF!</v>
      </c>
      <c r="K137" s="1695"/>
      <c r="L137" s="1695"/>
      <c r="M137" s="1695"/>
      <c r="O137" s="267">
        <f t="shared" si="60"/>
        <v>128</v>
      </c>
      <c r="P137" s="268" t="e">
        <f t="shared" si="51"/>
        <v>#REF!</v>
      </c>
      <c r="Q137" s="268" t="e">
        <f>-S136*#REF!</f>
        <v>#REF!</v>
      </c>
      <c r="R137" s="268" t="e">
        <f>IF(ROUNDDOWN(S136,0)=0,0,-#REF!)</f>
        <v>#REF!</v>
      </c>
      <c r="S137" s="269" t="e">
        <f t="shared" si="56"/>
        <v>#REF!</v>
      </c>
      <c r="T137" s="1695"/>
      <c r="U137" s="1695"/>
      <c r="V137" s="1695"/>
      <c r="X137" s="267">
        <f t="shared" si="61"/>
        <v>128</v>
      </c>
      <c r="Y137" s="268" t="e">
        <f t="shared" si="52"/>
        <v>#REF!</v>
      </c>
      <c r="Z137" s="268" t="e">
        <f>-AB136*#REF!</f>
        <v>#REF!</v>
      </c>
      <c r="AA137" s="268" t="e">
        <f>IF(ROUNDDOWN(AB136,0)=0,0,-#REF!)</f>
        <v>#REF!</v>
      </c>
      <c r="AB137" s="269" t="e">
        <f t="shared" si="57"/>
        <v>#REF!</v>
      </c>
      <c r="AC137" s="1695"/>
      <c r="AD137" s="1695"/>
      <c r="AE137" s="1695"/>
      <c r="AG137" s="1710"/>
      <c r="AH137" s="1710"/>
      <c r="AI137" s="1710"/>
      <c r="AK137" s="267">
        <f t="shared" si="62"/>
        <v>128</v>
      </c>
      <c r="AL137" s="268" t="e">
        <f t="shared" si="53"/>
        <v>#REF!</v>
      </c>
      <c r="AM137" s="268" t="e">
        <f>-AO136*#REF!</f>
        <v>#REF!</v>
      </c>
      <c r="AN137" s="268" t="e">
        <f>IF(ROUNDDOWN(AO136,0)=0,0,-#REF!)</f>
        <v>#REF!</v>
      </c>
      <c r="AO137" s="269" t="e">
        <f t="shared" si="131"/>
        <v>#REF!</v>
      </c>
      <c r="AP137" s="1695"/>
      <c r="AQ137" s="1695"/>
      <c r="AR137" s="1695"/>
      <c r="AS137" s="1695"/>
      <c r="AU137" s="267">
        <f t="shared" si="65"/>
        <v>122</v>
      </c>
      <c r="AV137" s="268">
        <f t="shared" si="77"/>
        <v>0</v>
      </c>
      <c r="AW137" s="268">
        <f t="shared" si="96"/>
        <v>0</v>
      </c>
      <c r="AX137" s="1490"/>
      <c r="AY137" s="268"/>
      <c r="AZ137" s="268"/>
      <c r="BA137" s="269">
        <f t="shared" si="66"/>
        <v>0</v>
      </c>
      <c r="BB137" s="272">
        <f t="shared" si="68"/>
        <v>2.4806000000000002E-2</v>
      </c>
      <c r="BC137" s="272">
        <f t="shared" si="68"/>
        <v>0.01</v>
      </c>
      <c r="BD137" s="1695"/>
      <c r="BE137" s="354">
        <f t="shared" si="126"/>
        <v>0</v>
      </c>
      <c r="BF137" s="1695"/>
      <c r="BG137" s="1695"/>
      <c r="BI137" s="268">
        <f t="shared" si="127"/>
        <v>0</v>
      </c>
      <c r="BJ137" s="268">
        <f t="shared" si="113"/>
        <v>0</v>
      </c>
      <c r="BK137" s="268">
        <v>0</v>
      </c>
      <c r="BL137" s="268"/>
      <c r="BM137" s="269">
        <f t="shared" si="79"/>
        <v>350000000</v>
      </c>
      <c r="BN137" s="272">
        <f t="shared" si="90"/>
        <v>0</v>
      </c>
      <c r="BO137" s="272">
        <f t="shared" si="90"/>
        <v>0.01</v>
      </c>
      <c r="BP137" s="1695"/>
      <c r="BQ137" s="354">
        <f t="shared" si="63"/>
        <v>-291666.66666666669</v>
      </c>
      <c r="BR137" s="1695"/>
      <c r="BS137" s="1695"/>
      <c r="BT137" s="79"/>
      <c r="BU137" s="267">
        <f t="shared" si="110"/>
        <v>0</v>
      </c>
      <c r="BV137" s="268">
        <f t="shared" si="58"/>
        <v>0</v>
      </c>
      <c r="BW137" s="268">
        <f t="shared" si="114"/>
        <v>0</v>
      </c>
      <c r="BX137" s="268">
        <f t="shared" si="111"/>
        <v>0</v>
      </c>
      <c r="BY137" s="268">
        <f>IF('Cashflow trend'!$L$13&lt;=$C137,-$AY137,0)</f>
        <v>0</v>
      </c>
      <c r="BZ137" s="269">
        <f t="shared" si="80"/>
        <v>0</v>
      </c>
      <c r="CA137" s="272">
        <f t="shared" si="71"/>
        <v>2.4844599999999998E-2</v>
      </c>
      <c r="CB137" s="272">
        <f t="shared" ref="CB137" si="146">CB136</f>
        <v>0.01</v>
      </c>
      <c r="CC137" s="1695"/>
      <c r="CD137" s="1478">
        <f t="shared" si="129"/>
        <v>0</v>
      </c>
      <c r="CE137" s="1695"/>
      <c r="CF137" s="1695"/>
    </row>
    <row r="138" spans="1:84" ht="15">
      <c r="A138" s="270" t="s">
        <v>518</v>
      </c>
      <c r="B138" s="266">
        <v>2025</v>
      </c>
      <c r="C138" s="1504">
        <v>45992</v>
      </c>
      <c r="D138" s="266"/>
      <c r="E138" s="265">
        <f t="shared" si="64"/>
        <v>0</v>
      </c>
      <c r="F138" s="267">
        <f t="shared" si="59"/>
        <v>129</v>
      </c>
      <c r="G138" s="268" t="e">
        <f t="shared" si="106"/>
        <v>#REF!</v>
      </c>
      <c r="H138" s="268" t="e">
        <f>-ROUNDDOWN(J137*#REF!,0)</f>
        <v>#REF!</v>
      </c>
      <c r="I138" s="268" t="e">
        <f>IF(ROUNDDOWN(J137,0)=0,0,-#REF!)</f>
        <v>#REF!</v>
      </c>
      <c r="J138" s="269" t="e">
        <f t="shared" si="55"/>
        <v>#REF!</v>
      </c>
      <c r="K138" s="1695"/>
      <c r="L138" s="1695"/>
      <c r="M138" s="1695"/>
      <c r="O138" s="267">
        <f t="shared" si="60"/>
        <v>129</v>
      </c>
      <c r="P138" s="268" t="e">
        <f t="shared" ref="P138:P153" si="147">SUM(Q138:R138)</f>
        <v>#REF!</v>
      </c>
      <c r="Q138" s="268" t="e">
        <f>-S137*#REF!</f>
        <v>#REF!</v>
      </c>
      <c r="R138" s="268" t="e">
        <f>IF(ROUNDDOWN(S137,0)=0,0,-#REF!)</f>
        <v>#REF!</v>
      </c>
      <c r="S138" s="269" t="e">
        <f t="shared" si="56"/>
        <v>#REF!</v>
      </c>
      <c r="T138" s="1695"/>
      <c r="U138" s="1695"/>
      <c r="V138" s="1695"/>
      <c r="X138" s="267">
        <f t="shared" si="61"/>
        <v>129</v>
      </c>
      <c r="Y138" s="268" t="e">
        <f t="shared" ref="Y138:Y153" si="148">SUM(Z138:AA138)</f>
        <v>#REF!</v>
      </c>
      <c r="Z138" s="268" t="e">
        <f>-AB137*#REF!</f>
        <v>#REF!</v>
      </c>
      <c r="AA138" s="268" t="e">
        <f>IF(ROUNDDOWN(AB137,0)=0,0,-#REF!)</f>
        <v>#REF!</v>
      </c>
      <c r="AB138" s="269" t="e">
        <f t="shared" si="57"/>
        <v>#REF!</v>
      </c>
      <c r="AC138" s="1695"/>
      <c r="AD138" s="1695"/>
      <c r="AE138" s="1695"/>
      <c r="AG138" s="1710"/>
      <c r="AH138" s="1710"/>
      <c r="AI138" s="1710"/>
      <c r="AK138" s="267">
        <f t="shared" si="62"/>
        <v>129</v>
      </c>
      <c r="AL138" s="268" t="e">
        <f t="shared" ref="AL138:AL153" si="149">SUM(AM138:AN138)</f>
        <v>#REF!</v>
      </c>
      <c r="AM138" s="268" t="e">
        <f>-AO137*#REF!</f>
        <v>#REF!</v>
      </c>
      <c r="AN138" s="268" t="e">
        <f>IF(ROUNDDOWN(AO137,0)=0,0,-#REF!)</f>
        <v>#REF!</v>
      </c>
      <c r="AO138" s="269" t="e">
        <f t="shared" si="131"/>
        <v>#REF!</v>
      </c>
      <c r="AP138" s="1695"/>
      <c r="AQ138" s="1695"/>
      <c r="AR138" s="1695"/>
      <c r="AS138" s="1695"/>
      <c r="AU138" s="267">
        <f t="shared" si="65"/>
        <v>123</v>
      </c>
      <c r="AV138" s="268">
        <f t="shared" si="77"/>
        <v>0</v>
      </c>
      <c r="AW138" s="268">
        <f t="shared" si="96"/>
        <v>0</v>
      </c>
      <c r="AX138" s="1490"/>
      <c r="AY138" s="268"/>
      <c r="AZ138" s="268"/>
      <c r="BA138" s="269">
        <f t="shared" si="66"/>
        <v>0</v>
      </c>
      <c r="BB138" s="272">
        <f t="shared" si="68"/>
        <v>2.4806000000000002E-2</v>
      </c>
      <c r="BC138" s="272">
        <f t="shared" si="68"/>
        <v>0.01</v>
      </c>
      <c r="BD138" s="1695"/>
      <c r="BE138" s="354">
        <f t="shared" si="126"/>
        <v>0</v>
      </c>
      <c r="BF138" s="1695"/>
      <c r="BG138" s="1695"/>
      <c r="BI138" s="268">
        <f t="shared" si="127"/>
        <v>0</v>
      </c>
      <c r="BJ138" s="268">
        <f t="shared" si="113"/>
        <v>0</v>
      </c>
      <c r="BK138" s="268">
        <v>0</v>
      </c>
      <c r="BL138" s="268"/>
      <c r="BM138" s="269">
        <f t="shared" si="79"/>
        <v>350000000</v>
      </c>
      <c r="BN138" s="272">
        <f t="shared" si="90"/>
        <v>0</v>
      </c>
      <c r="BO138" s="272">
        <f t="shared" si="90"/>
        <v>0.01</v>
      </c>
      <c r="BP138" s="1695"/>
      <c r="BQ138" s="354">
        <f t="shared" si="63"/>
        <v>-291666.66666666669</v>
      </c>
      <c r="BR138" s="1695"/>
      <c r="BS138" s="1695"/>
      <c r="BT138" s="79"/>
      <c r="BU138" s="267">
        <f t="shared" si="110"/>
        <v>0</v>
      </c>
      <c r="BV138" s="268">
        <f t="shared" si="58"/>
        <v>0</v>
      </c>
      <c r="BW138" s="268">
        <f t="shared" si="114"/>
        <v>0</v>
      </c>
      <c r="BX138" s="268">
        <f t="shared" si="111"/>
        <v>0</v>
      </c>
      <c r="BY138" s="268">
        <f>IF('Cashflow trend'!$L$13&lt;=$C138,-$AY138,0)</f>
        <v>0</v>
      </c>
      <c r="BZ138" s="269">
        <f t="shared" si="80"/>
        <v>0</v>
      </c>
      <c r="CA138" s="272">
        <f t="shared" si="71"/>
        <v>2.4844599999999998E-2</v>
      </c>
      <c r="CB138" s="272">
        <f t="shared" ref="CB138" si="150">CB137</f>
        <v>0.01</v>
      </c>
      <c r="CC138" s="1695"/>
      <c r="CD138" s="1478">
        <f t="shared" si="129"/>
        <v>0</v>
      </c>
      <c r="CE138" s="1695"/>
      <c r="CF138" s="1695"/>
    </row>
    <row r="139" spans="1:84" ht="15">
      <c r="A139" s="270" t="s">
        <v>519</v>
      </c>
      <c r="B139" s="266">
        <v>2026</v>
      </c>
      <c r="C139" s="1504">
        <v>46023</v>
      </c>
      <c r="D139" s="266"/>
      <c r="E139" s="265">
        <f t="shared" si="64"/>
        <v>0</v>
      </c>
      <c r="F139" s="267">
        <f t="shared" si="59"/>
        <v>130</v>
      </c>
      <c r="G139" s="268" t="e">
        <f t="shared" si="106"/>
        <v>#REF!</v>
      </c>
      <c r="H139" s="268" t="e">
        <f>-ROUNDDOWN(J138*#REF!,0)</f>
        <v>#REF!</v>
      </c>
      <c r="I139" s="268" t="e">
        <f>IF(ROUNDDOWN(J138,0)=0,0,-#REF!)</f>
        <v>#REF!</v>
      </c>
      <c r="J139" s="269" t="e">
        <f t="shared" ref="J139:J153" si="151">J138+I139</f>
        <v>#REF!</v>
      </c>
      <c r="K139" s="1695"/>
      <c r="L139" s="1695"/>
      <c r="M139" s="1695"/>
      <c r="O139" s="267">
        <f t="shared" si="60"/>
        <v>130</v>
      </c>
      <c r="P139" s="268" t="e">
        <f t="shared" si="147"/>
        <v>#REF!</v>
      </c>
      <c r="Q139" s="268" t="e">
        <f>-S138*#REF!</f>
        <v>#REF!</v>
      </c>
      <c r="R139" s="268" t="e">
        <f>IF(ROUNDDOWN(S138,0)=0,0,-#REF!)</f>
        <v>#REF!</v>
      </c>
      <c r="S139" s="269" t="e">
        <f t="shared" ref="S139:S153" si="152">S138+R139</f>
        <v>#REF!</v>
      </c>
      <c r="T139" s="1695"/>
      <c r="U139" s="1695"/>
      <c r="V139" s="1695"/>
      <c r="X139" s="267">
        <f t="shared" si="61"/>
        <v>130</v>
      </c>
      <c r="Y139" s="268" t="e">
        <f t="shared" si="148"/>
        <v>#REF!</v>
      </c>
      <c r="Z139" s="268" t="e">
        <f>-AB138*#REF!</f>
        <v>#REF!</v>
      </c>
      <c r="AA139" s="268" t="e">
        <f>IF(ROUNDDOWN(AB138,0)=0,0,-#REF!)</f>
        <v>#REF!</v>
      </c>
      <c r="AB139" s="269" t="e">
        <f t="shared" ref="AB139:AB153" si="153">AB138+AA139</f>
        <v>#REF!</v>
      </c>
      <c r="AC139" s="1695"/>
      <c r="AD139" s="1695"/>
      <c r="AE139" s="1695"/>
      <c r="AG139" s="1710"/>
      <c r="AH139" s="1710"/>
      <c r="AI139" s="1710"/>
      <c r="AK139" s="267">
        <f t="shared" si="62"/>
        <v>130</v>
      </c>
      <c r="AL139" s="268" t="e">
        <f t="shared" si="149"/>
        <v>#REF!</v>
      </c>
      <c r="AM139" s="268" t="e">
        <f>-AO138*#REF!</f>
        <v>#REF!</v>
      </c>
      <c r="AN139" s="268" t="e">
        <f>IF(ROUNDDOWN(AO138,0)=0,0,-#REF!)</f>
        <v>#REF!</v>
      </c>
      <c r="AO139" s="269" t="e">
        <f t="shared" si="131"/>
        <v>#REF!</v>
      </c>
      <c r="AP139" s="1695"/>
      <c r="AQ139" s="1695"/>
      <c r="AR139" s="1695"/>
      <c r="AS139" s="1695"/>
      <c r="AU139" s="267">
        <f t="shared" si="65"/>
        <v>124</v>
      </c>
      <c r="AV139" s="268">
        <f t="shared" si="77"/>
        <v>0</v>
      </c>
      <c r="AW139" s="268">
        <f t="shared" si="96"/>
        <v>0</v>
      </c>
      <c r="AX139" s="1490"/>
      <c r="AY139" s="268"/>
      <c r="AZ139" s="268"/>
      <c r="BA139" s="269">
        <f t="shared" si="66"/>
        <v>0</v>
      </c>
      <c r="BB139" s="272">
        <f t="shared" si="68"/>
        <v>2.4806000000000002E-2</v>
      </c>
      <c r="BC139" s="272">
        <f t="shared" si="68"/>
        <v>0.01</v>
      </c>
      <c r="BD139" s="1695"/>
      <c r="BE139" s="354">
        <f t="shared" si="126"/>
        <v>0</v>
      </c>
      <c r="BF139" s="1695"/>
      <c r="BG139" s="1695"/>
      <c r="BI139" s="268">
        <f t="shared" si="127"/>
        <v>0</v>
      </c>
      <c r="BJ139" s="268">
        <f t="shared" si="113"/>
        <v>0</v>
      </c>
      <c r="BK139" s="268">
        <v>0</v>
      </c>
      <c r="BL139" s="268"/>
      <c r="BM139" s="269">
        <f t="shared" si="79"/>
        <v>350000000</v>
      </c>
      <c r="BN139" s="272">
        <f t="shared" si="90"/>
        <v>0</v>
      </c>
      <c r="BO139" s="272">
        <f t="shared" si="90"/>
        <v>0.01</v>
      </c>
      <c r="BP139" s="1695"/>
      <c r="BQ139" s="354">
        <f t="shared" si="63"/>
        <v>-291666.66666666669</v>
      </c>
      <c r="BR139" s="1695"/>
      <c r="BS139" s="1695"/>
      <c r="BT139" s="79"/>
      <c r="BU139" s="267">
        <f t="shared" si="110"/>
        <v>0</v>
      </c>
      <c r="BV139" s="268">
        <f t="shared" ref="BV139:BV153" si="154">SUM(BW139:BX139)</f>
        <v>0</v>
      </c>
      <c r="BW139" s="268">
        <f t="shared" si="114"/>
        <v>0</v>
      </c>
      <c r="BX139" s="268">
        <f t="shared" si="111"/>
        <v>0</v>
      </c>
      <c r="BY139" s="268">
        <f>IF('Cashflow trend'!$L$13&lt;=$C139,-$AY139,0)</f>
        <v>0</v>
      </c>
      <c r="BZ139" s="269">
        <f t="shared" si="80"/>
        <v>0</v>
      </c>
      <c r="CA139" s="272">
        <f t="shared" si="71"/>
        <v>2.4844599999999998E-2</v>
      </c>
      <c r="CB139" s="272">
        <f t="shared" ref="CB139" si="155">CB138</f>
        <v>0.01</v>
      </c>
      <c r="CC139" s="1695"/>
      <c r="CD139" s="1478">
        <f t="shared" si="129"/>
        <v>0</v>
      </c>
      <c r="CE139" s="1695"/>
      <c r="CF139" s="1695"/>
    </row>
    <row r="140" spans="1:84" ht="15">
      <c r="A140" s="270" t="s">
        <v>520</v>
      </c>
      <c r="B140" s="266">
        <v>2026</v>
      </c>
      <c r="C140" s="1504">
        <v>46054</v>
      </c>
      <c r="D140" s="266"/>
      <c r="E140" s="265">
        <f t="shared" si="64"/>
        <v>0</v>
      </c>
      <c r="F140" s="267">
        <f t="shared" ref="F140:F153" si="156">F139+1</f>
        <v>131</v>
      </c>
      <c r="G140" s="268" t="e">
        <f t="shared" si="106"/>
        <v>#REF!</v>
      </c>
      <c r="H140" s="268" t="e">
        <f>-ROUNDDOWN(J139*#REF!,0)</f>
        <v>#REF!</v>
      </c>
      <c r="I140" s="268" t="e">
        <f>IF(ROUNDDOWN(J139,0)=0,0,-#REF!)</f>
        <v>#REF!</v>
      </c>
      <c r="J140" s="269" t="e">
        <f t="shared" si="151"/>
        <v>#REF!</v>
      </c>
      <c r="K140" s="1695"/>
      <c r="L140" s="1695"/>
      <c r="M140" s="1695"/>
      <c r="O140" s="267">
        <f t="shared" ref="O140:O153" si="157">O139+1</f>
        <v>131</v>
      </c>
      <c r="P140" s="268" t="e">
        <f t="shared" si="147"/>
        <v>#REF!</v>
      </c>
      <c r="Q140" s="268" t="e">
        <f>-S139*#REF!</f>
        <v>#REF!</v>
      </c>
      <c r="R140" s="268" t="e">
        <f>IF(ROUNDDOWN(S139,0)=0,0,-#REF!)</f>
        <v>#REF!</v>
      </c>
      <c r="S140" s="269" t="e">
        <f t="shared" si="152"/>
        <v>#REF!</v>
      </c>
      <c r="T140" s="1695"/>
      <c r="U140" s="1695"/>
      <c r="V140" s="1695"/>
      <c r="X140" s="267">
        <f t="shared" ref="X140:X153" si="158">X139+1</f>
        <v>131</v>
      </c>
      <c r="Y140" s="268" t="e">
        <f t="shared" si="148"/>
        <v>#REF!</v>
      </c>
      <c r="Z140" s="268" t="e">
        <f>-AB139*#REF!</f>
        <v>#REF!</v>
      </c>
      <c r="AA140" s="268" t="e">
        <f>IF(ROUNDDOWN(AB139,0)=0,0,-#REF!)</f>
        <v>#REF!</v>
      </c>
      <c r="AB140" s="269" t="e">
        <f t="shared" si="153"/>
        <v>#REF!</v>
      </c>
      <c r="AC140" s="1695"/>
      <c r="AD140" s="1695"/>
      <c r="AE140" s="1695"/>
      <c r="AG140" s="1710"/>
      <c r="AH140" s="1710"/>
      <c r="AI140" s="1710"/>
      <c r="AK140" s="267">
        <f t="shared" ref="AK140:AK153" si="159">AK139+1</f>
        <v>131</v>
      </c>
      <c r="AL140" s="268" t="e">
        <f t="shared" si="149"/>
        <v>#REF!</v>
      </c>
      <c r="AM140" s="268" t="e">
        <f>-AO139*#REF!</f>
        <v>#REF!</v>
      </c>
      <c r="AN140" s="268" t="e">
        <f>IF(ROUNDDOWN(AO139,0)=0,0,-#REF!)</f>
        <v>#REF!</v>
      </c>
      <c r="AO140" s="269" t="e">
        <f t="shared" si="131"/>
        <v>#REF!</v>
      </c>
      <c r="AP140" s="1695"/>
      <c r="AQ140" s="1695"/>
      <c r="AR140" s="1695"/>
      <c r="AS140" s="1695"/>
      <c r="AU140" s="267">
        <f t="shared" si="65"/>
        <v>125</v>
      </c>
      <c r="AV140" s="268">
        <f t="shared" si="77"/>
        <v>0</v>
      </c>
      <c r="AW140" s="268">
        <f t="shared" si="96"/>
        <v>0</v>
      </c>
      <c r="AX140" s="1490"/>
      <c r="AY140" s="268"/>
      <c r="AZ140" s="268"/>
      <c r="BA140" s="269">
        <f t="shared" si="66"/>
        <v>0</v>
      </c>
      <c r="BB140" s="272">
        <f t="shared" si="68"/>
        <v>2.4806000000000002E-2</v>
      </c>
      <c r="BC140" s="272">
        <f t="shared" si="68"/>
        <v>0.01</v>
      </c>
      <c r="BD140" s="1695"/>
      <c r="BE140" s="354">
        <f t="shared" si="126"/>
        <v>0</v>
      </c>
      <c r="BF140" s="1695"/>
      <c r="BG140" s="1695"/>
      <c r="BI140" s="268">
        <f t="shared" si="127"/>
        <v>0</v>
      </c>
      <c r="BJ140" s="268">
        <f t="shared" si="113"/>
        <v>0</v>
      </c>
      <c r="BK140" s="268">
        <v>0</v>
      </c>
      <c r="BL140" s="268"/>
      <c r="BM140" s="269">
        <f t="shared" si="79"/>
        <v>350000000</v>
      </c>
      <c r="BN140" s="272">
        <f t="shared" si="90"/>
        <v>0</v>
      </c>
      <c r="BO140" s="272">
        <f t="shared" si="90"/>
        <v>0.01</v>
      </c>
      <c r="BP140" s="1695"/>
      <c r="BQ140" s="354">
        <f t="shared" si="63"/>
        <v>-291666.66666666669</v>
      </c>
      <c r="BR140" s="1695"/>
      <c r="BS140" s="1695"/>
      <c r="BT140" s="79"/>
      <c r="BU140" s="267">
        <f t="shared" si="110"/>
        <v>0</v>
      </c>
      <c r="BV140" s="268">
        <f t="shared" si="154"/>
        <v>0</v>
      </c>
      <c r="BW140" s="268">
        <f t="shared" si="114"/>
        <v>0</v>
      </c>
      <c r="BX140" s="268">
        <f t="shared" si="111"/>
        <v>0</v>
      </c>
      <c r="BY140" s="268">
        <f>IF('Cashflow trend'!$L$13&lt;=$C140,-$AY140,0)</f>
        <v>0</v>
      </c>
      <c r="BZ140" s="269">
        <f t="shared" si="80"/>
        <v>0</v>
      </c>
      <c r="CA140" s="272">
        <f t="shared" si="71"/>
        <v>2.4844599999999998E-2</v>
      </c>
      <c r="CB140" s="272">
        <f t="shared" ref="CB140" si="160">CB139</f>
        <v>0.01</v>
      </c>
      <c r="CC140" s="1695"/>
      <c r="CD140" s="1478">
        <f t="shared" si="129"/>
        <v>0</v>
      </c>
      <c r="CE140" s="1695"/>
      <c r="CF140" s="1695"/>
    </row>
    <row r="141" spans="1:84" ht="15">
      <c r="A141" s="270" t="s">
        <v>521</v>
      </c>
      <c r="B141" s="266">
        <v>2026</v>
      </c>
      <c r="C141" s="1504">
        <v>46082</v>
      </c>
      <c r="D141" s="266"/>
      <c r="E141" s="265">
        <f t="shared" si="64"/>
        <v>0</v>
      </c>
      <c r="F141" s="267">
        <f t="shared" si="156"/>
        <v>132</v>
      </c>
      <c r="G141" s="268" t="e">
        <f t="shared" si="106"/>
        <v>#REF!</v>
      </c>
      <c r="H141" s="268" t="e">
        <f>-ROUNDDOWN(J140*#REF!,0)</f>
        <v>#REF!</v>
      </c>
      <c r="I141" s="268" t="e">
        <f>IF(ROUNDDOWN(J140,0)=0,0,-#REF!)</f>
        <v>#REF!</v>
      </c>
      <c r="J141" s="269" t="e">
        <f t="shared" si="151"/>
        <v>#REF!</v>
      </c>
      <c r="K141" s="1695"/>
      <c r="L141" s="1695"/>
      <c r="M141" s="1695"/>
      <c r="O141" s="267">
        <f t="shared" si="157"/>
        <v>132</v>
      </c>
      <c r="P141" s="268" t="e">
        <f t="shared" si="147"/>
        <v>#REF!</v>
      </c>
      <c r="Q141" s="268" t="e">
        <f>-S140*#REF!</f>
        <v>#REF!</v>
      </c>
      <c r="R141" s="268" t="e">
        <f>IF(ROUNDDOWN(S140,0)=0,0,-#REF!)</f>
        <v>#REF!</v>
      </c>
      <c r="S141" s="269" t="e">
        <f t="shared" si="152"/>
        <v>#REF!</v>
      </c>
      <c r="T141" s="1695"/>
      <c r="U141" s="1695"/>
      <c r="V141" s="1695"/>
      <c r="X141" s="267">
        <f t="shared" si="158"/>
        <v>132</v>
      </c>
      <c r="Y141" s="268" t="e">
        <f t="shared" si="148"/>
        <v>#REF!</v>
      </c>
      <c r="Z141" s="268" t="e">
        <f>-AB140*#REF!</f>
        <v>#REF!</v>
      </c>
      <c r="AA141" s="268" t="e">
        <f>IF(ROUNDDOWN(AB140,0)=0,0,-#REF!)</f>
        <v>#REF!</v>
      </c>
      <c r="AB141" s="269" t="e">
        <f t="shared" si="153"/>
        <v>#REF!</v>
      </c>
      <c r="AC141" s="1695"/>
      <c r="AD141" s="1695"/>
      <c r="AE141" s="1695"/>
      <c r="AG141" s="1710"/>
      <c r="AH141" s="1710"/>
      <c r="AI141" s="1710"/>
      <c r="AK141" s="267">
        <f t="shared" si="159"/>
        <v>132</v>
      </c>
      <c r="AL141" s="268" t="e">
        <f t="shared" si="149"/>
        <v>#REF!</v>
      </c>
      <c r="AM141" s="268" t="e">
        <f>-AO140*#REF!</f>
        <v>#REF!</v>
      </c>
      <c r="AN141" s="268" t="e">
        <f>IF(ROUNDDOWN(AO140,0)=0,0,-#REF!)</f>
        <v>#REF!</v>
      </c>
      <c r="AO141" s="269" t="e">
        <f t="shared" si="131"/>
        <v>#REF!</v>
      </c>
      <c r="AP141" s="1695"/>
      <c r="AQ141" s="1695"/>
      <c r="AR141" s="1695"/>
      <c r="AS141" s="1695"/>
      <c r="AU141" s="267">
        <f t="shared" si="65"/>
        <v>126</v>
      </c>
      <c r="AV141" s="268">
        <f t="shared" si="77"/>
        <v>0</v>
      </c>
      <c r="AW141" s="268">
        <f t="shared" si="96"/>
        <v>0</v>
      </c>
      <c r="AX141" s="1490"/>
      <c r="AY141" s="268"/>
      <c r="AZ141" s="268"/>
      <c r="BA141" s="269">
        <f t="shared" si="66"/>
        <v>0</v>
      </c>
      <c r="BB141" s="272">
        <f t="shared" si="68"/>
        <v>2.4806000000000002E-2</v>
      </c>
      <c r="BC141" s="272">
        <f t="shared" si="68"/>
        <v>0.01</v>
      </c>
      <c r="BD141" s="1695"/>
      <c r="BE141" s="354">
        <f t="shared" si="126"/>
        <v>0</v>
      </c>
      <c r="BF141" s="1695"/>
      <c r="BG141" s="1695"/>
      <c r="BH141" s="229">
        <f>'Cashflow trend'!L23</f>
        <v>-386258.17392671894</v>
      </c>
      <c r="BI141" s="268">
        <f t="shared" si="127"/>
        <v>0</v>
      </c>
      <c r="BJ141" s="268">
        <f t="shared" si="113"/>
        <v>0</v>
      </c>
      <c r="BK141" s="268">
        <v>0</v>
      </c>
      <c r="BL141" s="268"/>
      <c r="BM141" s="269">
        <f t="shared" si="79"/>
        <v>350000000</v>
      </c>
      <c r="BN141" s="272">
        <f t="shared" si="90"/>
        <v>0</v>
      </c>
      <c r="BO141" s="272">
        <f t="shared" si="90"/>
        <v>0.01</v>
      </c>
      <c r="BP141" s="1695"/>
      <c r="BQ141" s="354">
        <f t="shared" si="63"/>
        <v>-291666.66666666669</v>
      </c>
      <c r="BR141" s="1695"/>
      <c r="BS141" s="1695"/>
      <c r="BT141" s="79"/>
      <c r="BU141" s="267">
        <f t="shared" si="110"/>
        <v>0</v>
      </c>
      <c r="BV141" s="268">
        <f t="shared" si="154"/>
        <v>0</v>
      </c>
      <c r="BW141" s="268">
        <f t="shared" si="114"/>
        <v>0</v>
      </c>
      <c r="BX141" s="268">
        <f t="shared" si="111"/>
        <v>0</v>
      </c>
      <c r="BY141" s="268">
        <f>IF('Cashflow trend'!$L$13&lt;=$C141,-$AY141,0)</f>
        <v>0</v>
      </c>
      <c r="BZ141" s="269">
        <f t="shared" si="80"/>
        <v>0</v>
      </c>
      <c r="CA141" s="272">
        <f t="shared" si="71"/>
        <v>2.4844599999999998E-2</v>
      </c>
      <c r="CB141" s="272">
        <f t="shared" ref="CB141" si="161">CB140</f>
        <v>0.01</v>
      </c>
      <c r="CC141" s="1695"/>
      <c r="CD141" s="1478">
        <f t="shared" si="129"/>
        <v>0</v>
      </c>
      <c r="CE141" s="1695"/>
      <c r="CF141" s="1695"/>
    </row>
    <row r="142" spans="1:84" ht="15">
      <c r="A142" s="273" t="s">
        <v>510</v>
      </c>
      <c r="B142" s="274">
        <v>2026</v>
      </c>
      <c r="C142" s="1503">
        <v>46113</v>
      </c>
      <c r="D142" s="274"/>
      <c r="E142" s="275">
        <f t="shared" si="64"/>
        <v>0</v>
      </c>
      <c r="F142" s="276">
        <f t="shared" si="156"/>
        <v>133</v>
      </c>
      <c r="G142" s="277" t="e">
        <f t="shared" si="106"/>
        <v>#REF!</v>
      </c>
      <c r="H142" s="277" t="e">
        <f>-ROUNDDOWN(J141*#REF!,0)</f>
        <v>#REF!</v>
      </c>
      <c r="I142" s="277" t="e">
        <f>IF(ROUNDDOWN(J141,0)=0,0,-#REF!)</f>
        <v>#REF!</v>
      </c>
      <c r="J142" s="278" t="e">
        <f t="shared" si="151"/>
        <v>#REF!</v>
      </c>
      <c r="K142" s="1694" t="s">
        <v>16</v>
      </c>
      <c r="L142" s="1694" t="e">
        <f>SUM(H142:H153)</f>
        <v>#REF!</v>
      </c>
      <c r="M142" s="1694" t="e">
        <f>SUM(I142:I153)</f>
        <v>#REF!</v>
      </c>
      <c r="O142" s="276">
        <f t="shared" si="157"/>
        <v>133</v>
      </c>
      <c r="P142" s="277" t="e">
        <f t="shared" si="147"/>
        <v>#REF!</v>
      </c>
      <c r="Q142" s="277" t="e">
        <f>-S141*#REF!</f>
        <v>#REF!</v>
      </c>
      <c r="R142" s="277" t="e">
        <f>IF(ROUNDDOWN(S141,0)=0,0,-#REF!)</f>
        <v>#REF!</v>
      </c>
      <c r="S142" s="278" t="e">
        <f t="shared" si="152"/>
        <v>#REF!</v>
      </c>
      <c r="T142" s="1694" t="s">
        <v>16</v>
      </c>
      <c r="U142" s="1694" t="e">
        <f>SUM(Q142:Q153)</f>
        <v>#REF!</v>
      </c>
      <c r="V142" s="1694" t="e">
        <f>SUM(R142:R153)</f>
        <v>#REF!</v>
      </c>
      <c r="X142" s="276">
        <f t="shared" si="158"/>
        <v>133</v>
      </c>
      <c r="Y142" s="277" t="e">
        <f t="shared" si="148"/>
        <v>#REF!</v>
      </c>
      <c r="Z142" s="277" t="e">
        <f>-AB141*#REF!</f>
        <v>#REF!</v>
      </c>
      <c r="AA142" s="277" t="e">
        <f>IF(ROUNDDOWN(AB141,0)=0,0,-#REF!)</f>
        <v>#REF!</v>
      </c>
      <c r="AB142" s="278" t="e">
        <f t="shared" si="153"/>
        <v>#REF!</v>
      </c>
      <c r="AC142" s="1694" t="s">
        <v>16</v>
      </c>
      <c r="AD142" s="1694" t="e">
        <f>SUM(Z142:Z153)</f>
        <v>#REF!</v>
      </c>
      <c r="AE142" s="1694" t="e">
        <f>SUM(AA142:AA153)</f>
        <v>#REF!</v>
      </c>
      <c r="AG142" s="1709" t="s">
        <v>16</v>
      </c>
      <c r="AH142" s="1709" t="e">
        <f>L142+U142+AD142</f>
        <v>#REF!</v>
      </c>
      <c r="AI142" s="1709" t="e">
        <f>M142+V142+AE142</f>
        <v>#REF!</v>
      </c>
      <c r="AK142" s="276">
        <f t="shared" si="159"/>
        <v>133</v>
      </c>
      <c r="AL142" s="277" t="e">
        <f t="shared" si="149"/>
        <v>#REF!</v>
      </c>
      <c r="AM142" s="277" t="e">
        <f>-AO141*#REF!</f>
        <v>#REF!</v>
      </c>
      <c r="AN142" s="277" t="e">
        <f>IF(ROUNDDOWN(AO141,0)=0,0,-#REF!)</f>
        <v>#REF!</v>
      </c>
      <c r="AO142" s="278" t="e">
        <f t="shared" si="131"/>
        <v>#REF!</v>
      </c>
      <c r="AP142" s="1694" t="s">
        <v>16</v>
      </c>
      <c r="AQ142" s="1694" t="e">
        <f>SUM(AM142:AM153)</f>
        <v>#REF!</v>
      </c>
      <c r="AR142" s="1694" t="e">
        <f>SUM(AN142:AN153)</f>
        <v>#REF!</v>
      </c>
      <c r="AS142" s="1694"/>
      <c r="AU142" s="276">
        <f t="shared" si="65"/>
        <v>127</v>
      </c>
      <c r="AV142" s="277">
        <f t="shared" si="77"/>
        <v>0</v>
      </c>
      <c r="AW142" s="277">
        <f t="shared" si="96"/>
        <v>0</v>
      </c>
      <c r="AX142" s="1491"/>
      <c r="AY142" s="277"/>
      <c r="AZ142" s="277">
        <v>0</v>
      </c>
      <c r="BA142" s="278">
        <f t="shared" si="66"/>
        <v>0</v>
      </c>
      <c r="BB142" s="279">
        <f t="shared" si="68"/>
        <v>2.4806000000000002E-2</v>
      </c>
      <c r="BC142" s="279">
        <f t="shared" si="68"/>
        <v>0.01</v>
      </c>
      <c r="BD142" s="1694" t="s">
        <v>16</v>
      </c>
      <c r="BE142" s="355">
        <f t="shared" si="126"/>
        <v>0</v>
      </c>
      <c r="BF142" s="1694">
        <f>SUM(AW142:AW153)</f>
        <v>0</v>
      </c>
      <c r="BG142" s="1694">
        <f>SUM(AY142:AZ153)</f>
        <v>0</v>
      </c>
      <c r="BI142" s="277">
        <f t="shared" si="127"/>
        <v>0</v>
      </c>
      <c r="BJ142" s="277">
        <f t="shared" si="113"/>
        <v>0</v>
      </c>
      <c r="BK142" s="277">
        <v>0</v>
      </c>
      <c r="BL142" s="277">
        <v>0</v>
      </c>
      <c r="BM142" s="278">
        <f t="shared" si="79"/>
        <v>350000000</v>
      </c>
      <c r="BN142" s="279">
        <f t="shared" si="90"/>
        <v>0</v>
      </c>
      <c r="BO142" s="279">
        <f t="shared" si="90"/>
        <v>0.01</v>
      </c>
      <c r="BP142" s="1694" t="s">
        <v>16</v>
      </c>
      <c r="BQ142" s="355">
        <f t="shared" ref="BQ142:BQ177" si="162">-BM141*BO142/12</f>
        <v>-291666.66666666669</v>
      </c>
      <c r="BR142" s="1694">
        <f>SUM(BJ142:BJ153)</f>
        <v>0</v>
      </c>
      <c r="BS142" s="1694">
        <f>SUM(BK142:BL153)</f>
        <v>0</v>
      </c>
      <c r="BT142" s="79"/>
      <c r="BU142" s="276">
        <f t="shared" si="110"/>
        <v>0</v>
      </c>
      <c r="BV142" s="277">
        <f t="shared" si="154"/>
        <v>0</v>
      </c>
      <c r="BW142" s="277">
        <f t="shared" si="114"/>
        <v>0</v>
      </c>
      <c r="BX142" s="277">
        <f t="shared" si="111"/>
        <v>0</v>
      </c>
      <c r="BY142" s="277">
        <f>IF('Cashflow trend'!$L$13&lt;=$C142,-$AY142,0)</f>
        <v>0</v>
      </c>
      <c r="BZ142" s="278">
        <f t="shared" si="80"/>
        <v>0</v>
      </c>
      <c r="CA142" s="279">
        <f t="shared" si="71"/>
        <v>2.4844599999999998E-2</v>
      </c>
      <c r="CB142" s="279">
        <f t="shared" ref="CB142" si="163">CB141</f>
        <v>0.01</v>
      </c>
      <c r="CC142" s="1694" t="s">
        <v>16</v>
      </c>
      <c r="CD142" s="1476">
        <f t="shared" si="129"/>
        <v>0</v>
      </c>
      <c r="CE142" s="1694">
        <f>SUM(BW142:BW153)</f>
        <v>0</v>
      </c>
      <c r="CF142" s="1694">
        <f>SUM(BX142:BY153)</f>
        <v>0</v>
      </c>
    </row>
    <row r="143" spans="1:84" ht="15">
      <c r="A143" s="273" t="s">
        <v>511</v>
      </c>
      <c r="B143" s="274">
        <v>2026</v>
      </c>
      <c r="C143" s="1503">
        <v>46143</v>
      </c>
      <c r="D143" s="274"/>
      <c r="E143" s="275">
        <f t="shared" si="64"/>
        <v>0</v>
      </c>
      <c r="F143" s="276">
        <f t="shared" si="156"/>
        <v>134</v>
      </c>
      <c r="G143" s="277" t="e">
        <f t="shared" si="106"/>
        <v>#REF!</v>
      </c>
      <c r="H143" s="277" t="e">
        <f>-ROUNDDOWN(J142*#REF!,0)</f>
        <v>#REF!</v>
      </c>
      <c r="I143" s="277" t="e">
        <f>IF(ROUNDDOWN(J142,0)=0,0,-#REF!)</f>
        <v>#REF!</v>
      </c>
      <c r="J143" s="278" t="e">
        <f t="shared" si="151"/>
        <v>#REF!</v>
      </c>
      <c r="K143" s="1694"/>
      <c r="L143" s="1694"/>
      <c r="M143" s="1694"/>
      <c r="O143" s="276">
        <f t="shared" si="157"/>
        <v>134</v>
      </c>
      <c r="P143" s="277" t="e">
        <f t="shared" si="147"/>
        <v>#REF!</v>
      </c>
      <c r="Q143" s="277" t="e">
        <f>-S142*#REF!</f>
        <v>#REF!</v>
      </c>
      <c r="R143" s="277" t="e">
        <f>IF(ROUNDDOWN(S142,0)=0,0,-#REF!)</f>
        <v>#REF!</v>
      </c>
      <c r="S143" s="278" t="e">
        <f t="shared" si="152"/>
        <v>#REF!</v>
      </c>
      <c r="T143" s="1694"/>
      <c r="U143" s="1694"/>
      <c r="V143" s="1694"/>
      <c r="X143" s="276">
        <f t="shared" si="158"/>
        <v>134</v>
      </c>
      <c r="Y143" s="277" t="e">
        <f t="shared" si="148"/>
        <v>#REF!</v>
      </c>
      <c r="Z143" s="277" t="e">
        <f>-AB142*#REF!</f>
        <v>#REF!</v>
      </c>
      <c r="AA143" s="277" t="e">
        <f>IF(ROUNDDOWN(AB142,0)=0,0,-#REF!)</f>
        <v>#REF!</v>
      </c>
      <c r="AB143" s="278" t="e">
        <f t="shared" si="153"/>
        <v>#REF!</v>
      </c>
      <c r="AC143" s="1694"/>
      <c r="AD143" s="1694"/>
      <c r="AE143" s="1694"/>
      <c r="AG143" s="1709"/>
      <c r="AH143" s="1709"/>
      <c r="AI143" s="1709"/>
      <c r="AK143" s="276">
        <f t="shared" si="159"/>
        <v>134</v>
      </c>
      <c r="AL143" s="277" t="e">
        <f t="shared" si="149"/>
        <v>#REF!</v>
      </c>
      <c r="AM143" s="277" t="e">
        <f>-AO142*#REF!</f>
        <v>#REF!</v>
      </c>
      <c r="AN143" s="277" t="e">
        <f>IF(ROUNDDOWN(AO142,0)=0,0,-#REF!)</f>
        <v>#REF!</v>
      </c>
      <c r="AO143" s="278" t="e">
        <f t="shared" si="131"/>
        <v>#REF!</v>
      </c>
      <c r="AP143" s="1694"/>
      <c r="AQ143" s="1694"/>
      <c r="AR143" s="1694"/>
      <c r="AS143" s="1694"/>
      <c r="AU143" s="276">
        <f t="shared" si="65"/>
        <v>128</v>
      </c>
      <c r="AV143" s="277">
        <f t="shared" si="77"/>
        <v>0</v>
      </c>
      <c r="AW143" s="277">
        <f t="shared" si="96"/>
        <v>0</v>
      </c>
      <c r="AX143" s="1491"/>
      <c r="AY143" s="277"/>
      <c r="AZ143" s="277"/>
      <c r="BA143" s="278">
        <f t="shared" si="66"/>
        <v>0</v>
      </c>
      <c r="BB143" s="279">
        <f t="shared" si="68"/>
        <v>2.4806000000000002E-2</v>
      </c>
      <c r="BC143" s="279">
        <f t="shared" si="68"/>
        <v>0.01</v>
      </c>
      <c r="BD143" s="1694"/>
      <c r="BE143" s="355">
        <f t="shared" si="126"/>
        <v>0</v>
      </c>
      <c r="BF143" s="1694"/>
      <c r="BG143" s="1694"/>
      <c r="BI143" s="277">
        <f t="shared" si="127"/>
        <v>0</v>
      </c>
      <c r="BJ143" s="277">
        <f t="shared" si="113"/>
        <v>0</v>
      </c>
      <c r="BK143" s="277">
        <v>0</v>
      </c>
      <c r="BL143" s="277"/>
      <c r="BM143" s="278">
        <f t="shared" si="79"/>
        <v>350000000</v>
      </c>
      <c r="BN143" s="279">
        <f t="shared" si="90"/>
        <v>0</v>
      </c>
      <c r="BO143" s="279">
        <f t="shared" si="90"/>
        <v>0.01</v>
      </c>
      <c r="BP143" s="1694"/>
      <c r="BQ143" s="355">
        <f t="shared" si="162"/>
        <v>-291666.66666666669</v>
      </c>
      <c r="BR143" s="1694"/>
      <c r="BS143" s="1694"/>
      <c r="BT143" s="79"/>
      <c r="BU143" s="276">
        <f t="shared" si="110"/>
        <v>0</v>
      </c>
      <c r="BV143" s="277">
        <f t="shared" si="154"/>
        <v>0</v>
      </c>
      <c r="BW143" s="277">
        <f t="shared" si="114"/>
        <v>0</v>
      </c>
      <c r="BX143" s="277">
        <f t="shared" si="111"/>
        <v>0</v>
      </c>
      <c r="BY143" s="277">
        <f>IF('Cashflow trend'!$L$13&lt;=$C143,-$AY143,0)</f>
        <v>0</v>
      </c>
      <c r="BZ143" s="278">
        <f t="shared" si="80"/>
        <v>0</v>
      </c>
      <c r="CA143" s="279">
        <f t="shared" si="71"/>
        <v>2.4844599999999998E-2</v>
      </c>
      <c r="CB143" s="279">
        <f t="shared" ref="CB143" si="164">CB142</f>
        <v>0.01</v>
      </c>
      <c r="CC143" s="1694"/>
      <c r="CD143" s="1476">
        <f t="shared" si="129"/>
        <v>0</v>
      </c>
      <c r="CE143" s="1694"/>
      <c r="CF143" s="1694"/>
    </row>
    <row r="144" spans="1:84" ht="15">
      <c r="A144" s="273" t="s">
        <v>512</v>
      </c>
      <c r="B144" s="274">
        <v>2026</v>
      </c>
      <c r="C144" s="1503">
        <v>46174</v>
      </c>
      <c r="D144" s="274"/>
      <c r="E144" s="275">
        <f t="shared" si="64"/>
        <v>0</v>
      </c>
      <c r="F144" s="276">
        <f t="shared" si="156"/>
        <v>135</v>
      </c>
      <c r="G144" s="277" t="e">
        <f t="shared" si="106"/>
        <v>#REF!</v>
      </c>
      <c r="H144" s="277" t="e">
        <f>-ROUNDDOWN(J143*#REF!,0)</f>
        <v>#REF!</v>
      </c>
      <c r="I144" s="277" t="e">
        <f>IF(ROUNDDOWN(J143,0)=0,0,-#REF!)</f>
        <v>#REF!</v>
      </c>
      <c r="J144" s="278" t="e">
        <f t="shared" si="151"/>
        <v>#REF!</v>
      </c>
      <c r="K144" s="1694"/>
      <c r="L144" s="1694"/>
      <c r="M144" s="1694"/>
      <c r="O144" s="276">
        <f t="shared" si="157"/>
        <v>135</v>
      </c>
      <c r="P144" s="277" t="e">
        <f t="shared" si="147"/>
        <v>#REF!</v>
      </c>
      <c r="Q144" s="277" t="e">
        <f>-S143*#REF!</f>
        <v>#REF!</v>
      </c>
      <c r="R144" s="277" t="e">
        <f>IF(ROUNDDOWN(S143,0)=0,0,-#REF!)</f>
        <v>#REF!</v>
      </c>
      <c r="S144" s="278" t="e">
        <f t="shared" si="152"/>
        <v>#REF!</v>
      </c>
      <c r="T144" s="1694"/>
      <c r="U144" s="1694"/>
      <c r="V144" s="1694"/>
      <c r="X144" s="276">
        <f t="shared" si="158"/>
        <v>135</v>
      </c>
      <c r="Y144" s="277" t="e">
        <f t="shared" si="148"/>
        <v>#REF!</v>
      </c>
      <c r="Z144" s="277" t="e">
        <f>-AB143*#REF!</f>
        <v>#REF!</v>
      </c>
      <c r="AA144" s="277" t="e">
        <f>IF(ROUNDDOWN(AB143,0)=0,0,-#REF!)</f>
        <v>#REF!</v>
      </c>
      <c r="AB144" s="278" t="e">
        <f t="shared" si="153"/>
        <v>#REF!</v>
      </c>
      <c r="AC144" s="1694"/>
      <c r="AD144" s="1694"/>
      <c r="AE144" s="1694"/>
      <c r="AG144" s="1709"/>
      <c r="AH144" s="1709"/>
      <c r="AI144" s="1709"/>
      <c r="AK144" s="276">
        <f t="shared" si="159"/>
        <v>135</v>
      </c>
      <c r="AL144" s="277" t="e">
        <f t="shared" si="149"/>
        <v>#REF!</v>
      </c>
      <c r="AM144" s="277" t="e">
        <f>-AO143*#REF!</f>
        <v>#REF!</v>
      </c>
      <c r="AN144" s="277" t="e">
        <f>IF(ROUNDDOWN(AO143,0)=0,0,-#REF!)</f>
        <v>#REF!</v>
      </c>
      <c r="AO144" s="278" t="e">
        <f t="shared" si="131"/>
        <v>#REF!</v>
      </c>
      <c r="AP144" s="1694"/>
      <c r="AQ144" s="1694"/>
      <c r="AR144" s="1694"/>
      <c r="AS144" s="1694"/>
      <c r="AU144" s="276">
        <f t="shared" si="65"/>
        <v>129</v>
      </c>
      <c r="AV144" s="277">
        <f t="shared" si="77"/>
        <v>0</v>
      </c>
      <c r="AW144" s="277">
        <f t="shared" si="96"/>
        <v>0</v>
      </c>
      <c r="AX144" s="1491"/>
      <c r="AY144" s="277"/>
      <c r="AZ144" s="277"/>
      <c r="BA144" s="278">
        <f t="shared" si="66"/>
        <v>0</v>
      </c>
      <c r="BB144" s="279">
        <f t="shared" si="68"/>
        <v>2.4806000000000002E-2</v>
      </c>
      <c r="BC144" s="279">
        <f t="shared" si="68"/>
        <v>0.01</v>
      </c>
      <c r="BD144" s="1694"/>
      <c r="BE144" s="355">
        <f t="shared" si="126"/>
        <v>0</v>
      </c>
      <c r="BF144" s="1694"/>
      <c r="BG144" s="1694"/>
      <c r="BI144" s="277">
        <f t="shared" si="127"/>
        <v>0</v>
      </c>
      <c r="BJ144" s="277">
        <f t="shared" si="113"/>
        <v>0</v>
      </c>
      <c r="BK144" s="277">
        <v>0</v>
      </c>
      <c r="BL144" s="277"/>
      <c r="BM144" s="278">
        <f t="shared" si="79"/>
        <v>350000000</v>
      </c>
      <c r="BN144" s="279">
        <f t="shared" si="90"/>
        <v>0</v>
      </c>
      <c r="BO144" s="279">
        <f t="shared" si="90"/>
        <v>0.01</v>
      </c>
      <c r="BP144" s="1694"/>
      <c r="BQ144" s="355">
        <f t="shared" si="162"/>
        <v>-291666.66666666669</v>
      </c>
      <c r="BR144" s="1694"/>
      <c r="BS144" s="1694"/>
      <c r="BT144" s="79"/>
      <c r="BU144" s="276">
        <f t="shared" si="110"/>
        <v>0</v>
      </c>
      <c r="BV144" s="277">
        <f t="shared" si="154"/>
        <v>0</v>
      </c>
      <c r="BW144" s="277">
        <f t="shared" si="114"/>
        <v>0</v>
      </c>
      <c r="BX144" s="277">
        <f t="shared" si="111"/>
        <v>0</v>
      </c>
      <c r="BY144" s="277">
        <f>IF('Cashflow trend'!$L$13&lt;=$C144,-$AY144,0)</f>
        <v>0</v>
      </c>
      <c r="BZ144" s="278">
        <f t="shared" si="80"/>
        <v>0</v>
      </c>
      <c r="CA144" s="279">
        <f t="shared" si="71"/>
        <v>2.4844599999999998E-2</v>
      </c>
      <c r="CB144" s="279">
        <f t="shared" ref="CB144" si="165">CB143</f>
        <v>0.01</v>
      </c>
      <c r="CC144" s="1694"/>
      <c r="CD144" s="1476">
        <f t="shared" si="129"/>
        <v>0</v>
      </c>
      <c r="CE144" s="1694"/>
      <c r="CF144" s="1694"/>
    </row>
    <row r="145" spans="1:84" ht="15">
      <c r="A145" s="273" t="s">
        <v>513</v>
      </c>
      <c r="B145" s="274">
        <v>2026</v>
      </c>
      <c r="C145" s="1503">
        <v>46204</v>
      </c>
      <c r="D145" s="274"/>
      <c r="E145" s="275">
        <f t="shared" ref="E145:E152" si="166">BA145</f>
        <v>0</v>
      </c>
      <c r="F145" s="276">
        <f t="shared" si="156"/>
        <v>136</v>
      </c>
      <c r="G145" s="277" t="e">
        <f t="shared" si="106"/>
        <v>#REF!</v>
      </c>
      <c r="H145" s="277" t="e">
        <f>-ROUNDDOWN(J144*#REF!,0)</f>
        <v>#REF!</v>
      </c>
      <c r="I145" s="277" t="e">
        <f>IF(ROUNDDOWN(J144,0)=0,0,-#REF!)</f>
        <v>#REF!</v>
      </c>
      <c r="J145" s="278" t="e">
        <f t="shared" si="151"/>
        <v>#REF!</v>
      </c>
      <c r="K145" s="1694"/>
      <c r="L145" s="1694"/>
      <c r="M145" s="1694"/>
      <c r="O145" s="276">
        <f t="shared" si="157"/>
        <v>136</v>
      </c>
      <c r="P145" s="277" t="e">
        <f t="shared" si="147"/>
        <v>#REF!</v>
      </c>
      <c r="Q145" s="277" t="e">
        <f>-S144*#REF!</f>
        <v>#REF!</v>
      </c>
      <c r="R145" s="277" t="e">
        <f>IF(ROUNDDOWN(S144,0)=0,0,-#REF!)</f>
        <v>#REF!</v>
      </c>
      <c r="S145" s="278" t="e">
        <f t="shared" si="152"/>
        <v>#REF!</v>
      </c>
      <c r="T145" s="1694"/>
      <c r="U145" s="1694"/>
      <c r="V145" s="1694"/>
      <c r="X145" s="276">
        <f t="shared" si="158"/>
        <v>136</v>
      </c>
      <c r="Y145" s="277" t="e">
        <f t="shared" si="148"/>
        <v>#REF!</v>
      </c>
      <c r="Z145" s="277" t="e">
        <f>-AB144*#REF!</f>
        <v>#REF!</v>
      </c>
      <c r="AA145" s="277" t="e">
        <f>IF(ROUNDDOWN(AB144,0)=0,0,-#REF!)</f>
        <v>#REF!</v>
      </c>
      <c r="AB145" s="278" t="e">
        <f t="shared" si="153"/>
        <v>#REF!</v>
      </c>
      <c r="AC145" s="1694"/>
      <c r="AD145" s="1694"/>
      <c r="AE145" s="1694"/>
      <c r="AG145" s="1709"/>
      <c r="AH145" s="1709"/>
      <c r="AI145" s="1709"/>
      <c r="AK145" s="276">
        <f t="shared" si="159"/>
        <v>136</v>
      </c>
      <c r="AL145" s="277" t="e">
        <f t="shared" si="149"/>
        <v>#REF!</v>
      </c>
      <c r="AM145" s="277" t="e">
        <f>-AO144*#REF!</f>
        <v>#REF!</v>
      </c>
      <c r="AN145" s="277" t="e">
        <f>IF(ROUNDDOWN(AO144,0)=0,0,-#REF!)</f>
        <v>#REF!</v>
      </c>
      <c r="AO145" s="278" t="e">
        <f t="shared" si="131"/>
        <v>#REF!</v>
      </c>
      <c r="AP145" s="1694"/>
      <c r="AQ145" s="1694"/>
      <c r="AR145" s="1694"/>
      <c r="AS145" s="1694"/>
      <c r="AU145" s="276">
        <f t="shared" ref="AU145:AU153" si="167">AU144+1</f>
        <v>130</v>
      </c>
      <c r="AV145" s="277">
        <f t="shared" si="77"/>
        <v>0</v>
      </c>
      <c r="AW145" s="277">
        <f t="shared" si="96"/>
        <v>0</v>
      </c>
      <c r="AX145" s="1491"/>
      <c r="AY145" s="277"/>
      <c r="AZ145" s="277"/>
      <c r="BA145" s="278">
        <f t="shared" ref="BA145:BA153" si="168">SUM(AY145:AZ145)+BA144</f>
        <v>0</v>
      </c>
      <c r="BB145" s="279">
        <f t="shared" si="68"/>
        <v>2.4806000000000002E-2</v>
      </c>
      <c r="BC145" s="279">
        <f t="shared" si="68"/>
        <v>0.01</v>
      </c>
      <c r="BD145" s="1694"/>
      <c r="BE145" s="355">
        <f t="shared" si="126"/>
        <v>0</v>
      </c>
      <c r="BF145" s="1694"/>
      <c r="BG145" s="1694"/>
      <c r="BI145" s="277">
        <f t="shared" si="127"/>
        <v>0</v>
      </c>
      <c r="BJ145" s="277">
        <f t="shared" si="113"/>
        <v>0</v>
      </c>
      <c r="BK145" s="277">
        <v>0</v>
      </c>
      <c r="BL145" s="277"/>
      <c r="BM145" s="278">
        <f t="shared" si="79"/>
        <v>350000000</v>
      </c>
      <c r="BN145" s="279">
        <f t="shared" si="90"/>
        <v>0</v>
      </c>
      <c r="BO145" s="279">
        <f t="shared" si="90"/>
        <v>0.01</v>
      </c>
      <c r="BP145" s="1694"/>
      <c r="BQ145" s="355">
        <f t="shared" si="162"/>
        <v>-291666.66666666669</v>
      </c>
      <c r="BR145" s="1694"/>
      <c r="BS145" s="1694"/>
      <c r="BT145" s="79"/>
      <c r="BU145" s="276">
        <f t="shared" si="110"/>
        <v>0</v>
      </c>
      <c r="BV145" s="277">
        <f t="shared" si="154"/>
        <v>0</v>
      </c>
      <c r="BW145" s="277">
        <f t="shared" si="114"/>
        <v>0</v>
      </c>
      <c r="BX145" s="277">
        <f t="shared" si="111"/>
        <v>0</v>
      </c>
      <c r="BY145" s="277">
        <f>IF('Cashflow trend'!$L$13&lt;=$C145,-$AY145,0)</f>
        <v>0</v>
      </c>
      <c r="BZ145" s="278">
        <f t="shared" si="80"/>
        <v>0</v>
      </c>
      <c r="CA145" s="279">
        <f t="shared" si="71"/>
        <v>2.4844599999999998E-2</v>
      </c>
      <c r="CB145" s="279">
        <f t="shared" ref="CB145" si="169">CB144</f>
        <v>0.01</v>
      </c>
      <c r="CC145" s="1694"/>
      <c r="CD145" s="1476">
        <f t="shared" si="129"/>
        <v>0</v>
      </c>
      <c r="CE145" s="1694"/>
      <c r="CF145" s="1694"/>
    </row>
    <row r="146" spans="1:84" ht="15">
      <c r="A146" s="273" t="s">
        <v>514</v>
      </c>
      <c r="B146" s="274">
        <v>2026</v>
      </c>
      <c r="C146" s="1503">
        <v>46235</v>
      </c>
      <c r="D146" s="274"/>
      <c r="E146" s="275">
        <f t="shared" si="166"/>
        <v>0</v>
      </c>
      <c r="F146" s="276">
        <f t="shared" si="156"/>
        <v>137</v>
      </c>
      <c r="G146" s="277" t="e">
        <f t="shared" si="106"/>
        <v>#REF!</v>
      </c>
      <c r="H146" s="277" t="e">
        <f>-ROUNDDOWN(J145*#REF!,0)</f>
        <v>#REF!</v>
      </c>
      <c r="I146" s="277" t="e">
        <f>IF(ROUNDDOWN(J145,0)=0,0,-#REF!)</f>
        <v>#REF!</v>
      </c>
      <c r="J146" s="278" t="e">
        <f t="shared" si="151"/>
        <v>#REF!</v>
      </c>
      <c r="K146" s="1694"/>
      <c r="L146" s="1694"/>
      <c r="M146" s="1694"/>
      <c r="O146" s="276">
        <f t="shared" si="157"/>
        <v>137</v>
      </c>
      <c r="P146" s="277" t="e">
        <f t="shared" si="147"/>
        <v>#REF!</v>
      </c>
      <c r="Q146" s="277" t="e">
        <f>-S145*#REF!</f>
        <v>#REF!</v>
      </c>
      <c r="R146" s="277" t="e">
        <f>IF(ROUNDDOWN(S145,0)=0,0,-#REF!)</f>
        <v>#REF!</v>
      </c>
      <c r="S146" s="278" t="e">
        <f t="shared" si="152"/>
        <v>#REF!</v>
      </c>
      <c r="T146" s="1694"/>
      <c r="U146" s="1694"/>
      <c r="V146" s="1694"/>
      <c r="X146" s="276">
        <f t="shared" si="158"/>
        <v>137</v>
      </c>
      <c r="Y146" s="277" t="e">
        <f t="shared" si="148"/>
        <v>#REF!</v>
      </c>
      <c r="Z146" s="277" t="e">
        <f>-AB145*#REF!</f>
        <v>#REF!</v>
      </c>
      <c r="AA146" s="277" t="e">
        <f>IF(ROUNDDOWN(AB145,0)=0,0,-#REF!)</f>
        <v>#REF!</v>
      </c>
      <c r="AB146" s="278" t="e">
        <f t="shared" si="153"/>
        <v>#REF!</v>
      </c>
      <c r="AC146" s="1694"/>
      <c r="AD146" s="1694"/>
      <c r="AE146" s="1694"/>
      <c r="AG146" s="1709"/>
      <c r="AH146" s="1709"/>
      <c r="AI146" s="1709"/>
      <c r="AK146" s="276">
        <f t="shared" si="159"/>
        <v>137</v>
      </c>
      <c r="AL146" s="277" t="e">
        <f t="shared" si="149"/>
        <v>#REF!</v>
      </c>
      <c r="AM146" s="277" t="e">
        <f>-AO145*#REF!</f>
        <v>#REF!</v>
      </c>
      <c r="AN146" s="277" t="e">
        <f>IF(ROUNDDOWN(AO145,0)=0,0,-#REF!)</f>
        <v>#REF!</v>
      </c>
      <c r="AO146" s="278" t="e">
        <f t="shared" si="131"/>
        <v>#REF!</v>
      </c>
      <c r="AP146" s="1694"/>
      <c r="AQ146" s="1694"/>
      <c r="AR146" s="1694"/>
      <c r="AS146" s="1694"/>
      <c r="AU146" s="276">
        <f t="shared" si="167"/>
        <v>131</v>
      </c>
      <c r="AV146" s="277">
        <f t="shared" si="77"/>
        <v>0</v>
      </c>
      <c r="AW146" s="277">
        <f t="shared" si="96"/>
        <v>0</v>
      </c>
      <c r="AX146" s="1491"/>
      <c r="AY146" s="277"/>
      <c r="AZ146" s="277"/>
      <c r="BA146" s="278">
        <f t="shared" si="168"/>
        <v>0</v>
      </c>
      <c r="BB146" s="279">
        <f t="shared" ref="BB146:BC153" si="170">BB145</f>
        <v>2.4806000000000002E-2</v>
      </c>
      <c r="BC146" s="279">
        <f t="shared" si="170"/>
        <v>0.01</v>
      </c>
      <c r="BD146" s="1694"/>
      <c r="BE146" s="355">
        <f t="shared" si="126"/>
        <v>0</v>
      </c>
      <c r="BF146" s="1694"/>
      <c r="BG146" s="1694"/>
      <c r="BI146" s="277">
        <f t="shared" si="127"/>
        <v>0</v>
      </c>
      <c r="BJ146" s="277">
        <f t="shared" si="113"/>
        <v>0</v>
      </c>
      <c r="BK146" s="277">
        <v>0</v>
      </c>
      <c r="BL146" s="277"/>
      <c r="BM146" s="278">
        <f t="shared" si="79"/>
        <v>350000000</v>
      </c>
      <c r="BN146" s="279">
        <f t="shared" ref="BN146:BO177" si="171">BN145</f>
        <v>0</v>
      </c>
      <c r="BO146" s="279">
        <f t="shared" si="171"/>
        <v>0.01</v>
      </c>
      <c r="BP146" s="1694"/>
      <c r="BQ146" s="355">
        <f t="shared" si="162"/>
        <v>-291666.66666666669</v>
      </c>
      <c r="BR146" s="1694"/>
      <c r="BS146" s="1694"/>
      <c r="BT146" s="79"/>
      <c r="BU146" s="276">
        <f t="shared" si="110"/>
        <v>0</v>
      </c>
      <c r="BV146" s="277">
        <f t="shared" si="154"/>
        <v>0</v>
      </c>
      <c r="BW146" s="277">
        <f t="shared" si="114"/>
        <v>0</v>
      </c>
      <c r="BX146" s="277">
        <f t="shared" si="111"/>
        <v>0</v>
      </c>
      <c r="BY146" s="277">
        <f>IF('Cashflow trend'!$L$13&lt;=$C146,-$AY146,0)</f>
        <v>0</v>
      </c>
      <c r="BZ146" s="278">
        <f t="shared" si="80"/>
        <v>0</v>
      </c>
      <c r="CA146" s="279">
        <f t="shared" si="71"/>
        <v>2.4844599999999998E-2</v>
      </c>
      <c r="CB146" s="279">
        <f t="shared" ref="CB146" si="172">CB145</f>
        <v>0.01</v>
      </c>
      <c r="CC146" s="1694"/>
      <c r="CD146" s="1476">
        <f t="shared" si="129"/>
        <v>0</v>
      </c>
      <c r="CE146" s="1694"/>
      <c r="CF146" s="1694"/>
    </row>
    <row r="147" spans="1:84" ht="15">
      <c r="A147" s="273" t="s">
        <v>515</v>
      </c>
      <c r="B147" s="274">
        <v>2026</v>
      </c>
      <c r="C147" s="1503">
        <v>46266</v>
      </c>
      <c r="D147" s="274"/>
      <c r="E147" s="275">
        <f t="shared" si="166"/>
        <v>0</v>
      </c>
      <c r="F147" s="276">
        <f t="shared" si="156"/>
        <v>138</v>
      </c>
      <c r="G147" s="277" t="e">
        <f t="shared" si="106"/>
        <v>#REF!</v>
      </c>
      <c r="H147" s="277" t="e">
        <f>-ROUNDDOWN(J146*#REF!,0)</f>
        <v>#REF!</v>
      </c>
      <c r="I147" s="277" t="e">
        <f>IF(ROUNDDOWN(J146,0)=0,0,-#REF!)</f>
        <v>#REF!</v>
      </c>
      <c r="J147" s="278" t="e">
        <f t="shared" si="151"/>
        <v>#REF!</v>
      </c>
      <c r="K147" s="1694"/>
      <c r="L147" s="1694"/>
      <c r="M147" s="1694"/>
      <c r="O147" s="276">
        <f t="shared" si="157"/>
        <v>138</v>
      </c>
      <c r="P147" s="277" t="e">
        <f t="shared" si="147"/>
        <v>#REF!</v>
      </c>
      <c r="Q147" s="277" t="e">
        <f>-S146*#REF!</f>
        <v>#REF!</v>
      </c>
      <c r="R147" s="277" t="e">
        <f>IF(ROUNDDOWN(S146,0)=0,0,-#REF!)</f>
        <v>#REF!</v>
      </c>
      <c r="S147" s="278" t="e">
        <f t="shared" si="152"/>
        <v>#REF!</v>
      </c>
      <c r="T147" s="1694"/>
      <c r="U147" s="1694"/>
      <c r="V147" s="1694"/>
      <c r="X147" s="276">
        <f t="shared" si="158"/>
        <v>138</v>
      </c>
      <c r="Y147" s="277" t="e">
        <f t="shared" si="148"/>
        <v>#REF!</v>
      </c>
      <c r="Z147" s="277" t="e">
        <f>-AB146*#REF!</f>
        <v>#REF!</v>
      </c>
      <c r="AA147" s="277" t="e">
        <f>IF(ROUNDDOWN(AB146,0)=0,0,-#REF!)</f>
        <v>#REF!</v>
      </c>
      <c r="AB147" s="278" t="e">
        <f t="shared" si="153"/>
        <v>#REF!</v>
      </c>
      <c r="AC147" s="1694"/>
      <c r="AD147" s="1694"/>
      <c r="AE147" s="1694"/>
      <c r="AG147" s="1709"/>
      <c r="AH147" s="1709"/>
      <c r="AI147" s="1709"/>
      <c r="AK147" s="276">
        <f t="shared" si="159"/>
        <v>138</v>
      </c>
      <c r="AL147" s="277" t="e">
        <f t="shared" si="149"/>
        <v>#REF!</v>
      </c>
      <c r="AM147" s="277" t="e">
        <f>-AO146*#REF!</f>
        <v>#REF!</v>
      </c>
      <c r="AN147" s="277" t="e">
        <f>IF(ROUNDDOWN(AO146,0)=0,0,-#REF!)</f>
        <v>#REF!</v>
      </c>
      <c r="AO147" s="278" t="e">
        <f t="shared" si="131"/>
        <v>#REF!</v>
      </c>
      <c r="AP147" s="1694"/>
      <c r="AQ147" s="1694"/>
      <c r="AR147" s="1694"/>
      <c r="AS147" s="1694"/>
      <c r="AU147" s="276">
        <f t="shared" si="167"/>
        <v>132</v>
      </c>
      <c r="AV147" s="277">
        <f t="shared" si="77"/>
        <v>0</v>
      </c>
      <c r="AW147" s="277">
        <f t="shared" ref="AW147:AW153" si="173">-BA146*BB146/12</f>
        <v>0</v>
      </c>
      <c r="AX147" s="1491"/>
      <c r="AY147" s="277"/>
      <c r="AZ147" s="277"/>
      <c r="BA147" s="278">
        <f t="shared" si="168"/>
        <v>0</v>
      </c>
      <c r="BB147" s="279">
        <f t="shared" si="170"/>
        <v>2.4806000000000002E-2</v>
      </c>
      <c r="BC147" s="279">
        <f t="shared" si="170"/>
        <v>0.01</v>
      </c>
      <c r="BD147" s="1694"/>
      <c r="BE147" s="355">
        <f t="shared" si="126"/>
        <v>0</v>
      </c>
      <c r="BF147" s="1694"/>
      <c r="BG147" s="1694"/>
      <c r="BI147" s="277">
        <f t="shared" si="127"/>
        <v>0</v>
      </c>
      <c r="BJ147" s="277">
        <f t="shared" si="113"/>
        <v>0</v>
      </c>
      <c r="BK147" s="277">
        <v>0</v>
      </c>
      <c r="BL147" s="277"/>
      <c r="BM147" s="278">
        <f t="shared" si="79"/>
        <v>350000000</v>
      </c>
      <c r="BN147" s="279">
        <f t="shared" si="171"/>
        <v>0</v>
      </c>
      <c r="BO147" s="279">
        <f t="shared" si="171"/>
        <v>0.01</v>
      </c>
      <c r="BP147" s="1694"/>
      <c r="BQ147" s="355">
        <f t="shared" si="162"/>
        <v>-291666.66666666669</v>
      </c>
      <c r="BR147" s="1694"/>
      <c r="BS147" s="1694"/>
      <c r="BT147" s="79"/>
      <c r="BU147" s="276">
        <f t="shared" si="110"/>
        <v>0</v>
      </c>
      <c r="BV147" s="277">
        <f t="shared" si="154"/>
        <v>0</v>
      </c>
      <c r="BW147" s="277">
        <f t="shared" si="114"/>
        <v>0</v>
      </c>
      <c r="BX147" s="277">
        <f t="shared" si="111"/>
        <v>0</v>
      </c>
      <c r="BY147" s="277">
        <f>IF('Cashflow trend'!$L$13&lt;=$C147,-$AY147,0)</f>
        <v>0</v>
      </c>
      <c r="BZ147" s="278">
        <f t="shared" si="80"/>
        <v>0</v>
      </c>
      <c r="CA147" s="279">
        <f t="shared" ref="CA147:CA177" si="174">$CA$6</f>
        <v>2.4844599999999998E-2</v>
      </c>
      <c r="CB147" s="279">
        <f t="shared" ref="CB147" si="175">CB146</f>
        <v>0.01</v>
      </c>
      <c r="CC147" s="1694"/>
      <c r="CD147" s="1476">
        <f t="shared" si="129"/>
        <v>0</v>
      </c>
      <c r="CE147" s="1694"/>
      <c r="CF147" s="1694"/>
    </row>
    <row r="148" spans="1:84" ht="15">
      <c r="A148" s="273" t="s">
        <v>516</v>
      </c>
      <c r="B148" s="274">
        <v>2026</v>
      </c>
      <c r="C148" s="1503">
        <v>46296</v>
      </c>
      <c r="D148" s="274"/>
      <c r="E148" s="275">
        <f t="shared" si="166"/>
        <v>0</v>
      </c>
      <c r="F148" s="276">
        <f t="shared" si="156"/>
        <v>139</v>
      </c>
      <c r="G148" s="277" t="e">
        <f t="shared" si="106"/>
        <v>#REF!</v>
      </c>
      <c r="H148" s="277" t="e">
        <f>-ROUNDDOWN(J147*#REF!,0)</f>
        <v>#REF!</v>
      </c>
      <c r="I148" s="277" t="e">
        <f>IF(ROUNDDOWN(J147,0)=0,0,-#REF!)</f>
        <v>#REF!</v>
      </c>
      <c r="J148" s="278" t="e">
        <f t="shared" si="151"/>
        <v>#REF!</v>
      </c>
      <c r="K148" s="1694"/>
      <c r="L148" s="1694"/>
      <c r="M148" s="1694"/>
      <c r="O148" s="276">
        <f t="shared" si="157"/>
        <v>139</v>
      </c>
      <c r="P148" s="277" t="e">
        <f t="shared" si="147"/>
        <v>#REF!</v>
      </c>
      <c r="Q148" s="277" t="e">
        <f>-S147*#REF!</f>
        <v>#REF!</v>
      </c>
      <c r="R148" s="277" t="e">
        <f>IF(ROUNDDOWN(S147,0)=0,0,-#REF!)</f>
        <v>#REF!</v>
      </c>
      <c r="S148" s="278" t="e">
        <f t="shared" si="152"/>
        <v>#REF!</v>
      </c>
      <c r="T148" s="1694"/>
      <c r="U148" s="1694"/>
      <c r="V148" s="1694"/>
      <c r="X148" s="276">
        <f t="shared" si="158"/>
        <v>139</v>
      </c>
      <c r="Y148" s="277" t="e">
        <f t="shared" si="148"/>
        <v>#REF!</v>
      </c>
      <c r="Z148" s="277" t="e">
        <f>-AB147*#REF!</f>
        <v>#REF!</v>
      </c>
      <c r="AA148" s="277" t="e">
        <f>IF(ROUNDDOWN(AB147,0)=0,0,-#REF!)</f>
        <v>#REF!</v>
      </c>
      <c r="AB148" s="278" t="e">
        <f t="shared" si="153"/>
        <v>#REF!</v>
      </c>
      <c r="AC148" s="1694"/>
      <c r="AD148" s="1694"/>
      <c r="AE148" s="1694"/>
      <c r="AG148" s="1709"/>
      <c r="AH148" s="1709"/>
      <c r="AI148" s="1709"/>
      <c r="AK148" s="276">
        <f t="shared" si="159"/>
        <v>139</v>
      </c>
      <c r="AL148" s="277" t="e">
        <f t="shared" si="149"/>
        <v>#REF!</v>
      </c>
      <c r="AM148" s="277" t="e">
        <f>-AO147*#REF!</f>
        <v>#REF!</v>
      </c>
      <c r="AN148" s="277" t="e">
        <f>IF(ROUNDDOWN(AO147,0)=0,0,-#REF!)</f>
        <v>#REF!</v>
      </c>
      <c r="AO148" s="278" t="e">
        <f t="shared" si="131"/>
        <v>#REF!</v>
      </c>
      <c r="AP148" s="1694"/>
      <c r="AQ148" s="1694"/>
      <c r="AR148" s="1694"/>
      <c r="AS148" s="1694"/>
      <c r="AU148" s="276">
        <f t="shared" si="167"/>
        <v>133</v>
      </c>
      <c r="AV148" s="277">
        <f t="shared" si="77"/>
        <v>0</v>
      </c>
      <c r="AW148" s="277">
        <f t="shared" si="173"/>
        <v>0</v>
      </c>
      <c r="AX148" s="1491"/>
      <c r="AY148" s="277"/>
      <c r="AZ148" s="277"/>
      <c r="BA148" s="278">
        <f t="shared" si="168"/>
        <v>0</v>
      </c>
      <c r="BB148" s="279">
        <f t="shared" si="170"/>
        <v>2.4806000000000002E-2</v>
      </c>
      <c r="BC148" s="279">
        <f t="shared" si="170"/>
        <v>0.01</v>
      </c>
      <c r="BD148" s="1694"/>
      <c r="BE148" s="355">
        <f t="shared" si="126"/>
        <v>0</v>
      </c>
      <c r="BF148" s="1694"/>
      <c r="BG148" s="1694"/>
      <c r="BI148" s="277">
        <f t="shared" si="127"/>
        <v>0</v>
      </c>
      <c r="BJ148" s="277">
        <f t="shared" si="113"/>
        <v>0</v>
      </c>
      <c r="BK148" s="277">
        <v>0</v>
      </c>
      <c r="BL148" s="277"/>
      <c r="BM148" s="278">
        <f t="shared" si="79"/>
        <v>350000000</v>
      </c>
      <c r="BN148" s="279">
        <f t="shared" si="171"/>
        <v>0</v>
      </c>
      <c r="BO148" s="279">
        <f t="shared" si="171"/>
        <v>0.01</v>
      </c>
      <c r="BP148" s="1694"/>
      <c r="BQ148" s="355">
        <f t="shared" si="162"/>
        <v>-291666.66666666669</v>
      </c>
      <c r="BR148" s="1694"/>
      <c r="BS148" s="1694"/>
      <c r="BT148" s="79"/>
      <c r="BU148" s="276">
        <f t="shared" si="110"/>
        <v>0</v>
      </c>
      <c r="BV148" s="277">
        <f t="shared" si="154"/>
        <v>0</v>
      </c>
      <c r="BW148" s="277">
        <f t="shared" si="114"/>
        <v>0</v>
      </c>
      <c r="BX148" s="277">
        <f t="shared" si="111"/>
        <v>0</v>
      </c>
      <c r="BY148" s="277">
        <f>IF('Cashflow trend'!$L$13&lt;=$C148,-$AY148,0)</f>
        <v>0</v>
      </c>
      <c r="BZ148" s="278">
        <f t="shared" si="80"/>
        <v>0</v>
      </c>
      <c r="CA148" s="279">
        <f t="shared" si="174"/>
        <v>2.4844599999999998E-2</v>
      </c>
      <c r="CB148" s="279">
        <f t="shared" ref="CB148" si="176">CB147</f>
        <v>0.01</v>
      </c>
      <c r="CC148" s="1694"/>
      <c r="CD148" s="1476">
        <f t="shared" si="129"/>
        <v>0</v>
      </c>
      <c r="CE148" s="1694"/>
      <c r="CF148" s="1694"/>
    </row>
    <row r="149" spans="1:84" ht="15">
      <c r="A149" s="273" t="s">
        <v>517</v>
      </c>
      <c r="B149" s="274">
        <v>2026</v>
      </c>
      <c r="C149" s="1503">
        <v>46327</v>
      </c>
      <c r="D149" s="274"/>
      <c r="E149" s="275">
        <f t="shared" si="166"/>
        <v>0</v>
      </c>
      <c r="F149" s="276">
        <f t="shared" si="156"/>
        <v>140</v>
      </c>
      <c r="G149" s="277" t="e">
        <f t="shared" si="106"/>
        <v>#REF!</v>
      </c>
      <c r="H149" s="277" t="e">
        <f>-ROUNDDOWN(J148*#REF!,0)</f>
        <v>#REF!</v>
      </c>
      <c r="I149" s="277" t="e">
        <f>IF(ROUNDDOWN(J148,0)=0,0,-#REF!)</f>
        <v>#REF!</v>
      </c>
      <c r="J149" s="278" t="e">
        <f t="shared" si="151"/>
        <v>#REF!</v>
      </c>
      <c r="K149" s="1694"/>
      <c r="L149" s="1694"/>
      <c r="M149" s="1694"/>
      <c r="O149" s="276">
        <f t="shared" si="157"/>
        <v>140</v>
      </c>
      <c r="P149" s="277" t="e">
        <f t="shared" si="147"/>
        <v>#REF!</v>
      </c>
      <c r="Q149" s="277" t="e">
        <f>-S148*#REF!</f>
        <v>#REF!</v>
      </c>
      <c r="R149" s="277" t="e">
        <f>IF(ROUNDDOWN(S148,0)=0,0,-#REF!)</f>
        <v>#REF!</v>
      </c>
      <c r="S149" s="278" t="e">
        <f t="shared" si="152"/>
        <v>#REF!</v>
      </c>
      <c r="T149" s="1694"/>
      <c r="U149" s="1694"/>
      <c r="V149" s="1694"/>
      <c r="X149" s="276">
        <f t="shared" si="158"/>
        <v>140</v>
      </c>
      <c r="Y149" s="277" t="e">
        <f t="shared" si="148"/>
        <v>#REF!</v>
      </c>
      <c r="Z149" s="277" t="e">
        <f>-AB148*#REF!</f>
        <v>#REF!</v>
      </c>
      <c r="AA149" s="277" t="e">
        <f>IF(ROUNDDOWN(AB148,0)=0,0,-#REF!)</f>
        <v>#REF!</v>
      </c>
      <c r="AB149" s="278" t="e">
        <f t="shared" si="153"/>
        <v>#REF!</v>
      </c>
      <c r="AC149" s="1694"/>
      <c r="AD149" s="1694"/>
      <c r="AE149" s="1694"/>
      <c r="AG149" s="1709"/>
      <c r="AH149" s="1709"/>
      <c r="AI149" s="1709"/>
      <c r="AK149" s="276">
        <f t="shared" si="159"/>
        <v>140</v>
      </c>
      <c r="AL149" s="277" t="e">
        <f t="shared" si="149"/>
        <v>#REF!</v>
      </c>
      <c r="AM149" s="277" t="e">
        <f>-AO148*#REF!</f>
        <v>#REF!</v>
      </c>
      <c r="AN149" s="277" t="e">
        <f>IF(ROUNDDOWN(AO148,0)=0,0,-#REF!)</f>
        <v>#REF!</v>
      </c>
      <c r="AO149" s="278" t="e">
        <f t="shared" si="131"/>
        <v>#REF!</v>
      </c>
      <c r="AP149" s="1694"/>
      <c r="AQ149" s="1694"/>
      <c r="AR149" s="1694"/>
      <c r="AS149" s="1694"/>
      <c r="AU149" s="276">
        <f t="shared" si="167"/>
        <v>134</v>
      </c>
      <c r="AV149" s="277">
        <f t="shared" si="77"/>
        <v>0</v>
      </c>
      <c r="AW149" s="277">
        <f t="shared" si="173"/>
        <v>0</v>
      </c>
      <c r="AX149" s="1491"/>
      <c r="AY149" s="277"/>
      <c r="AZ149" s="277"/>
      <c r="BA149" s="278">
        <f t="shared" si="168"/>
        <v>0</v>
      </c>
      <c r="BB149" s="279">
        <f t="shared" si="170"/>
        <v>2.4806000000000002E-2</v>
      </c>
      <c r="BC149" s="279">
        <f t="shared" si="170"/>
        <v>0.01</v>
      </c>
      <c r="BD149" s="1694"/>
      <c r="BE149" s="355">
        <f t="shared" si="126"/>
        <v>0</v>
      </c>
      <c r="BF149" s="1694"/>
      <c r="BG149" s="1694"/>
      <c r="BI149" s="277">
        <f t="shared" si="127"/>
        <v>0</v>
      </c>
      <c r="BJ149" s="277">
        <f t="shared" si="113"/>
        <v>0</v>
      </c>
      <c r="BK149" s="277">
        <v>0</v>
      </c>
      <c r="BL149" s="277"/>
      <c r="BM149" s="278">
        <f t="shared" si="79"/>
        <v>350000000</v>
      </c>
      <c r="BN149" s="279">
        <f t="shared" si="171"/>
        <v>0</v>
      </c>
      <c r="BO149" s="279">
        <f t="shared" si="171"/>
        <v>0.01</v>
      </c>
      <c r="BP149" s="1694"/>
      <c r="BQ149" s="355">
        <f t="shared" si="162"/>
        <v>-291666.66666666669</v>
      </c>
      <c r="BR149" s="1694"/>
      <c r="BS149" s="1694"/>
      <c r="BT149" s="79"/>
      <c r="BU149" s="276">
        <f t="shared" si="110"/>
        <v>0</v>
      </c>
      <c r="BV149" s="277">
        <f t="shared" si="154"/>
        <v>0</v>
      </c>
      <c r="BW149" s="277">
        <f t="shared" si="114"/>
        <v>0</v>
      </c>
      <c r="BX149" s="277">
        <f t="shared" si="111"/>
        <v>0</v>
      </c>
      <c r="BY149" s="277">
        <f>IF('Cashflow trend'!$L$13&lt;=$C149,-$AY149,0)</f>
        <v>0</v>
      </c>
      <c r="BZ149" s="278">
        <f t="shared" si="80"/>
        <v>0</v>
      </c>
      <c r="CA149" s="279">
        <f t="shared" si="174"/>
        <v>2.4844599999999998E-2</v>
      </c>
      <c r="CB149" s="279">
        <f t="shared" ref="CB149" si="177">CB148</f>
        <v>0.01</v>
      </c>
      <c r="CC149" s="1694"/>
      <c r="CD149" s="1476">
        <f t="shared" si="129"/>
        <v>0</v>
      </c>
      <c r="CE149" s="1694"/>
      <c r="CF149" s="1694"/>
    </row>
    <row r="150" spans="1:84" ht="15">
      <c r="A150" s="273" t="s">
        <v>518</v>
      </c>
      <c r="B150" s="274">
        <v>2026</v>
      </c>
      <c r="C150" s="1503">
        <v>46357</v>
      </c>
      <c r="D150" s="274"/>
      <c r="E150" s="275">
        <f t="shared" si="166"/>
        <v>0</v>
      </c>
      <c r="F150" s="276">
        <f t="shared" si="156"/>
        <v>141</v>
      </c>
      <c r="G150" s="277" t="e">
        <f t="shared" si="106"/>
        <v>#REF!</v>
      </c>
      <c r="H150" s="277" t="e">
        <f>-ROUNDDOWN(J149*#REF!,0)</f>
        <v>#REF!</v>
      </c>
      <c r="I150" s="277" t="e">
        <f>IF(ROUNDDOWN(J149,0)=0,0,-#REF!)</f>
        <v>#REF!</v>
      </c>
      <c r="J150" s="278" t="e">
        <f t="shared" si="151"/>
        <v>#REF!</v>
      </c>
      <c r="K150" s="1694"/>
      <c r="L150" s="1694"/>
      <c r="M150" s="1694"/>
      <c r="O150" s="276">
        <f t="shared" si="157"/>
        <v>141</v>
      </c>
      <c r="P150" s="277" t="e">
        <f t="shared" si="147"/>
        <v>#REF!</v>
      </c>
      <c r="Q150" s="277" t="e">
        <f>-S149*#REF!</f>
        <v>#REF!</v>
      </c>
      <c r="R150" s="277" t="e">
        <f>IF(ROUNDDOWN(S149,0)=0,0,-#REF!)</f>
        <v>#REF!</v>
      </c>
      <c r="S150" s="278" t="e">
        <f t="shared" si="152"/>
        <v>#REF!</v>
      </c>
      <c r="T150" s="1694"/>
      <c r="U150" s="1694"/>
      <c r="V150" s="1694"/>
      <c r="X150" s="276">
        <f t="shared" si="158"/>
        <v>141</v>
      </c>
      <c r="Y150" s="277" t="e">
        <f t="shared" si="148"/>
        <v>#REF!</v>
      </c>
      <c r="Z150" s="277" t="e">
        <f>-AB149*#REF!</f>
        <v>#REF!</v>
      </c>
      <c r="AA150" s="277" t="e">
        <f>IF(ROUNDDOWN(AB149,0)=0,0,-#REF!)</f>
        <v>#REF!</v>
      </c>
      <c r="AB150" s="278" t="e">
        <f t="shared" si="153"/>
        <v>#REF!</v>
      </c>
      <c r="AC150" s="1694"/>
      <c r="AD150" s="1694"/>
      <c r="AE150" s="1694"/>
      <c r="AG150" s="1709"/>
      <c r="AH150" s="1709"/>
      <c r="AI150" s="1709"/>
      <c r="AK150" s="276">
        <f t="shared" si="159"/>
        <v>141</v>
      </c>
      <c r="AL150" s="277" t="e">
        <f t="shared" si="149"/>
        <v>#REF!</v>
      </c>
      <c r="AM150" s="277" t="e">
        <f>-AO149*#REF!</f>
        <v>#REF!</v>
      </c>
      <c r="AN150" s="277" t="e">
        <f>IF(ROUNDDOWN(AO149,0)=0,0,-#REF!)</f>
        <v>#REF!</v>
      </c>
      <c r="AO150" s="278" t="e">
        <f t="shared" si="131"/>
        <v>#REF!</v>
      </c>
      <c r="AP150" s="1694"/>
      <c r="AQ150" s="1694"/>
      <c r="AR150" s="1694"/>
      <c r="AS150" s="1694"/>
      <c r="AU150" s="276">
        <f t="shared" si="167"/>
        <v>135</v>
      </c>
      <c r="AV150" s="277">
        <f t="shared" si="77"/>
        <v>0</v>
      </c>
      <c r="AW150" s="277">
        <f t="shared" si="173"/>
        <v>0</v>
      </c>
      <c r="AX150" s="1491"/>
      <c r="AY150" s="277"/>
      <c r="AZ150" s="277"/>
      <c r="BA150" s="278">
        <f t="shared" si="168"/>
        <v>0</v>
      </c>
      <c r="BB150" s="279">
        <f t="shared" si="170"/>
        <v>2.4806000000000002E-2</v>
      </c>
      <c r="BC150" s="279">
        <f t="shared" si="170"/>
        <v>0.01</v>
      </c>
      <c r="BD150" s="1694"/>
      <c r="BE150" s="355">
        <f t="shared" si="126"/>
        <v>0</v>
      </c>
      <c r="BF150" s="1694"/>
      <c r="BG150" s="1694"/>
      <c r="BI150" s="277">
        <f t="shared" si="127"/>
        <v>0</v>
      </c>
      <c r="BJ150" s="277">
        <f t="shared" si="113"/>
        <v>0</v>
      </c>
      <c r="BK150" s="277">
        <v>0</v>
      </c>
      <c r="BL150" s="277"/>
      <c r="BM150" s="278">
        <f t="shared" si="79"/>
        <v>350000000</v>
      </c>
      <c r="BN150" s="279">
        <f t="shared" si="171"/>
        <v>0</v>
      </c>
      <c r="BO150" s="279">
        <f t="shared" si="171"/>
        <v>0.01</v>
      </c>
      <c r="BP150" s="1694"/>
      <c r="BQ150" s="355">
        <f t="shared" si="162"/>
        <v>-291666.66666666669</v>
      </c>
      <c r="BR150" s="1694"/>
      <c r="BS150" s="1694"/>
      <c r="BT150" s="79"/>
      <c r="BU150" s="276">
        <f t="shared" si="110"/>
        <v>0</v>
      </c>
      <c r="BV150" s="277">
        <f t="shared" si="154"/>
        <v>0</v>
      </c>
      <c r="BW150" s="277">
        <f t="shared" si="114"/>
        <v>0</v>
      </c>
      <c r="BX150" s="277">
        <f t="shared" si="111"/>
        <v>0</v>
      </c>
      <c r="BY150" s="277">
        <f>IF('Cashflow trend'!$L$13&lt;=$C150,-$AY150,0)</f>
        <v>0</v>
      </c>
      <c r="BZ150" s="278">
        <f t="shared" si="80"/>
        <v>0</v>
      </c>
      <c r="CA150" s="279">
        <f t="shared" si="174"/>
        <v>2.4844599999999998E-2</v>
      </c>
      <c r="CB150" s="279">
        <f t="shared" ref="CB150" si="178">CB149</f>
        <v>0.01</v>
      </c>
      <c r="CC150" s="1694"/>
      <c r="CD150" s="1476">
        <f t="shared" si="129"/>
        <v>0</v>
      </c>
      <c r="CE150" s="1694"/>
      <c r="CF150" s="1694"/>
    </row>
    <row r="151" spans="1:84" ht="15">
      <c r="A151" s="273" t="s">
        <v>519</v>
      </c>
      <c r="B151" s="274">
        <v>2027</v>
      </c>
      <c r="C151" s="1503">
        <v>46388</v>
      </c>
      <c r="D151" s="274"/>
      <c r="E151" s="275">
        <f t="shared" si="166"/>
        <v>0</v>
      </c>
      <c r="F151" s="276">
        <f t="shared" si="156"/>
        <v>142</v>
      </c>
      <c r="G151" s="277" t="e">
        <f t="shared" si="106"/>
        <v>#REF!</v>
      </c>
      <c r="H151" s="277" t="e">
        <f>-ROUNDDOWN(J150*#REF!,0)</f>
        <v>#REF!</v>
      </c>
      <c r="I151" s="277" t="e">
        <f>IF(ROUNDDOWN(J150,0)=0,0,-#REF!)</f>
        <v>#REF!</v>
      </c>
      <c r="J151" s="278" t="e">
        <f t="shared" si="151"/>
        <v>#REF!</v>
      </c>
      <c r="K151" s="1694"/>
      <c r="L151" s="1694"/>
      <c r="M151" s="1694"/>
      <c r="O151" s="276">
        <f t="shared" si="157"/>
        <v>142</v>
      </c>
      <c r="P151" s="277" t="e">
        <f t="shared" si="147"/>
        <v>#REF!</v>
      </c>
      <c r="Q151" s="277" t="e">
        <f>-S150*#REF!</f>
        <v>#REF!</v>
      </c>
      <c r="R151" s="277" t="e">
        <f>IF(ROUNDDOWN(S150,0)=0,0,-#REF!)</f>
        <v>#REF!</v>
      </c>
      <c r="S151" s="278" t="e">
        <f t="shared" si="152"/>
        <v>#REF!</v>
      </c>
      <c r="T151" s="1694"/>
      <c r="U151" s="1694"/>
      <c r="V151" s="1694"/>
      <c r="X151" s="276">
        <f t="shared" si="158"/>
        <v>142</v>
      </c>
      <c r="Y151" s="277" t="e">
        <f t="shared" si="148"/>
        <v>#REF!</v>
      </c>
      <c r="Z151" s="277" t="e">
        <f>-AB150*#REF!</f>
        <v>#REF!</v>
      </c>
      <c r="AA151" s="277" t="e">
        <f>IF(ROUNDDOWN(AB150,0)=0,0,-#REF!)</f>
        <v>#REF!</v>
      </c>
      <c r="AB151" s="278" t="e">
        <f t="shared" si="153"/>
        <v>#REF!</v>
      </c>
      <c r="AC151" s="1694"/>
      <c r="AD151" s="1694"/>
      <c r="AE151" s="1694"/>
      <c r="AG151" s="1709"/>
      <c r="AH151" s="1709"/>
      <c r="AI151" s="1709"/>
      <c r="AK151" s="276">
        <f t="shared" si="159"/>
        <v>142</v>
      </c>
      <c r="AL151" s="277" t="e">
        <f t="shared" si="149"/>
        <v>#REF!</v>
      </c>
      <c r="AM151" s="277" t="e">
        <f>-AO150*#REF!</f>
        <v>#REF!</v>
      </c>
      <c r="AN151" s="277" t="e">
        <f>IF(ROUNDDOWN(AO150,0)=0,0,-#REF!)</f>
        <v>#REF!</v>
      </c>
      <c r="AO151" s="278" t="e">
        <f t="shared" si="131"/>
        <v>#REF!</v>
      </c>
      <c r="AP151" s="1694"/>
      <c r="AQ151" s="1694"/>
      <c r="AR151" s="1694"/>
      <c r="AS151" s="1694"/>
      <c r="AU151" s="276">
        <f t="shared" si="167"/>
        <v>136</v>
      </c>
      <c r="AV151" s="277">
        <f t="shared" si="77"/>
        <v>0</v>
      </c>
      <c r="AW151" s="277">
        <f t="shared" si="173"/>
        <v>0</v>
      </c>
      <c r="AX151" s="1491"/>
      <c r="AY151" s="277"/>
      <c r="AZ151" s="277"/>
      <c r="BA151" s="278">
        <f t="shared" si="168"/>
        <v>0</v>
      </c>
      <c r="BB151" s="279">
        <f t="shared" si="170"/>
        <v>2.4806000000000002E-2</v>
      </c>
      <c r="BC151" s="279">
        <f t="shared" si="170"/>
        <v>0.01</v>
      </c>
      <c r="BD151" s="1694"/>
      <c r="BE151" s="355">
        <f t="shared" si="126"/>
        <v>0</v>
      </c>
      <c r="BF151" s="1694"/>
      <c r="BG151" s="1694"/>
      <c r="BI151" s="277">
        <f t="shared" si="127"/>
        <v>0</v>
      </c>
      <c r="BJ151" s="277">
        <f t="shared" si="113"/>
        <v>0</v>
      </c>
      <c r="BK151" s="277">
        <v>0</v>
      </c>
      <c r="BL151" s="277"/>
      <c r="BM151" s="278">
        <f t="shared" si="79"/>
        <v>350000000</v>
      </c>
      <c r="BN151" s="279">
        <f t="shared" si="171"/>
        <v>0</v>
      </c>
      <c r="BO151" s="279">
        <f t="shared" si="171"/>
        <v>0.01</v>
      </c>
      <c r="BP151" s="1694"/>
      <c r="BQ151" s="355">
        <f t="shared" si="162"/>
        <v>-291666.66666666669</v>
      </c>
      <c r="BR151" s="1694"/>
      <c r="BS151" s="1694"/>
      <c r="BT151" s="79"/>
      <c r="BU151" s="276">
        <f t="shared" si="110"/>
        <v>0</v>
      </c>
      <c r="BV151" s="277">
        <f t="shared" si="154"/>
        <v>0</v>
      </c>
      <c r="BW151" s="277">
        <f t="shared" si="114"/>
        <v>0</v>
      </c>
      <c r="BX151" s="277">
        <f t="shared" si="111"/>
        <v>0</v>
      </c>
      <c r="BY151" s="277">
        <f>IF('Cashflow trend'!$L$13&lt;=$C151,-$AY151,0)</f>
        <v>0</v>
      </c>
      <c r="BZ151" s="278">
        <f t="shared" si="80"/>
        <v>0</v>
      </c>
      <c r="CA151" s="279">
        <f t="shared" si="174"/>
        <v>2.4844599999999998E-2</v>
      </c>
      <c r="CB151" s="279">
        <f t="shared" ref="CB151" si="179">CB150</f>
        <v>0.01</v>
      </c>
      <c r="CC151" s="1694"/>
      <c r="CD151" s="1476">
        <f t="shared" si="129"/>
        <v>0</v>
      </c>
      <c r="CE151" s="1694"/>
      <c r="CF151" s="1694"/>
    </row>
    <row r="152" spans="1:84" ht="15">
      <c r="A152" s="273" t="s">
        <v>520</v>
      </c>
      <c r="B152" s="274">
        <v>2027</v>
      </c>
      <c r="C152" s="1503">
        <v>46419</v>
      </c>
      <c r="D152" s="274"/>
      <c r="E152" s="275">
        <f t="shared" si="166"/>
        <v>0</v>
      </c>
      <c r="F152" s="276">
        <f t="shared" si="156"/>
        <v>143</v>
      </c>
      <c r="G152" s="277" t="e">
        <f t="shared" si="106"/>
        <v>#REF!</v>
      </c>
      <c r="H152" s="277" t="e">
        <f>-ROUNDDOWN(J151*#REF!,0)</f>
        <v>#REF!</v>
      </c>
      <c r="I152" s="277" t="e">
        <f>IF(ROUNDDOWN(J151,0)=0,0,-#REF!)</f>
        <v>#REF!</v>
      </c>
      <c r="J152" s="278" t="e">
        <f t="shared" si="151"/>
        <v>#REF!</v>
      </c>
      <c r="K152" s="1694"/>
      <c r="L152" s="1694"/>
      <c r="M152" s="1694"/>
      <c r="O152" s="276">
        <f t="shared" si="157"/>
        <v>143</v>
      </c>
      <c r="P152" s="277" t="e">
        <f t="shared" si="147"/>
        <v>#REF!</v>
      </c>
      <c r="Q152" s="277" t="e">
        <f>-S151*#REF!</f>
        <v>#REF!</v>
      </c>
      <c r="R152" s="277" t="e">
        <f>IF(ROUNDDOWN(S151,0)=0,0,-#REF!)</f>
        <v>#REF!</v>
      </c>
      <c r="S152" s="278" t="e">
        <f t="shared" si="152"/>
        <v>#REF!</v>
      </c>
      <c r="T152" s="1694"/>
      <c r="U152" s="1694"/>
      <c r="V152" s="1694"/>
      <c r="X152" s="276">
        <f t="shared" si="158"/>
        <v>143</v>
      </c>
      <c r="Y152" s="277" t="e">
        <f t="shared" si="148"/>
        <v>#REF!</v>
      </c>
      <c r="Z152" s="277" t="e">
        <f>-AB151*#REF!</f>
        <v>#REF!</v>
      </c>
      <c r="AA152" s="277" t="e">
        <f>IF(ROUNDDOWN(AB151,0)=0,0,-#REF!)</f>
        <v>#REF!</v>
      </c>
      <c r="AB152" s="278" t="e">
        <f t="shared" si="153"/>
        <v>#REF!</v>
      </c>
      <c r="AC152" s="1694"/>
      <c r="AD152" s="1694"/>
      <c r="AE152" s="1694"/>
      <c r="AG152" s="1709"/>
      <c r="AH152" s="1709"/>
      <c r="AI152" s="1709"/>
      <c r="AK152" s="276">
        <f t="shared" si="159"/>
        <v>143</v>
      </c>
      <c r="AL152" s="277" t="e">
        <f t="shared" si="149"/>
        <v>#REF!</v>
      </c>
      <c r="AM152" s="277" t="e">
        <f>-AO151*#REF!</f>
        <v>#REF!</v>
      </c>
      <c r="AN152" s="277" t="e">
        <f>IF(ROUNDDOWN(AO151,0)=0,0,-#REF!)</f>
        <v>#REF!</v>
      </c>
      <c r="AO152" s="278" t="e">
        <f t="shared" si="131"/>
        <v>#REF!</v>
      </c>
      <c r="AP152" s="1694"/>
      <c r="AQ152" s="1694"/>
      <c r="AR152" s="1694"/>
      <c r="AS152" s="1694"/>
      <c r="AU152" s="276">
        <f t="shared" si="167"/>
        <v>137</v>
      </c>
      <c r="AV152" s="277">
        <f t="shared" ref="AV152:AV153" si="180">AW152+AY152</f>
        <v>0</v>
      </c>
      <c r="AW152" s="277">
        <f t="shared" si="173"/>
        <v>0</v>
      </c>
      <c r="AX152" s="1491"/>
      <c r="AY152" s="277"/>
      <c r="AZ152" s="277"/>
      <c r="BA152" s="278">
        <f t="shared" si="168"/>
        <v>0</v>
      </c>
      <c r="BB152" s="279">
        <f t="shared" si="170"/>
        <v>2.4806000000000002E-2</v>
      </c>
      <c r="BC152" s="279">
        <f t="shared" si="170"/>
        <v>0.01</v>
      </c>
      <c r="BD152" s="1694"/>
      <c r="BE152" s="355">
        <f t="shared" si="126"/>
        <v>0</v>
      </c>
      <c r="BF152" s="1694"/>
      <c r="BG152" s="1694"/>
      <c r="BI152" s="277">
        <f t="shared" si="127"/>
        <v>0</v>
      </c>
      <c r="BJ152" s="277">
        <f t="shared" si="113"/>
        <v>0</v>
      </c>
      <c r="BK152" s="277">
        <v>0</v>
      </c>
      <c r="BL152" s="277"/>
      <c r="BM152" s="278">
        <f t="shared" si="79"/>
        <v>350000000</v>
      </c>
      <c r="BN152" s="279">
        <f t="shared" si="171"/>
        <v>0</v>
      </c>
      <c r="BO152" s="279">
        <f t="shared" si="171"/>
        <v>0.01</v>
      </c>
      <c r="BP152" s="1694"/>
      <c r="BQ152" s="355">
        <f t="shared" si="162"/>
        <v>-291666.66666666669</v>
      </c>
      <c r="BR152" s="1694"/>
      <c r="BS152" s="1694"/>
      <c r="BT152" s="79"/>
      <c r="BU152" s="276">
        <f t="shared" si="110"/>
        <v>0</v>
      </c>
      <c r="BV152" s="277">
        <f t="shared" si="154"/>
        <v>0</v>
      </c>
      <c r="BW152" s="277">
        <f t="shared" si="114"/>
        <v>0</v>
      </c>
      <c r="BX152" s="277">
        <f t="shared" si="111"/>
        <v>0</v>
      </c>
      <c r="BY152" s="277">
        <f>IF('Cashflow trend'!$L$13&lt;=$C152,-$AY152,0)</f>
        <v>0</v>
      </c>
      <c r="BZ152" s="278">
        <f t="shared" si="80"/>
        <v>0</v>
      </c>
      <c r="CA152" s="279">
        <f t="shared" si="174"/>
        <v>2.4844599999999998E-2</v>
      </c>
      <c r="CB152" s="279">
        <f t="shared" ref="CB152" si="181">CB151</f>
        <v>0.01</v>
      </c>
      <c r="CC152" s="1694"/>
      <c r="CD152" s="1476">
        <f t="shared" si="129"/>
        <v>0</v>
      </c>
      <c r="CE152" s="1694"/>
      <c r="CF152" s="1694"/>
    </row>
    <row r="153" spans="1:84" ht="15">
      <c r="A153" s="273" t="s">
        <v>521</v>
      </c>
      <c r="B153" s="274">
        <v>2027</v>
      </c>
      <c r="C153" s="1503">
        <v>46447</v>
      </c>
      <c r="D153" s="274"/>
      <c r="E153" s="275">
        <f>BA153</f>
        <v>0</v>
      </c>
      <c r="F153" s="276">
        <f t="shared" si="156"/>
        <v>144</v>
      </c>
      <c r="G153" s="277" t="e">
        <f t="shared" si="106"/>
        <v>#REF!</v>
      </c>
      <c r="H153" s="277" t="e">
        <f>-ROUNDDOWN(J152*#REF!,0)</f>
        <v>#REF!</v>
      </c>
      <c r="I153" s="277" t="e">
        <f>IF(ROUNDDOWN(J152,0)=0,0,-#REF!)</f>
        <v>#REF!</v>
      </c>
      <c r="J153" s="278" t="e">
        <f t="shared" si="151"/>
        <v>#REF!</v>
      </c>
      <c r="K153" s="1694"/>
      <c r="L153" s="1694"/>
      <c r="M153" s="1694"/>
      <c r="O153" s="276">
        <f t="shared" si="157"/>
        <v>144</v>
      </c>
      <c r="P153" s="277" t="e">
        <f t="shared" si="147"/>
        <v>#REF!</v>
      </c>
      <c r="Q153" s="277" t="e">
        <f>-S152*#REF!</f>
        <v>#REF!</v>
      </c>
      <c r="R153" s="277" t="e">
        <f>IF(ROUNDDOWN(S152,0)=0,0,-#REF!)</f>
        <v>#REF!</v>
      </c>
      <c r="S153" s="278" t="e">
        <f t="shared" si="152"/>
        <v>#REF!</v>
      </c>
      <c r="T153" s="1694"/>
      <c r="U153" s="1694"/>
      <c r="V153" s="1694"/>
      <c r="X153" s="276">
        <f t="shared" si="158"/>
        <v>144</v>
      </c>
      <c r="Y153" s="277" t="e">
        <f t="shared" si="148"/>
        <v>#REF!</v>
      </c>
      <c r="Z153" s="277" t="e">
        <f>-AB152*#REF!</f>
        <v>#REF!</v>
      </c>
      <c r="AA153" s="277" t="e">
        <f>IF(ROUNDDOWN(AB152,0)=0,0,-#REF!)</f>
        <v>#REF!</v>
      </c>
      <c r="AB153" s="278" t="e">
        <f t="shared" si="153"/>
        <v>#REF!</v>
      </c>
      <c r="AC153" s="1694"/>
      <c r="AD153" s="1694"/>
      <c r="AE153" s="1694"/>
      <c r="AG153" s="1709"/>
      <c r="AH153" s="1709"/>
      <c r="AI153" s="1709"/>
      <c r="AK153" s="276">
        <f t="shared" si="159"/>
        <v>144</v>
      </c>
      <c r="AL153" s="277" t="e">
        <f t="shared" si="149"/>
        <v>#REF!</v>
      </c>
      <c r="AM153" s="277" t="e">
        <f>-AO152*#REF!</f>
        <v>#REF!</v>
      </c>
      <c r="AN153" s="277" t="e">
        <f>IF(ROUNDDOWN(AO152,0)=0,0,-#REF!)</f>
        <v>#REF!</v>
      </c>
      <c r="AO153" s="278" t="e">
        <f t="shared" si="131"/>
        <v>#REF!</v>
      </c>
      <c r="AP153" s="1694"/>
      <c r="AQ153" s="1694"/>
      <c r="AR153" s="1694"/>
      <c r="AS153" s="1694"/>
      <c r="AU153" s="276">
        <f t="shared" si="167"/>
        <v>138</v>
      </c>
      <c r="AV153" s="277">
        <f t="shared" si="180"/>
        <v>0</v>
      </c>
      <c r="AW153" s="277">
        <f t="shared" si="173"/>
        <v>0</v>
      </c>
      <c r="AX153" s="1491"/>
      <c r="AY153" s="277"/>
      <c r="AZ153" s="277"/>
      <c r="BA153" s="278">
        <f t="shared" si="168"/>
        <v>0</v>
      </c>
      <c r="BB153" s="279">
        <f t="shared" si="170"/>
        <v>2.4806000000000002E-2</v>
      </c>
      <c r="BC153" s="279">
        <f t="shared" si="170"/>
        <v>0.01</v>
      </c>
      <c r="BD153" s="1694"/>
      <c r="BE153" s="355">
        <f t="shared" si="126"/>
        <v>0</v>
      </c>
      <c r="BF153" s="1694"/>
      <c r="BG153" s="1694"/>
      <c r="BH153" s="229">
        <f>'Cashflow trend'!M23</f>
        <v>-271135.81876340939</v>
      </c>
      <c r="BI153" s="277">
        <f t="shared" si="127"/>
        <v>0</v>
      </c>
      <c r="BJ153" s="277">
        <f t="shared" si="113"/>
        <v>0</v>
      </c>
      <c r="BK153" s="277">
        <v>0</v>
      </c>
      <c r="BL153" s="277"/>
      <c r="BM153" s="278">
        <f>SUM(BK153:BL153)+BM152</f>
        <v>350000000</v>
      </c>
      <c r="BN153" s="279">
        <f t="shared" si="171"/>
        <v>0</v>
      </c>
      <c r="BO153" s="279">
        <f t="shared" si="171"/>
        <v>0.01</v>
      </c>
      <c r="BP153" s="1694"/>
      <c r="BQ153" s="355">
        <f t="shared" si="162"/>
        <v>-291666.66666666669</v>
      </c>
      <c r="BR153" s="1694"/>
      <c r="BS153" s="1694"/>
      <c r="BT153" s="79"/>
      <c r="BU153" s="276">
        <f t="shared" si="110"/>
        <v>0</v>
      </c>
      <c r="BV153" s="277">
        <f t="shared" si="154"/>
        <v>0</v>
      </c>
      <c r="BW153" s="277">
        <f t="shared" si="114"/>
        <v>0</v>
      </c>
      <c r="BX153" s="277">
        <f t="shared" si="111"/>
        <v>0</v>
      </c>
      <c r="BY153" s="277">
        <f>IF('Cashflow trend'!$L$13&lt;=$C153,-$AY153,0)</f>
        <v>0</v>
      </c>
      <c r="BZ153" s="278">
        <f t="shared" ref="BZ153" si="182">SUM(BX153:BY153)+BZ152</f>
        <v>0</v>
      </c>
      <c r="CA153" s="279">
        <f t="shared" si="174"/>
        <v>2.4844599999999998E-2</v>
      </c>
      <c r="CB153" s="279">
        <f t="shared" ref="CB153" si="183">CB152</f>
        <v>0.01</v>
      </c>
      <c r="CC153" s="1694"/>
      <c r="CD153" s="1476">
        <f t="shared" si="129"/>
        <v>0</v>
      </c>
      <c r="CE153" s="1694"/>
      <c r="CF153" s="1694"/>
    </row>
    <row r="154" spans="1:84" ht="15.75" customHeight="1">
      <c r="A154" s="270" t="s">
        <v>510</v>
      </c>
      <c r="B154" s="266">
        <v>2027</v>
      </c>
      <c r="C154" s="1504">
        <v>46478</v>
      </c>
      <c r="D154" s="266"/>
      <c r="E154" s="265"/>
      <c r="F154" s="267"/>
      <c r="G154" s="268"/>
      <c r="H154" s="268"/>
      <c r="I154" s="268"/>
      <c r="J154" s="269"/>
      <c r="K154" s="1695"/>
      <c r="L154" s="1695"/>
      <c r="M154" s="1695"/>
      <c r="O154" s="267"/>
      <c r="P154" s="268"/>
      <c r="Q154" s="268"/>
      <c r="R154" s="268"/>
      <c r="S154" s="269"/>
      <c r="T154" s="1695"/>
      <c r="U154" s="1695"/>
      <c r="V154" s="1695"/>
      <c r="X154" s="267"/>
      <c r="Y154" s="268"/>
      <c r="Z154" s="268"/>
      <c r="AA154" s="268"/>
      <c r="AB154" s="269"/>
      <c r="AC154" s="1695"/>
      <c r="AD154" s="1695"/>
      <c r="AE154" s="1695"/>
      <c r="AG154" s="1710"/>
      <c r="AH154" s="1710"/>
      <c r="AI154" s="1710"/>
      <c r="AK154" s="267"/>
      <c r="AL154" s="268"/>
      <c r="AM154" s="268"/>
      <c r="AN154" s="268"/>
      <c r="AO154" s="269"/>
      <c r="AP154" s="1695"/>
      <c r="AQ154" s="1695"/>
      <c r="AR154" s="1695"/>
      <c r="AS154" s="1695"/>
      <c r="AU154" s="267"/>
      <c r="AV154" s="268"/>
      <c r="AW154" s="268"/>
      <c r="AX154" s="1490"/>
      <c r="AY154" s="268"/>
      <c r="AZ154" s="268"/>
      <c r="BA154" s="269"/>
      <c r="BB154" s="272"/>
      <c r="BC154" s="272"/>
      <c r="BD154" s="1695"/>
      <c r="BE154" s="354"/>
      <c r="BF154" s="1695"/>
      <c r="BG154" s="1695"/>
      <c r="BI154" s="268">
        <f>SUM(BJ154:BK154)</f>
        <v>0</v>
      </c>
      <c r="BJ154" s="268">
        <f>-BM153*BN153/12</f>
        <v>0</v>
      </c>
      <c r="BK154" s="268">
        <v>0</v>
      </c>
      <c r="BL154" s="268"/>
      <c r="BM154" s="269">
        <f>SUM(BK154:BL154)+BM153</f>
        <v>350000000</v>
      </c>
      <c r="BN154" s="272">
        <f t="shared" si="171"/>
        <v>0</v>
      </c>
      <c r="BO154" s="272">
        <f t="shared" ref="BO154:BO201" si="184">BO153</f>
        <v>0.01</v>
      </c>
      <c r="BP154" s="1695" t="s">
        <v>17</v>
      </c>
      <c r="BQ154" s="354">
        <f t="shared" si="162"/>
        <v>-291666.66666666669</v>
      </c>
      <c r="BR154" s="1695">
        <f>SUM(BJ154:BJ165)</f>
        <v>0</v>
      </c>
      <c r="BS154" s="1695">
        <f>SUM(BK154:BL165)</f>
        <v>0</v>
      </c>
      <c r="BT154" s="79"/>
      <c r="BU154" s="267">
        <f t="shared" si="110"/>
        <v>0</v>
      </c>
      <c r="BV154" s="268">
        <f t="shared" ref="BV154:BV165" si="185">SUM(BW154:BX154)</f>
        <v>0</v>
      </c>
      <c r="BW154" s="268">
        <f t="shared" ref="BW154:BW165" si="186">-BZ153*CA153/12</f>
        <v>0</v>
      </c>
      <c r="BX154" s="268">
        <f t="shared" si="111"/>
        <v>0</v>
      </c>
      <c r="BY154" s="268">
        <f>IF('Cashflow trend'!$L$13&lt;=$C154,-$AY154,0)</f>
        <v>0</v>
      </c>
      <c r="BZ154" s="269">
        <f t="shared" ref="BZ154:BZ165" si="187">SUM(BX154:BY154)+BZ153</f>
        <v>0</v>
      </c>
      <c r="CA154" s="272">
        <f t="shared" si="174"/>
        <v>2.4844599999999998E-2</v>
      </c>
      <c r="CB154" s="272">
        <f t="shared" ref="CB154" si="188">CB153</f>
        <v>0.01</v>
      </c>
      <c r="CC154" s="1695" t="s">
        <v>17</v>
      </c>
      <c r="CD154" s="1478">
        <f t="shared" si="129"/>
        <v>0</v>
      </c>
      <c r="CE154" s="1696">
        <f>SUM(BW154:BW165)</f>
        <v>0</v>
      </c>
      <c r="CF154" s="1696">
        <f>SUM(BX154:BY165)</f>
        <v>0</v>
      </c>
    </row>
    <row r="155" spans="1:84" ht="15.75" customHeight="1">
      <c r="A155" s="270" t="s">
        <v>511</v>
      </c>
      <c r="B155" s="266">
        <v>2027</v>
      </c>
      <c r="C155" s="1504">
        <v>46508</v>
      </c>
      <c r="D155" s="266"/>
      <c r="E155" s="265"/>
      <c r="F155" s="267"/>
      <c r="G155" s="268"/>
      <c r="H155" s="268"/>
      <c r="I155" s="268"/>
      <c r="J155" s="269"/>
      <c r="K155" s="1695"/>
      <c r="L155" s="1695"/>
      <c r="M155" s="1695"/>
      <c r="O155" s="267"/>
      <c r="P155" s="268"/>
      <c r="Q155" s="268"/>
      <c r="R155" s="268"/>
      <c r="S155" s="269"/>
      <c r="T155" s="1695"/>
      <c r="U155" s="1695"/>
      <c r="V155" s="1695"/>
      <c r="X155" s="267"/>
      <c r="Y155" s="268"/>
      <c r="Z155" s="268"/>
      <c r="AA155" s="268"/>
      <c r="AB155" s="269"/>
      <c r="AC155" s="1695"/>
      <c r="AD155" s="1695"/>
      <c r="AE155" s="1695"/>
      <c r="AG155" s="1710"/>
      <c r="AH155" s="1710"/>
      <c r="AI155" s="1710"/>
      <c r="AK155" s="267"/>
      <c r="AL155" s="268"/>
      <c r="AM155" s="268"/>
      <c r="AN155" s="268"/>
      <c r="AO155" s="269"/>
      <c r="AP155" s="1695"/>
      <c r="AQ155" s="1695"/>
      <c r="AR155" s="1695"/>
      <c r="AS155" s="1695"/>
      <c r="AU155" s="267"/>
      <c r="AV155" s="268"/>
      <c r="AW155" s="268"/>
      <c r="AX155" s="1490"/>
      <c r="AY155" s="268"/>
      <c r="AZ155" s="268"/>
      <c r="BA155" s="269"/>
      <c r="BB155" s="272"/>
      <c r="BC155" s="272"/>
      <c r="BD155" s="1695"/>
      <c r="BE155" s="354"/>
      <c r="BF155" s="1695"/>
      <c r="BG155" s="1695"/>
      <c r="BI155" s="268">
        <f t="shared" ref="BI155:BI177" si="189">SUM(BJ155:BK155)</f>
        <v>0</v>
      </c>
      <c r="BJ155" s="268">
        <f t="shared" ref="BJ155:BJ177" si="190">-BM154*BN154/12</f>
        <v>0</v>
      </c>
      <c r="BK155" s="268">
        <v>0</v>
      </c>
      <c r="BL155" s="268"/>
      <c r="BM155" s="269">
        <f t="shared" ref="BM155:BM177" si="191">SUM(BK155:BL155)+BM154</f>
        <v>350000000</v>
      </c>
      <c r="BN155" s="272">
        <f t="shared" si="171"/>
        <v>0</v>
      </c>
      <c r="BO155" s="272">
        <f t="shared" si="184"/>
        <v>0.01</v>
      </c>
      <c r="BP155" s="1695"/>
      <c r="BQ155" s="354">
        <f t="shared" si="162"/>
        <v>-291666.66666666669</v>
      </c>
      <c r="BR155" s="1695"/>
      <c r="BS155" s="1695"/>
      <c r="BT155" s="79"/>
      <c r="BU155" s="267">
        <f t="shared" si="110"/>
        <v>0</v>
      </c>
      <c r="BV155" s="268">
        <f t="shared" si="185"/>
        <v>0</v>
      </c>
      <c r="BW155" s="268">
        <f t="shared" si="186"/>
        <v>0</v>
      </c>
      <c r="BX155" s="268">
        <f t="shared" si="111"/>
        <v>0</v>
      </c>
      <c r="BY155" s="268">
        <f>IF('Cashflow trend'!$L$13&lt;=$C155,-$AY155,0)</f>
        <v>0</v>
      </c>
      <c r="BZ155" s="269">
        <f t="shared" si="187"/>
        <v>0</v>
      </c>
      <c r="CA155" s="272">
        <f t="shared" si="174"/>
        <v>2.4844599999999998E-2</v>
      </c>
      <c r="CB155" s="272">
        <f t="shared" ref="CB155" si="192">CB154</f>
        <v>0.01</v>
      </c>
      <c r="CC155" s="1695"/>
      <c r="CD155" s="1478">
        <f t="shared" si="129"/>
        <v>0</v>
      </c>
      <c r="CE155" s="1697"/>
      <c r="CF155" s="1697"/>
    </row>
    <row r="156" spans="1:84" ht="15.75" customHeight="1">
      <c r="A156" s="270" t="s">
        <v>512</v>
      </c>
      <c r="B156" s="266">
        <v>2027</v>
      </c>
      <c r="C156" s="1504">
        <v>46539</v>
      </c>
      <c r="D156" s="266"/>
      <c r="E156" s="265"/>
      <c r="F156" s="267"/>
      <c r="G156" s="268"/>
      <c r="H156" s="268"/>
      <c r="I156" s="268"/>
      <c r="J156" s="269"/>
      <c r="K156" s="1695"/>
      <c r="L156" s="1695"/>
      <c r="M156" s="1695"/>
      <c r="O156" s="267"/>
      <c r="P156" s="268"/>
      <c r="Q156" s="268"/>
      <c r="R156" s="268"/>
      <c r="S156" s="269"/>
      <c r="T156" s="1695"/>
      <c r="U156" s="1695"/>
      <c r="V156" s="1695"/>
      <c r="X156" s="267"/>
      <c r="Y156" s="268"/>
      <c r="Z156" s="268"/>
      <c r="AA156" s="268"/>
      <c r="AB156" s="269"/>
      <c r="AC156" s="1695"/>
      <c r="AD156" s="1695"/>
      <c r="AE156" s="1695"/>
      <c r="AG156" s="1710"/>
      <c r="AH156" s="1710"/>
      <c r="AI156" s="1710"/>
      <c r="AK156" s="267"/>
      <c r="AL156" s="268"/>
      <c r="AM156" s="268"/>
      <c r="AN156" s="268"/>
      <c r="AO156" s="269"/>
      <c r="AP156" s="1695"/>
      <c r="AQ156" s="1695"/>
      <c r="AR156" s="1695"/>
      <c r="AS156" s="1695"/>
      <c r="AU156" s="267"/>
      <c r="AV156" s="268"/>
      <c r="AW156" s="268"/>
      <c r="AX156" s="1490"/>
      <c r="AY156" s="268"/>
      <c r="AZ156" s="268"/>
      <c r="BA156" s="269"/>
      <c r="BB156" s="272"/>
      <c r="BC156" s="272"/>
      <c r="BD156" s="1695"/>
      <c r="BE156" s="354"/>
      <c r="BF156" s="1695"/>
      <c r="BG156" s="1695"/>
      <c r="BI156" s="268">
        <f t="shared" si="189"/>
        <v>0</v>
      </c>
      <c r="BJ156" s="268">
        <f t="shared" si="190"/>
        <v>0</v>
      </c>
      <c r="BK156" s="268">
        <v>0</v>
      </c>
      <c r="BL156" s="268"/>
      <c r="BM156" s="269">
        <f t="shared" si="191"/>
        <v>350000000</v>
      </c>
      <c r="BN156" s="272">
        <f t="shared" si="171"/>
        <v>0</v>
      </c>
      <c r="BO156" s="272">
        <f t="shared" si="184"/>
        <v>0.01</v>
      </c>
      <c r="BP156" s="1695"/>
      <c r="BQ156" s="354">
        <f t="shared" si="162"/>
        <v>-291666.66666666669</v>
      </c>
      <c r="BR156" s="1695"/>
      <c r="BS156" s="1695"/>
      <c r="BT156" s="79"/>
      <c r="BU156" s="267">
        <f t="shared" si="110"/>
        <v>0</v>
      </c>
      <c r="BV156" s="268">
        <f t="shared" si="185"/>
        <v>0</v>
      </c>
      <c r="BW156" s="268">
        <f t="shared" si="186"/>
        <v>0</v>
      </c>
      <c r="BX156" s="268">
        <f t="shared" si="111"/>
        <v>0</v>
      </c>
      <c r="BY156" s="268">
        <f>IF('Cashflow trend'!$L$13&lt;=$C156,-$AY156,0)</f>
        <v>0</v>
      </c>
      <c r="BZ156" s="269">
        <f t="shared" si="187"/>
        <v>0</v>
      </c>
      <c r="CA156" s="272">
        <f t="shared" si="174"/>
        <v>2.4844599999999998E-2</v>
      </c>
      <c r="CB156" s="272">
        <f t="shared" ref="CB156" si="193">CB155</f>
        <v>0.01</v>
      </c>
      <c r="CC156" s="1695"/>
      <c r="CD156" s="1478">
        <f t="shared" si="129"/>
        <v>0</v>
      </c>
      <c r="CE156" s="1697"/>
      <c r="CF156" s="1697"/>
    </row>
    <row r="157" spans="1:84" ht="15.75" customHeight="1">
      <c r="A157" s="270" t="s">
        <v>513</v>
      </c>
      <c r="B157" s="266">
        <v>2027</v>
      </c>
      <c r="C157" s="1504">
        <v>46569</v>
      </c>
      <c r="D157" s="266"/>
      <c r="E157" s="265"/>
      <c r="F157" s="267"/>
      <c r="G157" s="268"/>
      <c r="H157" s="268"/>
      <c r="I157" s="268"/>
      <c r="J157" s="269"/>
      <c r="K157" s="1695"/>
      <c r="L157" s="1695"/>
      <c r="M157" s="1695"/>
      <c r="O157" s="267"/>
      <c r="P157" s="268"/>
      <c r="Q157" s="268"/>
      <c r="R157" s="268"/>
      <c r="S157" s="269"/>
      <c r="T157" s="1695"/>
      <c r="U157" s="1695"/>
      <c r="V157" s="1695"/>
      <c r="X157" s="267"/>
      <c r="Y157" s="268"/>
      <c r="Z157" s="268"/>
      <c r="AA157" s="268"/>
      <c r="AB157" s="269"/>
      <c r="AC157" s="1695"/>
      <c r="AD157" s="1695"/>
      <c r="AE157" s="1695"/>
      <c r="AG157" s="1710"/>
      <c r="AH157" s="1710"/>
      <c r="AI157" s="1710"/>
      <c r="AK157" s="267"/>
      <c r="AL157" s="268"/>
      <c r="AM157" s="268"/>
      <c r="AN157" s="268"/>
      <c r="AO157" s="269"/>
      <c r="AP157" s="1695"/>
      <c r="AQ157" s="1695"/>
      <c r="AR157" s="1695"/>
      <c r="AS157" s="1695"/>
      <c r="AU157" s="267"/>
      <c r="AV157" s="268"/>
      <c r="AW157" s="268"/>
      <c r="AX157" s="1490"/>
      <c r="AY157" s="268"/>
      <c r="AZ157" s="268"/>
      <c r="BA157" s="269"/>
      <c r="BB157" s="272"/>
      <c r="BC157" s="272"/>
      <c r="BD157" s="1695"/>
      <c r="BE157" s="354"/>
      <c r="BF157" s="1695"/>
      <c r="BG157" s="1695"/>
      <c r="BI157" s="268">
        <f t="shared" si="189"/>
        <v>0</v>
      </c>
      <c r="BJ157" s="268">
        <f t="shared" si="190"/>
        <v>0</v>
      </c>
      <c r="BK157" s="268">
        <v>0</v>
      </c>
      <c r="BL157" s="268"/>
      <c r="BM157" s="269">
        <f t="shared" si="191"/>
        <v>350000000</v>
      </c>
      <c r="BN157" s="272">
        <f t="shared" si="171"/>
        <v>0</v>
      </c>
      <c r="BO157" s="272">
        <f t="shared" si="184"/>
        <v>0.01</v>
      </c>
      <c r="BP157" s="1695"/>
      <c r="BQ157" s="354">
        <f t="shared" si="162"/>
        <v>-291666.66666666669</v>
      </c>
      <c r="BR157" s="1695"/>
      <c r="BS157" s="1695"/>
      <c r="BT157" s="79"/>
      <c r="BU157" s="267">
        <f t="shared" si="110"/>
        <v>0</v>
      </c>
      <c r="BV157" s="268">
        <f t="shared" si="185"/>
        <v>0</v>
      </c>
      <c r="BW157" s="268">
        <f t="shared" si="186"/>
        <v>0</v>
      </c>
      <c r="BX157" s="268">
        <f t="shared" si="111"/>
        <v>0</v>
      </c>
      <c r="BY157" s="268">
        <f>IF('Cashflow trend'!$L$13&lt;=$C157,-$AY157,0)</f>
        <v>0</v>
      </c>
      <c r="BZ157" s="269">
        <f t="shared" si="187"/>
        <v>0</v>
      </c>
      <c r="CA157" s="272">
        <f t="shared" si="174"/>
        <v>2.4844599999999998E-2</v>
      </c>
      <c r="CB157" s="272">
        <f t="shared" ref="CB157" si="194">CB156</f>
        <v>0.01</v>
      </c>
      <c r="CC157" s="1695"/>
      <c r="CD157" s="1478">
        <f t="shared" si="129"/>
        <v>0</v>
      </c>
      <c r="CE157" s="1697"/>
      <c r="CF157" s="1697"/>
    </row>
    <row r="158" spans="1:84" ht="15.75" customHeight="1">
      <c r="A158" s="270" t="s">
        <v>514</v>
      </c>
      <c r="B158" s="266">
        <v>2027</v>
      </c>
      <c r="C158" s="1504">
        <v>46600</v>
      </c>
      <c r="D158" s="266"/>
      <c r="E158" s="265"/>
      <c r="F158" s="267"/>
      <c r="G158" s="268"/>
      <c r="H158" s="268"/>
      <c r="I158" s="268"/>
      <c r="J158" s="269"/>
      <c r="K158" s="1695"/>
      <c r="L158" s="1695"/>
      <c r="M158" s="1695"/>
      <c r="O158" s="267"/>
      <c r="P158" s="268"/>
      <c r="Q158" s="268"/>
      <c r="R158" s="268"/>
      <c r="S158" s="269"/>
      <c r="T158" s="1695"/>
      <c r="U158" s="1695"/>
      <c r="V158" s="1695"/>
      <c r="X158" s="267"/>
      <c r="Y158" s="268"/>
      <c r="Z158" s="268"/>
      <c r="AA158" s="268"/>
      <c r="AB158" s="269"/>
      <c r="AC158" s="1695"/>
      <c r="AD158" s="1695"/>
      <c r="AE158" s="1695"/>
      <c r="AG158" s="1710"/>
      <c r="AH158" s="1710"/>
      <c r="AI158" s="1710"/>
      <c r="AK158" s="267"/>
      <c r="AL158" s="268"/>
      <c r="AM158" s="268"/>
      <c r="AN158" s="268"/>
      <c r="AO158" s="269"/>
      <c r="AP158" s="1695"/>
      <c r="AQ158" s="1695"/>
      <c r="AR158" s="1695"/>
      <c r="AS158" s="1695"/>
      <c r="AU158" s="267"/>
      <c r="AV158" s="268"/>
      <c r="AW158" s="268"/>
      <c r="AX158" s="1490"/>
      <c r="AY158" s="268"/>
      <c r="AZ158" s="268"/>
      <c r="BA158" s="269"/>
      <c r="BB158" s="272"/>
      <c r="BC158" s="272"/>
      <c r="BD158" s="1695"/>
      <c r="BE158" s="354"/>
      <c r="BF158" s="1695"/>
      <c r="BG158" s="1695"/>
      <c r="BI158" s="268">
        <f t="shared" si="189"/>
        <v>0</v>
      </c>
      <c r="BJ158" s="268">
        <f t="shared" si="190"/>
        <v>0</v>
      </c>
      <c r="BK158" s="268">
        <v>0</v>
      </c>
      <c r="BL158" s="268"/>
      <c r="BM158" s="269">
        <f t="shared" si="191"/>
        <v>350000000</v>
      </c>
      <c r="BN158" s="272">
        <f t="shared" si="171"/>
        <v>0</v>
      </c>
      <c r="BO158" s="272">
        <f t="shared" si="184"/>
        <v>0.01</v>
      </c>
      <c r="BP158" s="1695"/>
      <c r="BQ158" s="354">
        <f t="shared" si="162"/>
        <v>-291666.66666666669</v>
      </c>
      <c r="BR158" s="1695"/>
      <c r="BS158" s="1695"/>
      <c r="BT158" s="79"/>
      <c r="BU158" s="267">
        <f t="shared" si="110"/>
        <v>0</v>
      </c>
      <c r="BV158" s="268">
        <f t="shared" si="185"/>
        <v>0</v>
      </c>
      <c r="BW158" s="268">
        <f t="shared" si="186"/>
        <v>0</v>
      </c>
      <c r="BX158" s="268">
        <f t="shared" si="111"/>
        <v>0</v>
      </c>
      <c r="BY158" s="268">
        <f>IF('Cashflow trend'!$L$13&lt;=$C158,-$AY158,0)</f>
        <v>0</v>
      </c>
      <c r="BZ158" s="269">
        <f t="shared" si="187"/>
        <v>0</v>
      </c>
      <c r="CA158" s="272">
        <f t="shared" si="174"/>
        <v>2.4844599999999998E-2</v>
      </c>
      <c r="CB158" s="272">
        <f t="shared" ref="CB158" si="195">CB157</f>
        <v>0.01</v>
      </c>
      <c r="CC158" s="1695"/>
      <c r="CD158" s="1478">
        <f t="shared" si="129"/>
        <v>0</v>
      </c>
      <c r="CE158" s="1697"/>
      <c r="CF158" s="1697"/>
    </row>
    <row r="159" spans="1:84" ht="15.75" customHeight="1">
      <c r="A159" s="270" t="s">
        <v>515</v>
      </c>
      <c r="B159" s="266">
        <v>2027</v>
      </c>
      <c r="C159" s="1504">
        <v>46631</v>
      </c>
      <c r="D159" s="266"/>
      <c r="E159" s="265"/>
      <c r="F159" s="267"/>
      <c r="G159" s="268"/>
      <c r="H159" s="268"/>
      <c r="I159" s="268"/>
      <c r="J159" s="269"/>
      <c r="K159" s="1695"/>
      <c r="L159" s="1695"/>
      <c r="M159" s="1695"/>
      <c r="O159" s="267"/>
      <c r="P159" s="268"/>
      <c r="Q159" s="268"/>
      <c r="R159" s="268"/>
      <c r="S159" s="269"/>
      <c r="T159" s="1695"/>
      <c r="U159" s="1695"/>
      <c r="V159" s="1695"/>
      <c r="X159" s="267"/>
      <c r="Y159" s="268"/>
      <c r="Z159" s="268"/>
      <c r="AA159" s="268"/>
      <c r="AB159" s="269"/>
      <c r="AC159" s="1695"/>
      <c r="AD159" s="1695"/>
      <c r="AE159" s="1695"/>
      <c r="AG159" s="1710"/>
      <c r="AH159" s="1710"/>
      <c r="AI159" s="1710"/>
      <c r="AK159" s="267"/>
      <c r="AL159" s="268"/>
      <c r="AM159" s="268"/>
      <c r="AN159" s="268"/>
      <c r="AO159" s="269"/>
      <c r="AP159" s="1695"/>
      <c r="AQ159" s="1695"/>
      <c r="AR159" s="1695"/>
      <c r="AS159" s="1695"/>
      <c r="AU159" s="267"/>
      <c r="AV159" s="268"/>
      <c r="AW159" s="268"/>
      <c r="AX159" s="1490"/>
      <c r="AY159" s="268"/>
      <c r="AZ159" s="268"/>
      <c r="BA159" s="269"/>
      <c r="BB159" s="272"/>
      <c r="BC159" s="272"/>
      <c r="BD159" s="1695"/>
      <c r="BE159" s="354"/>
      <c r="BF159" s="1695"/>
      <c r="BG159" s="1695"/>
      <c r="BI159" s="268">
        <f t="shared" si="189"/>
        <v>0</v>
      </c>
      <c r="BJ159" s="268">
        <f t="shared" si="190"/>
        <v>0</v>
      </c>
      <c r="BK159" s="268">
        <v>0</v>
      </c>
      <c r="BL159" s="268"/>
      <c r="BM159" s="269">
        <f t="shared" si="191"/>
        <v>350000000</v>
      </c>
      <c r="BN159" s="272">
        <f t="shared" si="171"/>
        <v>0</v>
      </c>
      <c r="BO159" s="272">
        <f t="shared" si="184"/>
        <v>0.01</v>
      </c>
      <c r="BP159" s="1695"/>
      <c r="BQ159" s="354">
        <f t="shared" si="162"/>
        <v>-291666.66666666669</v>
      </c>
      <c r="BR159" s="1695"/>
      <c r="BS159" s="1695"/>
      <c r="BT159" s="79"/>
      <c r="BU159" s="267">
        <f t="shared" si="110"/>
        <v>0</v>
      </c>
      <c r="BV159" s="268">
        <f t="shared" si="185"/>
        <v>0</v>
      </c>
      <c r="BW159" s="268">
        <f t="shared" si="186"/>
        <v>0</v>
      </c>
      <c r="BX159" s="268">
        <f t="shared" si="111"/>
        <v>0</v>
      </c>
      <c r="BY159" s="268">
        <f>IF('Cashflow trend'!$L$13&lt;=$C159,-$AY159,0)</f>
        <v>0</v>
      </c>
      <c r="BZ159" s="269">
        <f t="shared" si="187"/>
        <v>0</v>
      </c>
      <c r="CA159" s="272">
        <f t="shared" si="174"/>
        <v>2.4844599999999998E-2</v>
      </c>
      <c r="CB159" s="272">
        <f t="shared" ref="CB159" si="196">CB158</f>
        <v>0.01</v>
      </c>
      <c r="CC159" s="1695"/>
      <c r="CD159" s="1478">
        <f t="shared" si="129"/>
        <v>0</v>
      </c>
      <c r="CE159" s="1697"/>
      <c r="CF159" s="1697"/>
    </row>
    <row r="160" spans="1:84" ht="15">
      <c r="A160" s="270" t="s">
        <v>516</v>
      </c>
      <c r="B160" s="266">
        <v>2027</v>
      </c>
      <c r="C160" s="1504">
        <v>46661</v>
      </c>
      <c r="D160" s="266"/>
      <c r="E160" s="265"/>
      <c r="F160" s="267"/>
      <c r="G160" s="268"/>
      <c r="H160" s="268"/>
      <c r="I160" s="268"/>
      <c r="J160" s="269"/>
      <c r="K160" s="1695"/>
      <c r="L160" s="1695"/>
      <c r="M160" s="1695"/>
      <c r="O160" s="267"/>
      <c r="P160" s="268"/>
      <c r="Q160" s="268"/>
      <c r="R160" s="268"/>
      <c r="S160" s="269"/>
      <c r="T160" s="1695"/>
      <c r="U160" s="1695"/>
      <c r="V160" s="1695"/>
      <c r="X160" s="267"/>
      <c r="Y160" s="268"/>
      <c r="Z160" s="268"/>
      <c r="AA160" s="268"/>
      <c r="AB160" s="269"/>
      <c r="AC160" s="1695"/>
      <c r="AD160" s="1695"/>
      <c r="AE160" s="1695"/>
      <c r="AG160" s="1710"/>
      <c r="AH160" s="1710"/>
      <c r="AI160" s="1710"/>
      <c r="AK160" s="267"/>
      <c r="AL160" s="268"/>
      <c r="AM160" s="268"/>
      <c r="AN160" s="268"/>
      <c r="AO160" s="269"/>
      <c r="AP160" s="1695"/>
      <c r="AQ160" s="1695"/>
      <c r="AR160" s="1695"/>
      <c r="AS160" s="1695"/>
      <c r="AU160" s="267"/>
      <c r="AV160" s="268"/>
      <c r="AW160" s="268"/>
      <c r="AX160" s="1490"/>
      <c r="AY160" s="268"/>
      <c r="AZ160" s="268"/>
      <c r="BA160" s="269"/>
      <c r="BB160" s="272"/>
      <c r="BC160" s="272"/>
      <c r="BD160" s="1695"/>
      <c r="BE160" s="354"/>
      <c r="BF160" s="1695"/>
      <c r="BG160" s="1695"/>
      <c r="BI160" s="268">
        <f t="shared" si="189"/>
        <v>0</v>
      </c>
      <c r="BJ160" s="268">
        <f t="shared" si="190"/>
        <v>0</v>
      </c>
      <c r="BK160" s="268"/>
      <c r="BL160" s="268"/>
      <c r="BM160" s="269">
        <f t="shared" si="191"/>
        <v>350000000</v>
      </c>
      <c r="BN160" s="272">
        <f t="shared" si="171"/>
        <v>0</v>
      </c>
      <c r="BO160" s="272">
        <f t="shared" si="184"/>
        <v>0.01</v>
      </c>
      <c r="BP160" s="1695"/>
      <c r="BQ160" s="354">
        <f t="shared" si="162"/>
        <v>-291666.66666666669</v>
      </c>
      <c r="BR160" s="1695"/>
      <c r="BS160" s="1695"/>
      <c r="BT160" s="79"/>
      <c r="BU160" s="267">
        <f t="shared" si="110"/>
        <v>0</v>
      </c>
      <c r="BV160" s="268">
        <f t="shared" si="185"/>
        <v>0</v>
      </c>
      <c r="BW160" s="268">
        <f t="shared" si="186"/>
        <v>0</v>
      </c>
      <c r="BX160" s="268">
        <f t="shared" si="111"/>
        <v>0</v>
      </c>
      <c r="BY160" s="268">
        <f>IF('Cashflow trend'!$L$13&lt;=$C160,-$AY160,0)</f>
        <v>0</v>
      </c>
      <c r="BZ160" s="269">
        <f t="shared" si="187"/>
        <v>0</v>
      </c>
      <c r="CA160" s="272">
        <f t="shared" si="174"/>
        <v>2.4844599999999998E-2</v>
      </c>
      <c r="CB160" s="272">
        <f t="shared" ref="CB160" si="197">CB159</f>
        <v>0.01</v>
      </c>
      <c r="CC160" s="1695"/>
      <c r="CD160" s="1478">
        <f t="shared" si="129"/>
        <v>0</v>
      </c>
      <c r="CE160" s="1697"/>
      <c r="CF160" s="1697"/>
    </row>
    <row r="161" spans="1:84" ht="15">
      <c r="A161" s="270" t="s">
        <v>517</v>
      </c>
      <c r="B161" s="266">
        <v>2027</v>
      </c>
      <c r="C161" s="1504">
        <v>46692</v>
      </c>
      <c r="D161" s="266"/>
      <c r="E161" s="265"/>
      <c r="F161" s="267"/>
      <c r="G161" s="268"/>
      <c r="H161" s="268"/>
      <c r="I161" s="268"/>
      <c r="J161" s="269"/>
      <c r="K161" s="1695"/>
      <c r="L161" s="1695"/>
      <c r="M161" s="1695"/>
      <c r="O161" s="267"/>
      <c r="P161" s="268"/>
      <c r="Q161" s="268"/>
      <c r="R161" s="268"/>
      <c r="S161" s="269"/>
      <c r="T161" s="1695"/>
      <c r="U161" s="1695"/>
      <c r="V161" s="1695"/>
      <c r="X161" s="267"/>
      <c r="Y161" s="268"/>
      <c r="Z161" s="268"/>
      <c r="AA161" s="268"/>
      <c r="AB161" s="269"/>
      <c r="AC161" s="1695"/>
      <c r="AD161" s="1695"/>
      <c r="AE161" s="1695"/>
      <c r="AG161" s="1710"/>
      <c r="AH161" s="1710"/>
      <c r="AI161" s="1710"/>
      <c r="AK161" s="267"/>
      <c r="AL161" s="268"/>
      <c r="AM161" s="268"/>
      <c r="AN161" s="268"/>
      <c r="AO161" s="269"/>
      <c r="AP161" s="1695"/>
      <c r="AQ161" s="1695"/>
      <c r="AR161" s="1695"/>
      <c r="AS161" s="1695"/>
      <c r="AU161" s="267"/>
      <c r="AV161" s="268"/>
      <c r="AW161" s="268"/>
      <c r="AX161" s="1490"/>
      <c r="AY161" s="268"/>
      <c r="AZ161" s="268"/>
      <c r="BA161" s="269"/>
      <c r="BB161" s="272"/>
      <c r="BC161" s="272"/>
      <c r="BD161" s="1695"/>
      <c r="BE161" s="354"/>
      <c r="BF161" s="1695"/>
      <c r="BG161" s="1695"/>
      <c r="BI161" s="268">
        <f t="shared" si="189"/>
        <v>0</v>
      </c>
      <c r="BJ161" s="268">
        <f t="shared" si="190"/>
        <v>0</v>
      </c>
      <c r="BK161" s="268">
        <v>0</v>
      </c>
      <c r="BL161" s="268"/>
      <c r="BM161" s="269">
        <f t="shared" si="191"/>
        <v>350000000</v>
      </c>
      <c r="BN161" s="272">
        <f t="shared" si="171"/>
        <v>0</v>
      </c>
      <c r="BO161" s="272">
        <f t="shared" si="184"/>
        <v>0.01</v>
      </c>
      <c r="BP161" s="1695"/>
      <c r="BQ161" s="354">
        <f t="shared" si="162"/>
        <v>-291666.66666666669</v>
      </c>
      <c r="BR161" s="1695"/>
      <c r="BS161" s="1695"/>
      <c r="BT161" s="79"/>
      <c r="BU161" s="267">
        <f t="shared" si="110"/>
        <v>0</v>
      </c>
      <c r="BV161" s="268">
        <f t="shared" si="185"/>
        <v>0</v>
      </c>
      <c r="BW161" s="268">
        <f t="shared" si="186"/>
        <v>0</v>
      </c>
      <c r="BX161" s="268">
        <f t="shared" si="111"/>
        <v>0</v>
      </c>
      <c r="BY161" s="268">
        <f>IF('Cashflow trend'!$L$13&lt;=$C161,-$AY161,0)</f>
        <v>0</v>
      </c>
      <c r="BZ161" s="269">
        <f t="shared" si="187"/>
        <v>0</v>
      </c>
      <c r="CA161" s="272">
        <f t="shared" si="174"/>
        <v>2.4844599999999998E-2</v>
      </c>
      <c r="CB161" s="272">
        <f t="shared" ref="CB161" si="198">CB160</f>
        <v>0.01</v>
      </c>
      <c r="CC161" s="1695"/>
      <c r="CD161" s="1478">
        <f t="shared" si="129"/>
        <v>0</v>
      </c>
      <c r="CE161" s="1697"/>
      <c r="CF161" s="1697"/>
    </row>
    <row r="162" spans="1:84" ht="15">
      <c r="A162" s="270" t="s">
        <v>518</v>
      </c>
      <c r="B162" s="266">
        <v>2027</v>
      </c>
      <c r="C162" s="1504">
        <v>46722</v>
      </c>
      <c r="D162" s="266"/>
      <c r="E162" s="265"/>
      <c r="F162" s="267"/>
      <c r="G162" s="268"/>
      <c r="H162" s="268"/>
      <c r="I162" s="268"/>
      <c r="J162" s="269"/>
      <c r="K162" s="1695"/>
      <c r="L162" s="1695"/>
      <c r="M162" s="1695"/>
      <c r="O162" s="267"/>
      <c r="P162" s="268"/>
      <c r="Q162" s="268"/>
      <c r="R162" s="268"/>
      <c r="S162" s="269"/>
      <c r="T162" s="1695"/>
      <c r="U162" s="1695"/>
      <c r="V162" s="1695"/>
      <c r="X162" s="267"/>
      <c r="Y162" s="268"/>
      <c r="Z162" s="268"/>
      <c r="AA162" s="268"/>
      <c r="AB162" s="269"/>
      <c r="AC162" s="1695"/>
      <c r="AD162" s="1695"/>
      <c r="AE162" s="1695"/>
      <c r="AG162" s="1710"/>
      <c r="AH162" s="1710"/>
      <c r="AI162" s="1710"/>
      <c r="AK162" s="267"/>
      <c r="AL162" s="268"/>
      <c r="AM162" s="268"/>
      <c r="AN162" s="268"/>
      <c r="AO162" s="269"/>
      <c r="AP162" s="1695"/>
      <c r="AQ162" s="1695"/>
      <c r="AR162" s="1695"/>
      <c r="AS162" s="1695"/>
      <c r="AU162" s="267"/>
      <c r="AV162" s="268"/>
      <c r="AW162" s="268"/>
      <c r="AX162" s="1490"/>
      <c r="AY162" s="268"/>
      <c r="AZ162" s="268"/>
      <c r="BA162" s="269"/>
      <c r="BB162" s="272"/>
      <c r="BC162" s="272"/>
      <c r="BD162" s="1695"/>
      <c r="BE162" s="354"/>
      <c r="BF162" s="1695"/>
      <c r="BG162" s="1695"/>
      <c r="BI162" s="268">
        <f t="shared" si="189"/>
        <v>0</v>
      </c>
      <c r="BJ162" s="268">
        <f t="shared" si="190"/>
        <v>0</v>
      </c>
      <c r="BK162" s="268">
        <v>0</v>
      </c>
      <c r="BL162" s="268"/>
      <c r="BM162" s="269">
        <f t="shared" si="191"/>
        <v>350000000</v>
      </c>
      <c r="BN162" s="272">
        <f t="shared" si="171"/>
        <v>0</v>
      </c>
      <c r="BO162" s="272">
        <f t="shared" si="184"/>
        <v>0.01</v>
      </c>
      <c r="BP162" s="1695"/>
      <c r="BQ162" s="354">
        <f t="shared" si="162"/>
        <v>-291666.66666666669</v>
      </c>
      <c r="BR162" s="1695"/>
      <c r="BS162" s="1695"/>
      <c r="BT162" s="79"/>
      <c r="BU162" s="267">
        <f t="shared" si="110"/>
        <v>0</v>
      </c>
      <c r="BV162" s="268">
        <f t="shared" si="185"/>
        <v>0</v>
      </c>
      <c r="BW162" s="268">
        <f t="shared" si="186"/>
        <v>0</v>
      </c>
      <c r="BX162" s="268">
        <f t="shared" si="111"/>
        <v>0</v>
      </c>
      <c r="BY162" s="268">
        <f>IF('Cashflow trend'!$L$13&lt;=$C162,-$AY162,0)</f>
        <v>0</v>
      </c>
      <c r="BZ162" s="269">
        <f t="shared" si="187"/>
        <v>0</v>
      </c>
      <c r="CA162" s="272">
        <f t="shared" si="174"/>
        <v>2.4844599999999998E-2</v>
      </c>
      <c r="CB162" s="272">
        <f t="shared" ref="CB162" si="199">CB161</f>
        <v>0.01</v>
      </c>
      <c r="CC162" s="1695"/>
      <c r="CD162" s="1478">
        <f t="shared" si="129"/>
        <v>0</v>
      </c>
      <c r="CE162" s="1697"/>
      <c r="CF162" s="1697"/>
    </row>
    <row r="163" spans="1:84" ht="15">
      <c r="A163" s="270" t="s">
        <v>519</v>
      </c>
      <c r="B163" s="266">
        <v>2028</v>
      </c>
      <c r="C163" s="1504">
        <v>46753</v>
      </c>
      <c r="D163" s="266"/>
      <c r="E163" s="265"/>
      <c r="F163" s="267"/>
      <c r="G163" s="268"/>
      <c r="H163" s="268"/>
      <c r="I163" s="268"/>
      <c r="J163" s="269"/>
      <c r="K163" s="1695"/>
      <c r="L163" s="1695"/>
      <c r="M163" s="1695"/>
      <c r="O163" s="267"/>
      <c r="P163" s="268"/>
      <c r="Q163" s="268"/>
      <c r="R163" s="268"/>
      <c r="S163" s="269"/>
      <c r="T163" s="1695"/>
      <c r="U163" s="1695"/>
      <c r="V163" s="1695"/>
      <c r="X163" s="267"/>
      <c r="Y163" s="268"/>
      <c r="Z163" s="268"/>
      <c r="AA163" s="268"/>
      <c r="AB163" s="269"/>
      <c r="AC163" s="1695"/>
      <c r="AD163" s="1695"/>
      <c r="AE163" s="1695"/>
      <c r="AG163" s="1710"/>
      <c r="AH163" s="1710"/>
      <c r="AI163" s="1710"/>
      <c r="AK163" s="267"/>
      <c r="AL163" s="268"/>
      <c r="AM163" s="268"/>
      <c r="AN163" s="268"/>
      <c r="AO163" s="269"/>
      <c r="AP163" s="1695"/>
      <c r="AQ163" s="1695"/>
      <c r="AR163" s="1695"/>
      <c r="AS163" s="1695"/>
      <c r="AU163" s="267"/>
      <c r="AV163" s="268"/>
      <c r="AW163" s="268"/>
      <c r="AX163" s="1490"/>
      <c r="AY163" s="268"/>
      <c r="AZ163" s="268"/>
      <c r="BA163" s="269"/>
      <c r="BB163" s="272"/>
      <c r="BC163" s="272"/>
      <c r="BD163" s="1695"/>
      <c r="BE163" s="354"/>
      <c r="BF163" s="1695"/>
      <c r="BG163" s="1695"/>
      <c r="BI163" s="268">
        <f t="shared" si="189"/>
        <v>0</v>
      </c>
      <c r="BJ163" s="268">
        <f t="shared" si="190"/>
        <v>0</v>
      </c>
      <c r="BK163" s="268">
        <v>0</v>
      </c>
      <c r="BL163" s="268"/>
      <c r="BM163" s="269">
        <f t="shared" si="191"/>
        <v>350000000</v>
      </c>
      <c r="BN163" s="272">
        <f t="shared" si="171"/>
        <v>0</v>
      </c>
      <c r="BO163" s="272">
        <f t="shared" si="184"/>
        <v>0.01</v>
      </c>
      <c r="BP163" s="1695"/>
      <c r="BQ163" s="354">
        <f t="shared" si="162"/>
        <v>-291666.66666666669</v>
      </c>
      <c r="BR163" s="1695"/>
      <c r="BS163" s="1695"/>
      <c r="BT163" s="79"/>
      <c r="BU163" s="267">
        <f t="shared" si="110"/>
        <v>0</v>
      </c>
      <c r="BV163" s="268">
        <f t="shared" si="185"/>
        <v>0</v>
      </c>
      <c r="BW163" s="268">
        <f t="shared" si="186"/>
        <v>0</v>
      </c>
      <c r="BX163" s="268">
        <f t="shared" si="111"/>
        <v>0</v>
      </c>
      <c r="BY163" s="268">
        <f>IF('Cashflow trend'!$L$13&lt;=$C163,-$AY163,0)</f>
        <v>0</v>
      </c>
      <c r="BZ163" s="269">
        <f t="shared" si="187"/>
        <v>0</v>
      </c>
      <c r="CA163" s="272">
        <f t="shared" si="174"/>
        <v>2.4844599999999998E-2</v>
      </c>
      <c r="CB163" s="272">
        <f t="shared" ref="CB163" si="200">CB162</f>
        <v>0.01</v>
      </c>
      <c r="CC163" s="1695"/>
      <c r="CD163" s="1478">
        <f t="shared" si="129"/>
        <v>0</v>
      </c>
      <c r="CE163" s="1697"/>
      <c r="CF163" s="1697"/>
    </row>
    <row r="164" spans="1:84" ht="15">
      <c r="A164" s="270" t="s">
        <v>520</v>
      </c>
      <c r="B164" s="266">
        <v>2028</v>
      </c>
      <c r="C164" s="1504">
        <v>46784</v>
      </c>
      <c r="D164" s="266"/>
      <c r="E164" s="265"/>
      <c r="F164" s="267"/>
      <c r="G164" s="268"/>
      <c r="H164" s="268"/>
      <c r="I164" s="268"/>
      <c r="J164" s="269"/>
      <c r="K164" s="1695"/>
      <c r="L164" s="1695"/>
      <c r="M164" s="1695"/>
      <c r="O164" s="267"/>
      <c r="P164" s="268"/>
      <c r="Q164" s="268"/>
      <c r="R164" s="268"/>
      <c r="S164" s="269"/>
      <c r="T164" s="1695"/>
      <c r="U164" s="1695"/>
      <c r="V164" s="1695"/>
      <c r="X164" s="267"/>
      <c r="Y164" s="268"/>
      <c r="Z164" s="268"/>
      <c r="AA164" s="268"/>
      <c r="AB164" s="269"/>
      <c r="AC164" s="1695"/>
      <c r="AD164" s="1695"/>
      <c r="AE164" s="1695"/>
      <c r="AG164" s="1710"/>
      <c r="AH164" s="1710"/>
      <c r="AI164" s="1710"/>
      <c r="AK164" s="267"/>
      <c r="AL164" s="268"/>
      <c r="AM164" s="268"/>
      <c r="AN164" s="268"/>
      <c r="AO164" s="269"/>
      <c r="AP164" s="1695"/>
      <c r="AQ164" s="1695"/>
      <c r="AR164" s="1695"/>
      <c r="AS164" s="1695"/>
      <c r="AU164" s="267"/>
      <c r="AV164" s="268"/>
      <c r="AW164" s="268"/>
      <c r="AX164" s="1490"/>
      <c r="AY164" s="268"/>
      <c r="AZ164" s="268"/>
      <c r="BA164" s="269"/>
      <c r="BB164" s="272"/>
      <c r="BC164" s="272"/>
      <c r="BD164" s="1695"/>
      <c r="BE164" s="354"/>
      <c r="BF164" s="1695"/>
      <c r="BG164" s="1695"/>
      <c r="BI164" s="268">
        <f t="shared" si="189"/>
        <v>0</v>
      </c>
      <c r="BJ164" s="268">
        <f t="shared" si="190"/>
        <v>0</v>
      </c>
      <c r="BK164" s="268">
        <v>0</v>
      </c>
      <c r="BL164" s="268"/>
      <c r="BM164" s="269">
        <f t="shared" si="191"/>
        <v>350000000</v>
      </c>
      <c r="BN164" s="272">
        <f t="shared" si="171"/>
        <v>0</v>
      </c>
      <c r="BO164" s="272">
        <f t="shared" si="184"/>
        <v>0.01</v>
      </c>
      <c r="BP164" s="1695"/>
      <c r="BQ164" s="354">
        <f t="shared" si="162"/>
        <v>-291666.66666666669</v>
      </c>
      <c r="BR164" s="1695"/>
      <c r="BS164" s="1695"/>
      <c r="BT164" s="79"/>
      <c r="BU164" s="267">
        <f t="shared" si="110"/>
        <v>0</v>
      </c>
      <c r="BV164" s="268">
        <f t="shared" si="185"/>
        <v>0</v>
      </c>
      <c r="BW164" s="268">
        <f t="shared" si="186"/>
        <v>0</v>
      </c>
      <c r="BX164" s="268">
        <f t="shared" si="111"/>
        <v>0</v>
      </c>
      <c r="BY164" s="268">
        <f>IF('Cashflow trend'!$L$13&lt;=$C164,-$AY164,0)</f>
        <v>0</v>
      </c>
      <c r="BZ164" s="269">
        <f t="shared" si="187"/>
        <v>0</v>
      </c>
      <c r="CA164" s="272">
        <f t="shared" si="174"/>
        <v>2.4844599999999998E-2</v>
      </c>
      <c r="CB164" s="272">
        <f t="shared" ref="CB164" si="201">CB163</f>
        <v>0.01</v>
      </c>
      <c r="CC164" s="1695"/>
      <c r="CD164" s="1478">
        <f t="shared" si="129"/>
        <v>0</v>
      </c>
      <c r="CE164" s="1697"/>
      <c r="CF164" s="1697"/>
    </row>
    <row r="165" spans="1:84" ht="15">
      <c r="A165" s="270" t="s">
        <v>521</v>
      </c>
      <c r="B165" s="266">
        <v>2028</v>
      </c>
      <c r="C165" s="1504">
        <v>46813</v>
      </c>
      <c r="D165" s="266"/>
      <c r="E165" s="265"/>
      <c r="F165" s="267"/>
      <c r="G165" s="268"/>
      <c r="H165" s="268"/>
      <c r="I165" s="268"/>
      <c r="J165" s="269"/>
      <c r="K165" s="1695"/>
      <c r="L165" s="1695"/>
      <c r="M165" s="1695"/>
      <c r="O165" s="267"/>
      <c r="P165" s="268"/>
      <c r="Q165" s="268"/>
      <c r="R165" s="268"/>
      <c r="S165" s="269"/>
      <c r="T165" s="1695"/>
      <c r="U165" s="1695"/>
      <c r="V165" s="1695"/>
      <c r="X165" s="267"/>
      <c r="Y165" s="268"/>
      <c r="Z165" s="268"/>
      <c r="AA165" s="268"/>
      <c r="AB165" s="269"/>
      <c r="AC165" s="1695"/>
      <c r="AD165" s="1695"/>
      <c r="AE165" s="1695"/>
      <c r="AG165" s="1710"/>
      <c r="AH165" s="1710"/>
      <c r="AI165" s="1710"/>
      <c r="AK165" s="267"/>
      <c r="AL165" s="268"/>
      <c r="AM165" s="268"/>
      <c r="AN165" s="268"/>
      <c r="AO165" s="269"/>
      <c r="AP165" s="1695"/>
      <c r="AQ165" s="1695"/>
      <c r="AR165" s="1695"/>
      <c r="AS165" s="1695"/>
      <c r="AU165" s="267"/>
      <c r="AV165" s="268"/>
      <c r="AW165" s="268"/>
      <c r="AX165" s="1490"/>
      <c r="AY165" s="268"/>
      <c r="AZ165" s="268"/>
      <c r="BA165" s="269"/>
      <c r="BB165" s="272"/>
      <c r="BC165" s="272"/>
      <c r="BD165" s="1695"/>
      <c r="BE165" s="354"/>
      <c r="BF165" s="1695"/>
      <c r="BG165" s="1695"/>
      <c r="BH165" s="229">
        <f>'Cashflow trend'!N23</f>
        <v>-133977.88904345053</v>
      </c>
      <c r="BI165" s="268">
        <f t="shared" si="189"/>
        <v>0</v>
      </c>
      <c r="BJ165" s="268">
        <f t="shared" si="190"/>
        <v>0</v>
      </c>
      <c r="BK165" s="268">
        <v>0</v>
      </c>
      <c r="BL165" s="268"/>
      <c r="BM165" s="269">
        <f t="shared" si="191"/>
        <v>350000000</v>
      </c>
      <c r="BN165" s="272">
        <f t="shared" si="171"/>
        <v>0</v>
      </c>
      <c r="BO165" s="272">
        <f t="shared" si="184"/>
        <v>0.01</v>
      </c>
      <c r="BP165" s="1695"/>
      <c r="BQ165" s="354">
        <f t="shared" si="162"/>
        <v>-291666.66666666669</v>
      </c>
      <c r="BR165" s="1695"/>
      <c r="BS165" s="1695"/>
      <c r="BT165" s="79"/>
      <c r="BU165" s="267">
        <f t="shared" si="110"/>
        <v>0</v>
      </c>
      <c r="BV165" s="268">
        <f t="shared" si="185"/>
        <v>0</v>
      </c>
      <c r="BW165" s="268">
        <f t="shared" si="186"/>
        <v>0</v>
      </c>
      <c r="BX165" s="268">
        <f t="shared" si="111"/>
        <v>0</v>
      </c>
      <c r="BY165" s="268">
        <f>IF('Cashflow trend'!$L$13&lt;=$C165,-$AY165,0)</f>
        <v>0</v>
      </c>
      <c r="BZ165" s="269">
        <f t="shared" si="187"/>
        <v>0</v>
      </c>
      <c r="CA165" s="272">
        <f t="shared" si="174"/>
        <v>2.4844599999999998E-2</v>
      </c>
      <c r="CB165" s="272">
        <f t="shared" ref="CB165" si="202">CB164</f>
        <v>0.01</v>
      </c>
      <c r="CC165" s="1695"/>
      <c r="CD165" s="1478">
        <f t="shared" si="129"/>
        <v>0</v>
      </c>
      <c r="CE165" s="1698"/>
      <c r="CF165" s="1698"/>
    </row>
    <row r="166" spans="1:84" ht="15">
      <c r="A166" s="273" t="s">
        <v>510</v>
      </c>
      <c r="B166" s="274">
        <v>2028</v>
      </c>
      <c r="C166" s="1503">
        <v>46844</v>
      </c>
      <c r="D166" s="274"/>
      <c r="E166" s="275"/>
      <c r="F166" s="276"/>
      <c r="G166" s="277"/>
      <c r="H166" s="277"/>
      <c r="I166" s="277"/>
      <c r="J166" s="278"/>
      <c r="K166" s="355"/>
      <c r="L166" s="355"/>
      <c r="M166" s="355"/>
      <c r="O166" s="276"/>
      <c r="P166" s="277"/>
      <c r="Q166" s="277"/>
      <c r="R166" s="277"/>
      <c r="S166" s="278"/>
      <c r="T166" s="355"/>
      <c r="U166" s="355"/>
      <c r="V166" s="355"/>
      <c r="X166" s="276"/>
      <c r="Y166" s="277"/>
      <c r="Z166" s="277"/>
      <c r="AA166" s="277"/>
      <c r="AB166" s="278"/>
      <c r="AC166" s="355"/>
      <c r="AD166" s="355"/>
      <c r="AE166" s="355"/>
      <c r="AG166" s="356"/>
      <c r="AH166" s="356"/>
      <c r="AI166" s="356"/>
      <c r="AK166" s="276"/>
      <c r="AL166" s="277"/>
      <c r="AM166" s="277"/>
      <c r="AN166" s="277"/>
      <c r="AO166" s="278"/>
      <c r="AP166" s="355"/>
      <c r="AQ166" s="355"/>
      <c r="AR166" s="355"/>
      <c r="AS166" s="355"/>
      <c r="AU166" s="276"/>
      <c r="AV166" s="277"/>
      <c r="AW166" s="277"/>
      <c r="AX166" s="1491"/>
      <c r="AY166" s="277"/>
      <c r="AZ166" s="277"/>
      <c r="BA166" s="278"/>
      <c r="BB166" s="279"/>
      <c r="BC166" s="279"/>
      <c r="BD166" s="1694"/>
      <c r="BE166" s="355"/>
      <c r="BF166" s="1694"/>
      <c r="BG166" s="1694"/>
      <c r="BI166" s="277">
        <f t="shared" si="189"/>
        <v>0</v>
      </c>
      <c r="BJ166" s="277">
        <f t="shared" si="190"/>
        <v>0</v>
      </c>
      <c r="BK166" s="277">
        <v>0</v>
      </c>
      <c r="BL166" s="277"/>
      <c r="BM166" s="278">
        <f t="shared" si="191"/>
        <v>350000000</v>
      </c>
      <c r="BN166" s="279">
        <f t="shared" si="171"/>
        <v>0</v>
      </c>
      <c r="BO166" s="279">
        <f t="shared" si="184"/>
        <v>0.01</v>
      </c>
      <c r="BP166" s="1694" t="s">
        <v>18</v>
      </c>
      <c r="BQ166" s="355">
        <f t="shared" si="162"/>
        <v>-291666.66666666669</v>
      </c>
      <c r="BR166" s="1694">
        <f>SUM(BJ166:BJ177)</f>
        <v>0</v>
      </c>
      <c r="BS166" s="1694">
        <f>SUM(BK166:BL177)</f>
        <v>0</v>
      </c>
      <c r="BT166" s="79"/>
      <c r="BU166" s="276">
        <f t="shared" si="110"/>
        <v>0</v>
      </c>
      <c r="BV166" s="277">
        <f t="shared" ref="BV166:BV177" si="203">SUM(BW166:BX166)</f>
        <v>0</v>
      </c>
      <c r="BW166" s="277">
        <f t="shared" ref="BW166:BW177" si="204">-BZ165*CA165/12</f>
        <v>0</v>
      </c>
      <c r="BX166" s="277">
        <f t="shared" si="111"/>
        <v>0</v>
      </c>
      <c r="BY166" s="277">
        <f>IF('Cashflow trend'!$L$13&lt;=$C166,-$AY166,0)</f>
        <v>0</v>
      </c>
      <c r="BZ166" s="278">
        <f t="shared" ref="BZ166:BZ177" si="205">SUM(BX166:BY166)+BZ165</f>
        <v>0</v>
      </c>
      <c r="CA166" s="279">
        <f t="shared" si="174"/>
        <v>2.4844599999999998E-2</v>
      </c>
      <c r="CB166" s="279">
        <f t="shared" ref="CB166" si="206">CB165</f>
        <v>0.01</v>
      </c>
      <c r="CC166" s="1694" t="s">
        <v>18</v>
      </c>
      <c r="CD166" s="1476">
        <f t="shared" ref="CD166:CD177" si="207">-BZ165*CB166/12</f>
        <v>0</v>
      </c>
      <c r="CE166" s="1699">
        <f>SUM(BW166:BW177)</f>
        <v>0</v>
      </c>
      <c r="CF166" s="1699">
        <f>SUM(BX166:BY177)</f>
        <v>0</v>
      </c>
    </row>
    <row r="167" spans="1:84" ht="15">
      <c r="A167" s="273" t="s">
        <v>511</v>
      </c>
      <c r="B167" s="274">
        <v>2028</v>
      </c>
      <c r="C167" s="1503">
        <v>46874</v>
      </c>
      <c r="D167" s="274"/>
      <c r="E167" s="275"/>
      <c r="F167" s="276"/>
      <c r="G167" s="277"/>
      <c r="H167" s="277"/>
      <c r="I167" s="277"/>
      <c r="J167" s="278"/>
      <c r="K167" s="355"/>
      <c r="L167" s="355"/>
      <c r="M167" s="355"/>
      <c r="O167" s="276"/>
      <c r="P167" s="277"/>
      <c r="Q167" s="277"/>
      <c r="R167" s="277"/>
      <c r="S167" s="278"/>
      <c r="T167" s="355"/>
      <c r="U167" s="355"/>
      <c r="V167" s="355"/>
      <c r="X167" s="276"/>
      <c r="Y167" s="277"/>
      <c r="Z167" s="277"/>
      <c r="AA167" s="277"/>
      <c r="AB167" s="278"/>
      <c r="AC167" s="355"/>
      <c r="AD167" s="355"/>
      <c r="AE167" s="355"/>
      <c r="AG167" s="356"/>
      <c r="AH167" s="356"/>
      <c r="AI167" s="356"/>
      <c r="AK167" s="276"/>
      <c r="AL167" s="277"/>
      <c r="AM167" s="277"/>
      <c r="AN167" s="277"/>
      <c r="AO167" s="278"/>
      <c r="AP167" s="355"/>
      <c r="AQ167" s="355"/>
      <c r="AR167" s="355"/>
      <c r="AS167" s="355"/>
      <c r="AU167" s="276"/>
      <c r="AV167" s="277"/>
      <c r="AW167" s="277"/>
      <c r="AX167" s="1491"/>
      <c r="AY167" s="277"/>
      <c r="AZ167" s="277"/>
      <c r="BA167" s="278"/>
      <c r="BB167" s="279"/>
      <c r="BC167" s="279"/>
      <c r="BD167" s="1694"/>
      <c r="BE167" s="355"/>
      <c r="BF167" s="1694"/>
      <c r="BG167" s="1694"/>
      <c r="BI167" s="277">
        <f t="shared" si="189"/>
        <v>0</v>
      </c>
      <c r="BJ167" s="277">
        <f t="shared" si="190"/>
        <v>0</v>
      </c>
      <c r="BK167" s="277">
        <v>0</v>
      </c>
      <c r="BL167" s="277"/>
      <c r="BM167" s="278">
        <f t="shared" si="191"/>
        <v>350000000</v>
      </c>
      <c r="BN167" s="279">
        <f t="shared" si="171"/>
        <v>0</v>
      </c>
      <c r="BO167" s="279">
        <f t="shared" si="184"/>
        <v>0.01</v>
      </c>
      <c r="BP167" s="1694"/>
      <c r="BQ167" s="355">
        <f t="shared" si="162"/>
        <v>-291666.66666666669</v>
      </c>
      <c r="BR167" s="1694"/>
      <c r="BS167" s="1694"/>
      <c r="BT167" s="79"/>
      <c r="BU167" s="276">
        <f t="shared" si="110"/>
        <v>0</v>
      </c>
      <c r="BV167" s="277">
        <f t="shared" si="203"/>
        <v>0</v>
      </c>
      <c r="BW167" s="277">
        <f t="shared" si="204"/>
        <v>0</v>
      </c>
      <c r="BX167" s="277">
        <f t="shared" si="111"/>
        <v>0</v>
      </c>
      <c r="BY167" s="277">
        <f>IF('Cashflow trend'!$L$13&lt;=$C167,-$AY167,0)</f>
        <v>0</v>
      </c>
      <c r="BZ167" s="278">
        <f t="shared" si="205"/>
        <v>0</v>
      </c>
      <c r="CA167" s="279">
        <f t="shared" si="174"/>
        <v>2.4844599999999998E-2</v>
      </c>
      <c r="CB167" s="279">
        <f t="shared" ref="CB167" si="208">CB166</f>
        <v>0.01</v>
      </c>
      <c r="CC167" s="1694"/>
      <c r="CD167" s="1476">
        <f t="shared" si="207"/>
        <v>0</v>
      </c>
      <c r="CE167" s="1700"/>
      <c r="CF167" s="1700"/>
    </row>
    <row r="168" spans="1:84" ht="15">
      <c r="A168" s="273" t="s">
        <v>512</v>
      </c>
      <c r="B168" s="274">
        <v>2028</v>
      </c>
      <c r="C168" s="1503">
        <v>46905</v>
      </c>
      <c r="D168" s="274"/>
      <c r="E168" s="275"/>
      <c r="F168" s="276"/>
      <c r="G168" s="277"/>
      <c r="H168" s="277"/>
      <c r="I168" s="277"/>
      <c r="J168" s="278"/>
      <c r="K168" s="355"/>
      <c r="L168" s="355"/>
      <c r="M168" s="355"/>
      <c r="O168" s="276"/>
      <c r="P168" s="277"/>
      <c r="Q168" s="277"/>
      <c r="R168" s="277"/>
      <c r="S168" s="278"/>
      <c r="T168" s="355"/>
      <c r="U168" s="355"/>
      <c r="V168" s="355"/>
      <c r="X168" s="276"/>
      <c r="Y168" s="277"/>
      <c r="Z168" s="277"/>
      <c r="AA168" s="277"/>
      <c r="AB168" s="278"/>
      <c r="AC168" s="355"/>
      <c r="AD168" s="355"/>
      <c r="AE168" s="355"/>
      <c r="AG168" s="356"/>
      <c r="AH168" s="356"/>
      <c r="AI168" s="356"/>
      <c r="AK168" s="276"/>
      <c r="AL168" s="277"/>
      <c r="AM168" s="277"/>
      <c r="AN168" s="277"/>
      <c r="AO168" s="278"/>
      <c r="AP168" s="355"/>
      <c r="AQ168" s="355"/>
      <c r="AR168" s="355"/>
      <c r="AS168" s="355"/>
      <c r="AU168" s="276"/>
      <c r="AV168" s="277"/>
      <c r="AW168" s="277"/>
      <c r="AX168" s="1491"/>
      <c r="AY168" s="277"/>
      <c r="AZ168" s="277"/>
      <c r="BA168" s="278"/>
      <c r="BB168" s="279"/>
      <c r="BC168" s="279"/>
      <c r="BD168" s="1694"/>
      <c r="BE168" s="355"/>
      <c r="BF168" s="1694"/>
      <c r="BG168" s="1694"/>
      <c r="BI168" s="277">
        <f t="shared" si="189"/>
        <v>0</v>
      </c>
      <c r="BJ168" s="277">
        <f t="shared" si="190"/>
        <v>0</v>
      </c>
      <c r="BK168" s="277">
        <v>0</v>
      </c>
      <c r="BL168" s="277"/>
      <c r="BM168" s="278">
        <f t="shared" si="191"/>
        <v>350000000</v>
      </c>
      <c r="BN168" s="279">
        <f t="shared" si="171"/>
        <v>0</v>
      </c>
      <c r="BO168" s="279">
        <f t="shared" si="184"/>
        <v>0.01</v>
      </c>
      <c r="BP168" s="1694"/>
      <c r="BQ168" s="355">
        <f t="shared" si="162"/>
        <v>-291666.66666666669</v>
      </c>
      <c r="BR168" s="1694"/>
      <c r="BS168" s="1694"/>
      <c r="BT168" s="79"/>
      <c r="BU168" s="276">
        <f t="shared" si="110"/>
        <v>0</v>
      </c>
      <c r="BV168" s="277">
        <f t="shared" si="203"/>
        <v>0</v>
      </c>
      <c r="BW168" s="277">
        <f t="shared" si="204"/>
        <v>0</v>
      </c>
      <c r="BX168" s="277">
        <f t="shared" si="111"/>
        <v>0</v>
      </c>
      <c r="BY168" s="277">
        <f>IF('Cashflow trend'!$L$13&lt;=$C168,-$AY168,0)</f>
        <v>0</v>
      </c>
      <c r="BZ168" s="278">
        <f t="shared" si="205"/>
        <v>0</v>
      </c>
      <c r="CA168" s="279">
        <f t="shared" si="174"/>
        <v>2.4844599999999998E-2</v>
      </c>
      <c r="CB168" s="279">
        <f t="shared" ref="CB168" si="209">CB167</f>
        <v>0.01</v>
      </c>
      <c r="CC168" s="1694"/>
      <c r="CD168" s="1476">
        <f t="shared" si="207"/>
        <v>0</v>
      </c>
      <c r="CE168" s="1700"/>
      <c r="CF168" s="1700"/>
    </row>
    <row r="169" spans="1:84" ht="15">
      <c r="A169" s="273" t="s">
        <v>513</v>
      </c>
      <c r="B169" s="274">
        <v>2028</v>
      </c>
      <c r="C169" s="1503">
        <v>46935</v>
      </c>
      <c r="D169" s="274"/>
      <c r="E169" s="275"/>
      <c r="F169" s="276"/>
      <c r="G169" s="277"/>
      <c r="H169" s="277"/>
      <c r="I169" s="277"/>
      <c r="J169" s="278"/>
      <c r="K169" s="355"/>
      <c r="L169" s="355"/>
      <c r="M169" s="355"/>
      <c r="O169" s="276"/>
      <c r="P169" s="277"/>
      <c r="Q169" s="277"/>
      <c r="R169" s="277"/>
      <c r="S169" s="278"/>
      <c r="T169" s="355"/>
      <c r="U169" s="355"/>
      <c r="V169" s="355"/>
      <c r="X169" s="276"/>
      <c r="Y169" s="277"/>
      <c r="Z169" s="277"/>
      <c r="AA169" s="277"/>
      <c r="AB169" s="278"/>
      <c r="AC169" s="355"/>
      <c r="AD169" s="355"/>
      <c r="AE169" s="355"/>
      <c r="AG169" s="356"/>
      <c r="AH169" s="356"/>
      <c r="AI169" s="356"/>
      <c r="AK169" s="276"/>
      <c r="AL169" s="277"/>
      <c r="AM169" s="277"/>
      <c r="AN169" s="277"/>
      <c r="AO169" s="278"/>
      <c r="AP169" s="355"/>
      <c r="AQ169" s="355"/>
      <c r="AR169" s="355"/>
      <c r="AS169" s="355"/>
      <c r="AU169" s="276"/>
      <c r="AV169" s="277"/>
      <c r="AW169" s="277"/>
      <c r="AX169" s="1491"/>
      <c r="AY169" s="277"/>
      <c r="AZ169" s="277"/>
      <c r="BA169" s="278"/>
      <c r="BB169" s="279"/>
      <c r="BC169" s="279"/>
      <c r="BD169" s="1694"/>
      <c r="BE169" s="355"/>
      <c r="BF169" s="1694"/>
      <c r="BG169" s="1694"/>
      <c r="BI169" s="277">
        <f t="shared" si="189"/>
        <v>0</v>
      </c>
      <c r="BJ169" s="277">
        <f t="shared" si="190"/>
        <v>0</v>
      </c>
      <c r="BK169" s="277">
        <v>0</v>
      </c>
      <c r="BL169" s="277"/>
      <c r="BM169" s="278">
        <f t="shared" si="191"/>
        <v>350000000</v>
      </c>
      <c r="BN169" s="279">
        <f t="shared" si="171"/>
        <v>0</v>
      </c>
      <c r="BO169" s="279">
        <f t="shared" si="184"/>
        <v>0.01</v>
      </c>
      <c r="BP169" s="1694"/>
      <c r="BQ169" s="355">
        <f t="shared" si="162"/>
        <v>-291666.66666666669</v>
      </c>
      <c r="BR169" s="1694"/>
      <c r="BS169" s="1694"/>
      <c r="BT169" s="79"/>
      <c r="BU169" s="276">
        <f t="shared" si="110"/>
        <v>0</v>
      </c>
      <c r="BV169" s="277">
        <f t="shared" si="203"/>
        <v>0</v>
      </c>
      <c r="BW169" s="277">
        <f t="shared" si="204"/>
        <v>0</v>
      </c>
      <c r="BX169" s="277">
        <f t="shared" si="111"/>
        <v>0</v>
      </c>
      <c r="BY169" s="277">
        <f>IF('Cashflow trend'!$L$13&lt;=$C169,-$AY169,0)</f>
        <v>0</v>
      </c>
      <c r="BZ169" s="278">
        <f t="shared" si="205"/>
        <v>0</v>
      </c>
      <c r="CA169" s="279">
        <f t="shared" si="174"/>
        <v>2.4844599999999998E-2</v>
      </c>
      <c r="CB169" s="279">
        <f t="shared" ref="CB169" si="210">CB168</f>
        <v>0.01</v>
      </c>
      <c r="CC169" s="1694"/>
      <c r="CD169" s="1476">
        <f t="shared" si="207"/>
        <v>0</v>
      </c>
      <c r="CE169" s="1700"/>
      <c r="CF169" s="1700"/>
    </row>
    <row r="170" spans="1:84" ht="15">
      <c r="A170" s="273" t="s">
        <v>514</v>
      </c>
      <c r="B170" s="274">
        <v>2028</v>
      </c>
      <c r="C170" s="1503">
        <v>46966</v>
      </c>
      <c r="D170" s="274"/>
      <c r="E170" s="275"/>
      <c r="F170" s="276"/>
      <c r="G170" s="277"/>
      <c r="H170" s="277"/>
      <c r="I170" s="277"/>
      <c r="J170" s="278"/>
      <c r="K170" s="355"/>
      <c r="L170" s="355"/>
      <c r="M170" s="355"/>
      <c r="O170" s="276"/>
      <c r="P170" s="277"/>
      <c r="Q170" s="277"/>
      <c r="R170" s="277"/>
      <c r="S170" s="278"/>
      <c r="T170" s="355"/>
      <c r="U170" s="355"/>
      <c r="V170" s="355"/>
      <c r="X170" s="276"/>
      <c r="Y170" s="277"/>
      <c r="Z170" s="277"/>
      <c r="AA170" s="277"/>
      <c r="AB170" s="278"/>
      <c r="AC170" s="355"/>
      <c r="AD170" s="355"/>
      <c r="AE170" s="355"/>
      <c r="AG170" s="356"/>
      <c r="AH170" s="356"/>
      <c r="AI170" s="356"/>
      <c r="AK170" s="276"/>
      <c r="AL170" s="277"/>
      <c r="AM170" s="277"/>
      <c r="AN170" s="277"/>
      <c r="AO170" s="278"/>
      <c r="AP170" s="355"/>
      <c r="AQ170" s="355"/>
      <c r="AR170" s="355"/>
      <c r="AS170" s="355"/>
      <c r="AU170" s="276"/>
      <c r="AV170" s="277"/>
      <c r="AW170" s="277"/>
      <c r="AX170" s="1491"/>
      <c r="AY170" s="277"/>
      <c r="AZ170" s="277"/>
      <c r="BA170" s="278"/>
      <c r="BB170" s="279"/>
      <c r="BC170" s="279"/>
      <c r="BD170" s="1694"/>
      <c r="BE170" s="355"/>
      <c r="BF170" s="1694"/>
      <c r="BG170" s="1694"/>
      <c r="BI170" s="277">
        <f t="shared" si="189"/>
        <v>0</v>
      </c>
      <c r="BJ170" s="277">
        <f t="shared" si="190"/>
        <v>0</v>
      </c>
      <c r="BK170" s="277">
        <v>0</v>
      </c>
      <c r="BL170" s="277"/>
      <c r="BM170" s="278">
        <f t="shared" si="191"/>
        <v>350000000</v>
      </c>
      <c r="BN170" s="279">
        <f t="shared" si="171"/>
        <v>0</v>
      </c>
      <c r="BO170" s="279">
        <f t="shared" si="184"/>
        <v>0.01</v>
      </c>
      <c r="BP170" s="1694"/>
      <c r="BQ170" s="355">
        <f t="shared" si="162"/>
        <v>-291666.66666666669</v>
      </c>
      <c r="BR170" s="1694"/>
      <c r="BS170" s="1694"/>
      <c r="BT170" s="79"/>
      <c r="BU170" s="276">
        <f t="shared" si="110"/>
        <v>0</v>
      </c>
      <c r="BV170" s="277">
        <f t="shared" si="203"/>
        <v>0</v>
      </c>
      <c r="BW170" s="277">
        <f t="shared" si="204"/>
        <v>0</v>
      </c>
      <c r="BX170" s="277">
        <f t="shared" si="111"/>
        <v>0</v>
      </c>
      <c r="BY170" s="277">
        <f>IF('Cashflow trend'!$L$13&lt;=$C170,-$AY170,0)</f>
        <v>0</v>
      </c>
      <c r="BZ170" s="278">
        <f t="shared" si="205"/>
        <v>0</v>
      </c>
      <c r="CA170" s="279">
        <f t="shared" si="174"/>
        <v>2.4844599999999998E-2</v>
      </c>
      <c r="CB170" s="279">
        <f t="shared" ref="CB170" si="211">CB169</f>
        <v>0.01</v>
      </c>
      <c r="CC170" s="1694"/>
      <c r="CD170" s="1476">
        <f t="shared" si="207"/>
        <v>0</v>
      </c>
      <c r="CE170" s="1700"/>
      <c r="CF170" s="1700"/>
    </row>
    <row r="171" spans="1:84" ht="15">
      <c r="A171" s="273" t="s">
        <v>515</v>
      </c>
      <c r="B171" s="274">
        <v>2028</v>
      </c>
      <c r="C171" s="1503">
        <v>46997</v>
      </c>
      <c r="D171" s="274"/>
      <c r="E171" s="275"/>
      <c r="F171" s="276"/>
      <c r="G171" s="277"/>
      <c r="H171" s="277"/>
      <c r="I171" s="277"/>
      <c r="J171" s="278"/>
      <c r="K171" s="355"/>
      <c r="L171" s="355"/>
      <c r="M171" s="355"/>
      <c r="O171" s="276"/>
      <c r="P171" s="277"/>
      <c r="Q171" s="277"/>
      <c r="R171" s="277"/>
      <c r="S171" s="278"/>
      <c r="T171" s="355"/>
      <c r="U171" s="355"/>
      <c r="V171" s="355"/>
      <c r="X171" s="276"/>
      <c r="Y171" s="277"/>
      <c r="Z171" s="277"/>
      <c r="AA171" s="277"/>
      <c r="AB171" s="278"/>
      <c r="AC171" s="355"/>
      <c r="AD171" s="355"/>
      <c r="AE171" s="355"/>
      <c r="AG171" s="356"/>
      <c r="AH171" s="356"/>
      <c r="AI171" s="356"/>
      <c r="AK171" s="276"/>
      <c r="AL171" s="277"/>
      <c r="AM171" s="277"/>
      <c r="AN171" s="277"/>
      <c r="AO171" s="278"/>
      <c r="AP171" s="355"/>
      <c r="AQ171" s="355"/>
      <c r="AR171" s="355"/>
      <c r="AS171" s="355"/>
      <c r="AU171" s="276"/>
      <c r="AV171" s="277"/>
      <c r="AW171" s="277"/>
      <c r="AX171" s="1491"/>
      <c r="AY171" s="277"/>
      <c r="AZ171" s="277"/>
      <c r="BA171" s="278"/>
      <c r="BB171" s="279"/>
      <c r="BC171" s="279"/>
      <c r="BD171" s="1694"/>
      <c r="BE171" s="355"/>
      <c r="BF171" s="1694"/>
      <c r="BG171" s="1694"/>
      <c r="BI171" s="277">
        <f t="shared" si="189"/>
        <v>0</v>
      </c>
      <c r="BJ171" s="277">
        <f t="shared" si="190"/>
        <v>0</v>
      </c>
      <c r="BK171" s="277">
        <v>0</v>
      </c>
      <c r="BL171" s="277"/>
      <c r="BM171" s="278">
        <f t="shared" si="191"/>
        <v>350000000</v>
      </c>
      <c r="BN171" s="279">
        <f t="shared" si="171"/>
        <v>0</v>
      </c>
      <c r="BO171" s="279">
        <f t="shared" si="184"/>
        <v>0.01</v>
      </c>
      <c r="BP171" s="1694"/>
      <c r="BQ171" s="355">
        <f t="shared" si="162"/>
        <v>-291666.66666666669</v>
      </c>
      <c r="BR171" s="1694"/>
      <c r="BS171" s="1694"/>
      <c r="BT171" s="79"/>
      <c r="BU171" s="276">
        <f t="shared" si="110"/>
        <v>0</v>
      </c>
      <c r="BV171" s="277">
        <f t="shared" si="203"/>
        <v>0</v>
      </c>
      <c r="BW171" s="277">
        <f t="shared" si="204"/>
        <v>0</v>
      </c>
      <c r="BX171" s="277">
        <f t="shared" si="111"/>
        <v>0</v>
      </c>
      <c r="BY171" s="277">
        <f>IF('Cashflow trend'!$L$13&lt;=$C171,-$AY171,0)</f>
        <v>0</v>
      </c>
      <c r="BZ171" s="278">
        <f t="shared" si="205"/>
        <v>0</v>
      </c>
      <c r="CA171" s="279">
        <f t="shared" si="174"/>
        <v>2.4844599999999998E-2</v>
      </c>
      <c r="CB171" s="279">
        <f t="shared" ref="CB171" si="212">CB170</f>
        <v>0.01</v>
      </c>
      <c r="CC171" s="1694"/>
      <c r="CD171" s="1476">
        <f t="shared" si="207"/>
        <v>0</v>
      </c>
      <c r="CE171" s="1700"/>
      <c r="CF171" s="1700"/>
    </row>
    <row r="172" spans="1:84" ht="15">
      <c r="A172" s="273" t="s">
        <v>516</v>
      </c>
      <c r="B172" s="274">
        <v>2028</v>
      </c>
      <c r="C172" s="1503">
        <v>47027</v>
      </c>
      <c r="D172" s="274"/>
      <c r="E172" s="275"/>
      <c r="F172" s="276"/>
      <c r="G172" s="277"/>
      <c r="H172" s="277"/>
      <c r="I172" s="277"/>
      <c r="J172" s="278"/>
      <c r="K172" s="355"/>
      <c r="L172" s="355"/>
      <c r="M172" s="355"/>
      <c r="O172" s="276"/>
      <c r="P172" s="277"/>
      <c r="Q172" s="277"/>
      <c r="R172" s="277"/>
      <c r="S172" s="278"/>
      <c r="T172" s="355"/>
      <c r="U172" s="355"/>
      <c r="V172" s="355"/>
      <c r="X172" s="276"/>
      <c r="Y172" s="277"/>
      <c r="Z172" s="277"/>
      <c r="AA172" s="277"/>
      <c r="AB172" s="278"/>
      <c r="AC172" s="355"/>
      <c r="AD172" s="355"/>
      <c r="AE172" s="355"/>
      <c r="AG172" s="356"/>
      <c r="AH172" s="356"/>
      <c r="AI172" s="356"/>
      <c r="AK172" s="276"/>
      <c r="AL172" s="277"/>
      <c r="AM172" s="277"/>
      <c r="AN172" s="277"/>
      <c r="AO172" s="278"/>
      <c r="AP172" s="355"/>
      <c r="AQ172" s="355"/>
      <c r="AR172" s="355"/>
      <c r="AS172" s="355"/>
      <c r="AU172" s="276"/>
      <c r="AV172" s="277"/>
      <c r="AW172" s="277"/>
      <c r="AX172" s="1491"/>
      <c r="AY172" s="277"/>
      <c r="AZ172" s="277"/>
      <c r="BA172" s="278"/>
      <c r="BB172" s="279"/>
      <c r="BC172" s="279"/>
      <c r="BD172" s="1694"/>
      <c r="BE172" s="355"/>
      <c r="BF172" s="1694"/>
      <c r="BG172" s="1694"/>
      <c r="BI172" s="277">
        <f t="shared" si="189"/>
        <v>0</v>
      </c>
      <c r="BJ172" s="277">
        <f t="shared" si="190"/>
        <v>0</v>
      </c>
      <c r="BK172" s="277">
        <v>0</v>
      </c>
      <c r="BL172" s="277"/>
      <c r="BM172" s="278">
        <f t="shared" si="191"/>
        <v>350000000</v>
      </c>
      <c r="BN172" s="279">
        <f t="shared" si="171"/>
        <v>0</v>
      </c>
      <c r="BO172" s="279">
        <f t="shared" si="184"/>
        <v>0.01</v>
      </c>
      <c r="BP172" s="1694"/>
      <c r="BQ172" s="355">
        <f t="shared" si="162"/>
        <v>-291666.66666666669</v>
      </c>
      <c r="BR172" s="1694"/>
      <c r="BS172" s="1694"/>
      <c r="BT172" s="79"/>
      <c r="BU172" s="276">
        <f t="shared" si="110"/>
        <v>0</v>
      </c>
      <c r="BV172" s="277">
        <f t="shared" si="203"/>
        <v>0</v>
      </c>
      <c r="BW172" s="277">
        <f t="shared" si="204"/>
        <v>0</v>
      </c>
      <c r="BX172" s="277">
        <f t="shared" si="111"/>
        <v>0</v>
      </c>
      <c r="BY172" s="277">
        <f>IF('Cashflow trend'!$L$13&lt;=$C172,-$AY172,0)</f>
        <v>0</v>
      </c>
      <c r="BZ172" s="278">
        <f t="shared" si="205"/>
        <v>0</v>
      </c>
      <c r="CA172" s="279">
        <f t="shared" si="174"/>
        <v>2.4844599999999998E-2</v>
      </c>
      <c r="CB172" s="279">
        <f t="shared" ref="CB172" si="213">CB171</f>
        <v>0.01</v>
      </c>
      <c r="CC172" s="1694"/>
      <c r="CD172" s="1476">
        <f t="shared" si="207"/>
        <v>0</v>
      </c>
      <c r="CE172" s="1700"/>
      <c r="CF172" s="1700"/>
    </row>
    <row r="173" spans="1:84" ht="15">
      <c r="A173" s="273" t="s">
        <v>517</v>
      </c>
      <c r="B173" s="274">
        <v>2028</v>
      </c>
      <c r="C173" s="1503">
        <v>47058</v>
      </c>
      <c r="D173" s="274"/>
      <c r="E173" s="275"/>
      <c r="F173" s="276"/>
      <c r="G173" s="277"/>
      <c r="H173" s="277"/>
      <c r="I173" s="277"/>
      <c r="J173" s="278"/>
      <c r="K173" s="355"/>
      <c r="L173" s="355"/>
      <c r="M173" s="355"/>
      <c r="O173" s="276"/>
      <c r="P173" s="277"/>
      <c r="Q173" s="277"/>
      <c r="R173" s="277"/>
      <c r="S173" s="278"/>
      <c r="T173" s="355"/>
      <c r="U173" s="355"/>
      <c r="V173" s="355"/>
      <c r="X173" s="276"/>
      <c r="Y173" s="277"/>
      <c r="Z173" s="277"/>
      <c r="AA173" s="277"/>
      <c r="AB173" s="278"/>
      <c r="AC173" s="355"/>
      <c r="AD173" s="355"/>
      <c r="AE173" s="355"/>
      <c r="AG173" s="356"/>
      <c r="AH173" s="356"/>
      <c r="AI173" s="356"/>
      <c r="AK173" s="276"/>
      <c r="AL173" s="277"/>
      <c r="AM173" s="277"/>
      <c r="AN173" s="277"/>
      <c r="AO173" s="278"/>
      <c r="AP173" s="355"/>
      <c r="AQ173" s="355"/>
      <c r="AR173" s="355"/>
      <c r="AS173" s="355"/>
      <c r="AU173" s="276"/>
      <c r="AV173" s="277"/>
      <c r="AW173" s="277"/>
      <c r="AX173" s="1491"/>
      <c r="AY173" s="277"/>
      <c r="AZ173" s="277"/>
      <c r="BA173" s="278"/>
      <c r="BB173" s="279"/>
      <c r="BC173" s="279"/>
      <c r="BD173" s="1694"/>
      <c r="BE173" s="355"/>
      <c r="BF173" s="1694"/>
      <c r="BG173" s="1694"/>
      <c r="BI173" s="277">
        <f t="shared" si="189"/>
        <v>0</v>
      </c>
      <c r="BJ173" s="277">
        <f t="shared" si="190"/>
        <v>0</v>
      </c>
      <c r="BK173" s="277">
        <v>0</v>
      </c>
      <c r="BL173" s="277"/>
      <c r="BM173" s="278">
        <f t="shared" si="191"/>
        <v>350000000</v>
      </c>
      <c r="BN173" s="279">
        <f t="shared" si="171"/>
        <v>0</v>
      </c>
      <c r="BO173" s="279">
        <f t="shared" si="184"/>
        <v>0.01</v>
      </c>
      <c r="BP173" s="1694"/>
      <c r="BQ173" s="355">
        <f t="shared" si="162"/>
        <v>-291666.66666666669</v>
      </c>
      <c r="BR173" s="1694"/>
      <c r="BS173" s="1694"/>
      <c r="BT173" s="79"/>
      <c r="BU173" s="276">
        <f t="shared" ref="BU173:BU201" si="214">IF(OR($BU172=0,$BU172&gt;=60),IF($BY172&lt;&gt;0,1,0),$BU172+1)</f>
        <v>0</v>
      </c>
      <c r="BV173" s="277">
        <f t="shared" si="203"/>
        <v>0</v>
      </c>
      <c r="BW173" s="277">
        <f t="shared" si="204"/>
        <v>0</v>
      </c>
      <c r="BX173" s="277">
        <f t="shared" ref="BX173:BX201" si="215">IF($BU173&lt;&gt;0,-$BY$202/60,0)</f>
        <v>0</v>
      </c>
      <c r="BY173" s="277">
        <f>IF('Cashflow trend'!$L$13&lt;=$C173,-$AY173,0)</f>
        <v>0</v>
      </c>
      <c r="BZ173" s="278">
        <f t="shared" si="205"/>
        <v>0</v>
      </c>
      <c r="CA173" s="279">
        <f t="shared" si="174"/>
        <v>2.4844599999999998E-2</v>
      </c>
      <c r="CB173" s="279">
        <f t="shared" ref="CB173" si="216">CB172</f>
        <v>0.01</v>
      </c>
      <c r="CC173" s="1694"/>
      <c r="CD173" s="1476">
        <f t="shared" si="207"/>
        <v>0</v>
      </c>
      <c r="CE173" s="1700"/>
      <c r="CF173" s="1700"/>
    </row>
    <row r="174" spans="1:84" ht="15">
      <c r="A174" s="273" t="s">
        <v>518</v>
      </c>
      <c r="B174" s="274">
        <v>2028</v>
      </c>
      <c r="C174" s="1503">
        <v>47088</v>
      </c>
      <c r="D174" s="274"/>
      <c r="E174" s="275"/>
      <c r="F174" s="276"/>
      <c r="G174" s="277"/>
      <c r="H174" s="277"/>
      <c r="I174" s="277"/>
      <c r="J174" s="278"/>
      <c r="K174" s="355"/>
      <c r="L174" s="355"/>
      <c r="M174" s="355"/>
      <c r="O174" s="276"/>
      <c r="P174" s="277"/>
      <c r="Q174" s="277"/>
      <c r="R174" s="277"/>
      <c r="S174" s="278"/>
      <c r="T174" s="355"/>
      <c r="U174" s="355"/>
      <c r="V174" s="355"/>
      <c r="X174" s="276"/>
      <c r="Y174" s="277"/>
      <c r="Z174" s="277"/>
      <c r="AA174" s="277"/>
      <c r="AB174" s="278"/>
      <c r="AC174" s="355"/>
      <c r="AD174" s="355"/>
      <c r="AE174" s="355"/>
      <c r="AG174" s="356"/>
      <c r="AH174" s="356"/>
      <c r="AI174" s="356"/>
      <c r="AK174" s="276"/>
      <c r="AL174" s="277"/>
      <c r="AM174" s="277"/>
      <c r="AN174" s="277"/>
      <c r="AO174" s="278"/>
      <c r="AP174" s="355"/>
      <c r="AQ174" s="355"/>
      <c r="AR174" s="355"/>
      <c r="AS174" s="355"/>
      <c r="AU174" s="276"/>
      <c r="AV174" s="277"/>
      <c r="AW174" s="277"/>
      <c r="AX174" s="1491"/>
      <c r="AY174" s="277"/>
      <c r="AZ174" s="277"/>
      <c r="BA174" s="278"/>
      <c r="BB174" s="279"/>
      <c r="BC174" s="279"/>
      <c r="BD174" s="1694"/>
      <c r="BE174" s="355"/>
      <c r="BF174" s="1694"/>
      <c r="BG174" s="1694"/>
      <c r="BI174" s="277">
        <f t="shared" si="189"/>
        <v>0</v>
      </c>
      <c r="BJ174" s="277">
        <f t="shared" si="190"/>
        <v>0</v>
      </c>
      <c r="BK174" s="277">
        <v>0</v>
      </c>
      <c r="BL174" s="277"/>
      <c r="BM174" s="278">
        <f t="shared" si="191"/>
        <v>350000000</v>
      </c>
      <c r="BN174" s="279">
        <f t="shared" si="171"/>
        <v>0</v>
      </c>
      <c r="BO174" s="279">
        <f t="shared" si="184"/>
        <v>0.01</v>
      </c>
      <c r="BP174" s="1694"/>
      <c r="BQ174" s="355">
        <f t="shared" si="162"/>
        <v>-291666.66666666669</v>
      </c>
      <c r="BR174" s="1694"/>
      <c r="BS174" s="1694"/>
      <c r="BT174" s="79"/>
      <c r="BU174" s="276">
        <f t="shared" si="214"/>
        <v>0</v>
      </c>
      <c r="BV174" s="277">
        <f t="shared" si="203"/>
        <v>0</v>
      </c>
      <c r="BW174" s="277">
        <f t="shared" si="204"/>
        <v>0</v>
      </c>
      <c r="BX174" s="277">
        <f t="shared" si="215"/>
        <v>0</v>
      </c>
      <c r="BY174" s="277">
        <f>IF('Cashflow trend'!$L$13&lt;=$C174,-$AY174,0)</f>
        <v>0</v>
      </c>
      <c r="BZ174" s="278">
        <f t="shared" si="205"/>
        <v>0</v>
      </c>
      <c r="CA174" s="279">
        <f t="shared" si="174"/>
        <v>2.4844599999999998E-2</v>
      </c>
      <c r="CB174" s="279">
        <f t="shared" ref="CB174" si="217">CB173</f>
        <v>0.01</v>
      </c>
      <c r="CC174" s="1694"/>
      <c r="CD174" s="1476">
        <f t="shared" si="207"/>
        <v>0</v>
      </c>
      <c r="CE174" s="1700"/>
      <c r="CF174" s="1700"/>
    </row>
    <row r="175" spans="1:84" ht="15">
      <c r="A175" s="273" t="s">
        <v>519</v>
      </c>
      <c r="B175" s="274">
        <v>2029</v>
      </c>
      <c r="C175" s="1503">
        <v>47119</v>
      </c>
      <c r="D175" s="274"/>
      <c r="E175" s="275"/>
      <c r="F175" s="276"/>
      <c r="G175" s="277"/>
      <c r="H175" s="277"/>
      <c r="I175" s="277"/>
      <c r="J175" s="278"/>
      <c r="K175" s="355"/>
      <c r="L175" s="355"/>
      <c r="M175" s="355"/>
      <c r="O175" s="276"/>
      <c r="P175" s="277"/>
      <c r="Q175" s="277"/>
      <c r="R175" s="277"/>
      <c r="S175" s="278"/>
      <c r="T175" s="355"/>
      <c r="U175" s="355"/>
      <c r="V175" s="355"/>
      <c r="X175" s="276"/>
      <c r="Y175" s="277"/>
      <c r="Z175" s="277"/>
      <c r="AA175" s="277"/>
      <c r="AB175" s="278"/>
      <c r="AC175" s="355"/>
      <c r="AD175" s="355"/>
      <c r="AE175" s="355"/>
      <c r="AG175" s="356"/>
      <c r="AH175" s="356"/>
      <c r="AI175" s="356"/>
      <c r="AK175" s="276"/>
      <c r="AL175" s="277"/>
      <c r="AM175" s="277"/>
      <c r="AN175" s="277"/>
      <c r="AO175" s="278"/>
      <c r="AP175" s="355"/>
      <c r="AQ175" s="355"/>
      <c r="AR175" s="355"/>
      <c r="AS175" s="355"/>
      <c r="AU175" s="276"/>
      <c r="AV175" s="277"/>
      <c r="AW175" s="277"/>
      <c r="AX175" s="1491"/>
      <c r="AY175" s="277"/>
      <c r="AZ175" s="277"/>
      <c r="BA175" s="278"/>
      <c r="BB175" s="279"/>
      <c r="BC175" s="279"/>
      <c r="BD175" s="1694"/>
      <c r="BE175" s="355"/>
      <c r="BF175" s="1694"/>
      <c r="BG175" s="1694"/>
      <c r="BI175" s="277">
        <f t="shared" si="189"/>
        <v>0</v>
      </c>
      <c r="BJ175" s="277">
        <f t="shared" si="190"/>
        <v>0</v>
      </c>
      <c r="BK175" s="277">
        <v>0</v>
      </c>
      <c r="BL175" s="277"/>
      <c r="BM175" s="278">
        <f t="shared" si="191"/>
        <v>350000000</v>
      </c>
      <c r="BN175" s="279">
        <f t="shared" si="171"/>
        <v>0</v>
      </c>
      <c r="BO175" s="279">
        <f t="shared" si="184"/>
        <v>0.01</v>
      </c>
      <c r="BP175" s="1694"/>
      <c r="BQ175" s="355">
        <f t="shared" si="162"/>
        <v>-291666.66666666669</v>
      </c>
      <c r="BR175" s="1694"/>
      <c r="BS175" s="1694"/>
      <c r="BT175" s="79"/>
      <c r="BU175" s="276">
        <f t="shared" si="214"/>
        <v>0</v>
      </c>
      <c r="BV175" s="277">
        <f t="shared" si="203"/>
        <v>0</v>
      </c>
      <c r="BW175" s="277">
        <f t="shared" si="204"/>
        <v>0</v>
      </c>
      <c r="BX175" s="277">
        <f t="shared" si="215"/>
        <v>0</v>
      </c>
      <c r="BY175" s="277">
        <f>IF('Cashflow trend'!$L$13&lt;=$C175,-$AY175,0)</f>
        <v>0</v>
      </c>
      <c r="BZ175" s="278">
        <f t="shared" si="205"/>
        <v>0</v>
      </c>
      <c r="CA175" s="279">
        <f t="shared" si="174"/>
        <v>2.4844599999999998E-2</v>
      </c>
      <c r="CB175" s="279">
        <f t="shared" ref="CB175" si="218">CB174</f>
        <v>0.01</v>
      </c>
      <c r="CC175" s="1694"/>
      <c r="CD175" s="1476">
        <f t="shared" si="207"/>
        <v>0</v>
      </c>
      <c r="CE175" s="1700"/>
      <c r="CF175" s="1700"/>
    </row>
    <row r="176" spans="1:84" ht="15">
      <c r="A176" s="273" t="s">
        <v>520</v>
      </c>
      <c r="B176" s="274">
        <v>2029</v>
      </c>
      <c r="C176" s="1503">
        <v>47150</v>
      </c>
      <c r="D176" s="274"/>
      <c r="E176" s="275"/>
      <c r="F176" s="276"/>
      <c r="G176" s="277"/>
      <c r="H176" s="277"/>
      <c r="I176" s="277"/>
      <c r="J176" s="278"/>
      <c r="K176" s="355"/>
      <c r="L176" s="355"/>
      <c r="M176" s="355"/>
      <c r="O176" s="276"/>
      <c r="P176" s="277"/>
      <c r="Q176" s="277"/>
      <c r="R176" s="277"/>
      <c r="S176" s="278"/>
      <c r="T176" s="355"/>
      <c r="U176" s="355"/>
      <c r="V176" s="355"/>
      <c r="X176" s="276"/>
      <c r="Y176" s="277"/>
      <c r="Z176" s="277"/>
      <c r="AA176" s="277"/>
      <c r="AB176" s="278"/>
      <c r="AC176" s="355"/>
      <c r="AD176" s="355"/>
      <c r="AE176" s="355"/>
      <c r="AG176" s="356"/>
      <c r="AH176" s="356"/>
      <c r="AI176" s="356"/>
      <c r="AK176" s="276"/>
      <c r="AL176" s="277"/>
      <c r="AM176" s="277"/>
      <c r="AN176" s="277"/>
      <c r="AO176" s="278"/>
      <c r="AP176" s="355"/>
      <c r="AQ176" s="355"/>
      <c r="AR176" s="355"/>
      <c r="AS176" s="355"/>
      <c r="AU176" s="276"/>
      <c r="AV176" s="277"/>
      <c r="AW176" s="277"/>
      <c r="AX176" s="1491"/>
      <c r="AY176" s="277"/>
      <c r="AZ176" s="277"/>
      <c r="BA176" s="278"/>
      <c r="BB176" s="279"/>
      <c r="BC176" s="279"/>
      <c r="BD176" s="1694"/>
      <c r="BE176" s="355"/>
      <c r="BF176" s="1694"/>
      <c r="BG176" s="1694"/>
      <c r="BI176" s="277">
        <f t="shared" si="189"/>
        <v>0</v>
      </c>
      <c r="BJ176" s="277">
        <f t="shared" si="190"/>
        <v>0</v>
      </c>
      <c r="BK176" s="277">
        <v>0</v>
      </c>
      <c r="BL176" s="277"/>
      <c r="BM176" s="278">
        <f t="shared" si="191"/>
        <v>350000000</v>
      </c>
      <c r="BN176" s="279">
        <f t="shared" si="171"/>
        <v>0</v>
      </c>
      <c r="BO176" s="279">
        <f t="shared" si="184"/>
        <v>0.01</v>
      </c>
      <c r="BP176" s="1694"/>
      <c r="BQ176" s="355">
        <f t="shared" si="162"/>
        <v>-291666.66666666669</v>
      </c>
      <c r="BR176" s="1694"/>
      <c r="BS176" s="1694"/>
      <c r="BT176" s="79"/>
      <c r="BU176" s="276">
        <f t="shared" si="214"/>
        <v>0</v>
      </c>
      <c r="BV176" s="277">
        <f t="shared" si="203"/>
        <v>0</v>
      </c>
      <c r="BW176" s="277">
        <f t="shared" si="204"/>
        <v>0</v>
      </c>
      <c r="BX176" s="277">
        <f t="shared" si="215"/>
        <v>0</v>
      </c>
      <c r="BY176" s="277">
        <f>IF('Cashflow trend'!$L$13&lt;=$C176,-$AY176,0)</f>
        <v>0</v>
      </c>
      <c r="BZ176" s="278">
        <f t="shared" si="205"/>
        <v>0</v>
      </c>
      <c r="CA176" s="279">
        <f t="shared" si="174"/>
        <v>2.4844599999999998E-2</v>
      </c>
      <c r="CB176" s="279">
        <f t="shared" ref="CB176" si="219">CB175</f>
        <v>0.01</v>
      </c>
      <c r="CC176" s="1694"/>
      <c r="CD176" s="1476">
        <f t="shared" si="207"/>
        <v>0</v>
      </c>
      <c r="CE176" s="1700"/>
      <c r="CF176" s="1700"/>
    </row>
    <row r="177" spans="1:84" ht="15">
      <c r="A177" s="273" t="s">
        <v>521</v>
      </c>
      <c r="B177" s="274">
        <v>2029</v>
      </c>
      <c r="C177" s="1503">
        <v>47178</v>
      </c>
      <c r="D177" s="274"/>
      <c r="E177" s="275"/>
      <c r="F177" s="276"/>
      <c r="G177" s="277"/>
      <c r="H177" s="277"/>
      <c r="I177" s="277"/>
      <c r="J177" s="278"/>
      <c r="K177" s="355"/>
      <c r="L177" s="355"/>
      <c r="M177" s="355"/>
      <c r="O177" s="276"/>
      <c r="P177" s="277"/>
      <c r="Q177" s="277"/>
      <c r="R177" s="277"/>
      <c r="S177" s="278"/>
      <c r="T177" s="355"/>
      <c r="U177" s="355"/>
      <c r="V177" s="355"/>
      <c r="X177" s="276"/>
      <c r="Y177" s="277"/>
      <c r="Z177" s="277"/>
      <c r="AA177" s="277"/>
      <c r="AB177" s="278"/>
      <c r="AC177" s="355"/>
      <c r="AD177" s="355"/>
      <c r="AE177" s="355"/>
      <c r="AG177" s="356"/>
      <c r="AH177" s="356"/>
      <c r="AI177" s="356"/>
      <c r="AK177" s="276"/>
      <c r="AL177" s="277"/>
      <c r="AM177" s="277"/>
      <c r="AN177" s="277"/>
      <c r="AO177" s="278"/>
      <c r="AP177" s="355"/>
      <c r="AQ177" s="355"/>
      <c r="AR177" s="355"/>
      <c r="AS177" s="355"/>
      <c r="AU177" s="276"/>
      <c r="AV177" s="277"/>
      <c r="AW177" s="277"/>
      <c r="AX177" s="1491"/>
      <c r="AY177" s="277"/>
      <c r="AZ177" s="277"/>
      <c r="BA177" s="278"/>
      <c r="BB177" s="279"/>
      <c r="BC177" s="279"/>
      <c r="BD177" s="1694"/>
      <c r="BE177" s="355"/>
      <c r="BF177" s="1694"/>
      <c r="BG177" s="1694"/>
      <c r="BH177" s="229">
        <f>'Cashflow trend'!O23</f>
        <v>34357.592959075897</v>
      </c>
      <c r="BI177" s="277">
        <f t="shared" si="189"/>
        <v>0</v>
      </c>
      <c r="BJ177" s="277">
        <f t="shared" si="190"/>
        <v>0</v>
      </c>
      <c r="BK177" s="277">
        <v>0</v>
      </c>
      <c r="BL177" s="277"/>
      <c r="BM177" s="278">
        <f t="shared" si="191"/>
        <v>350000000</v>
      </c>
      <c r="BN177" s="279">
        <f t="shared" si="171"/>
        <v>0</v>
      </c>
      <c r="BO177" s="279">
        <f t="shared" si="184"/>
        <v>0.01</v>
      </c>
      <c r="BP177" s="1694"/>
      <c r="BQ177" s="355">
        <f t="shared" si="162"/>
        <v>-291666.66666666669</v>
      </c>
      <c r="BR177" s="1694"/>
      <c r="BS177" s="1694"/>
      <c r="BT177" s="79"/>
      <c r="BU177" s="276">
        <f t="shared" si="214"/>
        <v>0</v>
      </c>
      <c r="BV177" s="277">
        <f t="shared" si="203"/>
        <v>0</v>
      </c>
      <c r="BW177" s="277">
        <f t="shared" si="204"/>
        <v>0</v>
      </c>
      <c r="BX177" s="277">
        <f t="shared" si="215"/>
        <v>0</v>
      </c>
      <c r="BY177" s="277">
        <f>IF('Cashflow trend'!$L$13&lt;=$C177,-$AY177,0)</f>
        <v>0</v>
      </c>
      <c r="BZ177" s="278">
        <f t="shared" si="205"/>
        <v>0</v>
      </c>
      <c r="CA177" s="279">
        <f t="shared" si="174"/>
        <v>2.4844599999999998E-2</v>
      </c>
      <c r="CB177" s="279">
        <f t="shared" ref="CB177" si="220">CB176</f>
        <v>0.01</v>
      </c>
      <c r="CC177" s="1694"/>
      <c r="CD177" s="1476">
        <f t="shared" si="207"/>
        <v>0</v>
      </c>
      <c r="CE177" s="1701"/>
      <c r="CF177" s="1701"/>
    </row>
    <row r="178" spans="1:84" s="1488" customFormat="1" ht="15">
      <c r="A178" s="270" t="s">
        <v>510</v>
      </c>
      <c r="B178" s="266">
        <v>2029</v>
      </c>
      <c r="C178" s="1504">
        <v>47209</v>
      </c>
      <c r="D178" s="266"/>
      <c r="E178" s="265"/>
      <c r="F178" s="267"/>
      <c r="G178" s="268"/>
      <c r="H178" s="268"/>
      <c r="I178" s="268"/>
      <c r="J178" s="269"/>
      <c r="K178" s="1478"/>
      <c r="L178" s="1478"/>
      <c r="M178" s="1478"/>
      <c r="O178" s="267"/>
      <c r="P178" s="268"/>
      <c r="Q178" s="268"/>
      <c r="R178" s="268"/>
      <c r="S178" s="269"/>
      <c r="T178" s="1478"/>
      <c r="U178" s="1478"/>
      <c r="V178" s="1478"/>
      <c r="X178" s="267"/>
      <c r="Y178" s="268"/>
      <c r="Z178" s="268"/>
      <c r="AA178" s="268"/>
      <c r="AB178" s="269"/>
      <c r="AC178" s="1478"/>
      <c r="AD178" s="1478"/>
      <c r="AE178" s="1478"/>
      <c r="AG178" s="1479"/>
      <c r="AH178" s="1479"/>
      <c r="AI178" s="1479"/>
      <c r="AK178" s="267"/>
      <c r="AL178" s="268"/>
      <c r="AM178" s="268"/>
      <c r="AN178" s="268"/>
      <c r="AO178" s="269"/>
      <c r="AP178" s="1478"/>
      <c r="AQ178" s="1478"/>
      <c r="AR178" s="1478"/>
      <c r="AS178" s="1478"/>
      <c r="AU178" s="267"/>
      <c r="AV178" s="268"/>
      <c r="AW178" s="268"/>
      <c r="AX178" s="1490"/>
      <c r="AY178" s="268"/>
      <c r="AZ178" s="268"/>
      <c r="BA178" s="269"/>
      <c r="BB178" s="272"/>
      <c r="BC178" s="272"/>
      <c r="BD178" s="1695"/>
      <c r="BE178" s="1478"/>
      <c r="BF178" s="1695"/>
      <c r="BG178" s="1695"/>
      <c r="BI178" s="268">
        <f t="shared" ref="BI178:BI201" si="221">SUM(BJ178:BK178)</f>
        <v>0</v>
      </c>
      <c r="BJ178" s="268">
        <f t="shared" ref="BJ178:BJ201" si="222">-BM177*BN177/12</f>
        <v>0</v>
      </c>
      <c r="BK178" s="268">
        <v>0</v>
      </c>
      <c r="BL178" s="268"/>
      <c r="BM178" s="269">
        <f t="shared" ref="BM178:BM201" si="223">SUM(BK178:BL178)+BM177</f>
        <v>350000000</v>
      </c>
      <c r="BN178" s="272">
        <f t="shared" ref="BN178" si="224">BN177</f>
        <v>0</v>
      </c>
      <c r="BO178" s="272">
        <f t="shared" si="184"/>
        <v>0.01</v>
      </c>
      <c r="BP178" s="1695" t="s">
        <v>18</v>
      </c>
      <c r="BQ178" s="1478">
        <f t="shared" ref="BQ178:BQ201" si="225">-BM177*BO178/12</f>
        <v>-291666.66666666669</v>
      </c>
      <c r="BR178" s="1695">
        <f>SUM(BJ178:BJ189)</f>
        <v>0</v>
      </c>
      <c r="BS178" s="1695">
        <f>SUM(BK178:BL189)</f>
        <v>0</v>
      </c>
      <c r="BT178" s="79"/>
      <c r="BU178" s="267">
        <f t="shared" si="214"/>
        <v>0</v>
      </c>
      <c r="BV178" s="268"/>
      <c r="BW178" s="268"/>
      <c r="BX178" s="268">
        <f t="shared" si="215"/>
        <v>0</v>
      </c>
      <c r="BY178" s="268">
        <f>IF('Cashflow trend'!$L$13&lt;=$C178,-$AY178,0)</f>
        <v>0</v>
      </c>
      <c r="BZ178" s="269"/>
      <c r="CA178" s="272"/>
      <c r="CB178" s="272"/>
      <c r="CC178" s="1695"/>
      <c r="CD178" s="1478"/>
      <c r="CE178" s="1695"/>
      <c r="CF178" s="1695"/>
    </row>
    <row r="179" spans="1:84" s="1488" customFormat="1" ht="15">
      <c r="A179" s="270" t="s">
        <v>511</v>
      </c>
      <c r="B179" s="266">
        <v>2029</v>
      </c>
      <c r="C179" s="1504">
        <v>47239</v>
      </c>
      <c r="D179" s="266"/>
      <c r="E179" s="265"/>
      <c r="F179" s="267"/>
      <c r="G179" s="268"/>
      <c r="H179" s="268"/>
      <c r="I179" s="268"/>
      <c r="J179" s="269"/>
      <c r="K179" s="1478"/>
      <c r="L179" s="1478"/>
      <c r="M179" s="1478"/>
      <c r="O179" s="267"/>
      <c r="P179" s="268"/>
      <c r="Q179" s="268"/>
      <c r="R179" s="268"/>
      <c r="S179" s="269"/>
      <c r="T179" s="1478"/>
      <c r="U179" s="1478"/>
      <c r="V179" s="1478"/>
      <c r="X179" s="267"/>
      <c r="Y179" s="268"/>
      <c r="Z179" s="268"/>
      <c r="AA179" s="268"/>
      <c r="AB179" s="269"/>
      <c r="AC179" s="1478"/>
      <c r="AD179" s="1478"/>
      <c r="AE179" s="1478"/>
      <c r="AG179" s="1479"/>
      <c r="AH179" s="1479"/>
      <c r="AI179" s="1479"/>
      <c r="AK179" s="267"/>
      <c r="AL179" s="268"/>
      <c r="AM179" s="268"/>
      <c r="AN179" s="268"/>
      <c r="AO179" s="269"/>
      <c r="AP179" s="1478"/>
      <c r="AQ179" s="1478"/>
      <c r="AR179" s="1478"/>
      <c r="AS179" s="1478"/>
      <c r="AU179" s="267"/>
      <c r="AV179" s="268"/>
      <c r="AW179" s="268"/>
      <c r="AX179" s="1490"/>
      <c r="AY179" s="268"/>
      <c r="AZ179" s="268"/>
      <c r="BA179" s="269"/>
      <c r="BB179" s="272"/>
      <c r="BC179" s="272"/>
      <c r="BD179" s="1695"/>
      <c r="BE179" s="1478"/>
      <c r="BF179" s="1695"/>
      <c r="BG179" s="1695"/>
      <c r="BI179" s="268">
        <f t="shared" si="221"/>
        <v>0</v>
      </c>
      <c r="BJ179" s="268">
        <f t="shared" si="222"/>
        <v>0</v>
      </c>
      <c r="BK179" s="268">
        <v>0</v>
      </c>
      <c r="BL179" s="268"/>
      <c r="BM179" s="269">
        <f t="shared" si="223"/>
        <v>350000000</v>
      </c>
      <c r="BN179" s="272">
        <f t="shared" ref="BN179" si="226">BN178</f>
        <v>0</v>
      </c>
      <c r="BO179" s="272">
        <f t="shared" si="184"/>
        <v>0.01</v>
      </c>
      <c r="BP179" s="1695"/>
      <c r="BQ179" s="1478">
        <f t="shared" si="225"/>
        <v>-291666.66666666669</v>
      </c>
      <c r="BR179" s="1695"/>
      <c r="BS179" s="1695"/>
      <c r="BU179" s="267">
        <f t="shared" si="214"/>
        <v>0</v>
      </c>
      <c r="BV179" s="268"/>
      <c r="BW179" s="268"/>
      <c r="BX179" s="268">
        <f t="shared" si="215"/>
        <v>0</v>
      </c>
      <c r="BY179" s="268">
        <f>IF('Cashflow trend'!$L$13&lt;=$C179,-$AY179,0)</f>
        <v>0</v>
      </c>
      <c r="BZ179" s="269"/>
      <c r="CA179" s="272"/>
      <c r="CB179" s="272"/>
      <c r="CC179" s="1695"/>
      <c r="CD179" s="1478"/>
      <c r="CE179" s="1695"/>
      <c r="CF179" s="1695"/>
    </row>
    <row r="180" spans="1:84" s="1488" customFormat="1" ht="15">
      <c r="A180" s="270" t="s">
        <v>512</v>
      </c>
      <c r="B180" s="266">
        <v>2029</v>
      </c>
      <c r="C180" s="1504">
        <v>47270</v>
      </c>
      <c r="D180" s="266"/>
      <c r="E180" s="265"/>
      <c r="F180" s="267"/>
      <c r="G180" s="268"/>
      <c r="H180" s="268"/>
      <c r="I180" s="268"/>
      <c r="J180" s="269"/>
      <c r="K180" s="1478"/>
      <c r="L180" s="1478"/>
      <c r="M180" s="1478"/>
      <c r="O180" s="267"/>
      <c r="P180" s="268"/>
      <c r="Q180" s="268"/>
      <c r="R180" s="268"/>
      <c r="S180" s="269"/>
      <c r="T180" s="1478"/>
      <c r="U180" s="1478"/>
      <c r="V180" s="1478"/>
      <c r="X180" s="267"/>
      <c r="Y180" s="268"/>
      <c r="Z180" s="268"/>
      <c r="AA180" s="268"/>
      <c r="AB180" s="269"/>
      <c r="AC180" s="1478"/>
      <c r="AD180" s="1478"/>
      <c r="AE180" s="1478"/>
      <c r="AG180" s="1479"/>
      <c r="AH180" s="1479"/>
      <c r="AI180" s="1479"/>
      <c r="AK180" s="267"/>
      <c r="AL180" s="268"/>
      <c r="AM180" s="268"/>
      <c r="AN180" s="268"/>
      <c r="AO180" s="269"/>
      <c r="AP180" s="1478"/>
      <c r="AQ180" s="1478"/>
      <c r="AR180" s="1478"/>
      <c r="AS180" s="1478"/>
      <c r="AU180" s="267"/>
      <c r="AV180" s="268"/>
      <c r="AW180" s="268"/>
      <c r="AX180" s="1490"/>
      <c r="AY180" s="268"/>
      <c r="AZ180" s="268"/>
      <c r="BA180" s="269"/>
      <c r="BB180" s="272"/>
      <c r="BC180" s="272"/>
      <c r="BD180" s="1695"/>
      <c r="BE180" s="1478"/>
      <c r="BF180" s="1695"/>
      <c r="BG180" s="1695"/>
      <c r="BI180" s="268">
        <f t="shared" si="221"/>
        <v>0</v>
      </c>
      <c r="BJ180" s="268">
        <f t="shared" si="222"/>
        <v>0</v>
      </c>
      <c r="BK180" s="268">
        <v>0</v>
      </c>
      <c r="BL180" s="268"/>
      <c r="BM180" s="269">
        <f t="shared" si="223"/>
        <v>350000000</v>
      </c>
      <c r="BN180" s="272">
        <f t="shared" ref="BN180" si="227">BN179</f>
        <v>0</v>
      </c>
      <c r="BO180" s="272">
        <f t="shared" si="184"/>
        <v>0.01</v>
      </c>
      <c r="BP180" s="1695"/>
      <c r="BQ180" s="1478">
        <f t="shared" si="225"/>
        <v>-291666.66666666669</v>
      </c>
      <c r="BR180" s="1695"/>
      <c r="BS180" s="1695"/>
      <c r="BU180" s="267">
        <f t="shared" si="214"/>
        <v>0</v>
      </c>
      <c r="BV180" s="268"/>
      <c r="BW180" s="268"/>
      <c r="BX180" s="268">
        <f t="shared" si="215"/>
        <v>0</v>
      </c>
      <c r="BY180" s="268">
        <f>IF('Cashflow trend'!$L$13&lt;=$C180,-$AY180,0)</f>
        <v>0</v>
      </c>
      <c r="BZ180" s="269"/>
      <c r="CA180" s="272"/>
      <c r="CB180" s="272"/>
      <c r="CC180" s="1695"/>
      <c r="CD180" s="1478"/>
      <c r="CE180" s="1695"/>
      <c r="CF180" s="1695"/>
    </row>
    <row r="181" spans="1:84" s="1488" customFormat="1" ht="15">
      <c r="A181" s="270" t="s">
        <v>513</v>
      </c>
      <c r="B181" s="266">
        <v>2029</v>
      </c>
      <c r="C181" s="1504">
        <v>47300</v>
      </c>
      <c r="D181" s="266"/>
      <c r="E181" s="265"/>
      <c r="F181" s="267"/>
      <c r="G181" s="268"/>
      <c r="H181" s="268"/>
      <c r="I181" s="268"/>
      <c r="J181" s="269"/>
      <c r="K181" s="1478"/>
      <c r="L181" s="1478"/>
      <c r="M181" s="1478"/>
      <c r="O181" s="267"/>
      <c r="P181" s="268"/>
      <c r="Q181" s="268"/>
      <c r="R181" s="268"/>
      <c r="S181" s="269"/>
      <c r="T181" s="1478"/>
      <c r="U181" s="1478"/>
      <c r="V181" s="1478"/>
      <c r="X181" s="267"/>
      <c r="Y181" s="268"/>
      <c r="Z181" s="268"/>
      <c r="AA181" s="268"/>
      <c r="AB181" s="269"/>
      <c r="AC181" s="1478"/>
      <c r="AD181" s="1478"/>
      <c r="AE181" s="1478"/>
      <c r="AG181" s="1479"/>
      <c r="AH181" s="1479"/>
      <c r="AI181" s="1479"/>
      <c r="AK181" s="267"/>
      <c r="AL181" s="268"/>
      <c r="AM181" s="268"/>
      <c r="AN181" s="268"/>
      <c r="AO181" s="269"/>
      <c r="AP181" s="1478"/>
      <c r="AQ181" s="1478"/>
      <c r="AR181" s="1478"/>
      <c r="AS181" s="1478"/>
      <c r="AU181" s="267"/>
      <c r="AV181" s="268"/>
      <c r="AW181" s="268"/>
      <c r="AX181" s="1490"/>
      <c r="AY181" s="268"/>
      <c r="AZ181" s="268"/>
      <c r="BA181" s="269"/>
      <c r="BB181" s="272"/>
      <c r="BC181" s="272"/>
      <c r="BD181" s="1695"/>
      <c r="BE181" s="1478"/>
      <c r="BF181" s="1695"/>
      <c r="BG181" s="1695"/>
      <c r="BI181" s="268">
        <f t="shared" si="221"/>
        <v>0</v>
      </c>
      <c r="BJ181" s="268">
        <f t="shared" si="222"/>
        <v>0</v>
      </c>
      <c r="BK181" s="268">
        <v>0</v>
      </c>
      <c r="BL181" s="268"/>
      <c r="BM181" s="269">
        <f t="shared" si="223"/>
        <v>350000000</v>
      </c>
      <c r="BN181" s="272">
        <f t="shared" ref="BN181" si="228">BN180</f>
        <v>0</v>
      </c>
      <c r="BO181" s="272">
        <f t="shared" si="184"/>
        <v>0.01</v>
      </c>
      <c r="BP181" s="1695"/>
      <c r="BQ181" s="1478">
        <f t="shared" si="225"/>
        <v>-291666.66666666669</v>
      </c>
      <c r="BR181" s="1695"/>
      <c r="BS181" s="1695"/>
      <c r="BU181" s="267">
        <f t="shared" si="214"/>
        <v>0</v>
      </c>
      <c r="BV181" s="268"/>
      <c r="BW181" s="268"/>
      <c r="BX181" s="268">
        <f t="shared" si="215"/>
        <v>0</v>
      </c>
      <c r="BY181" s="268">
        <f>IF('Cashflow trend'!$L$13&lt;=$C181,-$AY181,0)</f>
        <v>0</v>
      </c>
      <c r="BZ181" s="269"/>
      <c r="CA181" s="272"/>
      <c r="CB181" s="272"/>
      <c r="CC181" s="1695"/>
      <c r="CD181" s="1478"/>
      <c r="CE181" s="1695"/>
      <c r="CF181" s="1695"/>
    </row>
    <row r="182" spans="1:84" s="1488" customFormat="1" ht="15">
      <c r="A182" s="270" t="s">
        <v>514</v>
      </c>
      <c r="B182" s="266">
        <v>2029</v>
      </c>
      <c r="C182" s="1504">
        <v>47331</v>
      </c>
      <c r="D182" s="266"/>
      <c r="E182" s="265"/>
      <c r="F182" s="267"/>
      <c r="G182" s="268"/>
      <c r="H182" s="268"/>
      <c r="I182" s="268"/>
      <c r="J182" s="269"/>
      <c r="K182" s="1478"/>
      <c r="L182" s="1478"/>
      <c r="M182" s="1478"/>
      <c r="O182" s="267"/>
      <c r="P182" s="268"/>
      <c r="Q182" s="268"/>
      <c r="R182" s="268"/>
      <c r="S182" s="269"/>
      <c r="T182" s="1478"/>
      <c r="U182" s="1478"/>
      <c r="V182" s="1478"/>
      <c r="X182" s="267"/>
      <c r="Y182" s="268"/>
      <c r="Z182" s="268"/>
      <c r="AA182" s="268"/>
      <c r="AB182" s="269"/>
      <c r="AC182" s="1478"/>
      <c r="AD182" s="1478"/>
      <c r="AE182" s="1478"/>
      <c r="AG182" s="1479"/>
      <c r="AH182" s="1479"/>
      <c r="AI182" s="1479"/>
      <c r="AK182" s="267"/>
      <c r="AL182" s="268"/>
      <c r="AM182" s="268"/>
      <c r="AN182" s="268"/>
      <c r="AO182" s="269"/>
      <c r="AP182" s="1478"/>
      <c r="AQ182" s="1478"/>
      <c r="AR182" s="1478"/>
      <c r="AS182" s="1478"/>
      <c r="AU182" s="267"/>
      <c r="AV182" s="268"/>
      <c r="AW182" s="268"/>
      <c r="AX182" s="1490"/>
      <c r="AY182" s="268"/>
      <c r="AZ182" s="268"/>
      <c r="BA182" s="269"/>
      <c r="BB182" s="272"/>
      <c r="BC182" s="272"/>
      <c r="BD182" s="1695"/>
      <c r="BE182" s="1478"/>
      <c r="BF182" s="1695"/>
      <c r="BG182" s="1695"/>
      <c r="BI182" s="268">
        <f t="shared" si="221"/>
        <v>0</v>
      </c>
      <c r="BJ182" s="268">
        <f t="shared" si="222"/>
        <v>0</v>
      </c>
      <c r="BK182" s="268">
        <v>0</v>
      </c>
      <c r="BL182" s="268"/>
      <c r="BM182" s="269">
        <f t="shared" si="223"/>
        <v>350000000</v>
      </c>
      <c r="BN182" s="272">
        <f t="shared" ref="BN182" si="229">BN181</f>
        <v>0</v>
      </c>
      <c r="BO182" s="272">
        <f t="shared" si="184"/>
        <v>0.01</v>
      </c>
      <c r="BP182" s="1695"/>
      <c r="BQ182" s="1478">
        <f t="shared" si="225"/>
        <v>-291666.66666666669</v>
      </c>
      <c r="BR182" s="1695"/>
      <c r="BS182" s="1695"/>
      <c r="BU182" s="267">
        <f t="shared" si="214"/>
        <v>0</v>
      </c>
      <c r="BV182" s="268"/>
      <c r="BW182" s="268"/>
      <c r="BX182" s="268">
        <f t="shared" si="215"/>
        <v>0</v>
      </c>
      <c r="BY182" s="268">
        <f>IF('Cashflow trend'!$L$13&lt;=$C182,-$AY182,0)</f>
        <v>0</v>
      </c>
      <c r="BZ182" s="269"/>
      <c r="CA182" s="272"/>
      <c r="CB182" s="272"/>
      <c r="CC182" s="1695"/>
      <c r="CD182" s="1478"/>
      <c r="CE182" s="1695"/>
      <c r="CF182" s="1695"/>
    </row>
    <row r="183" spans="1:84" s="1488" customFormat="1" ht="15">
      <c r="A183" s="270" t="s">
        <v>515</v>
      </c>
      <c r="B183" s="266">
        <v>2029</v>
      </c>
      <c r="C183" s="1504">
        <v>47362</v>
      </c>
      <c r="D183" s="266"/>
      <c r="E183" s="265"/>
      <c r="F183" s="267"/>
      <c r="G183" s="268"/>
      <c r="H183" s="268"/>
      <c r="I183" s="268"/>
      <c r="J183" s="269"/>
      <c r="K183" s="1478"/>
      <c r="L183" s="1478"/>
      <c r="M183" s="1478"/>
      <c r="O183" s="267"/>
      <c r="P183" s="268"/>
      <c r="Q183" s="268"/>
      <c r="R183" s="268"/>
      <c r="S183" s="269"/>
      <c r="T183" s="1478"/>
      <c r="U183" s="1478"/>
      <c r="V183" s="1478"/>
      <c r="X183" s="267"/>
      <c r="Y183" s="268"/>
      <c r="Z183" s="268"/>
      <c r="AA183" s="268"/>
      <c r="AB183" s="269"/>
      <c r="AC183" s="1478"/>
      <c r="AD183" s="1478"/>
      <c r="AE183" s="1478"/>
      <c r="AG183" s="1479"/>
      <c r="AH183" s="1479"/>
      <c r="AI183" s="1479"/>
      <c r="AK183" s="267"/>
      <c r="AL183" s="268"/>
      <c r="AM183" s="268"/>
      <c r="AN183" s="268"/>
      <c r="AO183" s="269"/>
      <c r="AP183" s="1478"/>
      <c r="AQ183" s="1478"/>
      <c r="AR183" s="1478"/>
      <c r="AS183" s="1478"/>
      <c r="AU183" s="267"/>
      <c r="AV183" s="268"/>
      <c r="AW183" s="268"/>
      <c r="AX183" s="1490"/>
      <c r="AY183" s="268"/>
      <c r="AZ183" s="268"/>
      <c r="BA183" s="269"/>
      <c r="BB183" s="272"/>
      <c r="BC183" s="272"/>
      <c r="BD183" s="1695"/>
      <c r="BE183" s="1478"/>
      <c r="BF183" s="1695"/>
      <c r="BG183" s="1695"/>
      <c r="BI183" s="268">
        <f t="shared" si="221"/>
        <v>0</v>
      </c>
      <c r="BJ183" s="268">
        <f t="shared" si="222"/>
        <v>0</v>
      </c>
      <c r="BK183" s="268">
        <v>0</v>
      </c>
      <c r="BL183" s="268"/>
      <c r="BM183" s="269">
        <f t="shared" si="223"/>
        <v>350000000</v>
      </c>
      <c r="BN183" s="272">
        <f t="shared" ref="BN183" si="230">BN182</f>
        <v>0</v>
      </c>
      <c r="BO183" s="272">
        <f t="shared" si="184"/>
        <v>0.01</v>
      </c>
      <c r="BP183" s="1695"/>
      <c r="BQ183" s="1478">
        <f t="shared" si="225"/>
        <v>-291666.66666666669</v>
      </c>
      <c r="BR183" s="1695"/>
      <c r="BS183" s="1695"/>
      <c r="BU183" s="267">
        <f t="shared" si="214"/>
        <v>0</v>
      </c>
      <c r="BV183" s="268"/>
      <c r="BW183" s="268"/>
      <c r="BX183" s="268">
        <f t="shared" si="215"/>
        <v>0</v>
      </c>
      <c r="BY183" s="268">
        <f>IF('Cashflow trend'!$L$13&lt;=$C183,-$AY183,0)</f>
        <v>0</v>
      </c>
      <c r="BZ183" s="269"/>
      <c r="CA183" s="272"/>
      <c r="CB183" s="272"/>
      <c r="CC183" s="1695"/>
      <c r="CD183" s="1478"/>
      <c r="CE183" s="1695"/>
      <c r="CF183" s="1695"/>
    </row>
    <row r="184" spans="1:84" s="1488" customFormat="1" ht="15">
      <c r="A184" s="270" t="s">
        <v>516</v>
      </c>
      <c r="B184" s="266">
        <v>2029</v>
      </c>
      <c r="C184" s="1504">
        <v>47392</v>
      </c>
      <c r="D184" s="266"/>
      <c r="E184" s="265"/>
      <c r="F184" s="267"/>
      <c r="G184" s="268"/>
      <c r="H184" s="268"/>
      <c r="I184" s="268"/>
      <c r="J184" s="269"/>
      <c r="K184" s="1478"/>
      <c r="L184" s="1478"/>
      <c r="M184" s="1478"/>
      <c r="O184" s="267"/>
      <c r="P184" s="268"/>
      <c r="Q184" s="268"/>
      <c r="R184" s="268"/>
      <c r="S184" s="269"/>
      <c r="T184" s="1478"/>
      <c r="U184" s="1478"/>
      <c r="V184" s="1478"/>
      <c r="X184" s="267"/>
      <c r="Y184" s="268"/>
      <c r="Z184" s="268"/>
      <c r="AA184" s="268"/>
      <c r="AB184" s="269"/>
      <c r="AC184" s="1478"/>
      <c r="AD184" s="1478"/>
      <c r="AE184" s="1478"/>
      <c r="AG184" s="1479"/>
      <c r="AH184" s="1479"/>
      <c r="AI184" s="1479"/>
      <c r="AK184" s="267"/>
      <c r="AL184" s="268"/>
      <c r="AM184" s="268"/>
      <c r="AN184" s="268"/>
      <c r="AO184" s="269"/>
      <c r="AP184" s="1478"/>
      <c r="AQ184" s="1478"/>
      <c r="AR184" s="1478"/>
      <c r="AS184" s="1478"/>
      <c r="AU184" s="267"/>
      <c r="AV184" s="268"/>
      <c r="AW184" s="268"/>
      <c r="AX184" s="1490"/>
      <c r="AY184" s="268"/>
      <c r="AZ184" s="268"/>
      <c r="BA184" s="269"/>
      <c r="BB184" s="272"/>
      <c r="BC184" s="272"/>
      <c r="BD184" s="1695"/>
      <c r="BE184" s="1478"/>
      <c r="BF184" s="1695"/>
      <c r="BG184" s="1695"/>
      <c r="BI184" s="268">
        <f t="shared" si="221"/>
        <v>0</v>
      </c>
      <c r="BJ184" s="268">
        <f t="shared" si="222"/>
        <v>0</v>
      </c>
      <c r="BK184" s="268">
        <v>0</v>
      </c>
      <c r="BL184" s="268"/>
      <c r="BM184" s="269">
        <f t="shared" si="223"/>
        <v>350000000</v>
      </c>
      <c r="BN184" s="272">
        <f t="shared" ref="BN184" si="231">BN183</f>
        <v>0</v>
      </c>
      <c r="BO184" s="272">
        <f t="shared" si="184"/>
        <v>0.01</v>
      </c>
      <c r="BP184" s="1695"/>
      <c r="BQ184" s="1478">
        <f t="shared" si="225"/>
        <v>-291666.66666666669</v>
      </c>
      <c r="BR184" s="1695"/>
      <c r="BS184" s="1695"/>
      <c r="BU184" s="267">
        <f t="shared" si="214"/>
        <v>0</v>
      </c>
      <c r="BV184" s="268"/>
      <c r="BW184" s="268"/>
      <c r="BX184" s="268">
        <f t="shared" si="215"/>
        <v>0</v>
      </c>
      <c r="BY184" s="268">
        <f>IF('Cashflow trend'!$L$13&lt;=$C184,-$AY184,0)</f>
        <v>0</v>
      </c>
      <c r="BZ184" s="269"/>
      <c r="CA184" s="272"/>
      <c r="CB184" s="272"/>
      <c r="CC184" s="1695"/>
      <c r="CD184" s="1478"/>
      <c r="CE184" s="1695"/>
      <c r="CF184" s="1695"/>
    </row>
    <row r="185" spans="1:84" s="1488" customFormat="1" ht="15">
      <c r="A185" s="270" t="s">
        <v>517</v>
      </c>
      <c r="B185" s="266">
        <v>2029</v>
      </c>
      <c r="C185" s="1504">
        <v>47423</v>
      </c>
      <c r="D185" s="266"/>
      <c r="E185" s="265"/>
      <c r="F185" s="267"/>
      <c r="G185" s="268"/>
      <c r="H185" s="268"/>
      <c r="I185" s="268"/>
      <c r="J185" s="269"/>
      <c r="K185" s="1478"/>
      <c r="L185" s="1478"/>
      <c r="M185" s="1478"/>
      <c r="O185" s="267"/>
      <c r="P185" s="268"/>
      <c r="Q185" s="268"/>
      <c r="R185" s="268"/>
      <c r="S185" s="269"/>
      <c r="T185" s="1478"/>
      <c r="U185" s="1478"/>
      <c r="V185" s="1478"/>
      <c r="X185" s="267"/>
      <c r="Y185" s="268"/>
      <c r="Z185" s="268"/>
      <c r="AA185" s="268"/>
      <c r="AB185" s="269"/>
      <c r="AC185" s="1478"/>
      <c r="AD185" s="1478"/>
      <c r="AE185" s="1478"/>
      <c r="AG185" s="1479"/>
      <c r="AH185" s="1479"/>
      <c r="AI185" s="1479"/>
      <c r="AK185" s="267"/>
      <c r="AL185" s="268"/>
      <c r="AM185" s="268"/>
      <c r="AN185" s="268"/>
      <c r="AO185" s="269"/>
      <c r="AP185" s="1478"/>
      <c r="AQ185" s="1478"/>
      <c r="AR185" s="1478"/>
      <c r="AS185" s="1478"/>
      <c r="AU185" s="267"/>
      <c r="AV185" s="268"/>
      <c r="AW185" s="268"/>
      <c r="AX185" s="1490"/>
      <c r="AY185" s="268"/>
      <c r="AZ185" s="268"/>
      <c r="BA185" s="269"/>
      <c r="BB185" s="272"/>
      <c r="BC185" s="272"/>
      <c r="BD185" s="1695"/>
      <c r="BE185" s="1478"/>
      <c r="BF185" s="1695"/>
      <c r="BG185" s="1695"/>
      <c r="BI185" s="268">
        <f t="shared" si="221"/>
        <v>0</v>
      </c>
      <c r="BJ185" s="268">
        <f t="shared" si="222"/>
        <v>0</v>
      </c>
      <c r="BK185" s="268">
        <v>0</v>
      </c>
      <c r="BL185" s="268"/>
      <c r="BM185" s="269">
        <f t="shared" si="223"/>
        <v>350000000</v>
      </c>
      <c r="BN185" s="272">
        <f t="shared" ref="BN185" si="232">BN184</f>
        <v>0</v>
      </c>
      <c r="BO185" s="272">
        <f t="shared" si="184"/>
        <v>0.01</v>
      </c>
      <c r="BP185" s="1695"/>
      <c r="BQ185" s="1478">
        <f t="shared" si="225"/>
        <v>-291666.66666666669</v>
      </c>
      <c r="BR185" s="1695"/>
      <c r="BS185" s="1695"/>
      <c r="BU185" s="267">
        <f t="shared" si="214"/>
        <v>0</v>
      </c>
      <c r="BV185" s="268"/>
      <c r="BW185" s="268"/>
      <c r="BX185" s="268">
        <f t="shared" si="215"/>
        <v>0</v>
      </c>
      <c r="BY185" s="268">
        <f>IF('Cashflow trend'!$L$13&lt;=$C185,-$AY185,0)</f>
        <v>0</v>
      </c>
      <c r="BZ185" s="269"/>
      <c r="CA185" s="272"/>
      <c r="CB185" s="272"/>
      <c r="CC185" s="1695"/>
      <c r="CD185" s="1478"/>
      <c r="CE185" s="1695"/>
      <c r="CF185" s="1695"/>
    </row>
    <row r="186" spans="1:84" s="1488" customFormat="1" ht="15">
      <c r="A186" s="270" t="s">
        <v>518</v>
      </c>
      <c r="B186" s="266">
        <v>2029</v>
      </c>
      <c r="C186" s="1504">
        <v>47453</v>
      </c>
      <c r="D186" s="266"/>
      <c r="E186" s="265"/>
      <c r="F186" s="267"/>
      <c r="G186" s="268"/>
      <c r="H186" s="268"/>
      <c r="I186" s="268"/>
      <c r="J186" s="269"/>
      <c r="K186" s="1478"/>
      <c r="L186" s="1478"/>
      <c r="M186" s="1478"/>
      <c r="O186" s="267"/>
      <c r="P186" s="268"/>
      <c r="Q186" s="268"/>
      <c r="R186" s="268"/>
      <c r="S186" s="269"/>
      <c r="T186" s="1478"/>
      <c r="U186" s="1478"/>
      <c r="V186" s="1478"/>
      <c r="X186" s="267"/>
      <c r="Y186" s="268"/>
      <c r="Z186" s="268"/>
      <c r="AA186" s="268"/>
      <c r="AB186" s="269"/>
      <c r="AC186" s="1478"/>
      <c r="AD186" s="1478"/>
      <c r="AE186" s="1478"/>
      <c r="AG186" s="1479"/>
      <c r="AH186" s="1479"/>
      <c r="AI186" s="1479"/>
      <c r="AK186" s="267"/>
      <c r="AL186" s="268"/>
      <c r="AM186" s="268"/>
      <c r="AN186" s="268"/>
      <c r="AO186" s="269"/>
      <c r="AP186" s="1478"/>
      <c r="AQ186" s="1478"/>
      <c r="AR186" s="1478"/>
      <c r="AS186" s="1478"/>
      <c r="AU186" s="267"/>
      <c r="AV186" s="268"/>
      <c r="AW186" s="268"/>
      <c r="AX186" s="1490"/>
      <c r="AY186" s="268"/>
      <c r="AZ186" s="268"/>
      <c r="BA186" s="269"/>
      <c r="BB186" s="272"/>
      <c r="BC186" s="272"/>
      <c r="BD186" s="1695"/>
      <c r="BE186" s="1478"/>
      <c r="BF186" s="1695"/>
      <c r="BG186" s="1695"/>
      <c r="BI186" s="268">
        <f t="shared" si="221"/>
        <v>0</v>
      </c>
      <c r="BJ186" s="268">
        <f t="shared" si="222"/>
        <v>0</v>
      </c>
      <c r="BK186" s="268">
        <v>0</v>
      </c>
      <c r="BL186" s="268"/>
      <c r="BM186" s="269">
        <f t="shared" si="223"/>
        <v>350000000</v>
      </c>
      <c r="BN186" s="272">
        <f t="shared" ref="BN186" si="233">BN185</f>
        <v>0</v>
      </c>
      <c r="BO186" s="272">
        <f t="shared" si="184"/>
        <v>0.01</v>
      </c>
      <c r="BP186" s="1695"/>
      <c r="BQ186" s="1478">
        <f t="shared" si="225"/>
        <v>-291666.66666666669</v>
      </c>
      <c r="BR186" s="1695"/>
      <c r="BS186" s="1695"/>
      <c r="BU186" s="267">
        <f t="shared" si="214"/>
        <v>0</v>
      </c>
      <c r="BV186" s="268"/>
      <c r="BW186" s="268"/>
      <c r="BX186" s="268">
        <f t="shared" si="215"/>
        <v>0</v>
      </c>
      <c r="BY186" s="268">
        <f>IF('Cashflow trend'!$L$13&lt;=$C186,-$AY186,0)</f>
        <v>0</v>
      </c>
      <c r="BZ186" s="269"/>
      <c r="CA186" s="272"/>
      <c r="CB186" s="272"/>
      <c r="CC186" s="1695"/>
      <c r="CD186" s="1478"/>
      <c r="CE186" s="1695"/>
      <c r="CF186" s="1695"/>
    </row>
    <row r="187" spans="1:84" s="1488" customFormat="1" ht="15">
      <c r="A187" s="270" t="s">
        <v>519</v>
      </c>
      <c r="B187" s="266">
        <v>2030</v>
      </c>
      <c r="C187" s="1504">
        <v>47484</v>
      </c>
      <c r="D187" s="266"/>
      <c r="E187" s="265"/>
      <c r="F187" s="267"/>
      <c r="G187" s="268"/>
      <c r="H187" s="268"/>
      <c r="I187" s="268"/>
      <c r="J187" s="269"/>
      <c r="K187" s="1478"/>
      <c r="L187" s="1478"/>
      <c r="M187" s="1478"/>
      <c r="O187" s="267"/>
      <c r="P187" s="268"/>
      <c r="Q187" s="268"/>
      <c r="R187" s="268"/>
      <c r="S187" s="269"/>
      <c r="T187" s="1478"/>
      <c r="U187" s="1478"/>
      <c r="V187" s="1478"/>
      <c r="X187" s="267"/>
      <c r="Y187" s="268"/>
      <c r="Z187" s="268"/>
      <c r="AA187" s="268"/>
      <c r="AB187" s="269"/>
      <c r="AC187" s="1478"/>
      <c r="AD187" s="1478"/>
      <c r="AE187" s="1478"/>
      <c r="AG187" s="1479"/>
      <c r="AH187" s="1479"/>
      <c r="AI187" s="1479"/>
      <c r="AK187" s="267"/>
      <c r="AL187" s="268"/>
      <c r="AM187" s="268"/>
      <c r="AN187" s="268"/>
      <c r="AO187" s="269"/>
      <c r="AP187" s="1478"/>
      <c r="AQ187" s="1478"/>
      <c r="AR187" s="1478"/>
      <c r="AS187" s="1478"/>
      <c r="AU187" s="267"/>
      <c r="AV187" s="268"/>
      <c r="AW187" s="268"/>
      <c r="AX187" s="1490"/>
      <c r="AY187" s="268"/>
      <c r="AZ187" s="268"/>
      <c r="BA187" s="269"/>
      <c r="BB187" s="272"/>
      <c r="BC187" s="272"/>
      <c r="BD187" s="1695"/>
      <c r="BE187" s="1478"/>
      <c r="BF187" s="1695"/>
      <c r="BG187" s="1695"/>
      <c r="BI187" s="268">
        <f t="shared" si="221"/>
        <v>0</v>
      </c>
      <c r="BJ187" s="268">
        <f t="shared" si="222"/>
        <v>0</v>
      </c>
      <c r="BK187" s="268">
        <v>0</v>
      </c>
      <c r="BL187" s="268"/>
      <c r="BM187" s="269">
        <f t="shared" si="223"/>
        <v>350000000</v>
      </c>
      <c r="BN187" s="272">
        <f t="shared" ref="BN187" si="234">BN186</f>
        <v>0</v>
      </c>
      <c r="BO187" s="272">
        <f t="shared" si="184"/>
        <v>0.01</v>
      </c>
      <c r="BP187" s="1695"/>
      <c r="BQ187" s="1478">
        <f t="shared" si="225"/>
        <v>-291666.66666666669</v>
      </c>
      <c r="BR187" s="1695"/>
      <c r="BS187" s="1695"/>
      <c r="BU187" s="267">
        <f t="shared" si="214"/>
        <v>0</v>
      </c>
      <c r="BV187" s="268"/>
      <c r="BW187" s="268"/>
      <c r="BX187" s="268">
        <f t="shared" si="215"/>
        <v>0</v>
      </c>
      <c r="BY187" s="268">
        <f>IF('Cashflow trend'!$L$13&lt;=$C187,-$AY187,0)</f>
        <v>0</v>
      </c>
      <c r="BZ187" s="269"/>
      <c r="CA187" s="272"/>
      <c r="CB187" s="272"/>
      <c r="CC187" s="1695"/>
      <c r="CD187" s="1478"/>
      <c r="CE187" s="1695"/>
      <c r="CF187" s="1695"/>
    </row>
    <row r="188" spans="1:84" s="1488" customFormat="1" ht="15">
      <c r="A188" s="270" t="s">
        <v>520</v>
      </c>
      <c r="B188" s="266">
        <v>2030</v>
      </c>
      <c r="C188" s="1504">
        <v>47515</v>
      </c>
      <c r="D188" s="266"/>
      <c r="E188" s="265"/>
      <c r="F188" s="267"/>
      <c r="G188" s="268"/>
      <c r="H188" s="268"/>
      <c r="I188" s="268"/>
      <c r="J188" s="269"/>
      <c r="K188" s="1478"/>
      <c r="L188" s="1478"/>
      <c r="M188" s="1478"/>
      <c r="O188" s="267"/>
      <c r="P188" s="268"/>
      <c r="Q188" s="268"/>
      <c r="R188" s="268"/>
      <c r="S188" s="269"/>
      <c r="T188" s="1478"/>
      <c r="U188" s="1478"/>
      <c r="V188" s="1478"/>
      <c r="X188" s="267"/>
      <c r="Y188" s="268"/>
      <c r="Z188" s="268"/>
      <c r="AA188" s="268"/>
      <c r="AB188" s="269"/>
      <c r="AC188" s="1478"/>
      <c r="AD188" s="1478"/>
      <c r="AE188" s="1478"/>
      <c r="AG188" s="1479"/>
      <c r="AH188" s="1479"/>
      <c r="AI188" s="1479"/>
      <c r="AK188" s="267"/>
      <c r="AL188" s="268"/>
      <c r="AM188" s="268"/>
      <c r="AN188" s="268"/>
      <c r="AO188" s="269"/>
      <c r="AP188" s="1478"/>
      <c r="AQ188" s="1478"/>
      <c r="AR188" s="1478"/>
      <c r="AS188" s="1478"/>
      <c r="AU188" s="267"/>
      <c r="AV188" s="268"/>
      <c r="AW188" s="268"/>
      <c r="AX188" s="1490"/>
      <c r="AY188" s="268"/>
      <c r="AZ188" s="268"/>
      <c r="BA188" s="269"/>
      <c r="BB188" s="272"/>
      <c r="BC188" s="272"/>
      <c r="BD188" s="1695"/>
      <c r="BE188" s="1478"/>
      <c r="BF188" s="1695"/>
      <c r="BG188" s="1695"/>
      <c r="BI188" s="268">
        <f t="shared" si="221"/>
        <v>0</v>
      </c>
      <c r="BJ188" s="268">
        <f t="shared" si="222"/>
        <v>0</v>
      </c>
      <c r="BK188" s="268">
        <v>0</v>
      </c>
      <c r="BL188" s="268"/>
      <c r="BM188" s="269">
        <f t="shared" si="223"/>
        <v>350000000</v>
      </c>
      <c r="BN188" s="272">
        <f t="shared" ref="BN188" si="235">BN187</f>
        <v>0</v>
      </c>
      <c r="BO188" s="272">
        <f t="shared" si="184"/>
        <v>0.01</v>
      </c>
      <c r="BP188" s="1695"/>
      <c r="BQ188" s="1478">
        <f t="shared" si="225"/>
        <v>-291666.66666666669</v>
      </c>
      <c r="BR188" s="1695"/>
      <c r="BS188" s="1695"/>
      <c r="BU188" s="267">
        <f t="shared" si="214"/>
        <v>0</v>
      </c>
      <c r="BV188" s="268"/>
      <c r="BW188" s="268"/>
      <c r="BX188" s="268">
        <f t="shared" si="215"/>
        <v>0</v>
      </c>
      <c r="BY188" s="268">
        <f>IF('Cashflow trend'!$L$13&lt;=$C188,-$AY188,0)</f>
        <v>0</v>
      </c>
      <c r="BZ188" s="269"/>
      <c r="CA188" s="272"/>
      <c r="CB188" s="272"/>
      <c r="CC188" s="1695"/>
      <c r="CD188" s="1478"/>
      <c r="CE188" s="1695"/>
      <c r="CF188" s="1695"/>
    </row>
    <row r="189" spans="1:84" s="1488" customFormat="1" ht="15">
      <c r="A189" s="270" t="s">
        <v>521</v>
      </c>
      <c r="B189" s="266">
        <v>2030</v>
      </c>
      <c r="C189" s="1504">
        <v>47543</v>
      </c>
      <c r="D189" s="266"/>
      <c r="E189" s="265"/>
      <c r="F189" s="267"/>
      <c r="G189" s="268"/>
      <c r="H189" s="268"/>
      <c r="I189" s="268"/>
      <c r="J189" s="269"/>
      <c r="K189" s="1478"/>
      <c r="L189" s="1478"/>
      <c r="M189" s="1478"/>
      <c r="O189" s="267"/>
      <c r="P189" s="268"/>
      <c r="Q189" s="268"/>
      <c r="R189" s="268"/>
      <c r="S189" s="269"/>
      <c r="T189" s="1478"/>
      <c r="U189" s="1478"/>
      <c r="V189" s="1478"/>
      <c r="X189" s="267"/>
      <c r="Y189" s="268"/>
      <c r="Z189" s="268"/>
      <c r="AA189" s="268"/>
      <c r="AB189" s="269"/>
      <c r="AC189" s="1478"/>
      <c r="AD189" s="1478"/>
      <c r="AE189" s="1478"/>
      <c r="AG189" s="1479"/>
      <c r="AH189" s="1479"/>
      <c r="AI189" s="1479"/>
      <c r="AK189" s="267"/>
      <c r="AL189" s="268"/>
      <c r="AM189" s="268"/>
      <c r="AN189" s="268"/>
      <c r="AO189" s="269"/>
      <c r="AP189" s="1478"/>
      <c r="AQ189" s="1478"/>
      <c r="AR189" s="1478"/>
      <c r="AS189" s="1478"/>
      <c r="AU189" s="267"/>
      <c r="AV189" s="268"/>
      <c r="AW189" s="268"/>
      <c r="AX189" s="1490"/>
      <c r="AY189" s="268"/>
      <c r="AZ189" s="268"/>
      <c r="BA189" s="269"/>
      <c r="BB189" s="272"/>
      <c r="BC189" s="272"/>
      <c r="BD189" s="1695"/>
      <c r="BE189" s="1478"/>
      <c r="BF189" s="1695"/>
      <c r="BG189" s="1695"/>
      <c r="BH189" s="1488">
        <f>'Cashflow trend'!O36</f>
        <v>0</v>
      </c>
      <c r="BI189" s="268">
        <f t="shared" si="221"/>
        <v>0</v>
      </c>
      <c r="BJ189" s="268">
        <f t="shared" si="222"/>
        <v>0</v>
      </c>
      <c r="BK189" s="268">
        <v>0</v>
      </c>
      <c r="BL189" s="268"/>
      <c r="BM189" s="269">
        <f t="shared" si="223"/>
        <v>350000000</v>
      </c>
      <c r="BN189" s="272">
        <f t="shared" ref="BN189" si="236">BN188</f>
        <v>0</v>
      </c>
      <c r="BO189" s="272">
        <f t="shared" si="184"/>
        <v>0.01</v>
      </c>
      <c r="BP189" s="1695"/>
      <c r="BQ189" s="1478">
        <f t="shared" si="225"/>
        <v>-291666.66666666669</v>
      </c>
      <c r="BR189" s="1695"/>
      <c r="BS189" s="1695"/>
      <c r="BU189" s="267">
        <f t="shared" si="214"/>
        <v>0</v>
      </c>
      <c r="BV189" s="268"/>
      <c r="BW189" s="268"/>
      <c r="BX189" s="268">
        <f t="shared" si="215"/>
        <v>0</v>
      </c>
      <c r="BY189" s="268">
        <f>IF('Cashflow trend'!$L$13&lt;=$C189,-$AY189,0)</f>
        <v>0</v>
      </c>
      <c r="BZ189" s="269"/>
      <c r="CA189" s="272"/>
      <c r="CB189" s="272"/>
      <c r="CC189" s="1695"/>
      <c r="CD189" s="1478"/>
      <c r="CE189" s="1695"/>
      <c r="CF189" s="1695"/>
    </row>
    <row r="190" spans="1:84" ht="15">
      <c r="A190" s="273" t="s">
        <v>510</v>
      </c>
      <c r="B190" s="274">
        <v>2030</v>
      </c>
      <c r="C190" s="1503">
        <v>47574</v>
      </c>
      <c r="D190" s="274"/>
      <c r="E190" s="275"/>
      <c r="F190" s="276"/>
      <c r="G190" s="277"/>
      <c r="H190" s="277"/>
      <c r="I190" s="277"/>
      <c r="J190" s="278"/>
      <c r="K190" s="1476"/>
      <c r="L190" s="1476"/>
      <c r="M190" s="1476"/>
      <c r="O190" s="276"/>
      <c r="P190" s="277"/>
      <c r="Q190" s="277"/>
      <c r="R190" s="277"/>
      <c r="S190" s="278"/>
      <c r="T190" s="1476"/>
      <c r="U190" s="1476"/>
      <c r="V190" s="1476"/>
      <c r="X190" s="276"/>
      <c r="Y190" s="277"/>
      <c r="Z190" s="277"/>
      <c r="AA190" s="277"/>
      <c r="AB190" s="278"/>
      <c r="AC190" s="1476"/>
      <c r="AD190" s="1476"/>
      <c r="AE190" s="1476"/>
      <c r="AG190" s="1477"/>
      <c r="AH190" s="1477"/>
      <c r="AI190" s="1477"/>
      <c r="AK190" s="276"/>
      <c r="AL190" s="277"/>
      <c r="AM190" s="277"/>
      <c r="AN190" s="277"/>
      <c r="AO190" s="278"/>
      <c r="AP190" s="1476"/>
      <c r="AQ190" s="1476"/>
      <c r="AR190" s="1476"/>
      <c r="AS190" s="1476"/>
      <c r="AU190" s="276"/>
      <c r="AV190" s="277"/>
      <c r="AW190" s="277"/>
      <c r="AX190" s="1491"/>
      <c r="AY190" s="277"/>
      <c r="AZ190" s="277"/>
      <c r="BA190" s="278"/>
      <c r="BB190" s="279"/>
      <c r="BC190" s="279"/>
      <c r="BD190" s="1694"/>
      <c r="BE190" s="1476"/>
      <c r="BF190" s="1694"/>
      <c r="BG190" s="1694"/>
      <c r="BI190" s="277">
        <f t="shared" si="221"/>
        <v>0</v>
      </c>
      <c r="BJ190" s="277">
        <f t="shared" si="222"/>
        <v>0</v>
      </c>
      <c r="BK190" s="277">
        <v>0</v>
      </c>
      <c r="BL190" s="277"/>
      <c r="BM190" s="278">
        <f t="shared" si="223"/>
        <v>350000000</v>
      </c>
      <c r="BN190" s="279">
        <f t="shared" ref="BN190" si="237">BN189</f>
        <v>0</v>
      </c>
      <c r="BO190" s="279">
        <f t="shared" si="184"/>
        <v>0.01</v>
      </c>
      <c r="BP190" s="1694" t="s">
        <v>18</v>
      </c>
      <c r="BQ190" s="1476">
        <f t="shared" si="225"/>
        <v>-291666.66666666669</v>
      </c>
      <c r="BR190" s="1694">
        <f>SUM(BJ190:BJ201)</f>
        <v>0</v>
      </c>
      <c r="BS190" s="1694">
        <f>SUM(BK190:BL201)</f>
        <v>0</v>
      </c>
      <c r="BU190" s="276">
        <f t="shared" si="214"/>
        <v>0</v>
      </c>
      <c r="BV190" s="277"/>
      <c r="BW190" s="277"/>
      <c r="BX190" s="277">
        <f t="shared" si="215"/>
        <v>0</v>
      </c>
      <c r="BY190" s="277">
        <f>IF('Cashflow trend'!$L$13&lt;=$C190,-$AY190,0)</f>
        <v>0</v>
      </c>
      <c r="BZ190" s="278"/>
      <c r="CA190" s="279"/>
      <c r="CB190" s="279"/>
      <c r="CC190" s="1694"/>
      <c r="CD190" s="1476"/>
      <c r="CE190" s="1694"/>
      <c r="CF190" s="1694"/>
    </row>
    <row r="191" spans="1:84" ht="15">
      <c r="A191" s="273" t="s">
        <v>511</v>
      </c>
      <c r="B191" s="274">
        <v>2030</v>
      </c>
      <c r="C191" s="1503">
        <v>47604</v>
      </c>
      <c r="D191" s="274"/>
      <c r="E191" s="275"/>
      <c r="F191" s="276"/>
      <c r="G191" s="277"/>
      <c r="H191" s="277"/>
      <c r="I191" s="277"/>
      <c r="J191" s="278"/>
      <c r="K191" s="1476"/>
      <c r="L191" s="1476"/>
      <c r="M191" s="1476"/>
      <c r="O191" s="276"/>
      <c r="P191" s="277"/>
      <c r="Q191" s="277"/>
      <c r="R191" s="277"/>
      <c r="S191" s="278"/>
      <c r="T191" s="1476"/>
      <c r="U191" s="1476"/>
      <c r="V191" s="1476"/>
      <c r="X191" s="276"/>
      <c r="Y191" s="277"/>
      <c r="Z191" s="277"/>
      <c r="AA191" s="277"/>
      <c r="AB191" s="278"/>
      <c r="AC191" s="1476"/>
      <c r="AD191" s="1476"/>
      <c r="AE191" s="1476"/>
      <c r="AG191" s="1477"/>
      <c r="AH191" s="1477"/>
      <c r="AI191" s="1477"/>
      <c r="AK191" s="276"/>
      <c r="AL191" s="277"/>
      <c r="AM191" s="277"/>
      <c r="AN191" s="277"/>
      <c r="AO191" s="278"/>
      <c r="AP191" s="1476"/>
      <c r="AQ191" s="1476"/>
      <c r="AR191" s="1476"/>
      <c r="AS191" s="1476"/>
      <c r="AU191" s="276"/>
      <c r="AV191" s="277"/>
      <c r="AW191" s="277"/>
      <c r="AX191" s="1491"/>
      <c r="AY191" s="277"/>
      <c r="AZ191" s="277"/>
      <c r="BA191" s="278"/>
      <c r="BB191" s="279"/>
      <c r="BC191" s="279"/>
      <c r="BD191" s="1694"/>
      <c r="BE191" s="1476"/>
      <c r="BF191" s="1694"/>
      <c r="BG191" s="1694"/>
      <c r="BI191" s="277">
        <f t="shared" si="221"/>
        <v>0</v>
      </c>
      <c r="BJ191" s="277">
        <f t="shared" si="222"/>
        <v>0</v>
      </c>
      <c r="BK191" s="277">
        <v>0</v>
      </c>
      <c r="BL191" s="277"/>
      <c r="BM191" s="278">
        <f t="shared" si="223"/>
        <v>350000000</v>
      </c>
      <c r="BN191" s="279">
        <f t="shared" ref="BN191" si="238">BN190</f>
        <v>0</v>
      </c>
      <c r="BO191" s="279">
        <f t="shared" si="184"/>
        <v>0.01</v>
      </c>
      <c r="BP191" s="1694"/>
      <c r="BQ191" s="1476">
        <f t="shared" si="225"/>
        <v>-291666.66666666669</v>
      </c>
      <c r="BR191" s="1694"/>
      <c r="BS191" s="1694"/>
      <c r="BU191" s="276">
        <f t="shared" si="214"/>
        <v>0</v>
      </c>
      <c r="BV191" s="277"/>
      <c r="BW191" s="277"/>
      <c r="BX191" s="277">
        <f t="shared" si="215"/>
        <v>0</v>
      </c>
      <c r="BY191" s="277">
        <f>IF('Cashflow trend'!$L$13&lt;=$C191,-$AY191,0)</f>
        <v>0</v>
      </c>
      <c r="BZ191" s="278"/>
      <c r="CA191" s="279"/>
      <c r="CB191" s="279"/>
      <c r="CC191" s="1694"/>
      <c r="CD191" s="1476"/>
      <c r="CE191" s="1694"/>
      <c r="CF191" s="1694"/>
    </row>
    <row r="192" spans="1:84" ht="15">
      <c r="A192" s="273" t="s">
        <v>512</v>
      </c>
      <c r="B192" s="274">
        <v>2030</v>
      </c>
      <c r="C192" s="1503">
        <v>47635</v>
      </c>
      <c r="D192" s="274"/>
      <c r="E192" s="275"/>
      <c r="F192" s="276"/>
      <c r="G192" s="277"/>
      <c r="H192" s="277"/>
      <c r="I192" s="277"/>
      <c r="J192" s="278"/>
      <c r="K192" s="1476"/>
      <c r="L192" s="1476"/>
      <c r="M192" s="1476"/>
      <c r="O192" s="276"/>
      <c r="P192" s="277"/>
      <c r="Q192" s="277"/>
      <c r="R192" s="277"/>
      <c r="S192" s="278"/>
      <c r="T192" s="1476"/>
      <c r="U192" s="1476"/>
      <c r="V192" s="1476"/>
      <c r="X192" s="276"/>
      <c r="Y192" s="277"/>
      <c r="Z192" s="277"/>
      <c r="AA192" s="277"/>
      <c r="AB192" s="278"/>
      <c r="AC192" s="1476"/>
      <c r="AD192" s="1476"/>
      <c r="AE192" s="1476"/>
      <c r="AG192" s="1477"/>
      <c r="AH192" s="1477"/>
      <c r="AI192" s="1477"/>
      <c r="AK192" s="276"/>
      <c r="AL192" s="277"/>
      <c r="AM192" s="277"/>
      <c r="AN192" s="277"/>
      <c r="AO192" s="278"/>
      <c r="AP192" s="1476"/>
      <c r="AQ192" s="1476"/>
      <c r="AR192" s="1476"/>
      <c r="AS192" s="1476"/>
      <c r="AU192" s="276"/>
      <c r="AV192" s="277"/>
      <c r="AW192" s="277"/>
      <c r="AX192" s="1491"/>
      <c r="AY192" s="277"/>
      <c r="AZ192" s="277"/>
      <c r="BA192" s="278"/>
      <c r="BB192" s="279"/>
      <c r="BC192" s="279"/>
      <c r="BD192" s="1694"/>
      <c r="BE192" s="1476"/>
      <c r="BF192" s="1694"/>
      <c r="BG192" s="1694"/>
      <c r="BI192" s="277">
        <f t="shared" si="221"/>
        <v>0</v>
      </c>
      <c r="BJ192" s="277">
        <f t="shared" si="222"/>
        <v>0</v>
      </c>
      <c r="BK192" s="277">
        <v>0</v>
      </c>
      <c r="BL192" s="277"/>
      <c r="BM192" s="278">
        <f t="shared" si="223"/>
        <v>350000000</v>
      </c>
      <c r="BN192" s="279">
        <f t="shared" ref="BN192" si="239">BN191</f>
        <v>0</v>
      </c>
      <c r="BO192" s="279">
        <f t="shared" si="184"/>
        <v>0.01</v>
      </c>
      <c r="BP192" s="1694"/>
      <c r="BQ192" s="1476">
        <f t="shared" si="225"/>
        <v>-291666.66666666669</v>
      </c>
      <c r="BR192" s="1694"/>
      <c r="BS192" s="1694"/>
      <c r="BU192" s="276">
        <f t="shared" si="214"/>
        <v>0</v>
      </c>
      <c r="BV192" s="277"/>
      <c r="BW192" s="277"/>
      <c r="BX192" s="277">
        <f t="shared" si="215"/>
        <v>0</v>
      </c>
      <c r="BY192" s="277">
        <f>IF('Cashflow trend'!$L$13&lt;=$C192,-$AY192,0)</f>
        <v>0</v>
      </c>
      <c r="BZ192" s="278"/>
      <c r="CA192" s="279"/>
      <c r="CB192" s="279"/>
      <c r="CC192" s="1694"/>
      <c r="CD192" s="1476"/>
      <c r="CE192" s="1694"/>
      <c r="CF192" s="1694"/>
    </row>
    <row r="193" spans="1:84" ht="15">
      <c r="A193" s="273" t="s">
        <v>513</v>
      </c>
      <c r="B193" s="274">
        <v>2030</v>
      </c>
      <c r="C193" s="1503">
        <v>47665</v>
      </c>
      <c r="D193" s="274"/>
      <c r="E193" s="275"/>
      <c r="F193" s="276"/>
      <c r="G193" s="277"/>
      <c r="H193" s="277"/>
      <c r="I193" s="277"/>
      <c r="J193" s="278"/>
      <c r="K193" s="1476"/>
      <c r="L193" s="1476"/>
      <c r="M193" s="1476"/>
      <c r="O193" s="276"/>
      <c r="P193" s="277"/>
      <c r="Q193" s="277"/>
      <c r="R193" s="277"/>
      <c r="S193" s="278"/>
      <c r="T193" s="1476"/>
      <c r="U193" s="1476"/>
      <c r="V193" s="1476"/>
      <c r="X193" s="276"/>
      <c r="Y193" s="277"/>
      <c r="Z193" s="277"/>
      <c r="AA193" s="277"/>
      <c r="AB193" s="278"/>
      <c r="AC193" s="1476"/>
      <c r="AD193" s="1476"/>
      <c r="AE193" s="1476"/>
      <c r="AG193" s="1477"/>
      <c r="AH193" s="1477"/>
      <c r="AI193" s="1477"/>
      <c r="AK193" s="276"/>
      <c r="AL193" s="277"/>
      <c r="AM193" s="277"/>
      <c r="AN193" s="277"/>
      <c r="AO193" s="278"/>
      <c r="AP193" s="1476"/>
      <c r="AQ193" s="1476"/>
      <c r="AR193" s="1476"/>
      <c r="AS193" s="1476"/>
      <c r="AU193" s="276"/>
      <c r="AV193" s="277"/>
      <c r="AW193" s="277"/>
      <c r="AX193" s="1491"/>
      <c r="AY193" s="277"/>
      <c r="AZ193" s="277"/>
      <c r="BA193" s="278"/>
      <c r="BB193" s="279"/>
      <c r="BC193" s="279"/>
      <c r="BD193" s="1694"/>
      <c r="BE193" s="1476"/>
      <c r="BF193" s="1694"/>
      <c r="BG193" s="1694"/>
      <c r="BI193" s="277">
        <f t="shared" si="221"/>
        <v>0</v>
      </c>
      <c r="BJ193" s="277">
        <f t="shared" si="222"/>
        <v>0</v>
      </c>
      <c r="BK193" s="277">
        <v>0</v>
      </c>
      <c r="BL193" s="277"/>
      <c r="BM193" s="278">
        <f t="shared" si="223"/>
        <v>350000000</v>
      </c>
      <c r="BN193" s="279">
        <f t="shared" ref="BN193" si="240">BN192</f>
        <v>0</v>
      </c>
      <c r="BO193" s="279">
        <f t="shared" si="184"/>
        <v>0.01</v>
      </c>
      <c r="BP193" s="1694"/>
      <c r="BQ193" s="1476">
        <f t="shared" si="225"/>
        <v>-291666.66666666669</v>
      </c>
      <c r="BR193" s="1694"/>
      <c r="BS193" s="1694"/>
      <c r="BU193" s="276">
        <f t="shared" si="214"/>
        <v>0</v>
      </c>
      <c r="BV193" s="277"/>
      <c r="BW193" s="277"/>
      <c r="BX193" s="277">
        <f t="shared" si="215"/>
        <v>0</v>
      </c>
      <c r="BY193" s="277">
        <f>IF('Cashflow trend'!$L$13&lt;=$C193,-$AY193,0)</f>
        <v>0</v>
      </c>
      <c r="BZ193" s="278"/>
      <c r="CA193" s="279"/>
      <c r="CB193" s="279"/>
      <c r="CC193" s="1694"/>
      <c r="CD193" s="1476"/>
      <c r="CE193" s="1694"/>
      <c r="CF193" s="1694"/>
    </row>
    <row r="194" spans="1:84" ht="15">
      <c r="A194" s="273" t="s">
        <v>514</v>
      </c>
      <c r="B194" s="274">
        <v>2030</v>
      </c>
      <c r="C194" s="1503">
        <v>47696</v>
      </c>
      <c r="D194" s="274"/>
      <c r="E194" s="275"/>
      <c r="F194" s="276"/>
      <c r="G194" s="277"/>
      <c r="H194" s="277"/>
      <c r="I194" s="277"/>
      <c r="J194" s="278"/>
      <c r="K194" s="1476"/>
      <c r="L194" s="1476"/>
      <c r="M194" s="1476"/>
      <c r="O194" s="276"/>
      <c r="P194" s="277"/>
      <c r="Q194" s="277"/>
      <c r="R194" s="277"/>
      <c r="S194" s="278"/>
      <c r="T194" s="1476"/>
      <c r="U194" s="1476"/>
      <c r="V194" s="1476"/>
      <c r="X194" s="276"/>
      <c r="Y194" s="277"/>
      <c r="Z194" s="277"/>
      <c r="AA194" s="277"/>
      <c r="AB194" s="278"/>
      <c r="AC194" s="1476"/>
      <c r="AD194" s="1476"/>
      <c r="AE194" s="1476"/>
      <c r="AG194" s="1477"/>
      <c r="AH194" s="1477"/>
      <c r="AI194" s="1477"/>
      <c r="AK194" s="276"/>
      <c r="AL194" s="277"/>
      <c r="AM194" s="277"/>
      <c r="AN194" s="277"/>
      <c r="AO194" s="278"/>
      <c r="AP194" s="1476"/>
      <c r="AQ194" s="1476"/>
      <c r="AR194" s="1476"/>
      <c r="AS194" s="1476"/>
      <c r="AU194" s="276"/>
      <c r="AV194" s="277"/>
      <c r="AW194" s="277"/>
      <c r="AX194" s="1491"/>
      <c r="AY194" s="277"/>
      <c r="AZ194" s="277"/>
      <c r="BA194" s="278"/>
      <c r="BB194" s="279"/>
      <c r="BC194" s="279"/>
      <c r="BD194" s="1694"/>
      <c r="BE194" s="1476"/>
      <c r="BF194" s="1694"/>
      <c r="BG194" s="1694"/>
      <c r="BI194" s="277">
        <f t="shared" si="221"/>
        <v>0</v>
      </c>
      <c r="BJ194" s="277">
        <f t="shared" si="222"/>
        <v>0</v>
      </c>
      <c r="BK194" s="277">
        <v>0</v>
      </c>
      <c r="BL194" s="277"/>
      <c r="BM194" s="278">
        <f t="shared" si="223"/>
        <v>350000000</v>
      </c>
      <c r="BN194" s="279">
        <f t="shared" ref="BN194" si="241">BN193</f>
        <v>0</v>
      </c>
      <c r="BO194" s="279">
        <f t="shared" si="184"/>
        <v>0.01</v>
      </c>
      <c r="BP194" s="1694"/>
      <c r="BQ194" s="1476">
        <f t="shared" si="225"/>
        <v>-291666.66666666669</v>
      </c>
      <c r="BR194" s="1694"/>
      <c r="BS194" s="1694"/>
      <c r="BU194" s="276">
        <f t="shared" si="214"/>
        <v>0</v>
      </c>
      <c r="BV194" s="277"/>
      <c r="BW194" s="277"/>
      <c r="BX194" s="277">
        <f t="shared" si="215"/>
        <v>0</v>
      </c>
      <c r="BY194" s="277">
        <f>IF('Cashflow trend'!$L$13&lt;=$C194,-$AY194,0)</f>
        <v>0</v>
      </c>
      <c r="BZ194" s="278"/>
      <c r="CA194" s="279"/>
      <c r="CB194" s="279"/>
      <c r="CC194" s="1694"/>
      <c r="CD194" s="1476"/>
      <c r="CE194" s="1694"/>
      <c r="CF194" s="1694"/>
    </row>
    <row r="195" spans="1:84" ht="15">
      <c r="A195" s="273" t="s">
        <v>515</v>
      </c>
      <c r="B195" s="274">
        <v>2030</v>
      </c>
      <c r="C195" s="1503">
        <v>47727</v>
      </c>
      <c r="D195" s="274"/>
      <c r="E195" s="275"/>
      <c r="F195" s="276"/>
      <c r="G195" s="277"/>
      <c r="H195" s="277"/>
      <c r="I195" s="277"/>
      <c r="J195" s="278"/>
      <c r="K195" s="1476"/>
      <c r="L195" s="1476"/>
      <c r="M195" s="1476"/>
      <c r="O195" s="276"/>
      <c r="P195" s="277"/>
      <c r="Q195" s="277"/>
      <c r="R195" s="277"/>
      <c r="S195" s="278"/>
      <c r="T195" s="1476"/>
      <c r="U195" s="1476"/>
      <c r="V195" s="1476"/>
      <c r="X195" s="276"/>
      <c r="Y195" s="277"/>
      <c r="Z195" s="277"/>
      <c r="AA195" s="277"/>
      <c r="AB195" s="278"/>
      <c r="AC195" s="1476"/>
      <c r="AD195" s="1476"/>
      <c r="AE195" s="1476"/>
      <c r="AG195" s="1477"/>
      <c r="AH195" s="1477"/>
      <c r="AI195" s="1477"/>
      <c r="AK195" s="276"/>
      <c r="AL195" s="277"/>
      <c r="AM195" s="277"/>
      <c r="AN195" s="277"/>
      <c r="AO195" s="278"/>
      <c r="AP195" s="1476"/>
      <c r="AQ195" s="1476"/>
      <c r="AR195" s="1476"/>
      <c r="AS195" s="1476"/>
      <c r="AU195" s="276"/>
      <c r="AV195" s="277"/>
      <c r="AW195" s="277"/>
      <c r="AX195" s="1491"/>
      <c r="AY195" s="277"/>
      <c r="AZ195" s="277"/>
      <c r="BA195" s="278"/>
      <c r="BB195" s="279"/>
      <c r="BC195" s="279"/>
      <c r="BD195" s="1694"/>
      <c r="BE195" s="1476"/>
      <c r="BF195" s="1694"/>
      <c r="BG195" s="1694"/>
      <c r="BI195" s="277">
        <f t="shared" si="221"/>
        <v>0</v>
      </c>
      <c r="BJ195" s="277">
        <f t="shared" si="222"/>
        <v>0</v>
      </c>
      <c r="BK195" s="277">
        <v>0</v>
      </c>
      <c r="BL195" s="277"/>
      <c r="BM195" s="278">
        <f t="shared" si="223"/>
        <v>350000000</v>
      </c>
      <c r="BN195" s="279">
        <f t="shared" ref="BN195" si="242">BN194</f>
        <v>0</v>
      </c>
      <c r="BO195" s="279">
        <f t="shared" si="184"/>
        <v>0.01</v>
      </c>
      <c r="BP195" s="1694"/>
      <c r="BQ195" s="1476">
        <f t="shared" si="225"/>
        <v>-291666.66666666669</v>
      </c>
      <c r="BR195" s="1694"/>
      <c r="BS195" s="1694"/>
      <c r="BU195" s="276">
        <f t="shared" si="214"/>
        <v>0</v>
      </c>
      <c r="BV195" s="277"/>
      <c r="BW195" s="277"/>
      <c r="BX195" s="277">
        <f t="shared" si="215"/>
        <v>0</v>
      </c>
      <c r="BY195" s="277">
        <f>IF('Cashflow trend'!$L$13&lt;=$C195,-$AY195,0)</f>
        <v>0</v>
      </c>
      <c r="BZ195" s="278"/>
      <c r="CA195" s="279"/>
      <c r="CB195" s="279"/>
      <c r="CC195" s="1694"/>
      <c r="CD195" s="1476"/>
      <c r="CE195" s="1694"/>
      <c r="CF195" s="1694"/>
    </row>
    <row r="196" spans="1:84" ht="15">
      <c r="A196" s="273" t="s">
        <v>516</v>
      </c>
      <c r="B196" s="274">
        <v>2030</v>
      </c>
      <c r="C196" s="1503">
        <v>47757</v>
      </c>
      <c r="D196" s="274"/>
      <c r="E196" s="275"/>
      <c r="F196" s="276"/>
      <c r="G196" s="277"/>
      <c r="H196" s="277"/>
      <c r="I196" s="277"/>
      <c r="J196" s="278"/>
      <c r="K196" s="1476"/>
      <c r="L196" s="1476"/>
      <c r="M196" s="1476"/>
      <c r="O196" s="276"/>
      <c r="P196" s="277"/>
      <c r="Q196" s="277"/>
      <c r="R196" s="277"/>
      <c r="S196" s="278"/>
      <c r="T196" s="1476"/>
      <c r="U196" s="1476"/>
      <c r="V196" s="1476"/>
      <c r="X196" s="276"/>
      <c r="Y196" s="277"/>
      <c r="Z196" s="277"/>
      <c r="AA196" s="277"/>
      <c r="AB196" s="278"/>
      <c r="AC196" s="1476"/>
      <c r="AD196" s="1476"/>
      <c r="AE196" s="1476"/>
      <c r="AG196" s="1477"/>
      <c r="AH196" s="1477"/>
      <c r="AI196" s="1477"/>
      <c r="AK196" s="276"/>
      <c r="AL196" s="277"/>
      <c r="AM196" s="277"/>
      <c r="AN196" s="277"/>
      <c r="AO196" s="278"/>
      <c r="AP196" s="1476"/>
      <c r="AQ196" s="1476"/>
      <c r="AR196" s="1476"/>
      <c r="AS196" s="1476"/>
      <c r="AU196" s="276"/>
      <c r="AV196" s="277"/>
      <c r="AW196" s="277"/>
      <c r="AX196" s="1491"/>
      <c r="AY196" s="277"/>
      <c r="AZ196" s="277"/>
      <c r="BA196" s="278"/>
      <c r="BB196" s="279"/>
      <c r="BC196" s="279"/>
      <c r="BD196" s="1694"/>
      <c r="BE196" s="1476"/>
      <c r="BF196" s="1694"/>
      <c r="BG196" s="1694"/>
      <c r="BI196" s="277">
        <f t="shared" si="221"/>
        <v>0</v>
      </c>
      <c r="BJ196" s="277">
        <f t="shared" si="222"/>
        <v>0</v>
      </c>
      <c r="BK196" s="277">
        <v>0</v>
      </c>
      <c r="BL196" s="277"/>
      <c r="BM196" s="278">
        <f t="shared" si="223"/>
        <v>350000000</v>
      </c>
      <c r="BN196" s="279">
        <f t="shared" ref="BN196" si="243">BN195</f>
        <v>0</v>
      </c>
      <c r="BO196" s="279">
        <f t="shared" si="184"/>
        <v>0.01</v>
      </c>
      <c r="BP196" s="1694"/>
      <c r="BQ196" s="1476">
        <f t="shared" si="225"/>
        <v>-291666.66666666669</v>
      </c>
      <c r="BR196" s="1694"/>
      <c r="BS196" s="1694"/>
      <c r="BU196" s="276">
        <f t="shared" si="214"/>
        <v>0</v>
      </c>
      <c r="BV196" s="277"/>
      <c r="BW196" s="277"/>
      <c r="BX196" s="277">
        <f t="shared" si="215"/>
        <v>0</v>
      </c>
      <c r="BY196" s="277">
        <f>IF('Cashflow trend'!$L$13&lt;=$C196,-$AY196,0)</f>
        <v>0</v>
      </c>
      <c r="BZ196" s="278"/>
      <c r="CA196" s="279"/>
      <c r="CB196" s="279"/>
      <c r="CC196" s="1694"/>
      <c r="CD196" s="1476"/>
      <c r="CE196" s="1694"/>
      <c r="CF196" s="1694"/>
    </row>
    <row r="197" spans="1:84" ht="15">
      <c r="A197" s="273" t="s">
        <v>517</v>
      </c>
      <c r="B197" s="274">
        <v>2030</v>
      </c>
      <c r="C197" s="1503">
        <v>47788</v>
      </c>
      <c r="D197" s="274"/>
      <c r="E197" s="275"/>
      <c r="F197" s="276"/>
      <c r="G197" s="277"/>
      <c r="H197" s="277"/>
      <c r="I197" s="277"/>
      <c r="J197" s="278"/>
      <c r="K197" s="1476"/>
      <c r="L197" s="1476"/>
      <c r="M197" s="1476"/>
      <c r="O197" s="276"/>
      <c r="P197" s="277"/>
      <c r="Q197" s="277"/>
      <c r="R197" s="277"/>
      <c r="S197" s="278"/>
      <c r="T197" s="1476"/>
      <c r="U197" s="1476"/>
      <c r="V197" s="1476"/>
      <c r="X197" s="276"/>
      <c r="Y197" s="277"/>
      <c r="Z197" s="277"/>
      <c r="AA197" s="277"/>
      <c r="AB197" s="278"/>
      <c r="AC197" s="1476"/>
      <c r="AD197" s="1476"/>
      <c r="AE197" s="1476"/>
      <c r="AG197" s="1477"/>
      <c r="AH197" s="1477"/>
      <c r="AI197" s="1477"/>
      <c r="AK197" s="276"/>
      <c r="AL197" s="277"/>
      <c r="AM197" s="277"/>
      <c r="AN197" s="277"/>
      <c r="AO197" s="278"/>
      <c r="AP197" s="1476"/>
      <c r="AQ197" s="1476"/>
      <c r="AR197" s="1476"/>
      <c r="AS197" s="1476"/>
      <c r="AU197" s="276"/>
      <c r="AV197" s="277"/>
      <c r="AW197" s="277"/>
      <c r="AX197" s="1491"/>
      <c r="AY197" s="277"/>
      <c r="AZ197" s="277"/>
      <c r="BA197" s="278"/>
      <c r="BB197" s="279"/>
      <c r="BC197" s="279"/>
      <c r="BD197" s="1694"/>
      <c r="BE197" s="1476"/>
      <c r="BF197" s="1694"/>
      <c r="BG197" s="1694"/>
      <c r="BI197" s="277">
        <f t="shared" si="221"/>
        <v>0</v>
      </c>
      <c r="BJ197" s="277">
        <f t="shared" si="222"/>
        <v>0</v>
      </c>
      <c r="BK197" s="277">
        <v>0</v>
      </c>
      <c r="BL197" s="277"/>
      <c r="BM197" s="278">
        <f t="shared" si="223"/>
        <v>350000000</v>
      </c>
      <c r="BN197" s="279">
        <f t="shared" ref="BN197" si="244">BN196</f>
        <v>0</v>
      </c>
      <c r="BO197" s="279">
        <f t="shared" si="184"/>
        <v>0.01</v>
      </c>
      <c r="BP197" s="1694"/>
      <c r="BQ197" s="1476">
        <f t="shared" si="225"/>
        <v>-291666.66666666669</v>
      </c>
      <c r="BR197" s="1694"/>
      <c r="BS197" s="1694"/>
      <c r="BU197" s="276">
        <f t="shared" si="214"/>
        <v>0</v>
      </c>
      <c r="BV197" s="277"/>
      <c r="BW197" s="277"/>
      <c r="BX197" s="277">
        <f t="shared" si="215"/>
        <v>0</v>
      </c>
      <c r="BY197" s="277">
        <f>IF('Cashflow trend'!$L$13&lt;=$C197,-$AY197,0)</f>
        <v>0</v>
      </c>
      <c r="BZ197" s="278"/>
      <c r="CA197" s="279"/>
      <c r="CB197" s="279"/>
      <c r="CC197" s="1694"/>
      <c r="CD197" s="1476"/>
      <c r="CE197" s="1694"/>
      <c r="CF197" s="1694"/>
    </row>
    <row r="198" spans="1:84" ht="15">
      <c r="A198" s="273" t="s">
        <v>518</v>
      </c>
      <c r="B198" s="274">
        <v>2030</v>
      </c>
      <c r="C198" s="1503">
        <v>47818</v>
      </c>
      <c r="D198" s="274"/>
      <c r="E198" s="275"/>
      <c r="F198" s="276"/>
      <c r="G198" s="277"/>
      <c r="H198" s="277"/>
      <c r="I198" s="277"/>
      <c r="J198" s="278"/>
      <c r="K198" s="1476"/>
      <c r="L198" s="1476"/>
      <c r="M198" s="1476"/>
      <c r="O198" s="276"/>
      <c r="P198" s="277"/>
      <c r="Q198" s="277"/>
      <c r="R198" s="277"/>
      <c r="S198" s="278"/>
      <c r="T198" s="1476"/>
      <c r="U198" s="1476"/>
      <c r="V198" s="1476"/>
      <c r="X198" s="276"/>
      <c r="Y198" s="277"/>
      <c r="Z198" s="277"/>
      <c r="AA198" s="277"/>
      <c r="AB198" s="278"/>
      <c r="AC198" s="1476"/>
      <c r="AD198" s="1476"/>
      <c r="AE198" s="1476"/>
      <c r="AG198" s="1477"/>
      <c r="AH198" s="1477"/>
      <c r="AI198" s="1477"/>
      <c r="AK198" s="276"/>
      <c r="AL198" s="277"/>
      <c r="AM198" s="277"/>
      <c r="AN198" s="277"/>
      <c r="AO198" s="278"/>
      <c r="AP198" s="1476"/>
      <c r="AQ198" s="1476"/>
      <c r="AR198" s="1476"/>
      <c r="AS198" s="1476"/>
      <c r="AU198" s="276"/>
      <c r="AV198" s="277"/>
      <c r="AW198" s="277"/>
      <c r="AX198" s="1491"/>
      <c r="AY198" s="277"/>
      <c r="AZ198" s="277"/>
      <c r="BA198" s="278"/>
      <c r="BB198" s="279"/>
      <c r="BC198" s="279"/>
      <c r="BD198" s="1694"/>
      <c r="BE198" s="1476"/>
      <c r="BF198" s="1694"/>
      <c r="BG198" s="1694"/>
      <c r="BI198" s="277">
        <f t="shared" si="221"/>
        <v>0</v>
      </c>
      <c r="BJ198" s="277">
        <f t="shared" si="222"/>
        <v>0</v>
      </c>
      <c r="BK198" s="277">
        <v>0</v>
      </c>
      <c r="BL198" s="277"/>
      <c r="BM198" s="278">
        <f t="shared" si="223"/>
        <v>350000000</v>
      </c>
      <c r="BN198" s="279">
        <f t="shared" ref="BN198" si="245">BN197</f>
        <v>0</v>
      </c>
      <c r="BO198" s="279">
        <f t="shared" si="184"/>
        <v>0.01</v>
      </c>
      <c r="BP198" s="1694"/>
      <c r="BQ198" s="1476">
        <f t="shared" si="225"/>
        <v>-291666.66666666669</v>
      </c>
      <c r="BR198" s="1694"/>
      <c r="BS198" s="1694"/>
      <c r="BU198" s="276">
        <f t="shared" si="214"/>
        <v>0</v>
      </c>
      <c r="BV198" s="277"/>
      <c r="BW198" s="277"/>
      <c r="BX198" s="277">
        <f t="shared" si="215"/>
        <v>0</v>
      </c>
      <c r="BY198" s="277">
        <f>IF('Cashflow trend'!$L$13&lt;=$C198,-$AY198,0)</f>
        <v>0</v>
      </c>
      <c r="BZ198" s="278"/>
      <c r="CA198" s="279"/>
      <c r="CB198" s="279"/>
      <c r="CC198" s="1694"/>
      <c r="CD198" s="1476"/>
      <c r="CE198" s="1694"/>
      <c r="CF198" s="1694"/>
    </row>
    <row r="199" spans="1:84" ht="15">
      <c r="A199" s="273" t="s">
        <v>519</v>
      </c>
      <c r="B199" s="274">
        <v>2031</v>
      </c>
      <c r="C199" s="1503">
        <v>47849</v>
      </c>
      <c r="D199" s="274"/>
      <c r="E199" s="275"/>
      <c r="F199" s="276"/>
      <c r="G199" s="277"/>
      <c r="H199" s="277"/>
      <c r="I199" s="277"/>
      <c r="J199" s="278"/>
      <c r="K199" s="1476"/>
      <c r="L199" s="1476"/>
      <c r="M199" s="1476"/>
      <c r="O199" s="276"/>
      <c r="P199" s="277"/>
      <c r="Q199" s="277"/>
      <c r="R199" s="277"/>
      <c r="S199" s="278"/>
      <c r="T199" s="1476"/>
      <c r="U199" s="1476"/>
      <c r="V199" s="1476"/>
      <c r="X199" s="276"/>
      <c r="Y199" s="277"/>
      <c r="Z199" s="277"/>
      <c r="AA199" s="277"/>
      <c r="AB199" s="278"/>
      <c r="AC199" s="1476"/>
      <c r="AD199" s="1476"/>
      <c r="AE199" s="1476"/>
      <c r="AG199" s="1477"/>
      <c r="AH199" s="1477"/>
      <c r="AI199" s="1477"/>
      <c r="AK199" s="276"/>
      <c r="AL199" s="277"/>
      <c r="AM199" s="277"/>
      <c r="AN199" s="277"/>
      <c r="AO199" s="278"/>
      <c r="AP199" s="1476"/>
      <c r="AQ199" s="1476"/>
      <c r="AR199" s="1476"/>
      <c r="AS199" s="1476"/>
      <c r="AU199" s="276"/>
      <c r="AV199" s="277"/>
      <c r="AW199" s="277"/>
      <c r="AX199" s="1491"/>
      <c r="AY199" s="277"/>
      <c r="AZ199" s="277"/>
      <c r="BA199" s="278"/>
      <c r="BB199" s="279"/>
      <c r="BC199" s="279"/>
      <c r="BD199" s="1694"/>
      <c r="BE199" s="1476"/>
      <c r="BF199" s="1694"/>
      <c r="BG199" s="1694"/>
      <c r="BI199" s="277">
        <f t="shared" si="221"/>
        <v>0</v>
      </c>
      <c r="BJ199" s="277">
        <f t="shared" si="222"/>
        <v>0</v>
      </c>
      <c r="BK199" s="277">
        <v>0</v>
      </c>
      <c r="BL199" s="277"/>
      <c r="BM199" s="278">
        <f t="shared" si="223"/>
        <v>350000000</v>
      </c>
      <c r="BN199" s="279">
        <f t="shared" ref="BN199" si="246">BN198</f>
        <v>0</v>
      </c>
      <c r="BO199" s="279">
        <f t="shared" si="184"/>
        <v>0.01</v>
      </c>
      <c r="BP199" s="1694"/>
      <c r="BQ199" s="1476">
        <f t="shared" si="225"/>
        <v>-291666.66666666669</v>
      </c>
      <c r="BR199" s="1694"/>
      <c r="BS199" s="1694"/>
      <c r="BU199" s="276">
        <f t="shared" si="214"/>
        <v>0</v>
      </c>
      <c r="BV199" s="277"/>
      <c r="BW199" s="277"/>
      <c r="BX199" s="277">
        <f t="shared" si="215"/>
        <v>0</v>
      </c>
      <c r="BY199" s="277">
        <f>IF('Cashflow trend'!$L$13&lt;=$C199,-$AY199,0)</f>
        <v>0</v>
      </c>
      <c r="BZ199" s="278"/>
      <c r="CA199" s="279"/>
      <c r="CB199" s="279"/>
      <c r="CC199" s="1694"/>
      <c r="CD199" s="1476"/>
      <c r="CE199" s="1694"/>
      <c r="CF199" s="1694"/>
    </row>
    <row r="200" spans="1:84" ht="15">
      <c r="A200" s="273" t="s">
        <v>520</v>
      </c>
      <c r="B200" s="274">
        <v>2031</v>
      </c>
      <c r="C200" s="1503">
        <v>47880</v>
      </c>
      <c r="D200" s="274"/>
      <c r="E200" s="275"/>
      <c r="F200" s="276"/>
      <c r="G200" s="277"/>
      <c r="H200" s="277"/>
      <c r="I200" s="277"/>
      <c r="J200" s="278"/>
      <c r="K200" s="1476"/>
      <c r="L200" s="1476"/>
      <c r="M200" s="1476"/>
      <c r="O200" s="276"/>
      <c r="P200" s="277"/>
      <c r="Q200" s="277"/>
      <c r="R200" s="277"/>
      <c r="S200" s="278"/>
      <c r="T200" s="1476"/>
      <c r="U200" s="1476"/>
      <c r="V200" s="1476"/>
      <c r="X200" s="276"/>
      <c r="Y200" s="277"/>
      <c r="Z200" s="277"/>
      <c r="AA200" s="277"/>
      <c r="AB200" s="278"/>
      <c r="AC200" s="1476"/>
      <c r="AD200" s="1476"/>
      <c r="AE200" s="1476"/>
      <c r="AG200" s="1477"/>
      <c r="AH200" s="1477"/>
      <c r="AI200" s="1477"/>
      <c r="AK200" s="276"/>
      <c r="AL200" s="277"/>
      <c r="AM200" s="277"/>
      <c r="AN200" s="277"/>
      <c r="AO200" s="278"/>
      <c r="AP200" s="1476"/>
      <c r="AQ200" s="1476"/>
      <c r="AR200" s="1476"/>
      <c r="AS200" s="1476"/>
      <c r="AU200" s="276"/>
      <c r="AV200" s="277"/>
      <c r="AW200" s="277"/>
      <c r="AX200" s="1491"/>
      <c r="AY200" s="277"/>
      <c r="AZ200" s="277"/>
      <c r="BA200" s="278"/>
      <c r="BB200" s="279"/>
      <c r="BC200" s="279"/>
      <c r="BD200" s="1694"/>
      <c r="BE200" s="1476"/>
      <c r="BF200" s="1694"/>
      <c r="BG200" s="1694"/>
      <c r="BI200" s="277">
        <f t="shared" si="221"/>
        <v>0</v>
      </c>
      <c r="BJ200" s="277">
        <f t="shared" si="222"/>
        <v>0</v>
      </c>
      <c r="BK200" s="277">
        <v>0</v>
      </c>
      <c r="BL200" s="277"/>
      <c r="BM200" s="278">
        <f t="shared" si="223"/>
        <v>350000000</v>
      </c>
      <c r="BN200" s="279">
        <f t="shared" ref="BN200" si="247">BN199</f>
        <v>0</v>
      </c>
      <c r="BO200" s="279">
        <f t="shared" si="184"/>
        <v>0.01</v>
      </c>
      <c r="BP200" s="1694"/>
      <c r="BQ200" s="1476">
        <f t="shared" si="225"/>
        <v>-291666.66666666669</v>
      </c>
      <c r="BR200" s="1694"/>
      <c r="BS200" s="1694"/>
      <c r="BU200" s="276">
        <f t="shared" si="214"/>
        <v>0</v>
      </c>
      <c r="BV200" s="277"/>
      <c r="BW200" s="277"/>
      <c r="BX200" s="277">
        <f t="shared" si="215"/>
        <v>0</v>
      </c>
      <c r="BY200" s="277">
        <f>IF('Cashflow trend'!$L$13&lt;=$C200,-$AY200,0)</f>
        <v>0</v>
      </c>
      <c r="BZ200" s="278"/>
      <c r="CA200" s="279"/>
      <c r="CB200" s="279"/>
      <c r="CC200" s="1694"/>
      <c r="CD200" s="1476"/>
      <c r="CE200" s="1694"/>
      <c r="CF200" s="1694"/>
    </row>
    <row r="201" spans="1:84" ht="15">
      <c r="A201" s="273" t="s">
        <v>521</v>
      </c>
      <c r="B201" s="274">
        <v>2031</v>
      </c>
      <c r="C201" s="1503">
        <v>47908</v>
      </c>
      <c r="D201" s="274"/>
      <c r="E201" s="275"/>
      <c r="F201" s="276"/>
      <c r="G201" s="277"/>
      <c r="H201" s="277"/>
      <c r="I201" s="277"/>
      <c r="J201" s="278"/>
      <c r="K201" s="1476"/>
      <c r="L201" s="1476"/>
      <c r="M201" s="1476"/>
      <c r="O201" s="276"/>
      <c r="P201" s="277"/>
      <c r="Q201" s="277"/>
      <c r="R201" s="277"/>
      <c r="S201" s="278"/>
      <c r="T201" s="1476"/>
      <c r="U201" s="1476"/>
      <c r="V201" s="1476"/>
      <c r="X201" s="276"/>
      <c r="Y201" s="277"/>
      <c r="Z201" s="277"/>
      <c r="AA201" s="277"/>
      <c r="AB201" s="278"/>
      <c r="AC201" s="1476"/>
      <c r="AD201" s="1476"/>
      <c r="AE201" s="1476"/>
      <c r="AG201" s="1477"/>
      <c r="AH201" s="1477"/>
      <c r="AI201" s="1477"/>
      <c r="AK201" s="276"/>
      <c r="AL201" s="277"/>
      <c r="AM201" s="277"/>
      <c r="AN201" s="277"/>
      <c r="AO201" s="278"/>
      <c r="AP201" s="1476"/>
      <c r="AQ201" s="1476"/>
      <c r="AR201" s="1476"/>
      <c r="AS201" s="1476"/>
      <c r="AU201" s="276"/>
      <c r="AV201" s="277"/>
      <c r="AW201" s="277"/>
      <c r="AX201" s="1491"/>
      <c r="AY201" s="277"/>
      <c r="AZ201" s="277"/>
      <c r="BA201" s="278"/>
      <c r="BB201" s="279"/>
      <c r="BC201" s="279"/>
      <c r="BD201" s="1694"/>
      <c r="BE201" s="1476"/>
      <c r="BF201" s="1694"/>
      <c r="BG201" s="1694"/>
      <c r="BH201" s="229">
        <f>'Cashflow trend'!O48</f>
        <v>0</v>
      </c>
      <c r="BI201" s="277">
        <f t="shared" si="221"/>
        <v>0</v>
      </c>
      <c r="BJ201" s="277">
        <f t="shared" si="222"/>
        <v>0</v>
      </c>
      <c r="BK201" s="277">
        <v>0</v>
      </c>
      <c r="BL201" s="277"/>
      <c r="BM201" s="278">
        <f t="shared" si="223"/>
        <v>350000000</v>
      </c>
      <c r="BN201" s="279">
        <f t="shared" ref="BN201" si="248">BN200</f>
        <v>0</v>
      </c>
      <c r="BO201" s="279">
        <f t="shared" si="184"/>
        <v>0.01</v>
      </c>
      <c r="BP201" s="1694"/>
      <c r="BQ201" s="1476">
        <f t="shared" si="225"/>
        <v>-291666.66666666669</v>
      </c>
      <c r="BR201" s="1694"/>
      <c r="BS201" s="1694"/>
      <c r="BU201" s="276">
        <f t="shared" si="214"/>
        <v>0</v>
      </c>
      <c r="BV201" s="277"/>
      <c r="BW201" s="277"/>
      <c r="BX201" s="277">
        <f t="shared" si="215"/>
        <v>0</v>
      </c>
      <c r="BY201" s="277">
        <f>IF('Cashflow trend'!$L$13&lt;=$C201,-$AY201,0)</f>
        <v>0</v>
      </c>
      <c r="BZ201" s="278"/>
      <c r="CA201" s="279"/>
      <c r="CB201" s="279"/>
      <c r="CC201" s="1694"/>
      <c r="CD201" s="1476"/>
      <c r="CE201" s="1694"/>
      <c r="CF201" s="1694"/>
    </row>
    <row r="202" spans="1:84" ht="15">
      <c r="F202" s="283" t="s">
        <v>54</v>
      </c>
      <c r="G202" s="284" t="e">
        <f>SUM(G10:G153)</f>
        <v>#REF!</v>
      </c>
      <c r="H202" s="284" t="e">
        <f>SUM(H10:H153)</f>
        <v>#REF!</v>
      </c>
      <c r="I202" s="284" t="e">
        <f>SUM(I10:I153)</f>
        <v>#REF!</v>
      </c>
      <c r="J202" s="285"/>
      <c r="K202" s="286"/>
      <c r="L202" s="287" t="e">
        <f>SUM(L10:L153)</f>
        <v>#REF!</v>
      </c>
      <c r="M202" s="287" t="e">
        <f>SUM(M10:M153)</f>
        <v>#REF!</v>
      </c>
      <c r="O202" s="283" t="s">
        <v>54</v>
      </c>
      <c r="P202" s="284" t="e">
        <f>SUM(P10:P153)</f>
        <v>#REF!</v>
      </c>
      <c r="Q202" s="284" t="e">
        <f>SUM(Q10:Q153)</f>
        <v>#REF!</v>
      </c>
      <c r="R202" s="284" t="e">
        <f>SUM(R10:R153)</f>
        <v>#REF!</v>
      </c>
      <c r="S202" s="285"/>
      <c r="T202" s="286"/>
      <c r="U202" s="287" t="e">
        <f>SUM(U10:U153)</f>
        <v>#REF!</v>
      </c>
      <c r="V202" s="287" t="e">
        <f>SUM(V10:V153)</f>
        <v>#REF!</v>
      </c>
      <c r="X202" s="283" t="s">
        <v>54</v>
      </c>
      <c r="Y202" s="284" t="e">
        <f>SUM(Y10:Y153)</f>
        <v>#REF!</v>
      </c>
      <c r="Z202" s="284" t="e">
        <f>SUM(Z10:Z153)</f>
        <v>#REF!</v>
      </c>
      <c r="AA202" s="284" t="e">
        <f>SUM(AA10:AA153)</f>
        <v>#REF!</v>
      </c>
      <c r="AB202" s="285"/>
      <c r="AC202" s="286"/>
      <c r="AD202" s="287" t="e">
        <f>SUM(AD10:AD153)</f>
        <v>#REF!</v>
      </c>
      <c r="AE202" s="287" t="e">
        <f>SUM(AE10:AE153)</f>
        <v>#REF!</v>
      </c>
      <c r="AG202" s="284"/>
      <c r="AH202" s="287" t="e">
        <f>SUM(AH10:AH153)</f>
        <v>#REF!</v>
      </c>
      <c r="AI202" s="287" t="e">
        <f>SUM(AI10:AI153)</f>
        <v>#REF!</v>
      </c>
      <c r="AK202" s="283" t="s">
        <v>54</v>
      </c>
      <c r="AL202" s="284" t="e">
        <f>SUM(AL10:AL153)</f>
        <v>#REF!</v>
      </c>
      <c r="AM202" s="284" t="e">
        <f>SUM(AM10:AM153)</f>
        <v>#REF!</v>
      </c>
      <c r="AN202" s="284" t="e">
        <f>SUM(AN10:AN153)</f>
        <v>#REF!</v>
      </c>
      <c r="AO202" s="285"/>
      <c r="AP202" s="286"/>
      <c r="AQ202" s="287" t="e">
        <f>SUM(AQ10:AQ153)</f>
        <v>#REF!</v>
      </c>
      <c r="AR202" s="287" t="e">
        <f>SUM(AR10:AR153)</f>
        <v>#REF!</v>
      </c>
      <c r="AS202" s="288">
        <f>SUM(AS10:AS153)</f>
        <v>1</v>
      </c>
      <c r="AU202" s="283" t="s">
        <v>54</v>
      </c>
      <c r="AV202" s="284">
        <f>SUM(AV10:AV153)</f>
        <v>-1108017852.5183332</v>
      </c>
      <c r="AW202" s="284">
        <f>SUM(AW10:AW153)</f>
        <v>-108017852.51833333</v>
      </c>
      <c r="AX202" s="1514"/>
      <c r="AY202" s="284">
        <f>SUM(AY10:AY153)</f>
        <v>-1000000000</v>
      </c>
      <c r="AZ202" s="284"/>
      <c r="BA202" s="285"/>
      <c r="BB202" s="285"/>
      <c r="BC202" s="285"/>
      <c r="BD202" s="286"/>
      <c r="BE202" s="287">
        <f>SUM(BE10:BE153)</f>
        <v>-42605830.045000009</v>
      </c>
      <c r="BF202" s="287">
        <f>SUM(BF10:BF153)</f>
        <v>-108017852.51833333</v>
      </c>
      <c r="BG202" s="287">
        <f>SUM(BG10:BG153)</f>
        <v>-4.4703483581542969E-8</v>
      </c>
      <c r="BI202" s="284">
        <f>SUM(BI10:BI177)</f>
        <v>0</v>
      </c>
      <c r="BJ202" s="284">
        <f>SUM(BJ10:BJ177)</f>
        <v>0</v>
      </c>
      <c r="BK202" s="284">
        <f>SUM(BK10:BK177)</f>
        <v>0</v>
      </c>
      <c r="BL202" s="284">
        <f>SUM(BL10:BL177)</f>
        <v>350000000</v>
      </c>
      <c r="BM202" s="285"/>
      <c r="BN202" s="285"/>
      <c r="BO202" s="285"/>
      <c r="BP202" s="286"/>
      <c r="BQ202" s="287">
        <f>SUM(BQ10:BQ177)</f>
        <v>-22750000.000000011</v>
      </c>
      <c r="BR202" s="287">
        <f>SUM(BR10:BR177)</f>
        <v>0</v>
      </c>
      <c r="BS202" s="287">
        <f>SUM(BS10:BS177)</f>
        <v>350000000</v>
      </c>
      <c r="BU202" s="283" t="s">
        <v>54</v>
      </c>
      <c r="BV202" s="284">
        <f>SUM(BV10:BV201)</f>
        <v>0</v>
      </c>
      <c r="BW202" s="284">
        <f t="shared" ref="BW202:BX202" si="249">SUM(BW10:BW201)</f>
        <v>0</v>
      </c>
      <c r="BX202" s="284">
        <f t="shared" si="249"/>
        <v>0</v>
      </c>
      <c r="BY202" s="284">
        <f>SUM(BY23:BY201)</f>
        <v>0</v>
      </c>
      <c r="BZ202" s="285"/>
      <c r="CA202" s="285"/>
      <c r="CB202" s="285"/>
      <c r="CC202" s="286"/>
      <c r="CD202" s="287">
        <f>SUM(CD10:CD201)</f>
        <v>0</v>
      </c>
      <c r="CE202" s="287">
        <f t="shared" ref="CE202:CF202" si="250">SUM(CE10:CE201)</f>
        <v>0</v>
      </c>
      <c r="CF202" s="287">
        <f t="shared" si="250"/>
        <v>0</v>
      </c>
    </row>
    <row r="204" spans="1:84">
      <c r="AA204" s="229" t="s">
        <v>78</v>
      </c>
      <c r="AN204" s="229" t="s">
        <v>78</v>
      </c>
      <c r="AY204" s="229" t="s">
        <v>78</v>
      </c>
      <c r="BX204" s="229" t="s">
        <v>78</v>
      </c>
    </row>
  </sheetData>
  <mergeCells count="371">
    <mergeCell ref="BG154:BG165"/>
    <mergeCell ref="BP154:BP165"/>
    <mergeCell ref="BR154:BR165"/>
    <mergeCell ref="BS154:BS165"/>
    <mergeCell ref="BP166:BP177"/>
    <mergeCell ref="BR166:BR177"/>
    <mergeCell ref="BS166:BS177"/>
    <mergeCell ref="BD166:BD177"/>
    <mergeCell ref="BF166:BF177"/>
    <mergeCell ref="BG166:BG177"/>
    <mergeCell ref="AG154:AG165"/>
    <mergeCell ref="AH154:AH165"/>
    <mergeCell ref="AI154:AI165"/>
    <mergeCell ref="AP154:AP165"/>
    <mergeCell ref="AQ154:AQ165"/>
    <mergeCell ref="AR154:AR165"/>
    <mergeCell ref="AS154:AS165"/>
    <mergeCell ref="BD154:BD165"/>
    <mergeCell ref="BF154:BF165"/>
    <mergeCell ref="K154:K165"/>
    <mergeCell ref="L154:L165"/>
    <mergeCell ref="M154:M165"/>
    <mergeCell ref="T154:T165"/>
    <mergeCell ref="U154:U165"/>
    <mergeCell ref="V154:V165"/>
    <mergeCell ref="AC154:AC165"/>
    <mergeCell ref="AD154:AD165"/>
    <mergeCell ref="AE154:AE165"/>
    <mergeCell ref="BP118:BP129"/>
    <mergeCell ref="BR118:BR129"/>
    <mergeCell ref="BS118:BS129"/>
    <mergeCell ref="BP130:BP141"/>
    <mergeCell ref="BR130:BR141"/>
    <mergeCell ref="BS130:BS141"/>
    <mergeCell ref="BP142:BP153"/>
    <mergeCell ref="BR142:BR153"/>
    <mergeCell ref="BS142:BS153"/>
    <mergeCell ref="BP82:BP93"/>
    <mergeCell ref="BR82:BR93"/>
    <mergeCell ref="BS82:BS93"/>
    <mergeCell ref="BP94:BP105"/>
    <mergeCell ref="BR94:BR105"/>
    <mergeCell ref="BS94:BS105"/>
    <mergeCell ref="BP106:BP117"/>
    <mergeCell ref="BR106:BR117"/>
    <mergeCell ref="BS106:BS117"/>
    <mergeCell ref="BP46:BP57"/>
    <mergeCell ref="BR46:BR57"/>
    <mergeCell ref="BS46:BS57"/>
    <mergeCell ref="BP58:BP69"/>
    <mergeCell ref="BR58:BR69"/>
    <mergeCell ref="BS58:BS69"/>
    <mergeCell ref="BP70:BP81"/>
    <mergeCell ref="BR70:BR81"/>
    <mergeCell ref="BS70:BS81"/>
    <mergeCell ref="BP7:BS7"/>
    <mergeCell ref="BI7:BN7"/>
    <mergeCell ref="BP10:BP21"/>
    <mergeCell ref="BR10:BR21"/>
    <mergeCell ref="BS10:BS21"/>
    <mergeCell ref="BP22:BP33"/>
    <mergeCell ref="BR22:BR33"/>
    <mergeCell ref="BS22:BS33"/>
    <mergeCell ref="BP34:BP45"/>
    <mergeCell ref="BR34:BR45"/>
    <mergeCell ref="BS34:BS45"/>
    <mergeCell ref="BD7:BG7"/>
    <mergeCell ref="G3:K3"/>
    <mergeCell ref="P3:T3"/>
    <mergeCell ref="Y3:AC3"/>
    <mergeCell ref="AG3:AI3"/>
    <mergeCell ref="AL3:AO3"/>
    <mergeCell ref="AV3:BB3"/>
    <mergeCell ref="M10:M21"/>
    <mergeCell ref="T10:T21"/>
    <mergeCell ref="U10:U21"/>
    <mergeCell ref="V10:V21"/>
    <mergeCell ref="K7:M7"/>
    <mergeCell ref="T7:V7"/>
    <mergeCell ref="AC7:AE7"/>
    <mergeCell ref="AG7:AI7"/>
    <mergeCell ref="AP7:AS7"/>
    <mergeCell ref="BG10:BG21"/>
    <mergeCell ref="AP10:AP21"/>
    <mergeCell ref="AQ10:AQ21"/>
    <mergeCell ref="AR10:AR21"/>
    <mergeCell ref="AS10:AS21"/>
    <mergeCell ref="BD10:BD21"/>
    <mergeCell ref="BF10:BF21"/>
    <mergeCell ref="AC10:AC21"/>
    <mergeCell ref="AD10:AD21"/>
    <mergeCell ref="AE10:AE21"/>
    <mergeCell ref="AG10:AG21"/>
    <mergeCell ref="AH10:AH21"/>
    <mergeCell ref="AI10:AI21"/>
    <mergeCell ref="K10:K21"/>
    <mergeCell ref="L10:L21"/>
    <mergeCell ref="AS22:AS33"/>
    <mergeCell ref="BD22:BD33"/>
    <mergeCell ref="K22:K33"/>
    <mergeCell ref="L22:L33"/>
    <mergeCell ref="M22:M33"/>
    <mergeCell ref="T22:T33"/>
    <mergeCell ref="U22:U33"/>
    <mergeCell ref="V22:V33"/>
    <mergeCell ref="AC22:AC33"/>
    <mergeCell ref="AD22:AD33"/>
    <mergeCell ref="AE22:AE33"/>
    <mergeCell ref="BF22:BF33"/>
    <mergeCell ref="BG22:BG33"/>
    <mergeCell ref="K34:K45"/>
    <mergeCell ref="L34:L45"/>
    <mergeCell ref="M34:M45"/>
    <mergeCell ref="T34:T45"/>
    <mergeCell ref="U34:U45"/>
    <mergeCell ref="V34:V45"/>
    <mergeCell ref="AG22:AG33"/>
    <mergeCell ref="AH22:AH33"/>
    <mergeCell ref="AI22:AI33"/>
    <mergeCell ref="AP22:AP33"/>
    <mergeCell ref="AQ22:AQ33"/>
    <mergeCell ref="AR22:AR33"/>
    <mergeCell ref="BG34:BG45"/>
    <mergeCell ref="AP34:AP45"/>
    <mergeCell ref="AQ34:AQ45"/>
    <mergeCell ref="AR34:AR45"/>
    <mergeCell ref="AS34:AS45"/>
    <mergeCell ref="BD34:BD45"/>
    <mergeCell ref="BF34:BF45"/>
    <mergeCell ref="AC34:AC45"/>
    <mergeCell ref="AD34:AD45"/>
    <mergeCell ref="AE34:AE45"/>
    <mergeCell ref="K46:K57"/>
    <mergeCell ref="L46:L57"/>
    <mergeCell ref="M46:M57"/>
    <mergeCell ref="T46:T57"/>
    <mergeCell ref="U46:U57"/>
    <mergeCell ref="V46:V57"/>
    <mergeCell ref="AC46:AC57"/>
    <mergeCell ref="AD46:AD57"/>
    <mergeCell ref="AE46:AE57"/>
    <mergeCell ref="AG34:AG45"/>
    <mergeCell ref="AH34:AH45"/>
    <mergeCell ref="AI34:AI45"/>
    <mergeCell ref="AS46:AS57"/>
    <mergeCell ref="BD46:BD57"/>
    <mergeCell ref="BF46:BF57"/>
    <mergeCell ref="BG46:BG57"/>
    <mergeCell ref="K58:K69"/>
    <mergeCell ref="L58:L69"/>
    <mergeCell ref="M58:M69"/>
    <mergeCell ref="T58:T69"/>
    <mergeCell ref="U58:U69"/>
    <mergeCell ref="V58:V69"/>
    <mergeCell ref="AG46:AG57"/>
    <mergeCell ref="AH46:AH57"/>
    <mergeCell ref="AI46:AI57"/>
    <mergeCell ref="AP46:AP57"/>
    <mergeCell ref="AQ46:AQ57"/>
    <mergeCell ref="AR46:AR57"/>
    <mergeCell ref="BG58:BG69"/>
    <mergeCell ref="AP58:AP69"/>
    <mergeCell ref="AQ58:AQ69"/>
    <mergeCell ref="AR58:AR69"/>
    <mergeCell ref="AS58:AS69"/>
    <mergeCell ref="K70:K81"/>
    <mergeCell ref="L70:L81"/>
    <mergeCell ref="M70:M81"/>
    <mergeCell ref="T70:T81"/>
    <mergeCell ref="U70:U81"/>
    <mergeCell ref="V70:V81"/>
    <mergeCell ref="AC70:AC81"/>
    <mergeCell ref="AD70:AD81"/>
    <mergeCell ref="AE70:AE81"/>
    <mergeCell ref="BD58:BD69"/>
    <mergeCell ref="BF58:BF69"/>
    <mergeCell ref="AC58:AC69"/>
    <mergeCell ref="AD58:AD69"/>
    <mergeCell ref="AE58:AE69"/>
    <mergeCell ref="AG58:AG69"/>
    <mergeCell ref="AH58:AH69"/>
    <mergeCell ref="AI58:AI69"/>
    <mergeCell ref="AS70:AS81"/>
    <mergeCell ref="BD70:BD81"/>
    <mergeCell ref="BF70:BF81"/>
    <mergeCell ref="BG70:BG81"/>
    <mergeCell ref="D78:D111"/>
    <mergeCell ref="K82:K93"/>
    <mergeCell ref="L82:L93"/>
    <mergeCell ref="M82:M93"/>
    <mergeCell ref="T82:T93"/>
    <mergeCell ref="U82:U93"/>
    <mergeCell ref="AG70:AG81"/>
    <mergeCell ref="AH70:AH81"/>
    <mergeCell ref="AI70:AI81"/>
    <mergeCell ref="AP70:AP81"/>
    <mergeCell ref="AQ70:AQ81"/>
    <mergeCell ref="AR70:AR81"/>
    <mergeCell ref="BF82:BF93"/>
    <mergeCell ref="BG82:BG93"/>
    <mergeCell ref="K94:K105"/>
    <mergeCell ref="L94:L105"/>
    <mergeCell ref="M94:M105"/>
    <mergeCell ref="T94:T105"/>
    <mergeCell ref="U94:U105"/>
    <mergeCell ref="V94:V105"/>
    <mergeCell ref="AC94:AC105"/>
    <mergeCell ref="AD94:AD105"/>
    <mergeCell ref="AI82:AI93"/>
    <mergeCell ref="AP82:AP93"/>
    <mergeCell ref="AQ82:AQ93"/>
    <mergeCell ref="AR82:AR93"/>
    <mergeCell ref="AS82:AS93"/>
    <mergeCell ref="BD82:BD93"/>
    <mergeCell ref="V82:V93"/>
    <mergeCell ref="AC82:AC93"/>
    <mergeCell ref="AD82:AD93"/>
    <mergeCell ref="AE82:AE93"/>
    <mergeCell ref="AG82:AG93"/>
    <mergeCell ref="AH82:AH93"/>
    <mergeCell ref="AR94:AR105"/>
    <mergeCell ref="AS94:AS105"/>
    <mergeCell ref="BD94:BD105"/>
    <mergeCell ref="BF94:BF105"/>
    <mergeCell ref="BG94:BG105"/>
    <mergeCell ref="K106:K117"/>
    <mergeCell ref="L106:L117"/>
    <mergeCell ref="M106:M117"/>
    <mergeCell ref="T106:T117"/>
    <mergeCell ref="U106:U117"/>
    <mergeCell ref="AE94:AE105"/>
    <mergeCell ref="AG94:AG105"/>
    <mergeCell ref="AH94:AH105"/>
    <mergeCell ref="AI94:AI105"/>
    <mergeCell ref="AP94:AP105"/>
    <mergeCell ref="AQ94:AQ105"/>
    <mergeCell ref="D112:D135"/>
    <mergeCell ref="K118:K129"/>
    <mergeCell ref="L118:L129"/>
    <mergeCell ref="M118:M129"/>
    <mergeCell ref="T118:T129"/>
    <mergeCell ref="U118:U129"/>
    <mergeCell ref="V118:V129"/>
    <mergeCell ref="AC118:AC129"/>
    <mergeCell ref="AI106:AI117"/>
    <mergeCell ref="V106:V117"/>
    <mergeCell ref="AC106:AC117"/>
    <mergeCell ref="AD106:AD117"/>
    <mergeCell ref="AE106:AE117"/>
    <mergeCell ref="AG106:AG117"/>
    <mergeCell ref="AH106:AH117"/>
    <mergeCell ref="M130:M141"/>
    <mergeCell ref="T130:T141"/>
    <mergeCell ref="U130:U141"/>
    <mergeCell ref="V130:V141"/>
    <mergeCell ref="BG118:BG129"/>
    <mergeCell ref="AD118:AD129"/>
    <mergeCell ref="AE118:AE129"/>
    <mergeCell ref="AG118:AG129"/>
    <mergeCell ref="AH118:AH129"/>
    <mergeCell ref="AI118:AI129"/>
    <mergeCell ref="AP118:AP129"/>
    <mergeCell ref="BF106:BF117"/>
    <mergeCell ref="BG106:BG117"/>
    <mergeCell ref="AP106:AP117"/>
    <mergeCell ref="AQ106:AQ117"/>
    <mergeCell ref="AR106:AR117"/>
    <mergeCell ref="AS106:AS117"/>
    <mergeCell ref="BD106:BD117"/>
    <mergeCell ref="AQ118:AQ129"/>
    <mergeCell ref="AR118:AR129"/>
    <mergeCell ref="AS118:AS129"/>
    <mergeCell ref="BD118:BD129"/>
    <mergeCell ref="BF118:BF129"/>
    <mergeCell ref="BG130:BG141"/>
    <mergeCell ref="K142:K153"/>
    <mergeCell ref="L142:L153"/>
    <mergeCell ref="M142:M153"/>
    <mergeCell ref="T142:T153"/>
    <mergeCell ref="U142:U153"/>
    <mergeCell ref="V142:V153"/>
    <mergeCell ref="AC142:AC153"/>
    <mergeCell ref="AD142:AD153"/>
    <mergeCell ref="AE142:AE153"/>
    <mergeCell ref="AP130:AP141"/>
    <mergeCell ref="AQ130:AQ141"/>
    <mergeCell ref="AR130:AR141"/>
    <mergeCell ref="AS130:AS141"/>
    <mergeCell ref="BD130:BD141"/>
    <mergeCell ref="BF130:BF141"/>
    <mergeCell ref="AC130:AC141"/>
    <mergeCell ref="AD130:AD141"/>
    <mergeCell ref="AE130:AE141"/>
    <mergeCell ref="AG130:AG141"/>
    <mergeCell ref="AH130:AH141"/>
    <mergeCell ref="AI130:AI141"/>
    <mergeCell ref="K130:K141"/>
    <mergeCell ref="L130:L141"/>
    <mergeCell ref="AS142:AS153"/>
    <mergeCell ref="BD142:BD153"/>
    <mergeCell ref="BF142:BF153"/>
    <mergeCell ref="BG142:BG153"/>
    <mergeCell ref="AG142:AG153"/>
    <mergeCell ref="AH142:AH153"/>
    <mergeCell ref="AI142:AI153"/>
    <mergeCell ref="AP142:AP153"/>
    <mergeCell ref="AQ142:AQ153"/>
    <mergeCell ref="AR142:AR153"/>
    <mergeCell ref="BV3:CA3"/>
    <mergeCell ref="CC7:CF7"/>
    <mergeCell ref="CC10:CC21"/>
    <mergeCell ref="CE10:CE21"/>
    <mergeCell ref="CF10:CF21"/>
    <mergeCell ref="CC22:CC33"/>
    <mergeCell ref="CE22:CE33"/>
    <mergeCell ref="CF22:CF33"/>
    <mergeCell ref="CC34:CC45"/>
    <mergeCell ref="CE34:CE45"/>
    <mergeCell ref="CF34:CF45"/>
    <mergeCell ref="CC46:CC57"/>
    <mergeCell ref="CE46:CE57"/>
    <mergeCell ref="CF46:CF57"/>
    <mergeCell ref="CC58:CC69"/>
    <mergeCell ref="CE58:CE69"/>
    <mergeCell ref="CF58:CF69"/>
    <mergeCell ref="CC70:CC81"/>
    <mergeCell ref="CE70:CE81"/>
    <mergeCell ref="CF70:CF81"/>
    <mergeCell ref="CF142:CF153"/>
    <mergeCell ref="CC82:CC93"/>
    <mergeCell ref="CE82:CE93"/>
    <mergeCell ref="CF82:CF93"/>
    <mergeCell ref="CC94:CC105"/>
    <mergeCell ref="CE94:CE105"/>
    <mergeCell ref="CF94:CF105"/>
    <mergeCell ref="CC106:CC117"/>
    <mergeCell ref="CE106:CE117"/>
    <mergeCell ref="CF106:CF117"/>
    <mergeCell ref="CC154:CC165"/>
    <mergeCell ref="CE154:CE165"/>
    <mergeCell ref="CF154:CF165"/>
    <mergeCell ref="CC166:CC177"/>
    <mergeCell ref="CE166:CE177"/>
    <mergeCell ref="CF166:CF177"/>
    <mergeCell ref="BU7:CA7"/>
    <mergeCell ref="BD178:BD189"/>
    <mergeCell ref="BF178:BF189"/>
    <mergeCell ref="BG178:BG189"/>
    <mergeCell ref="BP178:BP189"/>
    <mergeCell ref="BR178:BR189"/>
    <mergeCell ref="BS178:BS189"/>
    <mergeCell ref="CC178:CC189"/>
    <mergeCell ref="CE178:CE189"/>
    <mergeCell ref="CF178:CF189"/>
    <mergeCell ref="CC118:CC129"/>
    <mergeCell ref="CE118:CE129"/>
    <mergeCell ref="CF118:CF129"/>
    <mergeCell ref="CC130:CC141"/>
    <mergeCell ref="CE130:CE141"/>
    <mergeCell ref="CF130:CF141"/>
    <mergeCell ref="CC142:CC153"/>
    <mergeCell ref="CE142:CE153"/>
    <mergeCell ref="BD190:BD201"/>
    <mergeCell ref="BF190:BF201"/>
    <mergeCell ref="BG190:BG201"/>
    <mergeCell ref="BP190:BP201"/>
    <mergeCell ref="BR190:BR201"/>
    <mergeCell ref="BS190:BS201"/>
    <mergeCell ref="CC190:CC201"/>
    <mergeCell ref="CE190:CE201"/>
    <mergeCell ref="CF190:CF201"/>
  </mergeCells>
  <phoneticPr fontId="301" type="noConversion"/>
  <pageMargins left="0.7" right="0.7" top="0.75" bottom="0.75" header="0.3" footer="0.3"/>
  <pageSetup paperSize="9" orientation="portrait" verticalDpi="9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rgb="FFFFC000"/>
  </sheetPr>
  <dimension ref="A1:BR180"/>
  <sheetViews>
    <sheetView topLeftCell="A6" workbookViewId="0">
      <pane xSplit="5" ySplit="3" topLeftCell="AU152" activePane="bottomRight" state="frozen"/>
      <selection activeCell="A6" sqref="A6"/>
      <selection pane="topRight" activeCell="F6" sqref="F6"/>
      <selection pane="bottomLeft" activeCell="A9" sqref="A9"/>
      <selection pane="bottomRight" activeCell="F9" sqref="F9"/>
    </sheetView>
  </sheetViews>
  <sheetFormatPr defaultColWidth="9.42578125" defaultRowHeight="14.25" outlineLevelRow="1" outlineLevelCol="1"/>
  <cols>
    <col min="1" max="1" width="7.85546875" style="229" customWidth="1"/>
    <col min="2" max="2" width="7.42578125" style="229" customWidth="1"/>
    <col min="3" max="3" width="13" style="229" customWidth="1"/>
    <col min="4" max="4" width="9.5703125" style="229" hidden="1" customWidth="1"/>
    <col min="5" max="5" width="17.42578125" style="229" customWidth="1"/>
    <col min="6" max="6" width="9.42578125" style="228" hidden="1" customWidth="1" outlineLevel="1"/>
    <col min="7" max="7" width="14.42578125" style="229" hidden="1" customWidth="1" outlineLevel="1"/>
    <col min="8" max="8" width="14" style="229" hidden="1" customWidth="1" outlineLevel="1"/>
    <col min="9" max="9" width="15.42578125" style="229" hidden="1" customWidth="1" outlineLevel="1"/>
    <col min="10" max="10" width="15.42578125" style="230" hidden="1" customWidth="1" outlineLevel="1"/>
    <col min="11" max="13" width="14.42578125" style="229" hidden="1" customWidth="1" outlineLevel="1"/>
    <col min="14" max="14" width="4.42578125" style="229" hidden="1" customWidth="1" outlineLevel="1"/>
    <col min="15" max="15" width="9.42578125" style="228" hidden="1" customWidth="1" outlineLevel="1"/>
    <col min="16" max="16" width="14.42578125" style="229" hidden="1" customWidth="1" outlineLevel="1"/>
    <col min="17" max="17" width="14" style="229" hidden="1" customWidth="1" outlineLevel="1"/>
    <col min="18" max="18" width="15.42578125" style="229" hidden="1" customWidth="1" outlineLevel="1"/>
    <col min="19" max="19" width="15.42578125" style="230" hidden="1" customWidth="1" outlineLevel="1"/>
    <col min="20" max="20" width="13.5703125" style="229" hidden="1" customWidth="1" outlineLevel="1"/>
    <col min="21" max="22" width="14.42578125" style="229" hidden="1" customWidth="1" outlineLevel="1"/>
    <col min="23" max="23" width="3.5703125" style="229" hidden="1" customWidth="1" outlineLevel="1"/>
    <col min="24" max="24" width="9.42578125" style="228" hidden="1" customWidth="1" outlineLevel="1"/>
    <col min="25" max="25" width="14.42578125" style="229" hidden="1" customWidth="1" outlineLevel="1"/>
    <col min="26" max="26" width="13.42578125" style="229" hidden="1" customWidth="1" outlineLevel="1"/>
    <col min="27" max="27" width="15.42578125" style="229" hidden="1" customWidth="1" outlineLevel="1"/>
    <col min="28" max="28" width="15.42578125" style="230" hidden="1" customWidth="1" outlineLevel="1"/>
    <col min="29" max="29" width="12.5703125" style="229" hidden="1" customWidth="1" outlineLevel="1"/>
    <col min="30" max="31" width="14.42578125" style="229" hidden="1" customWidth="1" outlineLevel="1"/>
    <col min="32" max="32" width="4" style="229" hidden="1" customWidth="1" outlineLevel="1"/>
    <col min="33" max="35" width="15.42578125" style="229" hidden="1" customWidth="1" outlineLevel="1"/>
    <col min="36" max="36" width="9.42578125" style="229" hidden="1" customWidth="1" outlineLevel="1"/>
    <col min="37" max="37" width="9.42578125" style="228" hidden="1" customWidth="1" outlineLevel="1"/>
    <col min="38" max="38" width="16" style="229" hidden="1" customWidth="1" outlineLevel="1"/>
    <col min="39" max="39" width="14.42578125" style="229" hidden="1" customWidth="1" outlineLevel="1"/>
    <col min="40" max="40" width="15.42578125" style="229" hidden="1" customWidth="1" outlineLevel="1"/>
    <col min="41" max="41" width="15.42578125" style="230" hidden="1" customWidth="1" outlineLevel="1"/>
    <col min="42" max="42" width="12.5703125" style="229" hidden="1" customWidth="1" outlineLevel="1"/>
    <col min="43" max="45" width="14.42578125" style="229" hidden="1" customWidth="1" outlineLevel="1"/>
    <col min="46" max="46" width="9.42578125" style="229" hidden="1" customWidth="1" outlineLevel="1"/>
    <col min="47" max="47" width="9.42578125" style="228" collapsed="1"/>
    <col min="48" max="48" width="16" style="229" customWidth="1"/>
    <col min="49" max="49" width="14.42578125" style="229" customWidth="1"/>
    <col min="50" max="50" width="19.42578125" style="229" customWidth="1"/>
    <col min="51" max="51" width="15.42578125" style="229" customWidth="1"/>
    <col min="52" max="52" width="17.5703125" style="230" customWidth="1"/>
    <col min="53" max="53" width="15.42578125" style="230" customWidth="1"/>
    <col min="54" max="54" width="15.42578125" style="230" hidden="1" customWidth="1"/>
    <col min="55" max="55" width="12.5703125" style="229" bestFit="1" customWidth="1"/>
    <col min="56" max="56" width="12.5703125" style="229" customWidth="1"/>
    <col min="57" max="57" width="14.42578125" style="229" customWidth="1"/>
    <col min="58" max="58" width="15.5703125" style="229" customWidth="1"/>
    <col min="59" max="59" width="18.42578125" style="229" hidden="1" customWidth="1"/>
    <col min="60" max="60" width="16" style="229" hidden="1" customWidth="1"/>
    <col min="61" max="61" width="13.42578125" style="229" hidden="1" customWidth="1"/>
    <col min="62" max="62" width="14.5703125" style="229" hidden="1" customWidth="1"/>
    <col min="63" max="63" width="15.5703125" style="229" hidden="1" customWidth="1"/>
    <col min="64" max="64" width="12.5703125" style="229" hidden="1" customWidth="1"/>
    <col min="65" max="65" width="11.42578125" style="229" hidden="1" customWidth="1"/>
    <col min="66" max="66" width="12" style="229" hidden="1" customWidth="1"/>
    <col min="67" max="67" width="0" style="229" hidden="1" customWidth="1"/>
    <col min="68" max="68" width="12.42578125" style="229" hidden="1" customWidth="1"/>
    <col min="69" max="69" width="13.42578125" style="229" hidden="1" customWidth="1"/>
    <col min="70" max="70" width="15.42578125" style="229" hidden="1" customWidth="1"/>
    <col min="71" max="16384" width="9.42578125" style="229"/>
  </cols>
  <sheetData>
    <row r="1" spans="1:70" ht="15" outlineLevel="1">
      <c r="A1" s="227" t="s">
        <v>473</v>
      </c>
      <c r="B1" s="227"/>
      <c r="C1" s="227"/>
      <c r="D1" s="227"/>
      <c r="E1" s="227"/>
    </row>
    <row r="2" spans="1:70" ht="15" outlineLevel="1" thickBot="1"/>
    <row r="3" spans="1:70" ht="16.5" customHeight="1" outlineLevel="1" thickBot="1">
      <c r="G3" s="1719" t="s">
        <v>474</v>
      </c>
      <c r="H3" s="1720"/>
      <c r="I3" s="1720"/>
      <c r="J3" s="1720"/>
      <c r="K3" s="1721"/>
      <c r="P3" s="1719" t="s">
        <v>475</v>
      </c>
      <c r="Q3" s="1720"/>
      <c r="R3" s="1720"/>
      <c r="S3" s="1720"/>
      <c r="T3" s="1721"/>
      <c r="Y3" s="1719" t="s">
        <v>476</v>
      </c>
      <c r="Z3" s="1720"/>
      <c r="AA3" s="1720"/>
      <c r="AB3" s="1720"/>
      <c r="AC3" s="1721"/>
      <c r="AG3" s="1703" t="s">
        <v>477</v>
      </c>
      <c r="AH3" s="1704"/>
      <c r="AI3" s="1705"/>
      <c r="AL3" s="1703" t="s">
        <v>478</v>
      </c>
      <c r="AM3" s="1704"/>
      <c r="AN3" s="1704"/>
      <c r="AO3" s="1705"/>
      <c r="AV3" s="1703" t="s">
        <v>479</v>
      </c>
      <c r="AW3" s="1704"/>
      <c r="AX3" s="1704"/>
      <c r="AY3" s="1704"/>
      <c r="AZ3" s="1704"/>
      <c r="BA3" s="1705"/>
      <c r="BB3" s="361"/>
    </row>
    <row r="4" spans="1:70" ht="36.75" customHeight="1" outlineLevel="1" thickBot="1">
      <c r="G4" s="231" t="s">
        <v>480</v>
      </c>
      <c r="H4" s="232" t="s">
        <v>481</v>
      </c>
      <c r="I4" s="231" t="s">
        <v>482</v>
      </c>
      <c r="J4" s="231" t="s">
        <v>483</v>
      </c>
      <c r="K4" s="232" t="s">
        <v>484</v>
      </c>
      <c r="P4" s="231" t="s">
        <v>480</v>
      </c>
      <c r="Q4" s="232" t="s">
        <v>481</v>
      </c>
      <c r="R4" s="231" t="s">
        <v>482</v>
      </c>
      <c r="S4" s="231" t="s">
        <v>483</v>
      </c>
      <c r="T4" s="232" t="s">
        <v>484</v>
      </c>
      <c r="Y4" s="231" t="s">
        <v>480</v>
      </c>
      <c r="Z4" s="232" t="s">
        <v>481</v>
      </c>
      <c r="AA4" s="231" t="s">
        <v>482</v>
      </c>
      <c r="AB4" s="231" t="s">
        <v>483</v>
      </c>
      <c r="AC4" s="232" t="s">
        <v>484</v>
      </c>
      <c r="AL4" s="231" t="s">
        <v>480</v>
      </c>
      <c r="AM4" s="232" t="s">
        <v>481</v>
      </c>
      <c r="AN4" s="231" t="s">
        <v>482</v>
      </c>
      <c r="AO4" s="231" t="s">
        <v>483</v>
      </c>
      <c r="AV4" s="233" t="s">
        <v>480</v>
      </c>
      <c r="AW4" s="234" t="s">
        <v>485</v>
      </c>
      <c r="AX4" s="234" t="s">
        <v>486</v>
      </c>
      <c r="AY4" s="235" t="s">
        <v>487</v>
      </c>
      <c r="AZ4" s="236" t="s">
        <v>488</v>
      </c>
      <c r="BA4" s="237" t="s">
        <v>489</v>
      </c>
      <c r="BB4" s="362"/>
      <c r="BH4" s="234" t="s">
        <v>487</v>
      </c>
      <c r="BI4" s="236" t="s">
        <v>488</v>
      </c>
      <c r="BJ4" s="237" t="s">
        <v>489</v>
      </c>
    </row>
    <row r="5" spans="1:70" ht="15" outlineLevel="1" thickBot="1">
      <c r="G5" s="238"/>
      <c r="H5" s="239"/>
      <c r="I5" s="240"/>
      <c r="J5" s="241"/>
      <c r="K5" s="238"/>
      <c r="P5" s="238"/>
      <c r="Q5" s="239"/>
      <c r="R5" s="240"/>
      <c r="S5" s="241"/>
      <c r="T5" s="238"/>
      <c r="Y5" s="238"/>
      <c r="Z5" s="239"/>
      <c r="AA5" s="240"/>
      <c r="AB5" s="241"/>
      <c r="AC5" s="238"/>
      <c r="AL5" s="238"/>
      <c r="AM5" s="239"/>
      <c r="AN5" s="240"/>
      <c r="AO5" s="241"/>
      <c r="AV5" s="242">
        <v>1000000000</v>
      </c>
      <c r="AW5" s="243" t="s">
        <v>490</v>
      </c>
      <c r="AX5" s="243" t="s">
        <v>491</v>
      </c>
      <c r="AY5" s="244">
        <v>2.0515499999999999E-2</v>
      </c>
      <c r="AZ5" s="245">
        <f>1.15%</f>
        <v>1.15E-2</v>
      </c>
      <c r="BA5" s="296">
        <f>AY5+AZ5</f>
        <v>3.2015500000000002E-2</v>
      </c>
      <c r="BB5" s="240"/>
      <c r="BH5" s="244">
        <f>AY5</f>
        <v>2.0515499999999999E-2</v>
      </c>
      <c r="BI5" s="245">
        <v>0.02</v>
      </c>
      <c r="BJ5" s="296">
        <f>BH5+BI5</f>
        <v>4.0515499999999996E-2</v>
      </c>
    </row>
    <row r="6" spans="1:70" s="246" customFormat="1" ht="15" thickBot="1">
      <c r="F6" s="247"/>
      <c r="G6" s="248"/>
      <c r="H6" s="249"/>
      <c r="I6" s="250"/>
      <c r="J6" s="251"/>
      <c r="K6" s="248"/>
      <c r="O6" s="247"/>
      <c r="P6" s="248"/>
      <c r="Q6" s="249"/>
      <c r="R6" s="250"/>
      <c r="S6" s="251"/>
      <c r="X6" s="247"/>
      <c r="Y6" s="248"/>
      <c r="Z6" s="249"/>
      <c r="AA6" s="250"/>
      <c r="AB6" s="251"/>
      <c r="AK6" s="247"/>
      <c r="AL6" s="248"/>
      <c r="AM6" s="249"/>
      <c r="AN6" s="250"/>
      <c r="AO6" s="251"/>
      <c r="AU6" s="247"/>
      <c r="AV6" s="248"/>
      <c r="AW6" s="249"/>
      <c r="AX6" s="250"/>
      <c r="AY6" s="250"/>
      <c r="AZ6" s="251"/>
      <c r="BA6" s="251"/>
      <c r="BB6" s="251"/>
    </row>
    <row r="7" spans="1:70" ht="16.5" customHeight="1" thickBot="1">
      <c r="A7" s="229" t="s">
        <v>834</v>
      </c>
      <c r="C7" s="581">
        <f>IF('Cashflow trend'!H13="Y",2,3)</f>
        <v>3</v>
      </c>
      <c r="H7" s="252"/>
      <c r="I7" s="253"/>
      <c r="K7" s="1722" t="s">
        <v>492</v>
      </c>
      <c r="L7" s="1723"/>
      <c r="M7" s="1724"/>
      <c r="Q7" s="252"/>
      <c r="R7" s="253"/>
      <c r="T7" s="1725" t="s">
        <v>492</v>
      </c>
      <c r="U7" s="1726"/>
      <c r="V7" s="1727"/>
      <c r="Z7" s="252"/>
      <c r="AA7" s="253"/>
      <c r="AC7" s="1725" t="s">
        <v>492</v>
      </c>
      <c r="AD7" s="1726"/>
      <c r="AE7" s="1727"/>
      <c r="AG7" s="1728" t="s">
        <v>493</v>
      </c>
      <c r="AH7" s="1729"/>
      <c r="AI7" s="1730"/>
      <c r="AM7" s="252"/>
      <c r="AN7" s="253"/>
      <c r="AP7" s="1706" t="s">
        <v>492</v>
      </c>
      <c r="AQ7" s="1707"/>
      <c r="AR7" s="1707"/>
      <c r="AS7" s="1708"/>
      <c r="AW7" s="252"/>
      <c r="AX7" s="253"/>
      <c r="AY7" s="253"/>
      <c r="BB7" s="253">
        <v>0.01</v>
      </c>
      <c r="BC7" s="1706" t="s">
        <v>492</v>
      </c>
      <c r="BD7" s="1707"/>
      <c r="BE7" s="1707"/>
      <c r="BF7" s="1708"/>
      <c r="BH7" s="1734" t="s">
        <v>591</v>
      </c>
      <c r="BI7" s="1735"/>
      <c r="BJ7" s="1735"/>
      <c r="BK7" s="1735"/>
      <c r="BL7" s="1735"/>
      <c r="BM7" s="1736"/>
      <c r="BN7" s="566"/>
      <c r="BO7" s="1731" t="s">
        <v>492</v>
      </c>
      <c r="BP7" s="1732"/>
      <c r="BQ7" s="1732"/>
      <c r="BR7" s="1733"/>
    </row>
    <row r="8" spans="1:70" s="254" customFormat="1" ht="56.25" customHeight="1">
      <c r="C8" s="255" t="s">
        <v>494</v>
      </c>
      <c r="D8" s="255"/>
      <c r="E8" s="255" t="s">
        <v>495</v>
      </c>
      <c r="F8" s="256" t="s">
        <v>496</v>
      </c>
      <c r="G8" s="257" t="s">
        <v>497</v>
      </c>
      <c r="H8" s="257" t="s">
        <v>498</v>
      </c>
      <c r="I8" s="257" t="s">
        <v>499</v>
      </c>
      <c r="J8" s="257" t="s">
        <v>500</v>
      </c>
      <c r="K8" s="258" t="s">
        <v>501</v>
      </c>
      <c r="L8" s="258" t="s">
        <v>502</v>
      </c>
      <c r="M8" s="258" t="s">
        <v>503</v>
      </c>
      <c r="O8" s="256" t="s">
        <v>496</v>
      </c>
      <c r="P8" s="257" t="s">
        <v>497</v>
      </c>
      <c r="Q8" s="257" t="s">
        <v>498</v>
      </c>
      <c r="R8" s="257" t="s">
        <v>499</v>
      </c>
      <c r="S8" s="257" t="s">
        <v>500</v>
      </c>
      <c r="T8" s="257" t="s">
        <v>501</v>
      </c>
      <c r="U8" s="257" t="s">
        <v>502</v>
      </c>
      <c r="V8" s="257" t="s">
        <v>503</v>
      </c>
      <c r="X8" s="256" t="s">
        <v>496</v>
      </c>
      <c r="Y8" s="257" t="s">
        <v>497</v>
      </c>
      <c r="Z8" s="257" t="s">
        <v>498</v>
      </c>
      <c r="AA8" s="257" t="s">
        <v>499</v>
      </c>
      <c r="AB8" s="257" t="s">
        <v>500</v>
      </c>
      <c r="AC8" s="257" t="s">
        <v>501</v>
      </c>
      <c r="AD8" s="257" t="s">
        <v>502</v>
      </c>
      <c r="AE8" s="257" t="s">
        <v>503</v>
      </c>
      <c r="AG8" s="259" t="s">
        <v>501</v>
      </c>
      <c r="AH8" s="259" t="s">
        <v>502</v>
      </c>
      <c r="AI8" s="259" t="s">
        <v>503</v>
      </c>
      <c r="AK8" s="256" t="s">
        <v>496</v>
      </c>
      <c r="AL8" s="257" t="s">
        <v>497</v>
      </c>
      <c r="AM8" s="257" t="s">
        <v>498</v>
      </c>
      <c r="AN8" s="257" t="s">
        <v>499</v>
      </c>
      <c r="AO8" s="257" t="s">
        <v>500</v>
      </c>
      <c r="AP8" s="258" t="s">
        <v>501</v>
      </c>
      <c r="AQ8" s="258" t="s">
        <v>502</v>
      </c>
      <c r="AR8" s="258" t="s">
        <v>503</v>
      </c>
      <c r="AS8" s="258" t="s">
        <v>504</v>
      </c>
      <c r="AU8" s="256" t="s">
        <v>496</v>
      </c>
      <c r="AV8" s="257" t="s">
        <v>497</v>
      </c>
      <c r="AW8" s="257" t="s">
        <v>498</v>
      </c>
      <c r="AX8" s="257" t="s">
        <v>499</v>
      </c>
      <c r="AY8" s="257" t="s">
        <v>505</v>
      </c>
      <c r="AZ8" s="257" t="s">
        <v>506</v>
      </c>
      <c r="BA8" s="257" t="s">
        <v>507</v>
      </c>
      <c r="BB8" s="257" t="s">
        <v>592</v>
      </c>
      <c r="BC8" s="258" t="s">
        <v>501</v>
      </c>
      <c r="BD8" s="258" t="s">
        <v>593</v>
      </c>
      <c r="BE8" s="258" t="s">
        <v>502</v>
      </c>
      <c r="BF8" s="258" t="s">
        <v>508</v>
      </c>
      <c r="BH8" s="357" t="s">
        <v>497</v>
      </c>
      <c r="BI8" s="357" t="s">
        <v>498</v>
      </c>
      <c r="BJ8" s="357" t="s">
        <v>499</v>
      </c>
      <c r="BK8" s="357" t="s">
        <v>505</v>
      </c>
      <c r="BL8" s="357" t="s">
        <v>506</v>
      </c>
      <c r="BM8" s="357" t="s">
        <v>507</v>
      </c>
      <c r="BN8" s="357" t="s">
        <v>592</v>
      </c>
      <c r="BO8" s="357" t="s">
        <v>501</v>
      </c>
      <c r="BP8" s="357" t="s">
        <v>593</v>
      </c>
      <c r="BQ8" s="357" t="s">
        <v>502</v>
      </c>
      <c r="BR8" s="357" t="s">
        <v>508</v>
      </c>
    </row>
    <row r="9" spans="1:70" s="254" customFormat="1" ht="15">
      <c r="A9" s="229"/>
      <c r="F9" s="260" t="s">
        <v>509</v>
      </c>
      <c r="G9" s="261" t="s">
        <v>78</v>
      </c>
      <c r="H9" s="262"/>
      <c r="I9" s="262"/>
      <c r="J9" s="261">
        <v>0</v>
      </c>
      <c r="K9" s="263"/>
      <c r="L9" s="263"/>
      <c r="M9" s="263"/>
      <c r="O9" s="260" t="s">
        <v>509</v>
      </c>
      <c r="P9" s="261" t="s">
        <v>78</v>
      </c>
      <c r="Q9" s="262"/>
      <c r="R9" s="262"/>
      <c r="S9" s="261">
        <v>0</v>
      </c>
      <c r="T9" s="263"/>
      <c r="U9" s="263"/>
      <c r="V9" s="263"/>
      <c r="X9" s="260" t="s">
        <v>509</v>
      </c>
      <c r="Y9" s="261" t="s">
        <v>78</v>
      </c>
      <c r="Z9" s="262"/>
      <c r="AA9" s="262"/>
      <c r="AB9" s="261">
        <v>0</v>
      </c>
      <c r="AC9" s="263"/>
      <c r="AD9" s="263"/>
      <c r="AE9" s="263"/>
      <c r="AG9" s="264"/>
      <c r="AH9" s="264"/>
      <c r="AI9" s="264"/>
      <c r="AK9" s="260" t="s">
        <v>509</v>
      </c>
      <c r="AL9" s="261" t="s">
        <v>78</v>
      </c>
      <c r="AM9" s="262"/>
      <c r="AN9" s="262"/>
      <c r="AO9" s="261">
        <v>0</v>
      </c>
      <c r="AP9" s="263"/>
      <c r="AQ9" s="263"/>
      <c r="AR9" s="263"/>
      <c r="AS9" s="263"/>
      <c r="AU9" s="260">
        <v>0</v>
      </c>
      <c r="AV9" s="261" t="s">
        <v>78</v>
      </c>
      <c r="AW9" s="262"/>
      <c r="AX9" s="262"/>
      <c r="AY9" s="262"/>
      <c r="AZ9" s="261">
        <v>0</v>
      </c>
      <c r="BA9" s="261"/>
      <c r="BB9" s="261"/>
      <c r="BC9" s="263"/>
      <c r="BD9" s="263"/>
      <c r="BE9" s="263"/>
      <c r="BF9" s="263"/>
      <c r="BH9" s="261" t="s">
        <v>78</v>
      </c>
      <c r="BI9" s="262"/>
      <c r="BJ9" s="262"/>
      <c r="BK9" s="262"/>
      <c r="BL9" s="261">
        <v>0</v>
      </c>
      <c r="BM9" s="261"/>
      <c r="BN9" s="261"/>
      <c r="BO9" s="263"/>
      <c r="BP9" s="263"/>
      <c r="BQ9" s="263"/>
      <c r="BR9" s="263"/>
    </row>
    <row r="10" spans="1:70" ht="15" hidden="1">
      <c r="A10" s="265" t="s">
        <v>510</v>
      </c>
      <c r="B10" s="266">
        <v>2015</v>
      </c>
      <c r="C10" s="266"/>
      <c r="D10" s="266"/>
      <c r="E10" s="265">
        <f t="shared" ref="E10:E15" si="0">AZ10</f>
        <v>0</v>
      </c>
      <c r="F10" s="267">
        <v>1</v>
      </c>
      <c r="G10" s="268" t="e">
        <f>SUM(H10:I10)</f>
        <v>#REF!</v>
      </c>
      <c r="H10" s="268" t="e">
        <f>-J9*#REF!</f>
        <v>#REF!</v>
      </c>
      <c r="I10" s="268">
        <v>0</v>
      </c>
      <c r="J10" s="269">
        <f>J9+I10</f>
        <v>0</v>
      </c>
      <c r="K10" s="1695" t="s">
        <v>0</v>
      </c>
      <c r="L10" s="1695" t="e">
        <f>SUM(H10:H21)</f>
        <v>#REF!</v>
      </c>
      <c r="M10" s="1695">
        <f>SUM(I10:I21)</f>
        <v>0</v>
      </c>
      <c r="O10" s="267">
        <v>1</v>
      </c>
      <c r="P10" s="268" t="e">
        <f t="shared" ref="P10:P73" si="1">SUM(Q10:R10)</f>
        <v>#REF!</v>
      </c>
      <c r="Q10" s="268" t="e">
        <f>-S9*#REF!</f>
        <v>#REF!</v>
      </c>
      <c r="R10" s="268">
        <v>0</v>
      </c>
      <c r="S10" s="269">
        <f>S9+R10</f>
        <v>0</v>
      </c>
      <c r="T10" s="1695" t="s">
        <v>0</v>
      </c>
      <c r="U10" s="1695" t="e">
        <f>SUM(Q10:Q21)</f>
        <v>#REF!</v>
      </c>
      <c r="V10" s="1695">
        <f>SUM(R10:R21)</f>
        <v>0</v>
      </c>
      <c r="X10" s="267">
        <v>1</v>
      </c>
      <c r="Y10" s="268" t="e">
        <f t="shared" ref="Y10:Y73" si="2">SUM(Z10:AA10)</f>
        <v>#REF!</v>
      </c>
      <c r="Z10" s="268" t="e">
        <f>-AB9*#REF!</f>
        <v>#REF!</v>
      </c>
      <c r="AA10" s="268">
        <v>0</v>
      </c>
      <c r="AB10" s="269">
        <f>AB9+AA10</f>
        <v>0</v>
      </c>
      <c r="AC10" s="1695" t="s">
        <v>0</v>
      </c>
      <c r="AD10" s="1695" t="e">
        <f>SUM(Z10:Z21)</f>
        <v>#REF!</v>
      </c>
      <c r="AE10" s="1695">
        <f>SUM(AA10:AA21)</f>
        <v>0</v>
      </c>
      <c r="AG10" s="1710" t="s">
        <v>0</v>
      </c>
      <c r="AH10" s="1710" t="e">
        <f>L10+U10+AD10</f>
        <v>#REF!</v>
      </c>
      <c r="AI10" s="1710">
        <f>M10+V10+AE10</f>
        <v>0</v>
      </c>
      <c r="AK10" s="267">
        <v>1</v>
      </c>
      <c r="AL10" s="268" t="e">
        <f t="shared" ref="AL10:AL73" si="3">SUM(AM10:AN10)</f>
        <v>#REF!</v>
      </c>
      <c r="AM10" s="268" t="e">
        <f>-AO9*#REF!</f>
        <v>#REF!</v>
      </c>
      <c r="AN10" s="268">
        <f>$AR$10/12</f>
        <v>0</v>
      </c>
      <c r="AO10" s="269">
        <f t="shared" ref="AO10:AO15" si="4">AO9+AN10</f>
        <v>0</v>
      </c>
      <c r="AP10" s="1695" t="s">
        <v>0</v>
      </c>
      <c r="AQ10" s="1695" t="e">
        <f>SUM(AM10:AM21)</f>
        <v>#REF!</v>
      </c>
      <c r="AR10" s="1695">
        <v>0</v>
      </c>
      <c r="AS10" s="1695">
        <v>0</v>
      </c>
      <c r="AU10" s="267">
        <v>0</v>
      </c>
      <c r="AV10" s="268">
        <f>SUM(AW10:AX10)</f>
        <v>0</v>
      </c>
      <c r="AW10" s="268">
        <v>0</v>
      </c>
      <c r="AX10" s="268">
        <v>0</v>
      </c>
      <c r="AY10" s="268"/>
      <c r="AZ10" s="269">
        <f t="shared" ref="AZ10:AZ15" si="5">AZ9+AX10</f>
        <v>0</v>
      </c>
      <c r="BA10" s="269"/>
      <c r="BB10" s="269"/>
      <c r="BC10" s="1695" t="s">
        <v>0</v>
      </c>
      <c r="BD10" s="565"/>
      <c r="BE10" s="1695">
        <f>SUM(AW10:AW21)</f>
        <v>0</v>
      </c>
      <c r="BF10" s="1695">
        <f>SUM(AX10:AY21)</f>
        <v>0</v>
      </c>
      <c r="BH10" s="268">
        <f t="shared" ref="BH10:BH16" si="6">SUM(BI10:BJ10)</f>
        <v>0</v>
      </c>
      <c r="BI10" s="268">
        <v>0</v>
      </c>
      <c r="BJ10" s="268">
        <v>0</v>
      </c>
      <c r="BK10" s="268"/>
      <c r="BL10" s="269">
        <f t="shared" ref="BL10:BL15" si="7">BL9+BJ10</f>
        <v>0</v>
      </c>
      <c r="BM10" s="269"/>
      <c r="BN10" s="269"/>
      <c r="BO10" s="1695" t="s">
        <v>0</v>
      </c>
      <c r="BP10" s="565"/>
      <c r="BQ10" s="1695">
        <f>SUM(BI10:BI21)</f>
        <v>0</v>
      </c>
      <c r="BR10" s="1695">
        <f>SUM(BJ10:BK21)</f>
        <v>0</v>
      </c>
    </row>
    <row r="11" spans="1:70" ht="15" hidden="1">
      <c r="A11" s="265" t="s">
        <v>511</v>
      </c>
      <c r="B11" s="266">
        <v>2015</v>
      </c>
      <c r="C11" s="266"/>
      <c r="D11" s="266"/>
      <c r="E11" s="265">
        <f t="shared" si="0"/>
        <v>0</v>
      </c>
      <c r="F11" s="267">
        <f>F10+1</f>
        <v>2</v>
      </c>
      <c r="G11" s="268" t="e">
        <f t="shared" ref="G11:G74" si="8">SUM(H11:I11)</f>
        <v>#REF!</v>
      </c>
      <c r="H11" s="268" t="e">
        <f>-J10*#REF!</f>
        <v>#REF!</v>
      </c>
      <c r="I11" s="268">
        <v>0</v>
      </c>
      <c r="J11" s="269">
        <f t="shared" ref="J11:J74" si="9">J10+I11</f>
        <v>0</v>
      </c>
      <c r="K11" s="1695"/>
      <c r="L11" s="1695"/>
      <c r="M11" s="1695"/>
      <c r="O11" s="267">
        <f>O10+1</f>
        <v>2</v>
      </c>
      <c r="P11" s="268" t="e">
        <f t="shared" si="1"/>
        <v>#REF!</v>
      </c>
      <c r="Q11" s="268" t="e">
        <f>-S10*#REF!</f>
        <v>#REF!</v>
      </c>
      <c r="R11" s="268">
        <v>0</v>
      </c>
      <c r="S11" s="269">
        <f t="shared" ref="S11:S74" si="10">S10+R11</f>
        <v>0</v>
      </c>
      <c r="T11" s="1695"/>
      <c r="U11" s="1695"/>
      <c r="V11" s="1695"/>
      <c r="X11" s="267">
        <f>X10+1</f>
        <v>2</v>
      </c>
      <c r="Y11" s="268" t="e">
        <f t="shared" si="2"/>
        <v>#REF!</v>
      </c>
      <c r="Z11" s="268" t="e">
        <f>-AB10*#REF!</f>
        <v>#REF!</v>
      </c>
      <c r="AA11" s="268">
        <v>0</v>
      </c>
      <c r="AB11" s="269">
        <f t="shared" ref="AB11:AB74" si="11">AB10+AA11</f>
        <v>0</v>
      </c>
      <c r="AC11" s="1695"/>
      <c r="AD11" s="1695"/>
      <c r="AE11" s="1695"/>
      <c r="AG11" s="1710"/>
      <c r="AH11" s="1710"/>
      <c r="AI11" s="1710"/>
      <c r="AK11" s="267">
        <f>AK10+1</f>
        <v>2</v>
      </c>
      <c r="AL11" s="268" t="e">
        <f t="shared" si="3"/>
        <v>#REF!</v>
      </c>
      <c r="AM11" s="268" t="e">
        <f>-AO10*#REF!</f>
        <v>#REF!</v>
      </c>
      <c r="AN11" s="268">
        <f t="shared" ref="AN11:AN21" si="12">$AR$10/12</f>
        <v>0</v>
      </c>
      <c r="AO11" s="269">
        <f t="shared" si="4"/>
        <v>0</v>
      </c>
      <c r="AP11" s="1695"/>
      <c r="AQ11" s="1695"/>
      <c r="AR11" s="1695"/>
      <c r="AS11" s="1695"/>
      <c r="AU11" s="267">
        <v>0</v>
      </c>
      <c r="AV11" s="268">
        <f t="shared" ref="AV11:AV74" si="13">SUM(AW11:AX11)</f>
        <v>0</v>
      </c>
      <c r="AW11" s="268">
        <v>0</v>
      </c>
      <c r="AX11" s="268">
        <v>0</v>
      </c>
      <c r="AY11" s="268"/>
      <c r="AZ11" s="269">
        <f t="shared" si="5"/>
        <v>0</v>
      </c>
      <c r="BA11" s="269"/>
      <c r="BB11" s="269"/>
      <c r="BC11" s="1695"/>
      <c r="BD11" s="565"/>
      <c r="BE11" s="1695"/>
      <c r="BF11" s="1695"/>
      <c r="BH11" s="268">
        <f t="shared" si="6"/>
        <v>0</v>
      </c>
      <c r="BI11" s="268">
        <v>0</v>
      </c>
      <c r="BJ11" s="268">
        <v>0</v>
      </c>
      <c r="BK11" s="268"/>
      <c r="BL11" s="269">
        <f t="shared" si="7"/>
        <v>0</v>
      </c>
      <c r="BM11" s="269"/>
      <c r="BN11" s="269"/>
      <c r="BO11" s="1695"/>
      <c r="BP11" s="565"/>
      <c r="BQ11" s="1695"/>
      <c r="BR11" s="1695"/>
    </row>
    <row r="12" spans="1:70" ht="15" hidden="1">
      <c r="A12" s="270" t="s">
        <v>512</v>
      </c>
      <c r="B12" s="266">
        <v>2015</v>
      </c>
      <c r="C12" s="266"/>
      <c r="D12" s="266"/>
      <c r="E12" s="265">
        <f t="shared" si="0"/>
        <v>0</v>
      </c>
      <c r="F12" s="267">
        <f t="shared" ref="F12:F75" si="14">F11+1</f>
        <v>3</v>
      </c>
      <c r="G12" s="268" t="e">
        <f t="shared" si="8"/>
        <v>#REF!</v>
      </c>
      <c r="H12" s="268" t="e">
        <f>-J11*#REF!</f>
        <v>#REF!</v>
      </c>
      <c r="I12" s="268">
        <v>0</v>
      </c>
      <c r="J12" s="269">
        <f t="shared" si="9"/>
        <v>0</v>
      </c>
      <c r="K12" s="1695"/>
      <c r="L12" s="1695"/>
      <c r="M12" s="1695"/>
      <c r="O12" s="267">
        <f t="shared" ref="O12:O75" si="15">O11+1</f>
        <v>3</v>
      </c>
      <c r="P12" s="268" t="e">
        <f t="shared" si="1"/>
        <v>#REF!</v>
      </c>
      <c r="Q12" s="268" t="e">
        <f>-S11*#REF!</f>
        <v>#REF!</v>
      </c>
      <c r="R12" s="268">
        <v>0</v>
      </c>
      <c r="S12" s="269">
        <f t="shared" si="10"/>
        <v>0</v>
      </c>
      <c r="T12" s="1695"/>
      <c r="U12" s="1695"/>
      <c r="V12" s="1695"/>
      <c r="X12" s="267">
        <f t="shared" ref="X12:X75" si="16">X11+1</f>
        <v>3</v>
      </c>
      <c r="Y12" s="268" t="e">
        <f t="shared" si="2"/>
        <v>#REF!</v>
      </c>
      <c r="Z12" s="268" t="e">
        <f>-AB11*#REF!</f>
        <v>#REF!</v>
      </c>
      <c r="AA12" s="268">
        <v>0</v>
      </c>
      <c r="AB12" s="269">
        <f t="shared" si="11"/>
        <v>0</v>
      </c>
      <c r="AC12" s="1695"/>
      <c r="AD12" s="1695"/>
      <c r="AE12" s="1695"/>
      <c r="AG12" s="1710"/>
      <c r="AH12" s="1710"/>
      <c r="AI12" s="1710"/>
      <c r="AK12" s="267">
        <f t="shared" ref="AK12:AK75" si="17">AK11+1</f>
        <v>3</v>
      </c>
      <c r="AL12" s="268" t="e">
        <f t="shared" si="3"/>
        <v>#REF!</v>
      </c>
      <c r="AM12" s="268" t="e">
        <f>-AO11*#REF!</f>
        <v>#REF!</v>
      </c>
      <c r="AN12" s="268">
        <f t="shared" si="12"/>
        <v>0</v>
      </c>
      <c r="AO12" s="269">
        <f t="shared" si="4"/>
        <v>0</v>
      </c>
      <c r="AP12" s="1695"/>
      <c r="AQ12" s="1695"/>
      <c r="AR12" s="1695"/>
      <c r="AS12" s="1695"/>
      <c r="AU12" s="267">
        <v>0</v>
      </c>
      <c r="AV12" s="268">
        <f t="shared" si="13"/>
        <v>0</v>
      </c>
      <c r="AW12" s="268">
        <v>0</v>
      </c>
      <c r="AX12" s="268">
        <v>0</v>
      </c>
      <c r="AY12" s="268"/>
      <c r="AZ12" s="269">
        <f t="shared" si="5"/>
        <v>0</v>
      </c>
      <c r="BA12" s="269"/>
      <c r="BB12" s="269"/>
      <c r="BC12" s="1695"/>
      <c r="BD12" s="565"/>
      <c r="BE12" s="1695"/>
      <c r="BF12" s="1695"/>
      <c r="BH12" s="268">
        <f t="shared" si="6"/>
        <v>0</v>
      </c>
      <c r="BI12" s="268">
        <v>0</v>
      </c>
      <c r="BJ12" s="268">
        <v>0</v>
      </c>
      <c r="BK12" s="268"/>
      <c r="BL12" s="269">
        <f t="shared" si="7"/>
        <v>0</v>
      </c>
      <c r="BM12" s="269"/>
      <c r="BN12" s="269"/>
      <c r="BO12" s="1695"/>
      <c r="BP12" s="565"/>
      <c r="BQ12" s="1695"/>
      <c r="BR12" s="1695"/>
    </row>
    <row r="13" spans="1:70" ht="15" hidden="1">
      <c r="A13" s="270" t="s">
        <v>513</v>
      </c>
      <c r="B13" s="266">
        <v>2015</v>
      </c>
      <c r="C13" s="266"/>
      <c r="D13" s="266"/>
      <c r="E13" s="265">
        <f t="shared" si="0"/>
        <v>0</v>
      </c>
      <c r="F13" s="267">
        <f t="shared" si="14"/>
        <v>4</v>
      </c>
      <c r="G13" s="268" t="e">
        <f t="shared" si="8"/>
        <v>#REF!</v>
      </c>
      <c r="H13" s="268" t="e">
        <f>-J12*#REF!</f>
        <v>#REF!</v>
      </c>
      <c r="I13" s="268">
        <v>0</v>
      </c>
      <c r="J13" s="269">
        <f t="shared" si="9"/>
        <v>0</v>
      </c>
      <c r="K13" s="1695"/>
      <c r="L13" s="1695"/>
      <c r="M13" s="1695"/>
      <c r="O13" s="267">
        <f t="shared" si="15"/>
        <v>4</v>
      </c>
      <c r="P13" s="268" t="e">
        <f t="shared" si="1"/>
        <v>#REF!</v>
      </c>
      <c r="Q13" s="268" t="e">
        <f>-S12*#REF!</f>
        <v>#REF!</v>
      </c>
      <c r="R13" s="268">
        <v>0</v>
      </c>
      <c r="S13" s="269">
        <f t="shared" si="10"/>
        <v>0</v>
      </c>
      <c r="T13" s="1695"/>
      <c r="U13" s="1695"/>
      <c r="V13" s="1695"/>
      <c r="X13" s="267">
        <f t="shared" si="16"/>
        <v>4</v>
      </c>
      <c r="Y13" s="268" t="e">
        <f t="shared" si="2"/>
        <v>#REF!</v>
      </c>
      <c r="Z13" s="268" t="e">
        <f>-AB12*#REF!</f>
        <v>#REF!</v>
      </c>
      <c r="AA13" s="268">
        <v>0</v>
      </c>
      <c r="AB13" s="269">
        <f t="shared" si="11"/>
        <v>0</v>
      </c>
      <c r="AC13" s="1695"/>
      <c r="AD13" s="1695"/>
      <c r="AE13" s="1695"/>
      <c r="AG13" s="1710"/>
      <c r="AH13" s="1710"/>
      <c r="AI13" s="1710"/>
      <c r="AK13" s="267">
        <f t="shared" si="17"/>
        <v>4</v>
      </c>
      <c r="AL13" s="268" t="e">
        <f t="shared" si="3"/>
        <v>#REF!</v>
      </c>
      <c r="AM13" s="268" t="e">
        <f>-AO12*#REF!</f>
        <v>#REF!</v>
      </c>
      <c r="AN13" s="268">
        <f t="shared" si="12"/>
        <v>0</v>
      </c>
      <c r="AO13" s="269">
        <f t="shared" si="4"/>
        <v>0</v>
      </c>
      <c r="AP13" s="1695"/>
      <c r="AQ13" s="1695"/>
      <c r="AR13" s="1695"/>
      <c r="AS13" s="1695"/>
      <c r="AU13" s="267">
        <v>0</v>
      </c>
      <c r="AV13" s="268">
        <f t="shared" si="13"/>
        <v>0</v>
      </c>
      <c r="AW13" s="268">
        <v>0</v>
      </c>
      <c r="AX13" s="268">
        <v>0</v>
      </c>
      <c r="AY13" s="268"/>
      <c r="AZ13" s="269">
        <f t="shared" si="5"/>
        <v>0</v>
      </c>
      <c r="BA13" s="269"/>
      <c r="BB13" s="269"/>
      <c r="BC13" s="1695"/>
      <c r="BD13" s="565"/>
      <c r="BE13" s="1695"/>
      <c r="BF13" s="1695"/>
      <c r="BH13" s="268">
        <f t="shared" si="6"/>
        <v>0</v>
      </c>
      <c r="BI13" s="268">
        <v>0</v>
      </c>
      <c r="BJ13" s="268">
        <v>0</v>
      </c>
      <c r="BK13" s="268"/>
      <c r="BL13" s="269">
        <f t="shared" si="7"/>
        <v>0</v>
      </c>
      <c r="BM13" s="269"/>
      <c r="BN13" s="269"/>
      <c r="BO13" s="1695"/>
      <c r="BP13" s="565"/>
      <c r="BQ13" s="1695"/>
      <c r="BR13" s="1695"/>
    </row>
    <row r="14" spans="1:70" ht="15" hidden="1">
      <c r="A14" s="270" t="s">
        <v>514</v>
      </c>
      <c r="B14" s="266">
        <v>2015</v>
      </c>
      <c r="C14" s="266"/>
      <c r="D14" s="266"/>
      <c r="E14" s="265">
        <f t="shared" si="0"/>
        <v>0</v>
      </c>
      <c r="F14" s="267">
        <f t="shared" si="14"/>
        <v>5</v>
      </c>
      <c r="G14" s="268" t="e">
        <f t="shared" si="8"/>
        <v>#REF!</v>
      </c>
      <c r="H14" s="268" t="e">
        <f>-J13*#REF!</f>
        <v>#REF!</v>
      </c>
      <c r="I14" s="268">
        <v>0</v>
      </c>
      <c r="J14" s="269">
        <f t="shared" si="9"/>
        <v>0</v>
      </c>
      <c r="K14" s="1695"/>
      <c r="L14" s="1695"/>
      <c r="M14" s="1695"/>
      <c r="O14" s="267">
        <f t="shared" si="15"/>
        <v>5</v>
      </c>
      <c r="P14" s="268" t="e">
        <f t="shared" si="1"/>
        <v>#REF!</v>
      </c>
      <c r="Q14" s="268" t="e">
        <f>-S13*#REF!</f>
        <v>#REF!</v>
      </c>
      <c r="R14" s="268">
        <v>0</v>
      </c>
      <c r="S14" s="269">
        <f t="shared" si="10"/>
        <v>0</v>
      </c>
      <c r="T14" s="1695"/>
      <c r="U14" s="1695"/>
      <c r="V14" s="1695"/>
      <c r="X14" s="267">
        <f t="shared" si="16"/>
        <v>5</v>
      </c>
      <c r="Y14" s="268" t="e">
        <f t="shared" si="2"/>
        <v>#REF!</v>
      </c>
      <c r="Z14" s="268" t="e">
        <f>-AB13*#REF!</f>
        <v>#REF!</v>
      </c>
      <c r="AA14" s="268">
        <v>0</v>
      </c>
      <c r="AB14" s="269">
        <f t="shared" si="11"/>
        <v>0</v>
      </c>
      <c r="AC14" s="1695"/>
      <c r="AD14" s="1695"/>
      <c r="AE14" s="1695"/>
      <c r="AG14" s="1710"/>
      <c r="AH14" s="1710"/>
      <c r="AI14" s="1710"/>
      <c r="AK14" s="267">
        <f t="shared" si="17"/>
        <v>5</v>
      </c>
      <c r="AL14" s="268" t="e">
        <f t="shared" si="3"/>
        <v>#REF!</v>
      </c>
      <c r="AM14" s="268" t="e">
        <f>-AO13*#REF!</f>
        <v>#REF!</v>
      </c>
      <c r="AN14" s="268">
        <f t="shared" si="12"/>
        <v>0</v>
      </c>
      <c r="AO14" s="269">
        <f t="shared" si="4"/>
        <v>0</v>
      </c>
      <c r="AP14" s="1695"/>
      <c r="AQ14" s="1695"/>
      <c r="AR14" s="1695"/>
      <c r="AS14" s="1695"/>
      <c r="AU14" s="267">
        <v>0</v>
      </c>
      <c r="AV14" s="268">
        <f t="shared" si="13"/>
        <v>0</v>
      </c>
      <c r="AW14" s="268">
        <v>0</v>
      </c>
      <c r="AX14" s="268">
        <v>0</v>
      </c>
      <c r="AY14" s="268"/>
      <c r="AZ14" s="269">
        <f t="shared" si="5"/>
        <v>0</v>
      </c>
      <c r="BA14" s="269"/>
      <c r="BB14" s="269"/>
      <c r="BC14" s="1695"/>
      <c r="BD14" s="565"/>
      <c r="BE14" s="1695"/>
      <c r="BF14" s="1695"/>
      <c r="BH14" s="268">
        <f t="shared" si="6"/>
        <v>0</v>
      </c>
      <c r="BI14" s="268">
        <v>0</v>
      </c>
      <c r="BJ14" s="268">
        <v>0</v>
      </c>
      <c r="BK14" s="268"/>
      <c r="BL14" s="269">
        <f t="shared" si="7"/>
        <v>0</v>
      </c>
      <c r="BM14" s="269"/>
      <c r="BN14" s="269"/>
      <c r="BO14" s="1695"/>
      <c r="BP14" s="565"/>
      <c r="BQ14" s="1695"/>
      <c r="BR14" s="1695"/>
    </row>
    <row r="15" spans="1:70" ht="15" hidden="1">
      <c r="A15" s="270" t="s">
        <v>515</v>
      </c>
      <c r="B15" s="266">
        <v>2015</v>
      </c>
      <c r="C15" s="266"/>
      <c r="D15" s="266"/>
      <c r="E15" s="265">
        <f t="shared" si="0"/>
        <v>0</v>
      </c>
      <c r="F15" s="267">
        <f t="shared" si="14"/>
        <v>6</v>
      </c>
      <c r="G15" s="268" t="e">
        <f t="shared" si="8"/>
        <v>#REF!</v>
      </c>
      <c r="H15" s="268" t="e">
        <f>-J14*#REF!</f>
        <v>#REF!</v>
      </c>
      <c r="I15" s="268">
        <v>0</v>
      </c>
      <c r="J15" s="269">
        <f t="shared" si="9"/>
        <v>0</v>
      </c>
      <c r="K15" s="1695"/>
      <c r="L15" s="1695"/>
      <c r="M15" s="1695"/>
      <c r="O15" s="267">
        <f t="shared" si="15"/>
        <v>6</v>
      </c>
      <c r="P15" s="268" t="e">
        <f t="shared" si="1"/>
        <v>#REF!</v>
      </c>
      <c r="Q15" s="268" t="e">
        <f>-S14*#REF!</f>
        <v>#REF!</v>
      </c>
      <c r="R15" s="268">
        <v>0</v>
      </c>
      <c r="S15" s="269">
        <f t="shared" si="10"/>
        <v>0</v>
      </c>
      <c r="T15" s="1695"/>
      <c r="U15" s="1695"/>
      <c r="V15" s="1695"/>
      <c r="X15" s="267">
        <f t="shared" si="16"/>
        <v>6</v>
      </c>
      <c r="Y15" s="268" t="e">
        <f t="shared" si="2"/>
        <v>#REF!</v>
      </c>
      <c r="Z15" s="268" t="e">
        <f>-AB14*#REF!</f>
        <v>#REF!</v>
      </c>
      <c r="AA15" s="268">
        <v>0</v>
      </c>
      <c r="AB15" s="269">
        <f t="shared" si="11"/>
        <v>0</v>
      </c>
      <c r="AC15" s="1695"/>
      <c r="AD15" s="1695"/>
      <c r="AE15" s="1695"/>
      <c r="AG15" s="1710"/>
      <c r="AH15" s="1710"/>
      <c r="AI15" s="1710"/>
      <c r="AK15" s="267">
        <f t="shared" si="17"/>
        <v>6</v>
      </c>
      <c r="AL15" s="268" t="e">
        <f t="shared" si="3"/>
        <v>#REF!</v>
      </c>
      <c r="AM15" s="268" t="e">
        <f>-AO14*#REF!</f>
        <v>#REF!</v>
      </c>
      <c r="AN15" s="268">
        <f t="shared" si="12"/>
        <v>0</v>
      </c>
      <c r="AO15" s="269">
        <f t="shared" si="4"/>
        <v>0</v>
      </c>
      <c r="AP15" s="1695"/>
      <c r="AQ15" s="1695"/>
      <c r="AR15" s="1695"/>
      <c r="AS15" s="1695"/>
      <c r="AU15" s="267">
        <v>0</v>
      </c>
      <c r="AV15" s="268">
        <f t="shared" si="13"/>
        <v>0</v>
      </c>
      <c r="AW15" s="268">
        <v>0</v>
      </c>
      <c r="AX15" s="268">
        <v>0</v>
      </c>
      <c r="AY15" s="268"/>
      <c r="AZ15" s="269">
        <f t="shared" si="5"/>
        <v>0</v>
      </c>
      <c r="BA15" s="269"/>
      <c r="BB15" s="269"/>
      <c r="BC15" s="1695"/>
      <c r="BD15" s="565"/>
      <c r="BE15" s="1695"/>
      <c r="BF15" s="1695"/>
      <c r="BH15" s="268">
        <f t="shared" si="6"/>
        <v>0</v>
      </c>
      <c r="BI15" s="268">
        <v>0</v>
      </c>
      <c r="BJ15" s="268">
        <v>0</v>
      </c>
      <c r="BK15" s="268"/>
      <c r="BL15" s="269">
        <f t="shared" si="7"/>
        <v>0</v>
      </c>
      <c r="BM15" s="269"/>
      <c r="BN15" s="269"/>
      <c r="BO15" s="1695"/>
      <c r="BP15" s="565"/>
      <c r="BQ15" s="1695"/>
      <c r="BR15" s="1695"/>
    </row>
    <row r="16" spans="1:70" ht="15" hidden="1">
      <c r="A16" s="270" t="s">
        <v>516</v>
      </c>
      <c r="B16" s="266">
        <v>2015</v>
      </c>
      <c r="C16" s="266"/>
      <c r="D16" s="266"/>
      <c r="E16" s="265">
        <f>AZ16</f>
        <v>0</v>
      </c>
      <c r="F16" s="267">
        <f t="shared" si="14"/>
        <v>7</v>
      </c>
      <c r="G16" s="268" t="e">
        <f t="shared" si="8"/>
        <v>#REF!</v>
      </c>
      <c r="H16" s="268" t="e">
        <f>-J15*#REF!</f>
        <v>#REF!</v>
      </c>
      <c r="I16" s="268">
        <v>0</v>
      </c>
      <c r="J16" s="269">
        <v>50000000</v>
      </c>
      <c r="K16" s="1695"/>
      <c r="L16" s="1695"/>
      <c r="M16" s="1695"/>
      <c r="O16" s="267">
        <f t="shared" si="15"/>
        <v>7</v>
      </c>
      <c r="P16" s="268" t="e">
        <f t="shared" si="1"/>
        <v>#REF!</v>
      </c>
      <c r="Q16" s="268" t="e">
        <f>-S15*#REF!</f>
        <v>#REF!</v>
      </c>
      <c r="R16" s="268">
        <v>0</v>
      </c>
      <c r="S16" s="269">
        <f t="shared" si="10"/>
        <v>0</v>
      </c>
      <c r="T16" s="1695"/>
      <c r="U16" s="1695"/>
      <c r="V16" s="1695"/>
      <c r="X16" s="267">
        <f t="shared" si="16"/>
        <v>7</v>
      </c>
      <c r="Y16" s="268" t="e">
        <f t="shared" si="2"/>
        <v>#REF!</v>
      </c>
      <c r="Z16" s="268" t="e">
        <f>-AB15*#REF!</f>
        <v>#REF!</v>
      </c>
      <c r="AA16" s="268">
        <v>0</v>
      </c>
      <c r="AB16" s="269">
        <f t="shared" si="11"/>
        <v>0</v>
      </c>
      <c r="AC16" s="1695"/>
      <c r="AD16" s="1695"/>
      <c r="AE16" s="1695"/>
      <c r="AG16" s="1710"/>
      <c r="AH16" s="1710"/>
      <c r="AI16" s="1710"/>
      <c r="AK16" s="267">
        <f t="shared" si="17"/>
        <v>7</v>
      </c>
      <c r="AL16" s="268" t="e">
        <f t="shared" si="3"/>
        <v>#REF!</v>
      </c>
      <c r="AM16" s="268" t="e">
        <f>-AO15*#REF!</f>
        <v>#REF!</v>
      </c>
      <c r="AN16" s="268">
        <f t="shared" si="12"/>
        <v>0</v>
      </c>
      <c r="AO16" s="269">
        <f>E16</f>
        <v>0</v>
      </c>
      <c r="AP16" s="1695"/>
      <c r="AQ16" s="1695"/>
      <c r="AR16" s="1695"/>
      <c r="AS16" s="1695"/>
      <c r="AU16" s="271">
        <v>1</v>
      </c>
      <c r="AV16" s="268">
        <f>SUM(AW16:AX16)</f>
        <v>0</v>
      </c>
      <c r="AW16" s="268">
        <v>0</v>
      </c>
      <c r="AX16" s="268">
        <v>0</v>
      </c>
      <c r="AY16" s="268">
        <v>0</v>
      </c>
      <c r="AZ16" s="269">
        <f>SUM(AX16:AY16)+AZ15</f>
        <v>0</v>
      </c>
      <c r="BA16" s="272">
        <v>0</v>
      </c>
      <c r="BB16" s="272"/>
      <c r="BC16" s="1695"/>
      <c r="BD16" s="565"/>
      <c r="BE16" s="1695"/>
      <c r="BF16" s="1695"/>
      <c r="BH16" s="268">
        <f t="shared" si="6"/>
        <v>0</v>
      </c>
      <c r="BI16" s="268">
        <v>0</v>
      </c>
      <c r="BJ16" s="268">
        <v>0</v>
      </c>
      <c r="BK16" s="268">
        <v>0</v>
      </c>
      <c r="BL16" s="269">
        <f>SUM(BJ16:BK16)+BL15</f>
        <v>0</v>
      </c>
      <c r="BM16" s="269"/>
      <c r="BN16" s="269"/>
      <c r="BO16" s="1695"/>
      <c r="BP16" s="565"/>
      <c r="BQ16" s="1695"/>
      <c r="BR16" s="1695"/>
    </row>
    <row r="17" spans="1:70" ht="15" hidden="1">
      <c r="A17" s="270" t="s">
        <v>517</v>
      </c>
      <c r="B17" s="266">
        <v>2015</v>
      </c>
      <c r="C17" s="266"/>
      <c r="D17" s="266"/>
      <c r="E17" s="265">
        <f t="shared" ref="E17:E80" si="18">AZ17</f>
        <v>0</v>
      </c>
      <c r="F17" s="267">
        <f t="shared" si="14"/>
        <v>8</v>
      </c>
      <c r="G17" s="268" t="e">
        <f t="shared" si="8"/>
        <v>#REF!</v>
      </c>
      <c r="H17" s="268" t="e">
        <f>-ROUNDDOWN(J16*#REF!,0)</f>
        <v>#REF!</v>
      </c>
      <c r="I17" s="268">
        <v>0</v>
      </c>
      <c r="J17" s="269">
        <f t="shared" si="9"/>
        <v>50000000</v>
      </c>
      <c r="K17" s="1695"/>
      <c r="L17" s="1695"/>
      <c r="M17" s="1695"/>
      <c r="O17" s="267">
        <f t="shared" si="15"/>
        <v>8</v>
      </c>
      <c r="P17" s="268" t="e">
        <f t="shared" si="1"/>
        <v>#REF!</v>
      </c>
      <c r="Q17" s="268" t="e">
        <f>-S16*#REF!</f>
        <v>#REF!</v>
      </c>
      <c r="R17" s="268">
        <v>0</v>
      </c>
      <c r="S17" s="269">
        <f t="shared" si="10"/>
        <v>0</v>
      </c>
      <c r="T17" s="1695"/>
      <c r="U17" s="1695"/>
      <c r="V17" s="1695"/>
      <c r="X17" s="267">
        <f t="shared" si="16"/>
        <v>8</v>
      </c>
      <c r="Y17" s="268" t="e">
        <f t="shared" si="2"/>
        <v>#REF!</v>
      </c>
      <c r="Z17" s="268" t="e">
        <f>-AB16*#REF!</f>
        <v>#REF!</v>
      </c>
      <c r="AA17" s="268">
        <v>0</v>
      </c>
      <c r="AB17" s="269">
        <f t="shared" si="11"/>
        <v>0</v>
      </c>
      <c r="AC17" s="1695"/>
      <c r="AD17" s="1695"/>
      <c r="AE17" s="1695"/>
      <c r="AG17" s="1710"/>
      <c r="AH17" s="1710"/>
      <c r="AI17" s="1710"/>
      <c r="AK17" s="267">
        <f t="shared" si="17"/>
        <v>8</v>
      </c>
      <c r="AL17" s="268" t="e">
        <f t="shared" si="3"/>
        <v>#REF!</v>
      </c>
      <c r="AM17" s="268" t="e">
        <f>-AO16*#REF!</f>
        <v>#REF!</v>
      </c>
      <c r="AN17" s="268">
        <f t="shared" si="12"/>
        <v>0</v>
      </c>
      <c r="AO17" s="269">
        <f>E17</f>
        <v>0</v>
      </c>
      <c r="AP17" s="1695"/>
      <c r="AQ17" s="1695"/>
      <c r="AR17" s="1695"/>
      <c r="AS17" s="1695"/>
      <c r="AU17" s="267">
        <f t="shared" ref="AU17:AU80" si="19">AU16+1</f>
        <v>2</v>
      </c>
      <c r="AV17" s="268">
        <f t="shared" si="13"/>
        <v>0</v>
      </c>
      <c r="AW17" s="268">
        <f t="shared" ref="AW17:AW24" si="20">-AZ16*BA16/12</f>
        <v>0</v>
      </c>
      <c r="AX17" s="268">
        <v>0</v>
      </c>
      <c r="AY17" s="268">
        <v>0</v>
      </c>
      <c r="AZ17" s="269">
        <f t="shared" ref="AZ17:AZ80" si="21">SUM(AX17:AY17)+AZ16</f>
        <v>0</v>
      </c>
      <c r="BA17" s="272">
        <f>BA16</f>
        <v>0</v>
      </c>
      <c r="BB17" s="272"/>
      <c r="BC17" s="1695"/>
      <c r="BD17" s="565"/>
      <c r="BE17" s="1695"/>
      <c r="BF17" s="1695"/>
      <c r="BH17" s="268">
        <f t="shared" ref="BH17:BH54" si="22">SUM(BI17:BJ17)</f>
        <v>0</v>
      </c>
      <c r="BI17" s="268">
        <f>-BL16*BM16/12</f>
        <v>0</v>
      </c>
      <c r="BJ17" s="268">
        <v>0</v>
      </c>
      <c r="BK17" s="268">
        <v>0</v>
      </c>
      <c r="BL17" s="269">
        <f t="shared" ref="BL17:BL54" si="23">SUM(BJ17:BK17)+BL16</f>
        <v>0</v>
      </c>
      <c r="BM17" s="269"/>
      <c r="BN17" s="269"/>
      <c r="BO17" s="1695"/>
      <c r="BP17" s="565"/>
      <c r="BQ17" s="1695"/>
      <c r="BR17" s="1695"/>
    </row>
    <row r="18" spans="1:70" ht="15" hidden="1">
      <c r="A18" s="270" t="s">
        <v>518</v>
      </c>
      <c r="B18" s="266">
        <v>2015</v>
      </c>
      <c r="C18" s="266"/>
      <c r="D18" s="266"/>
      <c r="E18" s="265">
        <f t="shared" si="18"/>
        <v>0</v>
      </c>
      <c r="F18" s="267">
        <f t="shared" si="14"/>
        <v>9</v>
      </c>
      <c r="G18" s="268" t="e">
        <f t="shared" si="8"/>
        <v>#REF!</v>
      </c>
      <c r="H18" s="268" t="e">
        <f>-ROUNDDOWN(J17*#REF!,0)</f>
        <v>#REF!</v>
      </c>
      <c r="I18" s="268">
        <v>0</v>
      </c>
      <c r="J18" s="269">
        <f>J17+I18+50000000</f>
        <v>100000000</v>
      </c>
      <c r="K18" s="1695"/>
      <c r="L18" s="1695"/>
      <c r="M18" s="1695"/>
      <c r="O18" s="267">
        <f t="shared" si="15"/>
        <v>9</v>
      </c>
      <c r="P18" s="268" t="e">
        <f t="shared" si="1"/>
        <v>#REF!</v>
      </c>
      <c r="Q18" s="268" t="e">
        <f>-S17*#REF!</f>
        <v>#REF!</v>
      </c>
      <c r="R18" s="268">
        <v>0</v>
      </c>
      <c r="S18" s="269">
        <f t="shared" si="10"/>
        <v>0</v>
      </c>
      <c r="T18" s="1695"/>
      <c r="U18" s="1695"/>
      <c r="V18" s="1695"/>
      <c r="X18" s="267">
        <f t="shared" si="16"/>
        <v>9</v>
      </c>
      <c r="Y18" s="268" t="e">
        <f t="shared" si="2"/>
        <v>#REF!</v>
      </c>
      <c r="Z18" s="268" t="e">
        <f>-AB17*#REF!</f>
        <v>#REF!</v>
      </c>
      <c r="AA18" s="268">
        <v>0</v>
      </c>
      <c r="AB18" s="269">
        <f t="shared" si="11"/>
        <v>0</v>
      </c>
      <c r="AC18" s="1695"/>
      <c r="AD18" s="1695"/>
      <c r="AE18" s="1695"/>
      <c r="AG18" s="1710"/>
      <c r="AH18" s="1710"/>
      <c r="AI18" s="1710"/>
      <c r="AK18" s="267">
        <f t="shared" si="17"/>
        <v>9</v>
      </c>
      <c r="AL18" s="268" t="e">
        <f t="shared" si="3"/>
        <v>#REF!</v>
      </c>
      <c r="AM18" s="268" t="e">
        <f>-AO17*#REF!</f>
        <v>#REF!</v>
      </c>
      <c r="AN18" s="268">
        <f t="shared" si="12"/>
        <v>0</v>
      </c>
      <c r="AO18" s="269">
        <f t="shared" ref="AO18:AO56" si="24">E18</f>
        <v>0</v>
      </c>
      <c r="AP18" s="1695"/>
      <c r="AQ18" s="1695"/>
      <c r="AR18" s="1695"/>
      <c r="AS18" s="1695"/>
      <c r="AU18" s="267">
        <f t="shared" si="19"/>
        <v>3</v>
      </c>
      <c r="AV18" s="268">
        <f t="shared" si="13"/>
        <v>0</v>
      </c>
      <c r="AW18" s="268">
        <f t="shared" si="20"/>
        <v>0</v>
      </c>
      <c r="AX18" s="268">
        <v>0</v>
      </c>
      <c r="AY18" s="268">
        <v>0</v>
      </c>
      <c r="AZ18" s="269">
        <f t="shared" si="21"/>
        <v>0</v>
      </c>
      <c r="BA18" s="272">
        <f t="shared" ref="BA18:BA25" si="25">BA17</f>
        <v>0</v>
      </c>
      <c r="BB18" s="272"/>
      <c r="BC18" s="1695"/>
      <c r="BD18" s="565"/>
      <c r="BE18" s="1695"/>
      <c r="BF18" s="1695"/>
      <c r="BH18" s="268">
        <f t="shared" si="22"/>
        <v>0</v>
      </c>
      <c r="BI18" s="268">
        <f>-BL17*BM17/12</f>
        <v>0</v>
      </c>
      <c r="BJ18" s="268">
        <v>0</v>
      </c>
      <c r="BK18" s="268">
        <v>0</v>
      </c>
      <c r="BL18" s="269">
        <f t="shared" si="23"/>
        <v>0</v>
      </c>
      <c r="BM18" s="269"/>
      <c r="BN18" s="269"/>
      <c r="BO18" s="1695"/>
      <c r="BP18" s="565"/>
      <c r="BQ18" s="1695"/>
      <c r="BR18" s="1695"/>
    </row>
    <row r="19" spans="1:70" ht="15" hidden="1">
      <c r="A19" s="270" t="s">
        <v>519</v>
      </c>
      <c r="B19" s="266">
        <v>2016</v>
      </c>
      <c r="C19" s="266"/>
      <c r="D19" s="266"/>
      <c r="E19" s="265">
        <f t="shared" si="18"/>
        <v>0</v>
      </c>
      <c r="F19" s="267">
        <f t="shared" si="14"/>
        <v>10</v>
      </c>
      <c r="G19" s="268" t="e">
        <f t="shared" si="8"/>
        <v>#REF!</v>
      </c>
      <c r="H19" s="268" t="e">
        <f>-ROUNDDOWN(J18*#REF!,0)</f>
        <v>#REF!</v>
      </c>
      <c r="I19" s="268">
        <v>0</v>
      </c>
      <c r="J19" s="269">
        <f>J18+I19</f>
        <v>100000000</v>
      </c>
      <c r="K19" s="1695"/>
      <c r="L19" s="1695"/>
      <c r="M19" s="1695"/>
      <c r="O19" s="267">
        <f t="shared" si="15"/>
        <v>10</v>
      </c>
      <c r="P19" s="268" t="e">
        <f t="shared" si="1"/>
        <v>#REF!</v>
      </c>
      <c r="Q19" s="268" t="e">
        <f>-S18*#REF!</f>
        <v>#REF!</v>
      </c>
      <c r="R19" s="268">
        <v>0</v>
      </c>
      <c r="S19" s="269">
        <f t="shared" si="10"/>
        <v>0</v>
      </c>
      <c r="T19" s="1695"/>
      <c r="U19" s="1695"/>
      <c r="V19" s="1695"/>
      <c r="X19" s="267">
        <f t="shared" si="16"/>
        <v>10</v>
      </c>
      <c r="Y19" s="268" t="e">
        <f t="shared" si="2"/>
        <v>#REF!</v>
      </c>
      <c r="Z19" s="268" t="e">
        <f>-AB18*#REF!</f>
        <v>#REF!</v>
      </c>
      <c r="AA19" s="268">
        <v>0</v>
      </c>
      <c r="AB19" s="269">
        <f t="shared" si="11"/>
        <v>0</v>
      </c>
      <c r="AC19" s="1695"/>
      <c r="AD19" s="1695"/>
      <c r="AE19" s="1695"/>
      <c r="AG19" s="1710"/>
      <c r="AH19" s="1710"/>
      <c r="AI19" s="1710"/>
      <c r="AK19" s="267">
        <f t="shared" si="17"/>
        <v>10</v>
      </c>
      <c r="AL19" s="268" t="e">
        <f t="shared" si="3"/>
        <v>#REF!</v>
      </c>
      <c r="AM19" s="268" t="e">
        <f>-AO18*#REF!</f>
        <v>#REF!</v>
      </c>
      <c r="AN19" s="268">
        <f t="shared" si="12"/>
        <v>0</v>
      </c>
      <c r="AO19" s="269">
        <f t="shared" si="24"/>
        <v>0</v>
      </c>
      <c r="AP19" s="1695"/>
      <c r="AQ19" s="1695"/>
      <c r="AR19" s="1695"/>
      <c r="AS19" s="1695"/>
      <c r="AU19" s="267">
        <f t="shared" si="19"/>
        <v>4</v>
      </c>
      <c r="AV19" s="268">
        <f t="shared" si="13"/>
        <v>0</v>
      </c>
      <c r="AW19" s="268">
        <f t="shared" si="20"/>
        <v>0</v>
      </c>
      <c r="AX19" s="268">
        <v>0</v>
      </c>
      <c r="AY19" s="268">
        <v>0</v>
      </c>
      <c r="AZ19" s="269">
        <f t="shared" si="21"/>
        <v>0</v>
      </c>
      <c r="BA19" s="272">
        <f t="shared" si="25"/>
        <v>0</v>
      </c>
      <c r="BB19" s="272"/>
      <c r="BC19" s="1695"/>
      <c r="BD19" s="565"/>
      <c r="BE19" s="1695"/>
      <c r="BF19" s="1695"/>
      <c r="BH19" s="268">
        <f t="shared" si="22"/>
        <v>0</v>
      </c>
      <c r="BI19" s="268">
        <f t="shared" ref="BI19:BI24" si="26">-BL18*BM18/12</f>
        <v>0</v>
      </c>
      <c r="BJ19" s="268">
        <v>0</v>
      </c>
      <c r="BK19" s="268">
        <v>0</v>
      </c>
      <c r="BL19" s="269">
        <f t="shared" si="23"/>
        <v>0</v>
      </c>
      <c r="BM19" s="269"/>
      <c r="BN19" s="269"/>
      <c r="BO19" s="1695"/>
      <c r="BP19" s="565"/>
      <c r="BQ19" s="1695"/>
      <c r="BR19" s="1695"/>
    </row>
    <row r="20" spans="1:70" ht="15" hidden="1">
      <c r="A20" s="270" t="s">
        <v>520</v>
      </c>
      <c r="B20" s="266">
        <v>2016</v>
      </c>
      <c r="C20" s="266"/>
      <c r="D20" s="266"/>
      <c r="E20" s="265">
        <f t="shared" si="18"/>
        <v>0</v>
      </c>
      <c r="F20" s="267">
        <f t="shared" si="14"/>
        <v>11</v>
      </c>
      <c r="G20" s="268" t="e">
        <f t="shared" si="8"/>
        <v>#REF!</v>
      </c>
      <c r="H20" s="268" t="e">
        <f>-ROUNDDOWN(J19*#REF!,0)</f>
        <v>#REF!</v>
      </c>
      <c r="I20" s="268">
        <v>0</v>
      </c>
      <c r="J20" s="269">
        <f>J19+I20+60000000</f>
        <v>160000000</v>
      </c>
      <c r="K20" s="1695"/>
      <c r="L20" s="1695"/>
      <c r="M20" s="1695"/>
      <c r="O20" s="267">
        <f t="shared" si="15"/>
        <v>11</v>
      </c>
      <c r="P20" s="268" t="e">
        <f t="shared" si="1"/>
        <v>#REF!</v>
      </c>
      <c r="Q20" s="268" t="e">
        <f>-S19*#REF!</f>
        <v>#REF!</v>
      </c>
      <c r="R20" s="268">
        <v>0</v>
      </c>
      <c r="S20" s="269">
        <f t="shared" si="10"/>
        <v>0</v>
      </c>
      <c r="T20" s="1695"/>
      <c r="U20" s="1695"/>
      <c r="V20" s="1695"/>
      <c r="X20" s="267">
        <f t="shared" si="16"/>
        <v>11</v>
      </c>
      <c r="Y20" s="268" t="e">
        <f t="shared" si="2"/>
        <v>#REF!</v>
      </c>
      <c r="Z20" s="268" t="e">
        <f>-AB19*#REF!</f>
        <v>#REF!</v>
      </c>
      <c r="AA20" s="268">
        <v>0</v>
      </c>
      <c r="AB20" s="269">
        <f t="shared" si="11"/>
        <v>0</v>
      </c>
      <c r="AC20" s="1695"/>
      <c r="AD20" s="1695"/>
      <c r="AE20" s="1695"/>
      <c r="AG20" s="1710"/>
      <c r="AH20" s="1710"/>
      <c r="AI20" s="1710"/>
      <c r="AK20" s="267">
        <f t="shared" si="17"/>
        <v>11</v>
      </c>
      <c r="AL20" s="268" t="e">
        <f t="shared" si="3"/>
        <v>#REF!</v>
      </c>
      <c r="AM20" s="268" t="e">
        <f>-AO19*#REF!</f>
        <v>#REF!</v>
      </c>
      <c r="AN20" s="268">
        <f t="shared" si="12"/>
        <v>0</v>
      </c>
      <c r="AO20" s="269">
        <f t="shared" si="24"/>
        <v>0</v>
      </c>
      <c r="AP20" s="1695"/>
      <c r="AQ20" s="1695"/>
      <c r="AR20" s="1695"/>
      <c r="AS20" s="1695"/>
      <c r="AU20" s="267">
        <f t="shared" si="19"/>
        <v>5</v>
      </c>
      <c r="AV20" s="268">
        <f t="shared" si="13"/>
        <v>0</v>
      </c>
      <c r="AW20" s="268">
        <f t="shared" si="20"/>
        <v>0</v>
      </c>
      <c r="AX20" s="268">
        <v>0</v>
      </c>
      <c r="AY20" s="268">
        <v>0</v>
      </c>
      <c r="AZ20" s="269">
        <f t="shared" si="21"/>
        <v>0</v>
      </c>
      <c r="BA20" s="272">
        <f t="shared" si="25"/>
        <v>0</v>
      </c>
      <c r="BB20" s="272"/>
      <c r="BC20" s="1695"/>
      <c r="BD20" s="565"/>
      <c r="BE20" s="1695"/>
      <c r="BF20" s="1695"/>
      <c r="BH20" s="268">
        <f t="shared" si="22"/>
        <v>0</v>
      </c>
      <c r="BI20" s="268">
        <f t="shared" si="26"/>
        <v>0</v>
      </c>
      <c r="BJ20" s="268">
        <v>0</v>
      </c>
      <c r="BK20" s="268">
        <v>0</v>
      </c>
      <c r="BL20" s="269">
        <f t="shared" si="23"/>
        <v>0</v>
      </c>
      <c r="BM20" s="269"/>
      <c r="BN20" s="269"/>
      <c r="BO20" s="1695"/>
      <c r="BP20" s="565"/>
      <c r="BQ20" s="1695"/>
      <c r="BR20" s="1695"/>
    </row>
    <row r="21" spans="1:70" ht="15" hidden="1">
      <c r="A21" s="270" t="s">
        <v>521</v>
      </c>
      <c r="B21" s="266">
        <v>2016</v>
      </c>
      <c r="C21" s="266"/>
      <c r="D21" s="266"/>
      <c r="E21" s="265">
        <f t="shared" si="18"/>
        <v>0</v>
      </c>
      <c r="F21" s="267">
        <f t="shared" si="14"/>
        <v>12</v>
      </c>
      <c r="G21" s="268" t="e">
        <f t="shared" si="8"/>
        <v>#REF!</v>
      </c>
      <c r="H21" s="268" t="e">
        <f>-ROUNDDOWN(J20*#REF!,0)</f>
        <v>#REF!</v>
      </c>
      <c r="I21" s="268">
        <v>0</v>
      </c>
      <c r="J21" s="269">
        <f t="shared" si="9"/>
        <v>160000000</v>
      </c>
      <c r="K21" s="1695"/>
      <c r="L21" s="1695"/>
      <c r="M21" s="1695"/>
      <c r="O21" s="267">
        <f t="shared" si="15"/>
        <v>12</v>
      </c>
      <c r="P21" s="268" t="e">
        <f t="shared" si="1"/>
        <v>#REF!</v>
      </c>
      <c r="Q21" s="268" t="e">
        <f>-S20*#REF!</f>
        <v>#REF!</v>
      </c>
      <c r="R21" s="268">
        <v>0</v>
      </c>
      <c r="S21" s="269">
        <f t="shared" si="10"/>
        <v>0</v>
      </c>
      <c r="T21" s="1695"/>
      <c r="U21" s="1695"/>
      <c r="V21" s="1695"/>
      <c r="X21" s="267">
        <f t="shared" si="16"/>
        <v>12</v>
      </c>
      <c r="Y21" s="268" t="e">
        <f t="shared" si="2"/>
        <v>#REF!</v>
      </c>
      <c r="Z21" s="268" t="e">
        <f>-AB20*#REF!</f>
        <v>#REF!</v>
      </c>
      <c r="AA21" s="268">
        <v>0</v>
      </c>
      <c r="AB21" s="269">
        <f t="shared" si="11"/>
        <v>0</v>
      </c>
      <c r="AC21" s="1695"/>
      <c r="AD21" s="1695"/>
      <c r="AE21" s="1695"/>
      <c r="AG21" s="1710"/>
      <c r="AH21" s="1710"/>
      <c r="AI21" s="1710"/>
      <c r="AK21" s="267">
        <f t="shared" si="17"/>
        <v>12</v>
      </c>
      <c r="AL21" s="268" t="e">
        <f t="shared" si="3"/>
        <v>#REF!</v>
      </c>
      <c r="AM21" s="268" t="e">
        <f>-AO20*#REF!</f>
        <v>#REF!</v>
      </c>
      <c r="AN21" s="268">
        <f t="shared" si="12"/>
        <v>0</v>
      </c>
      <c r="AO21" s="269">
        <f t="shared" si="24"/>
        <v>0</v>
      </c>
      <c r="AP21" s="1695"/>
      <c r="AQ21" s="1695"/>
      <c r="AR21" s="1695"/>
      <c r="AS21" s="1695"/>
      <c r="AU21" s="267">
        <f t="shared" si="19"/>
        <v>6</v>
      </c>
      <c r="AV21" s="268">
        <f t="shared" si="13"/>
        <v>0</v>
      </c>
      <c r="AW21" s="268">
        <f t="shared" si="20"/>
        <v>0</v>
      </c>
      <c r="AX21" s="268">
        <v>0</v>
      </c>
      <c r="AY21" s="268">
        <v>0</v>
      </c>
      <c r="AZ21" s="269">
        <f t="shared" si="21"/>
        <v>0</v>
      </c>
      <c r="BA21" s="272">
        <f t="shared" si="25"/>
        <v>0</v>
      </c>
      <c r="BB21" s="272"/>
      <c r="BC21" s="1695"/>
      <c r="BD21" s="565"/>
      <c r="BE21" s="1695"/>
      <c r="BF21" s="1695"/>
      <c r="BH21" s="268">
        <f t="shared" si="22"/>
        <v>0</v>
      </c>
      <c r="BI21" s="268">
        <f t="shared" si="26"/>
        <v>0</v>
      </c>
      <c r="BJ21" s="268">
        <v>0</v>
      </c>
      <c r="BK21" s="268">
        <v>0</v>
      </c>
      <c r="BL21" s="269">
        <f t="shared" si="23"/>
        <v>0</v>
      </c>
      <c r="BM21" s="269"/>
      <c r="BN21" s="269"/>
      <c r="BO21" s="1695"/>
      <c r="BP21" s="565"/>
      <c r="BQ21" s="1695"/>
      <c r="BR21" s="1695"/>
    </row>
    <row r="22" spans="1:70" ht="15">
      <c r="A22" s="273" t="s">
        <v>510</v>
      </c>
      <c r="B22" s="274">
        <v>2016</v>
      </c>
      <c r="C22" s="274"/>
      <c r="D22" s="274"/>
      <c r="E22" s="275">
        <f t="shared" si="18"/>
        <v>0</v>
      </c>
      <c r="F22" s="276">
        <f t="shared" si="14"/>
        <v>13</v>
      </c>
      <c r="G22" s="277" t="e">
        <f t="shared" si="8"/>
        <v>#REF!</v>
      </c>
      <c r="H22" s="277" t="e">
        <f>-ROUNDDOWN(J21*#REF!,0)</f>
        <v>#REF!</v>
      </c>
      <c r="I22" s="277">
        <v>0</v>
      </c>
      <c r="J22" s="278">
        <f t="shared" si="9"/>
        <v>160000000</v>
      </c>
      <c r="K22" s="1694" t="s">
        <v>1</v>
      </c>
      <c r="L22" s="1694" t="e">
        <f>SUM(H22:H33)</f>
        <v>#REF!</v>
      </c>
      <c r="M22" s="1694">
        <f>SUM(I22:I33)</f>
        <v>0</v>
      </c>
      <c r="O22" s="276">
        <f t="shared" si="15"/>
        <v>13</v>
      </c>
      <c r="P22" s="277" t="e">
        <f t="shared" si="1"/>
        <v>#REF!</v>
      </c>
      <c r="Q22" s="277" t="e">
        <f>-S21*#REF!</f>
        <v>#REF!</v>
      </c>
      <c r="R22" s="277">
        <v>0</v>
      </c>
      <c r="S22" s="278">
        <v>127500000</v>
      </c>
      <c r="T22" s="1694" t="s">
        <v>1</v>
      </c>
      <c r="U22" s="1694" t="e">
        <f>SUM(Q22:Q33)</f>
        <v>#REF!</v>
      </c>
      <c r="V22" s="1694">
        <f>SUM(R22:R33)</f>
        <v>0</v>
      </c>
      <c r="X22" s="276">
        <f t="shared" si="16"/>
        <v>13</v>
      </c>
      <c r="Y22" s="277" t="e">
        <f t="shared" si="2"/>
        <v>#REF!</v>
      </c>
      <c r="Z22" s="277" t="e">
        <f>-AB21*#REF!</f>
        <v>#REF!</v>
      </c>
      <c r="AA22" s="277">
        <v>0</v>
      </c>
      <c r="AB22" s="278">
        <f t="shared" si="11"/>
        <v>0</v>
      </c>
      <c r="AC22" s="1694" t="s">
        <v>1</v>
      </c>
      <c r="AD22" s="1694" t="e">
        <f>SUM(Z22:Z33)</f>
        <v>#REF!</v>
      </c>
      <c r="AE22" s="1694">
        <f>SUM(AA22:AA33)</f>
        <v>0</v>
      </c>
      <c r="AG22" s="1709" t="s">
        <v>1</v>
      </c>
      <c r="AH22" s="1709" t="e">
        <f>L22+U22+AD22</f>
        <v>#REF!</v>
      </c>
      <c r="AI22" s="1709">
        <f>M22+V22+AE22</f>
        <v>0</v>
      </c>
      <c r="AK22" s="276">
        <f t="shared" si="17"/>
        <v>13</v>
      </c>
      <c r="AL22" s="277" t="e">
        <f t="shared" si="3"/>
        <v>#REF!</v>
      </c>
      <c r="AM22" s="277" t="e">
        <f>-AO21*#REF!</f>
        <v>#REF!</v>
      </c>
      <c r="AN22" s="277">
        <f>$AR$22/12</f>
        <v>0</v>
      </c>
      <c r="AO22" s="278">
        <f t="shared" si="24"/>
        <v>0</v>
      </c>
      <c r="AP22" s="1694" t="s">
        <v>1</v>
      </c>
      <c r="AQ22" s="1694" t="e">
        <f>SUM(AM22:AM33)</f>
        <v>#REF!</v>
      </c>
      <c r="AR22" s="1694">
        <v>0</v>
      </c>
      <c r="AS22" s="1694">
        <v>0</v>
      </c>
      <c r="AU22" s="276">
        <f t="shared" si="19"/>
        <v>7</v>
      </c>
      <c r="AV22" s="277">
        <f t="shared" si="13"/>
        <v>0</v>
      </c>
      <c r="AW22" s="277">
        <f t="shared" si="20"/>
        <v>0</v>
      </c>
      <c r="AX22" s="277">
        <v>0</v>
      </c>
      <c r="AY22" s="277">
        <v>0</v>
      </c>
      <c r="AZ22" s="278">
        <f t="shared" si="21"/>
        <v>0</v>
      </c>
      <c r="BA22" s="279">
        <f t="shared" si="25"/>
        <v>0</v>
      </c>
      <c r="BB22" s="279"/>
      <c r="BC22" s="1694" t="s">
        <v>1</v>
      </c>
      <c r="BD22" s="563"/>
      <c r="BE22" s="1694">
        <f>SUM(AW22:AW33)</f>
        <v>-811689.45000000007</v>
      </c>
      <c r="BF22" s="1694">
        <f>SUM(AX22:AY33)</f>
        <v>156873302</v>
      </c>
      <c r="BH22" s="277">
        <f t="shared" si="22"/>
        <v>0</v>
      </c>
      <c r="BI22" s="277">
        <f t="shared" si="26"/>
        <v>0</v>
      </c>
      <c r="BJ22" s="277">
        <v>0</v>
      </c>
      <c r="BK22" s="277">
        <v>0</v>
      </c>
      <c r="BL22" s="278">
        <f t="shared" si="23"/>
        <v>0</v>
      </c>
      <c r="BM22" s="278"/>
      <c r="BN22" s="278"/>
      <c r="BO22" s="1694" t="s">
        <v>1</v>
      </c>
      <c r="BP22" s="563"/>
      <c r="BQ22" s="1694">
        <f>SUM(BI22:BI33)</f>
        <v>0</v>
      </c>
      <c r="BR22" s="1694">
        <f>SUM(BJ22:BK33)</f>
        <v>0</v>
      </c>
    </row>
    <row r="23" spans="1:70" ht="15">
      <c r="A23" s="273" t="s">
        <v>511</v>
      </c>
      <c r="B23" s="274">
        <v>2016</v>
      </c>
      <c r="C23" s="274"/>
      <c r="D23" s="274"/>
      <c r="E23" s="275">
        <f t="shared" si="18"/>
        <v>0</v>
      </c>
      <c r="F23" s="276">
        <f t="shared" si="14"/>
        <v>14</v>
      </c>
      <c r="G23" s="277" t="e">
        <f t="shared" si="8"/>
        <v>#REF!</v>
      </c>
      <c r="H23" s="277" t="e">
        <f>-ROUNDDOWN(J22*#REF!,0)</f>
        <v>#REF!</v>
      </c>
      <c r="I23" s="277">
        <v>0</v>
      </c>
      <c r="J23" s="278">
        <f t="shared" si="9"/>
        <v>160000000</v>
      </c>
      <c r="K23" s="1694"/>
      <c r="L23" s="1694"/>
      <c r="M23" s="1694"/>
      <c r="O23" s="276">
        <f t="shared" si="15"/>
        <v>14</v>
      </c>
      <c r="P23" s="277" t="e">
        <f t="shared" si="1"/>
        <v>#REF!</v>
      </c>
      <c r="Q23" s="277" t="e">
        <f>-S22*#REF!</f>
        <v>#REF!</v>
      </c>
      <c r="R23" s="277">
        <v>0</v>
      </c>
      <c r="S23" s="278">
        <f t="shared" si="10"/>
        <v>127500000</v>
      </c>
      <c r="T23" s="1694"/>
      <c r="U23" s="1694"/>
      <c r="V23" s="1694"/>
      <c r="X23" s="276">
        <f t="shared" si="16"/>
        <v>14</v>
      </c>
      <c r="Y23" s="277" t="e">
        <f t="shared" si="2"/>
        <v>#REF!</v>
      </c>
      <c r="Z23" s="277" t="e">
        <f>-AB22*#REF!</f>
        <v>#REF!</v>
      </c>
      <c r="AA23" s="277">
        <v>0</v>
      </c>
      <c r="AB23" s="278">
        <f t="shared" si="11"/>
        <v>0</v>
      </c>
      <c r="AC23" s="1694"/>
      <c r="AD23" s="1694"/>
      <c r="AE23" s="1694"/>
      <c r="AG23" s="1709"/>
      <c r="AH23" s="1709"/>
      <c r="AI23" s="1709"/>
      <c r="AK23" s="276">
        <f t="shared" si="17"/>
        <v>14</v>
      </c>
      <c r="AL23" s="277" t="e">
        <f t="shared" si="3"/>
        <v>#REF!</v>
      </c>
      <c r="AM23" s="277" t="e">
        <f>-AO22*#REF!</f>
        <v>#REF!</v>
      </c>
      <c r="AN23" s="277">
        <f t="shared" ref="AN23:AN33" si="27">$AR$22/12</f>
        <v>0</v>
      </c>
      <c r="AO23" s="278">
        <f t="shared" si="24"/>
        <v>0</v>
      </c>
      <c r="AP23" s="1694"/>
      <c r="AQ23" s="1694"/>
      <c r="AR23" s="1694"/>
      <c r="AS23" s="1694"/>
      <c r="AU23" s="276">
        <f t="shared" si="19"/>
        <v>8</v>
      </c>
      <c r="AV23" s="277">
        <f t="shared" si="13"/>
        <v>0</v>
      </c>
      <c r="AW23" s="277">
        <f t="shared" si="20"/>
        <v>0</v>
      </c>
      <c r="AX23" s="277">
        <v>0</v>
      </c>
      <c r="AY23" s="277">
        <v>0</v>
      </c>
      <c r="AZ23" s="278">
        <f t="shared" si="21"/>
        <v>0</v>
      </c>
      <c r="BA23" s="279">
        <f t="shared" si="25"/>
        <v>0</v>
      </c>
      <c r="BB23" s="279"/>
      <c r="BC23" s="1694"/>
      <c r="BD23" s="563"/>
      <c r="BE23" s="1694"/>
      <c r="BF23" s="1694"/>
      <c r="BH23" s="277">
        <f t="shared" si="22"/>
        <v>0</v>
      </c>
      <c r="BI23" s="277">
        <f t="shared" si="26"/>
        <v>0</v>
      </c>
      <c r="BJ23" s="277">
        <v>0</v>
      </c>
      <c r="BK23" s="277">
        <v>0</v>
      </c>
      <c r="BL23" s="278">
        <f t="shared" si="23"/>
        <v>0</v>
      </c>
      <c r="BM23" s="278"/>
      <c r="BN23" s="278"/>
      <c r="BO23" s="1694"/>
      <c r="BP23" s="563"/>
      <c r="BQ23" s="1694"/>
      <c r="BR23" s="1694"/>
    </row>
    <row r="24" spans="1:70" ht="15">
      <c r="A24" s="273" t="s">
        <v>512</v>
      </c>
      <c r="B24" s="274">
        <v>2016</v>
      </c>
      <c r="C24" s="274"/>
      <c r="D24" s="274"/>
      <c r="E24" s="275">
        <f t="shared" si="18"/>
        <v>23437776</v>
      </c>
      <c r="F24" s="276">
        <f t="shared" si="14"/>
        <v>15</v>
      </c>
      <c r="G24" s="277" t="e">
        <f t="shared" si="8"/>
        <v>#REF!</v>
      </c>
      <c r="H24" s="277" t="e">
        <f>-ROUNDDOWN(J23*#REF!,0)</f>
        <v>#REF!</v>
      </c>
      <c r="I24" s="277">
        <v>0</v>
      </c>
      <c r="J24" s="278">
        <f t="shared" si="9"/>
        <v>160000000</v>
      </c>
      <c r="K24" s="1694"/>
      <c r="L24" s="1694"/>
      <c r="M24" s="1694"/>
      <c r="O24" s="276">
        <f t="shared" si="15"/>
        <v>15</v>
      </c>
      <c r="P24" s="277" t="e">
        <f t="shared" si="1"/>
        <v>#REF!</v>
      </c>
      <c r="Q24" s="277" t="e">
        <f>-S23*#REF!</f>
        <v>#REF!</v>
      </c>
      <c r="R24" s="277">
        <v>0</v>
      </c>
      <c r="S24" s="278">
        <f t="shared" si="10"/>
        <v>127500000</v>
      </c>
      <c r="T24" s="1694"/>
      <c r="U24" s="1694"/>
      <c r="V24" s="1694"/>
      <c r="X24" s="276">
        <f t="shared" si="16"/>
        <v>15</v>
      </c>
      <c r="Y24" s="277" t="e">
        <f t="shared" si="2"/>
        <v>#REF!</v>
      </c>
      <c r="Z24" s="277" t="e">
        <f>-AB23*#REF!</f>
        <v>#REF!</v>
      </c>
      <c r="AA24" s="277">
        <v>0</v>
      </c>
      <c r="AB24" s="278">
        <f t="shared" si="11"/>
        <v>0</v>
      </c>
      <c r="AC24" s="1694"/>
      <c r="AD24" s="1694"/>
      <c r="AE24" s="1694"/>
      <c r="AG24" s="1709"/>
      <c r="AH24" s="1709"/>
      <c r="AI24" s="1709"/>
      <c r="AK24" s="276">
        <f t="shared" si="17"/>
        <v>15</v>
      </c>
      <c r="AL24" s="277" t="e">
        <f t="shared" si="3"/>
        <v>#REF!</v>
      </c>
      <c r="AM24" s="277" t="e">
        <f>-AO23*#REF!</f>
        <v>#REF!</v>
      </c>
      <c r="AN24" s="277">
        <f t="shared" si="27"/>
        <v>0</v>
      </c>
      <c r="AO24" s="278">
        <f t="shared" si="24"/>
        <v>23437776</v>
      </c>
      <c r="AP24" s="1694"/>
      <c r="AQ24" s="1694"/>
      <c r="AR24" s="1694"/>
      <c r="AS24" s="1694"/>
      <c r="AU24" s="276">
        <f t="shared" si="19"/>
        <v>9</v>
      </c>
      <c r="AV24" s="277">
        <f t="shared" si="13"/>
        <v>0</v>
      </c>
      <c r="AW24" s="277">
        <f t="shared" si="20"/>
        <v>0</v>
      </c>
      <c r="AX24" s="277">
        <v>0</v>
      </c>
      <c r="AY24" s="280">
        <v>23437776</v>
      </c>
      <c r="AZ24" s="281">
        <f t="shared" si="21"/>
        <v>23437776</v>
      </c>
      <c r="BA24" s="350">
        <v>1.3898199999999999E-2</v>
      </c>
      <c r="BB24" s="350"/>
      <c r="BC24" s="1694"/>
      <c r="BD24" s="563"/>
      <c r="BE24" s="1694"/>
      <c r="BF24" s="1694"/>
      <c r="BH24" s="277">
        <f t="shared" si="22"/>
        <v>0</v>
      </c>
      <c r="BI24" s="277">
        <f t="shared" si="26"/>
        <v>0</v>
      </c>
      <c r="BJ24" s="277">
        <v>0</v>
      </c>
      <c r="BK24" s="280">
        <v>0</v>
      </c>
      <c r="BL24" s="281">
        <f t="shared" si="23"/>
        <v>0</v>
      </c>
      <c r="BM24" s="278"/>
      <c r="BN24" s="278"/>
      <c r="BO24" s="1694"/>
      <c r="BP24" s="563"/>
      <c r="BQ24" s="1694"/>
      <c r="BR24" s="1694"/>
    </row>
    <row r="25" spans="1:70" ht="15">
      <c r="A25" s="273" t="s">
        <v>513</v>
      </c>
      <c r="B25" s="274">
        <v>2016</v>
      </c>
      <c r="C25" s="274"/>
      <c r="D25" s="274"/>
      <c r="E25" s="275">
        <f t="shared" si="18"/>
        <v>23437776</v>
      </c>
      <c r="F25" s="276">
        <f t="shared" si="14"/>
        <v>16</v>
      </c>
      <c r="G25" s="277" t="e">
        <f t="shared" si="8"/>
        <v>#REF!</v>
      </c>
      <c r="H25" s="277" t="e">
        <f>-ROUNDDOWN(J24*#REF!,0)</f>
        <v>#REF!</v>
      </c>
      <c r="I25" s="277">
        <v>0</v>
      </c>
      <c r="J25" s="278">
        <f t="shared" si="9"/>
        <v>160000000</v>
      </c>
      <c r="K25" s="1694"/>
      <c r="L25" s="1694"/>
      <c r="M25" s="1694"/>
      <c r="O25" s="276">
        <f t="shared" si="15"/>
        <v>16</v>
      </c>
      <c r="P25" s="277" t="e">
        <f t="shared" si="1"/>
        <v>#REF!</v>
      </c>
      <c r="Q25" s="277" t="e">
        <f>-S24*#REF!</f>
        <v>#REF!</v>
      </c>
      <c r="R25" s="277">
        <v>0</v>
      </c>
      <c r="S25" s="278">
        <f>S24+R25+127500000</f>
        <v>255000000</v>
      </c>
      <c r="T25" s="1694"/>
      <c r="U25" s="1694"/>
      <c r="V25" s="1694"/>
      <c r="X25" s="276">
        <f t="shared" si="16"/>
        <v>16</v>
      </c>
      <c r="Y25" s="277" t="e">
        <f t="shared" si="2"/>
        <v>#REF!</v>
      </c>
      <c r="Z25" s="277" t="e">
        <f>-AB24*#REF!</f>
        <v>#REF!</v>
      </c>
      <c r="AA25" s="277">
        <v>0</v>
      </c>
      <c r="AB25" s="278">
        <f t="shared" si="11"/>
        <v>0</v>
      </c>
      <c r="AC25" s="1694"/>
      <c r="AD25" s="1694"/>
      <c r="AE25" s="1694"/>
      <c r="AG25" s="1709"/>
      <c r="AH25" s="1709"/>
      <c r="AI25" s="1709"/>
      <c r="AK25" s="276">
        <f t="shared" si="17"/>
        <v>16</v>
      </c>
      <c r="AL25" s="277" t="e">
        <f t="shared" si="3"/>
        <v>#REF!</v>
      </c>
      <c r="AM25" s="277" t="e">
        <f>-AO24*#REF!</f>
        <v>#REF!</v>
      </c>
      <c r="AN25" s="277">
        <f t="shared" si="27"/>
        <v>0</v>
      </c>
      <c r="AO25" s="278">
        <f t="shared" si="24"/>
        <v>23437776</v>
      </c>
      <c r="AP25" s="1694"/>
      <c r="AQ25" s="1694"/>
      <c r="AR25" s="1694"/>
      <c r="AS25" s="1694"/>
      <c r="AU25" s="276">
        <f t="shared" si="19"/>
        <v>10</v>
      </c>
      <c r="AV25" s="349">
        <f t="shared" si="13"/>
        <v>-26405.26</v>
      </c>
      <c r="AW25" s="349">
        <v>-26405.26</v>
      </c>
      <c r="AX25" s="277">
        <v>0</v>
      </c>
      <c r="AY25" s="280">
        <v>0</v>
      </c>
      <c r="AZ25" s="281">
        <f t="shared" si="21"/>
        <v>23437776</v>
      </c>
      <c r="BA25" s="350">
        <f t="shared" si="25"/>
        <v>1.3898199999999999E-2</v>
      </c>
      <c r="BB25" s="350"/>
      <c r="BC25" s="1694"/>
      <c r="BD25" s="563"/>
      <c r="BE25" s="1694"/>
      <c r="BF25" s="1694"/>
      <c r="BH25" s="349">
        <v>0</v>
      </c>
      <c r="BI25" s="349">
        <v>0</v>
      </c>
      <c r="BJ25" s="277">
        <v>0</v>
      </c>
      <c r="BK25" s="280">
        <v>0</v>
      </c>
      <c r="BL25" s="281">
        <f t="shared" si="23"/>
        <v>0</v>
      </c>
      <c r="BM25" s="278"/>
      <c r="BN25" s="278"/>
      <c r="BO25" s="1694"/>
      <c r="BP25" s="563"/>
      <c r="BQ25" s="1694"/>
      <c r="BR25" s="1694"/>
    </row>
    <row r="26" spans="1:70" ht="15">
      <c r="A26" s="273" t="s">
        <v>514</v>
      </c>
      <c r="B26" s="274">
        <v>2016</v>
      </c>
      <c r="C26" s="274"/>
      <c r="D26" s="274"/>
      <c r="E26" s="275">
        <f t="shared" si="18"/>
        <v>23437776</v>
      </c>
      <c r="F26" s="276">
        <f t="shared" si="14"/>
        <v>17</v>
      </c>
      <c r="G26" s="277" t="e">
        <f t="shared" si="8"/>
        <v>#REF!</v>
      </c>
      <c r="H26" s="277" t="e">
        <f>-ROUNDDOWN(J25*#REF!,0)</f>
        <v>#REF!</v>
      </c>
      <c r="I26" s="277">
        <v>0</v>
      </c>
      <c r="J26" s="278">
        <f t="shared" si="9"/>
        <v>160000000</v>
      </c>
      <c r="K26" s="1694"/>
      <c r="L26" s="1694"/>
      <c r="M26" s="1694"/>
      <c r="O26" s="276">
        <f t="shared" si="15"/>
        <v>17</v>
      </c>
      <c r="P26" s="277" t="e">
        <f t="shared" si="1"/>
        <v>#REF!</v>
      </c>
      <c r="Q26" s="277" t="e">
        <f>-S25*#REF!</f>
        <v>#REF!</v>
      </c>
      <c r="R26" s="277">
        <v>0</v>
      </c>
      <c r="S26" s="278">
        <f t="shared" si="10"/>
        <v>255000000</v>
      </c>
      <c r="T26" s="1694"/>
      <c r="U26" s="1694"/>
      <c r="V26" s="1694"/>
      <c r="X26" s="276">
        <f t="shared" si="16"/>
        <v>17</v>
      </c>
      <c r="Y26" s="277" t="e">
        <f t="shared" si="2"/>
        <v>#REF!</v>
      </c>
      <c r="Z26" s="277" t="e">
        <f>-AB25*#REF!</f>
        <v>#REF!</v>
      </c>
      <c r="AA26" s="277">
        <v>0</v>
      </c>
      <c r="AB26" s="278">
        <f t="shared" si="11"/>
        <v>0</v>
      </c>
      <c r="AC26" s="1694"/>
      <c r="AD26" s="1694"/>
      <c r="AE26" s="1694"/>
      <c r="AG26" s="1709"/>
      <c r="AH26" s="1709"/>
      <c r="AI26" s="1709"/>
      <c r="AK26" s="276">
        <f t="shared" si="17"/>
        <v>17</v>
      </c>
      <c r="AL26" s="277" t="e">
        <f t="shared" si="3"/>
        <v>#REF!</v>
      </c>
      <c r="AM26" s="277" t="e">
        <f>-AO25*#REF!</f>
        <v>#REF!</v>
      </c>
      <c r="AN26" s="277">
        <f t="shared" si="27"/>
        <v>0</v>
      </c>
      <c r="AO26" s="278">
        <f t="shared" si="24"/>
        <v>23437776</v>
      </c>
      <c r="AP26" s="1694"/>
      <c r="AQ26" s="1694"/>
      <c r="AR26" s="1694"/>
      <c r="AS26" s="1694"/>
      <c r="AU26" s="276">
        <f t="shared" si="19"/>
        <v>11</v>
      </c>
      <c r="AV26" s="349">
        <f t="shared" si="13"/>
        <v>-29450.73</v>
      </c>
      <c r="AW26" s="349">
        <v>-29450.73</v>
      </c>
      <c r="AX26" s="277">
        <v>0</v>
      </c>
      <c r="AY26" s="280">
        <v>0</v>
      </c>
      <c r="AZ26" s="281">
        <f t="shared" si="21"/>
        <v>23437776</v>
      </c>
      <c r="BA26" s="350">
        <v>1.3964300000000001E-2</v>
      </c>
      <c r="BB26" s="350"/>
      <c r="BC26" s="1694"/>
      <c r="BD26" s="563"/>
      <c r="BE26" s="1694"/>
      <c r="BF26" s="1694"/>
      <c r="BH26" s="349">
        <v>0</v>
      </c>
      <c r="BI26" s="349">
        <v>0</v>
      </c>
      <c r="BJ26" s="277">
        <v>0</v>
      </c>
      <c r="BK26" s="280">
        <v>0</v>
      </c>
      <c r="BL26" s="281">
        <f t="shared" si="23"/>
        <v>0</v>
      </c>
      <c r="BM26" s="278"/>
      <c r="BN26" s="278"/>
      <c r="BO26" s="1694"/>
      <c r="BP26" s="563"/>
      <c r="BQ26" s="1694"/>
      <c r="BR26" s="1694"/>
    </row>
    <row r="27" spans="1:70" ht="15">
      <c r="A27" s="273" t="s">
        <v>515</v>
      </c>
      <c r="B27" s="274">
        <v>2016</v>
      </c>
      <c r="C27" s="274"/>
      <c r="D27" s="274"/>
      <c r="E27" s="275">
        <f t="shared" si="18"/>
        <v>54190776</v>
      </c>
      <c r="F27" s="276">
        <f t="shared" si="14"/>
        <v>18</v>
      </c>
      <c r="G27" s="277" t="e">
        <f t="shared" si="8"/>
        <v>#REF!</v>
      </c>
      <c r="H27" s="277" t="e">
        <f>-ROUNDDOWN(J26*#REF!,0)</f>
        <v>#REF!</v>
      </c>
      <c r="I27" s="277">
        <v>0</v>
      </c>
      <c r="J27" s="278">
        <f t="shared" si="9"/>
        <v>160000000</v>
      </c>
      <c r="K27" s="1694"/>
      <c r="L27" s="1694"/>
      <c r="M27" s="1694"/>
      <c r="O27" s="276">
        <f t="shared" si="15"/>
        <v>18</v>
      </c>
      <c r="P27" s="277" t="e">
        <f t="shared" si="1"/>
        <v>#REF!</v>
      </c>
      <c r="Q27" s="277" t="e">
        <f>-S26*#REF!</f>
        <v>#REF!</v>
      </c>
      <c r="R27" s="277">
        <v>0</v>
      </c>
      <c r="S27" s="278">
        <f t="shared" si="10"/>
        <v>255000000</v>
      </c>
      <c r="T27" s="1694"/>
      <c r="U27" s="1694"/>
      <c r="V27" s="1694"/>
      <c r="X27" s="276">
        <f t="shared" si="16"/>
        <v>18</v>
      </c>
      <c r="Y27" s="277" t="e">
        <f t="shared" si="2"/>
        <v>#REF!</v>
      </c>
      <c r="Z27" s="277" t="e">
        <f>-AB26*#REF!</f>
        <v>#REF!</v>
      </c>
      <c r="AA27" s="277">
        <v>0</v>
      </c>
      <c r="AB27" s="278">
        <f t="shared" si="11"/>
        <v>0</v>
      </c>
      <c r="AC27" s="1694"/>
      <c r="AD27" s="1694"/>
      <c r="AE27" s="1694"/>
      <c r="AG27" s="1709"/>
      <c r="AH27" s="1709"/>
      <c r="AI27" s="1709"/>
      <c r="AK27" s="276">
        <f t="shared" si="17"/>
        <v>18</v>
      </c>
      <c r="AL27" s="277" t="e">
        <f t="shared" si="3"/>
        <v>#REF!</v>
      </c>
      <c r="AM27" s="277" t="e">
        <f>-AO26*#REF!</f>
        <v>#REF!</v>
      </c>
      <c r="AN27" s="277">
        <f t="shared" si="27"/>
        <v>0</v>
      </c>
      <c r="AO27" s="278">
        <f t="shared" si="24"/>
        <v>54190776</v>
      </c>
      <c r="AP27" s="1694"/>
      <c r="AQ27" s="1694"/>
      <c r="AR27" s="1694"/>
      <c r="AS27" s="1694"/>
      <c r="AU27" s="276">
        <f t="shared" si="19"/>
        <v>12</v>
      </c>
      <c r="AV27" s="349">
        <f t="shared" si="13"/>
        <v>-27797.41</v>
      </c>
      <c r="AW27" s="349">
        <v>-27797.41</v>
      </c>
      <c r="AX27" s="277">
        <v>0</v>
      </c>
      <c r="AY27" s="280">
        <v>30753000</v>
      </c>
      <c r="AZ27" s="281">
        <f t="shared" si="21"/>
        <v>54190776</v>
      </c>
      <c r="BA27" s="350">
        <v>1.41896E-2</v>
      </c>
      <c r="BB27" s="350"/>
      <c r="BC27" s="1694"/>
      <c r="BD27" s="563"/>
      <c r="BE27" s="1694"/>
      <c r="BF27" s="1694"/>
      <c r="BH27" s="349">
        <v>0</v>
      </c>
      <c r="BI27" s="349">
        <v>0</v>
      </c>
      <c r="BJ27" s="277">
        <v>0</v>
      </c>
      <c r="BK27" s="280">
        <v>0</v>
      </c>
      <c r="BL27" s="281">
        <f t="shared" si="23"/>
        <v>0</v>
      </c>
      <c r="BM27" s="278"/>
      <c r="BN27" s="278"/>
      <c r="BO27" s="1694"/>
      <c r="BP27" s="563"/>
      <c r="BQ27" s="1694"/>
      <c r="BR27" s="1694"/>
    </row>
    <row r="28" spans="1:70" ht="15">
      <c r="A28" s="273" t="s">
        <v>516</v>
      </c>
      <c r="B28" s="274">
        <v>2016</v>
      </c>
      <c r="C28" s="274"/>
      <c r="D28" s="274"/>
      <c r="E28" s="275">
        <f t="shared" si="18"/>
        <v>54190776</v>
      </c>
      <c r="F28" s="276">
        <f t="shared" si="14"/>
        <v>19</v>
      </c>
      <c r="G28" s="277" t="e">
        <f t="shared" si="8"/>
        <v>#REF!</v>
      </c>
      <c r="H28" s="277" t="e">
        <f>-ROUNDDOWN(J27*#REF!,0)</f>
        <v>#REF!</v>
      </c>
      <c r="I28" s="277">
        <v>0</v>
      </c>
      <c r="J28" s="278">
        <f t="shared" si="9"/>
        <v>160000000</v>
      </c>
      <c r="K28" s="1694"/>
      <c r="L28" s="1694"/>
      <c r="M28" s="1694"/>
      <c r="O28" s="276">
        <f t="shared" si="15"/>
        <v>19</v>
      </c>
      <c r="P28" s="277" t="e">
        <f t="shared" si="1"/>
        <v>#REF!</v>
      </c>
      <c r="Q28" s="277" t="e">
        <f>-S27*#REF!</f>
        <v>#REF!</v>
      </c>
      <c r="R28" s="277">
        <v>0</v>
      </c>
      <c r="S28" s="278">
        <f>S27+R28+127500000</f>
        <v>382500000</v>
      </c>
      <c r="T28" s="1694"/>
      <c r="U28" s="1694"/>
      <c r="V28" s="1694"/>
      <c r="X28" s="276">
        <f t="shared" si="16"/>
        <v>19</v>
      </c>
      <c r="Y28" s="277" t="e">
        <f t="shared" si="2"/>
        <v>#REF!</v>
      </c>
      <c r="Z28" s="277" t="e">
        <f>-AB27*#REF!</f>
        <v>#REF!</v>
      </c>
      <c r="AA28" s="277">
        <v>0</v>
      </c>
      <c r="AB28" s="278">
        <f t="shared" si="11"/>
        <v>0</v>
      </c>
      <c r="AC28" s="1694"/>
      <c r="AD28" s="1694"/>
      <c r="AE28" s="1694"/>
      <c r="AG28" s="1709"/>
      <c r="AH28" s="1709"/>
      <c r="AI28" s="1709"/>
      <c r="AK28" s="276">
        <f t="shared" si="17"/>
        <v>19</v>
      </c>
      <c r="AL28" s="277" t="e">
        <f t="shared" si="3"/>
        <v>#REF!</v>
      </c>
      <c r="AM28" s="277" t="e">
        <f>-AO27*#REF!</f>
        <v>#REF!</v>
      </c>
      <c r="AN28" s="277">
        <f t="shared" si="27"/>
        <v>0</v>
      </c>
      <c r="AO28" s="278">
        <f t="shared" si="24"/>
        <v>54190776</v>
      </c>
      <c r="AP28" s="1694"/>
      <c r="AQ28" s="1694"/>
      <c r="AR28" s="1694"/>
      <c r="AS28" s="1694"/>
      <c r="AU28" s="276">
        <f t="shared" si="19"/>
        <v>13</v>
      </c>
      <c r="AV28" s="349">
        <f t="shared" si="13"/>
        <v>-66237.86</v>
      </c>
      <c r="AW28" s="349">
        <f>-29157.06-37080.8</f>
        <v>-66237.86</v>
      </c>
      <c r="AX28" s="277">
        <v>0</v>
      </c>
      <c r="AY28" s="280">
        <v>0</v>
      </c>
      <c r="AZ28" s="281">
        <f t="shared" si="21"/>
        <v>54190776</v>
      </c>
      <c r="BA28" s="350">
        <v>1.44143E-2</v>
      </c>
      <c r="BB28" s="350"/>
      <c r="BC28" s="1694"/>
      <c r="BD28" s="563"/>
      <c r="BE28" s="1694"/>
      <c r="BF28" s="1694"/>
      <c r="BH28" s="349">
        <v>0</v>
      </c>
      <c r="BI28" s="349">
        <v>0</v>
      </c>
      <c r="BJ28" s="277">
        <v>0</v>
      </c>
      <c r="BK28" s="280">
        <v>0</v>
      </c>
      <c r="BL28" s="281">
        <f t="shared" si="23"/>
        <v>0</v>
      </c>
      <c r="BM28" s="278"/>
      <c r="BN28" s="278"/>
      <c r="BO28" s="1694"/>
      <c r="BP28" s="563"/>
      <c r="BQ28" s="1694"/>
      <c r="BR28" s="1694"/>
    </row>
    <row r="29" spans="1:70" ht="15">
      <c r="A29" s="273" t="s">
        <v>517</v>
      </c>
      <c r="B29" s="274">
        <v>2016</v>
      </c>
      <c r="C29" s="274"/>
      <c r="D29" s="274"/>
      <c r="E29" s="275">
        <f t="shared" si="18"/>
        <v>54190776</v>
      </c>
      <c r="F29" s="276">
        <f t="shared" si="14"/>
        <v>20</v>
      </c>
      <c r="G29" s="277" t="e">
        <f t="shared" si="8"/>
        <v>#REF!</v>
      </c>
      <c r="H29" s="277" t="e">
        <f>-ROUNDDOWN(J28*#REF!,0)</f>
        <v>#REF!</v>
      </c>
      <c r="I29" s="277">
        <v>0</v>
      </c>
      <c r="J29" s="278">
        <f t="shared" si="9"/>
        <v>160000000</v>
      </c>
      <c r="K29" s="1694"/>
      <c r="L29" s="1694"/>
      <c r="M29" s="1694"/>
      <c r="O29" s="276">
        <f t="shared" si="15"/>
        <v>20</v>
      </c>
      <c r="P29" s="277" t="e">
        <f t="shared" si="1"/>
        <v>#REF!</v>
      </c>
      <c r="Q29" s="277" t="e">
        <f>-S28*#REF!</f>
        <v>#REF!</v>
      </c>
      <c r="R29" s="277">
        <v>0</v>
      </c>
      <c r="S29" s="278">
        <f t="shared" si="10"/>
        <v>382500000</v>
      </c>
      <c r="T29" s="1694"/>
      <c r="U29" s="1694"/>
      <c r="V29" s="1694"/>
      <c r="X29" s="276">
        <f t="shared" si="16"/>
        <v>20</v>
      </c>
      <c r="Y29" s="277" t="e">
        <f t="shared" si="2"/>
        <v>#REF!</v>
      </c>
      <c r="Z29" s="277" t="e">
        <f>-AB28*#REF!</f>
        <v>#REF!</v>
      </c>
      <c r="AA29" s="277">
        <v>0</v>
      </c>
      <c r="AB29" s="278">
        <f t="shared" si="11"/>
        <v>0</v>
      </c>
      <c r="AC29" s="1694"/>
      <c r="AD29" s="1694"/>
      <c r="AE29" s="1694"/>
      <c r="AG29" s="1709"/>
      <c r="AH29" s="1709"/>
      <c r="AI29" s="1709"/>
      <c r="AK29" s="276">
        <f t="shared" si="17"/>
        <v>20</v>
      </c>
      <c r="AL29" s="277" t="e">
        <f t="shared" si="3"/>
        <v>#REF!</v>
      </c>
      <c r="AM29" s="277" t="e">
        <f>-AO28*#REF!</f>
        <v>#REF!</v>
      </c>
      <c r="AN29" s="277">
        <f t="shared" si="27"/>
        <v>0</v>
      </c>
      <c r="AO29" s="278">
        <f t="shared" si="24"/>
        <v>54190776</v>
      </c>
      <c r="AP29" s="1694"/>
      <c r="AQ29" s="1694"/>
      <c r="AR29" s="1694"/>
      <c r="AS29" s="1694"/>
      <c r="AU29" s="276">
        <f t="shared" si="19"/>
        <v>14</v>
      </c>
      <c r="AV29" s="349">
        <f t="shared" si="13"/>
        <v>-66341.88</v>
      </c>
      <c r="AW29" s="349">
        <v>-66341.88</v>
      </c>
      <c r="AX29" s="277">
        <v>0</v>
      </c>
      <c r="AY29" s="280">
        <v>0</v>
      </c>
      <c r="AZ29" s="281">
        <f t="shared" si="21"/>
        <v>54190776</v>
      </c>
      <c r="BA29" s="350">
        <v>1.52643E-2</v>
      </c>
      <c r="BB29" s="350"/>
      <c r="BC29" s="1694"/>
      <c r="BD29" s="563"/>
      <c r="BE29" s="1694"/>
      <c r="BF29" s="1694"/>
      <c r="BH29" s="349">
        <v>0</v>
      </c>
      <c r="BI29" s="349">
        <v>0</v>
      </c>
      <c r="BJ29" s="277">
        <v>0</v>
      </c>
      <c r="BK29" s="280">
        <v>0</v>
      </c>
      <c r="BL29" s="281">
        <f t="shared" si="23"/>
        <v>0</v>
      </c>
      <c r="BM29" s="278"/>
      <c r="BN29" s="278"/>
      <c r="BO29" s="1694"/>
      <c r="BP29" s="563"/>
      <c r="BQ29" s="1694"/>
      <c r="BR29" s="1694"/>
    </row>
    <row r="30" spans="1:70" ht="15">
      <c r="A30" s="273" t="s">
        <v>518</v>
      </c>
      <c r="B30" s="274">
        <v>2016</v>
      </c>
      <c r="C30" s="274"/>
      <c r="D30" s="274"/>
      <c r="E30" s="275">
        <f t="shared" si="18"/>
        <v>107148302</v>
      </c>
      <c r="F30" s="276">
        <f t="shared" si="14"/>
        <v>21</v>
      </c>
      <c r="G30" s="277" t="e">
        <f t="shared" si="8"/>
        <v>#REF!</v>
      </c>
      <c r="H30" s="277" t="e">
        <f>-ROUNDDOWN(J29*#REF!,0)</f>
        <v>#REF!</v>
      </c>
      <c r="I30" s="277">
        <v>0</v>
      </c>
      <c r="J30" s="278">
        <f t="shared" si="9"/>
        <v>160000000</v>
      </c>
      <c r="K30" s="1694"/>
      <c r="L30" s="1694"/>
      <c r="M30" s="1694"/>
      <c r="O30" s="276">
        <f t="shared" si="15"/>
        <v>21</v>
      </c>
      <c r="P30" s="277" t="e">
        <f t="shared" si="1"/>
        <v>#REF!</v>
      </c>
      <c r="Q30" s="277" t="e">
        <f>-S29*#REF!</f>
        <v>#REF!</v>
      </c>
      <c r="R30" s="277">
        <v>0</v>
      </c>
      <c r="S30" s="278">
        <f t="shared" si="10"/>
        <v>382500000</v>
      </c>
      <c r="T30" s="1694"/>
      <c r="U30" s="1694"/>
      <c r="V30" s="1694"/>
      <c r="X30" s="276">
        <f t="shared" si="16"/>
        <v>21</v>
      </c>
      <c r="Y30" s="277" t="e">
        <f t="shared" si="2"/>
        <v>#REF!</v>
      </c>
      <c r="Z30" s="277" t="e">
        <f>-AB29*#REF!</f>
        <v>#REF!</v>
      </c>
      <c r="AA30" s="277">
        <v>0</v>
      </c>
      <c r="AB30" s="278">
        <f t="shared" si="11"/>
        <v>0</v>
      </c>
      <c r="AC30" s="1694"/>
      <c r="AD30" s="1694"/>
      <c r="AE30" s="1694"/>
      <c r="AG30" s="1709"/>
      <c r="AH30" s="1709"/>
      <c r="AI30" s="1709"/>
      <c r="AK30" s="276">
        <f t="shared" si="17"/>
        <v>21</v>
      </c>
      <c r="AL30" s="277" t="e">
        <f t="shared" si="3"/>
        <v>#REF!</v>
      </c>
      <c r="AM30" s="277" t="e">
        <f>-AO29*#REF!</f>
        <v>#REF!</v>
      </c>
      <c r="AN30" s="277">
        <f t="shared" si="27"/>
        <v>0</v>
      </c>
      <c r="AO30" s="278">
        <f t="shared" si="24"/>
        <v>107148302</v>
      </c>
      <c r="AP30" s="1694"/>
      <c r="AQ30" s="1694"/>
      <c r="AR30" s="1694"/>
      <c r="AS30" s="1694"/>
      <c r="AU30" s="276">
        <f t="shared" si="19"/>
        <v>15</v>
      </c>
      <c r="AV30" s="349">
        <f t="shared" si="13"/>
        <v>-77052.78</v>
      </c>
      <c r="AW30" s="349">
        <v>-77052.78</v>
      </c>
      <c r="AX30" s="277">
        <v>0</v>
      </c>
      <c r="AY30" s="280">
        <v>52957526</v>
      </c>
      <c r="AZ30" s="281">
        <f t="shared" si="21"/>
        <v>107148302</v>
      </c>
      <c r="BA30" s="350">
        <v>1.87464E-2</v>
      </c>
      <c r="BB30" s="350"/>
      <c r="BC30" s="1694"/>
      <c r="BD30" s="563"/>
      <c r="BE30" s="1694"/>
      <c r="BF30" s="1694"/>
      <c r="BH30" s="349">
        <v>0</v>
      </c>
      <c r="BI30" s="349">
        <v>0</v>
      </c>
      <c r="BJ30" s="277">
        <v>0</v>
      </c>
      <c r="BK30" s="280">
        <v>0</v>
      </c>
      <c r="BL30" s="281">
        <f t="shared" si="23"/>
        <v>0</v>
      </c>
      <c r="BM30" s="278"/>
      <c r="BN30" s="278"/>
      <c r="BO30" s="1694"/>
      <c r="BP30" s="563"/>
      <c r="BQ30" s="1694"/>
      <c r="BR30" s="1694"/>
    </row>
    <row r="31" spans="1:70" ht="15">
      <c r="A31" s="273" t="s">
        <v>519</v>
      </c>
      <c r="B31" s="274">
        <v>2017</v>
      </c>
      <c r="C31" s="274"/>
      <c r="D31" s="274"/>
      <c r="E31" s="275">
        <f t="shared" si="18"/>
        <v>107148302</v>
      </c>
      <c r="F31" s="276">
        <f t="shared" si="14"/>
        <v>22</v>
      </c>
      <c r="G31" s="277" t="e">
        <f t="shared" si="8"/>
        <v>#REF!</v>
      </c>
      <c r="H31" s="277" t="e">
        <f>-ROUNDDOWN(J30*#REF!,0)</f>
        <v>#REF!</v>
      </c>
      <c r="I31" s="277">
        <v>0</v>
      </c>
      <c r="J31" s="278">
        <f t="shared" si="9"/>
        <v>160000000</v>
      </c>
      <c r="K31" s="1694"/>
      <c r="L31" s="1694"/>
      <c r="M31" s="1694"/>
      <c r="O31" s="276">
        <f t="shared" si="15"/>
        <v>22</v>
      </c>
      <c r="P31" s="277" t="e">
        <f t="shared" si="1"/>
        <v>#REF!</v>
      </c>
      <c r="Q31" s="277" t="e">
        <f>-S30*#REF!</f>
        <v>#REF!</v>
      </c>
      <c r="R31" s="277">
        <v>0</v>
      </c>
      <c r="S31" s="278">
        <f>S30+R31+127500000</f>
        <v>510000000</v>
      </c>
      <c r="T31" s="1694"/>
      <c r="U31" s="1694"/>
      <c r="V31" s="1694"/>
      <c r="X31" s="276">
        <f t="shared" si="16"/>
        <v>22</v>
      </c>
      <c r="Y31" s="277" t="e">
        <f t="shared" si="2"/>
        <v>#REF!</v>
      </c>
      <c r="Z31" s="277" t="e">
        <f>-AB30*#REF!</f>
        <v>#REF!</v>
      </c>
      <c r="AA31" s="277">
        <v>0</v>
      </c>
      <c r="AB31" s="278">
        <f t="shared" si="11"/>
        <v>0</v>
      </c>
      <c r="AC31" s="1694"/>
      <c r="AD31" s="1694"/>
      <c r="AE31" s="1694"/>
      <c r="AG31" s="1709"/>
      <c r="AH31" s="1709"/>
      <c r="AI31" s="1709"/>
      <c r="AK31" s="276">
        <f t="shared" si="17"/>
        <v>22</v>
      </c>
      <c r="AL31" s="277" t="e">
        <f t="shared" si="3"/>
        <v>#REF!</v>
      </c>
      <c r="AM31" s="277" t="e">
        <f>-AO30*#REF!</f>
        <v>#REF!</v>
      </c>
      <c r="AN31" s="277">
        <f t="shared" si="27"/>
        <v>0</v>
      </c>
      <c r="AO31" s="278">
        <f t="shared" si="24"/>
        <v>107148302</v>
      </c>
      <c r="AP31" s="1694"/>
      <c r="AQ31" s="1694"/>
      <c r="AR31" s="1694"/>
      <c r="AS31" s="1694"/>
      <c r="AU31" s="276">
        <f t="shared" si="19"/>
        <v>16</v>
      </c>
      <c r="AV31" s="349">
        <f t="shared" si="13"/>
        <v>-165094.10999999999</v>
      </c>
      <c r="AW31" s="349">
        <f>-83497.15-81596.96</f>
        <v>-165094.10999999999</v>
      </c>
      <c r="AX31" s="277">
        <v>0</v>
      </c>
      <c r="AY31" s="280">
        <v>0</v>
      </c>
      <c r="AZ31" s="281">
        <f t="shared" si="21"/>
        <v>107148302</v>
      </c>
      <c r="BA31" s="350">
        <v>1.7425E-2</v>
      </c>
      <c r="BB31" s="350"/>
      <c r="BC31" s="1694"/>
      <c r="BD31" s="563"/>
      <c r="BE31" s="1694"/>
      <c r="BF31" s="1694"/>
      <c r="BH31" s="349">
        <v>0</v>
      </c>
      <c r="BI31" s="349">
        <v>0</v>
      </c>
      <c r="BJ31" s="277">
        <v>0</v>
      </c>
      <c r="BK31" s="280">
        <v>0</v>
      </c>
      <c r="BL31" s="281">
        <f t="shared" si="23"/>
        <v>0</v>
      </c>
      <c r="BM31" s="278"/>
      <c r="BN31" s="278"/>
      <c r="BO31" s="1694"/>
      <c r="BP31" s="563"/>
      <c r="BQ31" s="1694"/>
      <c r="BR31" s="1694"/>
    </row>
    <row r="32" spans="1:70" ht="15">
      <c r="A32" s="273" t="s">
        <v>520</v>
      </c>
      <c r="B32" s="274">
        <v>2017</v>
      </c>
      <c r="C32" s="274"/>
      <c r="D32" s="274"/>
      <c r="E32" s="275">
        <f t="shared" si="18"/>
        <v>156873302</v>
      </c>
      <c r="F32" s="276">
        <f t="shared" si="14"/>
        <v>23</v>
      </c>
      <c r="G32" s="277" t="e">
        <f t="shared" si="8"/>
        <v>#REF!</v>
      </c>
      <c r="H32" s="277" t="e">
        <f>-ROUNDDOWN(J31*#REF!,0)</f>
        <v>#REF!</v>
      </c>
      <c r="I32" s="277">
        <v>0</v>
      </c>
      <c r="J32" s="278">
        <f t="shared" si="9"/>
        <v>160000000</v>
      </c>
      <c r="K32" s="1694"/>
      <c r="L32" s="1694"/>
      <c r="M32" s="1694"/>
      <c r="O32" s="276">
        <f t="shared" si="15"/>
        <v>23</v>
      </c>
      <c r="P32" s="277" t="e">
        <f t="shared" si="1"/>
        <v>#REF!</v>
      </c>
      <c r="Q32" s="277" t="e">
        <f>-S31*#REF!</f>
        <v>#REF!</v>
      </c>
      <c r="R32" s="277">
        <v>0</v>
      </c>
      <c r="S32" s="278">
        <f t="shared" si="10"/>
        <v>510000000</v>
      </c>
      <c r="T32" s="1694"/>
      <c r="U32" s="1694"/>
      <c r="V32" s="1694"/>
      <c r="X32" s="276">
        <f t="shared" si="16"/>
        <v>23</v>
      </c>
      <c r="Y32" s="277" t="e">
        <f t="shared" si="2"/>
        <v>#REF!</v>
      </c>
      <c r="Z32" s="277" t="e">
        <f>-AB31*#REF!</f>
        <v>#REF!</v>
      </c>
      <c r="AA32" s="277">
        <v>0</v>
      </c>
      <c r="AB32" s="278">
        <f t="shared" si="11"/>
        <v>0</v>
      </c>
      <c r="AC32" s="1694"/>
      <c r="AD32" s="1694"/>
      <c r="AE32" s="1694"/>
      <c r="AG32" s="1709"/>
      <c r="AH32" s="1709"/>
      <c r="AI32" s="1709"/>
      <c r="AK32" s="276">
        <f t="shared" si="17"/>
        <v>23</v>
      </c>
      <c r="AL32" s="277" t="e">
        <f t="shared" si="3"/>
        <v>#REF!</v>
      </c>
      <c r="AM32" s="277" t="e">
        <f>-AO31*#REF!</f>
        <v>#REF!</v>
      </c>
      <c r="AN32" s="277">
        <f t="shared" si="27"/>
        <v>0</v>
      </c>
      <c r="AO32" s="278">
        <f t="shared" si="24"/>
        <v>156873302</v>
      </c>
      <c r="AP32" s="1694"/>
      <c r="AQ32" s="1694"/>
      <c r="AR32" s="1694"/>
      <c r="AS32" s="1694"/>
      <c r="AU32" s="276">
        <f t="shared" si="19"/>
        <v>17</v>
      </c>
      <c r="AV32" s="349">
        <f t="shared" si="13"/>
        <v>-158572.15</v>
      </c>
      <c r="AW32" s="349">
        <v>-158572.15</v>
      </c>
      <c r="AX32" s="277">
        <v>0</v>
      </c>
      <c r="AY32" s="280">
        <v>49725000</v>
      </c>
      <c r="AZ32" s="281">
        <f t="shared" si="21"/>
        <v>156873302</v>
      </c>
      <c r="BA32" s="350">
        <v>1.6182100000000001E-2</v>
      </c>
      <c r="BB32" s="350"/>
      <c r="BC32" s="1694"/>
      <c r="BD32" s="563"/>
      <c r="BE32" s="1694"/>
      <c r="BF32" s="1694"/>
      <c r="BH32" s="349">
        <v>0</v>
      </c>
      <c r="BI32" s="349">
        <v>0</v>
      </c>
      <c r="BJ32" s="277">
        <v>0</v>
      </c>
      <c r="BK32" s="280">
        <v>0</v>
      </c>
      <c r="BL32" s="281">
        <f t="shared" si="23"/>
        <v>0</v>
      </c>
      <c r="BM32" s="278"/>
      <c r="BN32" s="278"/>
      <c r="BO32" s="1694"/>
      <c r="BP32" s="563"/>
      <c r="BQ32" s="1694"/>
      <c r="BR32" s="1694"/>
    </row>
    <row r="33" spans="1:70" ht="15">
      <c r="A33" s="273" t="s">
        <v>521</v>
      </c>
      <c r="B33" s="274">
        <v>2017</v>
      </c>
      <c r="C33" s="274"/>
      <c r="D33" s="274"/>
      <c r="E33" s="275">
        <f t="shared" si="18"/>
        <v>156873302</v>
      </c>
      <c r="F33" s="276">
        <f t="shared" si="14"/>
        <v>24</v>
      </c>
      <c r="G33" s="277" t="e">
        <f t="shared" si="8"/>
        <v>#REF!</v>
      </c>
      <c r="H33" s="277" t="e">
        <f>-ROUNDDOWN(J32*#REF!,0)</f>
        <v>#REF!</v>
      </c>
      <c r="I33" s="277">
        <v>0</v>
      </c>
      <c r="J33" s="278">
        <f t="shared" si="9"/>
        <v>160000000</v>
      </c>
      <c r="K33" s="1694"/>
      <c r="L33" s="1694"/>
      <c r="M33" s="1694"/>
      <c r="O33" s="276">
        <f t="shared" si="15"/>
        <v>24</v>
      </c>
      <c r="P33" s="277" t="e">
        <f t="shared" si="1"/>
        <v>#REF!</v>
      </c>
      <c r="Q33" s="277" t="e">
        <f>-S32*#REF!</f>
        <v>#REF!</v>
      </c>
      <c r="R33" s="277">
        <v>0</v>
      </c>
      <c r="S33" s="278">
        <f t="shared" si="10"/>
        <v>510000000</v>
      </c>
      <c r="T33" s="1694"/>
      <c r="U33" s="1694"/>
      <c r="V33" s="1694"/>
      <c r="X33" s="276">
        <f t="shared" si="16"/>
        <v>24</v>
      </c>
      <c r="Y33" s="277" t="e">
        <f t="shared" si="2"/>
        <v>#REF!</v>
      </c>
      <c r="Z33" s="277" t="e">
        <f>-AB32*#REF!</f>
        <v>#REF!</v>
      </c>
      <c r="AA33" s="277">
        <v>0</v>
      </c>
      <c r="AB33" s="278">
        <f t="shared" si="11"/>
        <v>0</v>
      </c>
      <c r="AC33" s="1694"/>
      <c r="AD33" s="1694"/>
      <c r="AE33" s="1694"/>
      <c r="AG33" s="1709"/>
      <c r="AH33" s="1709"/>
      <c r="AI33" s="1709"/>
      <c r="AK33" s="276">
        <f t="shared" si="17"/>
        <v>24</v>
      </c>
      <c r="AL33" s="277" t="e">
        <f t="shared" si="3"/>
        <v>#REF!</v>
      </c>
      <c r="AM33" s="277" t="e">
        <f>-AO32*#REF!</f>
        <v>#REF!</v>
      </c>
      <c r="AN33" s="277">
        <f t="shared" si="27"/>
        <v>0</v>
      </c>
      <c r="AO33" s="278">
        <f t="shared" si="24"/>
        <v>156873302</v>
      </c>
      <c r="AP33" s="1694"/>
      <c r="AQ33" s="1694"/>
      <c r="AR33" s="1694"/>
      <c r="AS33" s="1694"/>
      <c r="AU33" s="276">
        <f t="shared" si="19"/>
        <v>18</v>
      </c>
      <c r="AV33" s="349">
        <f t="shared" si="13"/>
        <v>-194737.27000000002</v>
      </c>
      <c r="AW33" s="349">
        <f>-133010.32-61726.95</f>
        <v>-194737.27000000002</v>
      </c>
      <c r="AX33" s="277">
        <v>0</v>
      </c>
      <c r="AY33" s="280">
        <v>0</v>
      </c>
      <c r="AZ33" s="281">
        <f t="shared" si="21"/>
        <v>156873302</v>
      </c>
      <c r="BA33" s="350">
        <v>1.5946399999999999E-2</v>
      </c>
      <c r="BB33" s="350"/>
      <c r="BC33" s="1694"/>
      <c r="BD33" s="563"/>
      <c r="BE33" s="1694"/>
      <c r="BF33" s="1694"/>
      <c r="BH33" s="349">
        <v>0</v>
      </c>
      <c r="BI33" s="349">
        <v>0</v>
      </c>
      <c r="BJ33" s="277">
        <v>0</v>
      </c>
      <c r="BK33" s="280">
        <v>0</v>
      </c>
      <c r="BL33" s="281">
        <f t="shared" si="23"/>
        <v>0</v>
      </c>
      <c r="BM33" s="278"/>
      <c r="BN33" s="278"/>
      <c r="BO33" s="1694"/>
      <c r="BP33" s="563"/>
      <c r="BQ33" s="1694"/>
      <c r="BR33" s="1694"/>
    </row>
    <row r="34" spans="1:70" ht="15">
      <c r="A34" s="270" t="s">
        <v>510</v>
      </c>
      <c r="B34" s="266">
        <v>2017</v>
      </c>
      <c r="C34" s="266"/>
      <c r="D34" s="266"/>
      <c r="E34" s="265">
        <f t="shared" si="18"/>
        <v>156873302</v>
      </c>
      <c r="F34" s="267">
        <f t="shared" si="14"/>
        <v>25</v>
      </c>
      <c r="G34" s="268" t="e">
        <f t="shared" si="8"/>
        <v>#REF!</v>
      </c>
      <c r="H34" s="268" t="e">
        <f>-ROUNDDOWN(J33*#REF!,0)</f>
        <v>#REF!</v>
      </c>
      <c r="I34" s="268">
        <v>0</v>
      </c>
      <c r="J34" s="269">
        <f t="shared" si="9"/>
        <v>160000000</v>
      </c>
      <c r="K34" s="1695" t="s">
        <v>2</v>
      </c>
      <c r="L34" s="1695" t="e">
        <f>SUM(H34:H45)</f>
        <v>#REF!</v>
      </c>
      <c r="M34" s="1695">
        <f>SUM(I34:I45)</f>
        <v>0</v>
      </c>
      <c r="O34" s="267">
        <f t="shared" si="15"/>
        <v>25</v>
      </c>
      <c r="P34" s="268" t="e">
        <f t="shared" si="1"/>
        <v>#REF!</v>
      </c>
      <c r="Q34" s="268" t="e">
        <f>-S33*#REF!</f>
        <v>#REF!</v>
      </c>
      <c r="R34" s="268">
        <v>0</v>
      </c>
      <c r="S34" s="269">
        <f t="shared" si="10"/>
        <v>510000000</v>
      </c>
      <c r="T34" s="1695" t="s">
        <v>2</v>
      </c>
      <c r="U34" s="1695" t="e">
        <f>SUM(Q34:Q45)</f>
        <v>#REF!</v>
      </c>
      <c r="V34" s="1695">
        <f>SUM(R34:R45)</f>
        <v>0</v>
      </c>
      <c r="X34" s="267">
        <f t="shared" si="16"/>
        <v>25</v>
      </c>
      <c r="Y34" s="268" t="e">
        <f t="shared" si="2"/>
        <v>#REF!</v>
      </c>
      <c r="Z34" s="268" t="e">
        <f>-AB33*#REF!</f>
        <v>#REF!</v>
      </c>
      <c r="AA34" s="268">
        <v>0</v>
      </c>
      <c r="AB34" s="269">
        <v>170000000</v>
      </c>
      <c r="AC34" s="1695" t="s">
        <v>2</v>
      </c>
      <c r="AD34" s="1695" t="e">
        <f>SUM(Z34:Z45)</f>
        <v>#REF!</v>
      </c>
      <c r="AE34" s="1695">
        <f>SUM(AA34:AA45)</f>
        <v>0</v>
      </c>
      <c r="AG34" s="1710" t="s">
        <v>2</v>
      </c>
      <c r="AH34" s="1710" t="e">
        <f>L34+U34+AD34</f>
        <v>#REF!</v>
      </c>
      <c r="AI34" s="1710">
        <f>M34+V34+AE34</f>
        <v>0</v>
      </c>
      <c r="AK34" s="267">
        <f t="shared" si="17"/>
        <v>25</v>
      </c>
      <c r="AL34" s="268" t="e">
        <f t="shared" si="3"/>
        <v>#REF!</v>
      </c>
      <c r="AM34" s="268" t="e">
        <f>-AO33*#REF!</f>
        <v>#REF!</v>
      </c>
      <c r="AN34" s="268">
        <f>$AR$34/12</f>
        <v>0</v>
      </c>
      <c r="AO34" s="269">
        <f t="shared" si="24"/>
        <v>156873302</v>
      </c>
      <c r="AP34" s="1695" t="s">
        <v>2</v>
      </c>
      <c r="AQ34" s="1695" t="e">
        <f>SUM(AM34:AM45)</f>
        <v>#REF!</v>
      </c>
      <c r="AR34" s="1695">
        <v>0</v>
      </c>
      <c r="AS34" s="1695">
        <v>0</v>
      </c>
      <c r="AU34" s="267">
        <f t="shared" si="19"/>
        <v>19</v>
      </c>
      <c r="AV34" s="348">
        <f t="shared" si="13"/>
        <v>-212461.64</v>
      </c>
      <c r="AW34" s="348">
        <v>-212461.64</v>
      </c>
      <c r="AX34" s="268">
        <v>0</v>
      </c>
      <c r="AY34" s="268">
        <v>0</v>
      </c>
      <c r="AZ34" s="352">
        <f t="shared" si="21"/>
        <v>156873302</v>
      </c>
      <c r="BA34" s="351">
        <v>1.5338600000000001E-2</v>
      </c>
      <c r="BB34" s="351"/>
      <c r="BC34" s="1695" t="s">
        <v>2</v>
      </c>
      <c r="BD34" s="565"/>
      <c r="BE34" s="1695">
        <f>SUM(AW34:AW45)</f>
        <v>-5101353.7700000005</v>
      </c>
      <c r="BF34" s="1695">
        <f>SUM(AX34:AY45)</f>
        <v>301818000</v>
      </c>
      <c r="BH34" s="348">
        <f t="shared" si="22"/>
        <v>0</v>
      </c>
      <c r="BI34" s="348">
        <v>0</v>
      </c>
      <c r="BJ34" s="268">
        <v>0</v>
      </c>
      <c r="BK34" s="268">
        <v>0</v>
      </c>
      <c r="BL34" s="352">
        <f t="shared" si="23"/>
        <v>0</v>
      </c>
      <c r="BM34" s="269"/>
      <c r="BN34" s="269"/>
      <c r="BO34" s="1695" t="s">
        <v>2</v>
      </c>
      <c r="BP34" s="565"/>
      <c r="BQ34" s="1695">
        <f>SUM(BI34:BI45)</f>
        <v>0</v>
      </c>
      <c r="BR34" s="1695">
        <f>SUM(BJ34:BK45)</f>
        <v>0</v>
      </c>
    </row>
    <row r="35" spans="1:70" ht="15">
      <c r="A35" s="270" t="s">
        <v>511</v>
      </c>
      <c r="B35" s="266">
        <v>2017</v>
      </c>
      <c r="C35" s="266"/>
      <c r="D35" s="266"/>
      <c r="E35" s="265">
        <f t="shared" si="18"/>
        <v>213429302</v>
      </c>
      <c r="F35" s="267">
        <f t="shared" si="14"/>
        <v>26</v>
      </c>
      <c r="G35" s="268" t="e">
        <f t="shared" si="8"/>
        <v>#REF!</v>
      </c>
      <c r="H35" s="268" t="e">
        <f>-ROUNDDOWN(J34*#REF!,0)</f>
        <v>#REF!</v>
      </c>
      <c r="I35" s="268">
        <v>0</v>
      </c>
      <c r="J35" s="269">
        <f t="shared" si="9"/>
        <v>160000000</v>
      </c>
      <c r="K35" s="1695"/>
      <c r="L35" s="1695"/>
      <c r="M35" s="1695"/>
      <c r="O35" s="267">
        <f t="shared" si="15"/>
        <v>26</v>
      </c>
      <c r="P35" s="268" t="e">
        <f t="shared" si="1"/>
        <v>#REF!</v>
      </c>
      <c r="Q35" s="268" t="e">
        <f>-S34*#REF!</f>
        <v>#REF!</v>
      </c>
      <c r="R35" s="268">
        <v>0</v>
      </c>
      <c r="S35" s="269">
        <f t="shared" si="10"/>
        <v>510000000</v>
      </c>
      <c r="T35" s="1695"/>
      <c r="U35" s="1695"/>
      <c r="V35" s="1695"/>
      <c r="X35" s="267">
        <f t="shared" si="16"/>
        <v>26</v>
      </c>
      <c r="Y35" s="268" t="e">
        <f t="shared" si="2"/>
        <v>#REF!</v>
      </c>
      <c r="Z35" s="268" t="e">
        <f>-AB34*#REF!</f>
        <v>#REF!</v>
      </c>
      <c r="AA35" s="268">
        <v>0</v>
      </c>
      <c r="AB35" s="269">
        <f t="shared" si="11"/>
        <v>170000000</v>
      </c>
      <c r="AC35" s="1695"/>
      <c r="AD35" s="1695"/>
      <c r="AE35" s="1695"/>
      <c r="AG35" s="1710"/>
      <c r="AH35" s="1710"/>
      <c r="AI35" s="1710"/>
      <c r="AK35" s="267">
        <f t="shared" si="17"/>
        <v>26</v>
      </c>
      <c r="AL35" s="268" t="e">
        <f t="shared" si="3"/>
        <v>#REF!</v>
      </c>
      <c r="AM35" s="268" t="e">
        <f>-AO34*#REF!</f>
        <v>#REF!</v>
      </c>
      <c r="AN35" s="268">
        <f t="shared" ref="AN35:AN45" si="28">$AR$34/12</f>
        <v>0</v>
      </c>
      <c r="AO35" s="269">
        <f t="shared" si="24"/>
        <v>213429302</v>
      </c>
      <c r="AP35" s="1695"/>
      <c r="AQ35" s="1695"/>
      <c r="AR35" s="1695"/>
      <c r="AS35" s="1695"/>
      <c r="AU35" s="267">
        <f t="shared" si="19"/>
        <v>20</v>
      </c>
      <c r="AV35" s="348">
        <f t="shared" si="13"/>
        <v>-210956</v>
      </c>
      <c r="AW35" s="348">
        <v>-210956</v>
      </c>
      <c r="AX35" s="268">
        <v>0</v>
      </c>
      <c r="AY35" s="348">
        <v>56556000</v>
      </c>
      <c r="AZ35" s="352">
        <f t="shared" si="21"/>
        <v>213429302</v>
      </c>
      <c r="BA35" s="351">
        <v>1.57143E-2</v>
      </c>
      <c r="BB35" s="351"/>
      <c r="BC35" s="1695"/>
      <c r="BD35" s="565"/>
      <c r="BE35" s="1695"/>
      <c r="BF35" s="1695"/>
      <c r="BH35" s="348">
        <f t="shared" si="22"/>
        <v>0</v>
      </c>
      <c r="BI35" s="348">
        <v>0</v>
      </c>
      <c r="BJ35" s="268">
        <v>0</v>
      </c>
      <c r="BK35" s="268">
        <v>0</v>
      </c>
      <c r="BL35" s="352">
        <f t="shared" si="23"/>
        <v>0</v>
      </c>
      <c r="BM35" s="269"/>
      <c r="BN35" s="269"/>
      <c r="BO35" s="1695"/>
      <c r="BP35" s="565"/>
      <c r="BQ35" s="1695"/>
      <c r="BR35" s="1695"/>
    </row>
    <row r="36" spans="1:70" ht="15">
      <c r="A36" s="270" t="s">
        <v>512</v>
      </c>
      <c r="B36" s="266">
        <v>2017</v>
      </c>
      <c r="C36" s="266"/>
      <c r="D36" s="266"/>
      <c r="E36" s="265">
        <f t="shared" si="18"/>
        <v>213429302</v>
      </c>
      <c r="F36" s="267">
        <f t="shared" si="14"/>
        <v>27</v>
      </c>
      <c r="G36" s="268" t="e">
        <f t="shared" si="8"/>
        <v>#REF!</v>
      </c>
      <c r="H36" s="268" t="e">
        <f>-ROUNDDOWN(J35*#REF!,0)</f>
        <v>#REF!</v>
      </c>
      <c r="I36" s="268">
        <v>0</v>
      </c>
      <c r="J36" s="269">
        <f t="shared" si="9"/>
        <v>160000000</v>
      </c>
      <c r="K36" s="1695"/>
      <c r="L36" s="1695"/>
      <c r="M36" s="1695"/>
      <c r="O36" s="267">
        <f t="shared" si="15"/>
        <v>27</v>
      </c>
      <c r="P36" s="268" t="e">
        <f t="shared" si="1"/>
        <v>#REF!</v>
      </c>
      <c r="Q36" s="268" t="e">
        <f>-S35*#REF!</f>
        <v>#REF!</v>
      </c>
      <c r="R36" s="268">
        <v>0</v>
      </c>
      <c r="S36" s="269">
        <f t="shared" si="10"/>
        <v>510000000</v>
      </c>
      <c r="T36" s="1695"/>
      <c r="U36" s="1695"/>
      <c r="V36" s="1695"/>
      <c r="X36" s="267">
        <f t="shared" si="16"/>
        <v>27</v>
      </c>
      <c r="Y36" s="268" t="e">
        <f t="shared" si="2"/>
        <v>#REF!</v>
      </c>
      <c r="Z36" s="268" t="e">
        <f>-AB35*#REF!</f>
        <v>#REF!</v>
      </c>
      <c r="AA36" s="268">
        <v>0</v>
      </c>
      <c r="AB36" s="269">
        <f t="shared" si="11"/>
        <v>170000000</v>
      </c>
      <c r="AC36" s="1695"/>
      <c r="AD36" s="1695"/>
      <c r="AE36" s="1695"/>
      <c r="AG36" s="1710"/>
      <c r="AH36" s="1710"/>
      <c r="AI36" s="1710"/>
      <c r="AK36" s="267">
        <f t="shared" si="17"/>
        <v>27</v>
      </c>
      <c r="AL36" s="268" t="e">
        <f t="shared" si="3"/>
        <v>#REF!</v>
      </c>
      <c r="AM36" s="268" t="e">
        <f>-AO35*#REF!</f>
        <v>#REF!</v>
      </c>
      <c r="AN36" s="268">
        <f t="shared" si="28"/>
        <v>0</v>
      </c>
      <c r="AO36" s="269">
        <f t="shared" si="24"/>
        <v>213429302</v>
      </c>
      <c r="AP36" s="1695"/>
      <c r="AQ36" s="1695"/>
      <c r="AR36" s="1695"/>
      <c r="AS36" s="1695"/>
      <c r="AU36" s="267">
        <f t="shared" si="19"/>
        <v>21</v>
      </c>
      <c r="AV36" s="348">
        <f t="shared" si="13"/>
        <v>-273456.55</v>
      </c>
      <c r="AW36" s="348">
        <f>-200994.11-72462.44</f>
        <v>-273456.55</v>
      </c>
      <c r="AX36" s="268">
        <v>0</v>
      </c>
      <c r="AY36" s="268">
        <v>0</v>
      </c>
      <c r="AZ36" s="352">
        <f t="shared" si="21"/>
        <v>213429302</v>
      </c>
      <c r="BA36" s="351">
        <v>1.6113200000000001E-2</v>
      </c>
      <c r="BB36" s="351"/>
      <c r="BC36" s="1695"/>
      <c r="BD36" s="565"/>
      <c r="BE36" s="1695"/>
      <c r="BF36" s="1695"/>
      <c r="BH36" s="348">
        <f t="shared" si="22"/>
        <v>0</v>
      </c>
      <c r="BI36" s="348">
        <v>0</v>
      </c>
      <c r="BJ36" s="268">
        <v>0</v>
      </c>
      <c r="BK36" s="268">
        <v>0</v>
      </c>
      <c r="BL36" s="352">
        <f t="shared" si="23"/>
        <v>0</v>
      </c>
      <c r="BM36" s="269"/>
      <c r="BN36" s="269"/>
      <c r="BO36" s="1695"/>
      <c r="BP36" s="565"/>
      <c r="BQ36" s="1695"/>
      <c r="BR36" s="1695"/>
    </row>
    <row r="37" spans="1:70" ht="15">
      <c r="A37" s="270" t="s">
        <v>513</v>
      </c>
      <c r="B37" s="266">
        <v>2017</v>
      </c>
      <c r="C37" s="266"/>
      <c r="D37" s="266"/>
      <c r="E37" s="265">
        <f t="shared" si="18"/>
        <v>213429302</v>
      </c>
      <c r="F37" s="267">
        <f t="shared" si="14"/>
        <v>28</v>
      </c>
      <c r="G37" s="268" t="e">
        <f t="shared" si="8"/>
        <v>#REF!</v>
      </c>
      <c r="H37" s="268" t="e">
        <f>-ROUNDDOWN(J36*#REF!,0)</f>
        <v>#REF!</v>
      </c>
      <c r="I37" s="268">
        <v>0</v>
      </c>
      <c r="J37" s="269">
        <f t="shared" si="9"/>
        <v>160000000</v>
      </c>
      <c r="K37" s="1695"/>
      <c r="L37" s="1695"/>
      <c r="M37" s="1695"/>
      <c r="O37" s="267">
        <f t="shared" si="15"/>
        <v>28</v>
      </c>
      <c r="P37" s="268" t="e">
        <f t="shared" si="1"/>
        <v>#REF!</v>
      </c>
      <c r="Q37" s="268" t="e">
        <f>-S36*#REF!</f>
        <v>#REF!</v>
      </c>
      <c r="R37" s="268">
        <v>0</v>
      </c>
      <c r="S37" s="269">
        <f t="shared" si="10"/>
        <v>510000000</v>
      </c>
      <c r="T37" s="1695"/>
      <c r="U37" s="1695"/>
      <c r="V37" s="1695"/>
      <c r="X37" s="267">
        <f t="shared" si="16"/>
        <v>28</v>
      </c>
      <c r="Y37" s="268" t="e">
        <f t="shared" si="2"/>
        <v>#REF!</v>
      </c>
      <c r="Z37" s="268" t="e">
        <f>-AB36*#REF!</f>
        <v>#REF!</v>
      </c>
      <c r="AA37" s="268">
        <v>0</v>
      </c>
      <c r="AB37" s="269">
        <f t="shared" si="11"/>
        <v>170000000</v>
      </c>
      <c r="AC37" s="1695"/>
      <c r="AD37" s="1695"/>
      <c r="AE37" s="1695"/>
      <c r="AG37" s="1710"/>
      <c r="AH37" s="1710"/>
      <c r="AI37" s="1710"/>
      <c r="AK37" s="267">
        <f t="shared" si="17"/>
        <v>28</v>
      </c>
      <c r="AL37" s="268" t="e">
        <f t="shared" si="3"/>
        <v>#REF!</v>
      </c>
      <c r="AM37" s="268" t="e">
        <f>-AO36*#REF!</f>
        <v>#REF!</v>
      </c>
      <c r="AN37" s="268">
        <f t="shared" si="28"/>
        <v>0</v>
      </c>
      <c r="AO37" s="269">
        <f t="shared" si="24"/>
        <v>213429302</v>
      </c>
      <c r="AP37" s="1695"/>
      <c r="AQ37" s="1695"/>
      <c r="AR37" s="1695"/>
      <c r="AS37" s="1695"/>
      <c r="AU37" s="267">
        <f t="shared" si="19"/>
        <v>22</v>
      </c>
      <c r="AV37" s="348">
        <f t="shared" si="13"/>
        <v>-301503.91000000003</v>
      </c>
      <c r="AW37" s="348">
        <f>-221609.28-79894.63</f>
        <v>-301503.91000000003</v>
      </c>
      <c r="AX37" s="268">
        <v>0</v>
      </c>
      <c r="AY37" s="268">
        <v>0</v>
      </c>
      <c r="AZ37" s="352">
        <f t="shared" si="21"/>
        <v>213429302</v>
      </c>
      <c r="BA37" s="351">
        <v>1.58832E-2</v>
      </c>
      <c r="BB37" s="351"/>
      <c r="BC37" s="1695"/>
      <c r="BD37" s="565"/>
      <c r="BE37" s="1695"/>
      <c r="BF37" s="1695"/>
      <c r="BH37" s="348">
        <f t="shared" si="22"/>
        <v>0</v>
      </c>
      <c r="BI37" s="348">
        <v>0</v>
      </c>
      <c r="BJ37" s="268">
        <v>0</v>
      </c>
      <c r="BK37" s="268">
        <v>0</v>
      </c>
      <c r="BL37" s="352">
        <f t="shared" si="23"/>
        <v>0</v>
      </c>
      <c r="BM37" s="269"/>
      <c r="BN37" s="269"/>
      <c r="BO37" s="1695"/>
      <c r="BP37" s="565"/>
      <c r="BQ37" s="1695"/>
      <c r="BR37" s="1695"/>
    </row>
    <row r="38" spans="1:70" ht="15">
      <c r="A38" s="270" t="s">
        <v>514</v>
      </c>
      <c r="B38" s="266">
        <v>2017</v>
      </c>
      <c r="C38" s="266"/>
      <c r="D38" s="266"/>
      <c r="E38" s="265">
        <f t="shared" si="18"/>
        <v>213429302</v>
      </c>
      <c r="F38" s="267">
        <f t="shared" si="14"/>
        <v>29</v>
      </c>
      <c r="G38" s="268" t="e">
        <f t="shared" si="8"/>
        <v>#REF!</v>
      </c>
      <c r="H38" s="268" t="e">
        <f>-ROUNDDOWN(J37*#REF!,0)</f>
        <v>#REF!</v>
      </c>
      <c r="I38" s="268">
        <v>0</v>
      </c>
      <c r="J38" s="269">
        <f t="shared" si="9"/>
        <v>160000000</v>
      </c>
      <c r="K38" s="1695"/>
      <c r="L38" s="1695"/>
      <c r="M38" s="1695"/>
      <c r="O38" s="267">
        <f t="shared" si="15"/>
        <v>29</v>
      </c>
      <c r="P38" s="268" t="e">
        <f t="shared" si="1"/>
        <v>#REF!</v>
      </c>
      <c r="Q38" s="268" t="e">
        <f>-S37*#REF!</f>
        <v>#REF!</v>
      </c>
      <c r="R38" s="268">
        <v>0</v>
      </c>
      <c r="S38" s="269">
        <f t="shared" si="10"/>
        <v>510000000</v>
      </c>
      <c r="T38" s="1695"/>
      <c r="U38" s="1695"/>
      <c r="V38" s="1695"/>
      <c r="X38" s="267">
        <f t="shared" si="16"/>
        <v>29</v>
      </c>
      <c r="Y38" s="268" t="e">
        <f t="shared" si="2"/>
        <v>#REF!</v>
      </c>
      <c r="Z38" s="268" t="e">
        <f>-AB37*#REF!</f>
        <v>#REF!</v>
      </c>
      <c r="AA38" s="268">
        <v>0</v>
      </c>
      <c r="AB38" s="269">
        <f t="shared" si="11"/>
        <v>170000000</v>
      </c>
      <c r="AC38" s="1695"/>
      <c r="AD38" s="1695"/>
      <c r="AE38" s="1695"/>
      <c r="AG38" s="1710"/>
      <c r="AH38" s="1710"/>
      <c r="AI38" s="1710"/>
      <c r="AK38" s="267">
        <f t="shared" si="17"/>
        <v>29</v>
      </c>
      <c r="AL38" s="268" t="e">
        <f t="shared" si="3"/>
        <v>#REF!</v>
      </c>
      <c r="AM38" s="268" t="e">
        <f>-AO37*#REF!</f>
        <v>#REF!</v>
      </c>
      <c r="AN38" s="268">
        <f t="shared" si="28"/>
        <v>0</v>
      </c>
      <c r="AO38" s="269">
        <f t="shared" si="24"/>
        <v>213429302</v>
      </c>
      <c r="AP38" s="1695"/>
      <c r="AQ38" s="1695"/>
      <c r="AR38" s="1695"/>
      <c r="AS38" s="1695"/>
      <c r="AU38" s="267">
        <f t="shared" si="19"/>
        <v>23</v>
      </c>
      <c r="AV38" s="348">
        <f t="shared" si="13"/>
        <v>-287912.74</v>
      </c>
      <c r="AW38" s="348">
        <f>-211619.59-76293.15</f>
        <v>-287912.74</v>
      </c>
      <c r="AX38" s="268">
        <v>0</v>
      </c>
      <c r="AY38" s="268">
        <v>0</v>
      </c>
      <c r="AZ38" s="352">
        <f t="shared" si="21"/>
        <v>213429302</v>
      </c>
      <c r="BA38" s="351">
        <f>BA37</f>
        <v>1.58832E-2</v>
      </c>
      <c r="BB38" s="351"/>
      <c r="BC38" s="1695"/>
      <c r="BD38" s="565"/>
      <c r="BE38" s="1695"/>
      <c r="BF38" s="1695"/>
      <c r="BH38" s="348">
        <f t="shared" si="22"/>
        <v>0</v>
      </c>
      <c r="BI38" s="348">
        <v>0</v>
      </c>
      <c r="BJ38" s="268">
        <v>0</v>
      </c>
      <c r="BK38" s="268">
        <v>0</v>
      </c>
      <c r="BL38" s="352">
        <f t="shared" si="23"/>
        <v>0</v>
      </c>
      <c r="BM38" s="269"/>
      <c r="BN38" s="269"/>
      <c r="BO38" s="1695"/>
      <c r="BP38" s="565"/>
      <c r="BQ38" s="1695"/>
      <c r="BR38" s="1695"/>
    </row>
    <row r="39" spans="1:70" ht="15">
      <c r="A39" s="270" t="s">
        <v>515</v>
      </c>
      <c r="B39" s="266">
        <v>2017</v>
      </c>
      <c r="C39" s="266"/>
      <c r="D39" s="266"/>
      <c r="E39" s="265">
        <f t="shared" si="18"/>
        <v>278301302</v>
      </c>
      <c r="F39" s="267">
        <f t="shared" si="14"/>
        <v>30</v>
      </c>
      <c r="G39" s="268" t="e">
        <f t="shared" si="8"/>
        <v>#REF!</v>
      </c>
      <c r="H39" s="268" t="e">
        <f>-ROUNDDOWN(J38*#REF!,0)</f>
        <v>#REF!</v>
      </c>
      <c r="I39" s="268">
        <v>0</v>
      </c>
      <c r="J39" s="269">
        <f t="shared" si="9"/>
        <v>160000000</v>
      </c>
      <c r="K39" s="1695"/>
      <c r="L39" s="1695"/>
      <c r="M39" s="1695"/>
      <c r="O39" s="267">
        <f t="shared" si="15"/>
        <v>30</v>
      </c>
      <c r="P39" s="268" t="e">
        <f t="shared" si="1"/>
        <v>#REF!</v>
      </c>
      <c r="Q39" s="268" t="e">
        <f>-S38*#REF!</f>
        <v>#REF!</v>
      </c>
      <c r="R39" s="268">
        <v>0</v>
      </c>
      <c r="S39" s="269">
        <f t="shared" si="10"/>
        <v>510000000</v>
      </c>
      <c r="T39" s="1695"/>
      <c r="U39" s="1695"/>
      <c r="V39" s="1695"/>
      <c r="X39" s="267">
        <f t="shared" si="16"/>
        <v>30</v>
      </c>
      <c r="Y39" s="268" t="e">
        <f t="shared" si="2"/>
        <v>#REF!</v>
      </c>
      <c r="Z39" s="268" t="e">
        <f>-AB38*#REF!</f>
        <v>#REF!</v>
      </c>
      <c r="AA39" s="268">
        <v>0</v>
      </c>
      <c r="AB39" s="269">
        <f t="shared" si="11"/>
        <v>170000000</v>
      </c>
      <c r="AC39" s="1695"/>
      <c r="AD39" s="1695"/>
      <c r="AE39" s="1695"/>
      <c r="AG39" s="1710"/>
      <c r="AH39" s="1710"/>
      <c r="AI39" s="1710"/>
      <c r="AK39" s="267">
        <f t="shared" si="17"/>
        <v>30</v>
      </c>
      <c r="AL39" s="268" t="e">
        <f t="shared" si="3"/>
        <v>#REF!</v>
      </c>
      <c r="AM39" s="268" t="e">
        <f>-AO38*#REF!</f>
        <v>#REF!</v>
      </c>
      <c r="AN39" s="268">
        <f t="shared" si="28"/>
        <v>0</v>
      </c>
      <c r="AO39" s="269">
        <f t="shared" si="24"/>
        <v>278301302</v>
      </c>
      <c r="AP39" s="1695"/>
      <c r="AQ39" s="1695"/>
      <c r="AR39" s="1695"/>
      <c r="AS39" s="1695"/>
      <c r="AU39" s="267">
        <f t="shared" si="19"/>
        <v>24</v>
      </c>
      <c r="AV39" s="348">
        <f t="shared" si="13"/>
        <v>-266473.62</v>
      </c>
      <c r="AW39" s="348">
        <f>-195861.56-70612.06</f>
        <v>-266473.62</v>
      </c>
      <c r="AX39" s="268">
        <v>0</v>
      </c>
      <c r="AY39" s="348">
        <v>64872000</v>
      </c>
      <c r="AZ39" s="352">
        <f t="shared" si="21"/>
        <v>278301302</v>
      </c>
      <c r="BA39" s="351">
        <v>1.7336600000000001E-2</v>
      </c>
      <c r="BB39" s="351"/>
      <c r="BC39" s="1695"/>
      <c r="BD39" s="565"/>
      <c r="BE39" s="1695"/>
      <c r="BF39" s="1695"/>
      <c r="BH39" s="348">
        <f t="shared" si="22"/>
        <v>0</v>
      </c>
      <c r="BI39" s="348">
        <v>0</v>
      </c>
      <c r="BJ39" s="268">
        <v>0</v>
      </c>
      <c r="BK39" s="268">
        <v>0</v>
      </c>
      <c r="BL39" s="352">
        <f t="shared" si="23"/>
        <v>0</v>
      </c>
      <c r="BM39" s="269"/>
      <c r="BN39" s="269"/>
      <c r="BO39" s="1695"/>
      <c r="BP39" s="565"/>
      <c r="BQ39" s="1695"/>
      <c r="BR39" s="1695"/>
    </row>
    <row r="40" spans="1:70" ht="15">
      <c r="A40" s="270" t="s">
        <v>516</v>
      </c>
      <c r="B40" s="266">
        <v>2017</v>
      </c>
      <c r="C40" s="266"/>
      <c r="D40" s="266"/>
      <c r="E40" s="265">
        <f t="shared" si="18"/>
        <v>326361302</v>
      </c>
      <c r="F40" s="267">
        <f t="shared" si="14"/>
        <v>31</v>
      </c>
      <c r="G40" s="268" t="e">
        <f t="shared" si="8"/>
        <v>#REF!</v>
      </c>
      <c r="H40" s="268" t="e">
        <f>-ROUNDDOWN(J39*#REF!,0)</f>
        <v>#REF!</v>
      </c>
      <c r="I40" s="268">
        <v>0</v>
      </c>
      <c r="J40" s="269">
        <f t="shared" si="9"/>
        <v>160000000</v>
      </c>
      <c r="K40" s="1695"/>
      <c r="L40" s="1695"/>
      <c r="M40" s="1695"/>
      <c r="O40" s="267">
        <f t="shared" si="15"/>
        <v>31</v>
      </c>
      <c r="P40" s="268" t="e">
        <f t="shared" si="1"/>
        <v>#REF!</v>
      </c>
      <c r="Q40" s="268" t="e">
        <f>-S39*#REF!</f>
        <v>#REF!</v>
      </c>
      <c r="R40" s="268">
        <v>0</v>
      </c>
      <c r="S40" s="269">
        <f t="shared" si="10"/>
        <v>510000000</v>
      </c>
      <c r="T40" s="1695"/>
      <c r="U40" s="1695"/>
      <c r="V40" s="1695"/>
      <c r="X40" s="267">
        <f t="shared" si="16"/>
        <v>31</v>
      </c>
      <c r="Y40" s="268" t="e">
        <f t="shared" si="2"/>
        <v>#REF!</v>
      </c>
      <c r="Z40" s="268" t="e">
        <f>-AB39*#REF!</f>
        <v>#REF!</v>
      </c>
      <c r="AA40" s="268">
        <v>0</v>
      </c>
      <c r="AB40" s="269">
        <f t="shared" si="11"/>
        <v>170000000</v>
      </c>
      <c r="AC40" s="1695"/>
      <c r="AD40" s="1695"/>
      <c r="AE40" s="1695"/>
      <c r="AG40" s="1710"/>
      <c r="AH40" s="1710"/>
      <c r="AI40" s="1710"/>
      <c r="AK40" s="267">
        <f t="shared" si="17"/>
        <v>31</v>
      </c>
      <c r="AL40" s="268" t="e">
        <f t="shared" si="3"/>
        <v>#REF!</v>
      </c>
      <c r="AM40" s="268" t="e">
        <f>-AO39*#REF!</f>
        <v>#REF!</v>
      </c>
      <c r="AN40" s="268">
        <f t="shared" si="28"/>
        <v>0</v>
      </c>
      <c r="AO40" s="269">
        <f t="shared" si="24"/>
        <v>326361302</v>
      </c>
      <c r="AP40" s="1695"/>
      <c r="AQ40" s="1695"/>
      <c r="AR40" s="1695"/>
      <c r="AS40" s="1695"/>
      <c r="AU40" s="267">
        <f t="shared" si="19"/>
        <v>25</v>
      </c>
      <c r="AV40" s="348">
        <f t="shared" si="13"/>
        <v>-409777.4</v>
      </c>
      <c r="AW40" s="348">
        <f>-230983.95-83274.39-95519.06</f>
        <v>-409777.4</v>
      </c>
      <c r="AX40" s="268">
        <v>0</v>
      </c>
      <c r="AY40" s="348">
        <v>48060000</v>
      </c>
      <c r="AZ40" s="352">
        <f t="shared" si="21"/>
        <v>326361302</v>
      </c>
      <c r="BA40" s="351">
        <v>1.88714E-2</v>
      </c>
      <c r="BB40" s="351"/>
      <c r="BC40" s="1695"/>
      <c r="BD40" s="565"/>
      <c r="BE40" s="1695"/>
      <c r="BF40" s="1695"/>
      <c r="BH40" s="348">
        <f t="shared" si="22"/>
        <v>0</v>
      </c>
      <c r="BI40" s="348">
        <v>0</v>
      </c>
      <c r="BJ40" s="268">
        <v>0</v>
      </c>
      <c r="BK40" s="268">
        <v>0</v>
      </c>
      <c r="BL40" s="352">
        <f t="shared" si="23"/>
        <v>0</v>
      </c>
      <c r="BM40" s="269"/>
      <c r="BN40" s="269"/>
      <c r="BO40" s="1695"/>
      <c r="BP40" s="565"/>
      <c r="BQ40" s="1695"/>
      <c r="BR40" s="1695"/>
    </row>
    <row r="41" spans="1:70" ht="15">
      <c r="A41" s="270" t="s">
        <v>517</v>
      </c>
      <c r="B41" s="266">
        <v>2017</v>
      </c>
      <c r="C41" s="266"/>
      <c r="D41" s="266"/>
      <c r="E41" s="265">
        <f t="shared" si="18"/>
        <v>326361302</v>
      </c>
      <c r="F41" s="267">
        <f t="shared" si="14"/>
        <v>32</v>
      </c>
      <c r="G41" s="268" t="e">
        <f t="shared" si="8"/>
        <v>#REF!</v>
      </c>
      <c r="H41" s="268" t="e">
        <f>-ROUNDDOWN(J40*#REF!,0)</f>
        <v>#REF!</v>
      </c>
      <c r="I41" s="268">
        <v>0</v>
      </c>
      <c r="J41" s="269">
        <f t="shared" si="9"/>
        <v>160000000</v>
      </c>
      <c r="K41" s="1695"/>
      <c r="L41" s="1695"/>
      <c r="M41" s="1695"/>
      <c r="O41" s="267">
        <f t="shared" si="15"/>
        <v>32</v>
      </c>
      <c r="P41" s="268" t="e">
        <f t="shared" si="1"/>
        <v>#REF!</v>
      </c>
      <c r="Q41" s="268" t="e">
        <f>-S40*#REF!</f>
        <v>#REF!</v>
      </c>
      <c r="R41" s="268">
        <v>0</v>
      </c>
      <c r="S41" s="269">
        <f t="shared" si="10"/>
        <v>510000000</v>
      </c>
      <c r="T41" s="1695"/>
      <c r="U41" s="1695"/>
      <c r="V41" s="1695"/>
      <c r="X41" s="267">
        <f t="shared" si="16"/>
        <v>32</v>
      </c>
      <c r="Y41" s="268" t="e">
        <f t="shared" si="2"/>
        <v>#REF!</v>
      </c>
      <c r="Z41" s="268" t="e">
        <f>-AB40*#REF!</f>
        <v>#REF!</v>
      </c>
      <c r="AA41" s="268">
        <v>0</v>
      </c>
      <c r="AB41" s="269">
        <f t="shared" si="11"/>
        <v>170000000</v>
      </c>
      <c r="AC41" s="1695"/>
      <c r="AD41" s="1695"/>
      <c r="AE41" s="1695"/>
      <c r="AG41" s="1710"/>
      <c r="AH41" s="1710"/>
      <c r="AI41" s="1710"/>
      <c r="AK41" s="267">
        <f t="shared" si="17"/>
        <v>32</v>
      </c>
      <c r="AL41" s="268" t="e">
        <f t="shared" si="3"/>
        <v>#REF!</v>
      </c>
      <c r="AM41" s="268" t="e">
        <f>-AO40*#REF!</f>
        <v>#REF!</v>
      </c>
      <c r="AN41" s="268">
        <f t="shared" si="28"/>
        <v>0</v>
      </c>
      <c r="AO41" s="269">
        <f t="shared" si="24"/>
        <v>326361302</v>
      </c>
      <c r="AP41" s="1695"/>
      <c r="AQ41" s="1695"/>
      <c r="AR41" s="1695"/>
      <c r="AS41" s="1695"/>
      <c r="AU41" s="267">
        <f t="shared" si="19"/>
        <v>26</v>
      </c>
      <c r="AV41" s="348">
        <f t="shared" si="13"/>
        <v>-523084.21</v>
      </c>
      <c r="AW41" s="348">
        <f>-446054.77-77029.44</f>
        <v>-523084.21</v>
      </c>
      <c r="AX41" s="268">
        <v>0</v>
      </c>
      <c r="AY41" s="268">
        <v>0</v>
      </c>
      <c r="AZ41" s="352">
        <f t="shared" si="21"/>
        <v>326361302</v>
      </c>
      <c r="BA41" s="351">
        <v>2.1489299999999999E-2</v>
      </c>
      <c r="BB41" s="351"/>
      <c r="BC41" s="1695"/>
      <c r="BD41" s="565"/>
      <c r="BE41" s="1695"/>
      <c r="BF41" s="1695"/>
      <c r="BH41" s="348">
        <f t="shared" si="22"/>
        <v>0</v>
      </c>
      <c r="BI41" s="348">
        <v>0</v>
      </c>
      <c r="BJ41" s="268">
        <v>0</v>
      </c>
      <c r="BK41" s="268">
        <v>0</v>
      </c>
      <c r="BL41" s="352">
        <f t="shared" si="23"/>
        <v>0</v>
      </c>
      <c r="BM41" s="269"/>
      <c r="BN41" s="269"/>
      <c r="BO41" s="1695"/>
      <c r="BP41" s="565"/>
      <c r="BQ41" s="1695"/>
      <c r="BR41" s="1695"/>
    </row>
    <row r="42" spans="1:70" ht="15">
      <c r="A42" s="270" t="s">
        <v>518</v>
      </c>
      <c r="B42" s="266">
        <v>2017</v>
      </c>
      <c r="C42" s="266"/>
      <c r="D42" s="266"/>
      <c r="E42" s="265">
        <f t="shared" si="18"/>
        <v>377201302</v>
      </c>
      <c r="F42" s="267">
        <f t="shared" si="14"/>
        <v>33</v>
      </c>
      <c r="G42" s="268" t="e">
        <f t="shared" si="8"/>
        <v>#REF!</v>
      </c>
      <c r="H42" s="268" t="e">
        <f>-ROUNDDOWN(J41*#REF!,0)</f>
        <v>#REF!</v>
      </c>
      <c r="I42" s="268">
        <v>0</v>
      </c>
      <c r="J42" s="269">
        <f t="shared" si="9"/>
        <v>160000000</v>
      </c>
      <c r="K42" s="1695"/>
      <c r="L42" s="1695"/>
      <c r="M42" s="1695"/>
      <c r="O42" s="267">
        <f t="shared" si="15"/>
        <v>33</v>
      </c>
      <c r="P42" s="268" t="e">
        <f t="shared" si="1"/>
        <v>#REF!</v>
      </c>
      <c r="Q42" s="268" t="e">
        <f>-S41*#REF!</f>
        <v>#REF!</v>
      </c>
      <c r="R42" s="268">
        <v>0</v>
      </c>
      <c r="S42" s="269">
        <f t="shared" si="10"/>
        <v>510000000</v>
      </c>
      <c r="T42" s="1695"/>
      <c r="U42" s="1695"/>
      <c r="V42" s="1695"/>
      <c r="X42" s="267">
        <f t="shared" si="16"/>
        <v>33</v>
      </c>
      <c r="Y42" s="268" t="e">
        <f t="shared" si="2"/>
        <v>#REF!</v>
      </c>
      <c r="Z42" s="268" t="e">
        <f>-AB41*#REF!</f>
        <v>#REF!</v>
      </c>
      <c r="AA42" s="268">
        <v>0</v>
      </c>
      <c r="AB42" s="269">
        <f t="shared" si="11"/>
        <v>170000000</v>
      </c>
      <c r="AC42" s="1695"/>
      <c r="AD42" s="1695"/>
      <c r="AE42" s="1695"/>
      <c r="AG42" s="1710"/>
      <c r="AH42" s="1710"/>
      <c r="AI42" s="1710"/>
      <c r="AK42" s="267">
        <f t="shared" si="17"/>
        <v>33</v>
      </c>
      <c r="AL42" s="268" t="e">
        <f t="shared" si="3"/>
        <v>#REF!</v>
      </c>
      <c r="AM42" s="268" t="e">
        <f>-AO41*#REF!</f>
        <v>#REF!</v>
      </c>
      <c r="AN42" s="268">
        <f t="shared" si="28"/>
        <v>0</v>
      </c>
      <c r="AO42" s="269">
        <f t="shared" si="24"/>
        <v>377201302</v>
      </c>
      <c r="AP42" s="1695"/>
      <c r="AQ42" s="1695"/>
      <c r="AR42" s="1695"/>
      <c r="AS42" s="1695"/>
      <c r="AU42" s="267">
        <f t="shared" si="19"/>
        <v>27</v>
      </c>
      <c r="AV42" s="348">
        <f t="shared" si="13"/>
        <v>-557219.18000000005</v>
      </c>
      <c r="AW42" s="348">
        <v>-557219.18000000005</v>
      </c>
      <c r="AX42" s="268">
        <v>0</v>
      </c>
      <c r="AY42" s="348">
        <v>50840000</v>
      </c>
      <c r="AZ42" s="352">
        <f t="shared" si="21"/>
        <v>377201302</v>
      </c>
      <c r="BA42" s="351">
        <v>2.34107E-2</v>
      </c>
      <c r="BB42" s="351"/>
      <c r="BC42" s="1695"/>
      <c r="BD42" s="565"/>
      <c r="BE42" s="1695"/>
      <c r="BF42" s="1695"/>
      <c r="BH42" s="348">
        <f t="shared" si="22"/>
        <v>0</v>
      </c>
      <c r="BI42" s="348">
        <v>0</v>
      </c>
      <c r="BJ42" s="268">
        <v>0</v>
      </c>
      <c r="BK42" s="268">
        <v>0</v>
      </c>
      <c r="BL42" s="352">
        <f t="shared" si="23"/>
        <v>0</v>
      </c>
      <c r="BM42" s="269"/>
      <c r="BN42" s="269"/>
      <c r="BO42" s="1695"/>
      <c r="BP42" s="565"/>
      <c r="BQ42" s="1695"/>
      <c r="BR42" s="1695"/>
    </row>
    <row r="43" spans="1:70" ht="15">
      <c r="A43" s="270" t="s">
        <v>519</v>
      </c>
      <c r="B43" s="266">
        <v>2018</v>
      </c>
      <c r="C43" s="266"/>
      <c r="D43" s="266"/>
      <c r="E43" s="265">
        <f t="shared" si="18"/>
        <v>416421302</v>
      </c>
      <c r="F43" s="267">
        <f t="shared" si="14"/>
        <v>34</v>
      </c>
      <c r="G43" s="268" t="e">
        <f t="shared" si="8"/>
        <v>#REF!</v>
      </c>
      <c r="H43" s="268" t="e">
        <f>-ROUNDDOWN(J42*#REF!,0)</f>
        <v>#REF!</v>
      </c>
      <c r="I43" s="268">
        <v>0</v>
      </c>
      <c r="J43" s="269">
        <f t="shared" si="9"/>
        <v>160000000</v>
      </c>
      <c r="K43" s="1695"/>
      <c r="L43" s="1695"/>
      <c r="M43" s="1695"/>
      <c r="O43" s="267">
        <f t="shared" si="15"/>
        <v>34</v>
      </c>
      <c r="P43" s="268" t="e">
        <f t="shared" si="1"/>
        <v>#REF!</v>
      </c>
      <c r="Q43" s="268" t="e">
        <f>-S42*#REF!</f>
        <v>#REF!</v>
      </c>
      <c r="R43" s="268">
        <v>0</v>
      </c>
      <c r="S43" s="269">
        <f t="shared" si="10"/>
        <v>510000000</v>
      </c>
      <c r="T43" s="1695"/>
      <c r="U43" s="1695"/>
      <c r="V43" s="1695"/>
      <c r="X43" s="267">
        <f t="shared" si="16"/>
        <v>34</v>
      </c>
      <c r="Y43" s="268" t="e">
        <f t="shared" si="2"/>
        <v>#REF!</v>
      </c>
      <c r="Z43" s="268" t="e">
        <f>-AB42*#REF!</f>
        <v>#REF!</v>
      </c>
      <c r="AA43" s="268">
        <v>0</v>
      </c>
      <c r="AB43" s="269">
        <f t="shared" si="11"/>
        <v>170000000</v>
      </c>
      <c r="AC43" s="1695"/>
      <c r="AD43" s="1695"/>
      <c r="AE43" s="1695"/>
      <c r="AG43" s="1710"/>
      <c r="AH43" s="1710"/>
      <c r="AI43" s="1710"/>
      <c r="AK43" s="267">
        <f t="shared" si="17"/>
        <v>34</v>
      </c>
      <c r="AL43" s="268" t="e">
        <f t="shared" si="3"/>
        <v>#REF!</v>
      </c>
      <c r="AM43" s="268" t="e">
        <f>-AO42*#REF!</f>
        <v>#REF!</v>
      </c>
      <c r="AN43" s="268">
        <f t="shared" si="28"/>
        <v>0</v>
      </c>
      <c r="AO43" s="269">
        <f t="shared" si="24"/>
        <v>416421302</v>
      </c>
      <c r="AP43" s="1695"/>
      <c r="AQ43" s="1695"/>
      <c r="AR43" s="1695"/>
      <c r="AS43" s="1695"/>
      <c r="AU43" s="267">
        <f t="shared" si="19"/>
        <v>28</v>
      </c>
      <c r="AV43" s="348">
        <f t="shared" si="13"/>
        <v>-749991.62</v>
      </c>
      <c r="AW43" s="348">
        <f>-648906.14-101085.48</f>
        <v>-749991.62</v>
      </c>
      <c r="AX43" s="268">
        <v>0</v>
      </c>
      <c r="AY43" s="348">
        <v>39220000</v>
      </c>
      <c r="AZ43" s="352">
        <f t="shared" si="21"/>
        <v>416421302</v>
      </c>
      <c r="BA43" s="351">
        <v>2.0657100000000001E-2</v>
      </c>
      <c r="BB43" s="351"/>
      <c r="BC43" s="1695"/>
      <c r="BD43" s="565"/>
      <c r="BE43" s="1695"/>
      <c r="BF43" s="1695"/>
      <c r="BH43" s="348">
        <f t="shared" si="22"/>
        <v>0</v>
      </c>
      <c r="BI43" s="348">
        <v>0</v>
      </c>
      <c r="BJ43" s="268">
        <v>0</v>
      </c>
      <c r="BK43" s="268">
        <v>0</v>
      </c>
      <c r="BL43" s="352">
        <f t="shared" si="23"/>
        <v>0</v>
      </c>
      <c r="BM43" s="269"/>
      <c r="BN43" s="269"/>
      <c r="BO43" s="1695"/>
      <c r="BP43" s="565"/>
      <c r="BQ43" s="1695"/>
      <c r="BR43" s="1695"/>
    </row>
    <row r="44" spans="1:70" ht="15">
      <c r="A44" s="270" t="s">
        <v>520</v>
      </c>
      <c r="B44" s="266">
        <v>2018</v>
      </c>
      <c r="C44" s="266"/>
      <c r="D44" s="266"/>
      <c r="E44" s="265">
        <f t="shared" si="18"/>
        <v>416421302</v>
      </c>
      <c r="F44" s="267">
        <f t="shared" si="14"/>
        <v>35</v>
      </c>
      <c r="G44" s="268" t="e">
        <f t="shared" si="8"/>
        <v>#REF!</v>
      </c>
      <c r="H44" s="268" t="e">
        <f>-ROUNDDOWN(J43*#REF!,0)</f>
        <v>#REF!</v>
      </c>
      <c r="I44" s="268">
        <v>0</v>
      </c>
      <c r="J44" s="269">
        <f t="shared" si="9"/>
        <v>160000000</v>
      </c>
      <c r="K44" s="1695"/>
      <c r="L44" s="1695"/>
      <c r="M44" s="1695"/>
      <c r="O44" s="267">
        <f t="shared" si="15"/>
        <v>35</v>
      </c>
      <c r="P44" s="268" t="e">
        <f t="shared" si="1"/>
        <v>#REF!</v>
      </c>
      <c r="Q44" s="268" t="e">
        <f>-S43*#REF!</f>
        <v>#REF!</v>
      </c>
      <c r="R44" s="268">
        <v>0</v>
      </c>
      <c r="S44" s="269">
        <f t="shared" si="10"/>
        <v>510000000</v>
      </c>
      <c r="T44" s="1695"/>
      <c r="U44" s="1695"/>
      <c r="V44" s="1695"/>
      <c r="X44" s="267">
        <f t="shared" si="16"/>
        <v>35</v>
      </c>
      <c r="Y44" s="268" t="e">
        <f t="shared" si="2"/>
        <v>#REF!</v>
      </c>
      <c r="Z44" s="268" t="e">
        <f>-AB43*#REF!</f>
        <v>#REF!</v>
      </c>
      <c r="AA44" s="268">
        <v>0</v>
      </c>
      <c r="AB44" s="269">
        <f t="shared" si="11"/>
        <v>170000000</v>
      </c>
      <c r="AC44" s="1695"/>
      <c r="AD44" s="1695"/>
      <c r="AE44" s="1695"/>
      <c r="AG44" s="1710"/>
      <c r="AH44" s="1710"/>
      <c r="AI44" s="1710"/>
      <c r="AK44" s="267">
        <f t="shared" si="17"/>
        <v>35</v>
      </c>
      <c r="AL44" s="268" t="e">
        <f t="shared" si="3"/>
        <v>#REF!</v>
      </c>
      <c r="AM44" s="268" t="e">
        <f>-AO43*#REF!</f>
        <v>#REF!</v>
      </c>
      <c r="AN44" s="268">
        <f t="shared" si="28"/>
        <v>0</v>
      </c>
      <c r="AO44" s="269">
        <f t="shared" si="24"/>
        <v>416421302</v>
      </c>
      <c r="AP44" s="1695"/>
      <c r="AQ44" s="1695"/>
      <c r="AR44" s="1695"/>
      <c r="AS44" s="1695"/>
      <c r="AU44" s="267">
        <f t="shared" si="19"/>
        <v>29</v>
      </c>
      <c r="AV44" s="348">
        <f t="shared" si="13"/>
        <v>-707018.35000000009</v>
      </c>
      <c r="AW44" s="348">
        <f>-640428.91-66589.44</f>
        <v>-707018.35000000009</v>
      </c>
      <c r="AX44" s="268">
        <v>0</v>
      </c>
      <c r="AY44" s="268">
        <v>0</v>
      </c>
      <c r="AZ44" s="352">
        <f t="shared" si="21"/>
        <v>416421302</v>
      </c>
      <c r="BA44" s="351">
        <v>1.88294E-2</v>
      </c>
      <c r="BB44" s="351"/>
      <c r="BC44" s="1695"/>
      <c r="BD44" s="565"/>
      <c r="BE44" s="1695"/>
      <c r="BF44" s="1695"/>
      <c r="BH44" s="348">
        <f t="shared" si="22"/>
        <v>0</v>
      </c>
      <c r="BI44" s="348">
        <v>0</v>
      </c>
      <c r="BJ44" s="268">
        <v>0</v>
      </c>
      <c r="BK44" s="268">
        <v>0</v>
      </c>
      <c r="BL44" s="352">
        <f t="shared" si="23"/>
        <v>0</v>
      </c>
      <c r="BM44" s="269"/>
      <c r="BN44" s="269"/>
      <c r="BO44" s="1695"/>
      <c r="BP44" s="565"/>
      <c r="BQ44" s="1695"/>
      <c r="BR44" s="1695"/>
    </row>
    <row r="45" spans="1:70" ht="15">
      <c r="A45" s="270" t="s">
        <v>521</v>
      </c>
      <c r="B45" s="266">
        <v>2018</v>
      </c>
      <c r="C45" s="266"/>
      <c r="D45" s="266"/>
      <c r="E45" s="265">
        <f t="shared" si="18"/>
        <v>458691302</v>
      </c>
      <c r="F45" s="267">
        <f t="shared" si="14"/>
        <v>36</v>
      </c>
      <c r="G45" s="268" t="e">
        <f t="shared" si="8"/>
        <v>#REF!</v>
      </c>
      <c r="H45" s="268" t="e">
        <f>-ROUNDDOWN(J44*#REF!,0)</f>
        <v>#REF!</v>
      </c>
      <c r="I45" s="268">
        <v>0</v>
      </c>
      <c r="J45" s="269">
        <f t="shared" si="9"/>
        <v>160000000</v>
      </c>
      <c r="K45" s="1695"/>
      <c r="L45" s="1695"/>
      <c r="M45" s="1695"/>
      <c r="O45" s="267">
        <f t="shared" si="15"/>
        <v>36</v>
      </c>
      <c r="P45" s="268" t="e">
        <f t="shared" si="1"/>
        <v>#REF!</v>
      </c>
      <c r="Q45" s="268" t="e">
        <f>-S44*#REF!</f>
        <v>#REF!</v>
      </c>
      <c r="R45" s="268">
        <v>0</v>
      </c>
      <c r="S45" s="269">
        <f t="shared" si="10"/>
        <v>510000000</v>
      </c>
      <c r="T45" s="1695"/>
      <c r="U45" s="1695"/>
      <c r="V45" s="1695"/>
      <c r="X45" s="267">
        <f t="shared" si="16"/>
        <v>36</v>
      </c>
      <c r="Y45" s="268" t="e">
        <f t="shared" si="2"/>
        <v>#REF!</v>
      </c>
      <c r="Z45" s="268" t="e">
        <f>-AB44*#REF!</f>
        <v>#REF!</v>
      </c>
      <c r="AA45" s="268">
        <v>0</v>
      </c>
      <c r="AB45" s="269">
        <f t="shared" si="11"/>
        <v>170000000</v>
      </c>
      <c r="AC45" s="1695"/>
      <c r="AD45" s="1695"/>
      <c r="AE45" s="1695"/>
      <c r="AG45" s="1710"/>
      <c r="AH45" s="1710"/>
      <c r="AI45" s="1710"/>
      <c r="AK45" s="267">
        <f t="shared" si="17"/>
        <v>36</v>
      </c>
      <c r="AL45" s="268" t="e">
        <f t="shared" si="3"/>
        <v>#REF!</v>
      </c>
      <c r="AM45" s="268" t="e">
        <f>-AO44*#REF!</f>
        <v>#REF!</v>
      </c>
      <c r="AN45" s="268">
        <f t="shared" si="28"/>
        <v>0</v>
      </c>
      <c r="AO45" s="269">
        <f t="shared" si="24"/>
        <v>458691302</v>
      </c>
      <c r="AP45" s="1695"/>
      <c r="AQ45" s="1695"/>
      <c r="AR45" s="1695"/>
      <c r="AS45" s="1695"/>
      <c r="AU45" s="267">
        <f t="shared" si="19"/>
        <v>30</v>
      </c>
      <c r="AV45" s="348">
        <f t="shared" si="13"/>
        <v>-601498.55000000005</v>
      </c>
      <c r="AW45" s="348">
        <v>-601498.55000000005</v>
      </c>
      <c r="AX45" s="268">
        <v>0</v>
      </c>
      <c r="AY45" s="348">
        <v>42270000</v>
      </c>
      <c r="AZ45" s="352">
        <f t="shared" si="21"/>
        <v>458691302</v>
      </c>
      <c r="BA45" s="351">
        <v>2.1825000000000001E-2</v>
      </c>
      <c r="BB45" s="351"/>
      <c r="BC45" s="1695"/>
      <c r="BD45" s="565"/>
      <c r="BE45" s="1695"/>
      <c r="BF45" s="1695"/>
      <c r="BH45" s="348">
        <f t="shared" si="22"/>
        <v>0</v>
      </c>
      <c r="BI45" s="348">
        <v>0</v>
      </c>
      <c r="BJ45" s="268">
        <v>0</v>
      </c>
      <c r="BK45" s="268">
        <v>0</v>
      </c>
      <c r="BL45" s="352">
        <f t="shared" si="23"/>
        <v>0</v>
      </c>
      <c r="BM45" s="269"/>
      <c r="BN45" s="269"/>
      <c r="BO45" s="1695"/>
      <c r="BP45" s="565"/>
      <c r="BQ45" s="1695"/>
      <c r="BR45" s="1695"/>
    </row>
    <row r="46" spans="1:70" ht="15">
      <c r="A46" s="273" t="s">
        <v>510</v>
      </c>
      <c r="B46" s="274">
        <v>2018</v>
      </c>
      <c r="C46" s="274"/>
      <c r="D46" s="274"/>
      <c r="E46" s="275">
        <f t="shared" si="18"/>
        <v>458691302</v>
      </c>
      <c r="F46" s="276">
        <f t="shared" si="14"/>
        <v>37</v>
      </c>
      <c r="G46" s="277" t="e">
        <f t="shared" si="8"/>
        <v>#REF!</v>
      </c>
      <c r="H46" s="277" t="e">
        <f>-ROUNDDOWN(J45*#REF!,0)</f>
        <v>#REF!</v>
      </c>
      <c r="I46" s="277">
        <v>0</v>
      </c>
      <c r="J46" s="278">
        <f t="shared" si="9"/>
        <v>160000000</v>
      </c>
      <c r="K46" s="1694" t="s">
        <v>3</v>
      </c>
      <c r="L46" s="1694" t="e">
        <f>SUM(H46:H57)</f>
        <v>#REF!</v>
      </c>
      <c r="M46" s="1694">
        <f>SUM(I46:I57)</f>
        <v>0</v>
      </c>
      <c r="O46" s="276">
        <f t="shared" si="15"/>
        <v>37</v>
      </c>
      <c r="P46" s="277" t="e">
        <f t="shared" si="1"/>
        <v>#REF!</v>
      </c>
      <c r="Q46" s="277" t="e">
        <f>-S45*#REF!</f>
        <v>#REF!</v>
      </c>
      <c r="R46" s="277">
        <v>0</v>
      </c>
      <c r="S46" s="278">
        <f t="shared" si="10"/>
        <v>510000000</v>
      </c>
      <c r="T46" s="1694" t="s">
        <v>3</v>
      </c>
      <c r="U46" s="1694" t="e">
        <f>SUM(Q46:Q57)</f>
        <v>#REF!</v>
      </c>
      <c r="V46" s="1694">
        <f>SUM(R46:R57)</f>
        <v>0</v>
      </c>
      <c r="X46" s="276">
        <f t="shared" si="16"/>
        <v>37</v>
      </c>
      <c r="Y46" s="277" t="e">
        <f t="shared" si="2"/>
        <v>#REF!</v>
      </c>
      <c r="Z46" s="277" t="e">
        <f>-AB45*#REF!</f>
        <v>#REF!</v>
      </c>
      <c r="AA46" s="277">
        <v>0</v>
      </c>
      <c r="AB46" s="278">
        <f t="shared" si="11"/>
        <v>170000000</v>
      </c>
      <c r="AC46" s="1694" t="s">
        <v>3</v>
      </c>
      <c r="AD46" s="1694" t="e">
        <f>SUM(Z46:Z57)</f>
        <v>#REF!</v>
      </c>
      <c r="AE46" s="1694">
        <f>SUM(AA46:AA57)</f>
        <v>0</v>
      </c>
      <c r="AG46" s="1709" t="s">
        <v>3</v>
      </c>
      <c r="AH46" s="1709" t="e">
        <f>L46+U46+AD46</f>
        <v>#REF!</v>
      </c>
      <c r="AI46" s="1709">
        <f>M46+V46+AE46</f>
        <v>0</v>
      </c>
      <c r="AK46" s="276">
        <f t="shared" si="17"/>
        <v>37</v>
      </c>
      <c r="AL46" s="277" t="e">
        <f t="shared" si="3"/>
        <v>#REF!</v>
      </c>
      <c r="AM46" s="277" t="e">
        <f>-AO45*#REF!</f>
        <v>#REF!</v>
      </c>
      <c r="AN46" s="277">
        <f>$AR$46/12</f>
        <v>0</v>
      </c>
      <c r="AO46" s="278">
        <f t="shared" si="24"/>
        <v>458691302</v>
      </c>
      <c r="AP46" s="1694" t="s">
        <v>3</v>
      </c>
      <c r="AQ46" s="1694" t="e">
        <f>SUM(AM46:AM57)</f>
        <v>#REF!</v>
      </c>
      <c r="AR46" s="1694">
        <v>0</v>
      </c>
      <c r="AS46" s="1715">
        <v>0</v>
      </c>
      <c r="AU46" s="276">
        <f t="shared" si="19"/>
        <v>31</v>
      </c>
      <c r="AV46" s="349">
        <f t="shared" si="13"/>
        <v>-905098.47</v>
      </c>
      <c r="AW46" s="349">
        <f>-821690.5-83407.97</f>
        <v>-905098.47</v>
      </c>
      <c r="AX46" s="277">
        <v>0</v>
      </c>
      <c r="AY46" s="277">
        <v>0</v>
      </c>
      <c r="AZ46" s="353">
        <f t="shared" si="21"/>
        <v>458691302</v>
      </c>
      <c r="BA46" s="350">
        <v>2.4564300000000001E-2</v>
      </c>
      <c r="BB46" s="350"/>
      <c r="BC46" s="1694" t="s">
        <v>3</v>
      </c>
      <c r="BD46" s="563"/>
      <c r="BE46" s="1694">
        <f>SUM(AW46:AW57)</f>
        <v>-14069060.729999999</v>
      </c>
      <c r="BF46" s="1694">
        <f>SUM(AX46:AY57)</f>
        <v>225640000</v>
      </c>
      <c r="BH46" s="349">
        <f t="shared" si="22"/>
        <v>0</v>
      </c>
      <c r="BI46" s="349">
        <v>0</v>
      </c>
      <c r="BJ46" s="277">
        <v>0</v>
      </c>
      <c r="BK46" s="277">
        <v>0</v>
      </c>
      <c r="BL46" s="353">
        <f t="shared" si="23"/>
        <v>0</v>
      </c>
      <c r="BM46" s="278"/>
      <c r="BN46" s="278"/>
      <c r="BO46" s="1694" t="s">
        <v>3</v>
      </c>
      <c r="BP46" s="563"/>
      <c r="BQ46" s="1694">
        <f>SUM(BI46:BI57)</f>
        <v>0</v>
      </c>
      <c r="BR46" s="1694">
        <f>SUM(BJ46:BK57)</f>
        <v>0</v>
      </c>
    </row>
    <row r="47" spans="1:70" ht="15">
      <c r="A47" s="273" t="s">
        <v>511</v>
      </c>
      <c r="B47" s="274">
        <v>2018</v>
      </c>
      <c r="C47" s="274"/>
      <c r="D47" s="274"/>
      <c r="E47" s="275">
        <f t="shared" si="18"/>
        <v>458691302</v>
      </c>
      <c r="F47" s="276">
        <f t="shared" si="14"/>
        <v>38</v>
      </c>
      <c r="G47" s="277" t="e">
        <f t="shared" si="8"/>
        <v>#REF!</v>
      </c>
      <c r="H47" s="277" t="e">
        <f>-ROUNDDOWN(J46*#REF!,0)</f>
        <v>#REF!</v>
      </c>
      <c r="I47" s="277">
        <v>0</v>
      </c>
      <c r="J47" s="278">
        <f t="shared" si="9"/>
        <v>160000000</v>
      </c>
      <c r="K47" s="1694"/>
      <c r="L47" s="1694"/>
      <c r="M47" s="1694"/>
      <c r="O47" s="276">
        <f t="shared" si="15"/>
        <v>38</v>
      </c>
      <c r="P47" s="277" t="e">
        <f t="shared" si="1"/>
        <v>#REF!</v>
      </c>
      <c r="Q47" s="277" t="e">
        <f>-S46*#REF!</f>
        <v>#REF!</v>
      </c>
      <c r="R47" s="277">
        <v>0</v>
      </c>
      <c r="S47" s="278">
        <f t="shared" si="10"/>
        <v>510000000</v>
      </c>
      <c r="T47" s="1694"/>
      <c r="U47" s="1694"/>
      <c r="V47" s="1694"/>
      <c r="X47" s="276">
        <f t="shared" si="16"/>
        <v>38</v>
      </c>
      <c r="Y47" s="277" t="e">
        <f t="shared" si="2"/>
        <v>#REF!</v>
      </c>
      <c r="Z47" s="277" t="e">
        <f>-AB46*#REF!</f>
        <v>#REF!</v>
      </c>
      <c r="AA47" s="277">
        <v>0</v>
      </c>
      <c r="AB47" s="278">
        <f t="shared" si="11"/>
        <v>170000000</v>
      </c>
      <c r="AC47" s="1694"/>
      <c r="AD47" s="1694"/>
      <c r="AE47" s="1694"/>
      <c r="AG47" s="1709"/>
      <c r="AH47" s="1709"/>
      <c r="AI47" s="1709"/>
      <c r="AK47" s="276">
        <f t="shared" si="17"/>
        <v>38</v>
      </c>
      <c r="AL47" s="277" t="e">
        <f t="shared" si="3"/>
        <v>#REF!</v>
      </c>
      <c r="AM47" s="277" t="e">
        <f>-AO46*#REF!</f>
        <v>#REF!</v>
      </c>
      <c r="AN47" s="277">
        <f t="shared" ref="AN47:AN57" si="29">$AR$46/12</f>
        <v>0</v>
      </c>
      <c r="AO47" s="278">
        <f t="shared" si="24"/>
        <v>458691302</v>
      </c>
      <c r="AP47" s="1694"/>
      <c r="AQ47" s="1694"/>
      <c r="AR47" s="1694"/>
      <c r="AS47" s="1715"/>
      <c r="AU47" s="276">
        <f t="shared" si="19"/>
        <v>32</v>
      </c>
      <c r="AV47" s="349">
        <f t="shared" si="13"/>
        <v>-926090.2</v>
      </c>
      <c r="AW47" s="349">
        <v>-926090.2</v>
      </c>
      <c r="AX47" s="277">
        <v>0</v>
      </c>
      <c r="AY47" s="277">
        <v>0</v>
      </c>
      <c r="AZ47" s="353">
        <f t="shared" si="21"/>
        <v>458691302</v>
      </c>
      <c r="BA47" s="350">
        <v>2.1614299999999999E-2</v>
      </c>
      <c r="BB47" s="350"/>
      <c r="BC47" s="1694"/>
      <c r="BD47" s="563"/>
      <c r="BE47" s="1694"/>
      <c r="BF47" s="1694"/>
      <c r="BH47" s="349">
        <f t="shared" si="22"/>
        <v>0</v>
      </c>
      <c r="BI47" s="349">
        <v>0</v>
      </c>
      <c r="BJ47" s="277">
        <v>0</v>
      </c>
      <c r="BK47" s="277">
        <v>0</v>
      </c>
      <c r="BL47" s="353">
        <f t="shared" si="23"/>
        <v>0</v>
      </c>
      <c r="BM47" s="278"/>
      <c r="BN47" s="278"/>
      <c r="BO47" s="1694"/>
      <c r="BP47" s="563"/>
      <c r="BQ47" s="1694"/>
      <c r="BR47" s="1694"/>
    </row>
    <row r="48" spans="1:70" ht="15">
      <c r="A48" s="273" t="s">
        <v>512</v>
      </c>
      <c r="B48" s="274">
        <v>2018</v>
      </c>
      <c r="C48" s="274"/>
      <c r="D48" s="274"/>
      <c r="E48" s="275">
        <f t="shared" si="18"/>
        <v>519559302</v>
      </c>
      <c r="F48" s="276">
        <f t="shared" si="14"/>
        <v>39</v>
      </c>
      <c r="G48" s="277" t="e">
        <f t="shared" si="8"/>
        <v>#REF!</v>
      </c>
      <c r="H48" s="277" t="e">
        <f>-ROUNDDOWN(J47*#REF!,0)</f>
        <v>#REF!</v>
      </c>
      <c r="I48" s="277">
        <v>0</v>
      </c>
      <c r="J48" s="278">
        <f t="shared" si="9"/>
        <v>160000000</v>
      </c>
      <c r="K48" s="1694"/>
      <c r="L48" s="1694"/>
      <c r="M48" s="1694"/>
      <c r="O48" s="276">
        <f t="shared" si="15"/>
        <v>39</v>
      </c>
      <c r="P48" s="277" t="e">
        <f t="shared" si="1"/>
        <v>#REF!</v>
      </c>
      <c r="Q48" s="277" t="e">
        <f>-S47*#REF!</f>
        <v>#REF!</v>
      </c>
      <c r="R48" s="277">
        <v>0</v>
      </c>
      <c r="S48" s="278">
        <f t="shared" si="10"/>
        <v>510000000</v>
      </c>
      <c r="T48" s="1694"/>
      <c r="U48" s="1694"/>
      <c r="V48" s="1694"/>
      <c r="X48" s="276">
        <f t="shared" si="16"/>
        <v>39</v>
      </c>
      <c r="Y48" s="277" t="e">
        <f t="shared" si="2"/>
        <v>#REF!</v>
      </c>
      <c r="Z48" s="277" t="e">
        <f>-AB47*#REF!</f>
        <v>#REF!</v>
      </c>
      <c r="AA48" s="277">
        <v>0</v>
      </c>
      <c r="AB48" s="278">
        <f t="shared" si="11"/>
        <v>170000000</v>
      </c>
      <c r="AC48" s="1694"/>
      <c r="AD48" s="1694"/>
      <c r="AE48" s="1694"/>
      <c r="AG48" s="1709"/>
      <c r="AH48" s="1709"/>
      <c r="AI48" s="1709"/>
      <c r="AK48" s="276">
        <f t="shared" si="17"/>
        <v>39</v>
      </c>
      <c r="AL48" s="277" t="e">
        <f t="shared" si="3"/>
        <v>#REF!</v>
      </c>
      <c r="AM48" s="277" t="e">
        <f>-AO47*#REF!</f>
        <v>#REF!</v>
      </c>
      <c r="AN48" s="277">
        <f t="shared" si="29"/>
        <v>0</v>
      </c>
      <c r="AO48" s="278">
        <f t="shared" si="24"/>
        <v>519559302</v>
      </c>
      <c r="AP48" s="1694"/>
      <c r="AQ48" s="1694"/>
      <c r="AR48" s="1694"/>
      <c r="AS48" s="1715"/>
      <c r="AU48" s="276">
        <f t="shared" si="19"/>
        <v>33</v>
      </c>
      <c r="AV48" s="349">
        <f t="shared" si="13"/>
        <v>-814873.27</v>
      </c>
      <c r="AW48" s="349">
        <v>-814873.27</v>
      </c>
      <c r="AX48" s="277">
        <v>0</v>
      </c>
      <c r="AY48" s="349">
        <v>60868000</v>
      </c>
      <c r="AZ48" s="353">
        <f t="shared" si="21"/>
        <v>519559302</v>
      </c>
      <c r="BA48" s="350">
        <v>3.1619599999999998E-2</v>
      </c>
      <c r="BB48" s="350"/>
      <c r="BC48" s="1694"/>
      <c r="BD48" s="563"/>
      <c r="BE48" s="1694"/>
      <c r="BF48" s="1694"/>
      <c r="BH48" s="349">
        <f t="shared" si="22"/>
        <v>0</v>
      </c>
      <c r="BI48" s="349">
        <v>0</v>
      </c>
      <c r="BJ48" s="277">
        <v>0</v>
      </c>
      <c r="BK48" s="277">
        <v>0</v>
      </c>
      <c r="BL48" s="353">
        <f t="shared" si="23"/>
        <v>0</v>
      </c>
      <c r="BM48" s="278"/>
      <c r="BN48" s="278"/>
      <c r="BO48" s="1694"/>
      <c r="BP48" s="563"/>
      <c r="BQ48" s="1694"/>
      <c r="BR48" s="1694"/>
    </row>
    <row r="49" spans="1:70" ht="15">
      <c r="A49" s="273" t="s">
        <v>513</v>
      </c>
      <c r="B49" s="274">
        <v>2018</v>
      </c>
      <c r="C49" s="274"/>
      <c r="D49" s="274"/>
      <c r="E49" s="275">
        <f t="shared" si="18"/>
        <v>519559302</v>
      </c>
      <c r="F49" s="276">
        <f t="shared" si="14"/>
        <v>40</v>
      </c>
      <c r="G49" s="277" t="e">
        <f t="shared" si="8"/>
        <v>#REF!</v>
      </c>
      <c r="H49" s="277" t="e">
        <f>-ROUNDDOWN(J48*#REF!,0)</f>
        <v>#REF!</v>
      </c>
      <c r="I49" s="277">
        <v>0</v>
      </c>
      <c r="J49" s="278">
        <f t="shared" si="9"/>
        <v>160000000</v>
      </c>
      <c r="K49" s="1694"/>
      <c r="L49" s="1694"/>
      <c r="M49" s="1694"/>
      <c r="O49" s="276">
        <f t="shared" si="15"/>
        <v>40</v>
      </c>
      <c r="P49" s="277" t="e">
        <f t="shared" si="1"/>
        <v>#REF!</v>
      </c>
      <c r="Q49" s="277" t="e">
        <f>-S48*#REF!</f>
        <v>#REF!</v>
      </c>
      <c r="R49" s="277">
        <v>0</v>
      </c>
      <c r="S49" s="278">
        <f t="shared" si="10"/>
        <v>510000000</v>
      </c>
      <c r="T49" s="1694"/>
      <c r="U49" s="1694"/>
      <c r="V49" s="1694"/>
      <c r="X49" s="276">
        <f t="shared" si="16"/>
        <v>40</v>
      </c>
      <c r="Y49" s="277" t="e">
        <f t="shared" si="2"/>
        <v>#REF!</v>
      </c>
      <c r="Z49" s="277" t="e">
        <f>-AB48*#REF!</f>
        <v>#REF!</v>
      </c>
      <c r="AA49" s="277">
        <v>0</v>
      </c>
      <c r="AB49" s="278">
        <f t="shared" si="11"/>
        <v>170000000</v>
      </c>
      <c r="AC49" s="1694"/>
      <c r="AD49" s="1694"/>
      <c r="AE49" s="1694"/>
      <c r="AG49" s="1709"/>
      <c r="AH49" s="1709"/>
      <c r="AI49" s="1709"/>
      <c r="AK49" s="276">
        <f t="shared" si="17"/>
        <v>40</v>
      </c>
      <c r="AL49" s="277" t="e">
        <f t="shared" si="3"/>
        <v>#REF!</v>
      </c>
      <c r="AM49" s="277" t="e">
        <f>-AO48*#REF!</f>
        <v>#REF!</v>
      </c>
      <c r="AN49" s="277">
        <f t="shared" si="29"/>
        <v>0</v>
      </c>
      <c r="AO49" s="278">
        <f t="shared" si="24"/>
        <v>519559302</v>
      </c>
      <c r="AP49" s="1694"/>
      <c r="AQ49" s="1694"/>
      <c r="AR49" s="1694"/>
      <c r="AS49" s="1715"/>
      <c r="AU49" s="276">
        <f t="shared" si="19"/>
        <v>34</v>
      </c>
      <c r="AV49" s="349">
        <f t="shared" si="13"/>
        <v>-1395276.6500000001</v>
      </c>
      <c r="AW49" s="349">
        <f>-1363799.09-31477.56</f>
        <v>-1395276.6500000001</v>
      </c>
      <c r="AX49" s="277">
        <v>0</v>
      </c>
      <c r="AY49" s="277">
        <v>0</v>
      </c>
      <c r="AZ49" s="353">
        <f t="shared" si="21"/>
        <v>519559302</v>
      </c>
      <c r="BA49" s="350">
        <v>2.8599599999999999E-2</v>
      </c>
      <c r="BB49" s="350"/>
      <c r="BC49" s="1694"/>
      <c r="BD49" s="563"/>
      <c r="BE49" s="1694"/>
      <c r="BF49" s="1694"/>
      <c r="BH49" s="349">
        <f t="shared" si="22"/>
        <v>0</v>
      </c>
      <c r="BI49" s="349">
        <v>0</v>
      </c>
      <c r="BJ49" s="277">
        <v>0</v>
      </c>
      <c r="BK49" s="277">
        <v>0</v>
      </c>
      <c r="BL49" s="353">
        <f t="shared" si="23"/>
        <v>0</v>
      </c>
      <c r="BM49" s="278"/>
      <c r="BN49" s="278"/>
      <c r="BO49" s="1694"/>
      <c r="BP49" s="563"/>
      <c r="BQ49" s="1694"/>
      <c r="BR49" s="1694"/>
    </row>
    <row r="50" spans="1:70" ht="15">
      <c r="A50" s="273" t="s">
        <v>514</v>
      </c>
      <c r="B50" s="274">
        <v>2018</v>
      </c>
      <c r="C50" s="274"/>
      <c r="D50" s="274"/>
      <c r="E50" s="275">
        <f t="shared" si="18"/>
        <v>519559302</v>
      </c>
      <c r="F50" s="276">
        <f t="shared" si="14"/>
        <v>41</v>
      </c>
      <c r="G50" s="277" t="e">
        <f t="shared" si="8"/>
        <v>#REF!</v>
      </c>
      <c r="H50" s="277" t="e">
        <f>-ROUNDDOWN(J49*#REF!,0)</f>
        <v>#REF!</v>
      </c>
      <c r="I50" s="277">
        <v>0</v>
      </c>
      <c r="J50" s="278">
        <f t="shared" si="9"/>
        <v>160000000</v>
      </c>
      <c r="K50" s="1694"/>
      <c r="L50" s="1694"/>
      <c r="M50" s="1694"/>
      <c r="O50" s="276">
        <f t="shared" si="15"/>
        <v>41</v>
      </c>
      <c r="P50" s="277" t="e">
        <f t="shared" si="1"/>
        <v>#REF!</v>
      </c>
      <c r="Q50" s="277" t="e">
        <f>-S49*#REF!</f>
        <v>#REF!</v>
      </c>
      <c r="R50" s="277">
        <v>0</v>
      </c>
      <c r="S50" s="278">
        <f t="shared" si="10"/>
        <v>510000000</v>
      </c>
      <c r="T50" s="1694"/>
      <c r="U50" s="1694"/>
      <c r="V50" s="1694"/>
      <c r="X50" s="276">
        <f t="shared" si="16"/>
        <v>41</v>
      </c>
      <c r="Y50" s="277" t="e">
        <f t="shared" si="2"/>
        <v>#REF!</v>
      </c>
      <c r="Z50" s="277" t="e">
        <f>-AB49*#REF!</f>
        <v>#REF!</v>
      </c>
      <c r="AA50" s="277">
        <v>0</v>
      </c>
      <c r="AB50" s="278">
        <f t="shared" si="11"/>
        <v>170000000</v>
      </c>
      <c r="AC50" s="1694"/>
      <c r="AD50" s="1694"/>
      <c r="AE50" s="1694"/>
      <c r="AG50" s="1709"/>
      <c r="AH50" s="1709"/>
      <c r="AI50" s="1709"/>
      <c r="AK50" s="276">
        <f t="shared" si="17"/>
        <v>41</v>
      </c>
      <c r="AL50" s="277" t="e">
        <f t="shared" si="3"/>
        <v>#REF!</v>
      </c>
      <c r="AM50" s="277" t="e">
        <f>-AO49*#REF!</f>
        <v>#REF!</v>
      </c>
      <c r="AN50" s="277">
        <f t="shared" si="29"/>
        <v>0</v>
      </c>
      <c r="AO50" s="278">
        <f t="shared" si="24"/>
        <v>519559302</v>
      </c>
      <c r="AP50" s="1694"/>
      <c r="AQ50" s="1694"/>
      <c r="AR50" s="1694"/>
      <c r="AS50" s="1715"/>
      <c r="AU50" s="276">
        <f t="shared" si="19"/>
        <v>35</v>
      </c>
      <c r="AV50" s="349">
        <f t="shared" si="13"/>
        <v>-1262013.25</v>
      </c>
      <c r="AW50" s="349">
        <f>-1233542.12-28471.13</f>
        <v>-1262013.25</v>
      </c>
      <c r="AX50" s="277">
        <v>0</v>
      </c>
      <c r="AY50" s="277">
        <v>0</v>
      </c>
      <c r="AZ50" s="353">
        <f t="shared" si="21"/>
        <v>519559302</v>
      </c>
      <c r="BA50" s="350">
        <v>2.6612500000000001E-2</v>
      </c>
      <c r="BB50" s="350"/>
      <c r="BC50" s="1694"/>
      <c r="BD50" s="563"/>
      <c r="BE50" s="1694"/>
      <c r="BF50" s="1694"/>
      <c r="BH50" s="349">
        <f t="shared" si="22"/>
        <v>0</v>
      </c>
      <c r="BI50" s="349">
        <v>0</v>
      </c>
      <c r="BJ50" s="277">
        <v>0</v>
      </c>
      <c r="BK50" s="277">
        <v>0</v>
      </c>
      <c r="BL50" s="353">
        <f t="shared" si="23"/>
        <v>0</v>
      </c>
      <c r="BM50" s="278"/>
      <c r="BN50" s="278"/>
      <c r="BO50" s="1694"/>
      <c r="BP50" s="563"/>
      <c r="BQ50" s="1694"/>
      <c r="BR50" s="1694"/>
    </row>
    <row r="51" spans="1:70" ht="15">
      <c r="A51" s="273" t="s">
        <v>515</v>
      </c>
      <c r="B51" s="274">
        <v>2018</v>
      </c>
      <c r="C51" s="274"/>
      <c r="D51" s="274"/>
      <c r="E51" s="275">
        <f t="shared" si="18"/>
        <v>519559302</v>
      </c>
      <c r="F51" s="276">
        <f t="shared" si="14"/>
        <v>42</v>
      </c>
      <c r="G51" s="277" t="e">
        <f t="shared" si="8"/>
        <v>#REF!</v>
      </c>
      <c r="H51" s="277" t="e">
        <f>-ROUNDDOWN(J50*#REF!,0)</f>
        <v>#REF!</v>
      </c>
      <c r="I51" s="277">
        <v>0</v>
      </c>
      <c r="J51" s="278">
        <f t="shared" si="9"/>
        <v>160000000</v>
      </c>
      <c r="K51" s="1694"/>
      <c r="L51" s="1694"/>
      <c r="M51" s="1694"/>
      <c r="O51" s="276">
        <f t="shared" si="15"/>
        <v>42</v>
      </c>
      <c r="P51" s="277" t="e">
        <f t="shared" si="1"/>
        <v>#REF!</v>
      </c>
      <c r="Q51" s="277" t="e">
        <f>-S50*#REF!</f>
        <v>#REF!</v>
      </c>
      <c r="R51" s="277">
        <v>0</v>
      </c>
      <c r="S51" s="278">
        <f t="shared" si="10"/>
        <v>510000000</v>
      </c>
      <c r="T51" s="1694"/>
      <c r="U51" s="1694"/>
      <c r="V51" s="1694"/>
      <c r="X51" s="276">
        <f t="shared" si="16"/>
        <v>42</v>
      </c>
      <c r="Y51" s="277" t="e">
        <f t="shared" si="2"/>
        <v>#REF!</v>
      </c>
      <c r="Z51" s="277" t="e">
        <f>-AB50*#REF!</f>
        <v>#REF!</v>
      </c>
      <c r="AA51" s="277">
        <v>0</v>
      </c>
      <c r="AB51" s="278">
        <f t="shared" si="11"/>
        <v>170000000</v>
      </c>
      <c r="AC51" s="1694"/>
      <c r="AD51" s="1694"/>
      <c r="AE51" s="1694"/>
      <c r="AG51" s="1709"/>
      <c r="AH51" s="1709"/>
      <c r="AI51" s="1709"/>
      <c r="AK51" s="276">
        <f t="shared" si="17"/>
        <v>42</v>
      </c>
      <c r="AL51" s="277" t="e">
        <f t="shared" si="3"/>
        <v>#REF!</v>
      </c>
      <c r="AM51" s="277" t="e">
        <f>-AO50*#REF!</f>
        <v>#REF!</v>
      </c>
      <c r="AN51" s="277">
        <f t="shared" si="29"/>
        <v>0</v>
      </c>
      <c r="AO51" s="278">
        <f t="shared" si="24"/>
        <v>519559302</v>
      </c>
      <c r="AP51" s="1694"/>
      <c r="AQ51" s="1694"/>
      <c r="AR51" s="1694"/>
      <c r="AS51" s="1715"/>
      <c r="AU51" s="276">
        <f t="shared" si="19"/>
        <v>36</v>
      </c>
      <c r="AV51" s="349">
        <f t="shared" si="13"/>
        <v>-1098565.44</v>
      </c>
      <c r="AW51" s="349">
        <f>-1073781.71-24783.73</f>
        <v>-1098565.44</v>
      </c>
      <c r="AX51" s="277">
        <v>0</v>
      </c>
      <c r="AY51" s="277">
        <v>0</v>
      </c>
      <c r="AZ51" s="353">
        <f t="shared" si="21"/>
        <v>519559302</v>
      </c>
      <c r="BA51" s="350">
        <v>3.38071E-2</v>
      </c>
      <c r="BB51" s="350"/>
      <c r="BC51" s="1694"/>
      <c r="BD51" s="563"/>
      <c r="BE51" s="1694"/>
      <c r="BF51" s="1694"/>
      <c r="BH51" s="349">
        <f t="shared" si="22"/>
        <v>0</v>
      </c>
      <c r="BI51" s="349">
        <v>0</v>
      </c>
      <c r="BJ51" s="277">
        <v>0</v>
      </c>
      <c r="BK51" s="277">
        <v>0</v>
      </c>
      <c r="BL51" s="353">
        <f t="shared" si="23"/>
        <v>0</v>
      </c>
      <c r="BM51" s="278"/>
      <c r="BN51" s="278"/>
      <c r="BO51" s="1694"/>
      <c r="BP51" s="563"/>
      <c r="BQ51" s="1694"/>
      <c r="BR51" s="1694"/>
    </row>
    <row r="52" spans="1:70" ht="15">
      <c r="A52" s="273" t="s">
        <v>516</v>
      </c>
      <c r="B52" s="274">
        <v>2018</v>
      </c>
      <c r="C52" s="274"/>
      <c r="D52" s="274"/>
      <c r="E52" s="275">
        <f t="shared" si="18"/>
        <v>539161302</v>
      </c>
      <c r="F52" s="276">
        <f t="shared" si="14"/>
        <v>43</v>
      </c>
      <c r="G52" s="277" t="e">
        <f t="shared" si="8"/>
        <v>#REF!</v>
      </c>
      <c r="H52" s="277" t="e">
        <f>-ROUNDDOWN(J51*#REF!,0)</f>
        <v>#REF!</v>
      </c>
      <c r="I52" s="277">
        <v>0</v>
      </c>
      <c r="J52" s="278">
        <f t="shared" si="9"/>
        <v>160000000</v>
      </c>
      <c r="K52" s="1694"/>
      <c r="L52" s="1694"/>
      <c r="M52" s="1694"/>
      <c r="O52" s="276">
        <f t="shared" si="15"/>
        <v>43</v>
      </c>
      <c r="P52" s="277" t="e">
        <f t="shared" si="1"/>
        <v>#REF!</v>
      </c>
      <c r="Q52" s="277" t="e">
        <f>-S51*#REF!</f>
        <v>#REF!</v>
      </c>
      <c r="R52" s="277">
        <v>0</v>
      </c>
      <c r="S52" s="278">
        <f t="shared" si="10"/>
        <v>510000000</v>
      </c>
      <c r="T52" s="1694"/>
      <c r="U52" s="1694"/>
      <c r="V52" s="1694"/>
      <c r="X52" s="276">
        <f t="shared" si="16"/>
        <v>43</v>
      </c>
      <c r="Y52" s="277" t="e">
        <f t="shared" si="2"/>
        <v>#REF!</v>
      </c>
      <c r="Z52" s="277" t="e">
        <f>-AB51*#REF!</f>
        <v>#REF!</v>
      </c>
      <c r="AA52" s="277">
        <v>0</v>
      </c>
      <c r="AB52" s="278">
        <f t="shared" si="11"/>
        <v>170000000</v>
      </c>
      <c r="AC52" s="1694"/>
      <c r="AD52" s="1694"/>
      <c r="AE52" s="1694"/>
      <c r="AG52" s="1709"/>
      <c r="AH52" s="1709"/>
      <c r="AI52" s="1709"/>
      <c r="AK52" s="276">
        <f t="shared" si="17"/>
        <v>43</v>
      </c>
      <c r="AL52" s="277" t="e">
        <f t="shared" si="3"/>
        <v>#REF!</v>
      </c>
      <c r="AM52" s="277" t="e">
        <f>-AO51*#REF!</f>
        <v>#REF!</v>
      </c>
      <c r="AN52" s="277">
        <f t="shared" si="29"/>
        <v>0</v>
      </c>
      <c r="AO52" s="278">
        <f t="shared" si="24"/>
        <v>539161302</v>
      </c>
      <c r="AP52" s="1694"/>
      <c r="AQ52" s="1694"/>
      <c r="AR52" s="1694"/>
      <c r="AS52" s="1715"/>
      <c r="AU52" s="276">
        <f t="shared" si="19"/>
        <v>37</v>
      </c>
      <c r="AV52" s="349">
        <f t="shared" si="13"/>
        <v>-1491804.3599999999</v>
      </c>
      <c r="AW52" s="349">
        <f>-1458149.13-33655.23</f>
        <v>-1491804.3599999999</v>
      </c>
      <c r="AX52" s="277">
        <v>0</v>
      </c>
      <c r="AY52" s="349">
        <v>19602000</v>
      </c>
      <c r="AZ52" s="353">
        <f t="shared" si="21"/>
        <v>539161302</v>
      </c>
      <c r="BA52" s="350">
        <v>2.5446400000000001E-2</v>
      </c>
      <c r="BB52" s="350"/>
      <c r="BC52" s="1694"/>
      <c r="BD52" s="563"/>
      <c r="BE52" s="1694"/>
      <c r="BF52" s="1694"/>
      <c r="BH52" s="349">
        <f t="shared" si="22"/>
        <v>0</v>
      </c>
      <c r="BI52" s="349">
        <v>0</v>
      </c>
      <c r="BJ52" s="277">
        <v>0</v>
      </c>
      <c r="BK52" s="277">
        <v>0</v>
      </c>
      <c r="BL52" s="353">
        <f t="shared" si="23"/>
        <v>0</v>
      </c>
      <c r="BM52" s="278"/>
      <c r="BN52" s="278"/>
      <c r="BO52" s="1694"/>
      <c r="BP52" s="563"/>
      <c r="BQ52" s="1694"/>
      <c r="BR52" s="1694"/>
    </row>
    <row r="53" spans="1:70" ht="15">
      <c r="A53" s="273" t="s">
        <v>517</v>
      </c>
      <c r="B53" s="274">
        <v>2018</v>
      </c>
      <c r="C53" s="274"/>
      <c r="D53" s="274"/>
      <c r="E53" s="275">
        <f t="shared" si="18"/>
        <v>571795302</v>
      </c>
      <c r="F53" s="276">
        <f t="shared" si="14"/>
        <v>44</v>
      </c>
      <c r="G53" s="277" t="e">
        <f t="shared" si="8"/>
        <v>#REF!</v>
      </c>
      <c r="H53" s="277" t="e">
        <f>-ROUNDDOWN(J52*#REF!,0)</f>
        <v>#REF!</v>
      </c>
      <c r="I53" s="277">
        <v>0</v>
      </c>
      <c r="J53" s="278">
        <f t="shared" si="9"/>
        <v>160000000</v>
      </c>
      <c r="K53" s="1694"/>
      <c r="L53" s="1694"/>
      <c r="M53" s="1694"/>
      <c r="O53" s="276">
        <f t="shared" si="15"/>
        <v>44</v>
      </c>
      <c r="P53" s="277" t="e">
        <f t="shared" si="1"/>
        <v>#REF!</v>
      </c>
      <c r="Q53" s="277" t="e">
        <f>-S52*#REF!</f>
        <v>#REF!</v>
      </c>
      <c r="R53" s="277">
        <v>0</v>
      </c>
      <c r="S53" s="278">
        <f t="shared" si="10"/>
        <v>510000000</v>
      </c>
      <c r="T53" s="1694"/>
      <c r="U53" s="1694"/>
      <c r="V53" s="1694"/>
      <c r="X53" s="276">
        <f t="shared" si="16"/>
        <v>44</v>
      </c>
      <c r="Y53" s="277" t="e">
        <f t="shared" si="2"/>
        <v>#REF!</v>
      </c>
      <c r="Z53" s="277" t="e">
        <f>-AB52*#REF!</f>
        <v>#REF!</v>
      </c>
      <c r="AA53" s="277">
        <v>0</v>
      </c>
      <c r="AB53" s="278">
        <f t="shared" si="11"/>
        <v>170000000</v>
      </c>
      <c r="AC53" s="1694"/>
      <c r="AD53" s="1694"/>
      <c r="AE53" s="1694"/>
      <c r="AG53" s="1709"/>
      <c r="AH53" s="1709"/>
      <c r="AI53" s="1709"/>
      <c r="AK53" s="276">
        <f t="shared" si="17"/>
        <v>44</v>
      </c>
      <c r="AL53" s="277" t="e">
        <f t="shared" si="3"/>
        <v>#REF!</v>
      </c>
      <c r="AM53" s="277" t="e">
        <f>-AO52*#REF!</f>
        <v>#REF!</v>
      </c>
      <c r="AN53" s="277">
        <f t="shared" si="29"/>
        <v>0</v>
      </c>
      <c r="AO53" s="278">
        <f t="shared" si="24"/>
        <v>571795302</v>
      </c>
      <c r="AP53" s="1694"/>
      <c r="AQ53" s="1694"/>
      <c r="AR53" s="1694"/>
      <c r="AS53" s="1715"/>
      <c r="AU53" s="276">
        <f t="shared" si="19"/>
        <v>38</v>
      </c>
      <c r="AV53" s="349">
        <f t="shared" si="13"/>
        <v>-1165235.99</v>
      </c>
      <c r="AW53" s="349">
        <f>-1122872.13-42363.86</f>
        <v>-1165235.99</v>
      </c>
      <c r="AX53" s="277">
        <v>0</v>
      </c>
      <c r="AY53" s="349">
        <v>32634000</v>
      </c>
      <c r="AZ53" s="353">
        <f t="shared" si="21"/>
        <v>571795302</v>
      </c>
      <c r="BA53" s="350">
        <v>2.2735700000000001E-2</v>
      </c>
      <c r="BB53" s="350"/>
      <c r="BC53" s="1694"/>
      <c r="BD53" s="563"/>
      <c r="BE53" s="1694"/>
      <c r="BF53" s="1694"/>
      <c r="BH53" s="349">
        <f t="shared" si="22"/>
        <v>0</v>
      </c>
      <c r="BI53" s="349">
        <v>0</v>
      </c>
      <c r="BJ53" s="277">
        <v>0</v>
      </c>
      <c r="BK53" s="277">
        <v>0</v>
      </c>
      <c r="BL53" s="353">
        <f t="shared" si="23"/>
        <v>0</v>
      </c>
      <c r="BM53" s="278"/>
      <c r="BN53" s="278"/>
      <c r="BO53" s="1694"/>
      <c r="BP53" s="563"/>
      <c r="BQ53" s="1694"/>
      <c r="BR53" s="1694"/>
    </row>
    <row r="54" spans="1:70" ht="15">
      <c r="A54" s="273" t="s">
        <v>518</v>
      </c>
      <c r="B54" s="274">
        <v>2018</v>
      </c>
      <c r="C54" s="274"/>
      <c r="D54" s="274"/>
      <c r="E54" s="275">
        <f t="shared" si="18"/>
        <v>600316302</v>
      </c>
      <c r="F54" s="276">
        <f t="shared" si="14"/>
        <v>45</v>
      </c>
      <c r="G54" s="277" t="e">
        <f t="shared" si="8"/>
        <v>#REF!</v>
      </c>
      <c r="H54" s="277" t="e">
        <f>-ROUNDDOWN(J53*#REF!,0)</f>
        <v>#REF!</v>
      </c>
      <c r="I54" s="277">
        <v>0</v>
      </c>
      <c r="J54" s="278">
        <f t="shared" si="9"/>
        <v>160000000</v>
      </c>
      <c r="K54" s="1694"/>
      <c r="L54" s="1694"/>
      <c r="M54" s="1694"/>
      <c r="O54" s="276">
        <f t="shared" si="15"/>
        <v>45</v>
      </c>
      <c r="P54" s="277" t="e">
        <f t="shared" si="1"/>
        <v>#REF!</v>
      </c>
      <c r="Q54" s="277" t="e">
        <f>-S53*#REF!</f>
        <v>#REF!</v>
      </c>
      <c r="R54" s="277">
        <v>0</v>
      </c>
      <c r="S54" s="278">
        <f t="shared" si="10"/>
        <v>510000000</v>
      </c>
      <c r="T54" s="1694"/>
      <c r="U54" s="1694"/>
      <c r="V54" s="1694"/>
      <c r="X54" s="276">
        <f t="shared" si="16"/>
        <v>45</v>
      </c>
      <c r="Y54" s="277" t="e">
        <f t="shared" si="2"/>
        <v>#REF!</v>
      </c>
      <c r="Z54" s="277" t="e">
        <f>-AB53*#REF!</f>
        <v>#REF!</v>
      </c>
      <c r="AA54" s="277">
        <v>0</v>
      </c>
      <c r="AB54" s="278">
        <f t="shared" si="11"/>
        <v>170000000</v>
      </c>
      <c r="AC54" s="1694"/>
      <c r="AD54" s="1694"/>
      <c r="AE54" s="1694"/>
      <c r="AG54" s="1709"/>
      <c r="AH54" s="1709"/>
      <c r="AI54" s="1709"/>
      <c r="AK54" s="276">
        <f t="shared" si="17"/>
        <v>45</v>
      </c>
      <c r="AL54" s="277" t="e">
        <f t="shared" si="3"/>
        <v>#REF!</v>
      </c>
      <c r="AM54" s="277" t="e">
        <f>-AO53*#REF!</f>
        <v>#REF!</v>
      </c>
      <c r="AN54" s="277">
        <f t="shared" si="29"/>
        <v>0</v>
      </c>
      <c r="AO54" s="278">
        <f t="shared" si="24"/>
        <v>600316302</v>
      </c>
      <c r="AP54" s="1694"/>
      <c r="AQ54" s="1694"/>
      <c r="AR54" s="1694"/>
      <c r="AS54" s="1715"/>
      <c r="AU54" s="276">
        <f t="shared" si="19"/>
        <v>39</v>
      </c>
      <c r="AV54" s="349">
        <f t="shared" si="13"/>
        <v>-1139740.6200000001</v>
      </c>
      <c r="AW54" s="349">
        <f>-1074692.35-65048.27</f>
        <v>-1139740.6200000001</v>
      </c>
      <c r="AX54" s="277">
        <v>0</v>
      </c>
      <c r="AY54" s="349">
        <v>28521000</v>
      </c>
      <c r="AZ54" s="353">
        <f t="shared" si="21"/>
        <v>600316302</v>
      </c>
      <c r="BA54" s="350">
        <v>3.3939299999999999E-2</v>
      </c>
      <c r="BB54" s="350"/>
      <c r="BC54" s="1694"/>
      <c r="BD54" s="563"/>
      <c r="BE54" s="1694"/>
      <c r="BF54" s="1694"/>
      <c r="BH54" s="349">
        <f t="shared" si="22"/>
        <v>0</v>
      </c>
      <c r="BI54" s="349">
        <v>0</v>
      </c>
      <c r="BJ54" s="277">
        <v>0</v>
      </c>
      <c r="BK54" s="277">
        <v>0</v>
      </c>
      <c r="BL54" s="353">
        <f t="shared" si="23"/>
        <v>0</v>
      </c>
      <c r="BM54" s="278"/>
      <c r="BN54" s="278"/>
      <c r="BO54" s="1694"/>
      <c r="BP54" s="563"/>
      <c r="BQ54" s="1694"/>
      <c r="BR54" s="1694"/>
    </row>
    <row r="55" spans="1:70" ht="15">
      <c r="A55" s="273" t="s">
        <v>519</v>
      </c>
      <c r="B55" s="274">
        <v>2019</v>
      </c>
      <c r="C55" s="274"/>
      <c r="D55" s="274"/>
      <c r="E55" s="275">
        <f t="shared" si="18"/>
        <v>626240302</v>
      </c>
      <c r="F55" s="276">
        <f t="shared" si="14"/>
        <v>46</v>
      </c>
      <c r="G55" s="277" t="e">
        <f t="shared" si="8"/>
        <v>#REF!</v>
      </c>
      <c r="H55" s="277" t="e">
        <f>-ROUNDDOWN(J54*#REF!,0)</f>
        <v>#REF!</v>
      </c>
      <c r="I55" s="277">
        <v>0</v>
      </c>
      <c r="J55" s="278">
        <f t="shared" si="9"/>
        <v>160000000</v>
      </c>
      <c r="K55" s="1694"/>
      <c r="L55" s="1694"/>
      <c r="M55" s="1694"/>
      <c r="O55" s="276">
        <f t="shared" si="15"/>
        <v>46</v>
      </c>
      <c r="P55" s="277" t="e">
        <f t="shared" si="1"/>
        <v>#REF!</v>
      </c>
      <c r="Q55" s="277" t="e">
        <f>-S54*#REF!</f>
        <v>#REF!</v>
      </c>
      <c r="R55" s="277">
        <v>0</v>
      </c>
      <c r="S55" s="278">
        <f t="shared" si="10"/>
        <v>510000000</v>
      </c>
      <c r="T55" s="1694"/>
      <c r="U55" s="1694"/>
      <c r="V55" s="1694"/>
      <c r="X55" s="276">
        <f t="shared" si="16"/>
        <v>46</v>
      </c>
      <c r="Y55" s="277" t="e">
        <f t="shared" si="2"/>
        <v>#REF!</v>
      </c>
      <c r="Z55" s="277" t="e">
        <f>-AB54*#REF!</f>
        <v>#REF!</v>
      </c>
      <c r="AA55" s="277">
        <v>0</v>
      </c>
      <c r="AB55" s="278">
        <f t="shared" si="11"/>
        <v>170000000</v>
      </c>
      <c r="AC55" s="1694"/>
      <c r="AD55" s="1694"/>
      <c r="AE55" s="1694"/>
      <c r="AG55" s="1709"/>
      <c r="AH55" s="1709"/>
      <c r="AI55" s="1709"/>
      <c r="AK55" s="276">
        <f t="shared" si="17"/>
        <v>46</v>
      </c>
      <c r="AL55" s="277" t="e">
        <f t="shared" si="3"/>
        <v>#REF!</v>
      </c>
      <c r="AM55" s="277" t="e">
        <f>-AO54*#REF!</f>
        <v>#REF!</v>
      </c>
      <c r="AN55" s="277">
        <f t="shared" si="29"/>
        <v>0</v>
      </c>
      <c r="AO55" s="278">
        <f t="shared" si="24"/>
        <v>626240302</v>
      </c>
      <c r="AP55" s="1694"/>
      <c r="AQ55" s="1694"/>
      <c r="AR55" s="1694"/>
      <c r="AS55" s="1715"/>
      <c r="AU55" s="276">
        <f t="shared" si="19"/>
        <v>40</v>
      </c>
      <c r="AV55" s="349">
        <f>SUM(AW55:AX55)</f>
        <v>-1730421.28</v>
      </c>
      <c r="AW55" s="349">
        <f>-1648209.04-82212.24</f>
        <v>-1730421.28</v>
      </c>
      <c r="AX55" s="277">
        <v>0</v>
      </c>
      <c r="AY55" s="349">
        <v>25924000</v>
      </c>
      <c r="AZ55" s="353">
        <f>SUM(AX55:AY55)+AZ54</f>
        <v>626240302</v>
      </c>
      <c r="BA55" s="350">
        <f>BA5</f>
        <v>3.2015500000000002E-2</v>
      </c>
      <c r="BB55" s="350"/>
      <c r="BC55" s="1694"/>
      <c r="BD55" s="563"/>
      <c r="BE55" s="1694"/>
      <c r="BF55" s="1694"/>
      <c r="BH55" s="349">
        <f>SUM(BI55:BJ55)</f>
        <v>0</v>
      </c>
      <c r="BI55" s="349">
        <v>0</v>
      </c>
      <c r="BJ55" s="277">
        <v>0</v>
      </c>
      <c r="BK55" s="277">
        <v>0</v>
      </c>
      <c r="BL55" s="353">
        <f>SUM(BJ55:BK55)+BL54</f>
        <v>0</v>
      </c>
      <c r="BM55" s="278"/>
      <c r="BN55" s="278"/>
      <c r="BO55" s="1694"/>
      <c r="BP55" s="563"/>
      <c r="BQ55" s="1694"/>
      <c r="BR55" s="1694"/>
    </row>
    <row r="56" spans="1:70" ht="15">
      <c r="A56" s="273" t="s">
        <v>520</v>
      </c>
      <c r="B56" s="274">
        <v>2019</v>
      </c>
      <c r="C56" s="274"/>
      <c r="D56" s="274"/>
      <c r="E56" s="275">
        <f t="shared" si="18"/>
        <v>660720302</v>
      </c>
      <c r="F56" s="276">
        <f t="shared" si="14"/>
        <v>47</v>
      </c>
      <c r="G56" s="277" t="e">
        <f t="shared" si="8"/>
        <v>#REF!</v>
      </c>
      <c r="H56" s="277" t="e">
        <f>-ROUNDDOWN(J55*#REF!,0)</f>
        <v>#REF!</v>
      </c>
      <c r="I56" s="277">
        <v>0</v>
      </c>
      <c r="J56" s="278">
        <f t="shared" si="9"/>
        <v>160000000</v>
      </c>
      <c r="K56" s="1694"/>
      <c r="L56" s="1694"/>
      <c r="M56" s="1694"/>
      <c r="O56" s="276">
        <f t="shared" si="15"/>
        <v>47</v>
      </c>
      <c r="P56" s="277" t="e">
        <f t="shared" si="1"/>
        <v>#REF!</v>
      </c>
      <c r="Q56" s="277" t="e">
        <f>-S55*#REF!</f>
        <v>#REF!</v>
      </c>
      <c r="R56" s="277">
        <v>0</v>
      </c>
      <c r="S56" s="278">
        <f t="shared" si="10"/>
        <v>510000000</v>
      </c>
      <c r="T56" s="1694"/>
      <c r="U56" s="1694"/>
      <c r="V56" s="1694"/>
      <c r="X56" s="276">
        <f t="shared" si="16"/>
        <v>47</v>
      </c>
      <c r="Y56" s="277" t="e">
        <f t="shared" si="2"/>
        <v>#REF!</v>
      </c>
      <c r="Z56" s="277" t="e">
        <f>-AB55*#REF!</f>
        <v>#REF!</v>
      </c>
      <c r="AA56" s="277">
        <v>0</v>
      </c>
      <c r="AB56" s="278">
        <f t="shared" si="11"/>
        <v>170000000</v>
      </c>
      <c r="AC56" s="1694"/>
      <c r="AD56" s="1694"/>
      <c r="AE56" s="1694"/>
      <c r="AG56" s="1709"/>
      <c r="AH56" s="1709"/>
      <c r="AI56" s="1709"/>
      <c r="AK56" s="276">
        <f t="shared" si="17"/>
        <v>47</v>
      </c>
      <c r="AL56" s="277" t="e">
        <f t="shared" si="3"/>
        <v>#REF!</v>
      </c>
      <c r="AM56" s="277" t="e">
        <f>-AO55*#REF!</f>
        <v>#REF!</v>
      </c>
      <c r="AN56" s="277">
        <f t="shared" si="29"/>
        <v>0</v>
      </c>
      <c r="AO56" s="278">
        <f t="shared" si="24"/>
        <v>660720302</v>
      </c>
      <c r="AP56" s="1694"/>
      <c r="AQ56" s="1694"/>
      <c r="AR56" s="1694"/>
      <c r="AS56" s="1715"/>
      <c r="AU56" s="276">
        <f t="shared" si="19"/>
        <v>41</v>
      </c>
      <c r="AV56" s="349">
        <f>SUM(AW56:AX56)</f>
        <v>-1050022.78</v>
      </c>
      <c r="AW56" s="349">
        <f>-1006555.77-43467.01</f>
        <v>-1050022.78</v>
      </c>
      <c r="AX56" s="277">
        <v>0</v>
      </c>
      <c r="AY56" s="349">
        <v>34480000</v>
      </c>
      <c r="AZ56" s="353">
        <f t="shared" si="21"/>
        <v>660720302</v>
      </c>
      <c r="BA56" s="421">
        <v>2.1503600000000001E-2</v>
      </c>
      <c r="BB56" s="279">
        <f>BB7</f>
        <v>0.01</v>
      </c>
      <c r="BC56" s="1694"/>
      <c r="BD56" s="563">
        <f>-AZ55*BB56/12</f>
        <v>-521866.91833333339</v>
      </c>
      <c r="BE56" s="1694"/>
      <c r="BF56" s="1694"/>
      <c r="BH56" s="349">
        <f>SUM(BI56:BJ56)</f>
        <v>0</v>
      </c>
      <c r="BI56" s="349">
        <v>0</v>
      </c>
      <c r="BJ56" s="277">
        <v>0</v>
      </c>
      <c r="BK56" s="277">
        <v>0</v>
      </c>
      <c r="BL56" s="278">
        <f t="shared" ref="BL56:BL87" si="30">SUM(BJ56:BK56)+BL55</f>
        <v>0</v>
      </c>
      <c r="BM56" s="278"/>
      <c r="BN56" s="279">
        <f>BB56</f>
        <v>0.01</v>
      </c>
      <c r="BO56" s="1694"/>
      <c r="BP56" s="563"/>
      <c r="BQ56" s="1694"/>
      <c r="BR56" s="1694"/>
    </row>
    <row r="57" spans="1:70" ht="15">
      <c r="A57" s="273" t="s">
        <v>521</v>
      </c>
      <c r="B57" s="274">
        <v>2019</v>
      </c>
      <c r="C57" s="274"/>
      <c r="D57" s="274"/>
      <c r="E57" s="275">
        <f t="shared" si="18"/>
        <v>684331302</v>
      </c>
      <c r="F57" s="276">
        <f t="shared" si="14"/>
        <v>48</v>
      </c>
      <c r="G57" s="277" t="e">
        <f t="shared" si="8"/>
        <v>#REF!</v>
      </c>
      <c r="H57" s="277" t="e">
        <f>-ROUNDDOWN(J56*#REF!,0)</f>
        <v>#REF!</v>
      </c>
      <c r="I57" s="277">
        <v>0</v>
      </c>
      <c r="J57" s="278">
        <f t="shared" si="9"/>
        <v>160000000</v>
      </c>
      <c r="K57" s="1694"/>
      <c r="L57" s="1694"/>
      <c r="M57" s="1694"/>
      <c r="O57" s="276">
        <f t="shared" si="15"/>
        <v>48</v>
      </c>
      <c r="P57" s="277" t="e">
        <f t="shared" si="1"/>
        <v>#REF!</v>
      </c>
      <c r="Q57" s="277" t="e">
        <f>-S56*#REF!</f>
        <v>#REF!</v>
      </c>
      <c r="R57" s="277">
        <v>0</v>
      </c>
      <c r="S57" s="278">
        <f t="shared" si="10"/>
        <v>510000000</v>
      </c>
      <c r="T57" s="1694"/>
      <c r="U57" s="1694"/>
      <c r="V57" s="1694"/>
      <c r="X57" s="276">
        <f t="shared" si="16"/>
        <v>48</v>
      </c>
      <c r="Y57" s="277" t="e">
        <f t="shared" si="2"/>
        <v>#REF!</v>
      </c>
      <c r="Z57" s="277" t="e">
        <f>-AB56*#REF!</f>
        <v>#REF!</v>
      </c>
      <c r="AA57" s="277">
        <v>0</v>
      </c>
      <c r="AB57" s="278">
        <f t="shared" si="11"/>
        <v>170000000</v>
      </c>
      <c r="AC57" s="1694"/>
      <c r="AD57" s="1694"/>
      <c r="AE57" s="1694"/>
      <c r="AG57" s="1709"/>
      <c r="AH57" s="1709"/>
      <c r="AI57" s="1709"/>
      <c r="AK57" s="276">
        <f t="shared" si="17"/>
        <v>48</v>
      </c>
      <c r="AL57" s="277" t="e">
        <f t="shared" si="3"/>
        <v>#REF!</v>
      </c>
      <c r="AM57" s="277" t="e">
        <f>-AO56*#REF!</f>
        <v>#REF!</v>
      </c>
      <c r="AN57" s="277">
        <f t="shared" si="29"/>
        <v>0</v>
      </c>
      <c r="AO57" s="278">
        <f>E57</f>
        <v>684331302</v>
      </c>
      <c r="AP57" s="1694"/>
      <c r="AQ57" s="1694"/>
      <c r="AR57" s="1694"/>
      <c r="AS57" s="1715"/>
      <c r="AU57" s="276">
        <f t="shared" si="19"/>
        <v>42</v>
      </c>
      <c r="AV57" s="277">
        <f t="shared" si="13"/>
        <v>-1089918.42</v>
      </c>
      <c r="AW57" s="423">
        <v>-1089918.42</v>
      </c>
      <c r="AX57" s="277">
        <v>0</v>
      </c>
      <c r="AY57" s="423">
        <v>23611000</v>
      </c>
      <c r="AZ57" s="278">
        <f t="shared" si="21"/>
        <v>684331302</v>
      </c>
      <c r="BA57" s="421">
        <v>2.82857E-2</v>
      </c>
      <c r="BB57" s="279">
        <f>BB56</f>
        <v>0.01</v>
      </c>
      <c r="BC57" s="1694"/>
      <c r="BD57" s="563">
        <f t="shared" ref="BD57:BD120" si="31">-AZ56*BB57/12</f>
        <v>-550600.25166666671</v>
      </c>
      <c r="BE57" s="1694"/>
      <c r="BF57" s="1694"/>
      <c r="BH57" s="277">
        <f t="shared" ref="BH57:BH120" si="32">SUM(BI57:BJ57)</f>
        <v>0</v>
      </c>
      <c r="BI57" s="277">
        <f t="shared" ref="BI57:BI108" si="33">-BL56*BM56/12</f>
        <v>0</v>
      </c>
      <c r="BJ57" s="277">
        <v>0</v>
      </c>
      <c r="BK57" s="277">
        <v>0</v>
      </c>
      <c r="BL57" s="278">
        <f t="shared" si="30"/>
        <v>0</v>
      </c>
      <c r="BM57" s="278"/>
      <c r="BN57" s="279">
        <f>BN56</f>
        <v>0.01</v>
      </c>
      <c r="BO57" s="1694"/>
      <c r="BP57" s="563"/>
      <c r="BQ57" s="1694"/>
      <c r="BR57" s="1694"/>
    </row>
    <row r="58" spans="1:70" ht="15">
      <c r="A58" s="270" t="s">
        <v>510</v>
      </c>
      <c r="B58" s="266">
        <v>2019</v>
      </c>
      <c r="C58" s="266"/>
      <c r="D58" s="266"/>
      <c r="E58" s="265">
        <f t="shared" si="18"/>
        <v>700461302</v>
      </c>
      <c r="F58" s="267">
        <f t="shared" si="14"/>
        <v>49</v>
      </c>
      <c r="G58" s="268" t="e">
        <f t="shared" si="8"/>
        <v>#REF!</v>
      </c>
      <c r="H58" s="268" t="e">
        <f>-ROUNDDOWN(J57*#REF!,0)</f>
        <v>#REF!</v>
      </c>
      <c r="I58" s="268" t="e">
        <f>IF(ROUNDDOWN(J57,0)=0,0,-#REF!)</f>
        <v>#REF!</v>
      </c>
      <c r="J58" s="269" t="e">
        <f t="shared" si="9"/>
        <v>#REF!</v>
      </c>
      <c r="K58" s="1695" t="s">
        <v>4</v>
      </c>
      <c r="L58" s="1695" t="e">
        <f>SUM(H58:H69)</f>
        <v>#REF!</v>
      </c>
      <c r="M58" s="1695" t="e">
        <f>SUM(I58:I69)</f>
        <v>#REF!</v>
      </c>
      <c r="O58" s="267">
        <f t="shared" si="15"/>
        <v>49</v>
      </c>
      <c r="P58" s="268" t="e">
        <f t="shared" si="1"/>
        <v>#REF!</v>
      </c>
      <c r="Q58" s="268" t="e">
        <f>-S57*#REF!</f>
        <v>#REF!</v>
      </c>
      <c r="R58" s="268">
        <v>0</v>
      </c>
      <c r="S58" s="269">
        <f t="shared" si="10"/>
        <v>510000000</v>
      </c>
      <c r="T58" s="1695" t="s">
        <v>4</v>
      </c>
      <c r="U58" s="1695" t="e">
        <f>SUM(Q58:Q69)</f>
        <v>#REF!</v>
      </c>
      <c r="V58" s="1695">
        <f>SUM(R58:R69)</f>
        <v>0</v>
      </c>
      <c r="X58" s="267">
        <f t="shared" si="16"/>
        <v>49</v>
      </c>
      <c r="Y58" s="268" t="e">
        <f t="shared" si="2"/>
        <v>#REF!</v>
      </c>
      <c r="Z58" s="268" t="e">
        <f>-AB57*#REF!</f>
        <v>#REF!</v>
      </c>
      <c r="AA58" s="268">
        <v>0</v>
      </c>
      <c r="AB58" s="269">
        <f t="shared" si="11"/>
        <v>170000000</v>
      </c>
      <c r="AC58" s="1695" t="s">
        <v>4</v>
      </c>
      <c r="AD58" s="1695" t="e">
        <f>SUM(Z58:Z69)</f>
        <v>#REF!</v>
      </c>
      <c r="AE58" s="1695">
        <f>SUM(AA58:AA69)</f>
        <v>0</v>
      </c>
      <c r="AG58" s="1710" t="s">
        <v>4</v>
      </c>
      <c r="AH58" s="1710" t="e">
        <f>L58+U58+AD58</f>
        <v>#REF!</v>
      </c>
      <c r="AI58" s="1710" t="e">
        <f>M58+V58+AE58</f>
        <v>#REF!</v>
      </c>
      <c r="AK58" s="267">
        <f t="shared" si="17"/>
        <v>49</v>
      </c>
      <c r="AL58" s="268" t="e">
        <f t="shared" si="3"/>
        <v>#REF!</v>
      </c>
      <c r="AM58" s="268" t="e">
        <f>-AO57*#REF!</f>
        <v>#REF!</v>
      </c>
      <c r="AN58" s="268" t="e">
        <f>$AR$58/12</f>
        <v>#REF!</v>
      </c>
      <c r="AO58" s="269" t="e">
        <f>AN58+AO57</f>
        <v>#REF!</v>
      </c>
      <c r="AP58" s="1695" t="s">
        <v>4</v>
      </c>
      <c r="AQ58" s="1695" t="e">
        <f>SUM(AM58:AM69)</f>
        <v>#REF!</v>
      </c>
      <c r="AR58" s="1695" t="e">
        <f>-AS58*#REF!</f>
        <v>#REF!</v>
      </c>
      <c r="AS58" s="1711">
        <v>0.05</v>
      </c>
      <c r="AU58" s="267">
        <f t="shared" si="19"/>
        <v>43</v>
      </c>
      <c r="AV58" s="268">
        <f t="shared" si="13"/>
        <v>-1697034</v>
      </c>
      <c r="AW58" s="424">
        <v>-1697034</v>
      </c>
      <c r="AX58" s="424">
        <v>0</v>
      </c>
      <c r="AY58" s="424">
        <v>16130000</v>
      </c>
      <c r="AZ58" s="269">
        <f t="shared" si="21"/>
        <v>700461302</v>
      </c>
      <c r="BA58" s="422">
        <v>3.2660700000000001E-2</v>
      </c>
      <c r="BB58" s="272">
        <f>BB57</f>
        <v>0.01</v>
      </c>
      <c r="BC58" s="1695" t="s">
        <v>4</v>
      </c>
      <c r="BD58" s="565">
        <f t="shared" si="31"/>
        <v>-570276.08500000008</v>
      </c>
      <c r="BE58" s="1695">
        <f>SUM(AW58:AW69)</f>
        <v>-23663446</v>
      </c>
      <c r="BF58" s="1695">
        <f>SUM(AX58:AY69)</f>
        <v>110277000</v>
      </c>
      <c r="BH58" s="268">
        <f t="shared" si="32"/>
        <v>0</v>
      </c>
      <c r="BI58" s="268">
        <f t="shared" si="33"/>
        <v>0</v>
      </c>
      <c r="BJ58" s="268">
        <v>0</v>
      </c>
      <c r="BK58" s="268">
        <v>0</v>
      </c>
      <c r="BL58" s="269">
        <f t="shared" si="30"/>
        <v>0</v>
      </c>
      <c r="BM58" s="272">
        <f>BJ5</f>
        <v>4.0515499999999996E-2</v>
      </c>
      <c r="BN58" s="272">
        <f>BN57</f>
        <v>0.01</v>
      </c>
      <c r="BO58" s="1695" t="s">
        <v>4</v>
      </c>
      <c r="BP58" s="565"/>
      <c r="BQ58" s="1695">
        <f>SUM(BI58:BI69)</f>
        <v>0</v>
      </c>
      <c r="BR58" s="1695">
        <f>SUM(BJ58:BK69)</f>
        <v>0</v>
      </c>
    </row>
    <row r="59" spans="1:70" ht="15">
      <c r="A59" s="270" t="s">
        <v>511</v>
      </c>
      <c r="B59" s="266">
        <v>2019</v>
      </c>
      <c r="C59" s="266"/>
      <c r="D59" s="266"/>
      <c r="E59" s="265">
        <f t="shared" si="18"/>
        <v>700461302</v>
      </c>
      <c r="F59" s="267">
        <f t="shared" si="14"/>
        <v>50</v>
      </c>
      <c r="G59" s="268" t="e">
        <f t="shared" si="8"/>
        <v>#REF!</v>
      </c>
      <c r="H59" s="268" t="e">
        <f>-ROUNDDOWN(J58*#REF!,0)</f>
        <v>#REF!</v>
      </c>
      <c r="I59" s="268" t="e">
        <f>IF(ROUNDDOWN(J58,0)=0,0,-#REF!)</f>
        <v>#REF!</v>
      </c>
      <c r="J59" s="269" t="e">
        <f t="shared" si="9"/>
        <v>#REF!</v>
      </c>
      <c r="K59" s="1695"/>
      <c r="L59" s="1695"/>
      <c r="M59" s="1695"/>
      <c r="O59" s="267">
        <f t="shared" si="15"/>
        <v>50</v>
      </c>
      <c r="P59" s="268" t="e">
        <f t="shared" si="1"/>
        <v>#REF!</v>
      </c>
      <c r="Q59" s="268" t="e">
        <f>-S58*#REF!</f>
        <v>#REF!</v>
      </c>
      <c r="R59" s="268">
        <v>0</v>
      </c>
      <c r="S59" s="269">
        <f t="shared" si="10"/>
        <v>510000000</v>
      </c>
      <c r="T59" s="1695"/>
      <c r="U59" s="1695"/>
      <c r="V59" s="1695"/>
      <c r="X59" s="267">
        <f t="shared" si="16"/>
        <v>50</v>
      </c>
      <c r="Y59" s="268" t="e">
        <f t="shared" si="2"/>
        <v>#REF!</v>
      </c>
      <c r="Z59" s="268" t="e">
        <f>-AB58*#REF!</f>
        <v>#REF!</v>
      </c>
      <c r="AA59" s="268">
        <v>0</v>
      </c>
      <c r="AB59" s="269">
        <f t="shared" si="11"/>
        <v>170000000</v>
      </c>
      <c r="AC59" s="1695"/>
      <c r="AD59" s="1695"/>
      <c r="AE59" s="1695"/>
      <c r="AG59" s="1710"/>
      <c r="AH59" s="1710"/>
      <c r="AI59" s="1710"/>
      <c r="AK59" s="267">
        <f t="shared" si="17"/>
        <v>50</v>
      </c>
      <c r="AL59" s="268" t="e">
        <f t="shared" si="3"/>
        <v>#REF!</v>
      </c>
      <c r="AM59" s="268" t="e">
        <f>-AO58*#REF!</f>
        <v>#REF!</v>
      </c>
      <c r="AN59" s="268" t="e">
        <f t="shared" ref="AN59:AN69" si="34">$AR$58/12</f>
        <v>#REF!</v>
      </c>
      <c r="AO59" s="269" t="e">
        <f t="shared" ref="AO59:AO122" si="35">AN59+AO58</f>
        <v>#REF!</v>
      </c>
      <c r="AP59" s="1695"/>
      <c r="AQ59" s="1695"/>
      <c r="AR59" s="1695"/>
      <c r="AS59" s="1711"/>
      <c r="AU59" s="267">
        <f t="shared" si="19"/>
        <v>44</v>
      </c>
      <c r="AV59" s="268">
        <f t="shared" si="13"/>
        <v>-1880347</v>
      </c>
      <c r="AW59" s="424">
        <v>-1880347</v>
      </c>
      <c r="AX59" s="424">
        <v>0</v>
      </c>
      <c r="AY59" s="424">
        <v>0</v>
      </c>
      <c r="AZ59" s="269">
        <f t="shared" si="21"/>
        <v>700461302</v>
      </c>
      <c r="BA59" s="422">
        <v>3.0675000000000001E-2</v>
      </c>
      <c r="BB59" s="272">
        <f t="shared" ref="BB59:BB74" si="36">BB58</f>
        <v>0.01</v>
      </c>
      <c r="BC59" s="1695"/>
      <c r="BD59" s="565">
        <f t="shared" si="31"/>
        <v>-583717.75166666671</v>
      </c>
      <c r="BE59" s="1695"/>
      <c r="BF59" s="1695"/>
      <c r="BH59" s="268">
        <f t="shared" si="32"/>
        <v>0</v>
      </c>
      <c r="BI59" s="268">
        <f t="shared" si="33"/>
        <v>0</v>
      </c>
      <c r="BJ59" s="268">
        <v>0</v>
      </c>
      <c r="BK59" s="268">
        <v>0</v>
      </c>
      <c r="BL59" s="269">
        <f t="shared" si="30"/>
        <v>0</v>
      </c>
      <c r="BM59" s="272">
        <f>BM58</f>
        <v>4.0515499999999996E-2</v>
      </c>
      <c r="BN59" s="272">
        <f>BN58</f>
        <v>0.01</v>
      </c>
      <c r="BO59" s="1695"/>
      <c r="BP59" s="565"/>
      <c r="BQ59" s="1695"/>
      <c r="BR59" s="1695"/>
    </row>
    <row r="60" spans="1:70" ht="15">
      <c r="A60" s="270" t="s">
        <v>512</v>
      </c>
      <c r="B60" s="266">
        <v>2019</v>
      </c>
      <c r="C60" s="266"/>
      <c r="D60" s="266"/>
      <c r="E60" s="265">
        <f t="shared" si="18"/>
        <v>718650302</v>
      </c>
      <c r="F60" s="267">
        <f t="shared" si="14"/>
        <v>51</v>
      </c>
      <c r="G60" s="268" t="e">
        <f t="shared" si="8"/>
        <v>#REF!</v>
      </c>
      <c r="H60" s="268" t="e">
        <f>-ROUNDDOWN(J59*#REF!,0)</f>
        <v>#REF!</v>
      </c>
      <c r="I60" s="268" t="e">
        <f>IF(ROUNDDOWN(J59,0)=0,0,-#REF!)</f>
        <v>#REF!</v>
      </c>
      <c r="J60" s="269" t="e">
        <f t="shared" si="9"/>
        <v>#REF!</v>
      </c>
      <c r="K60" s="1695"/>
      <c r="L60" s="1695"/>
      <c r="M60" s="1695"/>
      <c r="O60" s="267">
        <f t="shared" si="15"/>
        <v>51</v>
      </c>
      <c r="P60" s="268" t="e">
        <f t="shared" si="1"/>
        <v>#REF!</v>
      </c>
      <c r="Q60" s="268" t="e">
        <f>-S59*#REF!</f>
        <v>#REF!</v>
      </c>
      <c r="R60" s="268">
        <v>0</v>
      </c>
      <c r="S60" s="269">
        <f t="shared" si="10"/>
        <v>510000000</v>
      </c>
      <c r="T60" s="1695"/>
      <c r="U60" s="1695"/>
      <c r="V60" s="1695"/>
      <c r="X60" s="267">
        <f t="shared" si="16"/>
        <v>51</v>
      </c>
      <c r="Y60" s="268" t="e">
        <f t="shared" si="2"/>
        <v>#REF!</v>
      </c>
      <c r="Z60" s="268" t="e">
        <f>-AB59*#REF!</f>
        <v>#REF!</v>
      </c>
      <c r="AA60" s="268">
        <v>0</v>
      </c>
      <c r="AB60" s="269">
        <f t="shared" si="11"/>
        <v>170000000</v>
      </c>
      <c r="AC60" s="1695"/>
      <c r="AD60" s="1695"/>
      <c r="AE60" s="1695"/>
      <c r="AG60" s="1710"/>
      <c r="AH60" s="1710"/>
      <c r="AI60" s="1710"/>
      <c r="AK60" s="267">
        <f t="shared" si="17"/>
        <v>51</v>
      </c>
      <c r="AL60" s="268" t="e">
        <f t="shared" si="3"/>
        <v>#REF!</v>
      </c>
      <c r="AM60" s="268" t="e">
        <f>-AO59*#REF!</f>
        <v>#REF!</v>
      </c>
      <c r="AN60" s="268" t="e">
        <f t="shared" si="34"/>
        <v>#REF!</v>
      </c>
      <c r="AO60" s="269" t="e">
        <f t="shared" si="35"/>
        <v>#REF!</v>
      </c>
      <c r="AP60" s="1695"/>
      <c r="AQ60" s="1695"/>
      <c r="AR60" s="1695"/>
      <c r="AS60" s="1711"/>
      <c r="AU60" s="267">
        <f t="shared" si="19"/>
        <v>45</v>
      </c>
      <c r="AV60" s="268">
        <f t="shared" si="13"/>
        <v>-1766026</v>
      </c>
      <c r="AW60" s="424">
        <v>-1766026</v>
      </c>
      <c r="AX60" s="424">
        <v>0</v>
      </c>
      <c r="AY60" s="424">
        <v>18189000</v>
      </c>
      <c r="AZ60" s="269">
        <f t="shared" si="21"/>
        <v>718650302</v>
      </c>
      <c r="BA60" s="422">
        <v>3.6810700000000002E-2</v>
      </c>
      <c r="BB60" s="272">
        <f t="shared" si="36"/>
        <v>0.01</v>
      </c>
      <c r="BC60" s="1695"/>
      <c r="BD60" s="565">
        <f t="shared" si="31"/>
        <v>-583717.75166666671</v>
      </c>
      <c r="BE60" s="1695"/>
      <c r="BF60" s="1695"/>
      <c r="BH60" s="268">
        <f t="shared" si="32"/>
        <v>0</v>
      </c>
      <c r="BI60" s="268">
        <f t="shared" si="33"/>
        <v>0</v>
      </c>
      <c r="BJ60" s="268">
        <v>0</v>
      </c>
      <c r="BK60" s="268">
        <v>0</v>
      </c>
      <c r="BL60" s="269">
        <f t="shared" si="30"/>
        <v>0</v>
      </c>
      <c r="BM60" s="272">
        <f t="shared" ref="BM60:BN70" si="37">BM59</f>
        <v>4.0515499999999996E-2</v>
      </c>
      <c r="BN60" s="272">
        <f t="shared" si="37"/>
        <v>0.01</v>
      </c>
      <c r="BO60" s="1695"/>
      <c r="BP60" s="565"/>
      <c r="BQ60" s="1695"/>
      <c r="BR60" s="1695"/>
    </row>
    <row r="61" spans="1:70" ht="15">
      <c r="A61" s="270" t="s">
        <v>513</v>
      </c>
      <c r="B61" s="266">
        <v>2019</v>
      </c>
      <c r="C61" s="266"/>
      <c r="D61" s="266"/>
      <c r="E61" s="265">
        <f t="shared" si="18"/>
        <v>718650302</v>
      </c>
      <c r="F61" s="267">
        <f t="shared" si="14"/>
        <v>52</v>
      </c>
      <c r="G61" s="268" t="e">
        <f t="shared" si="8"/>
        <v>#REF!</v>
      </c>
      <c r="H61" s="268" t="e">
        <f>-ROUNDDOWN(J60*#REF!,0)</f>
        <v>#REF!</v>
      </c>
      <c r="I61" s="268" t="e">
        <f>IF(ROUNDDOWN(J60,0)=0,0,-#REF!)</f>
        <v>#REF!</v>
      </c>
      <c r="J61" s="269" t="e">
        <f t="shared" si="9"/>
        <v>#REF!</v>
      </c>
      <c r="K61" s="1695"/>
      <c r="L61" s="1695"/>
      <c r="M61" s="1695"/>
      <c r="O61" s="267">
        <f t="shared" si="15"/>
        <v>52</v>
      </c>
      <c r="P61" s="268" t="e">
        <f t="shared" si="1"/>
        <v>#REF!</v>
      </c>
      <c r="Q61" s="268" t="e">
        <f>-S60*#REF!</f>
        <v>#REF!</v>
      </c>
      <c r="R61" s="268">
        <v>0</v>
      </c>
      <c r="S61" s="269">
        <f t="shared" si="10"/>
        <v>510000000</v>
      </c>
      <c r="T61" s="1695"/>
      <c r="U61" s="1695"/>
      <c r="V61" s="1695"/>
      <c r="X61" s="267">
        <f t="shared" si="16"/>
        <v>52</v>
      </c>
      <c r="Y61" s="268" t="e">
        <f t="shared" si="2"/>
        <v>#REF!</v>
      </c>
      <c r="Z61" s="268" t="e">
        <f>-AB60*#REF!</f>
        <v>#REF!</v>
      </c>
      <c r="AA61" s="268">
        <v>0</v>
      </c>
      <c r="AB61" s="269">
        <f t="shared" si="11"/>
        <v>170000000</v>
      </c>
      <c r="AC61" s="1695"/>
      <c r="AD61" s="1695"/>
      <c r="AE61" s="1695"/>
      <c r="AG61" s="1710"/>
      <c r="AH61" s="1710"/>
      <c r="AI61" s="1710"/>
      <c r="AK61" s="267">
        <f t="shared" si="17"/>
        <v>52</v>
      </c>
      <c r="AL61" s="268" t="e">
        <f t="shared" si="3"/>
        <v>#REF!</v>
      </c>
      <c r="AM61" s="268" t="e">
        <f>-AO60*#REF!</f>
        <v>#REF!</v>
      </c>
      <c r="AN61" s="268" t="e">
        <f t="shared" si="34"/>
        <v>#REF!</v>
      </c>
      <c r="AO61" s="269" t="e">
        <f t="shared" si="35"/>
        <v>#REF!</v>
      </c>
      <c r="AP61" s="1695"/>
      <c r="AQ61" s="1695"/>
      <c r="AR61" s="1695"/>
      <c r="AS61" s="1711"/>
      <c r="AU61" s="267">
        <f t="shared" si="19"/>
        <v>46</v>
      </c>
      <c r="AV61" s="268">
        <f t="shared" si="13"/>
        <v>-2246780</v>
      </c>
      <c r="AW61" s="424">
        <v>-2246780</v>
      </c>
      <c r="AX61" s="424">
        <v>0</v>
      </c>
      <c r="AY61" s="424">
        <v>0</v>
      </c>
      <c r="AZ61" s="269">
        <f t="shared" si="21"/>
        <v>718650302</v>
      </c>
      <c r="BA61" s="422">
        <v>3.1074999999999998E-2</v>
      </c>
      <c r="BB61" s="272">
        <f t="shared" si="36"/>
        <v>0.01</v>
      </c>
      <c r="BC61" s="1695"/>
      <c r="BD61" s="565">
        <f t="shared" si="31"/>
        <v>-598875.25166666671</v>
      </c>
      <c r="BE61" s="1695"/>
      <c r="BF61" s="1695"/>
      <c r="BH61" s="268">
        <f t="shared" si="32"/>
        <v>0</v>
      </c>
      <c r="BI61" s="268">
        <f t="shared" si="33"/>
        <v>0</v>
      </c>
      <c r="BJ61" s="268">
        <v>0</v>
      </c>
      <c r="BK61" s="268">
        <v>0</v>
      </c>
      <c r="BL61" s="269">
        <f t="shared" si="30"/>
        <v>0</v>
      </c>
      <c r="BM61" s="272">
        <f t="shared" si="37"/>
        <v>4.0515499999999996E-2</v>
      </c>
      <c r="BN61" s="272">
        <f t="shared" si="37"/>
        <v>0.01</v>
      </c>
      <c r="BO61" s="1695"/>
      <c r="BP61" s="565"/>
      <c r="BQ61" s="1695"/>
      <c r="BR61" s="1695"/>
    </row>
    <row r="62" spans="1:70" ht="15">
      <c r="A62" s="270" t="s">
        <v>514</v>
      </c>
      <c r="B62" s="266">
        <v>2019</v>
      </c>
      <c r="C62" s="266"/>
      <c r="D62" s="266"/>
      <c r="E62" s="265">
        <f t="shared" si="18"/>
        <v>718650302</v>
      </c>
      <c r="F62" s="267">
        <f t="shared" si="14"/>
        <v>53</v>
      </c>
      <c r="G62" s="268" t="e">
        <f t="shared" si="8"/>
        <v>#REF!</v>
      </c>
      <c r="H62" s="268" t="e">
        <f>-ROUNDDOWN(J61*#REF!,0)</f>
        <v>#REF!</v>
      </c>
      <c r="I62" s="268" t="e">
        <f>IF(ROUNDDOWN(J61,0)=0,0,-#REF!)</f>
        <v>#REF!</v>
      </c>
      <c r="J62" s="269" t="e">
        <f t="shared" si="9"/>
        <v>#REF!</v>
      </c>
      <c r="K62" s="1695"/>
      <c r="L62" s="1695"/>
      <c r="M62" s="1695"/>
      <c r="O62" s="267">
        <f t="shared" si="15"/>
        <v>53</v>
      </c>
      <c r="P62" s="268" t="e">
        <f t="shared" si="1"/>
        <v>#REF!</v>
      </c>
      <c r="Q62" s="268" t="e">
        <f>-S61*#REF!</f>
        <v>#REF!</v>
      </c>
      <c r="R62" s="268">
        <v>0</v>
      </c>
      <c r="S62" s="269">
        <f t="shared" si="10"/>
        <v>510000000</v>
      </c>
      <c r="T62" s="1695"/>
      <c r="U62" s="1695"/>
      <c r="V62" s="1695"/>
      <c r="X62" s="267">
        <f t="shared" si="16"/>
        <v>53</v>
      </c>
      <c r="Y62" s="268" t="e">
        <f t="shared" si="2"/>
        <v>#REF!</v>
      </c>
      <c r="Z62" s="268" t="e">
        <f>-AB61*#REF!</f>
        <v>#REF!</v>
      </c>
      <c r="AA62" s="268">
        <v>0</v>
      </c>
      <c r="AB62" s="269">
        <f t="shared" si="11"/>
        <v>170000000</v>
      </c>
      <c r="AC62" s="1695"/>
      <c r="AD62" s="1695"/>
      <c r="AE62" s="1695"/>
      <c r="AG62" s="1710"/>
      <c r="AH62" s="1710"/>
      <c r="AI62" s="1710"/>
      <c r="AK62" s="267">
        <f t="shared" si="17"/>
        <v>53</v>
      </c>
      <c r="AL62" s="268" t="e">
        <f t="shared" si="3"/>
        <v>#REF!</v>
      </c>
      <c r="AM62" s="268" t="e">
        <f>-AO61*#REF!</f>
        <v>#REF!</v>
      </c>
      <c r="AN62" s="268" t="e">
        <f t="shared" si="34"/>
        <v>#REF!</v>
      </c>
      <c r="AO62" s="269" t="e">
        <f t="shared" si="35"/>
        <v>#REF!</v>
      </c>
      <c r="AP62" s="1695"/>
      <c r="AQ62" s="1695"/>
      <c r="AR62" s="1695"/>
      <c r="AS62" s="1711"/>
      <c r="AU62" s="267">
        <f t="shared" si="19"/>
        <v>47</v>
      </c>
      <c r="AV62" s="268">
        <f t="shared" si="13"/>
        <v>-1896695</v>
      </c>
      <c r="AW62" s="424">
        <v>-1896695</v>
      </c>
      <c r="AX62" s="424">
        <v>0</v>
      </c>
      <c r="AY62" s="424">
        <v>0</v>
      </c>
      <c r="AZ62" s="269">
        <f t="shared" si="21"/>
        <v>718650302</v>
      </c>
      <c r="BA62" s="422">
        <v>3.0578600000000001E-2</v>
      </c>
      <c r="BB62" s="272">
        <f t="shared" si="36"/>
        <v>0.01</v>
      </c>
      <c r="BC62" s="1695"/>
      <c r="BD62" s="565">
        <f t="shared" si="31"/>
        <v>-598875.25166666671</v>
      </c>
      <c r="BE62" s="1695"/>
      <c r="BF62" s="1695"/>
      <c r="BH62" s="268">
        <f t="shared" si="32"/>
        <v>0</v>
      </c>
      <c r="BI62" s="268">
        <f t="shared" si="33"/>
        <v>0</v>
      </c>
      <c r="BJ62" s="268">
        <v>0</v>
      </c>
      <c r="BK62" s="268">
        <v>0</v>
      </c>
      <c r="BL62" s="269">
        <f t="shared" si="30"/>
        <v>0</v>
      </c>
      <c r="BM62" s="272">
        <f t="shared" si="37"/>
        <v>4.0515499999999996E-2</v>
      </c>
      <c r="BN62" s="272">
        <f t="shared" si="37"/>
        <v>0.01</v>
      </c>
      <c r="BO62" s="1695"/>
      <c r="BP62" s="565"/>
      <c r="BQ62" s="1695"/>
      <c r="BR62" s="1695"/>
    </row>
    <row r="63" spans="1:70" ht="15">
      <c r="A63" s="270" t="s">
        <v>515</v>
      </c>
      <c r="B63" s="266">
        <v>2019</v>
      </c>
      <c r="C63" s="266"/>
      <c r="D63" s="266"/>
      <c r="E63" s="265">
        <f t="shared" si="18"/>
        <v>754086302</v>
      </c>
      <c r="F63" s="267">
        <f t="shared" si="14"/>
        <v>54</v>
      </c>
      <c r="G63" s="268" t="e">
        <f t="shared" si="8"/>
        <v>#REF!</v>
      </c>
      <c r="H63" s="268" t="e">
        <f>-ROUNDDOWN(J62*#REF!,0)</f>
        <v>#REF!</v>
      </c>
      <c r="I63" s="268" t="e">
        <f>IF(ROUNDDOWN(J62,0)=0,0,-#REF!)</f>
        <v>#REF!</v>
      </c>
      <c r="J63" s="269" t="e">
        <f t="shared" si="9"/>
        <v>#REF!</v>
      </c>
      <c r="K63" s="1695"/>
      <c r="L63" s="1695"/>
      <c r="M63" s="1695"/>
      <c r="O63" s="267">
        <f t="shared" si="15"/>
        <v>54</v>
      </c>
      <c r="P63" s="268" t="e">
        <f t="shared" si="1"/>
        <v>#REF!</v>
      </c>
      <c r="Q63" s="268" t="e">
        <f>-S62*#REF!</f>
        <v>#REF!</v>
      </c>
      <c r="R63" s="268">
        <v>0</v>
      </c>
      <c r="S63" s="269">
        <f t="shared" si="10"/>
        <v>510000000</v>
      </c>
      <c r="T63" s="1695"/>
      <c r="U63" s="1695"/>
      <c r="V63" s="1695"/>
      <c r="X63" s="267">
        <f t="shared" si="16"/>
        <v>54</v>
      </c>
      <c r="Y63" s="268" t="e">
        <f t="shared" si="2"/>
        <v>#REF!</v>
      </c>
      <c r="Z63" s="268" t="e">
        <f>-AB62*#REF!</f>
        <v>#REF!</v>
      </c>
      <c r="AA63" s="268">
        <v>0</v>
      </c>
      <c r="AB63" s="269">
        <f t="shared" si="11"/>
        <v>170000000</v>
      </c>
      <c r="AC63" s="1695"/>
      <c r="AD63" s="1695"/>
      <c r="AE63" s="1695"/>
      <c r="AG63" s="1710"/>
      <c r="AH63" s="1710"/>
      <c r="AI63" s="1710"/>
      <c r="AK63" s="267">
        <f t="shared" si="17"/>
        <v>54</v>
      </c>
      <c r="AL63" s="268" t="e">
        <f t="shared" si="3"/>
        <v>#REF!</v>
      </c>
      <c r="AM63" s="268" t="e">
        <f>-AO62*#REF!</f>
        <v>#REF!</v>
      </c>
      <c r="AN63" s="268" t="e">
        <f t="shared" si="34"/>
        <v>#REF!</v>
      </c>
      <c r="AO63" s="269" t="e">
        <f t="shared" si="35"/>
        <v>#REF!</v>
      </c>
      <c r="AP63" s="1695"/>
      <c r="AQ63" s="1695"/>
      <c r="AR63" s="1695"/>
      <c r="AS63" s="1711"/>
      <c r="AU63" s="267">
        <f t="shared" si="19"/>
        <v>48</v>
      </c>
      <c r="AV63" s="268">
        <f t="shared" si="13"/>
        <v>-1926603</v>
      </c>
      <c r="AW63" s="424">
        <v>-1926603</v>
      </c>
      <c r="AX63" s="424">
        <v>0</v>
      </c>
      <c r="AY63" s="424">
        <v>35436000</v>
      </c>
      <c r="AZ63" s="269">
        <f t="shared" si="21"/>
        <v>754086302</v>
      </c>
      <c r="BA63" s="422">
        <v>3.03357E-2</v>
      </c>
      <c r="BB63" s="272">
        <f t="shared" si="36"/>
        <v>0.01</v>
      </c>
      <c r="BC63" s="1695"/>
      <c r="BD63" s="565">
        <f t="shared" si="31"/>
        <v>-598875.25166666671</v>
      </c>
      <c r="BE63" s="1695"/>
      <c r="BF63" s="1695"/>
      <c r="BH63" s="268">
        <f t="shared" si="32"/>
        <v>0</v>
      </c>
      <c r="BI63" s="268">
        <f t="shared" si="33"/>
        <v>0</v>
      </c>
      <c r="BJ63" s="268">
        <v>0</v>
      </c>
      <c r="BK63" s="268">
        <v>0</v>
      </c>
      <c r="BL63" s="269">
        <f t="shared" si="30"/>
        <v>0</v>
      </c>
      <c r="BM63" s="272">
        <f t="shared" si="37"/>
        <v>4.0515499999999996E-2</v>
      </c>
      <c r="BN63" s="272">
        <f t="shared" si="37"/>
        <v>0.01</v>
      </c>
      <c r="BO63" s="1695"/>
      <c r="BP63" s="565"/>
      <c r="BQ63" s="1695"/>
      <c r="BR63" s="1695"/>
    </row>
    <row r="64" spans="1:70" ht="15">
      <c r="A64" s="270" t="s">
        <v>516</v>
      </c>
      <c r="B64" s="266">
        <v>2019</v>
      </c>
      <c r="C64" s="266"/>
      <c r="D64" s="266"/>
      <c r="E64" s="265">
        <f t="shared" si="18"/>
        <v>754086302</v>
      </c>
      <c r="F64" s="267">
        <f t="shared" si="14"/>
        <v>55</v>
      </c>
      <c r="G64" s="268" t="e">
        <f t="shared" si="8"/>
        <v>#REF!</v>
      </c>
      <c r="H64" s="268" t="e">
        <f>-ROUNDDOWN(J63*#REF!,0)</f>
        <v>#REF!</v>
      </c>
      <c r="I64" s="268" t="e">
        <f>IF(ROUNDDOWN(J63,0)=0,0,-#REF!)</f>
        <v>#REF!</v>
      </c>
      <c r="J64" s="269" t="e">
        <f t="shared" si="9"/>
        <v>#REF!</v>
      </c>
      <c r="K64" s="1695"/>
      <c r="L64" s="1695"/>
      <c r="M64" s="1695"/>
      <c r="O64" s="267">
        <f t="shared" si="15"/>
        <v>55</v>
      </c>
      <c r="P64" s="268" t="e">
        <f t="shared" si="1"/>
        <v>#REF!</v>
      </c>
      <c r="Q64" s="268" t="e">
        <f>-S63*#REF!</f>
        <v>#REF!</v>
      </c>
      <c r="R64" s="268">
        <v>0</v>
      </c>
      <c r="S64" s="269">
        <f t="shared" si="10"/>
        <v>510000000</v>
      </c>
      <c r="T64" s="1695"/>
      <c r="U64" s="1695"/>
      <c r="V64" s="1695"/>
      <c r="X64" s="267">
        <f t="shared" si="16"/>
        <v>55</v>
      </c>
      <c r="Y64" s="268" t="e">
        <f t="shared" si="2"/>
        <v>#REF!</v>
      </c>
      <c r="Z64" s="268" t="e">
        <f>-AB63*#REF!</f>
        <v>#REF!</v>
      </c>
      <c r="AA64" s="268">
        <v>0</v>
      </c>
      <c r="AB64" s="269">
        <f t="shared" si="11"/>
        <v>170000000</v>
      </c>
      <c r="AC64" s="1695"/>
      <c r="AD64" s="1695"/>
      <c r="AE64" s="1695"/>
      <c r="AG64" s="1710"/>
      <c r="AH64" s="1710"/>
      <c r="AI64" s="1710"/>
      <c r="AK64" s="267">
        <f t="shared" si="17"/>
        <v>55</v>
      </c>
      <c r="AL64" s="268" t="e">
        <f t="shared" si="3"/>
        <v>#REF!</v>
      </c>
      <c r="AM64" s="268" t="e">
        <f>-AO63*#REF!</f>
        <v>#REF!</v>
      </c>
      <c r="AN64" s="268" t="e">
        <f t="shared" si="34"/>
        <v>#REF!</v>
      </c>
      <c r="AO64" s="269" t="e">
        <f t="shared" si="35"/>
        <v>#REF!</v>
      </c>
      <c r="AP64" s="1695"/>
      <c r="AQ64" s="1695"/>
      <c r="AR64" s="1695"/>
      <c r="AS64" s="1711"/>
      <c r="AU64" s="267">
        <f t="shared" si="19"/>
        <v>49</v>
      </c>
      <c r="AV64" s="268">
        <f t="shared" si="13"/>
        <v>-1880197</v>
      </c>
      <c r="AW64" s="424">
        <v>-1880197</v>
      </c>
      <c r="AX64" s="424">
        <v>0</v>
      </c>
      <c r="AY64" s="424">
        <v>0</v>
      </c>
      <c r="AZ64" s="269">
        <f t="shared" si="21"/>
        <v>754086302</v>
      </c>
      <c r="BA64" s="422">
        <v>2.9125000000000002E-2</v>
      </c>
      <c r="BB64" s="272">
        <f t="shared" si="36"/>
        <v>0.01</v>
      </c>
      <c r="BC64" s="1695"/>
      <c r="BD64" s="565">
        <f t="shared" si="31"/>
        <v>-628405.25166666671</v>
      </c>
      <c r="BE64" s="1695"/>
      <c r="BF64" s="1695"/>
      <c r="BH64" s="268">
        <f t="shared" si="32"/>
        <v>0</v>
      </c>
      <c r="BI64" s="268">
        <f t="shared" si="33"/>
        <v>0</v>
      </c>
      <c r="BJ64" s="268">
        <v>0</v>
      </c>
      <c r="BK64" s="268">
        <v>0</v>
      </c>
      <c r="BL64" s="269">
        <f t="shared" si="30"/>
        <v>0</v>
      </c>
      <c r="BM64" s="272">
        <f t="shared" si="37"/>
        <v>4.0515499999999996E-2</v>
      </c>
      <c r="BN64" s="272">
        <f t="shared" si="37"/>
        <v>0.01</v>
      </c>
      <c r="BO64" s="1695"/>
      <c r="BP64" s="565"/>
      <c r="BQ64" s="1695"/>
      <c r="BR64" s="1695"/>
    </row>
    <row r="65" spans="1:70" ht="15">
      <c r="A65" s="270" t="s">
        <v>517</v>
      </c>
      <c r="B65" s="266">
        <v>2019</v>
      </c>
      <c r="C65" s="266"/>
      <c r="D65" s="266"/>
      <c r="E65" s="265">
        <f t="shared" si="18"/>
        <v>754086302</v>
      </c>
      <c r="F65" s="267">
        <f t="shared" si="14"/>
        <v>56</v>
      </c>
      <c r="G65" s="268" t="e">
        <f t="shared" si="8"/>
        <v>#REF!</v>
      </c>
      <c r="H65" s="268" t="e">
        <f>-ROUNDDOWN(J64*#REF!,0)</f>
        <v>#REF!</v>
      </c>
      <c r="I65" s="268" t="e">
        <f>IF(ROUNDDOWN(J64,0)=0,0,-#REF!)</f>
        <v>#REF!</v>
      </c>
      <c r="J65" s="269" t="e">
        <f t="shared" si="9"/>
        <v>#REF!</v>
      </c>
      <c r="K65" s="1695"/>
      <c r="L65" s="1695"/>
      <c r="M65" s="1695"/>
      <c r="O65" s="267">
        <f t="shared" si="15"/>
        <v>56</v>
      </c>
      <c r="P65" s="268" t="e">
        <f t="shared" si="1"/>
        <v>#REF!</v>
      </c>
      <c r="Q65" s="268" t="e">
        <f>-S64*#REF!</f>
        <v>#REF!</v>
      </c>
      <c r="R65" s="268">
        <v>0</v>
      </c>
      <c r="S65" s="269">
        <f t="shared" si="10"/>
        <v>510000000</v>
      </c>
      <c r="T65" s="1695"/>
      <c r="U65" s="1695"/>
      <c r="V65" s="1695"/>
      <c r="X65" s="267">
        <f t="shared" si="16"/>
        <v>56</v>
      </c>
      <c r="Y65" s="268" t="e">
        <f t="shared" si="2"/>
        <v>#REF!</v>
      </c>
      <c r="Z65" s="268" t="e">
        <f>-AB64*#REF!</f>
        <v>#REF!</v>
      </c>
      <c r="AA65" s="268">
        <v>0</v>
      </c>
      <c r="AB65" s="269">
        <f t="shared" si="11"/>
        <v>170000000</v>
      </c>
      <c r="AC65" s="1695"/>
      <c r="AD65" s="1695"/>
      <c r="AE65" s="1695"/>
      <c r="AG65" s="1710"/>
      <c r="AH65" s="1710"/>
      <c r="AI65" s="1710"/>
      <c r="AK65" s="267">
        <f t="shared" si="17"/>
        <v>56</v>
      </c>
      <c r="AL65" s="268" t="e">
        <f t="shared" si="3"/>
        <v>#REF!</v>
      </c>
      <c r="AM65" s="268" t="e">
        <f>-AO64*#REF!</f>
        <v>#REF!</v>
      </c>
      <c r="AN65" s="268" t="e">
        <f t="shared" si="34"/>
        <v>#REF!</v>
      </c>
      <c r="AO65" s="269" t="e">
        <f t="shared" si="35"/>
        <v>#REF!</v>
      </c>
      <c r="AP65" s="1695"/>
      <c r="AQ65" s="1695"/>
      <c r="AR65" s="1695"/>
      <c r="AS65" s="1711"/>
      <c r="AU65" s="267">
        <f t="shared" si="19"/>
        <v>50</v>
      </c>
      <c r="AV65" s="268">
        <f t="shared" si="13"/>
        <v>-1805159</v>
      </c>
      <c r="AW65" s="424">
        <v>-1805159</v>
      </c>
      <c r="AX65" s="424">
        <v>0</v>
      </c>
      <c r="AY65" s="424">
        <v>0</v>
      </c>
      <c r="AZ65" s="269">
        <f t="shared" si="21"/>
        <v>754086302</v>
      </c>
      <c r="BA65" s="422">
        <v>3.3355999999999997E-2</v>
      </c>
      <c r="BB65" s="272">
        <f t="shared" si="36"/>
        <v>0.01</v>
      </c>
      <c r="BC65" s="1695"/>
      <c r="BD65" s="565">
        <f t="shared" si="31"/>
        <v>-628405.25166666671</v>
      </c>
      <c r="BE65" s="1695"/>
      <c r="BF65" s="1695"/>
      <c r="BH65" s="268">
        <f t="shared" si="32"/>
        <v>0</v>
      </c>
      <c r="BI65" s="268">
        <f t="shared" si="33"/>
        <v>0</v>
      </c>
      <c r="BJ65" s="268">
        <v>0</v>
      </c>
      <c r="BK65" s="268">
        <v>0</v>
      </c>
      <c r="BL65" s="269">
        <f t="shared" si="30"/>
        <v>0</v>
      </c>
      <c r="BM65" s="272">
        <f t="shared" si="37"/>
        <v>4.0515499999999996E-2</v>
      </c>
      <c r="BN65" s="272">
        <f t="shared" si="37"/>
        <v>0.01</v>
      </c>
      <c r="BO65" s="1695"/>
      <c r="BP65" s="565"/>
      <c r="BQ65" s="1695"/>
      <c r="BR65" s="1695"/>
    </row>
    <row r="66" spans="1:70" ht="15">
      <c r="A66" s="270" t="s">
        <v>518</v>
      </c>
      <c r="B66" s="266">
        <v>2019</v>
      </c>
      <c r="C66" s="266"/>
      <c r="D66" s="266"/>
      <c r="E66" s="265">
        <f t="shared" si="18"/>
        <v>773788302</v>
      </c>
      <c r="F66" s="267">
        <f t="shared" si="14"/>
        <v>57</v>
      </c>
      <c r="G66" s="268" t="e">
        <f t="shared" si="8"/>
        <v>#REF!</v>
      </c>
      <c r="H66" s="268" t="e">
        <f>-ROUNDDOWN(J65*#REF!,0)</f>
        <v>#REF!</v>
      </c>
      <c r="I66" s="268" t="e">
        <f>IF(ROUNDDOWN(J65,0)=0,0,-#REF!)</f>
        <v>#REF!</v>
      </c>
      <c r="J66" s="269" t="e">
        <f t="shared" si="9"/>
        <v>#REF!</v>
      </c>
      <c r="K66" s="1695"/>
      <c r="L66" s="1695"/>
      <c r="M66" s="1695"/>
      <c r="O66" s="267">
        <f t="shared" si="15"/>
        <v>57</v>
      </c>
      <c r="P66" s="268" t="e">
        <f t="shared" si="1"/>
        <v>#REF!</v>
      </c>
      <c r="Q66" s="268" t="e">
        <f>-S65*#REF!</f>
        <v>#REF!</v>
      </c>
      <c r="R66" s="268">
        <v>0</v>
      </c>
      <c r="S66" s="269">
        <f t="shared" si="10"/>
        <v>510000000</v>
      </c>
      <c r="T66" s="1695"/>
      <c r="U66" s="1695"/>
      <c r="V66" s="1695"/>
      <c r="X66" s="267">
        <f t="shared" si="16"/>
        <v>57</v>
      </c>
      <c r="Y66" s="268" t="e">
        <f t="shared" si="2"/>
        <v>#REF!</v>
      </c>
      <c r="Z66" s="268" t="e">
        <f>-AB65*#REF!</f>
        <v>#REF!</v>
      </c>
      <c r="AA66" s="268">
        <v>0</v>
      </c>
      <c r="AB66" s="269">
        <f t="shared" si="11"/>
        <v>170000000</v>
      </c>
      <c r="AC66" s="1695"/>
      <c r="AD66" s="1695"/>
      <c r="AE66" s="1695"/>
      <c r="AG66" s="1710"/>
      <c r="AH66" s="1710"/>
      <c r="AI66" s="1710"/>
      <c r="AK66" s="267">
        <f t="shared" si="17"/>
        <v>57</v>
      </c>
      <c r="AL66" s="268" t="e">
        <f t="shared" si="3"/>
        <v>#REF!</v>
      </c>
      <c r="AM66" s="268" t="e">
        <f>-AO65*#REF!</f>
        <v>#REF!</v>
      </c>
      <c r="AN66" s="268" t="e">
        <f t="shared" si="34"/>
        <v>#REF!</v>
      </c>
      <c r="AO66" s="269" t="e">
        <f t="shared" si="35"/>
        <v>#REF!</v>
      </c>
      <c r="AP66" s="1695"/>
      <c r="AQ66" s="1695"/>
      <c r="AR66" s="1695"/>
      <c r="AS66" s="1711"/>
      <c r="AU66" s="267">
        <f t="shared" si="19"/>
        <v>51</v>
      </c>
      <c r="AV66" s="268">
        <f t="shared" si="13"/>
        <v>-32205221</v>
      </c>
      <c r="AW66" s="424">
        <v>-2205221</v>
      </c>
      <c r="AX66" s="424">
        <v>-30000000</v>
      </c>
      <c r="AY66" s="424">
        <v>49702000</v>
      </c>
      <c r="AZ66" s="269">
        <f t="shared" si="21"/>
        <v>773788302</v>
      </c>
      <c r="BA66" s="422">
        <v>3.8161300000000002E-2</v>
      </c>
      <c r="BB66" s="272">
        <f t="shared" si="36"/>
        <v>0.01</v>
      </c>
      <c r="BC66" s="1695"/>
      <c r="BD66" s="565">
        <f t="shared" si="31"/>
        <v>-628405.25166666671</v>
      </c>
      <c r="BE66" s="1695"/>
      <c r="BF66" s="1695"/>
      <c r="BH66" s="268">
        <f t="shared" si="32"/>
        <v>0</v>
      </c>
      <c r="BI66" s="268">
        <f t="shared" si="33"/>
        <v>0</v>
      </c>
      <c r="BJ66" s="268">
        <v>0</v>
      </c>
      <c r="BK66" s="268">
        <v>0</v>
      </c>
      <c r="BL66" s="269">
        <f t="shared" si="30"/>
        <v>0</v>
      </c>
      <c r="BM66" s="272">
        <f t="shared" si="37"/>
        <v>4.0515499999999996E-2</v>
      </c>
      <c r="BN66" s="272">
        <f t="shared" si="37"/>
        <v>0.01</v>
      </c>
      <c r="BO66" s="1695"/>
      <c r="BP66" s="565"/>
      <c r="BQ66" s="1695"/>
      <c r="BR66" s="1695"/>
    </row>
    <row r="67" spans="1:70" ht="15">
      <c r="A67" s="270" t="s">
        <v>519</v>
      </c>
      <c r="B67" s="266">
        <v>2020</v>
      </c>
      <c r="C67" s="266"/>
      <c r="D67" s="266"/>
      <c r="E67" s="265">
        <f t="shared" si="18"/>
        <v>773788302</v>
      </c>
      <c r="F67" s="267">
        <f t="shared" si="14"/>
        <v>58</v>
      </c>
      <c r="G67" s="268" t="e">
        <f t="shared" si="8"/>
        <v>#REF!</v>
      </c>
      <c r="H67" s="268" t="e">
        <f>-ROUNDDOWN(J66*#REF!,0)</f>
        <v>#REF!</v>
      </c>
      <c r="I67" s="268" t="e">
        <f>IF(ROUNDDOWN(J66,0)=0,0,-#REF!)</f>
        <v>#REF!</v>
      </c>
      <c r="J67" s="269" t="e">
        <f t="shared" si="9"/>
        <v>#REF!</v>
      </c>
      <c r="K67" s="1695"/>
      <c r="L67" s="1695"/>
      <c r="M67" s="1695"/>
      <c r="O67" s="267">
        <f t="shared" si="15"/>
        <v>58</v>
      </c>
      <c r="P67" s="268" t="e">
        <f t="shared" si="1"/>
        <v>#REF!</v>
      </c>
      <c r="Q67" s="268" t="e">
        <f>-S66*#REF!</f>
        <v>#REF!</v>
      </c>
      <c r="R67" s="268">
        <v>0</v>
      </c>
      <c r="S67" s="269">
        <f t="shared" si="10"/>
        <v>510000000</v>
      </c>
      <c r="T67" s="1695"/>
      <c r="U67" s="1695"/>
      <c r="V67" s="1695"/>
      <c r="X67" s="267">
        <f t="shared" si="16"/>
        <v>58</v>
      </c>
      <c r="Y67" s="268" t="e">
        <f t="shared" si="2"/>
        <v>#REF!</v>
      </c>
      <c r="Z67" s="268" t="e">
        <f>-AB66*#REF!</f>
        <v>#REF!</v>
      </c>
      <c r="AA67" s="268">
        <v>0</v>
      </c>
      <c r="AB67" s="269">
        <f t="shared" si="11"/>
        <v>170000000</v>
      </c>
      <c r="AC67" s="1695"/>
      <c r="AD67" s="1695"/>
      <c r="AE67" s="1695"/>
      <c r="AG67" s="1710"/>
      <c r="AH67" s="1710"/>
      <c r="AI67" s="1710"/>
      <c r="AK67" s="267">
        <f t="shared" si="17"/>
        <v>58</v>
      </c>
      <c r="AL67" s="268" t="e">
        <f t="shared" si="3"/>
        <v>#REF!</v>
      </c>
      <c r="AM67" s="268" t="e">
        <f>-AO66*#REF!</f>
        <v>#REF!</v>
      </c>
      <c r="AN67" s="268" t="e">
        <f t="shared" si="34"/>
        <v>#REF!</v>
      </c>
      <c r="AO67" s="269" t="e">
        <f t="shared" si="35"/>
        <v>#REF!</v>
      </c>
      <c r="AP67" s="1695"/>
      <c r="AQ67" s="1695"/>
      <c r="AR67" s="1695"/>
      <c r="AS67" s="1711"/>
      <c r="AU67" s="267">
        <f t="shared" si="19"/>
        <v>52</v>
      </c>
      <c r="AV67" s="268">
        <f t="shared" si="13"/>
        <v>-2507923</v>
      </c>
      <c r="AW67" s="424">
        <v>-2507923</v>
      </c>
      <c r="AX67" s="424">
        <v>0</v>
      </c>
      <c r="AY67" s="424">
        <v>0</v>
      </c>
      <c r="AZ67" s="269">
        <f t="shared" si="21"/>
        <v>773788302</v>
      </c>
      <c r="BA67" s="505">
        <v>3.38327E-2</v>
      </c>
      <c r="BB67" s="272">
        <f t="shared" si="36"/>
        <v>0.01</v>
      </c>
      <c r="BC67" s="1695"/>
      <c r="BD67" s="565">
        <f t="shared" si="31"/>
        <v>-644823.58500000008</v>
      </c>
      <c r="BE67" s="1695"/>
      <c r="BF67" s="1695"/>
      <c r="BH67" s="268">
        <f t="shared" si="32"/>
        <v>0</v>
      </c>
      <c r="BI67" s="268">
        <f t="shared" si="33"/>
        <v>0</v>
      </c>
      <c r="BJ67" s="268">
        <v>0</v>
      </c>
      <c r="BK67" s="268">
        <v>0</v>
      </c>
      <c r="BL67" s="269">
        <f t="shared" si="30"/>
        <v>0</v>
      </c>
      <c r="BM67" s="272">
        <f t="shared" si="37"/>
        <v>4.0515499999999996E-2</v>
      </c>
      <c r="BN67" s="272">
        <f t="shared" si="37"/>
        <v>0.01</v>
      </c>
      <c r="BO67" s="1695"/>
      <c r="BP67" s="565"/>
      <c r="BQ67" s="1695"/>
      <c r="BR67" s="1695"/>
    </row>
    <row r="68" spans="1:70" ht="15">
      <c r="A68" s="270" t="s">
        <v>520</v>
      </c>
      <c r="B68" s="266">
        <v>2020</v>
      </c>
      <c r="C68" s="266"/>
      <c r="D68" s="266"/>
      <c r="E68" s="265">
        <f t="shared" si="18"/>
        <v>773788302</v>
      </c>
      <c r="F68" s="267">
        <f t="shared" si="14"/>
        <v>59</v>
      </c>
      <c r="G68" s="268" t="e">
        <f t="shared" si="8"/>
        <v>#REF!</v>
      </c>
      <c r="H68" s="268" t="e">
        <f>-ROUNDDOWN(J67*#REF!,0)</f>
        <v>#REF!</v>
      </c>
      <c r="I68" s="268" t="e">
        <f>IF(ROUNDDOWN(J67,0)=0,0,-#REF!)</f>
        <v>#REF!</v>
      </c>
      <c r="J68" s="269" t="e">
        <f t="shared" si="9"/>
        <v>#REF!</v>
      </c>
      <c r="K68" s="1695"/>
      <c r="L68" s="1695"/>
      <c r="M68" s="1695"/>
      <c r="O68" s="267">
        <f t="shared" si="15"/>
        <v>59</v>
      </c>
      <c r="P68" s="268" t="e">
        <f t="shared" si="1"/>
        <v>#REF!</v>
      </c>
      <c r="Q68" s="268" t="e">
        <f>-S67*#REF!</f>
        <v>#REF!</v>
      </c>
      <c r="R68" s="268">
        <v>0</v>
      </c>
      <c r="S68" s="269">
        <f t="shared" si="10"/>
        <v>510000000</v>
      </c>
      <c r="T68" s="1695"/>
      <c r="U68" s="1695"/>
      <c r="V68" s="1695"/>
      <c r="X68" s="267">
        <f t="shared" si="16"/>
        <v>59</v>
      </c>
      <c r="Y68" s="268" t="e">
        <f t="shared" si="2"/>
        <v>#REF!</v>
      </c>
      <c r="Z68" s="268" t="e">
        <f>-AB67*#REF!</f>
        <v>#REF!</v>
      </c>
      <c r="AA68" s="268">
        <v>0</v>
      </c>
      <c r="AB68" s="269">
        <f t="shared" si="11"/>
        <v>170000000</v>
      </c>
      <c r="AC68" s="1695"/>
      <c r="AD68" s="1695"/>
      <c r="AE68" s="1695"/>
      <c r="AG68" s="1710"/>
      <c r="AH68" s="1710"/>
      <c r="AI68" s="1710"/>
      <c r="AK68" s="267">
        <f t="shared" si="17"/>
        <v>59</v>
      </c>
      <c r="AL68" s="268" t="e">
        <f t="shared" si="3"/>
        <v>#REF!</v>
      </c>
      <c r="AM68" s="268" t="e">
        <f>-AO67*#REF!</f>
        <v>#REF!</v>
      </c>
      <c r="AN68" s="268" t="e">
        <f t="shared" si="34"/>
        <v>#REF!</v>
      </c>
      <c r="AO68" s="269" t="e">
        <f t="shared" si="35"/>
        <v>#REF!</v>
      </c>
      <c r="AP68" s="1695"/>
      <c r="AQ68" s="1695"/>
      <c r="AR68" s="1695"/>
      <c r="AS68" s="1711"/>
      <c r="AU68" s="267">
        <f t="shared" si="19"/>
        <v>53</v>
      </c>
      <c r="AV68" s="268">
        <f t="shared" si="13"/>
        <v>-2008279</v>
      </c>
      <c r="AW68" s="504">
        <v>-2008279</v>
      </c>
      <c r="AX68" s="424">
        <v>0</v>
      </c>
      <c r="AY68" s="424">
        <v>0</v>
      </c>
      <c r="AZ68" s="269">
        <f t="shared" si="21"/>
        <v>773788302</v>
      </c>
      <c r="BA68" s="505">
        <v>2.8046399999999999E-2</v>
      </c>
      <c r="BB68" s="272">
        <f t="shared" si="36"/>
        <v>0.01</v>
      </c>
      <c r="BC68" s="1695"/>
      <c r="BD68" s="565">
        <f t="shared" si="31"/>
        <v>-644823.58500000008</v>
      </c>
      <c r="BE68" s="1695"/>
      <c r="BF68" s="1695"/>
      <c r="BH68" s="268">
        <f t="shared" si="32"/>
        <v>0</v>
      </c>
      <c r="BI68" s="268">
        <f t="shared" si="33"/>
        <v>0</v>
      </c>
      <c r="BJ68" s="268">
        <v>0</v>
      </c>
      <c r="BK68" s="268">
        <v>0</v>
      </c>
      <c r="BL68" s="269">
        <f t="shared" si="30"/>
        <v>0</v>
      </c>
      <c r="BM68" s="272">
        <f t="shared" si="37"/>
        <v>4.0515499999999996E-2</v>
      </c>
      <c r="BN68" s="272">
        <f t="shared" si="37"/>
        <v>0.01</v>
      </c>
      <c r="BO68" s="1695"/>
      <c r="BP68" s="565"/>
      <c r="BQ68" s="1695"/>
      <c r="BR68" s="1695"/>
    </row>
    <row r="69" spans="1:70" ht="15">
      <c r="A69" s="270" t="s">
        <v>521</v>
      </c>
      <c r="B69" s="266">
        <v>2020</v>
      </c>
      <c r="C69" s="266"/>
      <c r="D69" s="266"/>
      <c r="E69" s="265">
        <f t="shared" si="18"/>
        <v>794608302</v>
      </c>
      <c r="F69" s="267">
        <f t="shared" si="14"/>
        <v>60</v>
      </c>
      <c r="G69" s="268" t="e">
        <f t="shared" si="8"/>
        <v>#REF!</v>
      </c>
      <c r="H69" s="268" t="e">
        <f>-ROUNDDOWN(J68*#REF!,0)</f>
        <v>#REF!</v>
      </c>
      <c r="I69" s="268" t="e">
        <f>IF(ROUNDDOWN(J68,0)=0,0,-#REF!)</f>
        <v>#REF!</v>
      </c>
      <c r="J69" s="269" t="e">
        <f t="shared" si="9"/>
        <v>#REF!</v>
      </c>
      <c r="K69" s="1695"/>
      <c r="L69" s="1695"/>
      <c r="M69" s="1695"/>
      <c r="O69" s="267">
        <f t="shared" si="15"/>
        <v>60</v>
      </c>
      <c r="P69" s="268" t="e">
        <f t="shared" si="1"/>
        <v>#REF!</v>
      </c>
      <c r="Q69" s="268" t="e">
        <f>-S68*#REF!</f>
        <v>#REF!</v>
      </c>
      <c r="R69" s="268">
        <v>0</v>
      </c>
      <c r="S69" s="269">
        <f t="shared" si="10"/>
        <v>510000000</v>
      </c>
      <c r="T69" s="1695"/>
      <c r="U69" s="1695"/>
      <c r="V69" s="1695"/>
      <c r="X69" s="267">
        <f t="shared" si="16"/>
        <v>60</v>
      </c>
      <c r="Y69" s="268" t="e">
        <f t="shared" si="2"/>
        <v>#REF!</v>
      </c>
      <c r="Z69" s="268" t="e">
        <f>-AB68*#REF!</f>
        <v>#REF!</v>
      </c>
      <c r="AA69" s="268">
        <v>0</v>
      </c>
      <c r="AB69" s="269">
        <f t="shared" si="11"/>
        <v>170000000</v>
      </c>
      <c r="AC69" s="1695"/>
      <c r="AD69" s="1695"/>
      <c r="AE69" s="1695"/>
      <c r="AG69" s="1710"/>
      <c r="AH69" s="1710"/>
      <c r="AI69" s="1710"/>
      <c r="AK69" s="267">
        <f t="shared" si="17"/>
        <v>60</v>
      </c>
      <c r="AL69" s="268" t="e">
        <f t="shared" si="3"/>
        <v>#REF!</v>
      </c>
      <c r="AM69" s="268" t="e">
        <f>-AO68*#REF!</f>
        <v>#REF!</v>
      </c>
      <c r="AN69" s="268" t="e">
        <f t="shared" si="34"/>
        <v>#REF!</v>
      </c>
      <c r="AO69" s="269" t="e">
        <f t="shared" si="35"/>
        <v>#REF!</v>
      </c>
      <c r="AP69" s="1695"/>
      <c r="AQ69" s="1695"/>
      <c r="AR69" s="1695"/>
      <c r="AS69" s="1711"/>
      <c r="AU69" s="267">
        <f t="shared" si="19"/>
        <v>54</v>
      </c>
      <c r="AV69" s="268">
        <f t="shared" si="13"/>
        <v>-1843182</v>
      </c>
      <c r="AW69" s="504">
        <v>-1843182</v>
      </c>
      <c r="AX69" s="424">
        <v>0</v>
      </c>
      <c r="AY69" s="504">
        <v>20820000</v>
      </c>
      <c r="AZ69" s="269">
        <f t="shared" si="21"/>
        <v>794608302</v>
      </c>
      <c r="BA69" s="272">
        <v>3.2015500000000002E-2</v>
      </c>
      <c r="BB69" s="272">
        <f t="shared" si="36"/>
        <v>0.01</v>
      </c>
      <c r="BC69" s="1695"/>
      <c r="BD69" s="565">
        <f t="shared" si="31"/>
        <v>-644823.58500000008</v>
      </c>
      <c r="BE69" s="1695"/>
      <c r="BF69" s="1695"/>
      <c r="BH69" s="268">
        <f t="shared" si="32"/>
        <v>0</v>
      </c>
      <c r="BI69" s="268">
        <f t="shared" si="33"/>
        <v>0</v>
      </c>
      <c r="BJ69" s="268">
        <v>0</v>
      </c>
      <c r="BK69" s="268">
        <v>0</v>
      </c>
      <c r="BL69" s="269">
        <f t="shared" si="30"/>
        <v>0</v>
      </c>
      <c r="BM69" s="272">
        <f t="shared" si="37"/>
        <v>4.0515499999999996E-2</v>
      </c>
      <c r="BN69" s="272">
        <f t="shared" si="37"/>
        <v>0.01</v>
      </c>
      <c r="BO69" s="1695"/>
      <c r="BP69" s="565"/>
      <c r="BQ69" s="1695"/>
      <c r="BR69" s="1695"/>
    </row>
    <row r="70" spans="1:70" ht="15">
      <c r="A70" s="273" t="s">
        <v>510</v>
      </c>
      <c r="B70" s="274">
        <v>2020</v>
      </c>
      <c r="C70" s="274"/>
      <c r="D70" s="274"/>
      <c r="E70" s="275">
        <f t="shared" si="18"/>
        <v>794608302</v>
      </c>
      <c r="F70" s="276">
        <f t="shared" si="14"/>
        <v>61</v>
      </c>
      <c r="G70" s="277" t="e">
        <f t="shared" si="8"/>
        <v>#REF!</v>
      </c>
      <c r="H70" s="277" t="e">
        <f>-ROUNDDOWN(J69*#REF!,0)</f>
        <v>#REF!</v>
      </c>
      <c r="I70" s="277" t="e">
        <f>IF(ROUNDDOWN(J69,0)=0,0,-#REF!)</f>
        <v>#REF!</v>
      </c>
      <c r="J70" s="278" t="e">
        <f t="shared" si="9"/>
        <v>#REF!</v>
      </c>
      <c r="K70" s="1694" t="s">
        <v>5</v>
      </c>
      <c r="L70" s="1694" t="e">
        <f>SUM(H70:H81)</f>
        <v>#REF!</v>
      </c>
      <c r="M70" s="1694" t="e">
        <f>SUM(I70:I81)</f>
        <v>#REF!</v>
      </c>
      <c r="O70" s="276">
        <f t="shared" si="15"/>
        <v>61</v>
      </c>
      <c r="P70" s="277" t="e">
        <f t="shared" si="1"/>
        <v>#REF!</v>
      </c>
      <c r="Q70" s="277" t="e">
        <f>-S69*#REF!</f>
        <v>#REF!</v>
      </c>
      <c r="R70" s="277" t="e">
        <f>IF(ROUNDDOWN(S69,0)=0,0,-#REF!)</f>
        <v>#REF!</v>
      </c>
      <c r="S70" s="278" t="e">
        <f t="shared" si="10"/>
        <v>#REF!</v>
      </c>
      <c r="T70" s="1694" t="s">
        <v>5</v>
      </c>
      <c r="U70" s="1694" t="e">
        <f>SUM(Q70:Q81)</f>
        <v>#REF!</v>
      </c>
      <c r="V70" s="1694" t="e">
        <f>SUM(R70:R81)</f>
        <v>#REF!</v>
      </c>
      <c r="X70" s="276">
        <f t="shared" si="16"/>
        <v>61</v>
      </c>
      <c r="Y70" s="277" t="e">
        <f t="shared" si="2"/>
        <v>#REF!</v>
      </c>
      <c r="Z70" s="277" t="e">
        <f>-AB69*#REF!</f>
        <v>#REF!</v>
      </c>
      <c r="AA70" s="277">
        <v>0</v>
      </c>
      <c r="AB70" s="278">
        <f t="shared" si="11"/>
        <v>170000000</v>
      </c>
      <c r="AC70" s="1694" t="s">
        <v>5</v>
      </c>
      <c r="AD70" s="1694" t="e">
        <f>SUM(Z70:Z81)</f>
        <v>#REF!</v>
      </c>
      <c r="AE70" s="1694">
        <f>SUM(AA70:AA81)</f>
        <v>0</v>
      </c>
      <c r="AG70" s="1709" t="s">
        <v>5</v>
      </c>
      <c r="AH70" s="1709" t="e">
        <f>L70+U70+AD70</f>
        <v>#REF!</v>
      </c>
      <c r="AI70" s="1709" t="e">
        <f>M70+V70+AE70</f>
        <v>#REF!</v>
      </c>
      <c r="AK70" s="276">
        <f t="shared" si="17"/>
        <v>61</v>
      </c>
      <c r="AL70" s="277" t="e">
        <f t="shared" si="3"/>
        <v>#REF!</v>
      </c>
      <c r="AM70" s="277" t="e">
        <f>-AO69*#REF!</f>
        <v>#REF!</v>
      </c>
      <c r="AN70" s="277" t="e">
        <f>$AR$70/12</f>
        <v>#REF!</v>
      </c>
      <c r="AO70" s="278" t="e">
        <f t="shared" si="35"/>
        <v>#REF!</v>
      </c>
      <c r="AP70" s="1694" t="s">
        <v>5</v>
      </c>
      <c r="AQ70" s="1694" t="e">
        <f>SUM(AM70:AM81)</f>
        <v>#REF!</v>
      </c>
      <c r="AR70" s="1694" t="e">
        <f>-AS70*#REF!</f>
        <v>#REF!</v>
      </c>
      <c r="AS70" s="1715">
        <v>0.15</v>
      </c>
      <c r="AU70" s="276">
        <f t="shared" si="19"/>
        <v>55</v>
      </c>
      <c r="AV70" s="277">
        <f t="shared" si="13"/>
        <v>-2090941</v>
      </c>
      <c r="AW70" s="277">
        <v>-2090941</v>
      </c>
      <c r="AX70" s="277">
        <v>0</v>
      </c>
      <c r="AY70" s="277">
        <v>0</v>
      </c>
      <c r="AZ70" s="278">
        <f t="shared" si="21"/>
        <v>794608302</v>
      </c>
      <c r="BA70" s="279">
        <v>2.2983900000000002E-2</v>
      </c>
      <c r="BB70" s="279">
        <f t="shared" si="36"/>
        <v>0.01</v>
      </c>
      <c r="BC70" s="1694" t="s">
        <v>5</v>
      </c>
      <c r="BD70" s="563">
        <f t="shared" si="31"/>
        <v>-662173.58500000008</v>
      </c>
      <c r="BE70" s="1694">
        <f>SUM(AW70:AW81)</f>
        <v>-23212369.944867048</v>
      </c>
      <c r="BF70" s="1694">
        <f>SUM(AX70:AY81)</f>
        <v>175391698</v>
      </c>
      <c r="BH70" s="277">
        <f t="shared" si="32"/>
        <v>0</v>
      </c>
      <c r="BI70" s="277">
        <f t="shared" si="33"/>
        <v>0</v>
      </c>
      <c r="BJ70" s="277">
        <v>0</v>
      </c>
      <c r="BK70" s="277"/>
      <c r="BL70" s="278">
        <f t="shared" si="30"/>
        <v>0</v>
      </c>
      <c r="BM70" s="279">
        <f>BM69</f>
        <v>4.0515499999999996E-2</v>
      </c>
      <c r="BN70" s="279">
        <f t="shared" si="37"/>
        <v>0.01</v>
      </c>
      <c r="BO70" s="1694" t="s">
        <v>5</v>
      </c>
      <c r="BP70" s="563"/>
      <c r="BQ70" s="1694">
        <f>SUM(BI70:BI81)</f>
        <v>0</v>
      </c>
      <c r="BR70" s="1694">
        <f>SUM(BJ70:BK81)</f>
        <v>0</v>
      </c>
    </row>
    <row r="71" spans="1:70" ht="15">
      <c r="A71" s="273" t="s">
        <v>511</v>
      </c>
      <c r="B71" s="274">
        <v>2020</v>
      </c>
      <c r="C71" s="274"/>
      <c r="D71" s="274"/>
      <c r="E71" s="275">
        <f t="shared" si="18"/>
        <v>794608302</v>
      </c>
      <c r="F71" s="276">
        <f t="shared" si="14"/>
        <v>62</v>
      </c>
      <c r="G71" s="277" t="e">
        <f t="shared" si="8"/>
        <v>#REF!</v>
      </c>
      <c r="H71" s="277" t="e">
        <f>-ROUNDDOWN(J70*#REF!,0)</f>
        <v>#REF!</v>
      </c>
      <c r="I71" s="277" t="e">
        <f>IF(ROUNDDOWN(J70,0)=0,0,-#REF!)</f>
        <v>#REF!</v>
      </c>
      <c r="J71" s="278" t="e">
        <f t="shared" si="9"/>
        <v>#REF!</v>
      </c>
      <c r="K71" s="1694"/>
      <c r="L71" s="1694"/>
      <c r="M71" s="1694"/>
      <c r="O71" s="276">
        <f t="shared" si="15"/>
        <v>62</v>
      </c>
      <c r="P71" s="277" t="e">
        <f t="shared" si="1"/>
        <v>#REF!</v>
      </c>
      <c r="Q71" s="277" t="e">
        <f>-S70*#REF!</f>
        <v>#REF!</v>
      </c>
      <c r="R71" s="277" t="e">
        <f>IF(ROUNDDOWN(S70,0)=0,0,-#REF!)</f>
        <v>#REF!</v>
      </c>
      <c r="S71" s="278" t="e">
        <f t="shared" si="10"/>
        <v>#REF!</v>
      </c>
      <c r="T71" s="1694"/>
      <c r="U71" s="1694"/>
      <c r="V71" s="1694"/>
      <c r="X71" s="276">
        <f t="shared" si="16"/>
        <v>62</v>
      </c>
      <c r="Y71" s="277" t="e">
        <f t="shared" si="2"/>
        <v>#REF!</v>
      </c>
      <c r="Z71" s="277" t="e">
        <f>-AB70*#REF!</f>
        <v>#REF!</v>
      </c>
      <c r="AA71" s="277">
        <v>0</v>
      </c>
      <c r="AB71" s="278">
        <f t="shared" si="11"/>
        <v>170000000</v>
      </c>
      <c r="AC71" s="1694"/>
      <c r="AD71" s="1694"/>
      <c r="AE71" s="1694"/>
      <c r="AG71" s="1709"/>
      <c r="AH71" s="1709"/>
      <c r="AI71" s="1709"/>
      <c r="AK71" s="276">
        <f t="shared" si="17"/>
        <v>62</v>
      </c>
      <c r="AL71" s="277" t="e">
        <f t="shared" si="3"/>
        <v>#REF!</v>
      </c>
      <c r="AM71" s="277" t="e">
        <f>-AO70*#REF!</f>
        <v>#REF!</v>
      </c>
      <c r="AN71" s="277" t="e">
        <f t="shared" ref="AN71:AN81" si="38">$AR$70/12</f>
        <v>#REF!</v>
      </c>
      <c r="AO71" s="278" t="e">
        <f t="shared" si="35"/>
        <v>#REF!</v>
      </c>
      <c r="AP71" s="1694"/>
      <c r="AQ71" s="1694"/>
      <c r="AR71" s="1694"/>
      <c r="AS71" s="1715"/>
      <c r="AU71" s="276">
        <f t="shared" si="19"/>
        <v>56</v>
      </c>
      <c r="AV71" s="277">
        <f t="shared" si="13"/>
        <v>-1501085</v>
      </c>
      <c r="AW71" s="277">
        <v>-1501085</v>
      </c>
      <c r="AX71" s="277">
        <v>0</v>
      </c>
      <c r="AY71" s="277">
        <v>0</v>
      </c>
      <c r="AZ71" s="278">
        <f t="shared" si="21"/>
        <v>794608302</v>
      </c>
      <c r="BA71" s="279">
        <v>2.2009500000000001E-2</v>
      </c>
      <c r="BB71" s="279">
        <f t="shared" si="36"/>
        <v>0.01</v>
      </c>
      <c r="BC71" s="1694"/>
      <c r="BD71" s="563">
        <f t="shared" si="31"/>
        <v>-662173.58500000008</v>
      </c>
      <c r="BE71" s="1694"/>
      <c r="BF71" s="1694"/>
      <c r="BH71" s="277">
        <f t="shared" si="32"/>
        <v>0</v>
      </c>
      <c r="BI71" s="277">
        <f t="shared" si="33"/>
        <v>0</v>
      </c>
      <c r="BJ71" s="277">
        <v>0</v>
      </c>
      <c r="BK71" s="277"/>
      <c r="BL71" s="278">
        <f t="shared" si="30"/>
        <v>0</v>
      </c>
      <c r="BM71" s="279">
        <f t="shared" ref="BM71:BN86" si="39">BM70</f>
        <v>4.0515499999999996E-2</v>
      </c>
      <c r="BN71" s="279">
        <f t="shared" si="39"/>
        <v>0.01</v>
      </c>
      <c r="BO71" s="1694"/>
      <c r="BP71" s="563"/>
      <c r="BQ71" s="1694"/>
      <c r="BR71" s="1694"/>
    </row>
    <row r="72" spans="1:70" ht="15">
      <c r="A72" s="273" t="s">
        <v>512</v>
      </c>
      <c r="B72" s="274">
        <v>2020</v>
      </c>
      <c r="C72" s="274"/>
      <c r="D72" s="576"/>
      <c r="E72" s="275">
        <f t="shared" si="18"/>
        <v>794608302</v>
      </c>
      <c r="F72" s="276">
        <f t="shared" si="14"/>
        <v>63</v>
      </c>
      <c r="G72" s="277" t="e">
        <f t="shared" si="8"/>
        <v>#REF!</v>
      </c>
      <c r="H72" s="277" t="e">
        <f>-ROUNDDOWN(J71*#REF!,0)</f>
        <v>#REF!</v>
      </c>
      <c r="I72" s="277" t="e">
        <f>IF(ROUNDDOWN(J71,0)=0,0,-#REF!)</f>
        <v>#REF!</v>
      </c>
      <c r="J72" s="278" t="e">
        <f t="shared" si="9"/>
        <v>#REF!</v>
      </c>
      <c r="K72" s="1694"/>
      <c r="L72" s="1694"/>
      <c r="M72" s="1694"/>
      <c r="O72" s="276">
        <f t="shared" si="15"/>
        <v>63</v>
      </c>
      <c r="P72" s="277" t="e">
        <f t="shared" si="1"/>
        <v>#REF!</v>
      </c>
      <c r="Q72" s="277" t="e">
        <f>-S71*#REF!</f>
        <v>#REF!</v>
      </c>
      <c r="R72" s="277" t="e">
        <f>IF(ROUNDDOWN(S71,0)=0,0,-#REF!)</f>
        <v>#REF!</v>
      </c>
      <c r="S72" s="278" t="e">
        <f t="shared" si="10"/>
        <v>#REF!</v>
      </c>
      <c r="T72" s="1694"/>
      <c r="U72" s="1694"/>
      <c r="V72" s="1694"/>
      <c r="X72" s="276">
        <f t="shared" si="16"/>
        <v>63</v>
      </c>
      <c r="Y72" s="277" t="e">
        <f t="shared" si="2"/>
        <v>#REF!</v>
      </c>
      <c r="Z72" s="277" t="e">
        <f>-AB71*#REF!</f>
        <v>#REF!</v>
      </c>
      <c r="AA72" s="277">
        <v>0</v>
      </c>
      <c r="AB72" s="278">
        <f t="shared" si="11"/>
        <v>170000000</v>
      </c>
      <c r="AC72" s="1694"/>
      <c r="AD72" s="1694"/>
      <c r="AE72" s="1694"/>
      <c r="AG72" s="1709"/>
      <c r="AH72" s="1709"/>
      <c r="AI72" s="1709"/>
      <c r="AK72" s="276">
        <f t="shared" si="17"/>
        <v>63</v>
      </c>
      <c r="AL72" s="277" t="e">
        <f t="shared" si="3"/>
        <v>#REF!</v>
      </c>
      <c r="AM72" s="277" t="e">
        <f>-AO71*#REF!</f>
        <v>#REF!</v>
      </c>
      <c r="AN72" s="277" t="e">
        <f t="shared" si="38"/>
        <v>#REF!</v>
      </c>
      <c r="AO72" s="278" t="e">
        <f t="shared" si="35"/>
        <v>#REF!</v>
      </c>
      <c r="AP72" s="1694"/>
      <c r="AQ72" s="1694"/>
      <c r="AR72" s="1694"/>
      <c r="AS72" s="1715"/>
      <c r="AU72" s="276">
        <f t="shared" si="19"/>
        <v>57</v>
      </c>
      <c r="AV72" s="277">
        <f t="shared" si="13"/>
        <v>-1485361</v>
      </c>
      <c r="AW72" s="277">
        <v>-1485361</v>
      </c>
      <c r="AX72" s="277">
        <v>0</v>
      </c>
      <c r="AY72" s="277">
        <v>0</v>
      </c>
      <c r="AZ72" s="278">
        <f t="shared" si="21"/>
        <v>794608302</v>
      </c>
      <c r="BA72" s="279">
        <v>1.5926800000000001E-2</v>
      </c>
      <c r="BB72" s="279">
        <f t="shared" si="36"/>
        <v>0.01</v>
      </c>
      <c r="BC72" s="1694"/>
      <c r="BD72" s="563">
        <f t="shared" si="31"/>
        <v>-662173.58500000008</v>
      </c>
      <c r="BE72" s="1694"/>
      <c r="BF72" s="1694"/>
      <c r="BH72" s="277">
        <f t="shared" si="32"/>
        <v>0</v>
      </c>
      <c r="BI72" s="277">
        <f t="shared" si="33"/>
        <v>0</v>
      </c>
      <c r="BJ72" s="277">
        <v>0</v>
      </c>
      <c r="BK72" s="277"/>
      <c r="BL72" s="278">
        <f t="shared" si="30"/>
        <v>0</v>
      </c>
      <c r="BM72" s="279">
        <f t="shared" si="39"/>
        <v>4.0515499999999996E-2</v>
      </c>
      <c r="BN72" s="279">
        <f t="shared" si="39"/>
        <v>0.01</v>
      </c>
      <c r="BO72" s="1694"/>
      <c r="BP72" s="563"/>
      <c r="BQ72" s="1694"/>
      <c r="BR72" s="1694"/>
    </row>
    <row r="73" spans="1:70" ht="15">
      <c r="A73" s="273" t="s">
        <v>513</v>
      </c>
      <c r="B73" s="274">
        <v>2020</v>
      </c>
      <c r="C73" s="274"/>
      <c r="D73" s="274"/>
      <c r="E73" s="275">
        <f t="shared" si="18"/>
        <v>816561802</v>
      </c>
      <c r="F73" s="276">
        <f t="shared" si="14"/>
        <v>64</v>
      </c>
      <c r="G73" s="277" t="e">
        <f t="shared" si="8"/>
        <v>#REF!</v>
      </c>
      <c r="H73" s="277" t="e">
        <f>-ROUNDDOWN(J72*#REF!,0)</f>
        <v>#REF!</v>
      </c>
      <c r="I73" s="277" t="e">
        <f>IF(ROUNDDOWN(J72,0)=0,0,-#REF!)</f>
        <v>#REF!</v>
      </c>
      <c r="J73" s="278" t="e">
        <f t="shared" si="9"/>
        <v>#REF!</v>
      </c>
      <c r="K73" s="1694"/>
      <c r="L73" s="1694"/>
      <c r="M73" s="1694"/>
      <c r="O73" s="276">
        <f t="shared" si="15"/>
        <v>64</v>
      </c>
      <c r="P73" s="277" t="e">
        <f t="shared" si="1"/>
        <v>#REF!</v>
      </c>
      <c r="Q73" s="277" t="e">
        <f>-S72*#REF!</f>
        <v>#REF!</v>
      </c>
      <c r="R73" s="277" t="e">
        <f>IF(ROUNDDOWN(S72,0)=0,0,-#REF!)</f>
        <v>#REF!</v>
      </c>
      <c r="S73" s="278" t="e">
        <f t="shared" si="10"/>
        <v>#REF!</v>
      </c>
      <c r="T73" s="1694"/>
      <c r="U73" s="1694"/>
      <c r="V73" s="1694"/>
      <c r="X73" s="276">
        <f t="shared" si="16"/>
        <v>64</v>
      </c>
      <c r="Y73" s="277" t="e">
        <f t="shared" si="2"/>
        <v>#REF!</v>
      </c>
      <c r="Z73" s="277" t="e">
        <f>-AB72*#REF!</f>
        <v>#REF!</v>
      </c>
      <c r="AA73" s="277">
        <v>0</v>
      </c>
      <c r="AB73" s="278">
        <f t="shared" si="11"/>
        <v>170000000</v>
      </c>
      <c r="AC73" s="1694"/>
      <c r="AD73" s="1694"/>
      <c r="AE73" s="1694"/>
      <c r="AG73" s="1709"/>
      <c r="AH73" s="1709"/>
      <c r="AI73" s="1709"/>
      <c r="AK73" s="276">
        <f t="shared" si="17"/>
        <v>64</v>
      </c>
      <c r="AL73" s="277" t="e">
        <f t="shared" si="3"/>
        <v>#REF!</v>
      </c>
      <c r="AM73" s="277" t="e">
        <f>-AO72*#REF!</f>
        <v>#REF!</v>
      </c>
      <c r="AN73" s="277" t="e">
        <f t="shared" si="38"/>
        <v>#REF!</v>
      </c>
      <c r="AO73" s="278" t="e">
        <f t="shared" si="35"/>
        <v>#REF!</v>
      </c>
      <c r="AP73" s="1694"/>
      <c r="AQ73" s="1694"/>
      <c r="AR73" s="1694"/>
      <c r="AS73" s="1715"/>
      <c r="AU73" s="276">
        <f t="shared" si="19"/>
        <v>58</v>
      </c>
      <c r="AV73" s="277">
        <f t="shared" si="13"/>
        <v>-1040184</v>
      </c>
      <c r="AW73" s="277">
        <v>-1040184</v>
      </c>
      <c r="AX73" s="277">
        <v>0</v>
      </c>
      <c r="AY73" s="277">
        <v>21953500</v>
      </c>
      <c r="AZ73" s="278">
        <f t="shared" si="21"/>
        <v>816561802</v>
      </c>
      <c r="BA73" s="279">
        <v>1.4039299999999999E-2</v>
      </c>
      <c r="BB73" s="279">
        <f t="shared" si="36"/>
        <v>0.01</v>
      </c>
      <c r="BC73" s="1694"/>
      <c r="BD73" s="563">
        <f t="shared" si="31"/>
        <v>-662173.58500000008</v>
      </c>
      <c r="BE73" s="1694"/>
      <c r="BF73" s="1694"/>
      <c r="BH73" s="277">
        <f t="shared" si="32"/>
        <v>0</v>
      </c>
      <c r="BI73" s="277">
        <f t="shared" si="33"/>
        <v>0</v>
      </c>
      <c r="BJ73" s="277">
        <v>0</v>
      </c>
      <c r="BK73" s="277"/>
      <c r="BL73" s="278">
        <f t="shared" si="30"/>
        <v>0</v>
      </c>
      <c r="BM73" s="279">
        <f t="shared" si="39"/>
        <v>4.0515499999999996E-2</v>
      </c>
      <c r="BN73" s="279">
        <f t="shared" si="39"/>
        <v>0.01</v>
      </c>
      <c r="BO73" s="1694"/>
      <c r="BP73" s="563"/>
      <c r="BQ73" s="1694"/>
      <c r="BR73" s="1694"/>
    </row>
    <row r="74" spans="1:70" ht="15">
      <c r="A74" s="273" t="s">
        <v>514</v>
      </c>
      <c r="B74" s="274">
        <v>2020</v>
      </c>
      <c r="C74" s="274"/>
      <c r="D74" s="274"/>
      <c r="E74" s="275">
        <f t="shared" si="18"/>
        <v>816561802</v>
      </c>
      <c r="F74" s="276">
        <f t="shared" si="14"/>
        <v>65</v>
      </c>
      <c r="G74" s="277" t="e">
        <f t="shared" si="8"/>
        <v>#REF!</v>
      </c>
      <c r="H74" s="277" t="e">
        <f>-ROUNDDOWN(J73*#REF!,0)</f>
        <v>#REF!</v>
      </c>
      <c r="I74" s="277" t="e">
        <f>IF(ROUNDDOWN(J73,0)=0,0,-#REF!)</f>
        <v>#REF!</v>
      </c>
      <c r="J74" s="278" t="e">
        <f t="shared" si="9"/>
        <v>#REF!</v>
      </c>
      <c r="K74" s="1694"/>
      <c r="L74" s="1694"/>
      <c r="M74" s="1694"/>
      <c r="O74" s="276">
        <f t="shared" si="15"/>
        <v>65</v>
      </c>
      <c r="P74" s="277" t="e">
        <f t="shared" ref="P74:P137" si="40">SUM(Q74:R74)</f>
        <v>#REF!</v>
      </c>
      <c r="Q74" s="277" t="e">
        <f>-S73*#REF!</f>
        <v>#REF!</v>
      </c>
      <c r="R74" s="277" t="e">
        <f>IF(ROUNDDOWN(S73,0)=0,0,-#REF!)</f>
        <v>#REF!</v>
      </c>
      <c r="S74" s="278" t="e">
        <f t="shared" si="10"/>
        <v>#REF!</v>
      </c>
      <c r="T74" s="1694"/>
      <c r="U74" s="1694"/>
      <c r="V74" s="1694"/>
      <c r="X74" s="276">
        <f t="shared" si="16"/>
        <v>65</v>
      </c>
      <c r="Y74" s="277" t="e">
        <f t="shared" ref="Y74:Y137" si="41">SUM(Z74:AA74)</f>
        <v>#REF!</v>
      </c>
      <c r="Z74" s="277" t="e">
        <f>-AB73*#REF!</f>
        <v>#REF!</v>
      </c>
      <c r="AA74" s="277">
        <v>0</v>
      </c>
      <c r="AB74" s="278">
        <f t="shared" si="11"/>
        <v>170000000</v>
      </c>
      <c r="AC74" s="1694"/>
      <c r="AD74" s="1694"/>
      <c r="AE74" s="1694"/>
      <c r="AG74" s="1709"/>
      <c r="AH74" s="1709"/>
      <c r="AI74" s="1709"/>
      <c r="AK74" s="276">
        <f t="shared" si="17"/>
        <v>65</v>
      </c>
      <c r="AL74" s="277" t="e">
        <f t="shared" ref="AL74:AL137" si="42">SUM(AM74:AN74)</f>
        <v>#REF!</v>
      </c>
      <c r="AM74" s="277" t="e">
        <f>-AO73*#REF!</f>
        <v>#REF!</v>
      </c>
      <c r="AN74" s="277" t="e">
        <f t="shared" si="38"/>
        <v>#REF!</v>
      </c>
      <c r="AO74" s="278" t="e">
        <f t="shared" si="35"/>
        <v>#REF!</v>
      </c>
      <c r="AP74" s="1694"/>
      <c r="AQ74" s="1694"/>
      <c r="AR74" s="1694"/>
      <c r="AS74" s="1715"/>
      <c r="AU74" s="276">
        <f t="shared" si="19"/>
        <v>59</v>
      </c>
      <c r="AV74" s="277">
        <f t="shared" si="13"/>
        <v>-955329.6755682166</v>
      </c>
      <c r="AW74" s="277">
        <f t="shared" ref="AW74:AW82" si="43">-AZ73*BA73/12</f>
        <v>-955329.6755682166</v>
      </c>
      <c r="AX74" s="277">
        <v>0</v>
      </c>
      <c r="AY74" s="277">
        <v>0</v>
      </c>
      <c r="AZ74" s="278">
        <f t="shared" si="21"/>
        <v>816561802</v>
      </c>
      <c r="BA74" s="279">
        <f>BA5</f>
        <v>3.2015500000000002E-2</v>
      </c>
      <c r="BB74" s="279">
        <f t="shared" si="36"/>
        <v>0.01</v>
      </c>
      <c r="BC74" s="1694"/>
      <c r="BD74" s="563">
        <f t="shared" si="31"/>
        <v>-680468.16833333333</v>
      </c>
      <c r="BE74" s="1694"/>
      <c r="BF74" s="1694"/>
      <c r="BH74" s="277">
        <f t="shared" si="32"/>
        <v>0</v>
      </c>
      <c r="BI74" s="277">
        <f t="shared" si="33"/>
        <v>0</v>
      </c>
      <c r="BJ74" s="277">
        <v>0</v>
      </c>
      <c r="BK74" s="277"/>
      <c r="BL74" s="278">
        <f t="shared" si="30"/>
        <v>0</v>
      </c>
      <c r="BM74" s="279">
        <f t="shared" si="39"/>
        <v>4.0515499999999996E-2</v>
      </c>
      <c r="BN74" s="279">
        <f t="shared" si="39"/>
        <v>0.01</v>
      </c>
      <c r="BO74" s="1694"/>
      <c r="BP74" s="563"/>
      <c r="BQ74" s="1694"/>
      <c r="BR74" s="1694"/>
    </row>
    <row r="75" spans="1:70" ht="15">
      <c r="A75" s="273" t="s">
        <v>515</v>
      </c>
      <c r="B75" s="274">
        <v>2020</v>
      </c>
      <c r="C75" s="274"/>
      <c r="D75" s="576"/>
      <c r="E75" s="275">
        <f t="shared" si="18"/>
        <v>816561802</v>
      </c>
      <c r="F75" s="276">
        <f t="shared" si="14"/>
        <v>66</v>
      </c>
      <c r="G75" s="277" t="e">
        <f t="shared" ref="G75:G104" si="44">SUM(H75:I75)</f>
        <v>#REF!</v>
      </c>
      <c r="H75" s="277" t="e">
        <f>-ROUNDDOWN(J74*#REF!,0)</f>
        <v>#REF!</v>
      </c>
      <c r="I75" s="277" t="e">
        <f>IF(ROUNDDOWN(J74,0)=0,0,-#REF!)</f>
        <v>#REF!</v>
      </c>
      <c r="J75" s="278" t="e">
        <f t="shared" ref="J75:J138" si="45">J74+I75</f>
        <v>#REF!</v>
      </c>
      <c r="K75" s="1694"/>
      <c r="L75" s="1694"/>
      <c r="M75" s="1694"/>
      <c r="O75" s="276">
        <f t="shared" si="15"/>
        <v>66</v>
      </c>
      <c r="P75" s="277" t="e">
        <f t="shared" si="40"/>
        <v>#REF!</v>
      </c>
      <c r="Q75" s="277" t="e">
        <f>-S74*#REF!</f>
        <v>#REF!</v>
      </c>
      <c r="R75" s="277" t="e">
        <f>IF(ROUNDDOWN(S74,0)=0,0,-#REF!)</f>
        <v>#REF!</v>
      </c>
      <c r="S75" s="278" t="e">
        <f t="shared" ref="S75:S138" si="46">S74+R75</f>
        <v>#REF!</v>
      </c>
      <c r="T75" s="1694"/>
      <c r="U75" s="1694"/>
      <c r="V75" s="1694"/>
      <c r="X75" s="276">
        <f t="shared" si="16"/>
        <v>66</v>
      </c>
      <c r="Y75" s="277" t="e">
        <f t="shared" si="41"/>
        <v>#REF!</v>
      </c>
      <c r="Z75" s="277" t="e">
        <f>-AB74*#REF!</f>
        <v>#REF!</v>
      </c>
      <c r="AA75" s="277">
        <v>0</v>
      </c>
      <c r="AB75" s="278">
        <f t="shared" ref="AB75:AB138" si="47">AB74+AA75</f>
        <v>170000000</v>
      </c>
      <c r="AC75" s="1694"/>
      <c r="AD75" s="1694"/>
      <c r="AE75" s="1694"/>
      <c r="AG75" s="1709"/>
      <c r="AH75" s="1709"/>
      <c r="AI75" s="1709"/>
      <c r="AK75" s="276">
        <f t="shared" si="17"/>
        <v>66</v>
      </c>
      <c r="AL75" s="277" t="e">
        <f t="shared" si="42"/>
        <v>#REF!</v>
      </c>
      <c r="AM75" s="277" t="e">
        <f>-AO74*#REF!</f>
        <v>#REF!</v>
      </c>
      <c r="AN75" s="277" t="e">
        <f t="shared" si="38"/>
        <v>#REF!</v>
      </c>
      <c r="AO75" s="278" t="e">
        <f t="shared" si="35"/>
        <v>#REF!</v>
      </c>
      <c r="AP75" s="1694"/>
      <c r="AQ75" s="1694"/>
      <c r="AR75" s="1694"/>
      <c r="AS75" s="1715"/>
      <c r="AU75" s="276">
        <f t="shared" si="19"/>
        <v>60</v>
      </c>
      <c r="AV75" s="277">
        <f t="shared" ref="AV75:AV138" si="48">SUM(AW75:AX75)</f>
        <v>-2178552.8643275835</v>
      </c>
      <c r="AW75" s="277">
        <f t="shared" si="43"/>
        <v>-2178552.8643275835</v>
      </c>
      <c r="AX75" s="277">
        <v>0</v>
      </c>
      <c r="AY75" s="277">
        <v>0</v>
      </c>
      <c r="AZ75" s="278">
        <f t="shared" si="21"/>
        <v>816561802</v>
      </c>
      <c r="BA75" s="279">
        <f t="shared" ref="BA75:BB90" si="49">BA74</f>
        <v>3.2015500000000002E-2</v>
      </c>
      <c r="BB75" s="279">
        <f t="shared" si="49"/>
        <v>0.01</v>
      </c>
      <c r="BC75" s="1694"/>
      <c r="BD75" s="563">
        <f t="shared" si="31"/>
        <v>-680468.16833333333</v>
      </c>
      <c r="BE75" s="1694"/>
      <c r="BF75" s="1694"/>
      <c r="BH75" s="277">
        <f t="shared" si="32"/>
        <v>0</v>
      </c>
      <c r="BI75" s="277">
        <f t="shared" si="33"/>
        <v>0</v>
      </c>
      <c r="BJ75" s="277">
        <v>0</v>
      </c>
      <c r="BK75" s="277"/>
      <c r="BL75" s="278">
        <f t="shared" si="30"/>
        <v>0</v>
      </c>
      <c r="BM75" s="279">
        <f t="shared" si="39"/>
        <v>4.0515499999999996E-2</v>
      </c>
      <c r="BN75" s="279">
        <f t="shared" si="39"/>
        <v>0.01</v>
      </c>
      <c r="BO75" s="1694"/>
      <c r="BP75" s="563"/>
      <c r="BQ75" s="1694"/>
      <c r="BR75" s="1694"/>
    </row>
    <row r="76" spans="1:70" ht="15">
      <c r="A76" s="273" t="s">
        <v>516</v>
      </c>
      <c r="B76" s="274">
        <v>2020</v>
      </c>
      <c r="C76" s="274"/>
      <c r="D76" s="274"/>
      <c r="E76" s="275">
        <f t="shared" si="18"/>
        <v>846561802</v>
      </c>
      <c r="F76" s="276">
        <f t="shared" ref="F76:F139" si="50">F75+1</f>
        <v>67</v>
      </c>
      <c r="G76" s="277" t="e">
        <f t="shared" si="44"/>
        <v>#REF!</v>
      </c>
      <c r="H76" s="277" t="e">
        <f>-ROUNDDOWN(J75*#REF!,0)</f>
        <v>#REF!</v>
      </c>
      <c r="I76" s="277" t="e">
        <f>IF(ROUNDDOWN(J75,0)=0,0,-#REF!)</f>
        <v>#REF!</v>
      </c>
      <c r="J76" s="278" t="e">
        <f t="shared" si="45"/>
        <v>#REF!</v>
      </c>
      <c r="K76" s="1694"/>
      <c r="L76" s="1694"/>
      <c r="M76" s="1694"/>
      <c r="O76" s="276">
        <f t="shared" ref="O76:O139" si="51">O75+1</f>
        <v>67</v>
      </c>
      <c r="P76" s="277" t="e">
        <f t="shared" si="40"/>
        <v>#REF!</v>
      </c>
      <c r="Q76" s="277" t="e">
        <f>-S75*#REF!</f>
        <v>#REF!</v>
      </c>
      <c r="R76" s="277" t="e">
        <f>IF(ROUNDDOWN(S75,0)=0,0,-#REF!)</f>
        <v>#REF!</v>
      </c>
      <c r="S76" s="278" t="e">
        <f t="shared" si="46"/>
        <v>#REF!</v>
      </c>
      <c r="T76" s="1694"/>
      <c r="U76" s="1694"/>
      <c r="V76" s="1694"/>
      <c r="X76" s="276">
        <f t="shared" ref="X76:X139" si="52">X75+1</f>
        <v>67</v>
      </c>
      <c r="Y76" s="277" t="e">
        <f t="shared" si="41"/>
        <v>#REF!</v>
      </c>
      <c r="Z76" s="277" t="e">
        <f>-AB75*#REF!</f>
        <v>#REF!</v>
      </c>
      <c r="AA76" s="277">
        <v>0</v>
      </c>
      <c r="AB76" s="278">
        <f t="shared" si="47"/>
        <v>170000000</v>
      </c>
      <c r="AC76" s="1694"/>
      <c r="AD76" s="1694"/>
      <c r="AE76" s="1694"/>
      <c r="AG76" s="1709"/>
      <c r="AH76" s="1709"/>
      <c r="AI76" s="1709"/>
      <c r="AK76" s="276">
        <f t="shared" ref="AK76:AK139" si="53">AK75+1</f>
        <v>67</v>
      </c>
      <c r="AL76" s="277" t="e">
        <f t="shared" si="42"/>
        <v>#REF!</v>
      </c>
      <c r="AM76" s="277" t="e">
        <f>-AO75*#REF!</f>
        <v>#REF!</v>
      </c>
      <c r="AN76" s="277" t="e">
        <f t="shared" si="38"/>
        <v>#REF!</v>
      </c>
      <c r="AO76" s="278" t="e">
        <f t="shared" si="35"/>
        <v>#REF!</v>
      </c>
      <c r="AP76" s="1694"/>
      <c r="AQ76" s="1694"/>
      <c r="AR76" s="1694"/>
      <c r="AS76" s="1715"/>
      <c r="AU76" s="276">
        <f t="shared" si="19"/>
        <v>61</v>
      </c>
      <c r="AV76" s="277">
        <f t="shared" si="48"/>
        <v>-2178552.8643275835</v>
      </c>
      <c r="AW76" s="277">
        <f t="shared" si="43"/>
        <v>-2178552.8643275835</v>
      </c>
      <c r="AX76" s="277">
        <v>0</v>
      </c>
      <c r="AY76" s="277">
        <v>30000000</v>
      </c>
      <c r="AZ76" s="278">
        <f t="shared" si="21"/>
        <v>846561802</v>
      </c>
      <c r="BA76" s="279">
        <f t="shared" si="49"/>
        <v>3.2015500000000002E-2</v>
      </c>
      <c r="BB76" s="279">
        <f t="shared" si="49"/>
        <v>0.01</v>
      </c>
      <c r="BC76" s="1694"/>
      <c r="BD76" s="563">
        <f t="shared" si="31"/>
        <v>-680468.16833333333</v>
      </c>
      <c r="BE76" s="1694"/>
      <c r="BF76" s="1694"/>
      <c r="BH76" s="277">
        <f t="shared" si="32"/>
        <v>0</v>
      </c>
      <c r="BI76" s="277">
        <f t="shared" si="33"/>
        <v>0</v>
      </c>
      <c r="BJ76" s="277">
        <v>0</v>
      </c>
      <c r="BK76" s="277">
        <v>0</v>
      </c>
      <c r="BL76" s="278">
        <f t="shared" si="30"/>
        <v>0</v>
      </c>
      <c r="BM76" s="279">
        <f t="shared" si="39"/>
        <v>4.0515499999999996E-2</v>
      </c>
      <c r="BN76" s="279">
        <f t="shared" si="39"/>
        <v>0.01</v>
      </c>
      <c r="BO76" s="1694"/>
      <c r="BP76" s="563"/>
      <c r="BQ76" s="1694"/>
      <c r="BR76" s="1694"/>
    </row>
    <row r="77" spans="1:70" ht="15.75" thickBot="1">
      <c r="A77" s="273" t="s">
        <v>517</v>
      </c>
      <c r="B77" s="274">
        <v>2020</v>
      </c>
      <c r="C77" s="274"/>
      <c r="D77" s="274"/>
      <c r="E77" s="275">
        <f t="shared" si="18"/>
        <v>846561802</v>
      </c>
      <c r="F77" s="276">
        <f t="shared" si="50"/>
        <v>68</v>
      </c>
      <c r="G77" s="277" t="e">
        <f t="shared" si="44"/>
        <v>#REF!</v>
      </c>
      <c r="H77" s="277" t="e">
        <f>-ROUNDDOWN(J76*#REF!,0)</f>
        <v>#REF!</v>
      </c>
      <c r="I77" s="277" t="e">
        <f>IF(ROUNDDOWN(J76,0)=0,0,-#REF!)</f>
        <v>#REF!</v>
      </c>
      <c r="J77" s="278" t="e">
        <f t="shared" si="45"/>
        <v>#REF!</v>
      </c>
      <c r="K77" s="1694"/>
      <c r="L77" s="1694"/>
      <c r="M77" s="1694"/>
      <c r="O77" s="276">
        <f t="shared" si="51"/>
        <v>68</v>
      </c>
      <c r="P77" s="277" t="e">
        <f t="shared" si="40"/>
        <v>#REF!</v>
      </c>
      <c r="Q77" s="277" t="e">
        <f>-S76*#REF!</f>
        <v>#REF!</v>
      </c>
      <c r="R77" s="277" t="e">
        <f>IF(ROUNDDOWN(S76,0)=0,0,-#REF!)</f>
        <v>#REF!</v>
      </c>
      <c r="S77" s="278" t="e">
        <f t="shared" si="46"/>
        <v>#REF!</v>
      </c>
      <c r="T77" s="1694"/>
      <c r="U77" s="1694"/>
      <c r="V77" s="1694"/>
      <c r="X77" s="276">
        <f t="shared" si="52"/>
        <v>68</v>
      </c>
      <c r="Y77" s="277" t="e">
        <f t="shared" si="41"/>
        <v>#REF!</v>
      </c>
      <c r="Z77" s="277" t="e">
        <f>-AB76*#REF!</f>
        <v>#REF!</v>
      </c>
      <c r="AA77" s="277">
        <v>0</v>
      </c>
      <c r="AB77" s="278">
        <f t="shared" si="47"/>
        <v>170000000</v>
      </c>
      <c r="AC77" s="1694"/>
      <c r="AD77" s="1694"/>
      <c r="AE77" s="1694"/>
      <c r="AG77" s="1709"/>
      <c r="AH77" s="1709"/>
      <c r="AI77" s="1709"/>
      <c r="AK77" s="276">
        <f t="shared" si="53"/>
        <v>68</v>
      </c>
      <c r="AL77" s="277" t="e">
        <f t="shared" si="42"/>
        <v>#REF!</v>
      </c>
      <c r="AM77" s="277" t="e">
        <f>-AO76*#REF!</f>
        <v>#REF!</v>
      </c>
      <c r="AN77" s="277" t="e">
        <f t="shared" si="38"/>
        <v>#REF!</v>
      </c>
      <c r="AO77" s="278" t="e">
        <f t="shared" si="35"/>
        <v>#REF!</v>
      </c>
      <c r="AP77" s="1694"/>
      <c r="AQ77" s="1694"/>
      <c r="AR77" s="1694"/>
      <c r="AS77" s="1715"/>
      <c r="AU77" s="276">
        <f t="shared" si="19"/>
        <v>62</v>
      </c>
      <c r="AV77" s="277">
        <f t="shared" si="48"/>
        <v>-2258591.6143275835</v>
      </c>
      <c r="AW77" s="277">
        <f t="shared" si="43"/>
        <v>-2258591.6143275835</v>
      </c>
      <c r="AX77" s="277">
        <v>0</v>
      </c>
      <c r="AY77" s="507">
        <v>0</v>
      </c>
      <c r="AZ77" s="278">
        <f t="shared" si="21"/>
        <v>846561802</v>
      </c>
      <c r="BA77" s="279">
        <f t="shared" si="49"/>
        <v>3.2015500000000002E-2</v>
      </c>
      <c r="BB77" s="279">
        <f t="shared" si="49"/>
        <v>0.01</v>
      </c>
      <c r="BC77" s="1694"/>
      <c r="BD77" s="563">
        <f t="shared" si="31"/>
        <v>-705468.16833333333</v>
      </c>
      <c r="BE77" s="1694"/>
      <c r="BF77" s="1694"/>
      <c r="BG77" s="230" t="s">
        <v>589</v>
      </c>
      <c r="BH77" s="277">
        <f t="shared" si="32"/>
        <v>0</v>
      </c>
      <c r="BI77" s="277">
        <f t="shared" si="33"/>
        <v>0</v>
      </c>
      <c r="BJ77" s="277">
        <v>0</v>
      </c>
      <c r="BK77" s="277"/>
      <c r="BL77" s="278">
        <f t="shared" si="30"/>
        <v>0</v>
      </c>
      <c r="BM77" s="279">
        <f t="shared" si="39"/>
        <v>4.0515499999999996E-2</v>
      </c>
      <c r="BN77" s="279">
        <f t="shared" si="39"/>
        <v>0.01</v>
      </c>
      <c r="BO77" s="1694"/>
      <c r="BP77" s="563">
        <f>-BL76*BN77/12</f>
        <v>0</v>
      </c>
      <c r="BQ77" s="1694"/>
      <c r="BR77" s="1694"/>
    </row>
    <row r="78" spans="1:70" ht="15.75" thickBot="1">
      <c r="A78" s="273" t="s">
        <v>518</v>
      </c>
      <c r="B78" s="274">
        <v>2020</v>
      </c>
      <c r="C78" s="577">
        <v>0</v>
      </c>
      <c r="D78" s="576"/>
      <c r="E78" s="275">
        <f t="shared" si="18"/>
        <v>876561802</v>
      </c>
      <c r="F78" s="276">
        <f t="shared" si="50"/>
        <v>69</v>
      </c>
      <c r="G78" s="277" t="e">
        <f t="shared" si="44"/>
        <v>#REF!</v>
      </c>
      <c r="H78" s="277" t="e">
        <f>-ROUNDDOWN(J77*#REF!,0)</f>
        <v>#REF!</v>
      </c>
      <c r="I78" s="277" t="e">
        <f>IF(ROUNDDOWN(J77,0)=0,0,-#REF!)</f>
        <v>#REF!</v>
      </c>
      <c r="J78" s="278" t="e">
        <f t="shared" si="45"/>
        <v>#REF!</v>
      </c>
      <c r="K78" s="1694"/>
      <c r="L78" s="1694"/>
      <c r="M78" s="1694"/>
      <c r="O78" s="276">
        <f t="shared" si="51"/>
        <v>69</v>
      </c>
      <c r="P78" s="277" t="e">
        <f t="shared" si="40"/>
        <v>#REF!</v>
      </c>
      <c r="Q78" s="277" t="e">
        <f>-S77*#REF!</f>
        <v>#REF!</v>
      </c>
      <c r="R78" s="277" t="e">
        <f>IF(ROUNDDOWN(S77,0)=0,0,-#REF!)</f>
        <v>#REF!</v>
      </c>
      <c r="S78" s="278" t="e">
        <f t="shared" si="46"/>
        <v>#REF!</v>
      </c>
      <c r="T78" s="1694"/>
      <c r="U78" s="1694"/>
      <c r="V78" s="1694"/>
      <c r="X78" s="276">
        <f t="shared" si="52"/>
        <v>69</v>
      </c>
      <c r="Y78" s="277" t="e">
        <f t="shared" si="41"/>
        <v>#REF!</v>
      </c>
      <c r="Z78" s="277" t="e">
        <f>-AB77*#REF!</f>
        <v>#REF!</v>
      </c>
      <c r="AA78" s="277">
        <v>0</v>
      </c>
      <c r="AB78" s="278">
        <f t="shared" si="47"/>
        <v>170000000</v>
      </c>
      <c r="AC78" s="1694"/>
      <c r="AD78" s="1694"/>
      <c r="AE78" s="1694"/>
      <c r="AG78" s="1709"/>
      <c r="AH78" s="1709"/>
      <c r="AI78" s="1709"/>
      <c r="AK78" s="276">
        <f t="shared" si="53"/>
        <v>69</v>
      </c>
      <c r="AL78" s="277" t="e">
        <f t="shared" si="42"/>
        <v>#REF!</v>
      </c>
      <c r="AM78" s="277" t="e">
        <f>-AO77*#REF!</f>
        <v>#REF!</v>
      </c>
      <c r="AN78" s="277" t="e">
        <f t="shared" si="38"/>
        <v>#REF!</v>
      </c>
      <c r="AO78" s="278" t="e">
        <f t="shared" si="35"/>
        <v>#REF!</v>
      </c>
      <c r="AP78" s="1694"/>
      <c r="AQ78" s="1694"/>
      <c r="AR78" s="1694"/>
      <c r="AS78" s="1715"/>
      <c r="AU78" s="276">
        <f t="shared" si="19"/>
        <v>63</v>
      </c>
      <c r="AV78" s="277">
        <f t="shared" si="48"/>
        <v>-2258591.6143275835</v>
      </c>
      <c r="AW78" s="277">
        <f t="shared" si="43"/>
        <v>-2258591.6143275835</v>
      </c>
      <c r="AX78" s="277">
        <v>0</v>
      </c>
      <c r="AY78" s="277">
        <v>30000000</v>
      </c>
      <c r="AZ78" s="278">
        <f t="shared" si="21"/>
        <v>876561802</v>
      </c>
      <c r="BA78" s="279">
        <f t="shared" si="49"/>
        <v>3.2015500000000002E-2</v>
      </c>
      <c r="BB78" s="279">
        <f t="shared" si="49"/>
        <v>0.01</v>
      </c>
      <c r="BC78" s="1694"/>
      <c r="BD78" s="563">
        <f t="shared" si="31"/>
        <v>-705468.16833333333</v>
      </c>
      <c r="BE78" s="1694"/>
      <c r="BF78" s="1694"/>
      <c r="BG78" s="230" t="s">
        <v>283</v>
      </c>
      <c r="BH78" s="277">
        <f t="shared" si="32"/>
        <v>0</v>
      </c>
      <c r="BI78" s="277">
        <f t="shared" si="33"/>
        <v>0</v>
      </c>
      <c r="BJ78" s="277">
        <v>0</v>
      </c>
      <c r="BK78" s="277"/>
      <c r="BL78" s="278">
        <f t="shared" si="30"/>
        <v>0</v>
      </c>
      <c r="BM78" s="279">
        <f t="shared" si="39"/>
        <v>4.0515499999999996E-2</v>
      </c>
      <c r="BN78" s="279">
        <f t="shared" si="39"/>
        <v>0.01</v>
      </c>
      <c r="BO78" s="1694"/>
      <c r="BP78" s="563">
        <f t="shared" ref="BP78:BP141" si="54">-BL77*BN78/12</f>
        <v>0</v>
      </c>
      <c r="BQ78" s="1694"/>
      <c r="BR78" s="1694"/>
    </row>
    <row r="79" spans="1:70" ht="15.75" customHeight="1">
      <c r="A79" s="273" t="s">
        <v>519</v>
      </c>
      <c r="B79" s="274">
        <v>2021</v>
      </c>
      <c r="C79" s="274"/>
      <c r="D79" s="274"/>
      <c r="E79" s="275">
        <f t="shared" si="18"/>
        <v>906561802</v>
      </c>
      <c r="F79" s="276">
        <f t="shared" si="50"/>
        <v>70</v>
      </c>
      <c r="G79" s="277" t="e">
        <f t="shared" si="44"/>
        <v>#REF!</v>
      </c>
      <c r="H79" s="277" t="e">
        <f>-ROUNDDOWN(J78*#REF!,0)</f>
        <v>#REF!</v>
      </c>
      <c r="I79" s="277" t="e">
        <f>IF(ROUNDDOWN(J78,0)=0,0,-#REF!)</f>
        <v>#REF!</v>
      </c>
      <c r="J79" s="278" t="e">
        <f t="shared" si="45"/>
        <v>#REF!</v>
      </c>
      <c r="K79" s="1694"/>
      <c r="L79" s="1694"/>
      <c r="M79" s="1694"/>
      <c r="O79" s="276">
        <f t="shared" si="51"/>
        <v>70</v>
      </c>
      <c r="P79" s="277" t="e">
        <f t="shared" si="40"/>
        <v>#REF!</v>
      </c>
      <c r="Q79" s="277" t="e">
        <f>-S78*#REF!</f>
        <v>#REF!</v>
      </c>
      <c r="R79" s="277" t="e">
        <f>IF(ROUNDDOWN(S78,0)=0,0,-#REF!)</f>
        <v>#REF!</v>
      </c>
      <c r="S79" s="278" t="e">
        <f t="shared" si="46"/>
        <v>#REF!</v>
      </c>
      <c r="T79" s="1694"/>
      <c r="U79" s="1694"/>
      <c r="V79" s="1694"/>
      <c r="X79" s="276">
        <f t="shared" si="52"/>
        <v>70</v>
      </c>
      <c r="Y79" s="277" t="e">
        <f t="shared" si="41"/>
        <v>#REF!</v>
      </c>
      <c r="Z79" s="277" t="e">
        <f>-AB78*#REF!</f>
        <v>#REF!</v>
      </c>
      <c r="AA79" s="277">
        <v>0</v>
      </c>
      <c r="AB79" s="278">
        <f t="shared" si="47"/>
        <v>170000000</v>
      </c>
      <c r="AC79" s="1694"/>
      <c r="AD79" s="1694"/>
      <c r="AE79" s="1694"/>
      <c r="AG79" s="1709"/>
      <c r="AH79" s="1709"/>
      <c r="AI79" s="1709"/>
      <c r="AK79" s="276">
        <f t="shared" si="53"/>
        <v>70</v>
      </c>
      <c r="AL79" s="277" t="e">
        <f t="shared" si="42"/>
        <v>#REF!</v>
      </c>
      <c r="AM79" s="277" t="e">
        <f>-AO78*#REF!</f>
        <v>#REF!</v>
      </c>
      <c r="AN79" s="277" t="e">
        <f t="shared" si="38"/>
        <v>#REF!</v>
      </c>
      <c r="AO79" s="278" t="e">
        <f t="shared" si="35"/>
        <v>#REF!</v>
      </c>
      <c r="AP79" s="1694"/>
      <c r="AQ79" s="1694"/>
      <c r="AR79" s="1694"/>
      <c r="AS79" s="1715"/>
      <c r="AU79" s="276">
        <f t="shared" si="19"/>
        <v>64</v>
      </c>
      <c r="AV79" s="277">
        <f t="shared" si="48"/>
        <v>-2338630.3643275835</v>
      </c>
      <c r="AW79" s="277">
        <f t="shared" si="43"/>
        <v>-2338630.3643275835</v>
      </c>
      <c r="AX79" s="277">
        <v>0</v>
      </c>
      <c r="AY79" s="268">
        <v>30000000</v>
      </c>
      <c r="AZ79" s="278">
        <f t="shared" si="21"/>
        <v>906561802</v>
      </c>
      <c r="BA79" s="279">
        <f t="shared" si="49"/>
        <v>3.2015500000000002E-2</v>
      </c>
      <c r="BB79" s="279">
        <f t="shared" si="49"/>
        <v>0.01</v>
      </c>
      <c r="BC79" s="1694"/>
      <c r="BD79" s="563">
        <f t="shared" si="31"/>
        <v>-730468.16833333333</v>
      </c>
      <c r="BE79" s="1694"/>
      <c r="BF79" s="1694"/>
      <c r="BH79" s="277">
        <f t="shared" si="32"/>
        <v>0</v>
      </c>
      <c r="BI79" s="277">
        <f t="shared" si="33"/>
        <v>0</v>
      </c>
      <c r="BJ79" s="277">
        <v>0</v>
      </c>
      <c r="BK79" s="277">
        <v>0</v>
      </c>
      <c r="BL79" s="278">
        <f t="shared" si="30"/>
        <v>0</v>
      </c>
      <c r="BM79" s="279">
        <f t="shared" si="39"/>
        <v>4.0515499999999996E-2</v>
      </c>
      <c r="BN79" s="279">
        <f t="shared" si="39"/>
        <v>0.01</v>
      </c>
      <c r="BO79" s="1694"/>
      <c r="BP79" s="563">
        <f t="shared" si="54"/>
        <v>0</v>
      </c>
      <c r="BQ79" s="1694"/>
      <c r="BR79" s="1694"/>
    </row>
    <row r="80" spans="1:70" ht="15.75" customHeight="1" thickBot="1">
      <c r="A80" s="273" t="s">
        <v>520</v>
      </c>
      <c r="B80" s="274">
        <v>2021</v>
      </c>
      <c r="C80" s="274"/>
      <c r="D80" s="274"/>
      <c r="E80" s="275">
        <f t="shared" si="18"/>
        <v>940000000</v>
      </c>
      <c r="F80" s="276">
        <f t="shared" si="50"/>
        <v>71</v>
      </c>
      <c r="G80" s="277" t="e">
        <f t="shared" si="44"/>
        <v>#REF!</v>
      </c>
      <c r="H80" s="277" t="e">
        <f>-ROUNDDOWN(J79*#REF!,0)</f>
        <v>#REF!</v>
      </c>
      <c r="I80" s="277" t="e">
        <f>IF(ROUNDDOWN(J79,0)=0,0,-#REF!)</f>
        <v>#REF!</v>
      </c>
      <c r="J80" s="278" t="e">
        <f t="shared" si="45"/>
        <v>#REF!</v>
      </c>
      <c r="K80" s="1694"/>
      <c r="L80" s="1694"/>
      <c r="M80" s="1694"/>
      <c r="O80" s="276">
        <f t="shared" si="51"/>
        <v>71</v>
      </c>
      <c r="P80" s="277" t="e">
        <f t="shared" si="40"/>
        <v>#REF!</v>
      </c>
      <c r="Q80" s="277" t="e">
        <f>-S79*#REF!</f>
        <v>#REF!</v>
      </c>
      <c r="R80" s="277" t="e">
        <f>IF(ROUNDDOWN(S79,0)=0,0,-#REF!)</f>
        <v>#REF!</v>
      </c>
      <c r="S80" s="278" t="e">
        <f t="shared" si="46"/>
        <v>#REF!</v>
      </c>
      <c r="T80" s="1694"/>
      <c r="U80" s="1694"/>
      <c r="V80" s="1694"/>
      <c r="X80" s="276">
        <f t="shared" si="52"/>
        <v>71</v>
      </c>
      <c r="Y80" s="277" t="e">
        <f t="shared" si="41"/>
        <v>#REF!</v>
      </c>
      <c r="Z80" s="277" t="e">
        <f>-AB79*#REF!</f>
        <v>#REF!</v>
      </c>
      <c r="AA80" s="277">
        <v>0</v>
      </c>
      <c r="AB80" s="278">
        <f t="shared" si="47"/>
        <v>170000000</v>
      </c>
      <c r="AC80" s="1694"/>
      <c r="AD80" s="1694"/>
      <c r="AE80" s="1694"/>
      <c r="AG80" s="1709"/>
      <c r="AH80" s="1709"/>
      <c r="AI80" s="1709"/>
      <c r="AK80" s="276">
        <f t="shared" si="53"/>
        <v>71</v>
      </c>
      <c r="AL80" s="277" t="e">
        <f t="shared" si="42"/>
        <v>#REF!</v>
      </c>
      <c r="AM80" s="277" t="e">
        <f>-AO79*#REF!</f>
        <v>#REF!</v>
      </c>
      <c r="AN80" s="277" t="e">
        <f t="shared" si="38"/>
        <v>#REF!</v>
      </c>
      <c r="AO80" s="278" t="e">
        <f t="shared" si="35"/>
        <v>#REF!</v>
      </c>
      <c r="AP80" s="1694"/>
      <c r="AQ80" s="1694"/>
      <c r="AR80" s="1694"/>
      <c r="AS80" s="1715"/>
      <c r="AU80" s="276">
        <f t="shared" si="19"/>
        <v>65</v>
      </c>
      <c r="AV80" s="277">
        <f t="shared" si="48"/>
        <v>-2418669.1143275835</v>
      </c>
      <c r="AW80" s="277">
        <f t="shared" si="43"/>
        <v>-2418669.1143275835</v>
      </c>
      <c r="AX80" s="277">
        <v>0</v>
      </c>
      <c r="AY80" s="268">
        <v>33438198</v>
      </c>
      <c r="AZ80" s="278">
        <f t="shared" si="21"/>
        <v>940000000</v>
      </c>
      <c r="BA80" s="279">
        <f t="shared" si="49"/>
        <v>3.2015500000000002E-2</v>
      </c>
      <c r="BB80" s="279">
        <f t="shared" si="49"/>
        <v>0.01</v>
      </c>
      <c r="BC80" s="1694"/>
      <c r="BD80" s="563">
        <f t="shared" si="31"/>
        <v>-755468.16833333333</v>
      </c>
      <c r="BE80" s="1694"/>
      <c r="BF80" s="1694"/>
      <c r="BH80" s="277">
        <f t="shared" si="32"/>
        <v>0</v>
      </c>
      <c r="BI80" s="277">
        <f t="shared" si="33"/>
        <v>0</v>
      </c>
      <c r="BJ80" s="277">
        <v>0</v>
      </c>
      <c r="BK80" s="277"/>
      <c r="BL80" s="278">
        <f t="shared" si="30"/>
        <v>0</v>
      </c>
      <c r="BM80" s="279">
        <f t="shared" si="39"/>
        <v>4.0515499999999996E-2</v>
      </c>
      <c r="BN80" s="279">
        <f t="shared" si="39"/>
        <v>0.01</v>
      </c>
      <c r="BO80" s="1694"/>
      <c r="BP80" s="563">
        <f t="shared" si="54"/>
        <v>0</v>
      </c>
      <c r="BQ80" s="1694"/>
      <c r="BR80" s="1694"/>
    </row>
    <row r="81" spans="1:70" ht="15.75" customHeight="1" thickBot="1">
      <c r="A81" s="273" t="s">
        <v>521</v>
      </c>
      <c r="B81" s="274">
        <v>2021</v>
      </c>
      <c r="C81" s="577">
        <v>0</v>
      </c>
      <c r="D81" s="576"/>
      <c r="E81" s="275">
        <f t="shared" ref="E81:E144" si="55">AZ81</f>
        <v>970000000</v>
      </c>
      <c r="F81" s="276">
        <f t="shared" si="50"/>
        <v>72</v>
      </c>
      <c r="G81" s="277" t="e">
        <f t="shared" si="44"/>
        <v>#REF!</v>
      </c>
      <c r="H81" s="277" t="e">
        <f>-ROUNDDOWN(J80*#REF!,0)</f>
        <v>#REF!</v>
      </c>
      <c r="I81" s="277" t="e">
        <f>IF(ROUNDDOWN(J80,0)=0,0,-#REF!)</f>
        <v>#REF!</v>
      </c>
      <c r="J81" s="278" t="e">
        <f t="shared" si="45"/>
        <v>#REF!</v>
      </c>
      <c r="K81" s="1694"/>
      <c r="L81" s="1694"/>
      <c r="M81" s="1694"/>
      <c r="O81" s="276">
        <f t="shared" si="51"/>
        <v>72</v>
      </c>
      <c r="P81" s="277" t="e">
        <f t="shared" si="40"/>
        <v>#REF!</v>
      </c>
      <c r="Q81" s="277" t="e">
        <f>-S80*#REF!</f>
        <v>#REF!</v>
      </c>
      <c r="R81" s="277" t="e">
        <f>IF(ROUNDDOWN(S80,0)=0,0,-#REF!)</f>
        <v>#REF!</v>
      </c>
      <c r="S81" s="278" t="e">
        <f t="shared" si="46"/>
        <v>#REF!</v>
      </c>
      <c r="T81" s="1694"/>
      <c r="U81" s="1694"/>
      <c r="V81" s="1694"/>
      <c r="X81" s="276">
        <f t="shared" si="52"/>
        <v>72</v>
      </c>
      <c r="Y81" s="277" t="e">
        <f t="shared" si="41"/>
        <v>#REF!</v>
      </c>
      <c r="Z81" s="277" t="e">
        <f>-AB80*#REF!</f>
        <v>#REF!</v>
      </c>
      <c r="AA81" s="277">
        <v>0</v>
      </c>
      <c r="AB81" s="278">
        <f t="shared" si="47"/>
        <v>170000000</v>
      </c>
      <c r="AC81" s="1694"/>
      <c r="AD81" s="1694"/>
      <c r="AE81" s="1694"/>
      <c r="AG81" s="1709"/>
      <c r="AH81" s="1709"/>
      <c r="AI81" s="1709"/>
      <c r="AK81" s="276">
        <f t="shared" si="53"/>
        <v>72</v>
      </c>
      <c r="AL81" s="277" t="e">
        <f t="shared" si="42"/>
        <v>#REF!</v>
      </c>
      <c r="AM81" s="277" t="e">
        <f>-AO80*#REF!</f>
        <v>#REF!</v>
      </c>
      <c r="AN81" s="277" t="e">
        <f t="shared" si="38"/>
        <v>#REF!</v>
      </c>
      <c r="AO81" s="278" t="e">
        <f t="shared" si="35"/>
        <v>#REF!</v>
      </c>
      <c r="AP81" s="1694"/>
      <c r="AQ81" s="1694"/>
      <c r="AR81" s="1694"/>
      <c r="AS81" s="1715"/>
      <c r="AU81" s="276">
        <f t="shared" ref="AU81:AU144" si="56">AU80+1</f>
        <v>66</v>
      </c>
      <c r="AV81" s="277">
        <f t="shared" si="48"/>
        <v>-2507880.8333333335</v>
      </c>
      <c r="AW81" s="277">
        <f t="shared" si="43"/>
        <v>-2507880.8333333335</v>
      </c>
      <c r="AX81" s="277">
        <v>0</v>
      </c>
      <c r="AY81" s="277">
        <v>30000000</v>
      </c>
      <c r="AZ81" s="278">
        <f t="shared" ref="AZ81:AZ144" si="57">SUM(AX81:AY81)+AZ80</f>
        <v>970000000</v>
      </c>
      <c r="BA81" s="279">
        <f t="shared" si="49"/>
        <v>3.2015500000000002E-2</v>
      </c>
      <c r="BB81" s="279">
        <f t="shared" si="49"/>
        <v>0.01</v>
      </c>
      <c r="BC81" s="1694"/>
      <c r="BD81" s="563">
        <f t="shared" si="31"/>
        <v>-783333.33333333337</v>
      </c>
      <c r="BE81" s="1694"/>
      <c r="BF81" s="1694"/>
      <c r="BG81" s="229">
        <f>'Cashflow trend'!G23</f>
        <v>165676.57245760833</v>
      </c>
      <c r="BH81" s="277">
        <f t="shared" si="32"/>
        <v>0</v>
      </c>
      <c r="BI81" s="277">
        <f t="shared" si="33"/>
        <v>0</v>
      </c>
      <c r="BJ81" s="277">
        <v>0</v>
      </c>
      <c r="BK81" s="277">
        <v>0</v>
      </c>
      <c r="BL81" s="278">
        <f t="shared" si="30"/>
        <v>0</v>
      </c>
      <c r="BM81" s="279">
        <f t="shared" si="39"/>
        <v>4.0515499999999996E-2</v>
      </c>
      <c r="BN81" s="279">
        <f t="shared" si="39"/>
        <v>0.01</v>
      </c>
      <c r="BO81" s="1694"/>
      <c r="BP81" s="563">
        <f t="shared" si="54"/>
        <v>0</v>
      </c>
      <c r="BQ81" s="1694"/>
      <c r="BR81" s="1694"/>
    </row>
    <row r="82" spans="1:70" ht="15.75" customHeight="1">
      <c r="A82" s="270" t="s">
        <v>510</v>
      </c>
      <c r="B82" s="266">
        <v>2021</v>
      </c>
      <c r="C82" s="266"/>
      <c r="D82" s="580"/>
      <c r="E82" s="265">
        <f t="shared" si="55"/>
        <v>970000000</v>
      </c>
      <c r="F82" s="267">
        <f t="shared" si="50"/>
        <v>73</v>
      </c>
      <c r="G82" s="268" t="e">
        <f t="shared" si="44"/>
        <v>#REF!</v>
      </c>
      <c r="H82" s="268" t="e">
        <f>-ROUNDDOWN(J81*#REF!,0)</f>
        <v>#REF!</v>
      </c>
      <c r="I82" s="268" t="e">
        <f>IF(ROUNDDOWN(J81,0)=0,0,-#REF!)</f>
        <v>#REF!</v>
      </c>
      <c r="J82" s="269" t="e">
        <f t="shared" si="45"/>
        <v>#REF!</v>
      </c>
      <c r="K82" s="1695" t="s">
        <v>6</v>
      </c>
      <c r="L82" s="1695" t="e">
        <f>SUM(H82:H93)</f>
        <v>#REF!</v>
      </c>
      <c r="M82" s="1695" t="e">
        <f>SUM(I82:I93)</f>
        <v>#REF!</v>
      </c>
      <c r="O82" s="267">
        <f t="shared" si="51"/>
        <v>73</v>
      </c>
      <c r="P82" s="268" t="e">
        <f t="shared" si="40"/>
        <v>#REF!</v>
      </c>
      <c r="Q82" s="268" t="e">
        <f>-S81*#REF!</f>
        <v>#REF!</v>
      </c>
      <c r="R82" s="268" t="e">
        <f>IF(ROUNDDOWN(S81,0)=0,0,-#REF!)</f>
        <v>#REF!</v>
      </c>
      <c r="S82" s="269" t="e">
        <f t="shared" si="46"/>
        <v>#REF!</v>
      </c>
      <c r="T82" s="1695" t="s">
        <v>6</v>
      </c>
      <c r="U82" s="1695" t="e">
        <f>SUM(Q82:Q93)</f>
        <v>#REF!</v>
      </c>
      <c r="V82" s="1695" t="e">
        <f>SUM(R82:R93)</f>
        <v>#REF!</v>
      </c>
      <c r="X82" s="267">
        <f t="shared" si="52"/>
        <v>73</v>
      </c>
      <c r="Y82" s="268" t="e">
        <f t="shared" si="41"/>
        <v>#REF!</v>
      </c>
      <c r="Z82" s="268" t="e">
        <f>-AB81*#REF!</f>
        <v>#REF!</v>
      </c>
      <c r="AA82" s="268" t="e">
        <f>IF(ROUNDDOWN(AB81,0)=0,0,-#REF!)</f>
        <v>#REF!</v>
      </c>
      <c r="AB82" s="269" t="e">
        <f t="shared" si="47"/>
        <v>#REF!</v>
      </c>
      <c r="AC82" s="1695" t="s">
        <v>6</v>
      </c>
      <c r="AD82" s="1695" t="e">
        <f>SUM(Z82:Z93)</f>
        <v>#REF!</v>
      </c>
      <c r="AE82" s="1695" t="e">
        <f>SUM(AA82:AA93)</f>
        <v>#REF!</v>
      </c>
      <c r="AG82" s="1710" t="s">
        <v>6</v>
      </c>
      <c r="AH82" s="1710" t="e">
        <f>L82+U82+AD82</f>
        <v>#REF!</v>
      </c>
      <c r="AI82" s="1710" t="e">
        <f>M82+V82+AE82</f>
        <v>#REF!</v>
      </c>
      <c r="AK82" s="267">
        <f t="shared" si="53"/>
        <v>73</v>
      </c>
      <c r="AL82" s="268" t="e">
        <f t="shared" si="42"/>
        <v>#REF!</v>
      </c>
      <c r="AM82" s="268" t="e">
        <f>-AO81*#REF!</f>
        <v>#REF!</v>
      </c>
      <c r="AN82" s="268" t="e">
        <f>$AR$82/12</f>
        <v>#REF!</v>
      </c>
      <c r="AO82" s="269" t="e">
        <f t="shared" si="35"/>
        <v>#REF!</v>
      </c>
      <c r="AP82" s="1695" t="s">
        <v>6</v>
      </c>
      <c r="AQ82" s="1695" t="e">
        <f>SUM(AM82:AM93)</f>
        <v>#REF!</v>
      </c>
      <c r="AR82" s="1695" t="e">
        <f>-AS82*#REF!</f>
        <v>#REF!</v>
      </c>
      <c r="AS82" s="1711">
        <v>0.2</v>
      </c>
      <c r="AU82" s="267">
        <f t="shared" si="56"/>
        <v>67</v>
      </c>
      <c r="AV82" s="268">
        <f t="shared" si="48"/>
        <v>-2587919.5833333335</v>
      </c>
      <c r="AW82" s="268">
        <f t="shared" si="43"/>
        <v>-2587919.5833333335</v>
      </c>
      <c r="AX82" s="268">
        <v>0</v>
      </c>
      <c r="AY82" s="268">
        <v>0</v>
      </c>
      <c r="AZ82" s="269">
        <f t="shared" si="57"/>
        <v>970000000</v>
      </c>
      <c r="BA82" s="272">
        <f t="shared" si="49"/>
        <v>3.2015500000000002E-2</v>
      </c>
      <c r="BB82" s="272">
        <f t="shared" si="49"/>
        <v>0.01</v>
      </c>
      <c r="BC82" s="1695" t="s">
        <v>6</v>
      </c>
      <c r="BD82" s="565">
        <f t="shared" si="31"/>
        <v>-808333.33333333337</v>
      </c>
      <c r="BE82" s="1695">
        <f>SUM(AW82:AW93)</f>
        <v>-30977397.412499998</v>
      </c>
      <c r="BF82" s="1695">
        <f>SUM(AX82:AY93)</f>
        <v>-19400000</v>
      </c>
      <c r="BH82" s="268">
        <f t="shared" si="32"/>
        <v>0</v>
      </c>
      <c r="BI82" s="268">
        <f t="shared" si="33"/>
        <v>0</v>
      </c>
      <c r="BJ82" s="268">
        <v>0</v>
      </c>
      <c r="BK82" s="268"/>
      <c r="BL82" s="269">
        <f t="shared" si="30"/>
        <v>0</v>
      </c>
      <c r="BM82" s="272">
        <f t="shared" si="39"/>
        <v>4.0515499999999996E-2</v>
      </c>
      <c r="BN82" s="272">
        <f t="shared" si="39"/>
        <v>0.01</v>
      </c>
      <c r="BO82" s="1695" t="s">
        <v>6</v>
      </c>
      <c r="BP82" s="565">
        <f t="shared" si="54"/>
        <v>0</v>
      </c>
      <c r="BQ82" s="1695">
        <f>SUM(BI82:BI93)</f>
        <v>-1671264.3749999998</v>
      </c>
      <c r="BR82" s="1695">
        <f>SUM(BJ82:BK93)</f>
        <v>125000000</v>
      </c>
    </row>
    <row r="83" spans="1:70" ht="15.75" customHeight="1" thickBot="1">
      <c r="A83" s="270" t="s">
        <v>511</v>
      </c>
      <c r="B83" s="266">
        <v>2021</v>
      </c>
      <c r="C83" s="266"/>
      <c r="D83" s="580"/>
      <c r="E83" s="265">
        <f t="shared" si="55"/>
        <v>970000000</v>
      </c>
      <c r="F83" s="267">
        <f t="shared" si="50"/>
        <v>74</v>
      </c>
      <c r="G83" s="268" t="e">
        <f t="shared" si="44"/>
        <v>#REF!</v>
      </c>
      <c r="H83" s="268" t="e">
        <f>-ROUNDDOWN(J82*#REF!,0)</f>
        <v>#REF!</v>
      </c>
      <c r="I83" s="268" t="e">
        <f>IF(ROUNDDOWN(J82,0)=0,0,-#REF!)</f>
        <v>#REF!</v>
      </c>
      <c r="J83" s="269" t="e">
        <f t="shared" si="45"/>
        <v>#REF!</v>
      </c>
      <c r="K83" s="1695"/>
      <c r="L83" s="1695"/>
      <c r="M83" s="1695"/>
      <c r="O83" s="267">
        <f t="shared" si="51"/>
        <v>74</v>
      </c>
      <c r="P83" s="268" t="e">
        <f t="shared" si="40"/>
        <v>#REF!</v>
      </c>
      <c r="Q83" s="268" t="e">
        <f>-S82*#REF!</f>
        <v>#REF!</v>
      </c>
      <c r="R83" s="268" t="e">
        <f>IF(ROUNDDOWN(S82,0)=0,0,-#REF!)</f>
        <v>#REF!</v>
      </c>
      <c r="S83" s="269" t="e">
        <f t="shared" si="46"/>
        <v>#REF!</v>
      </c>
      <c r="T83" s="1695"/>
      <c r="U83" s="1695"/>
      <c r="V83" s="1695"/>
      <c r="X83" s="267">
        <f t="shared" si="52"/>
        <v>74</v>
      </c>
      <c r="Y83" s="268" t="e">
        <f t="shared" si="41"/>
        <v>#REF!</v>
      </c>
      <c r="Z83" s="268" t="e">
        <f>-AB82*#REF!</f>
        <v>#REF!</v>
      </c>
      <c r="AA83" s="268" t="e">
        <f>IF(ROUNDDOWN(AB82,0)=0,0,-#REF!)</f>
        <v>#REF!</v>
      </c>
      <c r="AB83" s="269" t="e">
        <f t="shared" si="47"/>
        <v>#REF!</v>
      </c>
      <c r="AC83" s="1695"/>
      <c r="AD83" s="1695"/>
      <c r="AE83" s="1695"/>
      <c r="AG83" s="1710"/>
      <c r="AH83" s="1710"/>
      <c r="AI83" s="1710"/>
      <c r="AK83" s="267">
        <f t="shared" si="53"/>
        <v>74</v>
      </c>
      <c r="AL83" s="268" t="e">
        <f t="shared" si="42"/>
        <v>#REF!</v>
      </c>
      <c r="AM83" s="268" t="e">
        <f>-AO82*#REF!</f>
        <v>#REF!</v>
      </c>
      <c r="AN83" s="268" t="e">
        <f t="shared" ref="AN83:AN93" si="58">$AR$82/12</f>
        <v>#REF!</v>
      </c>
      <c r="AO83" s="269" t="e">
        <f t="shared" si="35"/>
        <v>#REF!</v>
      </c>
      <c r="AP83" s="1695"/>
      <c r="AQ83" s="1695"/>
      <c r="AR83" s="1695"/>
      <c r="AS83" s="1711"/>
      <c r="AU83" s="267">
        <f t="shared" si="56"/>
        <v>68</v>
      </c>
      <c r="AV83" s="268">
        <f t="shared" si="48"/>
        <v>-2587919.5833333335</v>
      </c>
      <c r="AW83" s="268">
        <f t="shared" ref="AW83:AW146" si="59">-AZ82*BA82/12</f>
        <v>-2587919.5833333335</v>
      </c>
      <c r="AX83" s="268">
        <v>0</v>
      </c>
      <c r="AY83" s="268">
        <v>0</v>
      </c>
      <c r="AZ83" s="269">
        <f t="shared" si="57"/>
        <v>970000000</v>
      </c>
      <c r="BA83" s="272">
        <f t="shared" si="49"/>
        <v>3.2015500000000002E-2</v>
      </c>
      <c r="BB83" s="272">
        <f t="shared" si="49"/>
        <v>0.01</v>
      </c>
      <c r="BC83" s="1695"/>
      <c r="BD83" s="565">
        <f t="shared" si="31"/>
        <v>-808333.33333333337</v>
      </c>
      <c r="BE83" s="1695"/>
      <c r="BF83" s="1695"/>
      <c r="BH83" s="268">
        <f t="shared" si="32"/>
        <v>0</v>
      </c>
      <c r="BI83" s="268">
        <f t="shared" si="33"/>
        <v>0</v>
      </c>
      <c r="BJ83" s="268">
        <v>0</v>
      </c>
      <c r="BK83" s="268"/>
      <c r="BL83" s="269">
        <f t="shared" si="30"/>
        <v>0</v>
      </c>
      <c r="BM83" s="272">
        <f t="shared" si="39"/>
        <v>4.0515499999999996E-2</v>
      </c>
      <c r="BN83" s="272">
        <f t="shared" si="39"/>
        <v>0.01</v>
      </c>
      <c r="BO83" s="1695"/>
      <c r="BP83" s="565">
        <f t="shared" si="54"/>
        <v>0</v>
      </c>
      <c r="BQ83" s="1695"/>
      <c r="BR83" s="1695"/>
    </row>
    <row r="84" spans="1:70" ht="15.75" customHeight="1" thickBot="1">
      <c r="A84" s="270" t="s">
        <v>512</v>
      </c>
      <c r="B84" s="266">
        <v>2021</v>
      </c>
      <c r="C84" s="579">
        <v>0</v>
      </c>
      <c r="D84" s="578"/>
      <c r="E84" s="265">
        <f t="shared" si="55"/>
        <v>970000000</v>
      </c>
      <c r="F84" s="267">
        <f t="shared" si="50"/>
        <v>75</v>
      </c>
      <c r="G84" s="268" t="e">
        <f t="shared" si="44"/>
        <v>#REF!</v>
      </c>
      <c r="H84" s="268" t="e">
        <f>-ROUNDDOWN(J83*#REF!,0)</f>
        <v>#REF!</v>
      </c>
      <c r="I84" s="268" t="e">
        <f>IF(ROUNDDOWN(J83,0)=0,0,-#REF!)</f>
        <v>#REF!</v>
      </c>
      <c r="J84" s="269" t="e">
        <f t="shared" si="45"/>
        <v>#REF!</v>
      </c>
      <c r="K84" s="1695"/>
      <c r="L84" s="1695"/>
      <c r="M84" s="1695"/>
      <c r="O84" s="267">
        <f t="shared" si="51"/>
        <v>75</v>
      </c>
      <c r="P84" s="268" t="e">
        <f t="shared" si="40"/>
        <v>#REF!</v>
      </c>
      <c r="Q84" s="268" t="e">
        <f>-S83*#REF!</f>
        <v>#REF!</v>
      </c>
      <c r="R84" s="268" t="e">
        <f>IF(ROUNDDOWN(S83,0)=0,0,-#REF!)</f>
        <v>#REF!</v>
      </c>
      <c r="S84" s="269" t="e">
        <f t="shared" si="46"/>
        <v>#REF!</v>
      </c>
      <c r="T84" s="1695"/>
      <c r="U84" s="1695"/>
      <c r="V84" s="1695"/>
      <c r="X84" s="267">
        <f t="shared" si="52"/>
        <v>75</v>
      </c>
      <c r="Y84" s="268" t="e">
        <f t="shared" si="41"/>
        <v>#REF!</v>
      </c>
      <c r="Z84" s="268" t="e">
        <f>-AB83*#REF!</f>
        <v>#REF!</v>
      </c>
      <c r="AA84" s="268" t="e">
        <f>IF(ROUNDDOWN(AB83,0)=0,0,-#REF!)</f>
        <v>#REF!</v>
      </c>
      <c r="AB84" s="269" t="e">
        <f t="shared" si="47"/>
        <v>#REF!</v>
      </c>
      <c r="AC84" s="1695"/>
      <c r="AD84" s="1695"/>
      <c r="AE84" s="1695"/>
      <c r="AG84" s="1710"/>
      <c r="AH84" s="1710"/>
      <c r="AI84" s="1710"/>
      <c r="AK84" s="267">
        <f t="shared" si="53"/>
        <v>75</v>
      </c>
      <c r="AL84" s="268" t="e">
        <f t="shared" si="42"/>
        <v>#REF!</v>
      </c>
      <c r="AM84" s="268" t="e">
        <f>-AO83*#REF!</f>
        <v>#REF!</v>
      </c>
      <c r="AN84" s="268" t="e">
        <f t="shared" si="58"/>
        <v>#REF!</v>
      </c>
      <c r="AO84" s="269" t="e">
        <f t="shared" si="35"/>
        <v>#REF!</v>
      </c>
      <c r="AP84" s="1695"/>
      <c r="AQ84" s="1695"/>
      <c r="AR84" s="1695"/>
      <c r="AS84" s="1711"/>
      <c r="AU84" s="267">
        <f t="shared" si="56"/>
        <v>69</v>
      </c>
      <c r="AV84" s="268">
        <f t="shared" si="48"/>
        <v>-2587919.5833333335</v>
      </c>
      <c r="AW84" s="268">
        <f t="shared" si="59"/>
        <v>-2587919.5833333335</v>
      </c>
      <c r="AX84" s="268">
        <v>0</v>
      </c>
      <c r="AY84" s="268"/>
      <c r="AZ84" s="269">
        <f t="shared" si="57"/>
        <v>970000000</v>
      </c>
      <c r="BA84" s="272">
        <f t="shared" si="49"/>
        <v>3.2015500000000002E-2</v>
      </c>
      <c r="BB84" s="272">
        <f t="shared" si="49"/>
        <v>0.01</v>
      </c>
      <c r="BC84" s="1695"/>
      <c r="BD84" s="565">
        <f t="shared" si="31"/>
        <v>-808333.33333333337</v>
      </c>
      <c r="BE84" s="1695"/>
      <c r="BF84" s="1695"/>
      <c r="BH84" s="268">
        <f t="shared" si="32"/>
        <v>0</v>
      </c>
      <c r="BI84" s="268">
        <f t="shared" si="33"/>
        <v>0</v>
      </c>
      <c r="BJ84" s="268">
        <v>0</v>
      </c>
      <c r="BK84" s="268">
        <v>20000000</v>
      </c>
      <c r="BL84" s="269">
        <f t="shared" si="30"/>
        <v>20000000</v>
      </c>
      <c r="BM84" s="272">
        <f t="shared" si="39"/>
        <v>4.0515499999999996E-2</v>
      </c>
      <c r="BN84" s="272">
        <f t="shared" si="39"/>
        <v>0.01</v>
      </c>
      <c r="BO84" s="1695"/>
      <c r="BP84" s="565">
        <f t="shared" si="54"/>
        <v>0</v>
      </c>
      <c r="BQ84" s="1695"/>
      <c r="BR84" s="1695"/>
    </row>
    <row r="85" spans="1:70" ht="15.75" customHeight="1">
      <c r="A85" s="270" t="s">
        <v>513</v>
      </c>
      <c r="B85" s="266">
        <v>2021</v>
      </c>
      <c r="C85" s="266"/>
      <c r="D85" s="580"/>
      <c r="E85" s="265">
        <f t="shared" si="55"/>
        <v>970000000</v>
      </c>
      <c r="F85" s="267">
        <f t="shared" si="50"/>
        <v>76</v>
      </c>
      <c r="G85" s="268" t="e">
        <f t="shared" si="44"/>
        <v>#REF!</v>
      </c>
      <c r="H85" s="268" t="e">
        <f>-ROUNDDOWN(J84*#REF!,0)</f>
        <v>#REF!</v>
      </c>
      <c r="I85" s="268" t="e">
        <f>IF(ROUNDDOWN(J84,0)=0,0,-#REF!)</f>
        <v>#REF!</v>
      </c>
      <c r="J85" s="269" t="e">
        <f t="shared" si="45"/>
        <v>#REF!</v>
      </c>
      <c r="K85" s="1695"/>
      <c r="L85" s="1695"/>
      <c r="M85" s="1695"/>
      <c r="O85" s="267">
        <f t="shared" si="51"/>
        <v>76</v>
      </c>
      <c r="P85" s="268" t="e">
        <f t="shared" si="40"/>
        <v>#REF!</v>
      </c>
      <c r="Q85" s="268" t="e">
        <f>-S84*#REF!</f>
        <v>#REF!</v>
      </c>
      <c r="R85" s="268" t="e">
        <f>IF(ROUNDDOWN(S84,0)=0,0,-#REF!)</f>
        <v>#REF!</v>
      </c>
      <c r="S85" s="269" t="e">
        <f t="shared" si="46"/>
        <v>#REF!</v>
      </c>
      <c r="T85" s="1695"/>
      <c r="U85" s="1695"/>
      <c r="V85" s="1695"/>
      <c r="X85" s="267">
        <f t="shared" si="52"/>
        <v>76</v>
      </c>
      <c r="Y85" s="268" t="e">
        <f t="shared" si="41"/>
        <v>#REF!</v>
      </c>
      <c r="Z85" s="268" t="e">
        <f>-AB84*#REF!</f>
        <v>#REF!</v>
      </c>
      <c r="AA85" s="268" t="e">
        <f>IF(ROUNDDOWN(AB84,0)=0,0,-#REF!)</f>
        <v>#REF!</v>
      </c>
      <c r="AB85" s="269" t="e">
        <f t="shared" si="47"/>
        <v>#REF!</v>
      </c>
      <c r="AC85" s="1695"/>
      <c r="AD85" s="1695"/>
      <c r="AE85" s="1695"/>
      <c r="AG85" s="1710"/>
      <c r="AH85" s="1710"/>
      <c r="AI85" s="1710"/>
      <c r="AK85" s="267">
        <f t="shared" si="53"/>
        <v>76</v>
      </c>
      <c r="AL85" s="268" t="e">
        <f t="shared" si="42"/>
        <v>#REF!</v>
      </c>
      <c r="AM85" s="268" t="e">
        <f>-AO84*#REF!</f>
        <v>#REF!</v>
      </c>
      <c r="AN85" s="268" t="e">
        <f t="shared" si="58"/>
        <v>#REF!</v>
      </c>
      <c r="AO85" s="269" t="e">
        <f t="shared" si="35"/>
        <v>#REF!</v>
      </c>
      <c r="AP85" s="1695"/>
      <c r="AQ85" s="1695"/>
      <c r="AR85" s="1695"/>
      <c r="AS85" s="1711"/>
      <c r="AU85" s="267">
        <f t="shared" si="56"/>
        <v>70</v>
      </c>
      <c r="AV85" s="268">
        <f t="shared" si="48"/>
        <v>-2587919.5833333335</v>
      </c>
      <c r="AW85" s="268">
        <f t="shared" si="59"/>
        <v>-2587919.5833333335</v>
      </c>
      <c r="AX85" s="268">
        <v>0</v>
      </c>
      <c r="AY85" s="268"/>
      <c r="AZ85" s="269">
        <f t="shared" si="57"/>
        <v>970000000</v>
      </c>
      <c r="BA85" s="272">
        <f t="shared" si="49"/>
        <v>3.2015500000000002E-2</v>
      </c>
      <c r="BB85" s="272">
        <f t="shared" si="49"/>
        <v>0.01</v>
      </c>
      <c r="BC85" s="1695"/>
      <c r="BD85" s="565">
        <f t="shared" si="31"/>
        <v>-808333.33333333337</v>
      </c>
      <c r="BE85" s="1695"/>
      <c r="BF85" s="1695"/>
      <c r="BH85" s="268">
        <f t="shared" si="32"/>
        <v>-67525.833333333328</v>
      </c>
      <c r="BI85" s="268">
        <f t="shared" si="33"/>
        <v>-67525.833333333328</v>
      </c>
      <c r="BJ85" s="268">
        <v>0</v>
      </c>
      <c r="BK85" s="268"/>
      <c r="BL85" s="269">
        <f t="shared" si="30"/>
        <v>20000000</v>
      </c>
      <c r="BM85" s="272">
        <f t="shared" si="39"/>
        <v>4.0515499999999996E-2</v>
      </c>
      <c r="BN85" s="272">
        <f t="shared" si="39"/>
        <v>0.01</v>
      </c>
      <c r="BO85" s="1695"/>
      <c r="BP85" s="565">
        <f t="shared" si="54"/>
        <v>-16666.666666666668</v>
      </c>
      <c r="BQ85" s="1695"/>
      <c r="BR85" s="1695"/>
    </row>
    <row r="86" spans="1:70" ht="16.5" customHeight="1" thickBot="1">
      <c r="A86" s="270" t="s">
        <v>514</v>
      </c>
      <c r="B86" s="266">
        <v>2021</v>
      </c>
      <c r="C86" s="266"/>
      <c r="D86" s="580"/>
      <c r="E86" s="265">
        <f t="shared" si="55"/>
        <v>970000000</v>
      </c>
      <c r="F86" s="267">
        <f t="shared" si="50"/>
        <v>77</v>
      </c>
      <c r="G86" s="268" t="e">
        <f t="shared" si="44"/>
        <v>#REF!</v>
      </c>
      <c r="H86" s="268" t="e">
        <f>-ROUNDDOWN(J85*#REF!,0)</f>
        <v>#REF!</v>
      </c>
      <c r="I86" s="268" t="e">
        <f>IF(ROUNDDOWN(J85,0)=0,0,-#REF!)</f>
        <v>#REF!</v>
      </c>
      <c r="J86" s="269" t="e">
        <f t="shared" si="45"/>
        <v>#REF!</v>
      </c>
      <c r="K86" s="1695"/>
      <c r="L86" s="1695"/>
      <c r="M86" s="1695"/>
      <c r="O86" s="267">
        <f t="shared" si="51"/>
        <v>77</v>
      </c>
      <c r="P86" s="268" t="e">
        <f t="shared" si="40"/>
        <v>#REF!</v>
      </c>
      <c r="Q86" s="268" t="e">
        <f>-S85*#REF!</f>
        <v>#REF!</v>
      </c>
      <c r="R86" s="268" t="e">
        <f>IF(ROUNDDOWN(S85,0)=0,0,-#REF!)</f>
        <v>#REF!</v>
      </c>
      <c r="S86" s="269" t="e">
        <f t="shared" si="46"/>
        <v>#REF!</v>
      </c>
      <c r="T86" s="1695"/>
      <c r="U86" s="1695"/>
      <c r="V86" s="1695"/>
      <c r="X86" s="267">
        <f t="shared" si="52"/>
        <v>77</v>
      </c>
      <c r="Y86" s="268" t="e">
        <f t="shared" si="41"/>
        <v>#REF!</v>
      </c>
      <c r="Z86" s="268" t="e">
        <f>-AB85*#REF!</f>
        <v>#REF!</v>
      </c>
      <c r="AA86" s="268" t="e">
        <f>IF(ROUNDDOWN(AB85,0)=0,0,-#REF!)</f>
        <v>#REF!</v>
      </c>
      <c r="AB86" s="269" t="e">
        <f t="shared" si="47"/>
        <v>#REF!</v>
      </c>
      <c r="AC86" s="1695"/>
      <c r="AD86" s="1695"/>
      <c r="AE86" s="1695"/>
      <c r="AG86" s="1710"/>
      <c r="AH86" s="1710"/>
      <c r="AI86" s="1710"/>
      <c r="AK86" s="267">
        <f t="shared" si="53"/>
        <v>77</v>
      </c>
      <c r="AL86" s="268" t="e">
        <f t="shared" si="42"/>
        <v>#REF!</v>
      </c>
      <c r="AM86" s="268" t="e">
        <f>-AO85*#REF!</f>
        <v>#REF!</v>
      </c>
      <c r="AN86" s="268" t="e">
        <f t="shared" si="58"/>
        <v>#REF!</v>
      </c>
      <c r="AO86" s="269" t="e">
        <f t="shared" si="35"/>
        <v>#REF!</v>
      </c>
      <c r="AP86" s="1695"/>
      <c r="AQ86" s="1695"/>
      <c r="AR86" s="1695"/>
      <c r="AS86" s="1711"/>
      <c r="AU86" s="267">
        <f t="shared" si="56"/>
        <v>71</v>
      </c>
      <c r="AV86" s="268">
        <f t="shared" si="48"/>
        <v>-2587919.5833333335</v>
      </c>
      <c r="AW86" s="268">
        <f t="shared" si="59"/>
        <v>-2587919.5833333335</v>
      </c>
      <c r="AX86" s="268">
        <v>0</v>
      </c>
      <c r="AY86" s="268"/>
      <c r="AZ86" s="269">
        <f t="shared" si="57"/>
        <v>970000000</v>
      </c>
      <c r="BA86" s="272">
        <f t="shared" si="49"/>
        <v>3.2015500000000002E-2</v>
      </c>
      <c r="BB86" s="272">
        <f t="shared" si="49"/>
        <v>0.01</v>
      </c>
      <c r="BC86" s="1695"/>
      <c r="BD86" s="565">
        <f t="shared" si="31"/>
        <v>-808333.33333333337</v>
      </c>
      <c r="BE86" s="1695"/>
      <c r="BF86" s="1695"/>
      <c r="BH86" s="268">
        <f t="shared" si="32"/>
        <v>-67525.833333333328</v>
      </c>
      <c r="BI86" s="268">
        <f t="shared" si="33"/>
        <v>-67525.833333333328</v>
      </c>
      <c r="BJ86" s="268">
        <v>0</v>
      </c>
      <c r="BK86" s="268"/>
      <c r="BL86" s="269">
        <f t="shared" si="30"/>
        <v>20000000</v>
      </c>
      <c r="BM86" s="272">
        <f t="shared" si="39"/>
        <v>4.0515499999999996E-2</v>
      </c>
      <c r="BN86" s="272">
        <f t="shared" si="39"/>
        <v>0.01</v>
      </c>
      <c r="BO86" s="1695"/>
      <c r="BP86" s="565">
        <f t="shared" si="54"/>
        <v>-16666.666666666668</v>
      </c>
      <c r="BQ86" s="1695"/>
      <c r="BR86" s="1695"/>
    </row>
    <row r="87" spans="1:70" ht="16.5" customHeight="1" thickBot="1">
      <c r="A87" s="270" t="s">
        <v>515</v>
      </c>
      <c r="B87" s="266">
        <v>2021</v>
      </c>
      <c r="C87" s="579">
        <v>0</v>
      </c>
      <c r="D87" s="578"/>
      <c r="E87" s="265">
        <f t="shared" si="55"/>
        <v>970000000</v>
      </c>
      <c r="F87" s="282">
        <f t="shared" si="50"/>
        <v>78</v>
      </c>
      <c r="G87" s="268" t="e">
        <f t="shared" si="44"/>
        <v>#REF!</v>
      </c>
      <c r="H87" s="268" t="e">
        <f>-ROUNDDOWN(J86*#REF!,0)</f>
        <v>#REF!</v>
      </c>
      <c r="I87" s="268" t="e">
        <f>IF(ROUNDDOWN(J86,0)=0,0,-#REF!)</f>
        <v>#REF!</v>
      </c>
      <c r="J87" s="269" t="e">
        <f t="shared" si="45"/>
        <v>#REF!</v>
      </c>
      <c r="K87" s="1695"/>
      <c r="L87" s="1695"/>
      <c r="M87" s="1695"/>
      <c r="O87" s="267">
        <f t="shared" si="51"/>
        <v>78</v>
      </c>
      <c r="P87" s="268" t="e">
        <f t="shared" si="40"/>
        <v>#REF!</v>
      </c>
      <c r="Q87" s="268" t="e">
        <f>-S86*#REF!</f>
        <v>#REF!</v>
      </c>
      <c r="R87" s="268" t="e">
        <f>IF(ROUNDDOWN(S86,0)=0,0,-#REF!)</f>
        <v>#REF!</v>
      </c>
      <c r="S87" s="269" t="e">
        <f t="shared" si="46"/>
        <v>#REF!</v>
      </c>
      <c r="T87" s="1695"/>
      <c r="U87" s="1695"/>
      <c r="V87" s="1695"/>
      <c r="X87" s="267">
        <f t="shared" si="52"/>
        <v>78</v>
      </c>
      <c r="Y87" s="268" t="e">
        <f t="shared" si="41"/>
        <v>#REF!</v>
      </c>
      <c r="Z87" s="268" t="e">
        <f>-AB86*#REF!</f>
        <v>#REF!</v>
      </c>
      <c r="AA87" s="268" t="e">
        <f>IF(ROUNDDOWN(AB86,0)=0,0,-#REF!)</f>
        <v>#REF!</v>
      </c>
      <c r="AB87" s="269" t="e">
        <f t="shared" si="47"/>
        <v>#REF!</v>
      </c>
      <c r="AC87" s="1695"/>
      <c r="AD87" s="1695"/>
      <c r="AE87" s="1695"/>
      <c r="AG87" s="1710"/>
      <c r="AH87" s="1710"/>
      <c r="AI87" s="1710"/>
      <c r="AK87" s="267">
        <f t="shared" si="53"/>
        <v>78</v>
      </c>
      <c r="AL87" s="268" t="e">
        <f t="shared" si="42"/>
        <v>#REF!</v>
      </c>
      <c r="AM87" s="268" t="e">
        <f>-AO86*#REF!</f>
        <v>#REF!</v>
      </c>
      <c r="AN87" s="268" t="e">
        <f t="shared" si="58"/>
        <v>#REF!</v>
      </c>
      <c r="AO87" s="269" t="e">
        <f t="shared" si="35"/>
        <v>#REF!</v>
      </c>
      <c r="AP87" s="1695"/>
      <c r="AQ87" s="1695"/>
      <c r="AR87" s="1695"/>
      <c r="AS87" s="1711"/>
      <c r="AU87" s="267">
        <f t="shared" si="56"/>
        <v>72</v>
      </c>
      <c r="AV87" s="268">
        <f t="shared" si="48"/>
        <v>-2587919.5833333335</v>
      </c>
      <c r="AW87" s="268">
        <f t="shared" si="59"/>
        <v>-2587919.5833333335</v>
      </c>
      <c r="AX87" s="268">
        <v>0</v>
      </c>
      <c r="AY87" s="268"/>
      <c r="AZ87" s="269">
        <f t="shared" si="57"/>
        <v>970000000</v>
      </c>
      <c r="BA87" s="272">
        <f t="shared" si="49"/>
        <v>3.2015500000000002E-2</v>
      </c>
      <c r="BB87" s="272">
        <f t="shared" si="49"/>
        <v>0.01</v>
      </c>
      <c r="BC87" s="1695"/>
      <c r="BD87" s="565">
        <f t="shared" si="31"/>
        <v>-808333.33333333337</v>
      </c>
      <c r="BE87" s="1695"/>
      <c r="BF87" s="1695"/>
      <c r="BH87" s="268">
        <f t="shared" si="32"/>
        <v>-67525.833333333328</v>
      </c>
      <c r="BI87" s="268">
        <f t="shared" si="33"/>
        <v>-67525.833333333328</v>
      </c>
      <c r="BJ87" s="268">
        <v>0</v>
      </c>
      <c r="BK87" s="268">
        <v>35000000</v>
      </c>
      <c r="BL87" s="269">
        <f t="shared" si="30"/>
        <v>55000000</v>
      </c>
      <c r="BM87" s="272">
        <f t="shared" ref="BM87:BN94" si="60">BM86</f>
        <v>4.0515499999999996E-2</v>
      </c>
      <c r="BN87" s="272">
        <f t="shared" si="60"/>
        <v>0.01</v>
      </c>
      <c r="BO87" s="1695"/>
      <c r="BP87" s="565">
        <f t="shared" si="54"/>
        <v>-16666.666666666668</v>
      </c>
      <c r="BQ87" s="1695"/>
      <c r="BR87" s="1695"/>
    </row>
    <row r="88" spans="1:70" ht="15.75" customHeight="1">
      <c r="A88" s="270" t="s">
        <v>516</v>
      </c>
      <c r="B88" s="266">
        <v>2021</v>
      </c>
      <c r="C88" s="266"/>
      <c r="D88" s="266"/>
      <c r="E88" s="265">
        <f t="shared" si="55"/>
        <v>970000000</v>
      </c>
      <c r="F88" s="267">
        <f t="shared" si="50"/>
        <v>79</v>
      </c>
      <c r="G88" s="268" t="e">
        <f t="shared" si="44"/>
        <v>#REF!</v>
      </c>
      <c r="H88" s="268" t="e">
        <f>-ROUNDDOWN(J87*#REF!,0)</f>
        <v>#REF!</v>
      </c>
      <c r="I88" s="268" t="e">
        <f>IF(ROUNDDOWN(J87,0)=0,0,-#REF!)</f>
        <v>#REF!</v>
      </c>
      <c r="J88" s="269" t="e">
        <f t="shared" si="45"/>
        <v>#REF!</v>
      </c>
      <c r="K88" s="1695"/>
      <c r="L88" s="1695"/>
      <c r="M88" s="1695"/>
      <c r="O88" s="267">
        <f t="shared" si="51"/>
        <v>79</v>
      </c>
      <c r="P88" s="268" t="e">
        <f t="shared" si="40"/>
        <v>#REF!</v>
      </c>
      <c r="Q88" s="268" t="e">
        <f>-S87*#REF!</f>
        <v>#REF!</v>
      </c>
      <c r="R88" s="268" t="e">
        <f>IF(ROUNDDOWN(S87,0)=0,0,-#REF!)</f>
        <v>#REF!</v>
      </c>
      <c r="S88" s="269" t="e">
        <f t="shared" si="46"/>
        <v>#REF!</v>
      </c>
      <c r="T88" s="1695"/>
      <c r="U88" s="1695"/>
      <c r="V88" s="1695"/>
      <c r="X88" s="267">
        <f t="shared" si="52"/>
        <v>79</v>
      </c>
      <c r="Y88" s="268" t="e">
        <f t="shared" si="41"/>
        <v>#REF!</v>
      </c>
      <c r="Z88" s="268" t="e">
        <f>-AB87*#REF!</f>
        <v>#REF!</v>
      </c>
      <c r="AA88" s="268" t="e">
        <f>IF(ROUNDDOWN(AB87,0)=0,0,-#REF!)</f>
        <v>#REF!</v>
      </c>
      <c r="AB88" s="269" t="e">
        <f t="shared" si="47"/>
        <v>#REF!</v>
      </c>
      <c r="AC88" s="1695"/>
      <c r="AD88" s="1695"/>
      <c r="AE88" s="1695"/>
      <c r="AG88" s="1710"/>
      <c r="AH88" s="1710"/>
      <c r="AI88" s="1710"/>
      <c r="AK88" s="267">
        <f t="shared" si="53"/>
        <v>79</v>
      </c>
      <c r="AL88" s="268" t="e">
        <f t="shared" si="42"/>
        <v>#REF!</v>
      </c>
      <c r="AM88" s="268" t="e">
        <f>-AO87*#REF!</f>
        <v>#REF!</v>
      </c>
      <c r="AN88" s="268" t="e">
        <f t="shared" si="58"/>
        <v>#REF!</v>
      </c>
      <c r="AO88" s="269" t="e">
        <f t="shared" si="35"/>
        <v>#REF!</v>
      </c>
      <c r="AP88" s="1695"/>
      <c r="AQ88" s="1695"/>
      <c r="AR88" s="1695"/>
      <c r="AS88" s="1711"/>
      <c r="AU88" s="267">
        <f t="shared" si="56"/>
        <v>73</v>
      </c>
      <c r="AV88" s="268">
        <f t="shared" si="48"/>
        <v>-2587919.5833333335</v>
      </c>
      <c r="AW88" s="268">
        <f t="shared" si="59"/>
        <v>-2587919.5833333335</v>
      </c>
      <c r="AX88" s="268">
        <v>0</v>
      </c>
      <c r="AY88" s="268"/>
      <c r="AZ88" s="269">
        <f>SUM(AX88:AY88)+AZ87</f>
        <v>970000000</v>
      </c>
      <c r="BA88" s="272">
        <f t="shared" si="49"/>
        <v>3.2015500000000002E-2</v>
      </c>
      <c r="BB88" s="272">
        <f t="shared" si="49"/>
        <v>0.01</v>
      </c>
      <c r="BC88" s="1695"/>
      <c r="BD88" s="565">
        <f t="shared" si="31"/>
        <v>-808333.33333333337</v>
      </c>
      <c r="BE88" s="1695"/>
      <c r="BF88" s="1695"/>
      <c r="BH88" s="268">
        <f t="shared" si="32"/>
        <v>-185696.04166666666</v>
      </c>
      <c r="BI88" s="268">
        <f t="shared" si="33"/>
        <v>-185696.04166666666</v>
      </c>
      <c r="BJ88" s="268">
        <v>0</v>
      </c>
      <c r="BK88" s="268"/>
      <c r="BL88" s="269">
        <f>SUM(BJ88:BK88)+BL87</f>
        <v>55000000</v>
      </c>
      <c r="BM88" s="272">
        <f t="shared" si="60"/>
        <v>4.0515499999999996E-2</v>
      </c>
      <c r="BN88" s="272">
        <f t="shared" si="60"/>
        <v>0.01</v>
      </c>
      <c r="BO88" s="1695"/>
      <c r="BP88" s="565">
        <f t="shared" si="54"/>
        <v>-45833.333333333336</v>
      </c>
      <c r="BQ88" s="1695"/>
      <c r="BR88" s="1695"/>
    </row>
    <row r="89" spans="1:70" ht="15.75" customHeight="1" thickBot="1">
      <c r="A89" s="270" t="s">
        <v>517</v>
      </c>
      <c r="B89" s="266">
        <v>2021</v>
      </c>
      <c r="C89" s="266"/>
      <c r="D89" s="266"/>
      <c r="E89" s="265">
        <f t="shared" si="55"/>
        <v>970000000</v>
      </c>
      <c r="F89" s="267">
        <f t="shared" si="50"/>
        <v>80</v>
      </c>
      <c r="G89" s="268" t="e">
        <f t="shared" si="44"/>
        <v>#REF!</v>
      </c>
      <c r="H89" s="268" t="e">
        <f>-ROUNDDOWN(J88*#REF!,0)</f>
        <v>#REF!</v>
      </c>
      <c r="I89" s="268" t="e">
        <f>IF(ROUNDDOWN(J88,0)=0,0,-#REF!)</f>
        <v>#REF!</v>
      </c>
      <c r="J89" s="269" t="e">
        <f t="shared" si="45"/>
        <v>#REF!</v>
      </c>
      <c r="K89" s="1695"/>
      <c r="L89" s="1695"/>
      <c r="M89" s="1695"/>
      <c r="O89" s="267">
        <f t="shared" si="51"/>
        <v>80</v>
      </c>
      <c r="P89" s="268" t="e">
        <f t="shared" si="40"/>
        <v>#REF!</v>
      </c>
      <c r="Q89" s="268" t="e">
        <f>-S88*#REF!</f>
        <v>#REF!</v>
      </c>
      <c r="R89" s="268" t="e">
        <f>IF(ROUNDDOWN(S88,0)=0,0,-#REF!)</f>
        <v>#REF!</v>
      </c>
      <c r="S89" s="269" t="e">
        <f t="shared" si="46"/>
        <v>#REF!</v>
      </c>
      <c r="T89" s="1695"/>
      <c r="U89" s="1695"/>
      <c r="V89" s="1695"/>
      <c r="X89" s="267">
        <f t="shared" si="52"/>
        <v>80</v>
      </c>
      <c r="Y89" s="268" t="e">
        <f t="shared" si="41"/>
        <v>#REF!</v>
      </c>
      <c r="Z89" s="268" t="e">
        <f>-AB88*#REF!</f>
        <v>#REF!</v>
      </c>
      <c r="AA89" s="268" t="e">
        <f>IF(ROUNDDOWN(AB88,0)=0,0,-#REF!)</f>
        <v>#REF!</v>
      </c>
      <c r="AB89" s="269" t="e">
        <f t="shared" si="47"/>
        <v>#REF!</v>
      </c>
      <c r="AC89" s="1695"/>
      <c r="AD89" s="1695"/>
      <c r="AE89" s="1695"/>
      <c r="AG89" s="1710"/>
      <c r="AH89" s="1710"/>
      <c r="AI89" s="1710"/>
      <c r="AK89" s="267">
        <f t="shared" si="53"/>
        <v>80</v>
      </c>
      <c r="AL89" s="268" t="e">
        <f t="shared" si="42"/>
        <v>#REF!</v>
      </c>
      <c r="AM89" s="268" t="e">
        <f>-AO88*#REF!</f>
        <v>#REF!</v>
      </c>
      <c r="AN89" s="268" t="e">
        <f t="shared" si="58"/>
        <v>#REF!</v>
      </c>
      <c r="AO89" s="269" t="e">
        <f t="shared" si="35"/>
        <v>#REF!</v>
      </c>
      <c r="AP89" s="1695"/>
      <c r="AQ89" s="1695"/>
      <c r="AR89" s="1695"/>
      <c r="AS89" s="1711"/>
      <c r="AU89" s="267">
        <f t="shared" si="56"/>
        <v>74</v>
      </c>
      <c r="AV89" s="268">
        <f t="shared" si="48"/>
        <v>-2587919.5833333335</v>
      </c>
      <c r="AW89" s="268">
        <f t="shared" si="59"/>
        <v>-2587919.5833333335</v>
      </c>
      <c r="AX89" s="268">
        <v>0</v>
      </c>
      <c r="AY89" s="268"/>
      <c r="AZ89" s="569">
        <f t="shared" si="57"/>
        <v>970000000</v>
      </c>
      <c r="BA89" s="272">
        <f t="shared" si="49"/>
        <v>3.2015500000000002E-2</v>
      </c>
      <c r="BB89" s="272">
        <f t="shared" si="49"/>
        <v>0.01</v>
      </c>
      <c r="BC89" s="1695"/>
      <c r="BD89" s="565">
        <f t="shared" si="31"/>
        <v>-808333.33333333337</v>
      </c>
      <c r="BE89" s="1695"/>
      <c r="BF89" s="1695"/>
      <c r="BH89" s="268">
        <f t="shared" si="32"/>
        <v>-185696.04166666666</v>
      </c>
      <c r="BI89" s="268">
        <f t="shared" si="33"/>
        <v>-185696.04166666666</v>
      </c>
      <c r="BJ89" s="268">
        <v>0</v>
      </c>
      <c r="BK89" s="268"/>
      <c r="BL89" s="269">
        <f t="shared" ref="BL89:BL152" si="61">SUM(BJ89:BK89)+BL88</f>
        <v>55000000</v>
      </c>
      <c r="BM89" s="272">
        <f t="shared" si="60"/>
        <v>4.0515499999999996E-2</v>
      </c>
      <c r="BN89" s="272">
        <f t="shared" si="60"/>
        <v>0.01</v>
      </c>
      <c r="BO89" s="1695"/>
      <c r="BP89" s="565">
        <f t="shared" si="54"/>
        <v>-45833.333333333336</v>
      </c>
      <c r="BQ89" s="1695"/>
      <c r="BR89" s="1695"/>
    </row>
    <row r="90" spans="1:70" ht="15.75" customHeight="1" thickBot="1">
      <c r="A90" s="270" t="s">
        <v>518</v>
      </c>
      <c r="B90" s="266">
        <v>2021</v>
      </c>
      <c r="C90" s="579">
        <v>0.01</v>
      </c>
      <c r="D90" s="578"/>
      <c r="E90" s="265">
        <f t="shared" si="55"/>
        <v>960300000</v>
      </c>
      <c r="F90" s="267">
        <f t="shared" si="50"/>
        <v>81</v>
      </c>
      <c r="G90" s="268" t="e">
        <f t="shared" si="44"/>
        <v>#REF!</v>
      </c>
      <c r="H90" s="268" t="e">
        <f>-ROUNDDOWN(J89*#REF!,0)</f>
        <v>#REF!</v>
      </c>
      <c r="I90" s="268" t="e">
        <f>IF(ROUNDDOWN(J89,0)=0,0,-#REF!)</f>
        <v>#REF!</v>
      </c>
      <c r="J90" s="269" t="e">
        <f t="shared" si="45"/>
        <v>#REF!</v>
      </c>
      <c r="K90" s="1695"/>
      <c r="L90" s="1695"/>
      <c r="M90" s="1695"/>
      <c r="O90" s="267">
        <f t="shared" si="51"/>
        <v>81</v>
      </c>
      <c r="P90" s="268" t="e">
        <f t="shared" si="40"/>
        <v>#REF!</v>
      </c>
      <c r="Q90" s="268" t="e">
        <f>-S89*#REF!</f>
        <v>#REF!</v>
      </c>
      <c r="R90" s="268" t="e">
        <f>IF(ROUNDDOWN(S89,0)=0,0,-#REF!)</f>
        <v>#REF!</v>
      </c>
      <c r="S90" s="269" t="e">
        <f t="shared" si="46"/>
        <v>#REF!</v>
      </c>
      <c r="T90" s="1695"/>
      <c r="U90" s="1695"/>
      <c r="V90" s="1695"/>
      <c r="X90" s="267">
        <f t="shared" si="52"/>
        <v>81</v>
      </c>
      <c r="Y90" s="268" t="e">
        <f t="shared" si="41"/>
        <v>#REF!</v>
      </c>
      <c r="Z90" s="268" t="e">
        <f>-AB89*#REF!</f>
        <v>#REF!</v>
      </c>
      <c r="AA90" s="268" t="e">
        <f>IF(ROUNDDOWN(AB89,0)=0,0,-#REF!)</f>
        <v>#REF!</v>
      </c>
      <c r="AB90" s="269" t="e">
        <f t="shared" si="47"/>
        <v>#REF!</v>
      </c>
      <c r="AC90" s="1695"/>
      <c r="AD90" s="1695"/>
      <c r="AE90" s="1695"/>
      <c r="AG90" s="1710"/>
      <c r="AH90" s="1710"/>
      <c r="AI90" s="1710"/>
      <c r="AK90" s="267">
        <f t="shared" si="53"/>
        <v>81</v>
      </c>
      <c r="AL90" s="268" t="e">
        <f t="shared" si="42"/>
        <v>#REF!</v>
      </c>
      <c r="AM90" s="268" t="e">
        <f>-AO89*#REF!</f>
        <v>#REF!</v>
      </c>
      <c r="AN90" s="268" t="e">
        <f t="shared" si="58"/>
        <v>#REF!</v>
      </c>
      <c r="AO90" s="269" t="e">
        <f t="shared" si="35"/>
        <v>#REF!</v>
      </c>
      <c r="AP90" s="1695"/>
      <c r="AQ90" s="1695"/>
      <c r="AR90" s="1695"/>
      <c r="AS90" s="1711"/>
      <c r="AU90" s="267">
        <f t="shared" si="56"/>
        <v>75</v>
      </c>
      <c r="AV90" s="268">
        <f t="shared" si="48"/>
        <v>-12287919.583333334</v>
      </c>
      <c r="AW90" s="268">
        <f t="shared" si="59"/>
        <v>-2587919.5833333335</v>
      </c>
      <c r="AX90" s="268">
        <f t="shared" ref="AX90:AX121" si="62">-$AZ$89*C90</f>
        <v>-9700000</v>
      </c>
      <c r="AY90" s="268"/>
      <c r="AZ90" s="269">
        <f t="shared" si="57"/>
        <v>960300000</v>
      </c>
      <c r="BA90" s="272">
        <f t="shared" si="49"/>
        <v>3.2015500000000002E-2</v>
      </c>
      <c r="BB90" s="272">
        <f t="shared" si="49"/>
        <v>0.01</v>
      </c>
      <c r="BC90" s="1695"/>
      <c r="BD90" s="565">
        <f t="shared" si="31"/>
        <v>-808333.33333333337</v>
      </c>
      <c r="BE90" s="1695"/>
      <c r="BF90" s="1695"/>
      <c r="BH90" s="268">
        <f t="shared" si="32"/>
        <v>-185696.04166666666</v>
      </c>
      <c r="BI90" s="268">
        <f t="shared" si="33"/>
        <v>-185696.04166666666</v>
      </c>
      <c r="BJ90" s="268">
        <v>0</v>
      </c>
      <c r="BK90" s="268">
        <v>35000000</v>
      </c>
      <c r="BL90" s="269">
        <f t="shared" si="61"/>
        <v>90000000</v>
      </c>
      <c r="BM90" s="272">
        <f t="shared" si="60"/>
        <v>4.0515499999999996E-2</v>
      </c>
      <c r="BN90" s="272">
        <f t="shared" si="60"/>
        <v>0.01</v>
      </c>
      <c r="BO90" s="1695"/>
      <c r="BP90" s="565">
        <f t="shared" si="54"/>
        <v>-45833.333333333336</v>
      </c>
      <c r="BQ90" s="1695"/>
      <c r="BR90" s="1695"/>
    </row>
    <row r="91" spans="1:70" ht="15.75" customHeight="1">
      <c r="A91" s="270" t="s">
        <v>519</v>
      </c>
      <c r="B91" s="266">
        <v>2022</v>
      </c>
      <c r="C91" s="266"/>
      <c r="D91" s="266"/>
      <c r="E91" s="265">
        <f t="shared" si="55"/>
        <v>960300000</v>
      </c>
      <c r="F91" s="267">
        <f t="shared" si="50"/>
        <v>82</v>
      </c>
      <c r="G91" s="268" t="e">
        <f t="shared" si="44"/>
        <v>#REF!</v>
      </c>
      <c r="H91" s="268" t="e">
        <f>-ROUNDDOWN(J90*#REF!,0)</f>
        <v>#REF!</v>
      </c>
      <c r="I91" s="268" t="e">
        <f>IF(ROUNDDOWN(J90,0)=0,0,-#REF!)</f>
        <v>#REF!</v>
      </c>
      <c r="J91" s="269" t="e">
        <f t="shared" si="45"/>
        <v>#REF!</v>
      </c>
      <c r="K91" s="1695"/>
      <c r="L91" s="1695"/>
      <c r="M91" s="1695"/>
      <c r="O91" s="267">
        <f t="shared" si="51"/>
        <v>82</v>
      </c>
      <c r="P91" s="268" t="e">
        <f t="shared" si="40"/>
        <v>#REF!</v>
      </c>
      <c r="Q91" s="268" t="e">
        <f>-S90*#REF!</f>
        <v>#REF!</v>
      </c>
      <c r="R91" s="268" t="e">
        <f>IF(ROUNDDOWN(S90,0)=0,0,-#REF!)</f>
        <v>#REF!</v>
      </c>
      <c r="S91" s="269" t="e">
        <f t="shared" si="46"/>
        <v>#REF!</v>
      </c>
      <c r="T91" s="1695"/>
      <c r="U91" s="1695"/>
      <c r="V91" s="1695"/>
      <c r="X91" s="267">
        <f t="shared" si="52"/>
        <v>82</v>
      </c>
      <c r="Y91" s="268" t="e">
        <f t="shared" si="41"/>
        <v>#REF!</v>
      </c>
      <c r="Z91" s="268" t="e">
        <f>-AB90*#REF!</f>
        <v>#REF!</v>
      </c>
      <c r="AA91" s="268" t="e">
        <f>IF(ROUNDDOWN(AB90,0)=0,0,-#REF!)</f>
        <v>#REF!</v>
      </c>
      <c r="AB91" s="269" t="e">
        <f t="shared" si="47"/>
        <v>#REF!</v>
      </c>
      <c r="AC91" s="1695"/>
      <c r="AD91" s="1695"/>
      <c r="AE91" s="1695"/>
      <c r="AG91" s="1710"/>
      <c r="AH91" s="1710"/>
      <c r="AI91" s="1710"/>
      <c r="AK91" s="267">
        <f t="shared" si="53"/>
        <v>82</v>
      </c>
      <c r="AL91" s="268" t="e">
        <f t="shared" si="42"/>
        <v>#REF!</v>
      </c>
      <c r="AM91" s="268" t="e">
        <f>-AO90*#REF!</f>
        <v>#REF!</v>
      </c>
      <c r="AN91" s="268" t="e">
        <f t="shared" si="58"/>
        <v>#REF!</v>
      </c>
      <c r="AO91" s="269" t="e">
        <f t="shared" si="35"/>
        <v>#REF!</v>
      </c>
      <c r="AP91" s="1695"/>
      <c r="AQ91" s="1695"/>
      <c r="AR91" s="1695"/>
      <c r="AS91" s="1711"/>
      <c r="AU91" s="267">
        <f t="shared" si="56"/>
        <v>76</v>
      </c>
      <c r="AV91" s="268">
        <f t="shared" si="48"/>
        <v>-2562040.3875000002</v>
      </c>
      <c r="AW91" s="268">
        <f t="shared" si="59"/>
        <v>-2562040.3875000002</v>
      </c>
      <c r="AX91" s="268">
        <f t="shared" si="62"/>
        <v>0</v>
      </c>
      <c r="AY91" s="268"/>
      <c r="AZ91" s="269">
        <f t="shared" si="57"/>
        <v>960300000</v>
      </c>
      <c r="BA91" s="272">
        <f t="shared" ref="BA91:BB106" si="63">BA90</f>
        <v>3.2015500000000002E-2</v>
      </c>
      <c r="BB91" s="272">
        <f t="shared" si="63"/>
        <v>0.01</v>
      </c>
      <c r="BC91" s="1695"/>
      <c r="BD91" s="565">
        <f t="shared" si="31"/>
        <v>-800250</v>
      </c>
      <c r="BE91" s="1695"/>
      <c r="BF91" s="1695"/>
      <c r="BH91" s="268">
        <f t="shared" si="32"/>
        <v>-303866.24999999994</v>
      </c>
      <c r="BI91" s="268">
        <f t="shared" si="33"/>
        <v>-303866.24999999994</v>
      </c>
      <c r="BJ91" s="268">
        <v>0</v>
      </c>
      <c r="BK91" s="268"/>
      <c r="BL91" s="269">
        <f t="shared" si="61"/>
        <v>90000000</v>
      </c>
      <c r="BM91" s="272">
        <f t="shared" si="60"/>
        <v>4.0515499999999996E-2</v>
      </c>
      <c r="BN91" s="272">
        <f t="shared" si="60"/>
        <v>0.01</v>
      </c>
      <c r="BO91" s="1695"/>
      <c r="BP91" s="565">
        <f t="shared" si="54"/>
        <v>-75000</v>
      </c>
      <c r="BQ91" s="1695"/>
      <c r="BR91" s="1695"/>
    </row>
    <row r="92" spans="1:70" ht="15.75" customHeight="1" thickBot="1">
      <c r="A92" s="270" t="s">
        <v>520</v>
      </c>
      <c r="B92" s="266">
        <v>2022</v>
      </c>
      <c r="C92" s="266"/>
      <c r="D92" s="266"/>
      <c r="E92" s="265">
        <f t="shared" si="55"/>
        <v>960300000</v>
      </c>
      <c r="F92" s="267">
        <f t="shared" si="50"/>
        <v>83</v>
      </c>
      <c r="G92" s="268" t="e">
        <f t="shared" si="44"/>
        <v>#REF!</v>
      </c>
      <c r="H92" s="268" t="e">
        <f>-ROUNDDOWN(J91*#REF!,0)</f>
        <v>#REF!</v>
      </c>
      <c r="I92" s="268" t="e">
        <f>IF(ROUNDDOWN(J91,0)=0,0,-#REF!)</f>
        <v>#REF!</v>
      </c>
      <c r="J92" s="269" t="e">
        <f t="shared" si="45"/>
        <v>#REF!</v>
      </c>
      <c r="K92" s="1695"/>
      <c r="L92" s="1695"/>
      <c r="M92" s="1695"/>
      <c r="O92" s="267">
        <f t="shared" si="51"/>
        <v>83</v>
      </c>
      <c r="P92" s="268" t="e">
        <f t="shared" si="40"/>
        <v>#REF!</v>
      </c>
      <c r="Q92" s="268" t="e">
        <f>-S91*#REF!</f>
        <v>#REF!</v>
      </c>
      <c r="R92" s="268" t="e">
        <f>IF(ROUNDDOWN(S91,0)=0,0,-#REF!)</f>
        <v>#REF!</v>
      </c>
      <c r="S92" s="269" t="e">
        <f t="shared" si="46"/>
        <v>#REF!</v>
      </c>
      <c r="T92" s="1695"/>
      <c r="U92" s="1695"/>
      <c r="V92" s="1695"/>
      <c r="X92" s="267">
        <f t="shared" si="52"/>
        <v>83</v>
      </c>
      <c r="Y92" s="268" t="e">
        <f t="shared" si="41"/>
        <v>#REF!</v>
      </c>
      <c r="Z92" s="268" t="e">
        <f>-AB91*#REF!</f>
        <v>#REF!</v>
      </c>
      <c r="AA92" s="268" t="e">
        <f>IF(ROUNDDOWN(AB91,0)=0,0,-#REF!)</f>
        <v>#REF!</v>
      </c>
      <c r="AB92" s="269" t="e">
        <f t="shared" si="47"/>
        <v>#REF!</v>
      </c>
      <c r="AC92" s="1695"/>
      <c r="AD92" s="1695"/>
      <c r="AE92" s="1695"/>
      <c r="AG92" s="1710"/>
      <c r="AH92" s="1710"/>
      <c r="AI92" s="1710"/>
      <c r="AK92" s="267">
        <f t="shared" si="53"/>
        <v>83</v>
      </c>
      <c r="AL92" s="268" t="e">
        <f t="shared" si="42"/>
        <v>#REF!</v>
      </c>
      <c r="AM92" s="268" t="e">
        <f>-AO91*#REF!</f>
        <v>#REF!</v>
      </c>
      <c r="AN92" s="268" t="e">
        <f t="shared" si="58"/>
        <v>#REF!</v>
      </c>
      <c r="AO92" s="269" t="e">
        <f t="shared" si="35"/>
        <v>#REF!</v>
      </c>
      <c r="AP92" s="1695"/>
      <c r="AQ92" s="1695"/>
      <c r="AR92" s="1695"/>
      <c r="AS92" s="1711"/>
      <c r="AU92" s="267">
        <f t="shared" si="56"/>
        <v>77</v>
      </c>
      <c r="AV92" s="268">
        <f t="shared" si="48"/>
        <v>-2562040.3875000002</v>
      </c>
      <c r="AW92" s="268">
        <f t="shared" si="59"/>
        <v>-2562040.3875000002</v>
      </c>
      <c r="AX92" s="268">
        <f t="shared" si="62"/>
        <v>0</v>
      </c>
      <c r="AY92" s="268"/>
      <c r="AZ92" s="269">
        <f t="shared" si="57"/>
        <v>960300000</v>
      </c>
      <c r="BA92" s="272">
        <f t="shared" si="63"/>
        <v>3.2015500000000002E-2</v>
      </c>
      <c r="BB92" s="272">
        <f t="shared" si="63"/>
        <v>0.01</v>
      </c>
      <c r="BC92" s="1695"/>
      <c r="BD92" s="565">
        <f t="shared" si="31"/>
        <v>-800250</v>
      </c>
      <c r="BE92" s="1695"/>
      <c r="BF92" s="1695"/>
      <c r="BH92" s="268">
        <f t="shared" si="32"/>
        <v>-303866.24999999994</v>
      </c>
      <c r="BI92" s="268">
        <f t="shared" si="33"/>
        <v>-303866.24999999994</v>
      </c>
      <c r="BJ92" s="268">
        <v>0</v>
      </c>
      <c r="BK92" s="268"/>
      <c r="BL92" s="269">
        <f t="shared" si="61"/>
        <v>90000000</v>
      </c>
      <c r="BM92" s="272">
        <f>BM91</f>
        <v>4.0515499999999996E-2</v>
      </c>
      <c r="BN92" s="272">
        <f t="shared" si="60"/>
        <v>0.01</v>
      </c>
      <c r="BO92" s="1695"/>
      <c r="BP92" s="565">
        <f t="shared" si="54"/>
        <v>-75000</v>
      </c>
      <c r="BQ92" s="1695"/>
      <c r="BR92" s="1695"/>
    </row>
    <row r="93" spans="1:70" ht="15.75" customHeight="1" thickBot="1">
      <c r="A93" s="270" t="s">
        <v>521</v>
      </c>
      <c r="B93" s="266">
        <v>2022</v>
      </c>
      <c r="C93" s="579">
        <f>IF($C$7=2,1%+D93,1%)</f>
        <v>0.01</v>
      </c>
      <c r="D93" s="578"/>
      <c r="E93" s="265">
        <f t="shared" si="55"/>
        <v>950600000</v>
      </c>
      <c r="F93" s="267">
        <f t="shared" si="50"/>
        <v>84</v>
      </c>
      <c r="G93" s="268" t="e">
        <f t="shared" si="44"/>
        <v>#REF!</v>
      </c>
      <c r="H93" s="268" t="e">
        <f>-ROUNDDOWN(J92*#REF!,0)</f>
        <v>#REF!</v>
      </c>
      <c r="I93" s="268" t="e">
        <f>IF(ROUNDDOWN(J92,0)=0,0,-#REF!)</f>
        <v>#REF!</v>
      </c>
      <c r="J93" s="269" t="e">
        <f t="shared" si="45"/>
        <v>#REF!</v>
      </c>
      <c r="K93" s="1695"/>
      <c r="L93" s="1695"/>
      <c r="M93" s="1695"/>
      <c r="O93" s="267">
        <f t="shared" si="51"/>
        <v>84</v>
      </c>
      <c r="P93" s="268" t="e">
        <f t="shared" si="40"/>
        <v>#REF!</v>
      </c>
      <c r="Q93" s="268" t="e">
        <f>-S92*#REF!</f>
        <v>#REF!</v>
      </c>
      <c r="R93" s="268" t="e">
        <f>IF(ROUNDDOWN(S92,0)=0,0,-#REF!)</f>
        <v>#REF!</v>
      </c>
      <c r="S93" s="269" t="e">
        <f t="shared" si="46"/>
        <v>#REF!</v>
      </c>
      <c r="T93" s="1695"/>
      <c r="U93" s="1695"/>
      <c r="V93" s="1695"/>
      <c r="X93" s="267">
        <f t="shared" si="52"/>
        <v>84</v>
      </c>
      <c r="Y93" s="268" t="e">
        <f t="shared" si="41"/>
        <v>#REF!</v>
      </c>
      <c r="Z93" s="268" t="e">
        <f>-AB92*#REF!</f>
        <v>#REF!</v>
      </c>
      <c r="AA93" s="268" t="e">
        <f>IF(ROUNDDOWN(AB92,0)=0,0,-#REF!)</f>
        <v>#REF!</v>
      </c>
      <c r="AB93" s="269" t="e">
        <f t="shared" si="47"/>
        <v>#REF!</v>
      </c>
      <c r="AC93" s="1695"/>
      <c r="AD93" s="1695"/>
      <c r="AE93" s="1695"/>
      <c r="AG93" s="1710"/>
      <c r="AH93" s="1710"/>
      <c r="AI93" s="1710"/>
      <c r="AK93" s="267">
        <f t="shared" si="53"/>
        <v>84</v>
      </c>
      <c r="AL93" s="268" t="e">
        <f t="shared" si="42"/>
        <v>#REF!</v>
      </c>
      <c r="AM93" s="268" t="e">
        <f>-AO92*#REF!</f>
        <v>#REF!</v>
      </c>
      <c r="AN93" s="268" t="e">
        <f t="shared" si="58"/>
        <v>#REF!</v>
      </c>
      <c r="AO93" s="269" t="e">
        <f t="shared" si="35"/>
        <v>#REF!</v>
      </c>
      <c r="AP93" s="1695"/>
      <c r="AQ93" s="1695"/>
      <c r="AR93" s="1695"/>
      <c r="AS93" s="1711"/>
      <c r="AU93" s="267">
        <f t="shared" si="56"/>
        <v>78</v>
      </c>
      <c r="AV93" s="268">
        <f t="shared" si="48"/>
        <v>-12262040.387499999</v>
      </c>
      <c r="AW93" s="268">
        <f t="shared" si="59"/>
        <v>-2562040.3875000002</v>
      </c>
      <c r="AX93" s="268">
        <f t="shared" si="62"/>
        <v>-9700000</v>
      </c>
      <c r="AY93" s="268"/>
      <c r="AZ93" s="269">
        <f t="shared" si="57"/>
        <v>950600000</v>
      </c>
      <c r="BA93" s="272">
        <f t="shared" si="63"/>
        <v>3.2015500000000002E-2</v>
      </c>
      <c r="BB93" s="272">
        <f t="shared" si="63"/>
        <v>0.01</v>
      </c>
      <c r="BC93" s="1695"/>
      <c r="BD93" s="565">
        <f t="shared" si="31"/>
        <v>-800250</v>
      </c>
      <c r="BE93" s="1695"/>
      <c r="BF93" s="1695"/>
      <c r="BG93" s="229">
        <f>'Cashflow trend'!H23</f>
        <v>139044.44913937888</v>
      </c>
      <c r="BH93" s="268">
        <f t="shared" si="32"/>
        <v>-303866.24999999994</v>
      </c>
      <c r="BI93" s="268">
        <f t="shared" si="33"/>
        <v>-303866.24999999994</v>
      </c>
      <c r="BJ93" s="268">
        <v>0</v>
      </c>
      <c r="BK93" s="268">
        <v>35000000</v>
      </c>
      <c r="BL93" s="269">
        <f t="shared" si="61"/>
        <v>125000000</v>
      </c>
      <c r="BM93" s="272">
        <f t="shared" si="60"/>
        <v>4.0515499999999996E-2</v>
      </c>
      <c r="BN93" s="272">
        <f t="shared" si="60"/>
        <v>0.01</v>
      </c>
      <c r="BO93" s="1695"/>
      <c r="BP93" s="565">
        <f t="shared" si="54"/>
        <v>-75000</v>
      </c>
      <c r="BQ93" s="1695"/>
      <c r="BR93" s="1695"/>
    </row>
    <row r="94" spans="1:70" ht="15.75" customHeight="1">
      <c r="A94" s="273" t="s">
        <v>510</v>
      </c>
      <c r="B94" s="274">
        <v>2022</v>
      </c>
      <c r="C94" s="274"/>
      <c r="D94" s="274"/>
      <c r="E94" s="275">
        <f t="shared" si="55"/>
        <v>950600000</v>
      </c>
      <c r="F94" s="276">
        <f t="shared" si="50"/>
        <v>85</v>
      </c>
      <c r="G94" s="277" t="e">
        <f t="shared" si="44"/>
        <v>#REF!</v>
      </c>
      <c r="H94" s="277" t="e">
        <f>-ROUNDDOWN(J93*#REF!,0)</f>
        <v>#REF!</v>
      </c>
      <c r="I94" s="277" t="e">
        <f>IF(ROUNDDOWN(J93,0)=0,0,-#REF!)</f>
        <v>#REF!</v>
      </c>
      <c r="J94" s="278" t="e">
        <f t="shared" si="45"/>
        <v>#REF!</v>
      </c>
      <c r="K94" s="1694" t="s">
        <v>7</v>
      </c>
      <c r="L94" s="1694" t="e">
        <f>SUM(H94:H105)</f>
        <v>#REF!</v>
      </c>
      <c r="M94" s="1694" t="e">
        <f>SUM(I94:I105)</f>
        <v>#REF!</v>
      </c>
      <c r="O94" s="276">
        <f t="shared" si="51"/>
        <v>85</v>
      </c>
      <c r="P94" s="277" t="e">
        <f t="shared" si="40"/>
        <v>#REF!</v>
      </c>
      <c r="Q94" s="277" t="e">
        <f>-S93*#REF!</f>
        <v>#REF!</v>
      </c>
      <c r="R94" s="277" t="e">
        <f>IF(ROUNDDOWN(S93,0)=0,0,-#REF!)</f>
        <v>#REF!</v>
      </c>
      <c r="S94" s="278" t="e">
        <f t="shared" si="46"/>
        <v>#REF!</v>
      </c>
      <c r="T94" s="1694" t="s">
        <v>7</v>
      </c>
      <c r="U94" s="1694" t="e">
        <f>SUM(Q94:Q105)</f>
        <v>#REF!</v>
      </c>
      <c r="V94" s="1694" t="e">
        <f>SUM(R94:R105)</f>
        <v>#REF!</v>
      </c>
      <c r="X94" s="276">
        <f t="shared" si="52"/>
        <v>85</v>
      </c>
      <c r="Y94" s="277" t="e">
        <f t="shared" si="41"/>
        <v>#REF!</v>
      </c>
      <c r="Z94" s="277" t="e">
        <f>-AB93*#REF!</f>
        <v>#REF!</v>
      </c>
      <c r="AA94" s="277" t="e">
        <f>IF(ROUNDDOWN(AB93,0)=0,0,-#REF!)</f>
        <v>#REF!</v>
      </c>
      <c r="AB94" s="278" t="e">
        <f t="shared" si="47"/>
        <v>#REF!</v>
      </c>
      <c r="AC94" s="1694" t="s">
        <v>7</v>
      </c>
      <c r="AD94" s="1694" t="e">
        <f>SUM(Z94:Z105)</f>
        <v>#REF!</v>
      </c>
      <c r="AE94" s="1694" t="e">
        <f>SUM(AA94:AA105)</f>
        <v>#REF!</v>
      </c>
      <c r="AG94" s="1709" t="s">
        <v>7</v>
      </c>
      <c r="AH94" s="1709" t="e">
        <f>L94+U94+AD94</f>
        <v>#REF!</v>
      </c>
      <c r="AI94" s="1709" t="e">
        <f>M94+V94+AE94</f>
        <v>#REF!</v>
      </c>
      <c r="AK94" s="276">
        <f t="shared" si="53"/>
        <v>85</v>
      </c>
      <c r="AL94" s="277" t="e">
        <f t="shared" si="42"/>
        <v>#REF!</v>
      </c>
      <c r="AM94" s="277" t="e">
        <f>-AO93*#REF!</f>
        <v>#REF!</v>
      </c>
      <c r="AN94" s="277" t="e">
        <f>$AR$94/12</f>
        <v>#REF!</v>
      </c>
      <c r="AO94" s="278" t="e">
        <f t="shared" si="35"/>
        <v>#REF!</v>
      </c>
      <c r="AP94" s="1694" t="s">
        <v>7</v>
      </c>
      <c r="AQ94" s="1694" t="e">
        <f>SUM(AM94:AM105)</f>
        <v>#REF!</v>
      </c>
      <c r="AR94" s="1694" t="e">
        <f>-AS94*#REF!</f>
        <v>#REF!</v>
      </c>
      <c r="AS94" s="1715">
        <v>0.25</v>
      </c>
      <c r="AU94" s="276">
        <f t="shared" si="56"/>
        <v>79</v>
      </c>
      <c r="AV94" s="277">
        <f t="shared" si="48"/>
        <v>-2536161.1916666669</v>
      </c>
      <c r="AW94" s="277">
        <f t="shared" si="59"/>
        <v>-2536161.1916666669</v>
      </c>
      <c r="AX94" s="277">
        <f t="shared" si="62"/>
        <v>0</v>
      </c>
      <c r="AY94" s="277">
        <v>0</v>
      </c>
      <c r="AZ94" s="278">
        <f t="shared" si="57"/>
        <v>950600000</v>
      </c>
      <c r="BA94" s="279">
        <f t="shared" si="63"/>
        <v>3.2015500000000002E-2</v>
      </c>
      <c r="BB94" s="279">
        <f t="shared" si="63"/>
        <v>0.01</v>
      </c>
      <c r="BC94" s="1694" t="s">
        <v>7</v>
      </c>
      <c r="BD94" s="563">
        <f t="shared" si="31"/>
        <v>-792166.66666666663</v>
      </c>
      <c r="BE94" s="1694">
        <f>SUM(AW94:AW105)</f>
        <v>-29968108.775000006</v>
      </c>
      <c r="BF94" s="1694">
        <f>SUM(AX94:AY105)</f>
        <v>-38800000</v>
      </c>
      <c r="BH94" s="277">
        <f t="shared" si="32"/>
        <v>-422036.45833333326</v>
      </c>
      <c r="BI94" s="277">
        <f t="shared" si="33"/>
        <v>-422036.45833333326</v>
      </c>
      <c r="BJ94" s="277">
        <v>0</v>
      </c>
      <c r="BK94" s="277">
        <v>0</v>
      </c>
      <c r="BL94" s="278">
        <f t="shared" si="61"/>
        <v>125000000</v>
      </c>
      <c r="BM94" s="279">
        <f>BM93</f>
        <v>4.0515499999999996E-2</v>
      </c>
      <c r="BN94" s="279">
        <f t="shared" si="60"/>
        <v>0.01</v>
      </c>
      <c r="BO94" s="1694" t="s">
        <v>7</v>
      </c>
      <c r="BP94" s="563">
        <f t="shared" si="54"/>
        <v>-104166.66666666667</v>
      </c>
      <c r="BQ94" s="1694">
        <f>SUM(BI94:BI105)</f>
        <v>-7191501.2499999981</v>
      </c>
      <c r="BR94" s="1694">
        <f>SUM(BJ94:BK105)</f>
        <v>135000000</v>
      </c>
    </row>
    <row r="95" spans="1:70" ht="15.75" customHeight="1" thickBot="1">
      <c r="A95" s="273" t="s">
        <v>511</v>
      </c>
      <c r="B95" s="274">
        <v>2022</v>
      </c>
      <c r="C95" s="274"/>
      <c r="D95" s="274"/>
      <c r="E95" s="275">
        <f t="shared" si="55"/>
        <v>950600000</v>
      </c>
      <c r="F95" s="276">
        <f t="shared" si="50"/>
        <v>86</v>
      </c>
      <c r="G95" s="277" t="e">
        <f t="shared" si="44"/>
        <v>#REF!</v>
      </c>
      <c r="H95" s="277" t="e">
        <f>-ROUNDDOWN(J94*#REF!,0)</f>
        <v>#REF!</v>
      </c>
      <c r="I95" s="277" t="e">
        <f>IF(ROUNDDOWN(J94,0)=0,0,-#REF!)</f>
        <v>#REF!</v>
      </c>
      <c r="J95" s="278" t="e">
        <f t="shared" si="45"/>
        <v>#REF!</v>
      </c>
      <c r="K95" s="1694"/>
      <c r="L95" s="1694"/>
      <c r="M95" s="1694"/>
      <c r="O95" s="276">
        <f t="shared" si="51"/>
        <v>86</v>
      </c>
      <c r="P95" s="277" t="e">
        <f t="shared" si="40"/>
        <v>#REF!</v>
      </c>
      <c r="Q95" s="277" t="e">
        <f>-S94*#REF!</f>
        <v>#REF!</v>
      </c>
      <c r="R95" s="277" t="e">
        <f>IF(ROUNDDOWN(S94,0)=0,0,-#REF!)</f>
        <v>#REF!</v>
      </c>
      <c r="S95" s="278" t="e">
        <f t="shared" si="46"/>
        <v>#REF!</v>
      </c>
      <c r="T95" s="1694"/>
      <c r="U95" s="1694"/>
      <c r="V95" s="1694"/>
      <c r="X95" s="276">
        <f t="shared" si="52"/>
        <v>86</v>
      </c>
      <c r="Y95" s="277" t="e">
        <f t="shared" si="41"/>
        <v>#REF!</v>
      </c>
      <c r="Z95" s="277" t="e">
        <f>-AB94*#REF!</f>
        <v>#REF!</v>
      </c>
      <c r="AA95" s="277" t="e">
        <f>IF(ROUNDDOWN(AB94,0)=0,0,-#REF!)</f>
        <v>#REF!</v>
      </c>
      <c r="AB95" s="278" t="e">
        <f t="shared" si="47"/>
        <v>#REF!</v>
      </c>
      <c r="AC95" s="1694"/>
      <c r="AD95" s="1694"/>
      <c r="AE95" s="1694"/>
      <c r="AG95" s="1709"/>
      <c r="AH95" s="1709"/>
      <c r="AI95" s="1709"/>
      <c r="AK95" s="276">
        <f t="shared" si="53"/>
        <v>86</v>
      </c>
      <c r="AL95" s="277" t="e">
        <f t="shared" si="42"/>
        <v>#REF!</v>
      </c>
      <c r="AM95" s="277" t="e">
        <f>-AO94*#REF!</f>
        <v>#REF!</v>
      </c>
      <c r="AN95" s="277" t="e">
        <f t="shared" ref="AN95:AN105" si="64">$AR$94/12</f>
        <v>#REF!</v>
      </c>
      <c r="AO95" s="278" t="e">
        <f t="shared" si="35"/>
        <v>#REF!</v>
      </c>
      <c r="AP95" s="1694"/>
      <c r="AQ95" s="1694"/>
      <c r="AR95" s="1694"/>
      <c r="AS95" s="1715"/>
      <c r="AU95" s="276">
        <f t="shared" si="56"/>
        <v>80</v>
      </c>
      <c r="AV95" s="277">
        <f t="shared" si="48"/>
        <v>-2536161.1916666669</v>
      </c>
      <c r="AW95" s="277">
        <f t="shared" si="59"/>
        <v>-2536161.1916666669</v>
      </c>
      <c r="AX95" s="277">
        <f t="shared" si="62"/>
        <v>0</v>
      </c>
      <c r="AY95" s="277"/>
      <c r="AZ95" s="278">
        <f t="shared" si="57"/>
        <v>950600000</v>
      </c>
      <c r="BA95" s="279">
        <f t="shared" si="63"/>
        <v>3.2015500000000002E-2</v>
      </c>
      <c r="BB95" s="279">
        <f t="shared" si="63"/>
        <v>0.01</v>
      </c>
      <c r="BC95" s="1694"/>
      <c r="BD95" s="563">
        <f t="shared" si="31"/>
        <v>-792166.66666666663</v>
      </c>
      <c r="BE95" s="1694"/>
      <c r="BF95" s="1694"/>
      <c r="BH95" s="277">
        <f t="shared" si="32"/>
        <v>-422036.45833333326</v>
      </c>
      <c r="BI95" s="277">
        <f t="shared" si="33"/>
        <v>-422036.45833333326</v>
      </c>
      <c r="BJ95" s="277">
        <v>0</v>
      </c>
      <c r="BK95" s="277"/>
      <c r="BL95" s="278">
        <f t="shared" si="61"/>
        <v>125000000</v>
      </c>
      <c r="BM95" s="279">
        <f t="shared" ref="BM95:BN110" si="65">BM94</f>
        <v>4.0515499999999996E-2</v>
      </c>
      <c r="BN95" s="279">
        <f t="shared" si="65"/>
        <v>0.01</v>
      </c>
      <c r="BO95" s="1694"/>
      <c r="BP95" s="563">
        <f t="shared" si="54"/>
        <v>-104166.66666666667</v>
      </c>
      <c r="BQ95" s="1694"/>
      <c r="BR95" s="1694"/>
    </row>
    <row r="96" spans="1:70" ht="15.75" customHeight="1" thickBot="1">
      <c r="A96" s="273" t="s">
        <v>512</v>
      </c>
      <c r="B96" s="274">
        <v>2022</v>
      </c>
      <c r="C96" s="577">
        <f>IF($C$7=2,1%+D96,1%)</f>
        <v>0.01</v>
      </c>
      <c r="D96" s="576"/>
      <c r="E96" s="275">
        <f t="shared" si="55"/>
        <v>940900000</v>
      </c>
      <c r="F96" s="276">
        <f t="shared" si="50"/>
        <v>87</v>
      </c>
      <c r="G96" s="277" t="e">
        <f t="shared" si="44"/>
        <v>#REF!</v>
      </c>
      <c r="H96" s="277" t="e">
        <f>-ROUNDDOWN(J95*#REF!,0)</f>
        <v>#REF!</v>
      </c>
      <c r="I96" s="277" t="e">
        <f>IF(ROUNDDOWN(J95,0)=0,0,-#REF!)</f>
        <v>#REF!</v>
      </c>
      <c r="J96" s="278" t="e">
        <f t="shared" si="45"/>
        <v>#REF!</v>
      </c>
      <c r="K96" s="1694"/>
      <c r="L96" s="1694"/>
      <c r="M96" s="1694"/>
      <c r="O96" s="276">
        <f t="shared" si="51"/>
        <v>87</v>
      </c>
      <c r="P96" s="277" t="e">
        <f t="shared" si="40"/>
        <v>#REF!</v>
      </c>
      <c r="Q96" s="277" t="e">
        <f>-S95*#REF!</f>
        <v>#REF!</v>
      </c>
      <c r="R96" s="277" t="e">
        <f>IF(ROUNDDOWN(S95,0)=0,0,-#REF!)</f>
        <v>#REF!</v>
      </c>
      <c r="S96" s="278" t="e">
        <f t="shared" si="46"/>
        <v>#REF!</v>
      </c>
      <c r="T96" s="1694"/>
      <c r="U96" s="1694"/>
      <c r="V96" s="1694"/>
      <c r="X96" s="276">
        <f t="shared" si="52"/>
        <v>87</v>
      </c>
      <c r="Y96" s="277" t="e">
        <f t="shared" si="41"/>
        <v>#REF!</v>
      </c>
      <c r="Z96" s="277" t="e">
        <f>-AB95*#REF!</f>
        <v>#REF!</v>
      </c>
      <c r="AA96" s="277" t="e">
        <f>IF(ROUNDDOWN(AB95,0)=0,0,-#REF!)</f>
        <v>#REF!</v>
      </c>
      <c r="AB96" s="278" t="e">
        <f t="shared" si="47"/>
        <v>#REF!</v>
      </c>
      <c r="AC96" s="1694"/>
      <c r="AD96" s="1694"/>
      <c r="AE96" s="1694"/>
      <c r="AG96" s="1709"/>
      <c r="AH96" s="1709"/>
      <c r="AI96" s="1709"/>
      <c r="AK96" s="276">
        <f t="shared" si="53"/>
        <v>87</v>
      </c>
      <c r="AL96" s="277" t="e">
        <f t="shared" si="42"/>
        <v>#REF!</v>
      </c>
      <c r="AM96" s="277" t="e">
        <f>-AO95*#REF!</f>
        <v>#REF!</v>
      </c>
      <c r="AN96" s="277" t="e">
        <f t="shared" si="64"/>
        <v>#REF!</v>
      </c>
      <c r="AO96" s="278" t="e">
        <f t="shared" si="35"/>
        <v>#REF!</v>
      </c>
      <c r="AP96" s="1694"/>
      <c r="AQ96" s="1694"/>
      <c r="AR96" s="1694"/>
      <c r="AS96" s="1715"/>
      <c r="AU96" s="276">
        <f t="shared" si="56"/>
        <v>81</v>
      </c>
      <c r="AV96" s="277">
        <f t="shared" si="48"/>
        <v>-12236161.191666666</v>
      </c>
      <c r="AW96" s="277">
        <f t="shared" si="59"/>
        <v>-2536161.1916666669</v>
      </c>
      <c r="AX96" s="277">
        <f t="shared" si="62"/>
        <v>-9700000</v>
      </c>
      <c r="AY96" s="277"/>
      <c r="AZ96" s="278">
        <f t="shared" si="57"/>
        <v>940900000</v>
      </c>
      <c r="BA96" s="279">
        <f t="shared" si="63"/>
        <v>3.2015500000000002E-2</v>
      </c>
      <c r="BB96" s="279">
        <f t="shared" si="63"/>
        <v>0.01</v>
      </c>
      <c r="BC96" s="1694"/>
      <c r="BD96" s="563">
        <f t="shared" si="31"/>
        <v>-792166.66666666663</v>
      </c>
      <c r="BE96" s="1694"/>
      <c r="BF96" s="1694"/>
      <c r="BH96" s="277">
        <f t="shared" si="32"/>
        <v>-422036.45833333326</v>
      </c>
      <c r="BI96" s="277">
        <f t="shared" si="33"/>
        <v>-422036.45833333326</v>
      </c>
      <c r="BJ96" s="277">
        <v>0</v>
      </c>
      <c r="BK96" s="277">
        <v>35000000</v>
      </c>
      <c r="BL96" s="278">
        <f t="shared" si="61"/>
        <v>160000000</v>
      </c>
      <c r="BM96" s="279">
        <f t="shared" si="65"/>
        <v>4.0515499999999996E-2</v>
      </c>
      <c r="BN96" s="279">
        <f t="shared" si="65"/>
        <v>0.01</v>
      </c>
      <c r="BO96" s="1694"/>
      <c r="BP96" s="563">
        <f t="shared" si="54"/>
        <v>-104166.66666666667</v>
      </c>
      <c r="BQ96" s="1694"/>
      <c r="BR96" s="1694"/>
    </row>
    <row r="97" spans="1:70" ht="15.75" customHeight="1">
      <c r="A97" s="273" t="s">
        <v>513</v>
      </c>
      <c r="B97" s="274">
        <v>2022</v>
      </c>
      <c r="C97" s="274"/>
      <c r="D97" s="274"/>
      <c r="E97" s="275">
        <f t="shared" si="55"/>
        <v>940900000</v>
      </c>
      <c r="F97" s="276">
        <f t="shared" si="50"/>
        <v>88</v>
      </c>
      <c r="G97" s="277" t="e">
        <f t="shared" si="44"/>
        <v>#REF!</v>
      </c>
      <c r="H97" s="277" t="e">
        <f>-ROUNDDOWN(J96*#REF!,0)</f>
        <v>#REF!</v>
      </c>
      <c r="I97" s="277" t="e">
        <f>IF(ROUNDDOWN(J96,0)=0,0,-#REF!)</f>
        <v>#REF!</v>
      </c>
      <c r="J97" s="278" t="e">
        <f t="shared" si="45"/>
        <v>#REF!</v>
      </c>
      <c r="K97" s="1694"/>
      <c r="L97" s="1694"/>
      <c r="M97" s="1694"/>
      <c r="O97" s="276">
        <f t="shared" si="51"/>
        <v>88</v>
      </c>
      <c r="P97" s="277" t="e">
        <f t="shared" si="40"/>
        <v>#REF!</v>
      </c>
      <c r="Q97" s="277" t="e">
        <f>-S96*#REF!</f>
        <v>#REF!</v>
      </c>
      <c r="R97" s="277" t="e">
        <f>IF(ROUNDDOWN(S96,0)=0,0,-#REF!)</f>
        <v>#REF!</v>
      </c>
      <c r="S97" s="278" t="e">
        <f t="shared" si="46"/>
        <v>#REF!</v>
      </c>
      <c r="T97" s="1694"/>
      <c r="U97" s="1694"/>
      <c r="V97" s="1694"/>
      <c r="X97" s="276">
        <f t="shared" si="52"/>
        <v>88</v>
      </c>
      <c r="Y97" s="277" t="e">
        <f t="shared" si="41"/>
        <v>#REF!</v>
      </c>
      <c r="Z97" s="277" t="e">
        <f>-AB96*#REF!</f>
        <v>#REF!</v>
      </c>
      <c r="AA97" s="277" t="e">
        <f>IF(ROUNDDOWN(AB96,0)=0,0,-#REF!)</f>
        <v>#REF!</v>
      </c>
      <c r="AB97" s="278" t="e">
        <f t="shared" si="47"/>
        <v>#REF!</v>
      </c>
      <c r="AC97" s="1694"/>
      <c r="AD97" s="1694"/>
      <c r="AE97" s="1694"/>
      <c r="AG97" s="1709"/>
      <c r="AH97" s="1709"/>
      <c r="AI97" s="1709"/>
      <c r="AK97" s="276">
        <f t="shared" si="53"/>
        <v>88</v>
      </c>
      <c r="AL97" s="277" t="e">
        <f t="shared" si="42"/>
        <v>#REF!</v>
      </c>
      <c r="AM97" s="277" t="e">
        <f>-AO96*#REF!</f>
        <v>#REF!</v>
      </c>
      <c r="AN97" s="277" t="e">
        <f t="shared" si="64"/>
        <v>#REF!</v>
      </c>
      <c r="AO97" s="278" t="e">
        <f t="shared" si="35"/>
        <v>#REF!</v>
      </c>
      <c r="AP97" s="1694"/>
      <c r="AQ97" s="1694"/>
      <c r="AR97" s="1694"/>
      <c r="AS97" s="1715"/>
      <c r="AU97" s="276">
        <f t="shared" si="56"/>
        <v>82</v>
      </c>
      <c r="AV97" s="277">
        <f t="shared" si="48"/>
        <v>-2510281.9958333336</v>
      </c>
      <c r="AW97" s="277">
        <f t="shared" si="59"/>
        <v>-2510281.9958333336</v>
      </c>
      <c r="AX97" s="277">
        <f t="shared" si="62"/>
        <v>0</v>
      </c>
      <c r="AY97" s="277"/>
      <c r="AZ97" s="278">
        <f t="shared" si="57"/>
        <v>940900000</v>
      </c>
      <c r="BA97" s="279">
        <f t="shared" si="63"/>
        <v>3.2015500000000002E-2</v>
      </c>
      <c r="BB97" s="279">
        <f t="shared" si="63"/>
        <v>0.01</v>
      </c>
      <c r="BC97" s="1694"/>
      <c r="BD97" s="563">
        <f t="shared" si="31"/>
        <v>-784083.33333333337</v>
      </c>
      <c r="BE97" s="1694"/>
      <c r="BF97" s="1694"/>
      <c r="BH97" s="277">
        <f t="shared" si="32"/>
        <v>-540206.66666666663</v>
      </c>
      <c r="BI97" s="277">
        <f t="shared" si="33"/>
        <v>-540206.66666666663</v>
      </c>
      <c r="BJ97" s="277">
        <v>0</v>
      </c>
      <c r="BK97" s="277"/>
      <c r="BL97" s="278">
        <f t="shared" si="61"/>
        <v>160000000</v>
      </c>
      <c r="BM97" s="279">
        <f t="shared" si="65"/>
        <v>4.0515499999999996E-2</v>
      </c>
      <c r="BN97" s="279">
        <f t="shared" si="65"/>
        <v>0.01</v>
      </c>
      <c r="BO97" s="1694"/>
      <c r="BP97" s="563">
        <f t="shared" si="54"/>
        <v>-133333.33333333334</v>
      </c>
      <c r="BQ97" s="1694"/>
      <c r="BR97" s="1694"/>
    </row>
    <row r="98" spans="1:70" ht="15.75" customHeight="1" thickBot="1">
      <c r="A98" s="273" t="s">
        <v>514</v>
      </c>
      <c r="B98" s="274">
        <v>2022</v>
      </c>
      <c r="C98" s="274"/>
      <c r="D98" s="274"/>
      <c r="E98" s="275">
        <f t="shared" si="55"/>
        <v>940900000</v>
      </c>
      <c r="F98" s="276">
        <f t="shared" si="50"/>
        <v>89</v>
      </c>
      <c r="G98" s="277" t="e">
        <f t="shared" si="44"/>
        <v>#REF!</v>
      </c>
      <c r="H98" s="277" t="e">
        <f>-ROUNDDOWN(J97*#REF!,0)</f>
        <v>#REF!</v>
      </c>
      <c r="I98" s="277" t="e">
        <f>IF(ROUNDDOWN(J97,0)=0,0,-#REF!)</f>
        <v>#REF!</v>
      </c>
      <c r="J98" s="278" t="e">
        <f t="shared" si="45"/>
        <v>#REF!</v>
      </c>
      <c r="K98" s="1694"/>
      <c r="L98" s="1694"/>
      <c r="M98" s="1694"/>
      <c r="O98" s="276">
        <f t="shared" si="51"/>
        <v>89</v>
      </c>
      <c r="P98" s="277" t="e">
        <f t="shared" si="40"/>
        <v>#REF!</v>
      </c>
      <c r="Q98" s="277" t="e">
        <f>-S97*#REF!</f>
        <v>#REF!</v>
      </c>
      <c r="R98" s="277" t="e">
        <f>IF(ROUNDDOWN(S97,0)=0,0,-#REF!)</f>
        <v>#REF!</v>
      </c>
      <c r="S98" s="278" t="e">
        <f t="shared" si="46"/>
        <v>#REF!</v>
      </c>
      <c r="T98" s="1694"/>
      <c r="U98" s="1694"/>
      <c r="V98" s="1694"/>
      <c r="X98" s="276">
        <f t="shared" si="52"/>
        <v>89</v>
      </c>
      <c r="Y98" s="277" t="e">
        <f t="shared" si="41"/>
        <v>#REF!</v>
      </c>
      <c r="Z98" s="277" t="e">
        <f>-AB97*#REF!</f>
        <v>#REF!</v>
      </c>
      <c r="AA98" s="277" t="e">
        <f>IF(ROUNDDOWN(AB97,0)=0,0,-#REF!)</f>
        <v>#REF!</v>
      </c>
      <c r="AB98" s="278" t="e">
        <f t="shared" si="47"/>
        <v>#REF!</v>
      </c>
      <c r="AC98" s="1694"/>
      <c r="AD98" s="1694"/>
      <c r="AE98" s="1694"/>
      <c r="AG98" s="1709"/>
      <c r="AH98" s="1709"/>
      <c r="AI98" s="1709"/>
      <c r="AK98" s="276">
        <f t="shared" si="53"/>
        <v>89</v>
      </c>
      <c r="AL98" s="277" t="e">
        <f t="shared" si="42"/>
        <v>#REF!</v>
      </c>
      <c r="AM98" s="277" t="e">
        <f>-AO97*#REF!</f>
        <v>#REF!</v>
      </c>
      <c r="AN98" s="277" t="e">
        <f t="shared" si="64"/>
        <v>#REF!</v>
      </c>
      <c r="AO98" s="278" t="e">
        <f t="shared" si="35"/>
        <v>#REF!</v>
      </c>
      <c r="AP98" s="1694"/>
      <c r="AQ98" s="1694"/>
      <c r="AR98" s="1694"/>
      <c r="AS98" s="1715"/>
      <c r="AU98" s="276">
        <f t="shared" si="56"/>
        <v>83</v>
      </c>
      <c r="AV98" s="277">
        <f t="shared" si="48"/>
        <v>-2510281.9958333336</v>
      </c>
      <c r="AW98" s="277">
        <f t="shared" si="59"/>
        <v>-2510281.9958333336</v>
      </c>
      <c r="AX98" s="277">
        <f t="shared" si="62"/>
        <v>0</v>
      </c>
      <c r="AY98" s="277"/>
      <c r="AZ98" s="278">
        <f t="shared" si="57"/>
        <v>940900000</v>
      </c>
      <c r="BA98" s="279">
        <f t="shared" si="63"/>
        <v>3.2015500000000002E-2</v>
      </c>
      <c r="BB98" s="279">
        <f t="shared" si="63"/>
        <v>0.01</v>
      </c>
      <c r="BC98" s="1694"/>
      <c r="BD98" s="563">
        <f t="shared" si="31"/>
        <v>-784083.33333333337</v>
      </c>
      <c r="BE98" s="1694"/>
      <c r="BF98" s="1694"/>
      <c r="BH98" s="277">
        <f t="shared" si="32"/>
        <v>-540206.66666666663</v>
      </c>
      <c r="BI98" s="277">
        <f t="shared" si="33"/>
        <v>-540206.66666666663</v>
      </c>
      <c r="BJ98" s="277">
        <v>0</v>
      </c>
      <c r="BK98" s="277"/>
      <c r="BL98" s="278">
        <f t="shared" si="61"/>
        <v>160000000</v>
      </c>
      <c r="BM98" s="279">
        <f t="shared" si="65"/>
        <v>4.0515499999999996E-2</v>
      </c>
      <c r="BN98" s="279">
        <f t="shared" si="65"/>
        <v>0.01</v>
      </c>
      <c r="BO98" s="1694"/>
      <c r="BP98" s="563">
        <f t="shared" si="54"/>
        <v>-133333.33333333334</v>
      </c>
      <c r="BQ98" s="1694"/>
      <c r="BR98" s="1694"/>
    </row>
    <row r="99" spans="1:70" ht="15.75" customHeight="1" thickBot="1">
      <c r="A99" s="273" t="s">
        <v>515</v>
      </c>
      <c r="B99" s="274">
        <v>2022</v>
      </c>
      <c r="C99" s="577">
        <f>IF($C$7=2,1%+D99,1%)</f>
        <v>0.01</v>
      </c>
      <c r="D99" s="576"/>
      <c r="E99" s="275">
        <f t="shared" si="55"/>
        <v>931200000</v>
      </c>
      <c r="F99" s="276">
        <f t="shared" si="50"/>
        <v>90</v>
      </c>
      <c r="G99" s="277" t="e">
        <f t="shared" si="44"/>
        <v>#REF!</v>
      </c>
      <c r="H99" s="277" t="e">
        <f>-ROUNDDOWN(J98*#REF!,0)</f>
        <v>#REF!</v>
      </c>
      <c r="I99" s="277" t="e">
        <f>IF(ROUNDDOWN(J98,0)=0,0,-#REF!)</f>
        <v>#REF!</v>
      </c>
      <c r="J99" s="278" t="e">
        <f t="shared" si="45"/>
        <v>#REF!</v>
      </c>
      <c r="K99" s="1694"/>
      <c r="L99" s="1694"/>
      <c r="M99" s="1694"/>
      <c r="O99" s="276">
        <f t="shared" si="51"/>
        <v>90</v>
      </c>
      <c r="P99" s="277" t="e">
        <f t="shared" si="40"/>
        <v>#REF!</v>
      </c>
      <c r="Q99" s="277" t="e">
        <f>-S98*#REF!</f>
        <v>#REF!</v>
      </c>
      <c r="R99" s="277" t="e">
        <f>IF(ROUNDDOWN(S98,0)=0,0,-#REF!)</f>
        <v>#REF!</v>
      </c>
      <c r="S99" s="278" t="e">
        <f t="shared" si="46"/>
        <v>#REF!</v>
      </c>
      <c r="T99" s="1694"/>
      <c r="U99" s="1694"/>
      <c r="V99" s="1694"/>
      <c r="X99" s="276">
        <f t="shared" si="52"/>
        <v>90</v>
      </c>
      <c r="Y99" s="277" t="e">
        <f t="shared" si="41"/>
        <v>#REF!</v>
      </c>
      <c r="Z99" s="277" t="e">
        <f>-AB98*#REF!</f>
        <v>#REF!</v>
      </c>
      <c r="AA99" s="277" t="e">
        <f>IF(ROUNDDOWN(AB98,0)=0,0,-#REF!)</f>
        <v>#REF!</v>
      </c>
      <c r="AB99" s="278" t="e">
        <f t="shared" si="47"/>
        <v>#REF!</v>
      </c>
      <c r="AC99" s="1694"/>
      <c r="AD99" s="1694"/>
      <c r="AE99" s="1694"/>
      <c r="AG99" s="1709"/>
      <c r="AH99" s="1709"/>
      <c r="AI99" s="1709"/>
      <c r="AK99" s="276">
        <f t="shared" si="53"/>
        <v>90</v>
      </c>
      <c r="AL99" s="277" t="e">
        <f t="shared" si="42"/>
        <v>#REF!</v>
      </c>
      <c r="AM99" s="277" t="e">
        <f>-AO98*#REF!</f>
        <v>#REF!</v>
      </c>
      <c r="AN99" s="277" t="e">
        <f t="shared" si="64"/>
        <v>#REF!</v>
      </c>
      <c r="AO99" s="278" t="e">
        <f t="shared" si="35"/>
        <v>#REF!</v>
      </c>
      <c r="AP99" s="1694"/>
      <c r="AQ99" s="1694"/>
      <c r="AR99" s="1694"/>
      <c r="AS99" s="1715"/>
      <c r="AU99" s="276">
        <f t="shared" si="56"/>
        <v>84</v>
      </c>
      <c r="AV99" s="277">
        <f t="shared" si="48"/>
        <v>-12210281.995833334</v>
      </c>
      <c r="AW99" s="277">
        <f t="shared" si="59"/>
        <v>-2510281.9958333336</v>
      </c>
      <c r="AX99" s="277">
        <f t="shared" si="62"/>
        <v>-9700000</v>
      </c>
      <c r="AY99" s="277"/>
      <c r="AZ99" s="278">
        <f t="shared" si="57"/>
        <v>931200000</v>
      </c>
      <c r="BA99" s="279">
        <f t="shared" si="63"/>
        <v>3.2015500000000002E-2</v>
      </c>
      <c r="BB99" s="279">
        <f t="shared" si="63"/>
        <v>0.01</v>
      </c>
      <c r="BC99" s="1694"/>
      <c r="BD99" s="563">
        <f t="shared" si="31"/>
        <v>-784083.33333333337</v>
      </c>
      <c r="BE99" s="1694"/>
      <c r="BF99" s="1694"/>
      <c r="BH99" s="277">
        <f t="shared" si="32"/>
        <v>-540206.66666666663</v>
      </c>
      <c r="BI99" s="277">
        <f t="shared" si="33"/>
        <v>-540206.66666666663</v>
      </c>
      <c r="BJ99" s="277">
        <v>0</v>
      </c>
      <c r="BK99" s="277">
        <v>35000000</v>
      </c>
      <c r="BL99" s="278">
        <f t="shared" si="61"/>
        <v>195000000</v>
      </c>
      <c r="BM99" s="279">
        <f t="shared" si="65"/>
        <v>4.0515499999999996E-2</v>
      </c>
      <c r="BN99" s="279">
        <f t="shared" si="65"/>
        <v>0.01</v>
      </c>
      <c r="BO99" s="1694"/>
      <c r="BP99" s="563">
        <f t="shared" si="54"/>
        <v>-133333.33333333334</v>
      </c>
      <c r="BQ99" s="1694"/>
      <c r="BR99" s="1694"/>
    </row>
    <row r="100" spans="1:70" ht="15.75" customHeight="1">
      <c r="A100" s="273" t="s">
        <v>516</v>
      </c>
      <c r="B100" s="274">
        <v>2022</v>
      </c>
      <c r="C100" s="274"/>
      <c r="D100" s="274"/>
      <c r="E100" s="275">
        <f t="shared" si="55"/>
        <v>931200000</v>
      </c>
      <c r="F100" s="276">
        <f t="shared" si="50"/>
        <v>91</v>
      </c>
      <c r="G100" s="277" t="e">
        <f t="shared" si="44"/>
        <v>#REF!</v>
      </c>
      <c r="H100" s="277" t="e">
        <f>-ROUNDDOWN(J99*#REF!,0)</f>
        <v>#REF!</v>
      </c>
      <c r="I100" s="277" t="e">
        <f>IF(ROUNDDOWN(J99,0)=0,0,-#REF!)</f>
        <v>#REF!</v>
      </c>
      <c r="J100" s="278" t="e">
        <f t="shared" si="45"/>
        <v>#REF!</v>
      </c>
      <c r="K100" s="1694"/>
      <c r="L100" s="1694"/>
      <c r="M100" s="1694"/>
      <c r="O100" s="276">
        <f t="shared" si="51"/>
        <v>91</v>
      </c>
      <c r="P100" s="277" t="e">
        <f t="shared" si="40"/>
        <v>#REF!</v>
      </c>
      <c r="Q100" s="277" t="e">
        <f>-S99*#REF!</f>
        <v>#REF!</v>
      </c>
      <c r="R100" s="277" t="e">
        <f>IF(ROUNDDOWN(S99,0)=0,0,-#REF!)</f>
        <v>#REF!</v>
      </c>
      <c r="S100" s="278" t="e">
        <f t="shared" si="46"/>
        <v>#REF!</v>
      </c>
      <c r="T100" s="1694"/>
      <c r="U100" s="1694"/>
      <c r="V100" s="1694"/>
      <c r="X100" s="276">
        <f t="shared" si="52"/>
        <v>91</v>
      </c>
      <c r="Y100" s="277" t="e">
        <f t="shared" si="41"/>
        <v>#REF!</v>
      </c>
      <c r="Z100" s="277" t="e">
        <f>-AB99*#REF!</f>
        <v>#REF!</v>
      </c>
      <c r="AA100" s="277" t="e">
        <f>IF(ROUNDDOWN(AB99,0)=0,0,-#REF!)</f>
        <v>#REF!</v>
      </c>
      <c r="AB100" s="278" t="e">
        <f t="shared" si="47"/>
        <v>#REF!</v>
      </c>
      <c r="AC100" s="1694"/>
      <c r="AD100" s="1694"/>
      <c r="AE100" s="1694"/>
      <c r="AG100" s="1709"/>
      <c r="AH100" s="1709"/>
      <c r="AI100" s="1709"/>
      <c r="AK100" s="276">
        <f t="shared" si="53"/>
        <v>91</v>
      </c>
      <c r="AL100" s="277" t="e">
        <f t="shared" si="42"/>
        <v>#REF!</v>
      </c>
      <c r="AM100" s="277" t="e">
        <f>-AO99*#REF!</f>
        <v>#REF!</v>
      </c>
      <c r="AN100" s="277" t="e">
        <f t="shared" si="64"/>
        <v>#REF!</v>
      </c>
      <c r="AO100" s="278" t="e">
        <f t="shared" si="35"/>
        <v>#REF!</v>
      </c>
      <c r="AP100" s="1694"/>
      <c r="AQ100" s="1694"/>
      <c r="AR100" s="1694"/>
      <c r="AS100" s="1715"/>
      <c r="AU100" s="276">
        <f t="shared" si="56"/>
        <v>85</v>
      </c>
      <c r="AV100" s="277">
        <f t="shared" si="48"/>
        <v>-2484402.8000000003</v>
      </c>
      <c r="AW100" s="277">
        <f t="shared" si="59"/>
        <v>-2484402.8000000003</v>
      </c>
      <c r="AX100" s="277">
        <f t="shared" si="62"/>
        <v>0</v>
      </c>
      <c r="AY100" s="277"/>
      <c r="AZ100" s="278">
        <f t="shared" si="57"/>
        <v>931200000</v>
      </c>
      <c r="BA100" s="279">
        <f t="shared" si="63"/>
        <v>3.2015500000000002E-2</v>
      </c>
      <c r="BB100" s="279">
        <f t="shared" si="63"/>
        <v>0.01</v>
      </c>
      <c r="BC100" s="1694"/>
      <c r="BD100" s="563">
        <f t="shared" si="31"/>
        <v>-776000</v>
      </c>
      <c r="BE100" s="1694"/>
      <c r="BF100" s="1694"/>
      <c r="BH100" s="277">
        <f t="shared" si="32"/>
        <v>-658376.87499999988</v>
      </c>
      <c r="BI100" s="277">
        <f t="shared" si="33"/>
        <v>-658376.87499999988</v>
      </c>
      <c r="BJ100" s="277">
        <v>0</v>
      </c>
      <c r="BK100" s="277"/>
      <c r="BL100" s="278">
        <f t="shared" si="61"/>
        <v>195000000</v>
      </c>
      <c r="BM100" s="279">
        <f t="shared" si="65"/>
        <v>4.0515499999999996E-2</v>
      </c>
      <c r="BN100" s="279">
        <f t="shared" si="65"/>
        <v>0.01</v>
      </c>
      <c r="BO100" s="1694"/>
      <c r="BP100" s="563">
        <f t="shared" si="54"/>
        <v>-162500</v>
      </c>
      <c r="BQ100" s="1694"/>
      <c r="BR100" s="1694"/>
    </row>
    <row r="101" spans="1:70" ht="15.75" customHeight="1" thickBot="1">
      <c r="A101" s="273" t="s">
        <v>517</v>
      </c>
      <c r="B101" s="274">
        <v>2022</v>
      </c>
      <c r="C101" s="274"/>
      <c r="D101" s="274"/>
      <c r="E101" s="275">
        <f t="shared" si="55"/>
        <v>931200000</v>
      </c>
      <c r="F101" s="276">
        <f t="shared" si="50"/>
        <v>92</v>
      </c>
      <c r="G101" s="277" t="e">
        <f t="shared" si="44"/>
        <v>#REF!</v>
      </c>
      <c r="H101" s="277" t="e">
        <f>-ROUNDDOWN(J100*#REF!,0)</f>
        <v>#REF!</v>
      </c>
      <c r="I101" s="277" t="e">
        <f>IF(ROUNDDOWN(J100,0)=0,0,-#REF!)</f>
        <v>#REF!</v>
      </c>
      <c r="J101" s="278" t="e">
        <f t="shared" si="45"/>
        <v>#REF!</v>
      </c>
      <c r="K101" s="1694"/>
      <c r="L101" s="1694"/>
      <c r="M101" s="1694"/>
      <c r="O101" s="276">
        <f t="shared" si="51"/>
        <v>92</v>
      </c>
      <c r="P101" s="277" t="e">
        <f t="shared" si="40"/>
        <v>#REF!</v>
      </c>
      <c r="Q101" s="277" t="e">
        <f>-S100*#REF!</f>
        <v>#REF!</v>
      </c>
      <c r="R101" s="277" t="e">
        <f>IF(ROUNDDOWN(S100,0)=0,0,-#REF!)</f>
        <v>#REF!</v>
      </c>
      <c r="S101" s="278" t="e">
        <f t="shared" si="46"/>
        <v>#REF!</v>
      </c>
      <c r="T101" s="1694"/>
      <c r="U101" s="1694"/>
      <c r="V101" s="1694"/>
      <c r="X101" s="276">
        <f t="shared" si="52"/>
        <v>92</v>
      </c>
      <c r="Y101" s="277" t="e">
        <f t="shared" si="41"/>
        <v>#REF!</v>
      </c>
      <c r="Z101" s="277" t="e">
        <f>-AB100*#REF!</f>
        <v>#REF!</v>
      </c>
      <c r="AA101" s="277" t="e">
        <f>IF(ROUNDDOWN(AB100,0)=0,0,-#REF!)</f>
        <v>#REF!</v>
      </c>
      <c r="AB101" s="278" t="e">
        <f t="shared" si="47"/>
        <v>#REF!</v>
      </c>
      <c r="AC101" s="1694"/>
      <c r="AD101" s="1694"/>
      <c r="AE101" s="1694"/>
      <c r="AG101" s="1709"/>
      <c r="AH101" s="1709"/>
      <c r="AI101" s="1709"/>
      <c r="AK101" s="276">
        <f t="shared" si="53"/>
        <v>92</v>
      </c>
      <c r="AL101" s="277" t="e">
        <f t="shared" si="42"/>
        <v>#REF!</v>
      </c>
      <c r="AM101" s="277" t="e">
        <f>-AO100*#REF!</f>
        <v>#REF!</v>
      </c>
      <c r="AN101" s="277" t="e">
        <f t="shared" si="64"/>
        <v>#REF!</v>
      </c>
      <c r="AO101" s="278" t="e">
        <f t="shared" si="35"/>
        <v>#REF!</v>
      </c>
      <c r="AP101" s="1694"/>
      <c r="AQ101" s="1694"/>
      <c r="AR101" s="1694"/>
      <c r="AS101" s="1715"/>
      <c r="AU101" s="276">
        <f t="shared" si="56"/>
        <v>86</v>
      </c>
      <c r="AV101" s="277">
        <f t="shared" si="48"/>
        <v>-2484402.8000000003</v>
      </c>
      <c r="AW101" s="277">
        <f t="shared" si="59"/>
        <v>-2484402.8000000003</v>
      </c>
      <c r="AX101" s="277">
        <f t="shared" si="62"/>
        <v>0</v>
      </c>
      <c r="AY101" s="277"/>
      <c r="AZ101" s="278">
        <f t="shared" si="57"/>
        <v>931200000</v>
      </c>
      <c r="BA101" s="279">
        <f t="shared" si="63"/>
        <v>3.2015500000000002E-2</v>
      </c>
      <c r="BB101" s="279">
        <f t="shared" si="63"/>
        <v>0.01</v>
      </c>
      <c r="BC101" s="1694"/>
      <c r="BD101" s="563">
        <f t="shared" si="31"/>
        <v>-776000</v>
      </c>
      <c r="BE101" s="1694"/>
      <c r="BF101" s="1694"/>
      <c r="BH101" s="277">
        <f t="shared" si="32"/>
        <v>-658376.87499999988</v>
      </c>
      <c r="BI101" s="277">
        <f t="shared" si="33"/>
        <v>-658376.87499999988</v>
      </c>
      <c r="BJ101" s="277">
        <v>0</v>
      </c>
      <c r="BK101" s="277"/>
      <c r="BL101" s="278">
        <f t="shared" si="61"/>
        <v>195000000</v>
      </c>
      <c r="BM101" s="279">
        <f t="shared" si="65"/>
        <v>4.0515499999999996E-2</v>
      </c>
      <c r="BN101" s="279">
        <f t="shared" si="65"/>
        <v>0.01</v>
      </c>
      <c r="BO101" s="1694"/>
      <c r="BP101" s="563">
        <f t="shared" si="54"/>
        <v>-162500</v>
      </c>
      <c r="BQ101" s="1694"/>
      <c r="BR101" s="1694"/>
    </row>
    <row r="102" spans="1:70" ht="15.75" customHeight="1" thickBot="1">
      <c r="A102" s="273" t="s">
        <v>518</v>
      </c>
      <c r="B102" s="274">
        <v>2022</v>
      </c>
      <c r="C102" s="577">
        <f>IF($C$7=2,1%+D102,1%)</f>
        <v>0.01</v>
      </c>
      <c r="D102" s="576"/>
      <c r="E102" s="275">
        <f t="shared" si="55"/>
        <v>921500000</v>
      </c>
      <c r="F102" s="276">
        <f t="shared" si="50"/>
        <v>93</v>
      </c>
      <c r="G102" s="277" t="e">
        <f t="shared" si="44"/>
        <v>#REF!</v>
      </c>
      <c r="H102" s="277" t="e">
        <f>-ROUNDDOWN(J101*#REF!,0)</f>
        <v>#REF!</v>
      </c>
      <c r="I102" s="277" t="e">
        <f>IF(ROUNDDOWN(J101,0)=0,0,-#REF!)</f>
        <v>#REF!</v>
      </c>
      <c r="J102" s="278" t="e">
        <f t="shared" si="45"/>
        <v>#REF!</v>
      </c>
      <c r="K102" s="1694"/>
      <c r="L102" s="1694"/>
      <c r="M102" s="1694"/>
      <c r="O102" s="276">
        <f t="shared" si="51"/>
        <v>93</v>
      </c>
      <c r="P102" s="277" t="e">
        <f t="shared" si="40"/>
        <v>#REF!</v>
      </c>
      <c r="Q102" s="277" t="e">
        <f>-S101*#REF!</f>
        <v>#REF!</v>
      </c>
      <c r="R102" s="277" t="e">
        <f>IF(ROUNDDOWN(S101,0)=0,0,-#REF!)</f>
        <v>#REF!</v>
      </c>
      <c r="S102" s="278" t="e">
        <f t="shared" si="46"/>
        <v>#REF!</v>
      </c>
      <c r="T102" s="1694"/>
      <c r="U102" s="1694"/>
      <c r="V102" s="1694"/>
      <c r="X102" s="276">
        <f t="shared" si="52"/>
        <v>93</v>
      </c>
      <c r="Y102" s="277" t="e">
        <f t="shared" si="41"/>
        <v>#REF!</v>
      </c>
      <c r="Z102" s="277" t="e">
        <f>-AB101*#REF!</f>
        <v>#REF!</v>
      </c>
      <c r="AA102" s="277" t="e">
        <f>IF(ROUNDDOWN(AB101,0)=0,0,-#REF!)</f>
        <v>#REF!</v>
      </c>
      <c r="AB102" s="278" t="e">
        <f t="shared" si="47"/>
        <v>#REF!</v>
      </c>
      <c r="AC102" s="1694"/>
      <c r="AD102" s="1694"/>
      <c r="AE102" s="1694"/>
      <c r="AG102" s="1709"/>
      <c r="AH102" s="1709"/>
      <c r="AI102" s="1709"/>
      <c r="AK102" s="276">
        <f t="shared" si="53"/>
        <v>93</v>
      </c>
      <c r="AL102" s="277" t="e">
        <f t="shared" si="42"/>
        <v>#REF!</v>
      </c>
      <c r="AM102" s="277" t="e">
        <f>-AO101*#REF!</f>
        <v>#REF!</v>
      </c>
      <c r="AN102" s="277" t="e">
        <f t="shared" si="64"/>
        <v>#REF!</v>
      </c>
      <c r="AO102" s="278" t="e">
        <f t="shared" si="35"/>
        <v>#REF!</v>
      </c>
      <c r="AP102" s="1694"/>
      <c r="AQ102" s="1694"/>
      <c r="AR102" s="1694"/>
      <c r="AS102" s="1715"/>
      <c r="AU102" s="276">
        <f t="shared" si="56"/>
        <v>87</v>
      </c>
      <c r="AV102" s="277">
        <f t="shared" si="48"/>
        <v>-12184402.800000001</v>
      </c>
      <c r="AW102" s="277">
        <f t="shared" si="59"/>
        <v>-2484402.8000000003</v>
      </c>
      <c r="AX102" s="277">
        <f t="shared" si="62"/>
        <v>-9700000</v>
      </c>
      <c r="AY102" s="277"/>
      <c r="AZ102" s="278">
        <f t="shared" si="57"/>
        <v>921500000</v>
      </c>
      <c r="BA102" s="279">
        <f t="shared" si="63"/>
        <v>3.2015500000000002E-2</v>
      </c>
      <c r="BB102" s="279">
        <f t="shared" si="63"/>
        <v>0.01</v>
      </c>
      <c r="BC102" s="1694"/>
      <c r="BD102" s="563">
        <f t="shared" si="31"/>
        <v>-776000</v>
      </c>
      <c r="BE102" s="1694"/>
      <c r="BF102" s="1694"/>
      <c r="BH102" s="277">
        <f t="shared" si="32"/>
        <v>-658376.87499999988</v>
      </c>
      <c r="BI102" s="277">
        <f t="shared" si="33"/>
        <v>-658376.87499999988</v>
      </c>
      <c r="BJ102" s="277">
        <v>0</v>
      </c>
      <c r="BK102" s="277">
        <v>35000000</v>
      </c>
      <c r="BL102" s="278">
        <f t="shared" si="61"/>
        <v>230000000</v>
      </c>
      <c r="BM102" s="279">
        <f t="shared" si="65"/>
        <v>4.0515499999999996E-2</v>
      </c>
      <c r="BN102" s="279">
        <f t="shared" si="65"/>
        <v>0.01</v>
      </c>
      <c r="BO102" s="1694"/>
      <c r="BP102" s="563">
        <f t="shared" si="54"/>
        <v>-162500</v>
      </c>
      <c r="BQ102" s="1694"/>
      <c r="BR102" s="1694"/>
    </row>
    <row r="103" spans="1:70" ht="15.75" customHeight="1">
      <c r="A103" s="273" t="s">
        <v>519</v>
      </c>
      <c r="B103" s="274">
        <v>2023</v>
      </c>
      <c r="C103" s="274"/>
      <c r="D103" s="274"/>
      <c r="E103" s="275">
        <f t="shared" si="55"/>
        <v>921500000</v>
      </c>
      <c r="F103" s="276">
        <f t="shared" si="50"/>
        <v>94</v>
      </c>
      <c r="G103" s="277" t="e">
        <f t="shared" si="44"/>
        <v>#REF!</v>
      </c>
      <c r="H103" s="277" t="e">
        <f>-ROUNDDOWN(J102*#REF!,0)</f>
        <v>#REF!</v>
      </c>
      <c r="I103" s="277" t="e">
        <f>IF(ROUNDDOWN(J102,0)=0,0,-#REF!)</f>
        <v>#REF!</v>
      </c>
      <c r="J103" s="278" t="e">
        <f t="shared" si="45"/>
        <v>#REF!</v>
      </c>
      <c r="K103" s="1694"/>
      <c r="L103" s="1694"/>
      <c r="M103" s="1694"/>
      <c r="O103" s="276">
        <f t="shared" si="51"/>
        <v>94</v>
      </c>
      <c r="P103" s="277" t="e">
        <f t="shared" si="40"/>
        <v>#REF!</v>
      </c>
      <c r="Q103" s="277" t="e">
        <f>-S102*#REF!</f>
        <v>#REF!</v>
      </c>
      <c r="R103" s="277" t="e">
        <f>IF(ROUNDDOWN(S102,0)=0,0,-#REF!)</f>
        <v>#REF!</v>
      </c>
      <c r="S103" s="278" t="e">
        <f t="shared" si="46"/>
        <v>#REF!</v>
      </c>
      <c r="T103" s="1694"/>
      <c r="U103" s="1694"/>
      <c r="V103" s="1694"/>
      <c r="X103" s="276">
        <f t="shared" si="52"/>
        <v>94</v>
      </c>
      <c r="Y103" s="277" t="e">
        <f t="shared" si="41"/>
        <v>#REF!</v>
      </c>
      <c r="Z103" s="277" t="e">
        <f>-AB102*#REF!</f>
        <v>#REF!</v>
      </c>
      <c r="AA103" s="277" t="e">
        <f>IF(ROUNDDOWN(AB102,0)=0,0,-#REF!)</f>
        <v>#REF!</v>
      </c>
      <c r="AB103" s="278" t="e">
        <f t="shared" si="47"/>
        <v>#REF!</v>
      </c>
      <c r="AC103" s="1694"/>
      <c r="AD103" s="1694"/>
      <c r="AE103" s="1694"/>
      <c r="AG103" s="1709"/>
      <c r="AH103" s="1709"/>
      <c r="AI103" s="1709"/>
      <c r="AK103" s="276">
        <f t="shared" si="53"/>
        <v>94</v>
      </c>
      <c r="AL103" s="277" t="e">
        <f t="shared" si="42"/>
        <v>#REF!</v>
      </c>
      <c r="AM103" s="277" t="e">
        <f>-AO102*#REF!</f>
        <v>#REF!</v>
      </c>
      <c r="AN103" s="277" t="e">
        <f t="shared" si="64"/>
        <v>#REF!</v>
      </c>
      <c r="AO103" s="278" t="e">
        <f t="shared" si="35"/>
        <v>#REF!</v>
      </c>
      <c r="AP103" s="1694"/>
      <c r="AQ103" s="1694"/>
      <c r="AR103" s="1694"/>
      <c r="AS103" s="1715"/>
      <c r="AU103" s="276">
        <f t="shared" si="56"/>
        <v>88</v>
      </c>
      <c r="AV103" s="277">
        <f t="shared" si="48"/>
        <v>-2458523.604166667</v>
      </c>
      <c r="AW103" s="277">
        <f t="shared" si="59"/>
        <v>-2458523.604166667</v>
      </c>
      <c r="AX103" s="277">
        <f t="shared" si="62"/>
        <v>0</v>
      </c>
      <c r="AY103" s="277"/>
      <c r="AZ103" s="278">
        <f t="shared" si="57"/>
        <v>921500000</v>
      </c>
      <c r="BA103" s="279">
        <f t="shared" si="63"/>
        <v>3.2015500000000002E-2</v>
      </c>
      <c r="BB103" s="279">
        <f t="shared" si="63"/>
        <v>0.01</v>
      </c>
      <c r="BC103" s="1694"/>
      <c r="BD103" s="563">
        <f t="shared" si="31"/>
        <v>-767916.66666666663</v>
      </c>
      <c r="BE103" s="1694"/>
      <c r="BF103" s="1694"/>
      <c r="BH103" s="277">
        <f t="shared" si="32"/>
        <v>-776547.08333333337</v>
      </c>
      <c r="BI103" s="277">
        <f t="shared" si="33"/>
        <v>-776547.08333333337</v>
      </c>
      <c r="BJ103" s="277">
        <v>0</v>
      </c>
      <c r="BK103" s="277"/>
      <c r="BL103" s="278">
        <f t="shared" si="61"/>
        <v>230000000</v>
      </c>
      <c r="BM103" s="279">
        <f t="shared" si="65"/>
        <v>4.0515499999999996E-2</v>
      </c>
      <c r="BN103" s="279">
        <f t="shared" si="65"/>
        <v>0.01</v>
      </c>
      <c r="BO103" s="1694"/>
      <c r="BP103" s="563">
        <f t="shared" si="54"/>
        <v>-191666.66666666666</v>
      </c>
      <c r="BQ103" s="1694"/>
      <c r="BR103" s="1694"/>
    </row>
    <row r="104" spans="1:70" ht="15.75" customHeight="1" thickBot="1">
      <c r="A104" s="273" t="s">
        <v>520</v>
      </c>
      <c r="B104" s="274">
        <v>2023</v>
      </c>
      <c r="C104" s="274"/>
      <c r="D104" s="274"/>
      <c r="E104" s="275">
        <f t="shared" si="55"/>
        <v>921500000</v>
      </c>
      <c r="F104" s="276">
        <f t="shared" si="50"/>
        <v>95</v>
      </c>
      <c r="G104" s="277" t="e">
        <f t="shared" si="44"/>
        <v>#REF!</v>
      </c>
      <c r="H104" s="277" t="e">
        <f>-ROUNDDOWN(J103*#REF!,0)</f>
        <v>#REF!</v>
      </c>
      <c r="I104" s="277" t="e">
        <f>IF(ROUNDDOWN(J103,0)=0,0,-#REF!)</f>
        <v>#REF!</v>
      </c>
      <c r="J104" s="278" t="e">
        <f t="shared" si="45"/>
        <v>#REF!</v>
      </c>
      <c r="K104" s="1694"/>
      <c r="L104" s="1694"/>
      <c r="M104" s="1694"/>
      <c r="O104" s="276">
        <f t="shared" si="51"/>
        <v>95</v>
      </c>
      <c r="P104" s="277" t="e">
        <f t="shared" si="40"/>
        <v>#REF!</v>
      </c>
      <c r="Q104" s="277" t="e">
        <f>-S103*#REF!</f>
        <v>#REF!</v>
      </c>
      <c r="R104" s="277" t="e">
        <f>IF(ROUNDDOWN(S103,0)=0,0,-#REF!)</f>
        <v>#REF!</v>
      </c>
      <c r="S104" s="278" t="e">
        <f t="shared" si="46"/>
        <v>#REF!</v>
      </c>
      <c r="T104" s="1694"/>
      <c r="U104" s="1694"/>
      <c r="V104" s="1694"/>
      <c r="X104" s="276">
        <f t="shared" si="52"/>
        <v>95</v>
      </c>
      <c r="Y104" s="277" t="e">
        <f t="shared" si="41"/>
        <v>#REF!</v>
      </c>
      <c r="Z104" s="277" t="e">
        <f>-AB103*#REF!</f>
        <v>#REF!</v>
      </c>
      <c r="AA104" s="277" t="e">
        <f>IF(ROUNDDOWN(AB103,0)=0,0,-#REF!)</f>
        <v>#REF!</v>
      </c>
      <c r="AB104" s="278" t="e">
        <f t="shared" si="47"/>
        <v>#REF!</v>
      </c>
      <c r="AC104" s="1694"/>
      <c r="AD104" s="1694"/>
      <c r="AE104" s="1694"/>
      <c r="AG104" s="1709"/>
      <c r="AH104" s="1709"/>
      <c r="AI104" s="1709"/>
      <c r="AK104" s="276">
        <f t="shared" si="53"/>
        <v>95</v>
      </c>
      <c r="AL104" s="277" t="e">
        <f t="shared" si="42"/>
        <v>#REF!</v>
      </c>
      <c r="AM104" s="277" t="e">
        <f>-AO103*#REF!</f>
        <v>#REF!</v>
      </c>
      <c r="AN104" s="277" t="e">
        <f t="shared" si="64"/>
        <v>#REF!</v>
      </c>
      <c r="AO104" s="278" t="e">
        <f t="shared" si="35"/>
        <v>#REF!</v>
      </c>
      <c r="AP104" s="1694"/>
      <c r="AQ104" s="1694"/>
      <c r="AR104" s="1694"/>
      <c r="AS104" s="1715"/>
      <c r="AU104" s="276">
        <f t="shared" si="56"/>
        <v>89</v>
      </c>
      <c r="AV104" s="277">
        <f t="shared" si="48"/>
        <v>-2458523.604166667</v>
      </c>
      <c r="AW104" s="277">
        <f t="shared" si="59"/>
        <v>-2458523.604166667</v>
      </c>
      <c r="AX104" s="277">
        <f t="shared" si="62"/>
        <v>0</v>
      </c>
      <c r="AY104" s="277"/>
      <c r="AZ104" s="278">
        <f t="shared" si="57"/>
        <v>921500000</v>
      </c>
      <c r="BA104" s="279">
        <f t="shared" si="63"/>
        <v>3.2015500000000002E-2</v>
      </c>
      <c r="BB104" s="279">
        <f t="shared" si="63"/>
        <v>0.01</v>
      </c>
      <c r="BC104" s="1694"/>
      <c r="BD104" s="563">
        <f t="shared" si="31"/>
        <v>-767916.66666666663</v>
      </c>
      <c r="BE104" s="1694"/>
      <c r="BF104" s="1694"/>
      <c r="BH104" s="277">
        <f t="shared" si="32"/>
        <v>-776547.08333333337</v>
      </c>
      <c r="BI104" s="277">
        <f t="shared" si="33"/>
        <v>-776547.08333333337</v>
      </c>
      <c r="BJ104" s="277">
        <v>0</v>
      </c>
      <c r="BK104" s="277"/>
      <c r="BL104" s="278">
        <f t="shared" si="61"/>
        <v>230000000</v>
      </c>
      <c r="BM104" s="279">
        <f t="shared" si="65"/>
        <v>4.0515499999999996E-2</v>
      </c>
      <c r="BN104" s="279">
        <f t="shared" si="65"/>
        <v>0.01</v>
      </c>
      <c r="BO104" s="1694"/>
      <c r="BP104" s="563">
        <f t="shared" si="54"/>
        <v>-191666.66666666666</v>
      </c>
      <c r="BQ104" s="1694"/>
      <c r="BR104" s="1694"/>
    </row>
    <row r="105" spans="1:70" ht="15.75" customHeight="1" thickBot="1">
      <c r="A105" s="273" t="s">
        <v>521</v>
      </c>
      <c r="B105" s="274">
        <v>2023</v>
      </c>
      <c r="C105" s="577">
        <f>IF($C$7=2,1%+D105,1%)</f>
        <v>0.01</v>
      </c>
      <c r="D105" s="576"/>
      <c r="E105" s="275">
        <f t="shared" si="55"/>
        <v>911800000</v>
      </c>
      <c r="F105" s="276">
        <f t="shared" si="50"/>
        <v>96</v>
      </c>
      <c r="G105" s="277" t="e">
        <f>SUM(H105:I105)</f>
        <v>#REF!</v>
      </c>
      <c r="H105" s="277" t="e">
        <f>-ROUNDDOWN(J104*#REF!,0)</f>
        <v>#REF!</v>
      </c>
      <c r="I105" s="277" t="e">
        <f>IF(ROUNDDOWN(J104,0)=0,0,-#REF!)</f>
        <v>#REF!</v>
      </c>
      <c r="J105" s="278" t="e">
        <f>J104+I105</f>
        <v>#REF!</v>
      </c>
      <c r="K105" s="1694"/>
      <c r="L105" s="1694"/>
      <c r="M105" s="1694"/>
      <c r="O105" s="276">
        <f t="shared" si="51"/>
        <v>96</v>
      </c>
      <c r="P105" s="277" t="e">
        <f t="shared" si="40"/>
        <v>#REF!</v>
      </c>
      <c r="Q105" s="277" t="e">
        <f>-S104*#REF!</f>
        <v>#REF!</v>
      </c>
      <c r="R105" s="277" t="e">
        <f>IF(ROUNDDOWN(S104,0)=0,0,-#REF!)</f>
        <v>#REF!</v>
      </c>
      <c r="S105" s="278" t="e">
        <f t="shared" si="46"/>
        <v>#REF!</v>
      </c>
      <c r="T105" s="1694"/>
      <c r="U105" s="1694"/>
      <c r="V105" s="1694"/>
      <c r="X105" s="276">
        <f t="shared" si="52"/>
        <v>96</v>
      </c>
      <c r="Y105" s="277" t="e">
        <f t="shared" si="41"/>
        <v>#REF!</v>
      </c>
      <c r="Z105" s="277" t="e">
        <f>-AB104*#REF!</f>
        <v>#REF!</v>
      </c>
      <c r="AA105" s="277" t="e">
        <f>IF(ROUNDDOWN(AB104,0)=0,0,-#REF!)</f>
        <v>#REF!</v>
      </c>
      <c r="AB105" s="278" t="e">
        <f t="shared" si="47"/>
        <v>#REF!</v>
      </c>
      <c r="AC105" s="1694"/>
      <c r="AD105" s="1694"/>
      <c r="AE105" s="1694"/>
      <c r="AG105" s="1709"/>
      <c r="AH105" s="1709"/>
      <c r="AI105" s="1709"/>
      <c r="AK105" s="276">
        <f t="shared" si="53"/>
        <v>96</v>
      </c>
      <c r="AL105" s="277" t="e">
        <f t="shared" si="42"/>
        <v>#REF!</v>
      </c>
      <c r="AM105" s="277" t="e">
        <f>-AO104*#REF!</f>
        <v>#REF!</v>
      </c>
      <c r="AN105" s="277" t="e">
        <f t="shared" si="64"/>
        <v>#REF!</v>
      </c>
      <c r="AO105" s="278" t="e">
        <f t="shared" si="35"/>
        <v>#REF!</v>
      </c>
      <c r="AP105" s="1694"/>
      <c r="AQ105" s="1694"/>
      <c r="AR105" s="1694"/>
      <c r="AS105" s="1715"/>
      <c r="AU105" s="276">
        <f t="shared" si="56"/>
        <v>90</v>
      </c>
      <c r="AV105" s="277">
        <f t="shared" si="48"/>
        <v>-12158523.604166668</v>
      </c>
      <c r="AW105" s="277">
        <f t="shared" si="59"/>
        <v>-2458523.604166667</v>
      </c>
      <c r="AX105" s="277">
        <f t="shared" si="62"/>
        <v>-9700000</v>
      </c>
      <c r="AY105" s="277"/>
      <c r="AZ105" s="278">
        <f t="shared" si="57"/>
        <v>911800000</v>
      </c>
      <c r="BA105" s="279">
        <f t="shared" si="63"/>
        <v>3.2015500000000002E-2</v>
      </c>
      <c r="BB105" s="279">
        <f t="shared" si="63"/>
        <v>0.01</v>
      </c>
      <c r="BC105" s="1694"/>
      <c r="BD105" s="563">
        <f t="shared" si="31"/>
        <v>-767916.66666666663</v>
      </c>
      <c r="BE105" s="1694"/>
      <c r="BF105" s="1694"/>
      <c r="BG105" s="229">
        <f>'Cashflow trend'!I23</f>
        <v>80061.653417678564</v>
      </c>
      <c r="BH105" s="277">
        <f t="shared" si="32"/>
        <v>-776547.08333333337</v>
      </c>
      <c r="BI105" s="277">
        <f t="shared" si="33"/>
        <v>-776547.08333333337</v>
      </c>
      <c r="BJ105" s="277">
        <v>0</v>
      </c>
      <c r="BK105" s="277">
        <v>30000000</v>
      </c>
      <c r="BL105" s="278">
        <f t="shared" si="61"/>
        <v>260000000</v>
      </c>
      <c r="BM105" s="279">
        <f t="shared" si="65"/>
        <v>4.0515499999999996E-2</v>
      </c>
      <c r="BN105" s="279">
        <f t="shared" si="65"/>
        <v>0.01</v>
      </c>
      <c r="BO105" s="1694"/>
      <c r="BP105" s="563">
        <f t="shared" si="54"/>
        <v>-191666.66666666666</v>
      </c>
      <c r="BQ105" s="1694"/>
      <c r="BR105" s="1694"/>
    </row>
    <row r="106" spans="1:70" ht="15.75" customHeight="1">
      <c r="A106" s="270" t="s">
        <v>510</v>
      </c>
      <c r="B106" s="266">
        <v>2023</v>
      </c>
      <c r="C106" s="266"/>
      <c r="D106" s="580"/>
      <c r="E106" s="265">
        <f t="shared" si="55"/>
        <v>911800000</v>
      </c>
      <c r="F106" s="267">
        <f t="shared" si="50"/>
        <v>97</v>
      </c>
      <c r="G106" s="268" t="e">
        <f>SUM(H106:I106)</f>
        <v>#REF!</v>
      </c>
      <c r="H106" s="268" t="e">
        <f>-ROUNDDOWN(J105*#REF!,0)</f>
        <v>#REF!</v>
      </c>
      <c r="I106" s="268" t="e">
        <f>IF(ROUNDDOWN(J105,0)=0,0,-#REF!)</f>
        <v>#REF!</v>
      </c>
      <c r="J106" s="269" t="e">
        <f t="shared" si="45"/>
        <v>#REF!</v>
      </c>
      <c r="K106" s="1695" t="s">
        <v>13</v>
      </c>
      <c r="L106" s="1695" t="e">
        <f>SUM(H106:H117)</f>
        <v>#REF!</v>
      </c>
      <c r="M106" s="1695" t="e">
        <f>SUM(I106:I117)</f>
        <v>#REF!</v>
      </c>
      <c r="O106" s="267">
        <f t="shared" si="51"/>
        <v>97</v>
      </c>
      <c r="P106" s="268" t="e">
        <f t="shared" si="40"/>
        <v>#REF!</v>
      </c>
      <c r="Q106" s="268" t="e">
        <f>-S105*#REF!</f>
        <v>#REF!</v>
      </c>
      <c r="R106" s="268" t="e">
        <f>IF(ROUNDDOWN(S105,0)=0,0,-#REF!)</f>
        <v>#REF!</v>
      </c>
      <c r="S106" s="269" t="e">
        <f t="shared" si="46"/>
        <v>#REF!</v>
      </c>
      <c r="T106" s="1695" t="s">
        <v>13</v>
      </c>
      <c r="U106" s="1695" t="e">
        <f>SUM(Q106:Q117)</f>
        <v>#REF!</v>
      </c>
      <c r="V106" s="1695" t="e">
        <f>SUM(R106:R117)</f>
        <v>#REF!</v>
      </c>
      <c r="X106" s="267">
        <f t="shared" si="52"/>
        <v>97</v>
      </c>
      <c r="Y106" s="268" t="e">
        <f t="shared" si="41"/>
        <v>#REF!</v>
      </c>
      <c r="Z106" s="268" t="e">
        <f>-AB105*#REF!</f>
        <v>#REF!</v>
      </c>
      <c r="AA106" s="268" t="e">
        <f>IF(ROUNDDOWN(AB105,0)=0,0,-#REF!)</f>
        <v>#REF!</v>
      </c>
      <c r="AB106" s="269" t="e">
        <f t="shared" si="47"/>
        <v>#REF!</v>
      </c>
      <c r="AC106" s="1695" t="s">
        <v>13</v>
      </c>
      <c r="AD106" s="1695" t="e">
        <f>SUM(Z106:Z117)</f>
        <v>#REF!</v>
      </c>
      <c r="AE106" s="1695" t="e">
        <f>SUM(AA106:AA117)</f>
        <v>#REF!</v>
      </c>
      <c r="AG106" s="1710" t="s">
        <v>13</v>
      </c>
      <c r="AH106" s="1710" t="e">
        <f>L106+U106+AD106</f>
        <v>#REF!</v>
      </c>
      <c r="AI106" s="1710" t="e">
        <f>M106+V106+AE106</f>
        <v>#REF!</v>
      </c>
      <c r="AK106" s="267">
        <f t="shared" si="53"/>
        <v>97</v>
      </c>
      <c r="AL106" s="268" t="e">
        <f t="shared" si="42"/>
        <v>#REF!</v>
      </c>
      <c r="AM106" s="268" t="e">
        <f>-AO105*#REF!</f>
        <v>#REF!</v>
      </c>
      <c r="AN106" s="268" t="e">
        <f>$AR$106/12</f>
        <v>#REF!</v>
      </c>
      <c r="AO106" s="269" t="e">
        <f t="shared" si="35"/>
        <v>#REF!</v>
      </c>
      <c r="AP106" s="1695" t="s">
        <v>13</v>
      </c>
      <c r="AQ106" s="1695" t="e">
        <f>SUM(AM106:AM117)</f>
        <v>#REF!</v>
      </c>
      <c r="AR106" s="1695" t="e">
        <f>-AS106*#REF!</f>
        <v>#REF!</v>
      </c>
      <c r="AS106" s="1711">
        <v>0.35</v>
      </c>
      <c r="AU106" s="267">
        <f t="shared" si="56"/>
        <v>91</v>
      </c>
      <c r="AV106" s="268">
        <f t="shared" si="48"/>
        <v>-2432644.4083333337</v>
      </c>
      <c r="AW106" s="268">
        <f t="shared" si="59"/>
        <v>-2432644.4083333337</v>
      </c>
      <c r="AX106" s="268">
        <f t="shared" si="62"/>
        <v>0</v>
      </c>
      <c r="AY106" s="268">
        <v>0</v>
      </c>
      <c r="AZ106" s="269">
        <f t="shared" si="57"/>
        <v>911800000</v>
      </c>
      <c r="BA106" s="272">
        <f t="shared" si="63"/>
        <v>3.2015500000000002E-2</v>
      </c>
      <c r="BB106" s="272">
        <f t="shared" si="63"/>
        <v>0.01</v>
      </c>
      <c r="BC106" s="1695" t="s">
        <v>13</v>
      </c>
      <c r="BD106" s="565">
        <f t="shared" si="31"/>
        <v>-759833.33333333337</v>
      </c>
      <c r="BE106" s="1695">
        <f>SUM(AW106:AW117)</f>
        <v>-28725907.375</v>
      </c>
      <c r="BF106" s="1695">
        <f>SUM(AX106:AY117)</f>
        <v>-48500000</v>
      </c>
      <c r="BH106" s="268">
        <f t="shared" si="32"/>
        <v>-877835.83333333314</v>
      </c>
      <c r="BI106" s="268">
        <f t="shared" si="33"/>
        <v>-877835.83333333314</v>
      </c>
      <c r="BJ106" s="268">
        <v>0</v>
      </c>
      <c r="BK106" s="268">
        <v>0</v>
      </c>
      <c r="BL106" s="269">
        <f t="shared" si="61"/>
        <v>260000000</v>
      </c>
      <c r="BM106" s="272">
        <f t="shared" si="65"/>
        <v>4.0515499999999996E-2</v>
      </c>
      <c r="BN106" s="272">
        <f t="shared" si="65"/>
        <v>0.01</v>
      </c>
      <c r="BO106" s="1695" t="s">
        <v>13</v>
      </c>
      <c r="BP106" s="565">
        <f t="shared" si="54"/>
        <v>-216666.66666666666</v>
      </c>
      <c r="BQ106" s="1695">
        <f>SUM(BI106:BI117)</f>
        <v>-12357227.5</v>
      </c>
      <c r="BR106" s="1695">
        <f>SUM(BJ106:BK117)</f>
        <v>120000000</v>
      </c>
    </row>
    <row r="107" spans="1:70" ht="15.75" customHeight="1" thickBot="1">
      <c r="A107" s="270" t="s">
        <v>511</v>
      </c>
      <c r="B107" s="266">
        <v>2023</v>
      </c>
      <c r="C107" s="266"/>
      <c r="D107" s="580"/>
      <c r="E107" s="265">
        <f t="shared" si="55"/>
        <v>911800000</v>
      </c>
      <c r="F107" s="267">
        <f t="shared" si="50"/>
        <v>98</v>
      </c>
      <c r="G107" s="268" t="e">
        <f t="shared" ref="G107:G153" si="66">SUM(H107:I107)</f>
        <v>#REF!</v>
      </c>
      <c r="H107" s="268" t="e">
        <f>-ROUNDDOWN(J106*#REF!,0)</f>
        <v>#REF!</v>
      </c>
      <c r="I107" s="268" t="e">
        <f>IF(ROUNDDOWN(J106,0)=0,0,-#REF!)</f>
        <v>#REF!</v>
      </c>
      <c r="J107" s="269" t="e">
        <f t="shared" si="45"/>
        <v>#REF!</v>
      </c>
      <c r="K107" s="1695"/>
      <c r="L107" s="1695"/>
      <c r="M107" s="1695"/>
      <c r="O107" s="267">
        <f t="shared" si="51"/>
        <v>98</v>
      </c>
      <c r="P107" s="268" t="e">
        <f t="shared" si="40"/>
        <v>#REF!</v>
      </c>
      <c r="Q107" s="268" t="e">
        <f>-S106*#REF!</f>
        <v>#REF!</v>
      </c>
      <c r="R107" s="268" t="e">
        <f>IF(ROUNDDOWN(S106,0)=0,0,-#REF!)</f>
        <v>#REF!</v>
      </c>
      <c r="S107" s="269" t="e">
        <f t="shared" si="46"/>
        <v>#REF!</v>
      </c>
      <c r="T107" s="1695"/>
      <c r="U107" s="1695"/>
      <c r="V107" s="1695"/>
      <c r="X107" s="267">
        <f t="shared" si="52"/>
        <v>98</v>
      </c>
      <c r="Y107" s="268" t="e">
        <f t="shared" si="41"/>
        <v>#REF!</v>
      </c>
      <c r="Z107" s="268" t="e">
        <f>-AB106*#REF!</f>
        <v>#REF!</v>
      </c>
      <c r="AA107" s="268" t="e">
        <f>IF(ROUNDDOWN(AB106,0)=0,0,-#REF!)</f>
        <v>#REF!</v>
      </c>
      <c r="AB107" s="269" t="e">
        <f t="shared" si="47"/>
        <v>#REF!</v>
      </c>
      <c r="AC107" s="1695"/>
      <c r="AD107" s="1695"/>
      <c r="AE107" s="1695"/>
      <c r="AG107" s="1710"/>
      <c r="AH107" s="1710"/>
      <c r="AI107" s="1710"/>
      <c r="AK107" s="267">
        <f t="shared" si="53"/>
        <v>98</v>
      </c>
      <c r="AL107" s="268" t="e">
        <f t="shared" si="42"/>
        <v>#REF!</v>
      </c>
      <c r="AM107" s="268" t="e">
        <f>-AO106*#REF!</f>
        <v>#REF!</v>
      </c>
      <c r="AN107" s="268" t="e">
        <f t="shared" ref="AN107:AN117" si="67">$AR$106/12</f>
        <v>#REF!</v>
      </c>
      <c r="AO107" s="269" t="e">
        <f t="shared" si="35"/>
        <v>#REF!</v>
      </c>
      <c r="AP107" s="1695"/>
      <c r="AQ107" s="1695"/>
      <c r="AR107" s="1695"/>
      <c r="AS107" s="1711"/>
      <c r="AU107" s="267">
        <f t="shared" si="56"/>
        <v>92</v>
      </c>
      <c r="AV107" s="268">
        <f t="shared" si="48"/>
        <v>-2432644.4083333337</v>
      </c>
      <c r="AW107" s="268">
        <f t="shared" si="59"/>
        <v>-2432644.4083333337</v>
      </c>
      <c r="AX107" s="268">
        <f t="shared" si="62"/>
        <v>0</v>
      </c>
      <c r="AY107" s="268"/>
      <c r="AZ107" s="269">
        <f t="shared" si="57"/>
        <v>911800000</v>
      </c>
      <c r="BA107" s="272">
        <f t="shared" ref="BA107:BB122" si="68">BA106</f>
        <v>3.2015500000000002E-2</v>
      </c>
      <c r="BB107" s="272">
        <f t="shared" si="68"/>
        <v>0.01</v>
      </c>
      <c r="BC107" s="1695"/>
      <c r="BD107" s="565">
        <f t="shared" si="31"/>
        <v>-759833.33333333337</v>
      </c>
      <c r="BE107" s="1695"/>
      <c r="BF107" s="1695"/>
      <c r="BH107" s="268">
        <f t="shared" si="32"/>
        <v>-877835.83333333314</v>
      </c>
      <c r="BI107" s="268">
        <f t="shared" si="33"/>
        <v>-877835.83333333314</v>
      </c>
      <c r="BJ107" s="268">
        <v>0</v>
      </c>
      <c r="BK107" s="268"/>
      <c r="BL107" s="269">
        <f t="shared" si="61"/>
        <v>260000000</v>
      </c>
      <c r="BM107" s="272">
        <f t="shared" si="65"/>
        <v>4.0515499999999996E-2</v>
      </c>
      <c r="BN107" s="272">
        <f t="shared" si="65"/>
        <v>0.01</v>
      </c>
      <c r="BO107" s="1695"/>
      <c r="BP107" s="565">
        <f t="shared" si="54"/>
        <v>-216666.66666666666</v>
      </c>
      <c r="BQ107" s="1695"/>
      <c r="BR107" s="1695"/>
    </row>
    <row r="108" spans="1:70" ht="15.75" customHeight="1" thickBot="1">
      <c r="A108" s="270" t="s">
        <v>512</v>
      </c>
      <c r="B108" s="266">
        <v>2023</v>
      </c>
      <c r="C108" s="579">
        <f>IF($C$7=2,1%+D108,1%)</f>
        <v>0.01</v>
      </c>
      <c r="D108" s="578"/>
      <c r="E108" s="265">
        <f t="shared" si="55"/>
        <v>902100000</v>
      </c>
      <c r="F108" s="267">
        <f t="shared" si="50"/>
        <v>99</v>
      </c>
      <c r="G108" s="268" t="e">
        <f t="shared" si="66"/>
        <v>#REF!</v>
      </c>
      <c r="H108" s="268" t="e">
        <f>-ROUNDDOWN(J107*#REF!,0)</f>
        <v>#REF!</v>
      </c>
      <c r="I108" s="268" t="e">
        <f>IF(ROUNDDOWN(J107,0)=0,0,-#REF!)</f>
        <v>#REF!</v>
      </c>
      <c r="J108" s="269" t="e">
        <f t="shared" si="45"/>
        <v>#REF!</v>
      </c>
      <c r="K108" s="1695"/>
      <c r="L108" s="1695"/>
      <c r="M108" s="1695"/>
      <c r="O108" s="267">
        <f t="shared" si="51"/>
        <v>99</v>
      </c>
      <c r="P108" s="268" t="e">
        <f t="shared" si="40"/>
        <v>#REF!</v>
      </c>
      <c r="Q108" s="268" t="e">
        <f>-S107*#REF!</f>
        <v>#REF!</v>
      </c>
      <c r="R108" s="268" t="e">
        <f>IF(ROUNDDOWN(S107,0)=0,0,-#REF!)</f>
        <v>#REF!</v>
      </c>
      <c r="S108" s="269" t="e">
        <f t="shared" si="46"/>
        <v>#REF!</v>
      </c>
      <c r="T108" s="1695"/>
      <c r="U108" s="1695"/>
      <c r="V108" s="1695"/>
      <c r="X108" s="267">
        <f t="shared" si="52"/>
        <v>99</v>
      </c>
      <c r="Y108" s="268" t="e">
        <f t="shared" si="41"/>
        <v>#REF!</v>
      </c>
      <c r="Z108" s="268" t="e">
        <f>-AB107*#REF!</f>
        <v>#REF!</v>
      </c>
      <c r="AA108" s="268" t="e">
        <f>IF(ROUNDDOWN(AB107,0)=0,0,-#REF!)</f>
        <v>#REF!</v>
      </c>
      <c r="AB108" s="269" t="e">
        <f t="shared" si="47"/>
        <v>#REF!</v>
      </c>
      <c r="AC108" s="1695"/>
      <c r="AD108" s="1695"/>
      <c r="AE108" s="1695"/>
      <c r="AG108" s="1710"/>
      <c r="AH108" s="1710"/>
      <c r="AI108" s="1710"/>
      <c r="AK108" s="267">
        <f t="shared" si="53"/>
        <v>99</v>
      </c>
      <c r="AL108" s="268" t="e">
        <f t="shared" si="42"/>
        <v>#REF!</v>
      </c>
      <c r="AM108" s="268" t="e">
        <f>-AO107*#REF!</f>
        <v>#REF!</v>
      </c>
      <c r="AN108" s="268" t="e">
        <f t="shared" si="67"/>
        <v>#REF!</v>
      </c>
      <c r="AO108" s="269" t="e">
        <f t="shared" si="35"/>
        <v>#REF!</v>
      </c>
      <c r="AP108" s="1695"/>
      <c r="AQ108" s="1695"/>
      <c r="AR108" s="1695"/>
      <c r="AS108" s="1711"/>
      <c r="AU108" s="267">
        <f t="shared" si="56"/>
        <v>93</v>
      </c>
      <c r="AV108" s="268">
        <f t="shared" si="48"/>
        <v>-12132644.408333333</v>
      </c>
      <c r="AW108" s="268">
        <f t="shared" si="59"/>
        <v>-2432644.4083333337</v>
      </c>
      <c r="AX108" s="268">
        <f t="shared" si="62"/>
        <v>-9700000</v>
      </c>
      <c r="AY108" s="268"/>
      <c r="AZ108" s="269">
        <f t="shared" si="57"/>
        <v>902100000</v>
      </c>
      <c r="BA108" s="272">
        <f t="shared" si="68"/>
        <v>3.2015500000000002E-2</v>
      </c>
      <c r="BB108" s="272">
        <f t="shared" si="68"/>
        <v>0.01</v>
      </c>
      <c r="BC108" s="1695"/>
      <c r="BD108" s="565">
        <f t="shared" si="31"/>
        <v>-759833.33333333337</v>
      </c>
      <c r="BE108" s="1695"/>
      <c r="BF108" s="1695"/>
      <c r="BH108" s="268">
        <f t="shared" si="32"/>
        <v>-877835.83333333314</v>
      </c>
      <c r="BI108" s="268">
        <f t="shared" si="33"/>
        <v>-877835.83333333314</v>
      </c>
      <c r="BJ108" s="268">
        <v>0</v>
      </c>
      <c r="BK108" s="268">
        <v>30000000</v>
      </c>
      <c r="BL108" s="269">
        <f t="shared" si="61"/>
        <v>290000000</v>
      </c>
      <c r="BM108" s="272">
        <f t="shared" si="65"/>
        <v>4.0515499999999996E-2</v>
      </c>
      <c r="BN108" s="272">
        <f t="shared" si="65"/>
        <v>0.01</v>
      </c>
      <c r="BO108" s="1695"/>
      <c r="BP108" s="565">
        <f t="shared" si="54"/>
        <v>-216666.66666666666</v>
      </c>
      <c r="BQ108" s="1695"/>
      <c r="BR108" s="1695"/>
    </row>
    <row r="109" spans="1:70" ht="15.75" customHeight="1">
      <c r="A109" s="270" t="s">
        <v>513</v>
      </c>
      <c r="B109" s="266">
        <v>2023</v>
      </c>
      <c r="C109" s="266"/>
      <c r="D109" s="580"/>
      <c r="E109" s="265">
        <f t="shared" si="55"/>
        <v>902100000</v>
      </c>
      <c r="F109" s="267">
        <f t="shared" si="50"/>
        <v>100</v>
      </c>
      <c r="G109" s="268" t="e">
        <f t="shared" si="66"/>
        <v>#REF!</v>
      </c>
      <c r="H109" s="268" t="e">
        <f>-ROUNDDOWN(J108*#REF!,0)</f>
        <v>#REF!</v>
      </c>
      <c r="I109" s="268" t="e">
        <f>IF(ROUNDDOWN(J108,0)=0,0,-#REF!)</f>
        <v>#REF!</v>
      </c>
      <c r="J109" s="269" t="e">
        <f t="shared" si="45"/>
        <v>#REF!</v>
      </c>
      <c r="K109" s="1695"/>
      <c r="L109" s="1695"/>
      <c r="M109" s="1695"/>
      <c r="O109" s="267">
        <f t="shared" si="51"/>
        <v>100</v>
      </c>
      <c r="P109" s="268" t="e">
        <f t="shared" si="40"/>
        <v>#REF!</v>
      </c>
      <c r="Q109" s="268" t="e">
        <f>-S108*#REF!</f>
        <v>#REF!</v>
      </c>
      <c r="R109" s="268" t="e">
        <f>IF(ROUNDDOWN(S108,0)=0,0,-#REF!)</f>
        <v>#REF!</v>
      </c>
      <c r="S109" s="269" t="e">
        <f t="shared" si="46"/>
        <v>#REF!</v>
      </c>
      <c r="T109" s="1695"/>
      <c r="U109" s="1695"/>
      <c r="V109" s="1695"/>
      <c r="X109" s="267">
        <f t="shared" si="52"/>
        <v>100</v>
      </c>
      <c r="Y109" s="268" t="e">
        <f t="shared" si="41"/>
        <v>#REF!</v>
      </c>
      <c r="Z109" s="268" t="e">
        <f>-AB108*#REF!</f>
        <v>#REF!</v>
      </c>
      <c r="AA109" s="268" t="e">
        <f>IF(ROUNDDOWN(AB108,0)=0,0,-#REF!)</f>
        <v>#REF!</v>
      </c>
      <c r="AB109" s="269" t="e">
        <f t="shared" si="47"/>
        <v>#REF!</v>
      </c>
      <c r="AC109" s="1695"/>
      <c r="AD109" s="1695"/>
      <c r="AE109" s="1695"/>
      <c r="AG109" s="1710"/>
      <c r="AH109" s="1710"/>
      <c r="AI109" s="1710"/>
      <c r="AK109" s="267">
        <f t="shared" si="53"/>
        <v>100</v>
      </c>
      <c r="AL109" s="268" t="e">
        <f t="shared" si="42"/>
        <v>#REF!</v>
      </c>
      <c r="AM109" s="268" t="e">
        <f>-AO108*#REF!</f>
        <v>#REF!</v>
      </c>
      <c r="AN109" s="268" t="e">
        <f t="shared" si="67"/>
        <v>#REF!</v>
      </c>
      <c r="AO109" s="269" t="e">
        <f t="shared" si="35"/>
        <v>#REF!</v>
      </c>
      <c r="AP109" s="1695"/>
      <c r="AQ109" s="1695"/>
      <c r="AR109" s="1695"/>
      <c r="AS109" s="1711"/>
      <c r="AU109" s="267">
        <f t="shared" si="56"/>
        <v>94</v>
      </c>
      <c r="AV109" s="268">
        <f t="shared" si="48"/>
        <v>-2406765.2124999999</v>
      </c>
      <c r="AW109" s="268">
        <f>-AZ108*BA108/12</f>
        <v>-2406765.2124999999</v>
      </c>
      <c r="AX109" s="268">
        <f t="shared" si="62"/>
        <v>0</v>
      </c>
      <c r="AY109" s="268"/>
      <c r="AZ109" s="269">
        <f t="shared" si="57"/>
        <v>902100000</v>
      </c>
      <c r="BA109" s="272">
        <f t="shared" si="68"/>
        <v>3.2015500000000002E-2</v>
      </c>
      <c r="BB109" s="272">
        <f t="shared" si="68"/>
        <v>0.01</v>
      </c>
      <c r="BC109" s="1695"/>
      <c r="BD109" s="565">
        <f t="shared" si="31"/>
        <v>-751750</v>
      </c>
      <c r="BE109" s="1695"/>
      <c r="BF109" s="1695"/>
      <c r="BH109" s="268">
        <f t="shared" si="32"/>
        <v>-979124.58333333314</v>
      </c>
      <c r="BI109" s="268">
        <f>-BL108*BM108/12</f>
        <v>-979124.58333333314</v>
      </c>
      <c r="BJ109" s="268">
        <v>0</v>
      </c>
      <c r="BK109" s="268"/>
      <c r="BL109" s="269">
        <f t="shared" si="61"/>
        <v>290000000</v>
      </c>
      <c r="BM109" s="272">
        <f t="shared" si="65"/>
        <v>4.0515499999999996E-2</v>
      </c>
      <c r="BN109" s="272">
        <f t="shared" si="65"/>
        <v>0.01</v>
      </c>
      <c r="BO109" s="1695"/>
      <c r="BP109" s="565">
        <f t="shared" si="54"/>
        <v>-241666.66666666666</v>
      </c>
      <c r="BQ109" s="1695"/>
      <c r="BR109" s="1695"/>
    </row>
    <row r="110" spans="1:70" ht="15.75" customHeight="1" thickBot="1">
      <c r="A110" s="270" t="s">
        <v>514</v>
      </c>
      <c r="B110" s="266">
        <v>2023</v>
      </c>
      <c r="C110" s="266"/>
      <c r="D110" s="580"/>
      <c r="E110" s="265">
        <f t="shared" si="55"/>
        <v>902100000</v>
      </c>
      <c r="F110" s="267">
        <f t="shared" si="50"/>
        <v>101</v>
      </c>
      <c r="G110" s="268" t="e">
        <f t="shared" si="66"/>
        <v>#REF!</v>
      </c>
      <c r="H110" s="268" t="e">
        <f>-ROUNDDOWN(J109*#REF!,0)</f>
        <v>#REF!</v>
      </c>
      <c r="I110" s="268" t="e">
        <f>IF(ROUNDDOWN(J109,0)=0,0,-#REF!)</f>
        <v>#REF!</v>
      </c>
      <c r="J110" s="269" t="e">
        <f t="shared" si="45"/>
        <v>#REF!</v>
      </c>
      <c r="K110" s="1695"/>
      <c r="L110" s="1695"/>
      <c r="M110" s="1695"/>
      <c r="O110" s="267">
        <f t="shared" si="51"/>
        <v>101</v>
      </c>
      <c r="P110" s="268" t="e">
        <f t="shared" si="40"/>
        <v>#REF!</v>
      </c>
      <c r="Q110" s="268" t="e">
        <f>-S109*#REF!</f>
        <v>#REF!</v>
      </c>
      <c r="R110" s="268" t="e">
        <f>IF(ROUNDDOWN(S109,0)=0,0,-#REF!)</f>
        <v>#REF!</v>
      </c>
      <c r="S110" s="269" t="e">
        <f t="shared" si="46"/>
        <v>#REF!</v>
      </c>
      <c r="T110" s="1695"/>
      <c r="U110" s="1695"/>
      <c r="V110" s="1695"/>
      <c r="X110" s="267">
        <f t="shared" si="52"/>
        <v>101</v>
      </c>
      <c r="Y110" s="268" t="e">
        <f t="shared" si="41"/>
        <v>#REF!</v>
      </c>
      <c r="Z110" s="268" t="e">
        <f>-AB109*#REF!</f>
        <v>#REF!</v>
      </c>
      <c r="AA110" s="268" t="e">
        <f>IF(ROUNDDOWN(AB109,0)=0,0,-#REF!)</f>
        <v>#REF!</v>
      </c>
      <c r="AB110" s="269" t="e">
        <f t="shared" si="47"/>
        <v>#REF!</v>
      </c>
      <c r="AC110" s="1695"/>
      <c r="AD110" s="1695"/>
      <c r="AE110" s="1695"/>
      <c r="AG110" s="1710"/>
      <c r="AH110" s="1710"/>
      <c r="AI110" s="1710"/>
      <c r="AK110" s="267">
        <f t="shared" si="53"/>
        <v>101</v>
      </c>
      <c r="AL110" s="268" t="e">
        <f t="shared" si="42"/>
        <v>#REF!</v>
      </c>
      <c r="AM110" s="268" t="e">
        <f>-AO109*#REF!</f>
        <v>#REF!</v>
      </c>
      <c r="AN110" s="268" t="e">
        <f t="shared" si="67"/>
        <v>#REF!</v>
      </c>
      <c r="AO110" s="269" t="e">
        <f t="shared" si="35"/>
        <v>#REF!</v>
      </c>
      <c r="AP110" s="1695"/>
      <c r="AQ110" s="1695"/>
      <c r="AR110" s="1695"/>
      <c r="AS110" s="1711"/>
      <c r="AU110" s="267">
        <f t="shared" si="56"/>
        <v>95</v>
      </c>
      <c r="AV110" s="268">
        <f t="shared" si="48"/>
        <v>-2406765.2124999999</v>
      </c>
      <c r="AW110" s="268">
        <f t="shared" si="59"/>
        <v>-2406765.2124999999</v>
      </c>
      <c r="AX110" s="268">
        <f t="shared" si="62"/>
        <v>0</v>
      </c>
      <c r="AY110" s="268"/>
      <c r="AZ110" s="269">
        <f t="shared" si="57"/>
        <v>902100000</v>
      </c>
      <c r="BA110" s="272">
        <f t="shared" si="68"/>
        <v>3.2015500000000002E-2</v>
      </c>
      <c r="BB110" s="272">
        <f t="shared" si="68"/>
        <v>0.01</v>
      </c>
      <c r="BC110" s="1695"/>
      <c r="BD110" s="565">
        <f t="shared" si="31"/>
        <v>-751750</v>
      </c>
      <c r="BE110" s="1695"/>
      <c r="BF110" s="1695"/>
      <c r="BH110" s="268">
        <f t="shared" si="32"/>
        <v>-979124.58333333314</v>
      </c>
      <c r="BI110" s="268">
        <f t="shared" ref="BI110:BI173" si="69">-BL109*BM109/12</f>
        <v>-979124.58333333314</v>
      </c>
      <c r="BJ110" s="268">
        <v>0</v>
      </c>
      <c r="BK110" s="268"/>
      <c r="BL110" s="269">
        <f t="shared" si="61"/>
        <v>290000000</v>
      </c>
      <c r="BM110" s="272">
        <f t="shared" si="65"/>
        <v>4.0515499999999996E-2</v>
      </c>
      <c r="BN110" s="272">
        <f t="shared" si="65"/>
        <v>0.01</v>
      </c>
      <c r="BO110" s="1695"/>
      <c r="BP110" s="565">
        <f t="shared" si="54"/>
        <v>-241666.66666666666</v>
      </c>
      <c r="BQ110" s="1695"/>
      <c r="BR110" s="1695"/>
    </row>
    <row r="111" spans="1:70" ht="16.5" customHeight="1" thickBot="1">
      <c r="A111" s="270" t="s">
        <v>515</v>
      </c>
      <c r="B111" s="266">
        <v>2023</v>
      </c>
      <c r="C111" s="579">
        <f>IF($C$7=2,1%+D111,1%)</f>
        <v>0.01</v>
      </c>
      <c r="D111" s="578"/>
      <c r="E111" s="265">
        <f t="shared" si="55"/>
        <v>892400000</v>
      </c>
      <c r="F111" s="267">
        <f t="shared" si="50"/>
        <v>102</v>
      </c>
      <c r="G111" s="268" t="e">
        <f t="shared" si="66"/>
        <v>#REF!</v>
      </c>
      <c r="H111" s="268" t="e">
        <f>-ROUNDDOWN(J110*#REF!,0)</f>
        <v>#REF!</v>
      </c>
      <c r="I111" s="268" t="e">
        <f>IF(ROUNDDOWN(J110,0)=0,0,-#REF!)</f>
        <v>#REF!</v>
      </c>
      <c r="J111" s="269" t="e">
        <f t="shared" si="45"/>
        <v>#REF!</v>
      </c>
      <c r="K111" s="1695"/>
      <c r="L111" s="1695"/>
      <c r="M111" s="1695"/>
      <c r="O111" s="267">
        <f t="shared" si="51"/>
        <v>102</v>
      </c>
      <c r="P111" s="268" t="e">
        <f t="shared" si="40"/>
        <v>#REF!</v>
      </c>
      <c r="Q111" s="268" t="e">
        <f>-S110*#REF!</f>
        <v>#REF!</v>
      </c>
      <c r="R111" s="268" t="e">
        <f>IF(ROUNDDOWN(S110,0)=0,0,-#REF!)</f>
        <v>#REF!</v>
      </c>
      <c r="S111" s="269" t="e">
        <f t="shared" si="46"/>
        <v>#REF!</v>
      </c>
      <c r="T111" s="1695"/>
      <c r="U111" s="1695"/>
      <c r="V111" s="1695"/>
      <c r="X111" s="267">
        <f t="shared" si="52"/>
        <v>102</v>
      </c>
      <c r="Y111" s="268" t="e">
        <f t="shared" si="41"/>
        <v>#REF!</v>
      </c>
      <c r="Z111" s="268" t="e">
        <f>-AB110*#REF!</f>
        <v>#REF!</v>
      </c>
      <c r="AA111" s="268" t="e">
        <f>IF(ROUNDDOWN(AB110,0)=0,0,-#REF!)</f>
        <v>#REF!</v>
      </c>
      <c r="AB111" s="269" t="e">
        <f t="shared" si="47"/>
        <v>#REF!</v>
      </c>
      <c r="AC111" s="1695"/>
      <c r="AD111" s="1695"/>
      <c r="AE111" s="1695"/>
      <c r="AG111" s="1710"/>
      <c r="AH111" s="1710"/>
      <c r="AI111" s="1710"/>
      <c r="AK111" s="267">
        <f t="shared" si="53"/>
        <v>102</v>
      </c>
      <c r="AL111" s="268" t="e">
        <f t="shared" si="42"/>
        <v>#REF!</v>
      </c>
      <c r="AM111" s="268" t="e">
        <f>-AO110*#REF!</f>
        <v>#REF!</v>
      </c>
      <c r="AN111" s="268" t="e">
        <f t="shared" si="67"/>
        <v>#REF!</v>
      </c>
      <c r="AO111" s="269" t="e">
        <f t="shared" si="35"/>
        <v>#REF!</v>
      </c>
      <c r="AP111" s="1695"/>
      <c r="AQ111" s="1695"/>
      <c r="AR111" s="1695"/>
      <c r="AS111" s="1711"/>
      <c r="AU111" s="267">
        <f t="shared" si="56"/>
        <v>96</v>
      </c>
      <c r="AV111" s="268">
        <f t="shared" si="48"/>
        <v>-12106765.2125</v>
      </c>
      <c r="AW111" s="268">
        <f t="shared" si="59"/>
        <v>-2406765.2124999999</v>
      </c>
      <c r="AX111" s="268">
        <f t="shared" si="62"/>
        <v>-9700000</v>
      </c>
      <c r="AY111" s="268"/>
      <c r="AZ111" s="269">
        <f t="shared" si="57"/>
        <v>892400000</v>
      </c>
      <c r="BA111" s="272">
        <f t="shared" si="68"/>
        <v>3.2015500000000002E-2</v>
      </c>
      <c r="BB111" s="272">
        <f t="shared" si="68"/>
        <v>0.01</v>
      </c>
      <c r="BC111" s="1695"/>
      <c r="BD111" s="565">
        <f t="shared" si="31"/>
        <v>-751750</v>
      </c>
      <c r="BE111" s="1695"/>
      <c r="BF111" s="1695"/>
      <c r="BH111" s="268">
        <f t="shared" si="32"/>
        <v>-979124.58333333314</v>
      </c>
      <c r="BI111" s="268">
        <f t="shared" si="69"/>
        <v>-979124.58333333314</v>
      </c>
      <c r="BJ111" s="268">
        <v>0</v>
      </c>
      <c r="BK111" s="268">
        <v>30000000</v>
      </c>
      <c r="BL111" s="269">
        <f t="shared" si="61"/>
        <v>320000000</v>
      </c>
      <c r="BM111" s="272">
        <f t="shared" ref="BM111:BN126" si="70">BM110</f>
        <v>4.0515499999999996E-2</v>
      </c>
      <c r="BN111" s="272">
        <f t="shared" si="70"/>
        <v>0.01</v>
      </c>
      <c r="BO111" s="1695"/>
      <c r="BP111" s="565">
        <f t="shared" si="54"/>
        <v>-241666.66666666666</v>
      </c>
      <c r="BQ111" s="1695"/>
      <c r="BR111" s="1695"/>
    </row>
    <row r="112" spans="1:70" ht="15">
      <c r="A112" s="270" t="s">
        <v>516</v>
      </c>
      <c r="B112" s="266">
        <v>2023</v>
      </c>
      <c r="C112" s="266"/>
      <c r="D112" s="266"/>
      <c r="E112" s="265">
        <f t="shared" si="55"/>
        <v>892400000</v>
      </c>
      <c r="F112" s="267">
        <f t="shared" si="50"/>
        <v>103</v>
      </c>
      <c r="G112" s="268" t="e">
        <f t="shared" si="66"/>
        <v>#REF!</v>
      </c>
      <c r="H112" s="268" t="e">
        <f>-ROUNDDOWN(J111*#REF!,0)</f>
        <v>#REF!</v>
      </c>
      <c r="I112" s="268" t="e">
        <f>IF(ROUNDDOWN(J111,0)=0,0,-#REF!)</f>
        <v>#REF!</v>
      </c>
      <c r="J112" s="269" t="e">
        <f t="shared" si="45"/>
        <v>#REF!</v>
      </c>
      <c r="K112" s="1695"/>
      <c r="L112" s="1695"/>
      <c r="M112" s="1695"/>
      <c r="O112" s="267">
        <f t="shared" si="51"/>
        <v>103</v>
      </c>
      <c r="P112" s="268" t="e">
        <f t="shared" si="40"/>
        <v>#REF!</v>
      </c>
      <c r="Q112" s="268" t="e">
        <f>-S111*#REF!</f>
        <v>#REF!</v>
      </c>
      <c r="R112" s="268" t="e">
        <f>IF(ROUNDDOWN(S111,0)=0,0,-#REF!)</f>
        <v>#REF!</v>
      </c>
      <c r="S112" s="269" t="e">
        <f t="shared" si="46"/>
        <v>#REF!</v>
      </c>
      <c r="T112" s="1695"/>
      <c r="U112" s="1695"/>
      <c r="V112" s="1695"/>
      <c r="X112" s="267">
        <f t="shared" si="52"/>
        <v>103</v>
      </c>
      <c r="Y112" s="268" t="e">
        <f t="shared" si="41"/>
        <v>#REF!</v>
      </c>
      <c r="Z112" s="268" t="e">
        <f>-AB111*#REF!</f>
        <v>#REF!</v>
      </c>
      <c r="AA112" s="268" t="e">
        <f>IF(ROUNDDOWN(AB111,0)=0,0,-#REF!)</f>
        <v>#REF!</v>
      </c>
      <c r="AB112" s="269" t="e">
        <f t="shared" si="47"/>
        <v>#REF!</v>
      </c>
      <c r="AC112" s="1695"/>
      <c r="AD112" s="1695"/>
      <c r="AE112" s="1695"/>
      <c r="AG112" s="1710"/>
      <c r="AH112" s="1710"/>
      <c r="AI112" s="1710"/>
      <c r="AK112" s="267">
        <f t="shared" si="53"/>
        <v>103</v>
      </c>
      <c r="AL112" s="268" t="e">
        <f t="shared" si="42"/>
        <v>#REF!</v>
      </c>
      <c r="AM112" s="268" t="e">
        <f>-AO111*#REF!</f>
        <v>#REF!</v>
      </c>
      <c r="AN112" s="268" t="e">
        <f t="shared" si="67"/>
        <v>#REF!</v>
      </c>
      <c r="AO112" s="269" t="e">
        <f t="shared" si="35"/>
        <v>#REF!</v>
      </c>
      <c r="AP112" s="1695"/>
      <c r="AQ112" s="1695"/>
      <c r="AR112" s="1695"/>
      <c r="AS112" s="1711"/>
      <c r="AU112" s="267">
        <f t="shared" si="56"/>
        <v>97</v>
      </c>
      <c r="AV112" s="268">
        <f t="shared" si="48"/>
        <v>-2380886.0166666671</v>
      </c>
      <c r="AW112" s="268">
        <f t="shared" si="59"/>
        <v>-2380886.0166666671</v>
      </c>
      <c r="AX112" s="268">
        <f t="shared" si="62"/>
        <v>0</v>
      </c>
      <c r="AY112" s="268"/>
      <c r="AZ112" s="269">
        <f t="shared" si="57"/>
        <v>892400000</v>
      </c>
      <c r="BA112" s="272">
        <f t="shared" si="68"/>
        <v>3.2015500000000002E-2</v>
      </c>
      <c r="BB112" s="272">
        <f t="shared" si="68"/>
        <v>0.01</v>
      </c>
      <c r="BC112" s="1695"/>
      <c r="BD112" s="565">
        <f t="shared" si="31"/>
        <v>-743666.66666666663</v>
      </c>
      <c r="BE112" s="1695"/>
      <c r="BF112" s="1695"/>
      <c r="BH112" s="268">
        <f t="shared" si="32"/>
        <v>-1080413.3333333333</v>
      </c>
      <c r="BI112" s="268">
        <f t="shared" si="69"/>
        <v>-1080413.3333333333</v>
      </c>
      <c r="BJ112" s="268">
        <v>0</v>
      </c>
      <c r="BK112" s="268"/>
      <c r="BL112" s="269">
        <f t="shared" si="61"/>
        <v>320000000</v>
      </c>
      <c r="BM112" s="272">
        <f t="shared" si="70"/>
        <v>4.0515499999999996E-2</v>
      </c>
      <c r="BN112" s="272">
        <f t="shared" si="70"/>
        <v>0.01</v>
      </c>
      <c r="BO112" s="1695"/>
      <c r="BP112" s="565">
        <f t="shared" si="54"/>
        <v>-266666.66666666669</v>
      </c>
      <c r="BQ112" s="1695"/>
      <c r="BR112" s="1695"/>
    </row>
    <row r="113" spans="1:70" ht="15.75" customHeight="1" thickBot="1">
      <c r="A113" s="270" t="s">
        <v>517</v>
      </c>
      <c r="B113" s="266">
        <v>2023</v>
      </c>
      <c r="C113" s="266"/>
      <c r="D113" s="266"/>
      <c r="E113" s="265">
        <f t="shared" si="55"/>
        <v>892400000</v>
      </c>
      <c r="F113" s="267">
        <f t="shared" si="50"/>
        <v>104</v>
      </c>
      <c r="G113" s="268" t="e">
        <f t="shared" si="66"/>
        <v>#REF!</v>
      </c>
      <c r="H113" s="268" t="e">
        <f>-ROUNDDOWN(J112*#REF!,0)</f>
        <v>#REF!</v>
      </c>
      <c r="I113" s="268" t="e">
        <f>IF(ROUNDDOWN(J112,0)=0,0,-#REF!)</f>
        <v>#REF!</v>
      </c>
      <c r="J113" s="269" t="e">
        <f t="shared" si="45"/>
        <v>#REF!</v>
      </c>
      <c r="K113" s="1695"/>
      <c r="L113" s="1695"/>
      <c r="M113" s="1695"/>
      <c r="O113" s="267">
        <f t="shared" si="51"/>
        <v>104</v>
      </c>
      <c r="P113" s="268" t="e">
        <f t="shared" si="40"/>
        <v>#REF!</v>
      </c>
      <c r="Q113" s="268" t="e">
        <f>-S112*#REF!</f>
        <v>#REF!</v>
      </c>
      <c r="R113" s="268" t="e">
        <f>IF(ROUNDDOWN(S112,0)=0,0,-#REF!)</f>
        <v>#REF!</v>
      </c>
      <c r="S113" s="269" t="e">
        <f t="shared" si="46"/>
        <v>#REF!</v>
      </c>
      <c r="T113" s="1695"/>
      <c r="U113" s="1695"/>
      <c r="V113" s="1695"/>
      <c r="X113" s="267">
        <f t="shared" si="52"/>
        <v>104</v>
      </c>
      <c r="Y113" s="268" t="e">
        <f t="shared" si="41"/>
        <v>#REF!</v>
      </c>
      <c r="Z113" s="268" t="e">
        <f>-AB112*#REF!</f>
        <v>#REF!</v>
      </c>
      <c r="AA113" s="268" t="e">
        <f>IF(ROUNDDOWN(AB112,0)=0,0,-#REF!)</f>
        <v>#REF!</v>
      </c>
      <c r="AB113" s="269" t="e">
        <f t="shared" si="47"/>
        <v>#REF!</v>
      </c>
      <c r="AC113" s="1695"/>
      <c r="AD113" s="1695"/>
      <c r="AE113" s="1695"/>
      <c r="AG113" s="1710"/>
      <c r="AH113" s="1710"/>
      <c r="AI113" s="1710"/>
      <c r="AK113" s="267">
        <f t="shared" si="53"/>
        <v>104</v>
      </c>
      <c r="AL113" s="268" t="e">
        <f t="shared" si="42"/>
        <v>#REF!</v>
      </c>
      <c r="AM113" s="268" t="e">
        <f>-AO112*#REF!</f>
        <v>#REF!</v>
      </c>
      <c r="AN113" s="268" t="e">
        <f t="shared" si="67"/>
        <v>#REF!</v>
      </c>
      <c r="AO113" s="269" t="e">
        <f t="shared" si="35"/>
        <v>#REF!</v>
      </c>
      <c r="AP113" s="1695"/>
      <c r="AQ113" s="1695"/>
      <c r="AR113" s="1695"/>
      <c r="AS113" s="1711"/>
      <c r="AU113" s="267">
        <f t="shared" si="56"/>
        <v>98</v>
      </c>
      <c r="AV113" s="268">
        <f t="shared" si="48"/>
        <v>-2380886.0166666671</v>
      </c>
      <c r="AW113" s="268">
        <f t="shared" si="59"/>
        <v>-2380886.0166666671</v>
      </c>
      <c r="AX113" s="268">
        <f t="shared" si="62"/>
        <v>0</v>
      </c>
      <c r="AY113" s="268"/>
      <c r="AZ113" s="269">
        <f t="shared" si="57"/>
        <v>892400000</v>
      </c>
      <c r="BA113" s="272">
        <f t="shared" si="68"/>
        <v>3.2015500000000002E-2</v>
      </c>
      <c r="BB113" s="272">
        <f t="shared" si="68"/>
        <v>0.01</v>
      </c>
      <c r="BC113" s="1695"/>
      <c r="BD113" s="565">
        <f t="shared" si="31"/>
        <v>-743666.66666666663</v>
      </c>
      <c r="BE113" s="1695"/>
      <c r="BF113" s="1695"/>
      <c r="BH113" s="268">
        <f t="shared" si="32"/>
        <v>-1080413.3333333333</v>
      </c>
      <c r="BI113" s="268">
        <f t="shared" si="69"/>
        <v>-1080413.3333333333</v>
      </c>
      <c r="BJ113" s="268">
        <v>0</v>
      </c>
      <c r="BK113" s="268"/>
      <c r="BL113" s="269">
        <f t="shared" si="61"/>
        <v>320000000</v>
      </c>
      <c r="BM113" s="272">
        <f t="shared" si="70"/>
        <v>4.0515499999999996E-2</v>
      </c>
      <c r="BN113" s="272">
        <f t="shared" si="70"/>
        <v>0.01</v>
      </c>
      <c r="BO113" s="1695"/>
      <c r="BP113" s="565">
        <f t="shared" si="54"/>
        <v>-266666.66666666669</v>
      </c>
      <c r="BQ113" s="1695"/>
      <c r="BR113" s="1695"/>
    </row>
    <row r="114" spans="1:70" ht="15.75" customHeight="1" thickBot="1">
      <c r="A114" s="270" t="s">
        <v>518</v>
      </c>
      <c r="B114" s="266">
        <v>2023</v>
      </c>
      <c r="C114" s="579">
        <f>IF($C$7=2,1%+D114,1%)</f>
        <v>0.01</v>
      </c>
      <c r="D114" s="578"/>
      <c r="E114" s="265">
        <f t="shared" si="55"/>
        <v>882700000</v>
      </c>
      <c r="F114" s="267">
        <f t="shared" si="50"/>
        <v>105</v>
      </c>
      <c r="G114" s="268" t="e">
        <f t="shared" si="66"/>
        <v>#REF!</v>
      </c>
      <c r="H114" s="268" t="e">
        <f>-ROUNDDOWN(J113*#REF!,0)</f>
        <v>#REF!</v>
      </c>
      <c r="I114" s="268" t="e">
        <f>IF(ROUNDDOWN(J113,0)=0,0,-#REF!)</f>
        <v>#REF!</v>
      </c>
      <c r="J114" s="269" t="e">
        <f t="shared" si="45"/>
        <v>#REF!</v>
      </c>
      <c r="K114" s="1695"/>
      <c r="L114" s="1695"/>
      <c r="M114" s="1695"/>
      <c r="O114" s="267">
        <f t="shared" si="51"/>
        <v>105</v>
      </c>
      <c r="P114" s="268" t="e">
        <f t="shared" si="40"/>
        <v>#REF!</v>
      </c>
      <c r="Q114" s="268" t="e">
        <f>-S113*#REF!</f>
        <v>#REF!</v>
      </c>
      <c r="R114" s="268" t="e">
        <f>IF(ROUNDDOWN(S113,0)=0,0,-#REF!)</f>
        <v>#REF!</v>
      </c>
      <c r="S114" s="269" t="e">
        <f t="shared" si="46"/>
        <v>#REF!</v>
      </c>
      <c r="T114" s="1695"/>
      <c r="U114" s="1695"/>
      <c r="V114" s="1695"/>
      <c r="X114" s="267">
        <f t="shared" si="52"/>
        <v>105</v>
      </c>
      <c r="Y114" s="268" t="e">
        <f t="shared" si="41"/>
        <v>#REF!</v>
      </c>
      <c r="Z114" s="268" t="e">
        <f>-AB113*#REF!</f>
        <v>#REF!</v>
      </c>
      <c r="AA114" s="268" t="e">
        <f>IF(ROUNDDOWN(AB113,0)=0,0,-#REF!)</f>
        <v>#REF!</v>
      </c>
      <c r="AB114" s="269" t="e">
        <f t="shared" si="47"/>
        <v>#REF!</v>
      </c>
      <c r="AC114" s="1695"/>
      <c r="AD114" s="1695"/>
      <c r="AE114" s="1695"/>
      <c r="AG114" s="1710"/>
      <c r="AH114" s="1710"/>
      <c r="AI114" s="1710"/>
      <c r="AK114" s="267">
        <f t="shared" si="53"/>
        <v>105</v>
      </c>
      <c r="AL114" s="268" t="e">
        <f t="shared" si="42"/>
        <v>#REF!</v>
      </c>
      <c r="AM114" s="268" t="e">
        <f>-AO113*#REF!</f>
        <v>#REF!</v>
      </c>
      <c r="AN114" s="268" t="e">
        <f t="shared" si="67"/>
        <v>#REF!</v>
      </c>
      <c r="AO114" s="269" t="e">
        <f t="shared" si="35"/>
        <v>#REF!</v>
      </c>
      <c r="AP114" s="1695"/>
      <c r="AQ114" s="1695"/>
      <c r="AR114" s="1695"/>
      <c r="AS114" s="1711"/>
      <c r="AU114" s="267">
        <f t="shared" si="56"/>
        <v>99</v>
      </c>
      <c r="AV114" s="268">
        <f t="shared" si="48"/>
        <v>-12080886.016666668</v>
      </c>
      <c r="AW114" s="268">
        <f t="shared" si="59"/>
        <v>-2380886.0166666671</v>
      </c>
      <c r="AX114" s="268">
        <f t="shared" si="62"/>
        <v>-9700000</v>
      </c>
      <c r="AY114" s="268"/>
      <c r="AZ114" s="269">
        <f t="shared" si="57"/>
        <v>882700000</v>
      </c>
      <c r="BA114" s="272">
        <f t="shared" si="68"/>
        <v>3.2015500000000002E-2</v>
      </c>
      <c r="BB114" s="272">
        <f t="shared" si="68"/>
        <v>0.01</v>
      </c>
      <c r="BC114" s="1695"/>
      <c r="BD114" s="565">
        <f t="shared" si="31"/>
        <v>-743666.66666666663</v>
      </c>
      <c r="BE114" s="1695"/>
      <c r="BF114" s="1695"/>
      <c r="BH114" s="268">
        <f t="shared" si="32"/>
        <v>-1080413.3333333333</v>
      </c>
      <c r="BI114" s="268">
        <f t="shared" si="69"/>
        <v>-1080413.3333333333</v>
      </c>
      <c r="BJ114" s="268">
        <v>0</v>
      </c>
      <c r="BK114" s="268">
        <v>30000000</v>
      </c>
      <c r="BL114" s="269">
        <f t="shared" si="61"/>
        <v>350000000</v>
      </c>
      <c r="BM114" s="272">
        <f t="shared" si="70"/>
        <v>4.0515499999999996E-2</v>
      </c>
      <c r="BN114" s="272">
        <f t="shared" si="70"/>
        <v>0.01</v>
      </c>
      <c r="BO114" s="1695"/>
      <c r="BP114" s="565">
        <f t="shared" si="54"/>
        <v>-266666.66666666669</v>
      </c>
      <c r="BQ114" s="1695"/>
      <c r="BR114" s="1695"/>
    </row>
    <row r="115" spans="1:70" ht="15.75" customHeight="1">
      <c r="A115" s="270" t="s">
        <v>519</v>
      </c>
      <c r="B115" s="266">
        <v>2024</v>
      </c>
      <c r="C115" s="266"/>
      <c r="D115" s="266"/>
      <c r="E115" s="265">
        <f t="shared" si="55"/>
        <v>882700000</v>
      </c>
      <c r="F115" s="267">
        <f t="shared" si="50"/>
        <v>106</v>
      </c>
      <c r="G115" s="268" t="e">
        <f t="shared" si="66"/>
        <v>#REF!</v>
      </c>
      <c r="H115" s="268" t="e">
        <f>-ROUNDDOWN(J114*#REF!,0)</f>
        <v>#REF!</v>
      </c>
      <c r="I115" s="268" t="e">
        <f>IF(ROUNDDOWN(J114,0)=0,0,-#REF!)</f>
        <v>#REF!</v>
      </c>
      <c r="J115" s="269" t="e">
        <f t="shared" si="45"/>
        <v>#REF!</v>
      </c>
      <c r="K115" s="1695"/>
      <c r="L115" s="1695"/>
      <c r="M115" s="1695"/>
      <c r="O115" s="267">
        <f t="shared" si="51"/>
        <v>106</v>
      </c>
      <c r="P115" s="268" t="e">
        <f t="shared" si="40"/>
        <v>#REF!</v>
      </c>
      <c r="Q115" s="268" t="e">
        <f>-S114*#REF!</f>
        <v>#REF!</v>
      </c>
      <c r="R115" s="268" t="e">
        <f>IF(ROUNDDOWN(S114,0)=0,0,-#REF!)</f>
        <v>#REF!</v>
      </c>
      <c r="S115" s="269" t="e">
        <f t="shared" si="46"/>
        <v>#REF!</v>
      </c>
      <c r="T115" s="1695"/>
      <c r="U115" s="1695"/>
      <c r="V115" s="1695"/>
      <c r="X115" s="267">
        <f t="shared" si="52"/>
        <v>106</v>
      </c>
      <c r="Y115" s="268" t="e">
        <f t="shared" si="41"/>
        <v>#REF!</v>
      </c>
      <c r="Z115" s="268" t="e">
        <f>-AB114*#REF!</f>
        <v>#REF!</v>
      </c>
      <c r="AA115" s="268" t="e">
        <f>IF(ROUNDDOWN(AB114,0)=0,0,-#REF!)</f>
        <v>#REF!</v>
      </c>
      <c r="AB115" s="269" t="e">
        <f t="shared" si="47"/>
        <v>#REF!</v>
      </c>
      <c r="AC115" s="1695"/>
      <c r="AD115" s="1695"/>
      <c r="AE115" s="1695"/>
      <c r="AG115" s="1710"/>
      <c r="AH115" s="1710"/>
      <c r="AI115" s="1710"/>
      <c r="AK115" s="267">
        <f t="shared" si="53"/>
        <v>106</v>
      </c>
      <c r="AL115" s="268" t="e">
        <f t="shared" si="42"/>
        <v>#REF!</v>
      </c>
      <c r="AM115" s="268" t="e">
        <f>-AO114*#REF!</f>
        <v>#REF!</v>
      </c>
      <c r="AN115" s="268" t="e">
        <f t="shared" si="67"/>
        <v>#REF!</v>
      </c>
      <c r="AO115" s="269" t="e">
        <f t="shared" si="35"/>
        <v>#REF!</v>
      </c>
      <c r="AP115" s="1695"/>
      <c r="AQ115" s="1695"/>
      <c r="AR115" s="1695"/>
      <c r="AS115" s="1711"/>
      <c r="AU115" s="267">
        <f t="shared" si="56"/>
        <v>100</v>
      </c>
      <c r="AV115" s="268">
        <f t="shared" si="48"/>
        <v>-2355006.8208333333</v>
      </c>
      <c r="AW115" s="268">
        <f t="shared" si="59"/>
        <v>-2355006.8208333333</v>
      </c>
      <c r="AX115" s="268">
        <f t="shared" si="62"/>
        <v>0</v>
      </c>
      <c r="AY115" s="268"/>
      <c r="AZ115" s="269">
        <f t="shared" si="57"/>
        <v>882700000</v>
      </c>
      <c r="BA115" s="272">
        <f t="shared" si="68"/>
        <v>3.2015500000000002E-2</v>
      </c>
      <c r="BB115" s="272">
        <f t="shared" si="68"/>
        <v>0.01</v>
      </c>
      <c r="BC115" s="1695"/>
      <c r="BD115" s="565">
        <f t="shared" si="31"/>
        <v>-735583.33333333337</v>
      </c>
      <c r="BE115" s="1695"/>
      <c r="BF115" s="1695"/>
      <c r="BH115" s="268">
        <f t="shared" si="32"/>
        <v>-1181702.0833333333</v>
      </c>
      <c r="BI115" s="268">
        <f t="shared" si="69"/>
        <v>-1181702.0833333333</v>
      </c>
      <c r="BJ115" s="268">
        <v>0</v>
      </c>
      <c r="BK115" s="268"/>
      <c r="BL115" s="269">
        <f t="shared" si="61"/>
        <v>350000000</v>
      </c>
      <c r="BM115" s="272">
        <f t="shared" si="70"/>
        <v>4.0515499999999996E-2</v>
      </c>
      <c r="BN115" s="272">
        <f t="shared" si="70"/>
        <v>0.01</v>
      </c>
      <c r="BO115" s="1695"/>
      <c r="BP115" s="565">
        <f t="shared" si="54"/>
        <v>-291666.66666666669</v>
      </c>
      <c r="BQ115" s="1695"/>
      <c r="BR115" s="1695"/>
    </row>
    <row r="116" spans="1:70" ht="15.75" customHeight="1" thickBot="1">
      <c r="A116" s="270" t="s">
        <v>520</v>
      </c>
      <c r="B116" s="266">
        <v>2024</v>
      </c>
      <c r="C116" s="266"/>
      <c r="D116" s="266"/>
      <c r="E116" s="265">
        <f t="shared" si="55"/>
        <v>882700000</v>
      </c>
      <c r="F116" s="267">
        <f t="shared" si="50"/>
        <v>107</v>
      </c>
      <c r="G116" s="268" t="e">
        <f t="shared" si="66"/>
        <v>#REF!</v>
      </c>
      <c r="H116" s="268" t="e">
        <f>-ROUNDDOWN(J115*#REF!,0)</f>
        <v>#REF!</v>
      </c>
      <c r="I116" s="268" t="e">
        <f>IF(ROUNDDOWN(J115,0)=0,0,-#REF!)</f>
        <v>#REF!</v>
      </c>
      <c r="J116" s="269" t="e">
        <f t="shared" si="45"/>
        <v>#REF!</v>
      </c>
      <c r="K116" s="1695"/>
      <c r="L116" s="1695"/>
      <c r="M116" s="1695"/>
      <c r="O116" s="267">
        <f t="shared" si="51"/>
        <v>107</v>
      </c>
      <c r="P116" s="268" t="e">
        <f t="shared" si="40"/>
        <v>#REF!</v>
      </c>
      <c r="Q116" s="268" t="e">
        <f>-S115*#REF!</f>
        <v>#REF!</v>
      </c>
      <c r="R116" s="268" t="e">
        <f>IF(ROUNDDOWN(S115,0)=0,0,-#REF!)</f>
        <v>#REF!</v>
      </c>
      <c r="S116" s="269" t="e">
        <f t="shared" si="46"/>
        <v>#REF!</v>
      </c>
      <c r="T116" s="1695"/>
      <c r="U116" s="1695"/>
      <c r="V116" s="1695"/>
      <c r="X116" s="267">
        <f t="shared" si="52"/>
        <v>107</v>
      </c>
      <c r="Y116" s="268" t="e">
        <f t="shared" si="41"/>
        <v>#REF!</v>
      </c>
      <c r="Z116" s="268" t="e">
        <f>-AB115*#REF!</f>
        <v>#REF!</v>
      </c>
      <c r="AA116" s="268" t="e">
        <f>IF(ROUNDDOWN(AB115,0)=0,0,-#REF!)</f>
        <v>#REF!</v>
      </c>
      <c r="AB116" s="269" t="e">
        <f t="shared" si="47"/>
        <v>#REF!</v>
      </c>
      <c r="AC116" s="1695"/>
      <c r="AD116" s="1695"/>
      <c r="AE116" s="1695"/>
      <c r="AG116" s="1710"/>
      <c r="AH116" s="1710"/>
      <c r="AI116" s="1710"/>
      <c r="AK116" s="267">
        <f t="shared" si="53"/>
        <v>107</v>
      </c>
      <c r="AL116" s="268" t="e">
        <f t="shared" si="42"/>
        <v>#REF!</v>
      </c>
      <c r="AM116" s="268" t="e">
        <f>-AO115*#REF!</f>
        <v>#REF!</v>
      </c>
      <c r="AN116" s="268" t="e">
        <f t="shared" si="67"/>
        <v>#REF!</v>
      </c>
      <c r="AO116" s="269" t="e">
        <f t="shared" si="35"/>
        <v>#REF!</v>
      </c>
      <c r="AP116" s="1695"/>
      <c r="AQ116" s="1695"/>
      <c r="AR116" s="1695"/>
      <c r="AS116" s="1711"/>
      <c r="AU116" s="267">
        <f t="shared" si="56"/>
        <v>101</v>
      </c>
      <c r="AV116" s="268">
        <f t="shared" si="48"/>
        <v>-2355006.8208333333</v>
      </c>
      <c r="AW116" s="268">
        <f t="shared" si="59"/>
        <v>-2355006.8208333333</v>
      </c>
      <c r="AX116" s="268">
        <f t="shared" si="62"/>
        <v>0</v>
      </c>
      <c r="AY116" s="268"/>
      <c r="AZ116" s="269">
        <f t="shared" si="57"/>
        <v>882700000</v>
      </c>
      <c r="BA116" s="272">
        <f t="shared" si="68"/>
        <v>3.2015500000000002E-2</v>
      </c>
      <c r="BB116" s="272">
        <f t="shared" si="68"/>
        <v>0.01</v>
      </c>
      <c r="BC116" s="1695"/>
      <c r="BD116" s="565">
        <f t="shared" si="31"/>
        <v>-735583.33333333337</v>
      </c>
      <c r="BE116" s="1695"/>
      <c r="BF116" s="1695"/>
      <c r="BH116" s="268">
        <f t="shared" si="32"/>
        <v>-1181702.0833333333</v>
      </c>
      <c r="BI116" s="268">
        <f t="shared" si="69"/>
        <v>-1181702.0833333333</v>
      </c>
      <c r="BJ116" s="268">
        <v>0</v>
      </c>
      <c r="BK116" s="268"/>
      <c r="BL116" s="269">
        <f t="shared" si="61"/>
        <v>350000000</v>
      </c>
      <c r="BM116" s="272">
        <f t="shared" si="70"/>
        <v>4.0515499999999996E-2</v>
      </c>
      <c r="BN116" s="272">
        <f t="shared" si="70"/>
        <v>0.01</v>
      </c>
      <c r="BO116" s="1695"/>
      <c r="BP116" s="565">
        <f t="shared" si="54"/>
        <v>-291666.66666666669</v>
      </c>
      <c r="BQ116" s="1695"/>
      <c r="BR116" s="1695"/>
    </row>
    <row r="117" spans="1:70" ht="15.75" customHeight="1" thickBot="1">
      <c r="A117" s="270" t="s">
        <v>521</v>
      </c>
      <c r="B117" s="266">
        <v>2024</v>
      </c>
      <c r="C117" s="579">
        <v>0.02</v>
      </c>
      <c r="D117" s="578"/>
      <c r="E117" s="265">
        <f t="shared" si="55"/>
        <v>863300000</v>
      </c>
      <c r="F117" s="267">
        <f t="shared" si="50"/>
        <v>108</v>
      </c>
      <c r="G117" s="268" t="e">
        <f t="shared" si="66"/>
        <v>#REF!</v>
      </c>
      <c r="H117" s="268" t="e">
        <f>-ROUNDDOWN(J116*#REF!,0)</f>
        <v>#REF!</v>
      </c>
      <c r="I117" s="268" t="e">
        <f>IF(ROUNDDOWN(J116,0)=0,0,-#REF!)</f>
        <v>#REF!</v>
      </c>
      <c r="J117" s="269" t="e">
        <f t="shared" si="45"/>
        <v>#REF!</v>
      </c>
      <c r="K117" s="1695"/>
      <c r="L117" s="1695"/>
      <c r="M117" s="1695"/>
      <c r="O117" s="267">
        <f t="shared" si="51"/>
        <v>108</v>
      </c>
      <c r="P117" s="268" t="e">
        <f t="shared" si="40"/>
        <v>#REF!</v>
      </c>
      <c r="Q117" s="268" t="e">
        <f>-S116*#REF!</f>
        <v>#REF!</v>
      </c>
      <c r="R117" s="268" t="e">
        <f>IF(ROUNDDOWN(S116,0)=0,0,-#REF!)</f>
        <v>#REF!</v>
      </c>
      <c r="S117" s="269" t="e">
        <f t="shared" si="46"/>
        <v>#REF!</v>
      </c>
      <c r="T117" s="1695"/>
      <c r="U117" s="1695"/>
      <c r="V117" s="1695"/>
      <c r="X117" s="267">
        <f t="shared" si="52"/>
        <v>108</v>
      </c>
      <c r="Y117" s="268" t="e">
        <f t="shared" si="41"/>
        <v>#REF!</v>
      </c>
      <c r="Z117" s="268" t="e">
        <f>-AB116*#REF!</f>
        <v>#REF!</v>
      </c>
      <c r="AA117" s="268" t="e">
        <f>IF(ROUNDDOWN(AB116,0)=0,0,-#REF!)</f>
        <v>#REF!</v>
      </c>
      <c r="AB117" s="269" t="e">
        <f>ROUND(AB116+AA117,0)</f>
        <v>#REF!</v>
      </c>
      <c r="AC117" s="1695"/>
      <c r="AD117" s="1695"/>
      <c r="AE117" s="1695"/>
      <c r="AG117" s="1710"/>
      <c r="AH117" s="1710"/>
      <c r="AI117" s="1710"/>
      <c r="AK117" s="267">
        <f t="shared" si="53"/>
        <v>108</v>
      </c>
      <c r="AL117" s="268" t="e">
        <f t="shared" si="42"/>
        <v>#REF!</v>
      </c>
      <c r="AM117" s="268" t="e">
        <f>-AO116*#REF!</f>
        <v>#REF!</v>
      </c>
      <c r="AN117" s="268" t="e">
        <f t="shared" si="67"/>
        <v>#REF!</v>
      </c>
      <c r="AO117" s="269" t="e">
        <f t="shared" si="35"/>
        <v>#REF!</v>
      </c>
      <c r="AP117" s="1695"/>
      <c r="AQ117" s="1695"/>
      <c r="AR117" s="1695"/>
      <c r="AS117" s="1711"/>
      <c r="AU117" s="267">
        <f t="shared" si="56"/>
        <v>102</v>
      </c>
      <c r="AV117" s="268">
        <f t="shared" si="48"/>
        <v>-21755006.820833333</v>
      </c>
      <c r="AW117" s="268">
        <f t="shared" si="59"/>
        <v>-2355006.8208333333</v>
      </c>
      <c r="AX117" s="268">
        <f t="shared" si="62"/>
        <v>-19400000</v>
      </c>
      <c r="AY117" s="268"/>
      <c r="AZ117" s="269">
        <f t="shared" si="57"/>
        <v>863300000</v>
      </c>
      <c r="BA117" s="272">
        <f t="shared" si="68"/>
        <v>3.2015500000000002E-2</v>
      </c>
      <c r="BB117" s="272">
        <f t="shared" si="68"/>
        <v>0.01</v>
      </c>
      <c r="BC117" s="1695"/>
      <c r="BD117" s="565">
        <f t="shared" si="31"/>
        <v>-735583.33333333337</v>
      </c>
      <c r="BE117" s="1695"/>
      <c r="BF117" s="1695"/>
      <c r="BG117" s="229">
        <f>'Cashflow trend'!J23</f>
        <v>-128442.08941441268</v>
      </c>
      <c r="BH117" s="268">
        <f t="shared" si="32"/>
        <v>-1181702.0833333333</v>
      </c>
      <c r="BI117" s="268">
        <f t="shared" si="69"/>
        <v>-1181702.0833333333</v>
      </c>
      <c r="BJ117" s="268">
        <v>0</v>
      </c>
      <c r="BK117" s="268">
        <v>30000000</v>
      </c>
      <c r="BL117" s="269">
        <f t="shared" si="61"/>
        <v>380000000</v>
      </c>
      <c r="BM117" s="272">
        <f t="shared" si="70"/>
        <v>4.0515499999999996E-2</v>
      </c>
      <c r="BN117" s="272">
        <f t="shared" si="70"/>
        <v>0.01</v>
      </c>
      <c r="BO117" s="1695"/>
      <c r="BP117" s="565">
        <f t="shared" si="54"/>
        <v>-291666.66666666669</v>
      </c>
      <c r="BQ117" s="1695"/>
      <c r="BR117" s="1695"/>
    </row>
    <row r="118" spans="1:70" ht="15.75" customHeight="1">
      <c r="A118" s="273" t="s">
        <v>510</v>
      </c>
      <c r="B118" s="274">
        <v>2024</v>
      </c>
      <c r="C118" s="274"/>
      <c r="D118" s="274"/>
      <c r="E118" s="275">
        <f t="shared" si="55"/>
        <v>863300000</v>
      </c>
      <c r="F118" s="276">
        <f t="shared" si="50"/>
        <v>109</v>
      </c>
      <c r="G118" s="277" t="e">
        <f t="shared" si="66"/>
        <v>#REF!</v>
      </c>
      <c r="H118" s="277" t="e">
        <f>-ROUNDDOWN(J117*#REF!,0)</f>
        <v>#REF!</v>
      </c>
      <c r="I118" s="277" t="e">
        <f>IF(ROUNDDOWN(J117,0)=0,0,-#REF!)</f>
        <v>#REF!</v>
      </c>
      <c r="J118" s="278" t="e">
        <f t="shared" si="45"/>
        <v>#REF!</v>
      </c>
      <c r="K118" s="1694" t="s">
        <v>14</v>
      </c>
      <c r="L118" s="1694" t="e">
        <f>SUM(H118:H129)</f>
        <v>#REF!</v>
      </c>
      <c r="M118" s="1694" t="e">
        <f>SUM(I118:I129)</f>
        <v>#REF!</v>
      </c>
      <c r="O118" s="276">
        <f t="shared" si="51"/>
        <v>109</v>
      </c>
      <c r="P118" s="277" t="e">
        <f t="shared" si="40"/>
        <v>#REF!</v>
      </c>
      <c r="Q118" s="277" t="e">
        <f>-S117*#REF!</f>
        <v>#REF!</v>
      </c>
      <c r="R118" s="277" t="e">
        <f>IF(ROUNDDOWN(S117,0)=0,0,-#REF!)</f>
        <v>#REF!</v>
      </c>
      <c r="S118" s="278" t="e">
        <f t="shared" si="46"/>
        <v>#REF!</v>
      </c>
      <c r="T118" s="1694" t="s">
        <v>14</v>
      </c>
      <c r="U118" s="1694" t="e">
        <f>SUM(Q118:Q129)</f>
        <v>#REF!</v>
      </c>
      <c r="V118" s="1694" t="e">
        <f>SUM(R118:R129)</f>
        <v>#REF!</v>
      </c>
      <c r="X118" s="276">
        <f t="shared" si="52"/>
        <v>109</v>
      </c>
      <c r="Y118" s="277" t="e">
        <f t="shared" si="41"/>
        <v>#REF!</v>
      </c>
      <c r="Z118" s="277" t="e">
        <f>-AB117*#REF!</f>
        <v>#REF!</v>
      </c>
      <c r="AA118" s="277" t="e">
        <f>IF(ROUNDDOWN(AB117,0)=0,0,-#REF!)</f>
        <v>#REF!</v>
      </c>
      <c r="AB118" s="278" t="e">
        <f t="shared" si="47"/>
        <v>#REF!</v>
      </c>
      <c r="AC118" s="1694" t="s">
        <v>14</v>
      </c>
      <c r="AD118" s="1694" t="e">
        <f>SUM(Z118:Z129)</f>
        <v>#REF!</v>
      </c>
      <c r="AE118" s="1694" t="e">
        <f>SUM(AA118:AA129)</f>
        <v>#REF!</v>
      </c>
      <c r="AG118" s="1709" t="s">
        <v>14</v>
      </c>
      <c r="AH118" s="1709" t="e">
        <f>L118+U118+AD118</f>
        <v>#REF!</v>
      </c>
      <c r="AI118" s="1709" t="e">
        <f>M118+V118+AE118</f>
        <v>#REF!</v>
      </c>
      <c r="AK118" s="276">
        <f t="shared" si="53"/>
        <v>109</v>
      </c>
      <c r="AL118" s="277" t="e">
        <f t="shared" si="42"/>
        <v>#REF!</v>
      </c>
      <c r="AM118" s="277" t="e">
        <f>-AO117*#REF!</f>
        <v>#REF!</v>
      </c>
      <c r="AN118" s="277" t="e">
        <f>IF(ROUNDDOWN(AO117,0)=0,0,-#REF!)</f>
        <v>#REF!</v>
      </c>
      <c r="AO118" s="278" t="e">
        <f t="shared" si="35"/>
        <v>#REF!</v>
      </c>
      <c r="AP118" s="1694" t="s">
        <v>14</v>
      </c>
      <c r="AQ118" s="1694" t="e">
        <f>SUM(AM118:AM129)</f>
        <v>#REF!</v>
      </c>
      <c r="AR118" s="1694" t="e">
        <f>SUM(AN118:AN129)</f>
        <v>#REF!</v>
      </c>
      <c r="AS118" s="1694"/>
      <c r="AU118" s="276">
        <f t="shared" si="56"/>
        <v>103</v>
      </c>
      <c r="AV118" s="277">
        <f t="shared" si="48"/>
        <v>-2303248.4291666667</v>
      </c>
      <c r="AW118" s="277">
        <f t="shared" si="59"/>
        <v>-2303248.4291666667</v>
      </c>
      <c r="AX118" s="277">
        <f t="shared" si="62"/>
        <v>0</v>
      </c>
      <c r="AY118" s="277">
        <v>0</v>
      </c>
      <c r="AZ118" s="278">
        <f t="shared" si="57"/>
        <v>863300000</v>
      </c>
      <c r="BA118" s="279">
        <f t="shared" si="68"/>
        <v>3.2015500000000002E-2</v>
      </c>
      <c r="BB118" s="279">
        <f t="shared" si="68"/>
        <v>0.01</v>
      </c>
      <c r="BC118" s="1694" t="s">
        <v>14</v>
      </c>
      <c r="BD118" s="563">
        <f t="shared" si="31"/>
        <v>-719416.66666666663</v>
      </c>
      <c r="BE118" s="1694">
        <f>SUM(AW118:AW129)</f>
        <v>-26629692.512499999</v>
      </c>
      <c r="BF118" s="1694">
        <f>SUM(AX118:AY129)</f>
        <v>-116400000</v>
      </c>
      <c r="BH118" s="277">
        <f t="shared" si="32"/>
        <v>-1282990.8333333333</v>
      </c>
      <c r="BI118" s="277">
        <f t="shared" si="69"/>
        <v>-1282990.8333333333</v>
      </c>
      <c r="BJ118" s="277">
        <v>0</v>
      </c>
      <c r="BK118" s="277">
        <v>0</v>
      </c>
      <c r="BL118" s="278">
        <f t="shared" si="61"/>
        <v>380000000</v>
      </c>
      <c r="BM118" s="279">
        <f t="shared" si="70"/>
        <v>4.0515499999999996E-2</v>
      </c>
      <c r="BN118" s="279">
        <f t="shared" si="70"/>
        <v>0.01</v>
      </c>
      <c r="BO118" s="1694" t="s">
        <v>14</v>
      </c>
      <c r="BP118" s="563">
        <f t="shared" si="54"/>
        <v>-316666.66666666669</v>
      </c>
      <c r="BQ118" s="1694">
        <f>SUM(BI118:BI129)</f>
        <v>-16510066.25</v>
      </c>
      <c r="BR118" s="1694">
        <f>SUM(BJ118:BK129)</f>
        <v>40000000</v>
      </c>
    </row>
    <row r="119" spans="1:70" ht="15.75" customHeight="1" thickBot="1">
      <c r="A119" s="273" t="s">
        <v>511</v>
      </c>
      <c r="B119" s="274">
        <v>2024</v>
      </c>
      <c r="C119" s="274"/>
      <c r="D119" s="274"/>
      <c r="E119" s="275">
        <f t="shared" si="55"/>
        <v>863300000</v>
      </c>
      <c r="F119" s="276">
        <f t="shared" si="50"/>
        <v>110</v>
      </c>
      <c r="G119" s="277" t="e">
        <f t="shared" si="66"/>
        <v>#REF!</v>
      </c>
      <c r="H119" s="277" t="e">
        <f>-ROUNDDOWN(J118*#REF!,0)</f>
        <v>#REF!</v>
      </c>
      <c r="I119" s="277" t="e">
        <f>IF(ROUNDDOWN(J118,0)=0,0,-#REF!)</f>
        <v>#REF!</v>
      </c>
      <c r="J119" s="278" t="e">
        <f t="shared" si="45"/>
        <v>#REF!</v>
      </c>
      <c r="K119" s="1694"/>
      <c r="L119" s="1694"/>
      <c r="M119" s="1694"/>
      <c r="O119" s="276">
        <f t="shared" si="51"/>
        <v>110</v>
      </c>
      <c r="P119" s="277" t="e">
        <f t="shared" si="40"/>
        <v>#REF!</v>
      </c>
      <c r="Q119" s="277" t="e">
        <f>-S118*#REF!</f>
        <v>#REF!</v>
      </c>
      <c r="R119" s="277" t="e">
        <f>IF(ROUNDDOWN(S118,0)=0,0,-#REF!)</f>
        <v>#REF!</v>
      </c>
      <c r="S119" s="278" t="e">
        <f t="shared" si="46"/>
        <v>#REF!</v>
      </c>
      <c r="T119" s="1694"/>
      <c r="U119" s="1694"/>
      <c r="V119" s="1694"/>
      <c r="X119" s="276">
        <f t="shared" si="52"/>
        <v>110</v>
      </c>
      <c r="Y119" s="277" t="e">
        <f t="shared" si="41"/>
        <v>#REF!</v>
      </c>
      <c r="Z119" s="277" t="e">
        <f>-AB118*#REF!</f>
        <v>#REF!</v>
      </c>
      <c r="AA119" s="277" t="e">
        <f>IF(ROUNDDOWN(AB118,0)=0,0,-#REF!)</f>
        <v>#REF!</v>
      </c>
      <c r="AB119" s="278" t="e">
        <f t="shared" si="47"/>
        <v>#REF!</v>
      </c>
      <c r="AC119" s="1694"/>
      <c r="AD119" s="1694"/>
      <c r="AE119" s="1694"/>
      <c r="AG119" s="1709"/>
      <c r="AH119" s="1709"/>
      <c r="AI119" s="1709"/>
      <c r="AK119" s="276">
        <f t="shared" si="53"/>
        <v>110</v>
      </c>
      <c r="AL119" s="277" t="e">
        <f t="shared" si="42"/>
        <v>#REF!</v>
      </c>
      <c r="AM119" s="277" t="e">
        <f>-AO118*#REF!</f>
        <v>#REF!</v>
      </c>
      <c r="AN119" s="277" t="e">
        <f>IF(ROUNDDOWN(AO118,0)=0,0,-#REF!)</f>
        <v>#REF!</v>
      </c>
      <c r="AO119" s="278" t="e">
        <f t="shared" si="35"/>
        <v>#REF!</v>
      </c>
      <c r="AP119" s="1694"/>
      <c r="AQ119" s="1694"/>
      <c r="AR119" s="1694"/>
      <c r="AS119" s="1694"/>
      <c r="AU119" s="276">
        <f t="shared" si="56"/>
        <v>104</v>
      </c>
      <c r="AV119" s="277">
        <f t="shared" si="48"/>
        <v>-2303248.4291666667</v>
      </c>
      <c r="AW119" s="277">
        <f t="shared" si="59"/>
        <v>-2303248.4291666667</v>
      </c>
      <c r="AX119" s="277">
        <f t="shared" si="62"/>
        <v>0</v>
      </c>
      <c r="AY119" s="277"/>
      <c r="AZ119" s="278">
        <f t="shared" si="57"/>
        <v>863300000</v>
      </c>
      <c r="BA119" s="279">
        <f t="shared" si="68"/>
        <v>3.2015500000000002E-2</v>
      </c>
      <c r="BB119" s="279">
        <f t="shared" si="68"/>
        <v>0.01</v>
      </c>
      <c r="BC119" s="1694"/>
      <c r="BD119" s="563">
        <f t="shared" si="31"/>
        <v>-719416.66666666663</v>
      </c>
      <c r="BE119" s="1694"/>
      <c r="BF119" s="1694"/>
      <c r="BH119" s="277">
        <f t="shared" si="32"/>
        <v>-1282990.8333333333</v>
      </c>
      <c r="BI119" s="277">
        <f t="shared" si="69"/>
        <v>-1282990.8333333333</v>
      </c>
      <c r="BJ119" s="277">
        <v>0</v>
      </c>
      <c r="BK119" s="277"/>
      <c r="BL119" s="278">
        <f t="shared" si="61"/>
        <v>380000000</v>
      </c>
      <c r="BM119" s="279">
        <f t="shared" si="70"/>
        <v>4.0515499999999996E-2</v>
      </c>
      <c r="BN119" s="279">
        <f t="shared" si="70"/>
        <v>0.01</v>
      </c>
      <c r="BO119" s="1694"/>
      <c r="BP119" s="563">
        <f t="shared" si="54"/>
        <v>-316666.66666666669</v>
      </c>
      <c r="BQ119" s="1694"/>
      <c r="BR119" s="1694"/>
    </row>
    <row r="120" spans="1:70" ht="15.75" customHeight="1" thickBot="1">
      <c r="A120" s="273" t="s">
        <v>512</v>
      </c>
      <c r="B120" s="274">
        <v>2024</v>
      </c>
      <c r="C120" s="577">
        <v>0.02</v>
      </c>
      <c r="D120" s="576"/>
      <c r="E120" s="275">
        <f t="shared" si="55"/>
        <v>843900000</v>
      </c>
      <c r="F120" s="276">
        <f t="shared" si="50"/>
        <v>111</v>
      </c>
      <c r="G120" s="277" t="e">
        <f t="shared" si="66"/>
        <v>#REF!</v>
      </c>
      <c r="H120" s="277" t="e">
        <f>-ROUNDDOWN(J119*#REF!,0)</f>
        <v>#REF!</v>
      </c>
      <c r="I120" s="277" t="e">
        <f>IF(ROUNDDOWN(J119,0)=0,0,-#REF!)</f>
        <v>#REF!</v>
      </c>
      <c r="J120" s="278" t="e">
        <f t="shared" si="45"/>
        <v>#REF!</v>
      </c>
      <c r="K120" s="1694"/>
      <c r="L120" s="1694"/>
      <c r="M120" s="1694"/>
      <c r="O120" s="276">
        <f t="shared" si="51"/>
        <v>111</v>
      </c>
      <c r="P120" s="277" t="e">
        <f t="shared" si="40"/>
        <v>#REF!</v>
      </c>
      <c r="Q120" s="277" t="e">
        <f>-S119*#REF!</f>
        <v>#REF!</v>
      </c>
      <c r="R120" s="277" t="e">
        <f>IF(ROUNDDOWN(S119,0)=0,0,-#REF!)</f>
        <v>#REF!</v>
      </c>
      <c r="S120" s="278" t="e">
        <f t="shared" si="46"/>
        <v>#REF!</v>
      </c>
      <c r="T120" s="1694"/>
      <c r="U120" s="1694"/>
      <c r="V120" s="1694"/>
      <c r="X120" s="276">
        <f t="shared" si="52"/>
        <v>111</v>
      </c>
      <c r="Y120" s="277" t="e">
        <f t="shared" si="41"/>
        <v>#REF!</v>
      </c>
      <c r="Z120" s="277" t="e">
        <f>-AB119*#REF!</f>
        <v>#REF!</v>
      </c>
      <c r="AA120" s="277" t="e">
        <f>IF(ROUNDDOWN(AB119,0)=0,0,-#REF!)</f>
        <v>#REF!</v>
      </c>
      <c r="AB120" s="278" t="e">
        <f t="shared" si="47"/>
        <v>#REF!</v>
      </c>
      <c r="AC120" s="1694"/>
      <c r="AD120" s="1694"/>
      <c r="AE120" s="1694"/>
      <c r="AG120" s="1709"/>
      <c r="AH120" s="1709"/>
      <c r="AI120" s="1709"/>
      <c r="AK120" s="276">
        <f t="shared" si="53"/>
        <v>111</v>
      </c>
      <c r="AL120" s="277" t="e">
        <f t="shared" si="42"/>
        <v>#REF!</v>
      </c>
      <c r="AM120" s="277" t="e">
        <f>-AO119*#REF!</f>
        <v>#REF!</v>
      </c>
      <c r="AN120" s="277" t="e">
        <f>IF(ROUNDDOWN(AO119,0)=0,0,-#REF!)</f>
        <v>#REF!</v>
      </c>
      <c r="AO120" s="278" t="e">
        <f t="shared" si="35"/>
        <v>#REF!</v>
      </c>
      <c r="AP120" s="1694"/>
      <c r="AQ120" s="1694"/>
      <c r="AR120" s="1694"/>
      <c r="AS120" s="1694"/>
      <c r="AU120" s="276">
        <f t="shared" si="56"/>
        <v>105</v>
      </c>
      <c r="AV120" s="277">
        <f t="shared" si="48"/>
        <v>-21703248.429166667</v>
      </c>
      <c r="AW120" s="277">
        <f t="shared" si="59"/>
        <v>-2303248.4291666667</v>
      </c>
      <c r="AX120" s="277">
        <f t="shared" si="62"/>
        <v>-19400000</v>
      </c>
      <c r="AY120" s="277"/>
      <c r="AZ120" s="278">
        <f t="shared" si="57"/>
        <v>843900000</v>
      </c>
      <c r="BA120" s="279">
        <f t="shared" si="68"/>
        <v>3.2015500000000002E-2</v>
      </c>
      <c r="BB120" s="279">
        <f t="shared" si="68"/>
        <v>0.01</v>
      </c>
      <c r="BC120" s="1694"/>
      <c r="BD120" s="563">
        <f t="shared" si="31"/>
        <v>-719416.66666666663</v>
      </c>
      <c r="BE120" s="1694"/>
      <c r="BF120" s="1694"/>
      <c r="BH120" s="277">
        <f t="shared" si="32"/>
        <v>-1282990.8333333333</v>
      </c>
      <c r="BI120" s="277">
        <f t="shared" si="69"/>
        <v>-1282990.8333333333</v>
      </c>
      <c r="BJ120" s="277">
        <v>0</v>
      </c>
      <c r="BK120" s="277">
        <v>30000000</v>
      </c>
      <c r="BL120" s="278">
        <f t="shared" si="61"/>
        <v>410000000</v>
      </c>
      <c r="BM120" s="279">
        <f t="shared" si="70"/>
        <v>4.0515499999999996E-2</v>
      </c>
      <c r="BN120" s="279">
        <f t="shared" si="70"/>
        <v>0.01</v>
      </c>
      <c r="BO120" s="1694"/>
      <c r="BP120" s="563">
        <f t="shared" si="54"/>
        <v>-316666.66666666669</v>
      </c>
      <c r="BQ120" s="1694"/>
      <c r="BR120" s="1694"/>
    </row>
    <row r="121" spans="1:70" ht="15.75" customHeight="1">
      <c r="A121" s="273" t="s">
        <v>513</v>
      </c>
      <c r="B121" s="274">
        <v>2024</v>
      </c>
      <c r="C121" s="274"/>
      <c r="D121" s="274"/>
      <c r="E121" s="275">
        <f t="shared" si="55"/>
        <v>843900000</v>
      </c>
      <c r="F121" s="276">
        <f t="shared" si="50"/>
        <v>112</v>
      </c>
      <c r="G121" s="277" t="e">
        <f t="shared" si="66"/>
        <v>#REF!</v>
      </c>
      <c r="H121" s="277" t="e">
        <f>-ROUNDDOWN(J120*#REF!,0)</f>
        <v>#REF!</v>
      </c>
      <c r="I121" s="277" t="e">
        <f>IF(ROUNDDOWN(J120,0)=0,0,-#REF!)</f>
        <v>#REF!</v>
      </c>
      <c r="J121" s="278" t="e">
        <f t="shared" si="45"/>
        <v>#REF!</v>
      </c>
      <c r="K121" s="1694"/>
      <c r="L121" s="1694"/>
      <c r="M121" s="1694"/>
      <c r="O121" s="276">
        <f t="shared" si="51"/>
        <v>112</v>
      </c>
      <c r="P121" s="277" t="e">
        <f t="shared" si="40"/>
        <v>#REF!</v>
      </c>
      <c r="Q121" s="277" t="e">
        <f>-S120*#REF!</f>
        <v>#REF!</v>
      </c>
      <c r="R121" s="277" t="e">
        <f>IF(ROUNDDOWN(S120,0)=0,0,-#REF!)</f>
        <v>#REF!</v>
      </c>
      <c r="S121" s="278" t="e">
        <f t="shared" si="46"/>
        <v>#REF!</v>
      </c>
      <c r="T121" s="1694"/>
      <c r="U121" s="1694"/>
      <c r="V121" s="1694"/>
      <c r="X121" s="276">
        <f t="shared" si="52"/>
        <v>112</v>
      </c>
      <c r="Y121" s="277" t="e">
        <f t="shared" si="41"/>
        <v>#REF!</v>
      </c>
      <c r="Z121" s="277" t="e">
        <f>-AB120*#REF!</f>
        <v>#REF!</v>
      </c>
      <c r="AA121" s="277" t="e">
        <f>IF(ROUNDDOWN(AB120,0)=0,0,-#REF!)</f>
        <v>#REF!</v>
      </c>
      <c r="AB121" s="278" t="e">
        <f t="shared" si="47"/>
        <v>#REF!</v>
      </c>
      <c r="AC121" s="1694"/>
      <c r="AD121" s="1694"/>
      <c r="AE121" s="1694"/>
      <c r="AG121" s="1709"/>
      <c r="AH121" s="1709"/>
      <c r="AI121" s="1709"/>
      <c r="AK121" s="276">
        <f t="shared" si="53"/>
        <v>112</v>
      </c>
      <c r="AL121" s="277" t="e">
        <f t="shared" si="42"/>
        <v>#REF!</v>
      </c>
      <c r="AM121" s="277" t="e">
        <f>-AO120*#REF!</f>
        <v>#REF!</v>
      </c>
      <c r="AN121" s="277" t="e">
        <f>IF(ROUNDDOWN(AO120,0)=0,0,-#REF!)</f>
        <v>#REF!</v>
      </c>
      <c r="AO121" s="278" t="e">
        <f t="shared" si="35"/>
        <v>#REF!</v>
      </c>
      <c r="AP121" s="1694"/>
      <c r="AQ121" s="1694"/>
      <c r="AR121" s="1694"/>
      <c r="AS121" s="1694"/>
      <c r="AU121" s="276">
        <f t="shared" si="56"/>
        <v>106</v>
      </c>
      <c r="AV121" s="277">
        <f t="shared" si="48"/>
        <v>-2251490.0375000001</v>
      </c>
      <c r="AW121" s="277">
        <f t="shared" si="59"/>
        <v>-2251490.0375000001</v>
      </c>
      <c r="AX121" s="277">
        <f t="shared" si="62"/>
        <v>0</v>
      </c>
      <c r="AY121" s="277"/>
      <c r="AZ121" s="278">
        <f t="shared" si="57"/>
        <v>843900000</v>
      </c>
      <c r="BA121" s="279">
        <f t="shared" si="68"/>
        <v>3.2015500000000002E-2</v>
      </c>
      <c r="BB121" s="279">
        <f t="shared" si="68"/>
        <v>0.01</v>
      </c>
      <c r="BC121" s="1694"/>
      <c r="BD121" s="563">
        <f t="shared" ref="BD121:BD153" si="71">-AZ120*BB121/12</f>
        <v>-703250</v>
      </c>
      <c r="BE121" s="1694"/>
      <c r="BF121" s="1694"/>
      <c r="BH121" s="277">
        <f t="shared" ref="BH121:BH153" si="72">SUM(BI121:BJ121)</f>
        <v>-1384279.5833333333</v>
      </c>
      <c r="BI121" s="277">
        <f t="shared" si="69"/>
        <v>-1384279.5833333333</v>
      </c>
      <c r="BJ121" s="277">
        <v>0</v>
      </c>
      <c r="BK121" s="277"/>
      <c r="BL121" s="278">
        <f t="shared" si="61"/>
        <v>410000000</v>
      </c>
      <c r="BM121" s="279">
        <f t="shared" si="70"/>
        <v>4.0515499999999996E-2</v>
      </c>
      <c r="BN121" s="279">
        <f t="shared" si="70"/>
        <v>0.01</v>
      </c>
      <c r="BO121" s="1694"/>
      <c r="BP121" s="563">
        <f t="shared" si="54"/>
        <v>-341666.66666666669</v>
      </c>
      <c r="BQ121" s="1694"/>
      <c r="BR121" s="1694"/>
    </row>
    <row r="122" spans="1:70" ht="15.75" customHeight="1" thickBot="1">
      <c r="A122" s="273" t="s">
        <v>514</v>
      </c>
      <c r="B122" s="274">
        <v>2024</v>
      </c>
      <c r="C122" s="274"/>
      <c r="D122" s="274"/>
      <c r="E122" s="275">
        <f t="shared" si="55"/>
        <v>843900000</v>
      </c>
      <c r="F122" s="276">
        <f t="shared" si="50"/>
        <v>113</v>
      </c>
      <c r="G122" s="277" t="e">
        <f t="shared" si="66"/>
        <v>#REF!</v>
      </c>
      <c r="H122" s="277" t="e">
        <f>-ROUNDDOWN(J121*#REF!,0)</f>
        <v>#REF!</v>
      </c>
      <c r="I122" s="277" t="e">
        <f>IF(ROUNDDOWN(J121,0)=0,0,-#REF!)</f>
        <v>#REF!</v>
      </c>
      <c r="J122" s="278" t="e">
        <f t="shared" si="45"/>
        <v>#REF!</v>
      </c>
      <c r="K122" s="1694"/>
      <c r="L122" s="1694"/>
      <c r="M122" s="1694"/>
      <c r="O122" s="276">
        <f t="shared" si="51"/>
        <v>113</v>
      </c>
      <c r="P122" s="277" t="e">
        <f t="shared" si="40"/>
        <v>#REF!</v>
      </c>
      <c r="Q122" s="277" t="e">
        <f>-S121*#REF!</f>
        <v>#REF!</v>
      </c>
      <c r="R122" s="277" t="e">
        <f>IF(ROUNDDOWN(S121,0)=0,0,-#REF!)</f>
        <v>#REF!</v>
      </c>
      <c r="S122" s="278" t="e">
        <f t="shared" si="46"/>
        <v>#REF!</v>
      </c>
      <c r="T122" s="1694"/>
      <c r="U122" s="1694"/>
      <c r="V122" s="1694"/>
      <c r="X122" s="276">
        <f t="shared" si="52"/>
        <v>113</v>
      </c>
      <c r="Y122" s="277" t="e">
        <f t="shared" si="41"/>
        <v>#REF!</v>
      </c>
      <c r="Z122" s="277" t="e">
        <f>-AB121*#REF!</f>
        <v>#REF!</v>
      </c>
      <c r="AA122" s="277" t="e">
        <f>IF(ROUNDDOWN(AB121,0)=0,0,-#REF!)</f>
        <v>#REF!</v>
      </c>
      <c r="AB122" s="278" t="e">
        <f t="shared" si="47"/>
        <v>#REF!</v>
      </c>
      <c r="AC122" s="1694"/>
      <c r="AD122" s="1694"/>
      <c r="AE122" s="1694"/>
      <c r="AG122" s="1709"/>
      <c r="AH122" s="1709"/>
      <c r="AI122" s="1709"/>
      <c r="AK122" s="276">
        <f t="shared" si="53"/>
        <v>113</v>
      </c>
      <c r="AL122" s="277" t="e">
        <f t="shared" si="42"/>
        <v>#REF!</v>
      </c>
      <c r="AM122" s="277" t="e">
        <f>-AO121*#REF!</f>
        <v>#REF!</v>
      </c>
      <c r="AN122" s="277" t="e">
        <f>IF(ROUNDDOWN(AO121,0)=0,0,-#REF!)</f>
        <v>#REF!</v>
      </c>
      <c r="AO122" s="278" t="e">
        <f t="shared" si="35"/>
        <v>#REF!</v>
      </c>
      <c r="AP122" s="1694"/>
      <c r="AQ122" s="1694"/>
      <c r="AR122" s="1694"/>
      <c r="AS122" s="1694"/>
      <c r="AU122" s="276">
        <f t="shared" si="56"/>
        <v>107</v>
      </c>
      <c r="AV122" s="277">
        <f t="shared" si="48"/>
        <v>-2251490.0375000001</v>
      </c>
      <c r="AW122" s="277">
        <f t="shared" si="59"/>
        <v>-2251490.0375000001</v>
      </c>
      <c r="AX122" s="277">
        <f t="shared" ref="AX122:AX153" si="73">-$AZ$89*C122</f>
        <v>0</v>
      </c>
      <c r="AY122" s="277"/>
      <c r="AZ122" s="278">
        <f t="shared" si="57"/>
        <v>843900000</v>
      </c>
      <c r="BA122" s="279">
        <f t="shared" si="68"/>
        <v>3.2015500000000002E-2</v>
      </c>
      <c r="BB122" s="279">
        <f t="shared" si="68"/>
        <v>0.01</v>
      </c>
      <c r="BC122" s="1694"/>
      <c r="BD122" s="563">
        <f t="shared" si="71"/>
        <v>-703250</v>
      </c>
      <c r="BE122" s="1694"/>
      <c r="BF122" s="1694"/>
      <c r="BH122" s="277">
        <f t="shared" si="72"/>
        <v>-1384279.5833333333</v>
      </c>
      <c r="BI122" s="277">
        <f t="shared" si="69"/>
        <v>-1384279.5833333333</v>
      </c>
      <c r="BJ122" s="277">
        <v>0</v>
      </c>
      <c r="BK122" s="277"/>
      <c r="BL122" s="278">
        <f t="shared" si="61"/>
        <v>410000000</v>
      </c>
      <c r="BM122" s="279">
        <f t="shared" si="70"/>
        <v>4.0515499999999996E-2</v>
      </c>
      <c r="BN122" s="279">
        <f t="shared" si="70"/>
        <v>0.01</v>
      </c>
      <c r="BO122" s="1694"/>
      <c r="BP122" s="563">
        <f t="shared" si="54"/>
        <v>-341666.66666666669</v>
      </c>
      <c r="BQ122" s="1694"/>
      <c r="BR122" s="1694"/>
    </row>
    <row r="123" spans="1:70" ht="15.75" customHeight="1" thickBot="1">
      <c r="A123" s="273" t="s">
        <v>515</v>
      </c>
      <c r="B123" s="274">
        <v>2024</v>
      </c>
      <c r="C123" s="577">
        <v>0.02</v>
      </c>
      <c r="D123" s="576"/>
      <c r="E123" s="275">
        <f t="shared" si="55"/>
        <v>824500000</v>
      </c>
      <c r="F123" s="276">
        <f t="shared" si="50"/>
        <v>114</v>
      </c>
      <c r="G123" s="277" t="e">
        <f t="shared" si="66"/>
        <v>#REF!</v>
      </c>
      <c r="H123" s="277" t="e">
        <f>-ROUNDDOWN(J122*#REF!,0)</f>
        <v>#REF!</v>
      </c>
      <c r="I123" s="277" t="e">
        <f>IF(ROUNDDOWN(J122,0)=0,0,-#REF!)</f>
        <v>#REF!</v>
      </c>
      <c r="J123" s="278" t="e">
        <f t="shared" si="45"/>
        <v>#REF!</v>
      </c>
      <c r="K123" s="1694"/>
      <c r="L123" s="1694"/>
      <c r="M123" s="1694"/>
      <c r="O123" s="276">
        <f t="shared" si="51"/>
        <v>114</v>
      </c>
      <c r="P123" s="277" t="e">
        <f t="shared" si="40"/>
        <v>#REF!</v>
      </c>
      <c r="Q123" s="277" t="e">
        <f>-S122*#REF!</f>
        <v>#REF!</v>
      </c>
      <c r="R123" s="277" t="e">
        <f>IF(ROUNDDOWN(S122,0)=0,0,-#REF!)</f>
        <v>#REF!</v>
      </c>
      <c r="S123" s="278" t="e">
        <f t="shared" si="46"/>
        <v>#REF!</v>
      </c>
      <c r="T123" s="1694"/>
      <c r="U123" s="1694"/>
      <c r="V123" s="1694"/>
      <c r="X123" s="276">
        <f t="shared" si="52"/>
        <v>114</v>
      </c>
      <c r="Y123" s="277" t="e">
        <f t="shared" si="41"/>
        <v>#REF!</v>
      </c>
      <c r="Z123" s="277" t="e">
        <f>-AB122*#REF!</f>
        <v>#REF!</v>
      </c>
      <c r="AA123" s="277" t="e">
        <f>IF(ROUNDDOWN(AB122,0)=0,0,-#REF!)</f>
        <v>#REF!</v>
      </c>
      <c r="AB123" s="278" t="e">
        <f t="shared" si="47"/>
        <v>#REF!</v>
      </c>
      <c r="AC123" s="1694"/>
      <c r="AD123" s="1694"/>
      <c r="AE123" s="1694"/>
      <c r="AG123" s="1709"/>
      <c r="AH123" s="1709"/>
      <c r="AI123" s="1709"/>
      <c r="AK123" s="276">
        <f t="shared" si="53"/>
        <v>114</v>
      </c>
      <c r="AL123" s="277" t="e">
        <f t="shared" si="42"/>
        <v>#REF!</v>
      </c>
      <c r="AM123" s="277" t="e">
        <f>-AO122*#REF!</f>
        <v>#REF!</v>
      </c>
      <c r="AN123" s="277" t="e">
        <f>IF(ROUNDDOWN(AO122,0)=0,0,-#REF!)</f>
        <v>#REF!</v>
      </c>
      <c r="AO123" s="278" t="e">
        <f t="shared" ref="AO123:AO153" si="74">AN123+AO122</f>
        <v>#REF!</v>
      </c>
      <c r="AP123" s="1694"/>
      <c r="AQ123" s="1694"/>
      <c r="AR123" s="1694"/>
      <c r="AS123" s="1694"/>
      <c r="AU123" s="276">
        <f t="shared" si="56"/>
        <v>108</v>
      </c>
      <c r="AV123" s="277">
        <f t="shared" si="48"/>
        <v>-21651490.037500001</v>
      </c>
      <c r="AW123" s="277">
        <f t="shared" si="59"/>
        <v>-2251490.0375000001</v>
      </c>
      <c r="AX123" s="277">
        <f t="shared" si="73"/>
        <v>-19400000</v>
      </c>
      <c r="AY123" s="277"/>
      <c r="AZ123" s="278">
        <f t="shared" si="57"/>
        <v>824500000</v>
      </c>
      <c r="BA123" s="279">
        <f t="shared" ref="BA123:BB138" si="75">BA122</f>
        <v>3.2015500000000002E-2</v>
      </c>
      <c r="BB123" s="279">
        <f t="shared" si="75"/>
        <v>0.01</v>
      </c>
      <c r="BC123" s="1694"/>
      <c r="BD123" s="563">
        <f t="shared" si="71"/>
        <v>-703250</v>
      </c>
      <c r="BE123" s="1694"/>
      <c r="BF123" s="1694"/>
      <c r="BH123" s="277">
        <f t="shared" si="72"/>
        <v>-1384279.5833333333</v>
      </c>
      <c r="BI123" s="277">
        <f t="shared" si="69"/>
        <v>-1384279.5833333333</v>
      </c>
      <c r="BJ123" s="277">
        <v>0</v>
      </c>
      <c r="BK123" s="277">
        <v>10000000</v>
      </c>
      <c r="BL123" s="278">
        <f t="shared" si="61"/>
        <v>420000000</v>
      </c>
      <c r="BM123" s="279">
        <f t="shared" si="70"/>
        <v>4.0515499999999996E-2</v>
      </c>
      <c r="BN123" s="279">
        <f t="shared" si="70"/>
        <v>0.01</v>
      </c>
      <c r="BO123" s="1694"/>
      <c r="BP123" s="563">
        <f t="shared" si="54"/>
        <v>-341666.66666666669</v>
      </c>
      <c r="BQ123" s="1694"/>
      <c r="BR123" s="1694"/>
    </row>
    <row r="124" spans="1:70" ht="15.75" customHeight="1">
      <c r="A124" s="273" t="s">
        <v>516</v>
      </c>
      <c r="B124" s="274">
        <v>2024</v>
      </c>
      <c r="C124" s="274"/>
      <c r="D124" s="274"/>
      <c r="E124" s="275">
        <f t="shared" si="55"/>
        <v>824500000</v>
      </c>
      <c r="F124" s="276">
        <f t="shared" si="50"/>
        <v>115</v>
      </c>
      <c r="G124" s="277" t="e">
        <f t="shared" si="66"/>
        <v>#REF!</v>
      </c>
      <c r="H124" s="277" t="e">
        <f>-ROUNDDOWN(J123*#REF!,0)</f>
        <v>#REF!</v>
      </c>
      <c r="I124" s="277" t="e">
        <f>IF(ROUNDDOWN(J123,0)=0,0,-#REF!)</f>
        <v>#REF!</v>
      </c>
      <c r="J124" s="278" t="e">
        <f t="shared" si="45"/>
        <v>#REF!</v>
      </c>
      <c r="K124" s="1694"/>
      <c r="L124" s="1694"/>
      <c r="M124" s="1694"/>
      <c r="O124" s="276">
        <f t="shared" si="51"/>
        <v>115</v>
      </c>
      <c r="P124" s="277" t="e">
        <f t="shared" si="40"/>
        <v>#REF!</v>
      </c>
      <c r="Q124" s="277" t="e">
        <f>-S123*#REF!</f>
        <v>#REF!</v>
      </c>
      <c r="R124" s="277" t="e">
        <f>IF(ROUNDDOWN(S123,0)=0,0,-#REF!)</f>
        <v>#REF!</v>
      </c>
      <c r="S124" s="278" t="e">
        <f t="shared" si="46"/>
        <v>#REF!</v>
      </c>
      <c r="T124" s="1694"/>
      <c r="U124" s="1694"/>
      <c r="V124" s="1694"/>
      <c r="X124" s="276">
        <f t="shared" si="52"/>
        <v>115</v>
      </c>
      <c r="Y124" s="277" t="e">
        <f t="shared" si="41"/>
        <v>#REF!</v>
      </c>
      <c r="Z124" s="277" t="e">
        <f>-AB123*#REF!</f>
        <v>#REF!</v>
      </c>
      <c r="AA124" s="277" t="e">
        <f>IF(ROUNDDOWN(AB123,0)=0,0,-#REF!)</f>
        <v>#REF!</v>
      </c>
      <c r="AB124" s="278" t="e">
        <f t="shared" si="47"/>
        <v>#REF!</v>
      </c>
      <c r="AC124" s="1694"/>
      <c r="AD124" s="1694"/>
      <c r="AE124" s="1694"/>
      <c r="AG124" s="1709"/>
      <c r="AH124" s="1709"/>
      <c r="AI124" s="1709"/>
      <c r="AK124" s="276">
        <f t="shared" si="53"/>
        <v>115</v>
      </c>
      <c r="AL124" s="277" t="e">
        <f t="shared" si="42"/>
        <v>#REF!</v>
      </c>
      <c r="AM124" s="277" t="e">
        <f>-AO123*#REF!</f>
        <v>#REF!</v>
      </c>
      <c r="AN124" s="277" t="e">
        <f>IF(ROUNDDOWN(AO123,0)=0,0,-#REF!)</f>
        <v>#REF!</v>
      </c>
      <c r="AO124" s="278" t="e">
        <f t="shared" si="74"/>
        <v>#REF!</v>
      </c>
      <c r="AP124" s="1694"/>
      <c r="AQ124" s="1694"/>
      <c r="AR124" s="1694"/>
      <c r="AS124" s="1694"/>
      <c r="AU124" s="276">
        <f t="shared" si="56"/>
        <v>109</v>
      </c>
      <c r="AV124" s="277">
        <f t="shared" si="48"/>
        <v>-2199731.6458333335</v>
      </c>
      <c r="AW124" s="277">
        <f t="shared" si="59"/>
        <v>-2199731.6458333335</v>
      </c>
      <c r="AX124" s="277">
        <f t="shared" si="73"/>
        <v>0</v>
      </c>
      <c r="AY124" s="277"/>
      <c r="AZ124" s="278">
        <f t="shared" si="57"/>
        <v>824500000</v>
      </c>
      <c r="BA124" s="279">
        <f t="shared" si="75"/>
        <v>3.2015500000000002E-2</v>
      </c>
      <c r="BB124" s="279">
        <f t="shared" si="75"/>
        <v>0.01</v>
      </c>
      <c r="BC124" s="1694"/>
      <c r="BD124" s="563">
        <f t="shared" si="71"/>
        <v>-687083.33333333337</v>
      </c>
      <c r="BE124" s="1694"/>
      <c r="BF124" s="1694"/>
      <c r="BH124" s="277">
        <f t="shared" si="72"/>
        <v>-1418042.5</v>
      </c>
      <c r="BI124" s="277">
        <f t="shared" si="69"/>
        <v>-1418042.5</v>
      </c>
      <c r="BJ124" s="277">
        <v>0</v>
      </c>
      <c r="BK124" s="277"/>
      <c r="BL124" s="278">
        <f t="shared" si="61"/>
        <v>420000000</v>
      </c>
      <c r="BM124" s="279">
        <f t="shared" si="70"/>
        <v>4.0515499999999996E-2</v>
      </c>
      <c r="BN124" s="279">
        <f t="shared" si="70"/>
        <v>0.01</v>
      </c>
      <c r="BO124" s="1694"/>
      <c r="BP124" s="563">
        <f t="shared" si="54"/>
        <v>-350000</v>
      </c>
      <c r="BQ124" s="1694"/>
      <c r="BR124" s="1694"/>
    </row>
    <row r="125" spans="1:70" ht="15.75" customHeight="1" thickBot="1">
      <c r="A125" s="273" t="s">
        <v>517</v>
      </c>
      <c r="B125" s="274">
        <v>2024</v>
      </c>
      <c r="C125" s="274"/>
      <c r="D125" s="274"/>
      <c r="E125" s="275">
        <f t="shared" si="55"/>
        <v>824500000</v>
      </c>
      <c r="F125" s="276">
        <f t="shared" si="50"/>
        <v>116</v>
      </c>
      <c r="G125" s="277" t="e">
        <f t="shared" si="66"/>
        <v>#REF!</v>
      </c>
      <c r="H125" s="277" t="e">
        <f>-ROUNDDOWN(J124*#REF!,0)</f>
        <v>#REF!</v>
      </c>
      <c r="I125" s="277" t="e">
        <f>IF(ROUNDDOWN(J124,0)=0,0,-#REF!)</f>
        <v>#REF!</v>
      </c>
      <c r="J125" s="278" t="e">
        <f t="shared" si="45"/>
        <v>#REF!</v>
      </c>
      <c r="K125" s="1694"/>
      <c r="L125" s="1694"/>
      <c r="M125" s="1694"/>
      <c r="O125" s="276">
        <f t="shared" si="51"/>
        <v>116</v>
      </c>
      <c r="P125" s="277" t="e">
        <f t="shared" si="40"/>
        <v>#REF!</v>
      </c>
      <c r="Q125" s="277" t="e">
        <f>-S124*#REF!</f>
        <v>#REF!</v>
      </c>
      <c r="R125" s="277" t="e">
        <f>IF(ROUNDDOWN(S124,0)=0,0,-#REF!)</f>
        <v>#REF!</v>
      </c>
      <c r="S125" s="278" t="e">
        <f t="shared" si="46"/>
        <v>#REF!</v>
      </c>
      <c r="T125" s="1694"/>
      <c r="U125" s="1694"/>
      <c r="V125" s="1694"/>
      <c r="X125" s="276">
        <f t="shared" si="52"/>
        <v>116</v>
      </c>
      <c r="Y125" s="277" t="e">
        <f t="shared" si="41"/>
        <v>#REF!</v>
      </c>
      <c r="Z125" s="277" t="e">
        <f>-AB124*#REF!</f>
        <v>#REF!</v>
      </c>
      <c r="AA125" s="277" t="e">
        <f>IF(ROUNDDOWN(AB124,0)=0,0,-#REF!)</f>
        <v>#REF!</v>
      </c>
      <c r="AB125" s="278" t="e">
        <f t="shared" si="47"/>
        <v>#REF!</v>
      </c>
      <c r="AC125" s="1694"/>
      <c r="AD125" s="1694"/>
      <c r="AE125" s="1694"/>
      <c r="AG125" s="1709"/>
      <c r="AH125" s="1709"/>
      <c r="AI125" s="1709"/>
      <c r="AK125" s="276">
        <f t="shared" si="53"/>
        <v>116</v>
      </c>
      <c r="AL125" s="277" t="e">
        <f t="shared" si="42"/>
        <v>#REF!</v>
      </c>
      <c r="AM125" s="277" t="e">
        <f>-AO124*#REF!</f>
        <v>#REF!</v>
      </c>
      <c r="AN125" s="277" t="e">
        <f>IF(ROUNDDOWN(AO124,0)=0,0,-#REF!)</f>
        <v>#REF!</v>
      </c>
      <c r="AO125" s="278" t="e">
        <f t="shared" si="74"/>
        <v>#REF!</v>
      </c>
      <c r="AP125" s="1694"/>
      <c r="AQ125" s="1694"/>
      <c r="AR125" s="1694"/>
      <c r="AS125" s="1694"/>
      <c r="AU125" s="276">
        <f t="shared" si="56"/>
        <v>110</v>
      </c>
      <c r="AV125" s="277">
        <f t="shared" si="48"/>
        <v>-2199731.6458333335</v>
      </c>
      <c r="AW125" s="277">
        <f t="shared" si="59"/>
        <v>-2199731.6458333335</v>
      </c>
      <c r="AX125" s="277">
        <f t="shared" si="73"/>
        <v>0</v>
      </c>
      <c r="AY125" s="277"/>
      <c r="AZ125" s="278">
        <f t="shared" si="57"/>
        <v>824500000</v>
      </c>
      <c r="BA125" s="279">
        <f t="shared" si="75"/>
        <v>3.2015500000000002E-2</v>
      </c>
      <c r="BB125" s="279">
        <f t="shared" si="75"/>
        <v>0.01</v>
      </c>
      <c r="BC125" s="1694"/>
      <c r="BD125" s="563">
        <f t="shared" si="71"/>
        <v>-687083.33333333337</v>
      </c>
      <c r="BE125" s="1694"/>
      <c r="BF125" s="1694"/>
      <c r="BH125" s="277">
        <f t="shared" si="72"/>
        <v>-1418042.5</v>
      </c>
      <c r="BI125" s="277">
        <f t="shared" si="69"/>
        <v>-1418042.5</v>
      </c>
      <c r="BJ125" s="277">
        <v>0</v>
      </c>
      <c r="BK125" s="277"/>
      <c r="BL125" s="278">
        <f t="shared" si="61"/>
        <v>420000000</v>
      </c>
      <c r="BM125" s="279">
        <f t="shared" si="70"/>
        <v>4.0515499999999996E-2</v>
      </c>
      <c r="BN125" s="279">
        <f t="shared" si="70"/>
        <v>0.01</v>
      </c>
      <c r="BO125" s="1694"/>
      <c r="BP125" s="563">
        <f t="shared" si="54"/>
        <v>-350000</v>
      </c>
      <c r="BQ125" s="1694"/>
      <c r="BR125" s="1694"/>
    </row>
    <row r="126" spans="1:70" ht="15.75" customHeight="1" thickBot="1">
      <c r="A126" s="273" t="s">
        <v>518</v>
      </c>
      <c r="B126" s="274">
        <v>2024</v>
      </c>
      <c r="C126" s="577">
        <f>IF($C$7=2,3%+D126,3%)</f>
        <v>0.03</v>
      </c>
      <c r="D126" s="576">
        <v>0.02</v>
      </c>
      <c r="E126" s="275">
        <f t="shared" si="55"/>
        <v>795400000</v>
      </c>
      <c r="F126" s="276">
        <f t="shared" si="50"/>
        <v>117</v>
      </c>
      <c r="G126" s="277" t="e">
        <f t="shared" si="66"/>
        <v>#REF!</v>
      </c>
      <c r="H126" s="277" t="e">
        <f>-ROUNDDOWN(J125*#REF!,0)</f>
        <v>#REF!</v>
      </c>
      <c r="I126" s="277" t="e">
        <f>IF(ROUNDDOWN(J125,0)=0,0,-#REF!)</f>
        <v>#REF!</v>
      </c>
      <c r="J126" s="278" t="e">
        <f t="shared" si="45"/>
        <v>#REF!</v>
      </c>
      <c r="K126" s="1694"/>
      <c r="L126" s="1694"/>
      <c r="M126" s="1694"/>
      <c r="O126" s="276">
        <f t="shared" si="51"/>
        <v>117</v>
      </c>
      <c r="P126" s="277" t="e">
        <f t="shared" si="40"/>
        <v>#REF!</v>
      </c>
      <c r="Q126" s="277" t="e">
        <f>-S125*#REF!</f>
        <v>#REF!</v>
      </c>
      <c r="R126" s="277" t="e">
        <f>IF(ROUNDDOWN(S125,0)=0,0,-#REF!)</f>
        <v>#REF!</v>
      </c>
      <c r="S126" s="278" t="e">
        <f t="shared" si="46"/>
        <v>#REF!</v>
      </c>
      <c r="T126" s="1694"/>
      <c r="U126" s="1694"/>
      <c r="V126" s="1694"/>
      <c r="X126" s="276">
        <f t="shared" si="52"/>
        <v>117</v>
      </c>
      <c r="Y126" s="277" t="e">
        <f t="shared" si="41"/>
        <v>#REF!</v>
      </c>
      <c r="Z126" s="277" t="e">
        <f>-AB125*#REF!</f>
        <v>#REF!</v>
      </c>
      <c r="AA126" s="277" t="e">
        <f>IF(ROUNDDOWN(AB125,0)=0,0,-#REF!)</f>
        <v>#REF!</v>
      </c>
      <c r="AB126" s="278" t="e">
        <f t="shared" si="47"/>
        <v>#REF!</v>
      </c>
      <c r="AC126" s="1694"/>
      <c r="AD126" s="1694"/>
      <c r="AE126" s="1694"/>
      <c r="AG126" s="1709"/>
      <c r="AH126" s="1709"/>
      <c r="AI126" s="1709"/>
      <c r="AK126" s="276">
        <f t="shared" si="53"/>
        <v>117</v>
      </c>
      <c r="AL126" s="277" t="e">
        <f t="shared" si="42"/>
        <v>#REF!</v>
      </c>
      <c r="AM126" s="277" t="e">
        <f>-AO125*#REF!</f>
        <v>#REF!</v>
      </c>
      <c r="AN126" s="277" t="e">
        <f>IF(ROUNDDOWN(AO125,0)=0,0,-#REF!)</f>
        <v>#REF!</v>
      </c>
      <c r="AO126" s="278" t="e">
        <f t="shared" si="74"/>
        <v>#REF!</v>
      </c>
      <c r="AP126" s="1694"/>
      <c r="AQ126" s="1694"/>
      <c r="AR126" s="1694"/>
      <c r="AS126" s="1694"/>
      <c r="AU126" s="276">
        <f t="shared" si="56"/>
        <v>111</v>
      </c>
      <c r="AV126" s="277">
        <f t="shared" si="48"/>
        <v>-31299731.645833332</v>
      </c>
      <c r="AW126" s="277">
        <f t="shared" si="59"/>
        <v>-2199731.6458333335</v>
      </c>
      <c r="AX126" s="277">
        <f t="shared" si="73"/>
        <v>-29100000</v>
      </c>
      <c r="AY126" s="277"/>
      <c r="AZ126" s="278">
        <f t="shared" si="57"/>
        <v>795400000</v>
      </c>
      <c r="BA126" s="279">
        <f t="shared" si="75"/>
        <v>3.2015500000000002E-2</v>
      </c>
      <c r="BB126" s="279">
        <f t="shared" si="75"/>
        <v>0.01</v>
      </c>
      <c r="BC126" s="1694"/>
      <c r="BD126" s="563">
        <f t="shared" si="71"/>
        <v>-687083.33333333337</v>
      </c>
      <c r="BE126" s="1694"/>
      <c r="BF126" s="1694"/>
      <c r="BH126" s="277">
        <f t="shared" si="72"/>
        <v>-1418042.5</v>
      </c>
      <c r="BI126" s="277">
        <f t="shared" si="69"/>
        <v>-1418042.5</v>
      </c>
      <c r="BJ126" s="277">
        <v>0</v>
      </c>
      <c r="BK126" s="277"/>
      <c r="BL126" s="278">
        <f t="shared" si="61"/>
        <v>420000000</v>
      </c>
      <c r="BM126" s="279">
        <f t="shared" si="70"/>
        <v>4.0515499999999996E-2</v>
      </c>
      <c r="BN126" s="279">
        <f t="shared" si="70"/>
        <v>0.01</v>
      </c>
      <c r="BO126" s="1694"/>
      <c r="BP126" s="563">
        <f t="shared" si="54"/>
        <v>-350000</v>
      </c>
      <c r="BQ126" s="1694"/>
      <c r="BR126" s="1694"/>
    </row>
    <row r="127" spans="1:70" ht="15.75" customHeight="1">
      <c r="A127" s="273" t="s">
        <v>519</v>
      </c>
      <c r="B127" s="274">
        <v>2025</v>
      </c>
      <c r="C127" s="274"/>
      <c r="D127" s="274"/>
      <c r="E127" s="275">
        <f t="shared" si="55"/>
        <v>795400000</v>
      </c>
      <c r="F127" s="276">
        <f t="shared" si="50"/>
        <v>118</v>
      </c>
      <c r="G127" s="277" t="e">
        <f t="shared" si="66"/>
        <v>#REF!</v>
      </c>
      <c r="H127" s="277" t="e">
        <f>-ROUNDDOWN(J126*#REF!,0)</f>
        <v>#REF!</v>
      </c>
      <c r="I127" s="277" t="e">
        <f>IF(ROUNDDOWN(J126,0)=0,0,-#REF!)</f>
        <v>#REF!</v>
      </c>
      <c r="J127" s="278" t="e">
        <f t="shared" si="45"/>
        <v>#REF!</v>
      </c>
      <c r="K127" s="1694"/>
      <c r="L127" s="1694"/>
      <c r="M127" s="1694"/>
      <c r="O127" s="276">
        <f t="shared" si="51"/>
        <v>118</v>
      </c>
      <c r="P127" s="277" t="e">
        <f t="shared" si="40"/>
        <v>#REF!</v>
      </c>
      <c r="Q127" s="277" t="e">
        <f>-S126*#REF!</f>
        <v>#REF!</v>
      </c>
      <c r="R127" s="277" t="e">
        <f>IF(ROUNDDOWN(S126,0)=0,0,-#REF!)</f>
        <v>#REF!</v>
      </c>
      <c r="S127" s="278" t="e">
        <f t="shared" si="46"/>
        <v>#REF!</v>
      </c>
      <c r="T127" s="1694"/>
      <c r="U127" s="1694"/>
      <c r="V127" s="1694"/>
      <c r="X127" s="276">
        <f t="shared" si="52"/>
        <v>118</v>
      </c>
      <c r="Y127" s="277" t="e">
        <f t="shared" si="41"/>
        <v>#REF!</v>
      </c>
      <c r="Z127" s="277" t="e">
        <f>-AB126*#REF!</f>
        <v>#REF!</v>
      </c>
      <c r="AA127" s="277" t="e">
        <f>IF(ROUNDDOWN(AB126,0)=0,0,-#REF!)</f>
        <v>#REF!</v>
      </c>
      <c r="AB127" s="278" t="e">
        <f t="shared" si="47"/>
        <v>#REF!</v>
      </c>
      <c r="AC127" s="1694"/>
      <c r="AD127" s="1694"/>
      <c r="AE127" s="1694"/>
      <c r="AG127" s="1709"/>
      <c r="AH127" s="1709"/>
      <c r="AI127" s="1709"/>
      <c r="AK127" s="276">
        <f t="shared" si="53"/>
        <v>118</v>
      </c>
      <c r="AL127" s="277" t="e">
        <f t="shared" si="42"/>
        <v>#REF!</v>
      </c>
      <c r="AM127" s="277" t="e">
        <f>-AO126*#REF!</f>
        <v>#REF!</v>
      </c>
      <c r="AN127" s="277" t="e">
        <f>IF(ROUNDDOWN(AO126,0)=0,0,-#REF!)</f>
        <v>#REF!</v>
      </c>
      <c r="AO127" s="278" t="e">
        <f t="shared" si="74"/>
        <v>#REF!</v>
      </c>
      <c r="AP127" s="1694"/>
      <c r="AQ127" s="1694"/>
      <c r="AR127" s="1694"/>
      <c r="AS127" s="1694"/>
      <c r="AU127" s="276">
        <f t="shared" si="56"/>
        <v>112</v>
      </c>
      <c r="AV127" s="277">
        <f t="shared" si="48"/>
        <v>-2122094.0583333336</v>
      </c>
      <c r="AW127" s="277">
        <f t="shared" si="59"/>
        <v>-2122094.0583333336</v>
      </c>
      <c r="AX127" s="277">
        <f t="shared" si="73"/>
        <v>0</v>
      </c>
      <c r="AY127" s="277"/>
      <c r="AZ127" s="278">
        <f t="shared" si="57"/>
        <v>795400000</v>
      </c>
      <c r="BA127" s="279">
        <f t="shared" si="75"/>
        <v>3.2015500000000002E-2</v>
      </c>
      <c r="BB127" s="279">
        <f t="shared" si="75"/>
        <v>0.01</v>
      </c>
      <c r="BC127" s="1694"/>
      <c r="BD127" s="563">
        <f t="shared" si="71"/>
        <v>-662833.33333333337</v>
      </c>
      <c r="BE127" s="1694"/>
      <c r="BF127" s="1694"/>
      <c r="BH127" s="277">
        <f t="shared" si="72"/>
        <v>-1418042.5</v>
      </c>
      <c r="BI127" s="277">
        <f t="shared" si="69"/>
        <v>-1418042.5</v>
      </c>
      <c r="BJ127" s="277">
        <v>0</v>
      </c>
      <c r="BK127" s="277"/>
      <c r="BL127" s="278">
        <f t="shared" si="61"/>
        <v>420000000</v>
      </c>
      <c r="BM127" s="279">
        <f t="shared" ref="BM127:BN142" si="76">BM126</f>
        <v>4.0515499999999996E-2</v>
      </c>
      <c r="BN127" s="279">
        <f t="shared" si="76"/>
        <v>0.01</v>
      </c>
      <c r="BO127" s="1694"/>
      <c r="BP127" s="563">
        <f t="shared" si="54"/>
        <v>-350000</v>
      </c>
      <c r="BQ127" s="1694"/>
      <c r="BR127" s="1694"/>
    </row>
    <row r="128" spans="1:70" ht="15.75" customHeight="1" thickBot="1">
      <c r="A128" s="273" t="s">
        <v>520</v>
      </c>
      <c r="B128" s="274">
        <v>2025</v>
      </c>
      <c r="C128" s="274"/>
      <c r="D128" s="274"/>
      <c r="E128" s="275">
        <f t="shared" si="55"/>
        <v>795400000</v>
      </c>
      <c r="F128" s="276">
        <f t="shared" si="50"/>
        <v>119</v>
      </c>
      <c r="G128" s="277" t="e">
        <f t="shared" si="66"/>
        <v>#REF!</v>
      </c>
      <c r="H128" s="277" t="e">
        <f>-ROUNDDOWN(J127*#REF!,0)</f>
        <v>#REF!</v>
      </c>
      <c r="I128" s="277" t="e">
        <f>IF(ROUNDDOWN(J127,0)=0,0,-#REF!)</f>
        <v>#REF!</v>
      </c>
      <c r="J128" s="278" t="e">
        <f t="shared" si="45"/>
        <v>#REF!</v>
      </c>
      <c r="K128" s="1694"/>
      <c r="L128" s="1694"/>
      <c r="M128" s="1694"/>
      <c r="O128" s="276">
        <f t="shared" si="51"/>
        <v>119</v>
      </c>
      <c r="P128" s="277" t="e">
        <f t="shared" si="40"/>
        <v>#REF!</v>
      </c>
      <c r="Q128" s="277" t="e">
        <f>-S127*#REF!</f>
        <v>#REF!</v>
      </c>
      <c r="R128" s="277" t="e">
        <f>IF(ROUNDDOWN(S127,0)=0,0,-#REF!)</f>
        <v>#REF!</v>
      </c>
      <c r="S128" s="278" t="e">
        <f t="shared" si="46"/>
        <v>#REF!</v>
      </c>
      <c r="T128" s="1694"/>
      <c r="U128" s="1694"/>
      <c r="V128" s="1694"/>
      <c r="X128" s="276">
        <f t="shared" si="52"/>
        <v>119</v>
      </c>
      <c r="Y128" s="277" t="e">
        <f t="shared" si="41"/>
        <v>#REF!</v>
      </c>
      <c r="Z128" s="277" t="e">
        <f>-AB127*#REF!</f>
        <v>#REF!</v>
      </c>
      <c r="AA128" s="277" t="e">
        <f>IF(ROUNDDOWN(AB127,0)=0,0,-#REF!)</f>
        <v>#REF!</v>
      </c>
      <c r="AB128" s="278" t="e">
        <f t="shared" si="47"/>
        <v>#REF!</v>
      </c>
      <c r="AC128" s="1694"/>
      <c r="AD128" s="1694"/>
      <c r="AE128" s="1694"/>
      <c r="AG128" s="1709"/>
      <c r="AH128" s="1709"/>
      <c r="AI128" s="1709"/>
      <c r="AK128" s="276">
        <f t="shared" si="53"/>
        <v>119</v>
      </c>
      <c r="AL128" s="277" t="e">
        <f t="shared" si="42"/>
        <v>#REF!</v>
      </c>
      <c r="AM128" s="277" t="e">
        <f>-AO127*#REF!</f>
        <v>#REF!</v>
      </c>
      <c r="AN128" s="277" t="e">
        <f>IF(ROUNDDOWN(AO127,0)=0,0,-#REF!)</f>
        <v>#REF!</v>
      </c>
      <c r="AO128" s="278" t="e">
        <f t="shared" si="74"/>
        <v>#REF!</v>
      </c>
      <c r="AP128" s="1694"/>
      <c r="AQ128" s="1694"/>
      <c r="AR128" s="1694"/>
      <c r="AS128" s="1694"/>
      <c r="AU128" s="276">
        <f t="shared" si="56"/>
        <v>113</v>
      </c>
      <c r="AV128" s="277">
        <f t="shared" si="48"/>
        <v>-2122094.0583333336</v>
      </c>
      <c r="AW128" s="277">
        <f t="shared" si="59"/>
        <v>-2122094.0583333336</v>
      </c>
      <c r="AX128" s="277">
        <f t="shared" si="73"/>
        <v>0</v>
      </c>
      <c r="AY128" s="277"/>
      <c r="AZ128" s="278">
        <f t="shared" si="57"/>
        <v>795400000</v>
      </c>
      <c r="BA128" s="279">
        <f t="shared" si="75"/>
        <v>3.2015500000000002E-2</v>
      </c>
      <c r="BB128" s="279">
        <f t="shared" si="75"/>
        <v>0.01</v>
      </c>
      <c r="BC128" s="1694"/>
      <c r="BD128" s="563">
        <f t="shared" si="71"/>
        <v>-662833.33333333337</v>
      </c>
      <c r="BE128" s="1694"/>
      <c r="BF128" s="1694"/>
      <c r="BH128" s="277">
        <f t="shared" si="72"/>
        <v>-1418042.5</v>
      </c>
      <c r="BI128" s="277">
        <f t="shared" si="69"/>
        <v>-1418042.5</v>
      </c>
      <c r="BJ128" s="277">
        <v>0</v>
      </c>
      <c r="BK128" s="277"/>
      <c r="BL128" s="278">
        <f t="shared" si="61"/>
        <v>420000000</v>
      </c>
      <c r="BM128" s="279">
        <f t="shared" si="76"/>
        <v>4.0515499999999996E-2</v>
      </c>
      <c r="BN128" s="279">
        <f t="shared" si="76"/>
        <v>0.01</v>
      </c>
      <c r="BO128" s="1694"/>
      <c r="BP128" s="563">
        <f t="shared" si="54"/>
        <v>-350000</v>
      </c>
      <c r="BQ128" s="1694"/>
      <c r="BR128" s="1694"/>
    </row>
    <row r="129" spans="1:70" ht="15.75" customHeight="1" thickBot="1">
      <c r="A129" s="273" t="s">
        <v>521</v>
      </c>
      <c r="B129" s="274">
        <v>2025</v>
      </c>
      <c r="C129" s="577">
        <f>IF($C$7=2,5%+D129,5%)</f>
        <v>0.05</v>
      </c>
      <c r="D129" s="576">
        <v>0.02</v>
      </c>
      <c r="E129" s="275">
        <f t="shared" si="55"/>
        <v>746900000</v>
      </c>
      <c r="F129" s="276">
        <f t="shared" si="50"/>
        <v>120</v>
      </c>
      <c r="G129" s="277" t="e">
        <f t="shared" si="66"/>
        <v>#REF!</v>
      </c>
      <c r="H129" s="277" t="e">
        <f>-ROUNDDOWN(J128*#REF!,0)</f>
        <v>#REF!</v>
      </c>
      <c r="I129" s="277" t="e">
        <f>IF(ROUNDDOWN(J128,0)=0,0,-#REF!)</f>
        <v>#REF!</v>
      </c>
      <c r="J129" s="278" t="e">
        <f t="shared" si="45"/>
        <v>#REF!</v>
      </c>
      <c r="K129" s="1694"/>
      <c r="L129" s="1694"/>
      <c r="M129" s="1694"/>
      <c r="O129" s="276">
        <f t="shared" si="51"/>
        <v>120</v>
      </c>
      <c r="P129" s="277" t="e">
        <f t="shared" si="40"/>
        <v>#REF!</v>
      </c>
      <c r="Q129" s="277" t="e">
        <f>-S128*#REF!</f>
        <v>#REF!</v>
      </c>
      <c r="R129" s="277" t="e">
        <f>IF(ROUNDDOWN(S128,0)=0,0,-#REF!)</f>
        <v>#REF!</v>
      </c>
      <c r="S129" s="278" t="e">
        <f t="shared" si="46"/>
        <v>#REF!</v>
      </c>
      <c r="T129" s="1694"/>
      <c r="U129" s="1694"/>
      <c r="V129" s="1694"/>
      <c r="X129" s="276">
        <f t="shared" si="52"/>
        <v>120</v>
      </c>
      <c r="Y129" s="277" t="e">
        <f t="shared" si="41"/>
        <v>#REF!</v>
      </c>
      <c r="Z129" s="277" t="e">
        <f>-AB128*#REF!</f>
        <v>#REF!</v>
      </c>
      <c r="AA129" s="277" t="e">
        <f>IF(ROUNDDOWN(AB128,0)=0,0,-#REF!)</f>
        <v>#REF!</v>
      </c>
      <c r="AB129" s="278" t="e">
        <f t="shared" si="47"/>
        <v>#REF!</v>
      </c>
      <c r="AC129" s="1694"/>
      <c r="AD129" s="1694"/>
      <c r="AE129" s="1694"/>
      <c r="AG129" s="1709"/>
      <c r="AH129" s="1709"/>
      <c r="AI129" s="1709"/>
      <c r="AK129" s="276">
        <f t="shared" si="53"/>
        <v>120</v>
      </c>
      <c r="AL129" s="277" t="e">
        <f t="shared" si="42"/>
        <v>#REF!</v>
      </c>
      <c r="AM129" s="277" t="e">
        <f>-AO128*#REF!</f>
        <v>#REF!</v>
      </c>
      <c r="AN129" s="277" t="e">
        <f>IF(ROUNDDOWN(AO128,0)=0,0,-#REF!)</f>
        <v>#REF!</v>
      </c>
      <c r="AO129" s="278" t="e">
        <f t="shared" si="74"/>
        <v>#REF!</v>
      </c>
      <c r="AP129" s="1694"/>
      <c r="AQ129" s="1694"/>
      <c r="AR129" s="1694"/>
      <c r="AS129" s="1694"/>
      <c r="AU129" s="276">
        <f t="shared" si="56"/>
        <v>114</v>
      </c>
      <c r="AV129" s="277">
        <f t="shared" si="48"/>
        <v>-50622094.058333337</v>
      </c>
      <c r="AW129" s="277">
        <f t="shared" si="59"/>
        <v>-2122094.0583333336</v>
      </c>
      <c r="AX129" s="277">
        <f t="shared" si="73"/>
        <v>-48500000</v>
      </c>
      <c r="AY129" s="277"/>
      <c r="AZ129" s="278">
        <f t="shared" si="57"/>
        <v>746900000</v>
      </c>
      <c r="BA129" s="279">
        <f t="shared" si="75"/>
        <v>3.2015500000000002E-2</v>
      </c>
      <c r="BB129" s="279">
        <f t="shared" si="75"/>
        <v>0.01</v>
      </c>
      <c r="BC129" s="1694"/>
      <c r="BD129" s="563">
        <f t="shared" si="71"/>
        <v>-662833.33333333337</v>
      </c>
      <c r="BE129" s="1694"/>
      <c r="BF129" s="1694"/>
      <c r="BG129" s="229">
        <f>'Cashflow trend'!K23</f>
        <v>-354077.70304904378</v>
      </c>
      <c r="BH129" s="277">
        <f t="shared" si="72"/>
        <v>-1418042.5</v>
      </c>
      <c r="BI129" s="277">
        <f t="shared" si="69"/>
        <v>-1418042.5</v>
      </c>
      <c r="BJ129" s="277">
        <v>0</v>
      </c>
      <c r="BK129" s="277"/>
      <c r="BL129" s="278">
        <f t="shared" si="61"/>
        <v>420000000</v>
      </c>
      <c r="BM129" s="279">
        <f t="shared" si="76"/>
        <v>4.0515499999999996E-2</v>
      </c>
      <c r="BN129" s="279">
        <f t="shared" si="76"/>
        <v>0.01</v>
      </c>
      <c r="BO129" s="1694"/>
      <c r="BP129" s="563">
        <f t="shared" si="54"/>
        <v>-350000</v>
      </c>
      <c r="BQ129" s="1694"/>
      <c r="BR129" s="1694"/>
    </row>
    <row r="130" spans="1:70" ht="15.75" customHeight="1">
      <c r="A130" s="270" t="s">
        <v>510</v>
      </c>
      <c r="B130" s="266">
        <v>2025</v>
      </c>
      <c r="C130" s="266"/>
      <c r="D130" s="580"/>
      <c r="E130" s="265">
        <f t="shared" si="55"/>
        <v>746900000</v>
      </c>
      <c r="F130" s="267">
        <f t="shared" si="50"/>
        <v>121</v>
      </c>
      <c r="G130" s="268" t="e">
        <f t="shared" si="66"/>
        <v>#REF!</v>
      </c>
      <c r="H130" s="268" t="e">
        <f>-ROUNDDOWN(J129*#REF!,0)</f>
        <v>#REF!</v>
      </c>
      <c r="I130" s="268" t="e">
        <f>IF(ROUNDDOWN(J129,0)=0,0,-#REF!)</f>
        <v>#REF!</v>
      </c>
      <c r="J130" s="269" t="e">
        <f t="shared" si="45"/>
        <v>#REF!</v>
      </c>
      <c r="K130" s="1695" t="s">
        <v>15</v>
      </c>
      <c r="L130" s="1695" t="e">
        <f>SUM(H130:H141)</f>
        <v>#REF!</v>
      </c>
      <c r="M130" s="1695" t="e">
        <f>SUM(I130:I141)</f>
        <v>#REF!</v>
      </c>
      <c r="O130" s="267">
        <f t="shared" si="51"/>
        <v>121</v>
      </c>
      <c r="P130" s="268" t="e">
        <f t="shared" si="40"/>
        <v>#REF!</v>
      </c>
      <c r="Q130" s="268" t="e">
        <f>-S129*#REF!</f>
        <v>#REF!</v>
      </c>
      <c r="R130" s="268" t="e">
        <f>IF(ROUNDDOWN(S129,0)=0,0,-#REF!)</f>
        <v>#REF!</v>
      </c>
      <c r="S130" s="269" t="e">
        <f t="shared" si="46"/>
        <v>#REF!</v>
      </c>
      <c r="T130" s="1695" t="s">
        <v>15</v>
      </c>
      <c r="U130" s="1695" t="e">
        <f>SUM(Q130:Q141)</f>
        <v>#REF!</v>
      </c>
      <c r="V130" s="1695" t="e">
        <f>SUM(R130:R141)</f>
        <v>#REF!</v>
      </c>
      <c r="X130" s="267">
        <f t="shared" si="52"/>
        <v>121</v>
      </c>
      <c r="Y130" s="268" t="e">
        <f t="shared" si="41"/>
        <v>#REF!</v>
      </c>
      <c r="Z130" s="268" t="e">
        <f>-AB129*#REF!</f>
        <v>#REF!</v>
      </c>
      <c r="AA130" s="268" t="e">
        <f>IF(ROUNDDOWN(AB129,0)=0,0,-#REF!)</f>
        <v>#REF!</v>
      </c>
      <c r="AB130" s="269" t="e">
        <f t="shared" si="47"/>
        <v>#REF!</v>
      </c>
      <c r="AC130" s="1695" t="s">
        <v>15</v>
      </c>
      <c r="AD130" s="1695" t="e">
        <f>SUM(Z130:Z141)</f>
        <v>#REF!</v>
      </c>
      <c r="AE130" s="1695" t="e">
        <f>SUM(AA130:AA141)</f>
        <v>#REF!</v>
      </c>
      <c r="AG130" s="1710" t="s">
        <v>15</v>
      </c>
      <c r="AH130" s="1710" t="e">
        <f>L130+U130+AD130</f>
        <v>#REF!</v>
      </c>
      <c r="AI130" s="1710" t="e">
        <f>M130+V130+AE130</f>
        <v>#REF!</v>
      </c>
      <c r="AK130" s="267">
        <f t="shared" si="53"/>
        <v>121</v>
      </c>
      <c r="AL130" s="268" t="e">
        <f t="shared" si="42"/>
        <v>#REF!</v>
      </c>
      <c r="AM130" s="268" t="e">
        <f>-AO129*#REF!</f>
        <v>#REF!</v>
      </c>
      <c r="AN130" s="268" t="e">
        <f>IF(ROUNDDOWN(AO129,0)=0,0,-#REF!)</f>
        <v>#REF!</v>
      </c>
      <c r="AO130" s="269" t="e">
        <f t="shared" si="74"/>
        <v>#REF!</v>
      </c>
      <c r="AP130" s="1695" t="s">
        <v>15</v>
      </c>
      <c r="AQ130" s="1695" t="e">
        <f>SUM(AM130:AM141)</f>
        <v>#REF!</v>
      </c>
      <c r="AR130" s="1695" t="e">
        <f>SUM(AN130:AN141)</f>
        <v>#REF!</v>
      </c>
      <c r="AS130" s="1695"/>
      <c r="AU130" s="267">
        <f t="shared" si="56"/>
        <v>115</v>
      </c>
      <c r="AV130" s="268">
        <f t="shared" si="48"/>
        <v>-1992698.0791666668</v>
      </c>
      <c r="AW130" s="268">
        <f t="shared" si="59"/>
        <v>-1992698.0791666668</v>
      </c>
      <c r="AX130" s="268">
        <f t="shared" si="73"/>
        <v>0</v>
      </c>
      <c r="AY130" s="268">
        <v>0</v>
      </c>
      <c r="AZ130" s="269">
        <f t="shared" si="57"/>
        <v>746900000</v>
      </c>
      <c r="BA130" s="272">
        <f t="shared" si="75"/>
        <v>3.2015500000000002E-2</v>
      </c>
      <c r="BB130" s="272">
        <f t="shared" si="75"/>
        <v>0.01</v>
      </c>
      <c r="BC130" s="1695" t="s">
        <v>15</v>
      </c>
      <c r="BD130" s="565">
        <f t="shared" si="71"/>
        <v>-622416.66666666663</v>
      </c>
      <c r="BE130" s="1695">
        <f>SUM(AW130:AW141)</f>
        <v>-21583249.324999999</v>
      </c>
      <c r="BF130" s="1695">
        <f>SUM(AX130:AY141)</f>
        <v>-194000000</v>
      </c>
      <c r="BH130" s="268">
        <f t="shared" si="72"/>
        <v>-1418042.5</v>
      </c>
      <c r="BI130" s="268">
        <f t="shared" si="69"/>
        <v>-1418042.5</v>
      </c>
      <c r="BJ130" s="268">
        <v>0</v>
      </c>
      <c r="BK130" s="268">
        <v>0</v>
      </c>
      <c r="BL130" s="269">
        <f t="shared" si="61"/>
        <v>420000000</v>
      </c>
      <c r="BM130" s="272">
        <f t="shared" si="76"/>
        <v>4.0515499999999996E-2</v>
      </c>
      <c r="BN130" s="272">
        <f t="shared" si="76"/>
        <v>0.01</v>
      </c>
      <c r="BO130" s="1695" t="s">
        <v>15</v>
      </c>
      <c r="BP130" s="565">
        <f t="shared" si="54"/>
        <v>-350000</v>
      </c>
      <c r="BQ130" s="1695">
        <f>SUM(BI130:BI141)</f>
        <v>-16341251.666666666</v>
      </c>
      <c r="BR130" s="1695">
        <f>SUM(BJ130:BK141)</f>
        <v>-100000000</v>
      </c>
    </row>
    <row r="131" spans="1:70" ht="15.75" customHeight="1" thickBot="1">
      <c r="A131" s="270" t="s">
        <v>511</v>
      </c>
      <c r="B131" s="266">
        <v>2025</v>
      </c>
      <c r="C131" s="266"/>
      <c r="D131" s="580"/>
      <c r="E131" s="265">
        <f t="shared" si="55"/>
        <v>746900000</v>
      </c>
      <c r="F131" s="267">
        <f t="shared" si="50"/>
        <v>122</v>
      </c>
      <c r="G131" s="268" t="e">
        <f t="shared" si="66"/>
        <v>#REF!</v>
      </c>
      <c r="H131" s="268" t="e">
        <f>-ROUNDDOWN(J130*#REF!,0)</f>
        <v>#REF!</v>
      </c>
      <c r="I131" s="268" t="e">
        <f>IF(ROUNDDOWN(J130,0)=0,0,-#REF!)</f>
        <v>#REF!</v>
      </c>
      <c r="J131" s="269" t="e">
        <f t="shared" si="45"/>
        <v>#REF!</v>
      </c>
      <c r="K131" s="1695"/>
      <c r="L131" s="1695"/>
      <c r="M131" s="1695"/>
      <c r="O131" s="267">
        <f t="shared" si="51"/>
        <v>122</v>
      </c>
      <c r="P131" s="268" t="e">
        <f t="shared" si="40"/>
        <v>#REF!</v>
      </c>
      <c r="Q131" s="268" t="e">
        <f>-S130*#REF!</f>
        <v>#REF!</v>
      </c>
      <c r="R131" s="268" t="e">
        <f>IF(ROUNDDOWN(S130,0)=0,0,-#REF!)</f>
        <v>#REF!</v>
      </c>
      <c r="S131" s="269" t="e">
        <f t="shared" si="46"/>
        <v>#REF!</v>
      </c>
      <c r="T131" s="1695"/>
      <c r="U131" s="1695"/>
      <c r="V131" s="1695"/>
      <c r="X131" s="267">
        <f t="shared" si="52"/>
        <v>122</v>
      </c>
      <c r="Y131" s="268" t="e">
        <f t="shared" si="41"/>
        <v>#REF!</v>
      </c>
      <c r="Z131" s="268" t="e">
        <f>-AB130*#REF!</f>
        <v>#REF!</v>
      </c>
      <c r="AA131" s="268" t="e">
        <f>IF(ROUNDDOWN(AB130,0)=0,0,-#REF!)</f>
        <v>#REF!</v>
      </c>
      <c r="AB131" s="269" t="e">
        <f t="shared" si="47"/>
        <v>#REF!</v>
      </c>
      <c r="AC131" s="1695"/>
      <c r="AD131" s="1695"/>
      <c r="AE131" s="1695"/>
      <c r="AG131" s="1710"/>
      <c r="AH131" s="1710"/>
      <c r="AI131" s="1710"/>
      <c r="AK131" s="267">
        <f t="shared" si="53"/>
        <v>122</v>
      </c>
      <c r="AL131" s="268" t="e">
        <f t="shared" si="42"/>
        <v>#REF!</v>
      </c>
      <c r="AM131" s="268" t="e">
        <f>-AO130*#REF!</f>
        <v>#REF!</v>
      </c>
      <c r="AN131" s="268" t="e">
        <f>IF(ROUNDDOWN(AO130,0)=0,0,-#REF!)</f>
        <v>#REF!</v>
      </c>
      <c r="AO131" s="269" t="e">
        <f t="shared" si="74"/>
        <v>#REF!</v>
      </c>
      <c r="AP131" s="1695"/>
      <c r="AQ131" s="1695"/>
      <c r="AR131" s="1695"/>
      <c r="AS131" s="1695"/>
      <c r="AU131" s="267">
        <f t="shared" si="56"/>
        <v>116</v>
      </c>
      <c r="AV131" s="268">
        <f t="shared" si="48"/>
        <v>-1992698.0791666668</v>
      </c>
      <c r="AW131" s="268">
        <f t="shared" si="59"/>
        <v>-1992698.0791666668</v>
      </c>
      <c r="AX131" s="268">
        <f t="shared" si="73"/>
        <v>0</v>
      </c>
      <c r="AY131" s="268"/>
      <c r="AZ131" s="269">
        <f t="shared" si="57"/>
        <v>746900000</v>
      </c>
      <c r="BA131" s="272">
        <f t="shared" si="75"/>
        <v>3.2015500000000002E-2</v>
      </c>
      <c r="BB131" s="272">
        <f t="shared" si="75"/>
        <v>0.01</v>
      </c>
      <c r="BC131" s="1695"/>
      <c r="BD131" s="565">
        <f t="shared" si="71"/>
        <v>-622416.66666666663</v>
      </c>
      <c r="BE131" s="1695"/>
      <c r="BF131" s="1695"/>
      <c r="BH131" s="268">
        <f t="shared" si="72"/>
        <v>-1418042.5</v>
      </c>
      <c r="BI131" s="268">
        <f t="shared" si="69"/>
        <v>-1418042.5</v>
      </c>
      <c r="BJ131" s="268">
        <v>0</v>
      </c>
      <c r="BK131" s="268"/>
      <c r="BL131" s="269">
        <f t="shared" si="61"/>
        <v>420000000</v>
      </c>
      <c r="BM131" s="272">
        <f t="shared" si="76"/>
        <v>4.0515499999999996E-2</v>
      </c>
      <c r="BN131" s="272">
        <f t="shared" si="76"/>
        <v>0.01</v>
      </c>
      <c r="BO131" s="1695"/>
      <c r="BP131" s="565">
        <f t="shared" si="54"/>
        <v>-350000</v>
      </c>
      <c r="BQ131" s="1695"/>
      <c r="BR131" s="1695"/>
    </row>
    <row r="132" spans="1:70" ht="15.75" customHeight="1" thickBot="1">
      <c r="A132" s="270" t="s">
        <v>512</v>
      </c>
      <c r="B132" s="266">
        <v>2025</v>
      </c>
      <c r="C132" s="579">
        <f>IF($C$7=2,5%+D132,5%)</f>
        <v>0.05</v>
      </c>
      <c r="D132" s="578">
        <v>0.02</v>
      </c>
      <c r="E132" s="265">
        <f t="shared" si="55"/>
        <v>698400000</v>
      </c>
      <c r="F132" s="267">
        <f t="shared" si="50"/>
        <v>123</v>
      </c>
      <c r="G132" s="268" t="e">
        <f t="shared" si="66"/>
        <v>#REF!</v>
      </c>
      <c r="H132" s="268" t="e">
        <f>-ROUNDDOWN(J131*#REF!,0)</f>
        <v>#REF!</v>
      </c>
      <c r="I132" s="268" t="e">
        <f>IF(ROUNDDOWN(J131,0)=0,0,-#REF!)</f>
        <v>#REF!</v>
      </c>
      <c r="J132" s="269" t="e">
        <f t="shared" si="45"/>
        <v>#REF!</v>
      </c>
      <c r="K132" s="1695"/>
      <c r="L132" s="1695"/>
      <c r="M132" s="1695"/>
      <c r="O132" s="267">
        <f t="shared" si="51"/>
        <v>123</v>
      </c>
      <c r="P132" s="268" t="e">
        <f t="shared" si="40"/>
        <v>#REF!</v>
      </c>
      <c r="Q132" s="268" t="e">
        <f>-S131*#REF!</f>
        <v>#REF!</v>
      </c>
      <c r="R132" s="268" t="e">
        <f>IF(ROUNDDOWN(S131,0)=0,0,-#REF!)</f>
        <v>#REF!</v>
      </c>
      <c r="S132" s="269" t="e">
        <f t="shared" si="46"/>
        <v>#REF!</v>
      </c>
      <c r="T132" s="1695"/>
      <c r="U132" s="1695"/>
      <c r="V132" s="1695"/>
      <c r="X132" s="267">
        <f t="shared" si="52"/>
        <v>123</v>
      </c>
      <c r="Y132" s="268" t="e">
        <f t="shared" si="41"/>
        <v>#REF!</v>
      </c>
      <c r="Z132" s="268" t="e">
        <f>-AB131*#REF!</f>
        <v>#REF!</v>
      </c>
      <c r="AA132" s="268" t="e">
        <f>IF(ROUNDDOWN(AB131,0)=0,0,-#REF!)</f>
        <v>#REF!</v>
      </c>
      <c r="AB132" s="269" t="e">
        <f t="shared" si="47"/>
        <v>#REF!</v>
      </c>
      <c r="AC132" s="1695"/>
      <c r="AD132" s="1695"/>
      <c r="AE132" s="1695"/>
      <c r="AG132" s="1710"/>
      <c r="AH132" s="1710"/>
      <c r="AI132" s="1710"/>
      <c r="AK132" s="267">
        <f t="shared" si="53"/>
        <v>123</v>
      </c>
      <c r="AL132" s="268" t="e">
        <f t="shared" si="42"/>
        <v>#REF!</v>
      </c>
      <c r="AM132" s="268" t="e">
        <f>-AO131*#REF!</f>
        <v>#REF!</v>
      </c>
      <c r="AN132" s="268" t="e">
        <f>IF(ROUNDDOWN(AO131,0)=0,0,-#REF!)</f>
        <v>#REF!</v>
      </c>
      <c r="AO132" s="269" t="e">
        <f t="shared" si="74"/>
        <v>#REF!</v>
      </c>
      <c r="AP132" s="1695"/>
      <c r="AQ132" s="1695"/>
      <c r="AR132" s="1695"/>
      <c r="AS132" s="1695"/>
      <c r="AU132" s="267">
        <f t="shared" si="56"/>
        <v>117</v>
      </c>
      <c r="AV132" s="268">
        <f t="shared" si="48"/>
        <v>-50492698.079166666</v>
      </c>
      <c r="AW132" s="268">
        <f t="shared" si="59"/>
        <v>-1992698.0791666668</v>
      </c>
      <c r="AX132" s="268">
        <f t="shared" si="73"/>
        <v>-48500000</v>
      </c>
      <c r="AY132" s="268"/>
      <c r="AZ132" s="269">
        <f t="shared" si="57"/>
        <v>698400000</v>
      </c>
      <c r="BA132" s="272">
        <f t="shared" si="75"/>
        <v>3.2015500000000002E-2</v>
      </c>
      <c r="BB132" s="272">
        <f t="shared" si="75"/>
        <v>0.01</v>
      </c>
      <c r="BC132" s="1695"/>
      <c r="BD132" s="565">
        <f t="shared" si="71"/>
        <v>-622416.66666666663</v>
      </c>
      <c r="BE132" s="1695"/>
      <c r="BF132" s="1695"/>
      <c r="BH132" s="268">
        <f t="shared" si="72"/>
        <v>-1418042.5</v>
      </c>
      <c r="BI132" s="268">
        <f t="shared" si="69"/>
        <v>-1418042.5</v>
      </c>
      <c r="BJ132" s="268">
        <v>0</v>
      </c>
      <c r="BK132" s="268"/>
      <c r="BL132" s="269">
        <f t="shared" si="61"/>
        <v>420000000</v>
      </c>
      <c r="BM132" s="272">
        <f t="shared" si="76"/>
        <v>4.0515499999999996E-2</v>
      </c>
      <c r="BN132" s="272">
        <f t="shared" si="76"/>
        <v>0.01</v>
      </c>
      <c r="BO132" s="1695"/>
      <c r="BP132" s="565">
        <f t="shared" si="54"/>
        <v>-350000</v>
      </c>
      <c r="BQ132" s="1695"/>
      <c r="BR132" s="1695"/>
    </row>
    <row r="133" spans="1:70" ht="15.75" customHeight="1">
      <c r="A133" s="270" t="s">
        <v>513</v>
      </c>
      <c r="B133" s="266">
        <v>2025</v>
      </c>
      <c r="C133" s="266"/>
      <c r="D133" s="580"/>
      <c r="E133" s="265">
        <f t="shared" si="55"/>
        <v>698400000</v>
      </c>
      <c r="F133" s="267">
        <f t="shared" si="50"/>
        <v>124</v>
      </c>
      <c r="G133" s="268" t="e">
        <f t="shared" si="66"/>
        <v>#REF!</v>
      </c>
      <c r="H133" s="268" t="e">
        <f>-ROUNDDOWN(J132*#REF!,0)</f>
        <v>#REF!</v>
      </c>
      <c r="I133" s="268" t="e">
        <f>IF(ROUNDDOWN(J132,0)=0,0,-#REF!)</f>
        <v>#REF!</v>
      </c>
      <c r="J133" s="269" t="e">
        <f t="shared" si="45"/>
        <v>#REF!</v>
      </c>
      <c r="K133" s="1695"/>
      <c r="L133" s="1695"/>
      <c r="M133" s="1695"/>
      <c r="O133" s="267">
        <f t="shared" si="51"/>
        <v>124</v>
      </c>
      <c r="P133" s="268" t="e">
        <f t="shared" si="40"/>
        <v>#REF!</v>
      </c>
      <c r="Q133" s="268" t="e">
        <f>-S132*#REF!</f>
        <v>#REF!</v>
      </c>
      <c r="R133" s="268" t="e">
        <f>IF(ROUNDDOWN(S132,0)=0,0,-#REF!)</f>
        <v>#REF!</v>
      </c>
      <c r="S133" s="269" t="e">
        <f t="shared" si="46"/>
        <v>#REF!</v>
      </c>
      <c r="T133" s="1695"/>
      <c r="U133" s="1695"/>
      <c r="V133" s="1695"/>
      <c r="X133" s="267">
        <f t="shared" si="52"/>
        <v>124</v>
      </c>
      <c r="Y133" s="268" t="e">
        <f t="shared" si="41"/>
        <v>#REF!</v>
      </c>
      <c r="Z133" s="268" t="e">
        <f>-AB132*#REF!</f>
        <v>#REF!</v>
      </c>
      <c r="AA133" s="268" t="e">
        <f>IF(ROUNDDOWN(AB132,0)=0,0,-#REF!)</f>
        <v>#REF!</v>
      </c>
      <c r="AB133" s="269" t="e">
        <f t="shared" si="47"/>
        <v>#REF!</v>
      </c>
      <c r="AC133" s="1695"/>
      <c r="AD133" s="1695"/>
      <c r="AE133" s="1695"/>
      <c r="AG133" s="1710"/>
      <c r="AH133" s="1710"/>
      <c r="AI133" s="1710"/>
      <c r="AK133" s="267">
        <f t="shared" si="53"/>
        <v>124</v>
      </c>
      <c r="AL133" s="268" t="e">
        <f t="shared" si="42"/>
        <v>#REF!</v>
      </c>
      <c r="AM133" s="268" t="e">
        <f>-AO132*#REF!</f>
        <v>#REF!</v>
      </c>
      <c r="AN133" s="268" t="e">
        <f>IF(ROUNDDOWN(AO132,0)=0,0,-#REF!)</f>
        <v>#REF!</v>
      </c>
      <c r="AO133" s="269" t="e">
        <f t="shared" si="74"/>
        <v>#REF!</v>
      </c>
      <c r="AP133" s="1695"/>
      <c r="AQ133" s="1695"/>
      <c r="AR133" s="1695"/>
      <c r="AS133" s="1695"/>
      <c r="AU133" s="267">
        <f t="shared" si="56"/>
        <v>118</v>
      </c>
      <c r="AV133" s="268">
        <f t="shared" si="48"/>
        <v>-1863302.1000000003</v>
      </c>
      <c r="AW133" s="268">
        <f t="shared" si="59"/>
        <v>-1863302.1000000003</v>
      </c>
      <c r="AX133" s="268">
        <f t="shared" si="73"/>
        <v>0</v>
      </c>
      <c r="AY133" s="268"/>
      <c r="AZ133" s="269">
        <f t="shared" si="57"/>
        <v>698400000</v>
      </c>
      <c r="BA133" s="272">
        <f t="shared" si="75"/>
        <v>3.2015500000000002E-2</v>
      </c>
      <c r="BB133" s="272">
        <f t="shared" si="75"/>
        <v>0.01</v>
      </c>
      <c r="BC133" s="1695"/>
      <c r="BD133" s="565">
        <f t="shared" si="71"/>
        <v>-582000</v>
      </c>
      <c r="BE133" s="1695"/>
      <c r="BF133" s="1695"/>
      <c r="BH133" s="268">
        <f t="shared" si="72"/>
        <v>-1418042.5</v>
      </c>
      <c r="BI133" s="268">
        <f t="shared" si="69"/>
        <v>-1418042.5</v>
      </c>
      <c r="BJ133" s="268">
        <v>0</v>
      </c>
      <c r="BK133" s="268"/>
      <c r="BL133" s="269">
        <f t="shared" si="61"/>
        <v>420000000</v>
      </c>
      <c r="BM133" s="272">
        <f t="shared" si="76"/>
        <v>4.0515499999999996E-2</v>
      </c>
      <c r="BN133" s="272">
        <f t="shared" si="76"/>
        <v>0.01</v>
      </c>
      <c r="BO133" s="1695"/>
      <c r="BP133" s="565">
        <f t="shared" si="54"/>
        <v>-350000</v>
      </c>
      <c r="BQ133" s="1695"/>
      <c r="BR133" s="1695"/>
    </row>
    <row r="134" spans="1:70" ht="15.75" customHeight="1" thickBot="1">
      <c r="A134" s="270" t="s">
        <v>514</v>
      </c>
      <c r="B134" s="266">
        <v>2025</v>
      </c>
      <c r="C134" s="266"/>
      <c r="D134" s="580"/>
      <c r="E134" s="265">
        <f t="shared" si="55"/>
        <v>698400000</v>
      </c>
      <c r="F134" s="267">
        <f t="shared" si="50"/>
        <v>125</v>
      </c>
      <c r="G134" s="268" t="e">
        <f t="shared" si="66"/>
        <v>#REF!</v>
      </c>
      <c r="H134" s="268" t="e">
        <f>-ROUNDDOWN(J133*#REF!,0)</f>
        <v>#REF!</v>
      </c>
      <c r="I134" s="268" t="e">
        <f>IF(ROUNDDOWN(J133,0)=0,0,-#REF!)</f>
        <v>#REF!</v>
      </c>
      <c r="J134" s="269" t="e">
        <f t="shared" si="45"/>
        <v>#REF!</v>
      </c>
      <c r="K134" s="1695"/>
      <c r="L134" s="1695"/>
      <c r="M134" s="1695"/>
      <c r="O134" s="267">
        <f t="shared" si="51"/>
        <v>125</v>
      </c>
      <c r="P134" s="268" t="e">
        <f t="shared" si="40"/>
        <v>#REF!</v>
      </c>
      <c r="Q134" s="268" t="e">
        <f>-S133*#REF!</f>
        <v>#REF!</v>
      </c>
      <c r="R134" s="268" t="e">
        <f>IF(ROUNDDOWN(S133,0)=0,0,-#REF!)</f>
        <v>#REF!</v>
      </c>
      <c r="S134" s="269" t="e">
        <f t="shared" si="46"/>
        <v>#REF!</v>
      </c>
      <c r="T134" s="1695"/>
      <c r="U134" s="1695"/>
      <c r="V134" s="1695"/>
      <c r="X134" s="267">
        <f t="shared" si="52"/>
        <v>125</v>
      </c>
      <c r="Y134" s="268" t="e">
        <f t="shared" si="41"/>
        <v>#REF!</v>
      </c>
      <c r="Z134" s="268" t="e">
        <f>-AB133*#REF!</f>
        <v>#REF!</v>
      </c>
      <c r="AA134" s="268" t="e">
        <f>IF(ROUNDDOWN(AB133,0)=0,0,-#REF!)</f>
        <v>#REF!</v>
      </c>
      <c r="AB134" s="269" t="e">
        <f t="shared" si="47"/>
        <v>#REF!</v>
      </c>
      <c r="AC134" s="1695"/>
      <c r="AD134" s="1695"/>
      <c r="AE134" s="1695"/>
      <c r="AG134" s="1710"/>
      <c r="AH134" s="1710"/>
      <c r="AI134" s="1710"/>
      <c r="AK134" s="267">
        <f t="shared" si="53"/>
        <v>125</v>
      </c>
      <c r="AL134" s="268" t="e">
        <f t="shared" si="42"/>
        <v>#REF!</v>
      </c>
      <c r="AM134" s="268" t="e">
        <f>-AO133*#REF!</f>
        <v>#REF!</v>
      </c>
      <c r="AN134" s="268" t="e">
        <f>IF(ROUNDDOWN(AO133,0)=0,0,-#REF!)</f>
        <v>#REF!</v>
      </c>
      <c r="AO134" s="269" t="e">
        <f t="shared" si="74"/>
        <v>#REF!</v>
      </c>
      <c r="AP134" s="1695"/>
      <c r="AQ134" s="1695"/>
      <c r="AR134" s="1695"/>
      <c r="AS134" s="1695"/>
      <c r="AU134" s="267">
        <f t="shared" si="56"/>
        <v>119</v>
      </c>
      <c r="AV134" s="268">
        <f t="shared" si="48"/>
        <v>-1863302.1000000003</v>
      </c>
      <c r="AW134" s="268">
        <f t="shared" si="59"/>
        <v>-1863302.1000000003</v>
      </c>
      <c r="AX134" s="268">
        <f t="shared" si="73"/>
        <v>0</v>
      </c>
      <c r="AY134" s="268"/>
      <c r="AZ134" s="269">
        <f t="shared" si="57"/>
        <v>698400000</v>
      </c>
      <c r="BA134" s="272">
        <f t="shared" si="75"/>
        <v>3.2015500000000002E-2</v>
      </c>
      <c r="BB134" s="272">
        <f t="shared" si="75"/>
        <v>0.01</v>
      </c>
      <c r="BC134" s="1695"/>
      <c r="BD134" s="565">
        <f t="shared" si="71"/>
        <v>-582000</v>
      </c>
      <c r="BE134" s="1695"/>
      <c r="BF134" s="1695"/>
      <c r="BH134" s="268">
        <f t="shared" si="72"/>
        <v>-1418042.5</v>
      </c>
      <c r="BI134" s="268">
        <f t="shared" si="69"/>
        <v>-1418042.5</v>
      </c>
      <c r="BJ134" s="268"/>
      <c r="BK134" s="268"/>
      <c r="BL134" s="269">
        <f t="shared" si="61"/>
        <v>420000000</v>
      </c>
      <c r="BM134" s="272">
        <f t="shared" si="76"/>
        <v>4.0515499999999996E-2</v>
      </c>
      <c r="BN134" s="272">
        <f t="shared" si="76"/>
        <v>0.01</v>
      </c>
      <c r="BO134" s="1695"/>
      <c r="BP134" s="565">
        <f t="shared" si="54"/>
        <v>-350000</v>
      </c>
      <c r="BQ134" s="1695"/>
      <c r="BR134" s="1695"/>
    </row>
    <row r="135" spans="1:70" ht="15.75" customHeight="1" thickBot="1">
      <c r="A135" s="270" t="s">
        <v>515</v>
      </c>
      <c r="B135" s="266">
        <v>2025</v>
      </c>
      <c r="C135" s="579">
        <f>IF($C$7=2,5%+D135,5%)</f>
        <v>0.05</v>
      </c>
      <c r="D135" s="578">
        <v>0.02</v>
      </c>
      <c r="E135" s="265">
        <f t="shared" si="55"/>
        <v>649900000</v>
      </c>
      <c r="F135" s="267">
        <f t="shared" si="50"/>
        <v>126</v>
      </c>
      <c r="G135" s="268" t="e">
        <f t="shared" si="66"/>
        <v>#REF!</v>
      </c>
      <c r="H135" s="268" t="e">
        <f>-ROUNDDOWN(J134*#REF!,0)</f>
        <v>#REF!</v>
      </c>
      <c r="I135" s="268" t="e">
        <f>IF(ROUNDDOWN(J134,0)=0,0,-#REF!)</f>
        <v>#REF!</v>
      </c>
      <c r="J135" s="269" t="e">
        <f t="shared" si="45"/>
        <v>#REF!</v>
      </c>
      <c r="K135" s="1695"/>
      <c r="L135" s="1695"/>
      <c r="M135" s="1695"/>
      <c r="O135" s="267">
        <f t="shared" si="51"/>
        <v>126</v>
      </c>
      <c r="P135" s="268" t="e">
        <f t="shared" si="40"/>
        <v>#REF!</v>
      </c>
      <c r="Q135" s="268" t="e">
        <f>-S134*#REF!</f>
        <v>#REF!</v>
      </c>
      <c r="R135" s="268" t="e">
        <f>IF(ROUNDDOWN(S134,0)=0,0,-#REF!)</f>
        <v>#REF!</v>
      </c>
      <c r="S135" s="269" t="e">
        <f t="shared" si="46"/>
        <v>#REF!</v>
      </c>
      <c r="T135" s="1695"/>
      <c r="U135" s="1695"/>
      <c r="V135" s="1695"/>
      <c r="X135" s="267">
        <f t="shared" si="52"/>
        <v>126</v>
      </c>
      <c r="Y135" s="268" t="e">
        <f t="shared" si="41"/>
        <v>#REF!</v>
      </c>
      <c r="Z135" s="268" t="e">
        <f>-AB134*#REF!</f>
        <v>#REF!</v>
      </c>
      <c r="AA135" s="268" t="e">
        <f>IF(ROUNDDOWN(AB134,0)=0,0,-#REF!)</f>
        <v>#REF!</v>
      </c>
      <c r="AB135" s="269" t="e">
        <f t="shared" si="47"/>
        <v>#REF!</v>
      </c>
      <c r="AC135" s="1695"/>
      <c r="AD135" s="1695"/>
      <c r="AE135" s="1695"/>
      <c r="AG135" s="1710"/>
      <c r="AH135" s="1710"/>
      <c r="AI135" s="1710"/>
      <c r="AK135" s="267">
        <f t="shared" si="53"/>
        <v>126</v>
      </c>
      <c r="AL135" s="268" t="e">
        <f t="shared" si="42"/>
        <v>#REF!</v>
      </c>
      <c r="AM135" s="268" t="e">
        <f>-AO134*#REF!</f>
        <v>#REF!</v>
      </c>
      <c r="AN135" s="268" t="e">
        <f>IF(ROUNDDOWN(AO134,0)=0,0,-#REF!)</f>
        <v>#REF!</v>
      </c>
      <c r="AO135" s="269" t="e">
        <f t="shared" si="74"/>
        <v>#REF!</v>
      </c>
      <c r="AP135" s="1695"/>
      <c r="AQ135" s="1695"/>
      <c r="AR135" s="1695"/>
      <c r="AS135" s="1695"/>
      <c r="AU135" s="267">
        <f t="shared" si="56"/>
        <v>120</v>
      </c>
      <c r="AV135" s="268">
        <f t="shared" si="48"/>
        <v>-50363302.100000001</v>
      </c>
      <c r="AW135" s="268">
        <f t="shared" si="59"/>
        <v>-1863302.1000000003</v>
      </c>
      <c r="AX135" s="268">
        <f t="shared" si="73"/>
        <v>-48500000</v>
      </c>
      <c r="AY135" s="268"/>
      <c r="AZ135" s="269">
        <f t="shared" si="57"/>
        <v>649900000</v>
      </c>
      <c r="BA135" s="272">
        <f t="shared" si="75"/>
        <v>3.2015500000000002E-2</v>
      </c>
      <c r="BB135" s="272">
        <f t="shared" si="75"/>
        <v>0.01</v>
      </c>
      <c r="BC135" s="1695"/>
      <c r="BD135" s="565">
        <f t="shared" si="71"/>
        <v>-582000</v>
      </c>
      <c r="BE135" s="1695"/>
      <c r="BF135" s="1695"/>
      <c r="BH135" s="268">
        <f t="shared" si="72"/>
        <v>-1418042.5</v>
      </c>
      <c r="BI135" s="268">
        <f t="shared" si="69"/>
        <v>-1418042.5</v>
      </c>
      <c r="BJ135" s="268"/>
      <c r="BK135" s="268"/>
      <c r="BL135" s="269">
        <f t="shared" si="61"/>
        <v>420000000</v>
      </c>
      <c r="BM135" s="272">
        <f t="shared" si="76"/>
        <v>4.0515499999999996E-2</v>
      </c>
      <c r="BN135" s="272">
        <f t="shared" si="76"/>
        <v>0.01</v>
      </c>
      <c r="BO135" s="1695"/>
      <c r="BP135" s="565">
        <f t="shared" si="54"/>
        <v>-350000</v>
      </c>
      <c r="BQ135" s="1695"/>
      <c r="BR135" s="1695"/>
    </row>
    <row r="136" spans="1:70" ht="15">
      <c r="A136" s="270" t="s">
        <v>516</v>
      </c>
      <c r="B136" s="266">
        <v>2025</v>
      </c>
      <c r="C136" s="266"/>
      <c r="D136" s="266"/>
      <c r="E136" s="265">
        <f t="shared" si="55"/>
        <v>649900000</v>
      </c>
      <c r="F136" s="267">
        <f t="shared" si="50"/>
        <v>127</v>
      </c>
      <c r="G136" s="268" t="e">
        <f t="shared" si="66"/>
        <v>#REF!</v>
      </c>
      <c r="H136" s="268" t="e">
        <f>-ROUNDDOWN(J135*#REF!,0)</f>
        <v>#REF!</v>
      </c>
      <c r="I136" s="268" t="e">
        <f>IF(ROUNDDOWN(J135,0)=0,0,-#REF!)</f>
        <v>#REF!</v>
      </c>
      <c r="J136" s="269" t="e">
        <f t="shared" si="45"/>
        <v>#REF!</v>
      </c>
      <c r="K136" s="1695"/>
      <c r="L136" s="1695"/>
      <c r="M136" s="1695"/>
      <c r="O136" s="267">
        <f t="shared" si="51"/>
        <v>127</v>
      </c>
      <c r="P136" s="268" t="e">
        <f t="shared" si="40"/>
        <v>#REF!</v>
      </c>
      <c r="Q136" s="268" t="e">
        <f>-S135*#REF!</f>
        <v>#REF!</v>
      </c>
      <c r="R136" s="268" t="e">
        <f>IF(ROUNDDOWN(S135,0)=0,0,-#REF!)</f>
        <v>#REF!</v>
      </c>
      <c r="S136" s="269" t="e">
        <f t="shared" si="46"/>
        <v>#REF!</v>
      </c>
      <c r="T136" s="1695"/>
      <c r="U136" s="1695"/>
      <c r="V136" s="1695"/>
      <c r="X136" s="267">
        <f t="shared" si="52"/>
        <v>127</v>
      </c>
      <c r="Y136" s="268" t="e">
        <f t="shared" si="41"/>
        <v>#REF!</v>
      </c>
      <c r="Z136" s="268" t="e">
        <f>-AB135*#REF!</f>
        <v>#REF!</v>
      </c>
      <c r="AA136" s="268" t="e">
        <f>IF(ROUNDDOWN(AB135,0)=0,0,-#REF!)</f>
        <v>#REF!</v>
      </c>
      <c r="AB136" s="269" t="e">
        <f t="shared" si="47"/>
        <v>#REF!</v>
      </c>
      <c r="AC136" s="1695"/>
      <c r="AD136" s="1695"/>
      <c r="AE136" s="1695"/>
      <c r="AG136" s="1710"/>
      <c r="AH136" s="1710"/>
      <c r="AI136" s="1710"/>
      <c r="AK136" s="267">
        <f t="shared" si="53"/>
        <v>127</v>
      </c>
      <c r="AL136" s="268" t="e">
        <f t="shared" si="42"/>
        <v>#REF!</v>
      </c>
      <c r="AM136" s="268" t="e">
        <f>-AO135*#REF!</f>
        <v>#REF!</v>
      </c>
      <c r="AN136" s="268" t="e">
        <f>IF(ROUNDDOWN(AO135,0)=0,0,-#REF!)</f>
        <v>#REF!</v>
      </c>
      <c r="AO136" s="269" t="e">
        <f t="shared" si="74"/>
        <v>#REF!</v>
      </c>
      <c r="AP136" s="1695"/>
      <c r="AQ136" s="1695"/>
      <c r="AR136" s="1695"/>
      <c r="AS136" s="1695"/>
      <c r="AU136" s="267">
        <f t="shared" si="56"/>
        <v>121</v>
      </c>
      <c r="AV136" s="268">
        <f t="shared" si="48"/>
        <v>-1733906.1208333336</v>
      </c>
      <c r="AW136" s="268">
        <f t="shared" si="59"/>
        <v>-1733906.1208333336</v>
      </c>
      <c r="AX136" s="268">
        <f t="shared" si="73"/>
        <v>0</v>
      </c>
      <c r="AY136" s="268"/>
      <c r="AZ136" s="269">
        <f t="shared" si="57"/>
        <v>649900000</v>
      </c>
      <c r="BA136" s="272">
        <f t="shared" si="75"/>
        <v>3.2015500000000002E-2</v>
      </c>
      <c r="BB136" s="272">
        <f t="shared" si="75"/>
        <v>0.01</v>
      </c>
      <c r="BC136" s="1695"/>
      <c r="BD136" s="565">
        <f t="shared" si="71"/>
        <v>-541583.33333333337</v>
      </c>
      <c r="BE136" s="1695"/>
      <c r="BF136" s="1695"/>
      <c r="BH136" s="268">
        <f t="shared" si="72"/>
        <v>-1418042.5</v>
      </c>
      <c r="BI136" s="268">
        <f t="shared" si="69"/>
        <v>-1418042.5</v>
      </c>
      <c r="BJ136" s="268"/>
      <c r="BK136" s="268"/>
      <c r="BL136" s="269">
        <f t="shared" si="61"/>
        <v>420000000</v>
      </c>
      <c r="BM136" s="272">
        <f t="shared" si="76"/>
        <v>4.0515499999999996E-2</v>
      </c>
      <c r="BN136" s="272">
        <f t="shared" si="76"/>
        <v>0.01</v>
      </c>
      <c r="BO136" s="1695"/>
      <c r="BP136" s="565">
        <f t="shared" si="54"/>
        <v>-350000</v>
      </c>
      <c r="BQ136" s="1695"/>
      <c r="BR136" s="1695"/>
    </row>
    <row r="137" spans="1:70" ht="15.75" thickBot="1">
      <c r="A137" s="270" t="s">
        <v>517</v>
      </c>
      <c r="B137" s="266">
        <v>2025</v>
      </c>
      <c r="C137" s="266"/>
      <c r="D137" s="266"/>
      <c r="E137" s="265">
        <f t="shared" si="55"/>
        <v>649900000</v>
      </c>
      <c r="F137" s="267">
        <f t="shared" si="50"/>
        <v>128</v>
      </c>
      <c r="G137" s="268" t="e">
        <f t="shared" si="66"/>
        <v>#REF!</v>
      </c>
      <c r="H137" s="268" t="e">
        <f>-ROUNDDOWN(J136*#REF!,0)</f>
        <v>#REF!</v>
      </c>
      <c r="I137" s="268" t="e">
        <f>IF(ROUNDDOWN(J136,0)=0,0,-#REF!)</f>
        <v>#REF!</v>
      </c>
      <c r="J137" s="269" t="e">
        <f t="shared" si="45"/>
        <v>#REF!</v>
      </c>
      <c r="K137" s="1695"/>
      <c r="L137" s="1695"/>
      <c r="M137" s="1695"/>
      <c r="O137" s="267">
        <f t="shared" si="51"/>
        <v>128</v>
      </c>
      <c r="P137" s="268" t="e">
        <f t="shared" si="40"/>
        <v>#REF!</v>
      </c>
      <c r="Q137" s="268" t="e">
        <f>-S136*#REF!</f>
        <v>#REF!</v>
      </c>
      <c r="R137" s="268" t="e">
        <f>IF(ROUNDDOWN(S136,0)=0,0,-#REF!)</f>
        <v>#REF!</v>
      </c>
      <c r="S137" s="269" t="e">
        <f t="shared" si="46"/>
        <v>#REF!</v>
      </c>
      <c r="T137" s="1695"/>
      <c r="U137" s="1695"/>
      <c r="V137" s="1695"/>
      <c r="X137" s="267">
        <f t="shared" si="52"/>
        <v>128</v>
      </c>
      <c r="Y137" s="268" t="e">
        <f t="shared" si="41"/>
        <v>#REF!</v>
      </c>
      <c r="Z137" s="268" t="e">
        <f>-AB136*#REF!</f>
        <v>#REF!</v>
      </c>
      <c r="AA137" s="268" t="e">
        <f>IF(ROUNDDOWN(AB136,0)=0,0,-#REF!)</f>
        <v>#REF!</v>
      </c>
      <c r="AB137" s="269" t="e">
        <f t="shared" si="47"/>
        <v>#REF!</v>
      </c>
      <c r="AC137" s="1695"/>
      <c r="AD137" s="1695"/>
      <c r="AE137" s="1695"/>
      <c r="AG137" s="1710"/>
      <c r="AH137" s="1710"/>
      <c r="AI137" s="1710"/>
      <c r="AK137" s="267">
        <f t="shared" si="53"/>
        <v>128</v>
      </c>
      <c r="AL137" s="268" t="e">
        <f t="shared" si="42"/>
        <v>#REF!</v>
      </c>
      <c r="AM137" s="268" t="e">
        <f>-AO136*#REF!</f>
        <v>#REF!</v>
      </c>
      <c r="AN137" s="268" t="e">
        <f>IF(ROUNDDOWN(AO136,0)=0,0,-#REF!)</f>
        <v>#REF!</v>
      </c>
      <c r="AO137" s="269" t="e">
        <f t="shared" si="74"/>
        <v>#REF!</v>
      </c>
      <c r="AP137" s="1695"/>
      <c r="AQ137" s="1695"/>
      <c r="AR137" s="1695"/>
      <c r="AS137" s="1695"/>
      <c r="AU137" s="267">
        <f t="shared" si="56"/>
        <v>122</v>
      </c>
      <c r="AV137" s="268">
        <f t="shared" si="48"/>
        <v>-1733906.1208333336</v>
      </c>
      <c r="AW137" s="268">
        <f t="shared" si="59"/>
        <v>-1733906.1208333336</v>
      </c>
      <c r="AX137" s="268">
        <f t="shared" si="73"/>
        <v>0</v>
      </c>
      <c r="AY137" s="268"/>
      <c r="AZ137" s="269">
        <f t="shared" si="57"/>
        <v>649900000</v>
      </c>
      <c r="BA137" s="272">
        <f t="shared" si="75"/>
        <v>3.2015500000000002E-2</v>
      </c>
      <c r="BB137" s="272">
        <f t="shared" si="75"/>
        <v>0.01</v>
      </c>
      <c r="BC137" s="1695"/>
      <c r="BD137" s="565">
        <f t="shared" si="71"/>
        <v>-541583.33333333337</v>
      </c>
      <c r="BE137" s="1695"/>
      <c r="BF137" s="1695"/>
      <c r="BH137" s="268">
        <f t="shared" si="72"/>
        <v>-21418042.5</v>
      </c>
      <c r="BI137" s="268">
        <f t="shared" si="69"/>
        <v>-1418042.5</v>
      </c>
      <c r="BJ137" s="268">
        <v>-20000000</v>
      </c>
      <c r="BK137" s="268"/>
      <c r="BL137" s="269">
        <f t="shared" si="61"/>
        <v>400000000</v>
      </c>
      <c r="BM137" s="272">
        <f t="shared" si="76"/>
        <v>4.0515499999999996E-2</v>
      </c>
      <c r="BN137" s="272">
        <f t="shared" si="76"/>
        <v>0.01</v>
      </c>
      <c r="BO137" s="1695"/>
      <c r="BP137" s="565">
        <f t="shared" si="54"/>
        <v>-350000</v>
      </c>
      <c r="BQ137" s="1695"/>
      <c r="BR137" s="1695"/>
    </row>
    <row r="138" spans="1:70" ht="15.75" thickBot="1">
      <c r="A138" s="270" t="s">
        <v>518</v>
      </c>
      <c r="B138" s="266">
        <v>2025</v>
      </c>
      <c r="C138" s="579">
        <f>IF($C$7=2,5%+D138,5%)</f>
        <v>0.05</v>
      </c>
      <c r="D138" s="578">
        <v>0.02</v>
      </c>
      <c r="E138" s="265">
        <f t="shared" si="55"/>
        <v>601400000</v>
      </c>
      <c r="F138" s="267">
        <f t="shared" si="50"/>
        <v>129</v>
      </c>
      <c r="G138" s="268" t="e">
        <f t="shared" si="66"/>
        <v>#REF!</v>
      </c>
      <c r="H138" s="268" t="e">
        <f>-ROUNDDOWN(J137*#REF!,0)</f>
        <v>#REF!</v>
      </c>
      <c r="I138" s="268" t="e">
        <f>IF(ROUNDDOWN(J137,0)=0,0,-#REF!)</f>
        <v>#REF!</v>
      </c>
      <c r="J138" s="269" t="e">
        <f t="shared" si="45"/>
        <v>#REF!</v>
      </c>
      <c r="K138" s="1695"/>
      <c r="L138" s="1695"/>
      <c r="M138" s="1695"/>
      <c r="O138" s="267">
        <f t="shared" si="51"/>
        <v>129</v>
      </c>
      <c r="P138" s="268" t="e">
        <f t="shared" ref="P138:P153" si="77">SUM(Q138:R138)</f>
        <v>#REF!</v>
      </c>
      <c r="Q138" s="268" t="e">
        <f>-S137*#REF!</f>
        <v>#REF!</v>
      </c>
      <c r="R138" s="268" t="e">
        <f>IF(ROUNDDOWN(S137,0)=0,0,-#REF!)</f>
        <v>#REF!</v>
      </c>
      <c r="S138" s="269" t="e">
        <f t="shared" si="46"/>
        <v>#REF!</v>
      </c>
      <c r="T138" s="1695"/>
      <c r="U138" s="1695"/>
      <c r="V138" s="1695"/>
      <c r="X138" s="267">
        <f t="shared" si="52"/>
        <v>129</v>
      </c>
      <c r="Y138" s="268" t="e">
        <f t="shared" ref="Y138:Y153" si="78">SUM(Z138:AA138)</f>
        <v>#REF!</v>
      </c>
      <c r="Z138" s="268" t="e">
        <f>-AB137*#REF!</f>
        <v>#REF!</v>
      </c>
      <c r="AA138" s="268" t="e">
        <f>IF(ROUNDDOWN(AB137,0)=0,0,-#REF!)</f>
        <v>#REF!</v>
      </c>
      <c r="AB138" s="269" t="e">
        <f t="shared" si="47"/>
        <v>#REF!</v>
      </c>
      <c r="AC138" s="1695"/>
      <c r="AD138" s="1695"/>
      <c r="AE138" s="1695"/>
      <c r="AG138" s="1710"/>
      <c r="AH138" s="1710"/>
      <c r="AI138" s="1710"/>
      <c r="AK138" s="267">
        <f t="shared" si="53"/>
        <v>129</v>
      </c>
      <c r="AL138" s="268" t="e">
        <f t="shared" ref="AL138:AL153" si="79">SUM(AM138:AN138)</f>
        <v>#REF!</v>
      </c>
      <c r="AM138" s="268" t="e">
        <f>-AO137*#REF!</f>
        <v>#REF!</v>
      </c>
      <c r="AN138" s="268" t="e">
        <f>IF(ROUNDDOWN(AO137,0)=0,0,-#REF!)</f>
        <v>#REF!</v>
      </c>
      <c r="AO138" s="269" t="e">
        <f t="shared" si="74"/>
        <v>#REF!</v>
      </c>
      <c r="AP138" s="1695"/>
      <c r="AQ138" s="1695"/>
      <c r="AR138" s="1695"/>
      <c r="AS138" s="1695"/>
      <c r="AU138" s="267">
        <f t="shared" si="56"/>
        <v>123</v>
      </c>
      <c r="AV138" s="268">
        <f t="shared" si="48"/>
        <v>-50233906.120833337</v>
      </c>
      <c r="AW138" s="268">
        <f t="shared" si="59"/>
        <v>-1733906.1208333336</v>
      </c>
      <c r="AX138" s="268">
        <f t="shared" si="73"/>
        <v>-48500000</v>
      </c>
      <c r="AY138" s="268"/>
      <c r="AZ138" s="269">
        <f t="shared" si="57"/>
        <v>601400000</v>
      </c>
      <c r="BA138" s="272">
        <f t="shared" si="75"/>
        <v>3.2015500000000002E-2</v>
      </c>
      <c r="BB138" s="272">
        <f t="shared" si="75"/>
        <v>0.01</v>
      </c>
      <c r="BC138" s="1695"/>
      <c r="BD138" s="565">
        <f t="shared" si="71"/>
        <v>-541583.33333333337</v>
      </c>
      <c r="BE138" s="1695"/>
      <c r="BF138" s="1695"/>
      <c r="BH138" s="268">
        <f t="shared" si="72"/>
        <v>-21350516.666666668</v>
      </c>
      <c r="BI138" s="268">
        <f t="shared" si="69"/>
        <v>-1350516.6666666665</v>
      </c>
      <c r="BJ138" s="268">
        <v>-20000000</v>
      </c>
      <c r="BK138" s="268"/>
      <c r="BL138" s="269">
        <f t="shared" si="61"/>
        <v>380000000</v>
      </c>
      <c r="BM138" s="272">
        <f t="shared" si="76"/>
        <v>4.0515499999999996E-2</v>
      </c>
      <c r="BN138" s="272">
        <f t="shared" si="76"/>
        <v>0.01</v>
      </c>
      <c r="BO138" s="1695"/>
      <c r="BP138" s="565">
        <f t="shared" si="54"/>
        <v>-333333.33333333331</v>
      </c>
      <c r="BQ138" s="1695"/>
      <c r="BR138" s="1695"/>
    </row>
    <row r="139" spans="1:70" ht="15">
      <c r="A139" s="270" t="s">
        <v>519</v>
      </c>
      <c r="B139" s="266">
        <v>2026</v>
      </c>
      <c r="C139" s="266"/>
      <c r="D139" s="266"/>
      <c r="E139" s="265">
        <f t="shared" si="55"/>
        <v>601400000</v>
      </c>
      <c r="F139" s="267">
        <f t="shared" si="50"/>
        <v>130</v>
      </c>
      <c r="G139" s="268" t="e">
        <f t="shared" si="66"/>
        <v>#REF!</v>
      </c>
      <c r="H139" s="268" t="e">
        <f>-ROUNDDOWN(J138*#REF!,0)</f>
        <v>#REF!</v>
      </c>
      <c r="I139" s="268" t="e">
        <f>IF(ROUNDDOWN(J138,0)=0,0,-#REF!)</f>
        <v>#REF!</v>
      </c>
      <c r="J139" s="269" t="e">
        <f t="shared" ref="J139:J153" si="80">J138+I139</f>
        <v>#REF!</v>
      </c>
      <c r="K139" s="1695"/>
      <c r="L139" s="1695"/>
      <c r="M139" s="1695"/>
      <c r="O139" s="267">
        <f t="shared" si="51"/>
        <v>130</v>
      </c>
      <c r="P139" s="268" t="e">
        <f t="shared" si="77"/>
        <v>#REF!</v>
      </c>
      <c r="Q139" s="268" t="e">
        <f>-S138*#REF!</f>
        <v>#REF!</v>
      </c>
      <c r="R139" s="268" t="e">
        <f>IF(ROUNDDOWN(S138,0)=0,0,-#REF!)</f>
        <v>#REF!</v>
      </c>
      <c r="S139" s="269" t="e">
        <f t="shared" ref="S139:S153" si="81">S138+R139</f>
        <v>#REF!</v>
      </c>
      <c r="T139" s="1695"/>
      <c r="U139" s="1695"/>
      <c r="V139" s="1695"/>
      <c r="X139" s="267">
        <f t="shared" si="52"/>
        <v>130</v>
      </c>
      <c r="Y139" s="268" t="e">
        <f t="shared" si="78"/>
        <v>#REF!</v>
      </c>
      <c r="Z139" s="268" t="e">
        <f>-AB138*#REF!</f>
        <v>#REF!</v>
      </c>
      <c r="AA139" s="268" t="e">
        <f>IF(ROUNDDOWN(AB138,0)=0,0,-#REF!)</f>
        <v>#REF!</v>
      </c>
      <c r="AB139" s="269" t="e">
        <f t="shared" ref="AB139:AB153" si="82">AB138+AA139</f>
        <v>#REF!</v>
      </c>
      <c r="AC139" s="1695"/>
      <c r="AD139" s="1695"/>
      <c r="AE139" s="1695"/>
      <c r="AG139" s="1710"/>
      <c r="AH139" s="1710"/>
      <c r="AI139" s="1710"/>
      <c r="AK139" s="267">
        <f t="shared" si="53"/>
        <v>130</v>
      </c>
      <c r="AL139" s="268" t="e">
        <f t="shared" si="79"/>
        <v>#REF!</v>
      </c>
      <c r="AM139" s="268" t="e">
        <f>-AO138*#REF!</f>
        <v>#REF!</v>
      </c>
      <c r="AN139" s="268" t="e">
        <f>IF(ROUNDDOWN(AO138,0)=0,0,-#REF!)</f>
        <v>#REF!</v>
      </c>
      <c r="AO139" s="269" t="e">
        <f t="shared" si="74"/>
        <v>#REF!</v>
      </c>
      <c r="AP139" s="1695"/>
      <c r="AQ139" s="1695"/>
      <c r="AR139" s="1695"/>
      <c r="AS139" s="1695"/>
      <c r="AU139" s="267">
        <f t="shared" si="56"/>
        <v>124</v>
      </c>
      <c r="AV139" s="268">
        <f t="shared" ref="AV139:AV153" si="83">SUM(AW139:AX139)</f>
        <v>-1604510.1416666668</v>
      </c>
      <c r="AW139" s="268">
        <f t="shared" si="59"/>
        <v>-1604510.1416666668</v>
      </c>
      <c r="AX139" s="268">
        <f t="shared" si="73"/>
        <v>0</v>
      </c>
      <c r="AY139" s="268"/>
      <c r="AZ139" s="269">
        <f t="shared" si="57"/>
        <v>601400000</v>
      </c>
      <c r="BA139" s="272">
        <f t="shared" ref="BA139:BB154" si="84">BA138</f>
        <v>3.2015500000000002E-2</v>
      </c>
      <c r="BB139" s="272">
        <f t="shared" si="84"/>
        <v>0.01</v>
      </c>
      <c r="BC139" s="1695"/>
      <c r="BD139" s="565">
        <f t="shared" si="71"/>
        <v>-501166.66666666669</v>
      </c>
      <c r="BE139" s="1695"/>
      <c r="BF139" s="1695"/>
      <c r="BH139" s="268">
        <f t="shared" si="72"/>
        <v>-21282990.833333332</v>
      </c>
      <c r="BI139" s="268">
        <f t="shared" si="69"/>
        <v>-1282990.8333333333</v>
      </c>
      <c r="BJ139" s="268">
        <v>-20000000</v>
      </c>
      <c r="BK139" s="268"/>
      <c r="BL139" s="269">
        <f t="shared" si="61"/>
        <v>360000000</v>
      </c>
      <c r="BM139" s="272">
        <f t="shared" si="76"/>
        <v>4.0515499999999996E-2</v>
      </c>
      <c r="BN139" s="272">
        <f t="shared" si="76"/>
        <v>0.01</v>
      </c>
      <c r="BO139" s="1695"/>
      <c r="BP139" s="565">
        <f t="shared" si="54"/>
        <v>-316666.66666666669</v>
      </c>
      <c r="BQ139" s="1695"/>
      <c r="BR139" s="1695"/>
    </row>
    <row r="140" spans="1:70" ht="15.75" thickBot="1">
      <c r="A140" s="270" t="s">
        <v>520</v>
      </c>
      <c r="B140" s="266">
        <v>2026</v>
      </c>
      <c r="C140" s="266"/>
      <c r="D140" s="266"/>
      <c r="E140" s="265">
        <f t="shared" si="55"/>
        <v>601400000</v>
      </c>
      <c r="F140" s="267">
        <f t="shared" ref="F140:F153" si="85">F139+1</f>
        <v>131</v>
      </c>
      <c r="G140" s="268" t="e">
        <f t="shared" si="66"/>
        <v>#REF!</v>
      </c>
      <c r="H140" s="268" t="e">
        <f>-ROUNDDOWN(J139*#REF!,0)</f>
        <v>#REF!</v>
      </c>
      <c r="I140" s="268" t="e">
        <f>IF(ROUNDDOWN(J139,0)=0,0,-#REF!)</f>
        <v>#REF!</v>
      </c>
      <c r="J140" s="269" t="e">
        <f t="shared" si="80"/>
        <v>#REF!</v>
      </c>
      <c r="K140" s="1695"/>
      <c r="L140" s="1695"/>
      <c r="M140" s="1695"/>
      <c r="O140" s="267">
        <f t="shared" ref="O140:O153" si="86">O139+1</f>
        <v>131</v>
      </c>
      <c r="P140" s="268" t="e">
        <f t="shared" si="77"/>
        <v>#REF!</v>
      </c>
      <c r="Q140" s="268" t="e">
        <f>-S139*#REF!</f>
        <v>#REF!</v>
      </c>
      <c r="R140" s="268" t="e">
        <f>IF(ROUNDDOWN(S139,0)=0,0,-#REF!)</f>
        <v>#REF!</v>
      </c>
      <c r="S140" s="269" t="e">
        <f t="shared" si="81"/>
        <v>#REF!</v>
      </c>
      <c r="T140" s="1695"/>
      <c r="U140" s="1695"/>
      <c r="V140" s="1695"/>
      <c r="X140" s="267">
        <f t="shared" ref="X140:X153" si="87">X139+1</f>
        <v>131</v>
      </c>
      <c r="Y140" s="268" t="e">
        <f t="shared" si="78"/>
        <v>#REF!</v>
      </c>
      <c r="Z140" s="268" t="e">
        <f>-AB139*#REF!</f>
        <v>#REF!</v>
      </c>
      <c r="AA140" s="268" t="e">
        <f>IF(ROUNDDOWN(AB139,0)=0,0,-#REF!)</f>
        <v>#REF!</v>
      </c>
      <c r="AB140" s="269" t="e">
        <f t="shared" si="82"/>
        <v>#REF!</v>
      </c>
      <c r="AC140" s="1695"/>
      <c r="AD140" s="1695"/>
      <c r="AE140" s="1695"/>
      <c r="AG140" s="1710"/>
      <c r="AH140" s="1710"/>
      <c r="AI140" s="1710"/>
      <c r="AK140" s="267">
        <f t="shared" ref="AK140:AK153" si="88">AK139+1</f>
        <v>131</v>
      </c>
      <c r="AL140" s="268" t="e">
        <f t="shared" si="79"/>
        <v>#REF!</v>
      </c>
      <c r="AM140" s="268" t="e">
        <f>-AO139*#REF!</f>
        <v>#REF!</v>
      </c>
      <c r="AN140" s="268" t="e">
        <f>IF(ROUNDDOWN(AO139,0)=0,0,-#REF!)</f>
        <v>#REF!</v>
      </c>
      <c r="AO140" s="269" t="e">
        <f t="shared" si="74"/>
        <v>#REF!</v>
      </c>
      <c r="AP140" s="1695"/>
      <c r="AQ140" s="1695"/>
      <c r="AR140" s="1695"/>
      <c r="AS140" s="1695"/>
      <c r="AU140" s="267">
        <f t="shared" si="56"/>
        <v>125</v>
      </c>
      <c r="AV140" s="268">
        <f t="shared" si="83"/>
        <v>-1604510.1416666668</v>
      </c>
      <c r="AW140" s="268">
        <f t="shared" si="59"/>
        <v>-1604510.1416666668</v>
      </c>
      <c r="AX140" s="268">
        <f t="shared" si="73"/>
        <v>0</v>
      </c>
      <c r="AY140" s="268"/>
      <c r="AZ140" s="269">
        <f t="shared" si="57"/>
        <v>601400000</v>
      </c>
      <c r="BA140" s="272">
        <f t="shared" si="84"/>
        <v>3.2015500000000002E-2</v>
      </c>
      <c r="BB140" s="272">
        <f t="shared" si="84"/>
        <v>0.01</v>
      </c>
      <c r="BC140" s="1695"/>
      <c r="BD140" s="565">
        <f t="shared" si="71"/>
        <v>-501166.66666666669</v>
      </c>
      <c r="BE140" s="1695"/>
      <c r="BF140" s="1695"/>
      <c r="BH140" s="268">
        <f t="shared" si="72"/>
        <v>-21215465</v>
      </c>
      <c r="BI140" s="268">
        <f t="shared" si="69"/>
        <v>-1215464.9999999998</v>
      </c>
      <c r="BJ140" s="268">
        <v>-20000000</v>
      </c>
      <c r="BK140" s="268"/>
      <c r="BL140" s="269">
        <f t="shared" si="61"/>
        <v>340000000</v>
      </c>
      <c r="BM140" s="272">
        <f t="shared" si="76"/>
        <v>4.0515499999999996E-2</v>
      </c>
      <c r="BN140" s="272">
        <f t="shared" si="76"/>
        <v>0.01</v>
      </c>
      <c r="BO140" s="1695"/>
      <c r="BP140" s="565">
        <f t="shared" si="54"/>
        <v>-300000</v>
      </c>
      <c r="BQ140" s="1695"/>
      <c r="BR140" s="1695"/>
    </row>
    <row r="141" spans="1:70" ht="15.75" thickBot="1">
      <c r="A141" s="270" t="s">
        <v>521</v>
      </c>
      <c r="B141" s="266">
        <v>2026</v>
      </c>
      <c r="C141" s="579">
        <f>IF($C$7=2,5%+D141,5%)</f>
        <v>0.05</v>
      </c>
      <c r="D141" s="578">
        <v>0.02</v>
      </c>
      <c r="E141" s="265">
        <f t="shared" si="55"/>
        <v>552900000</v>
      </c>
      <c r="F141" s="267">
        <f t="shared" si="85"/>
        <v>132</v>
      </c>
      <c r="G141" s="268" t="e">
        <f t="shared" si="66"/>
        <v>#REF!</v>
      </c>
      <c r="H141" s="268" t="e">
        <f>-ROUNDDOWN(J140*#REF!,0)</f>
        <v>#REF!</v>
      </c>
      <c r="I141" s="268" t="e">
        <f>IF(ROUNDDOWN(J140,0)=0,0,-#REF!)</f>
        <v>#REF!</v>
      </c>
      <c r="J141" s="269" t="e">
        <f t="shared" si="80"/>
        <v>#REF!</v>
      </c>
      <c r="K141" s="1695"/>
      <c r="L141" s="1695"/>
      <c r="M141" s="1695"/>
      <c r="O141" s="267">
        <f t="shared" si="86"/>
        <v>132</v>
      </c>
      <c r="P141" s="268" t="e">
        <f t="shared" si="77"/>
        <v>#REF!</v>
      </c>
      <c r="Q141" s="268" t="e">
        <f>-S140*#REF!</f>
        <v>#REF!</v>
      </c>
      <c r="R141" s="268" t="e">
        <f>IF(ROUNDDOWN(S140,0)=0,0,-#REF!)</f>
        <v>#REF!</v>
      </c>
      <c r="S141" s="269" t="e">
        <f t="shared" si="81"/>
        <v>#REF!</v>
      </c>
      <c r="T141" s="1695"/>
      <c r="U141" s="1695"/>
      <c r="V141" s="1695"/>
      <c r="X141" s="267">
        <f t="shared" si="87"/>
        <v>132</v>
      </c>
      <c r="Y141" s="268" t="e">
        <f t="shared" si="78"/>
        <v>#REF!</v>
      </c>
      <c r="Z141" s="268" t="e">
        <f>-AB140*#REF!</f>
        <v>#REF!</v>
      </c>
      <c r="AA141" s="268" t="e">
        <f>IF(ROUNDDOWN(AB140,0)=0,0,-#REF!)</f>
        <v>#REF!</v>
      </c>
      <c r="AB141" s="269" t="e">
        <f t="shared" si="82"/>
        <v>#REF!</v>
      </c>
      <c r="AC141" s="1695"/>
      <c r="AD141" s="1695"/>
      <c r="AE141" s="1695"/>
      <c r="AG141" s="1710"/>
      <c r="AH141" s="1710"/>
      <c r="AI141" s="1710"/>
      <c r="AK141" s="267">
        <f t="shared" si="88"/>
        <v>132</v>
      </c>
      <c r="AL141" s="268" t="e">
        <f t="shared" si="79"/>
        <v>#REF!</v>
      </c>
      <c r="AM141" s="268" t="e">
        <f>-AO140*#REF!</f>
        <v>#REF!</v>
      </c>
      <c r="AN141" s="268" t="e">
        <f>IF(ROUNDDOWN(AO140,0)=0,0,-#REF!)</f>
        <v>#REF!</v>
      </c>
      <c r="AO141" s="269" t="e">
        <f t="shared" si="74"/>
        <v>#REF!</v>
      </c>
      <c r="AP141" s="1695"/>
      <c r="AQ141" s="1695"/>
      <c r="AR141" s="1695"/>
      <c r="AS141" s="1695"/>
      <c r="AU141" s="267">
        <f t="shared" si="56"/>
        <v>126</v>
      </c>
      <c r="AV141" s="268">
        <f t="shared" si="83"/>
        <v>-50104510.141666666</v>
      </c>
      <c r="AW141" s="268">
        <f t="shared" si="59"/>
        <v>-1604510.1416666668</v>
      </c>
      <c r="AX141" s="268">
        <f t="shared" si="73"/>
        <v>-48500000</v>
      </c>
      <c r="AY141" s="268"/>
      <c r="AZ141" s="269">
        <f t="shared" si="57"/>
        <v>552900000</v>
      </c>
      <c r="BA141" s="272">
        <f t="shared" si="84"/>
        <v>3.2015500000000002E-2</v>
      </c>
      <c r="BB141" s="272">
        <f t="shared" si="84"/>
        <v>0.01</v>
      </c>
      <c r="BC141" s="1695"/>
      <c r="BD141" s="565">
        <f t="shared" si="71"/>
        <v>-501166.66666666669</v>
      </c>
      <c r="BE141" s="1695"/>
      <c r="BF141" s="1695"/>
      <c r="BG141" s="229">
        <f>'Cashflow trend'!L23</f>
        <v>-386258.17392671894</v>
      </c>
      <c r="BH141" s="268">
        <f t="shared" si="72"/>
        <v>-21147939.166666668</v>
      </c>
      <c r="BI141" s="268">
        <f t="shared" si="69"/>
        <v>-1147939.1666666665</v>
      </c>
      <c r="BJ141" s="268">
        <v>-20000000</v>
      </c>
      <c r="BK141" s="268"/>
      <c r="BL141" s="269">
        <f t="shared" si="61"/>
        <v>320000000</v>
      </c>
      <c r="BM141" s="272">
        <f t="shared" si="76"/>
        <v>4.0515499999999996E-2</v>
      </c>
      <c r="BN141" s="272">
        <f t="shared" si="76"/>
        <v>0.01</v>
      </c>
      <c r="BO141" s="1695"/>
      <c r="BP141" s="565">
        <f t="shared" si="54"/>
        <v>-283333.33333333331</v>
      </c>
      <c r="BQ141" s="1695"/>
      <c r="BR141" s="1695"/>
    </row>
    <row r="142" spans="1:70" ht="15">
      <c r="A142" s="273" t="s">
        <v>510</v>
      </c>
      <c r="B142" s="274">
        <v>2026</v>
      </c>
      <c r="C142" s="274"/>
      <c r="D142" s="274"/>
      <c r="E142" s="275">
        <f t="shared" si="55"/>
        <v>552900000</v>
      </c>
      <c r="F142" s="276">
        <f t="shared" si="85"/>
        <v>133</v>
      </c>
      <c r="G142" s="277" t="e">
        <f t="shared" si="66"/>
        <v>#REF!</v>
      </c>
      <c r="H142" s="277" t="e">
        <f>-ROUNDDOWN(J141*#REF!,0)</f>
        <v>#REF!</v>
      </c>
      <c r="I142" s="277" t="e">
        <f>IF(ROUNDDOWN(J141,0)=0,0,-#REF!)</f>
        <v>#REF!</v>
      </c>
      <c r="J142" s="278" t="e">
        <f t="shared" si="80"/>
        <v>#REF!</v>
      </c>
      <c r="K142" s="1694" t="s">
        <v>16</v>
      </c>
      <c r="L142" s="1694" t="e">
        <f>SUM(H142:H153)</f>
        <v>#REF!</v>
      </c>
      <c r="M142" s="1694" t="e">
        <f>SUM(I142:I153)</f>
        <v>#REF!</v>
      </c>
      <c r="O142" s="276">
        <f t="shared" si="86"/>
        <v>133</v>
      </c>
      <c r="P142" s="277" t="e">
        <f t="shared" si="77"/>
        <v>#REF!</v>
      </c>
      <c r="Q142" s="277" t="e">
        <f>-S141*#REF!</f>
        <v>#REF!</v>
      </c>
      <c r="R142" s="277" t="e">
        <f>IF(ROUNDDOWN(S141,0)=0,0,-#REF!)</f>
        <v>#REF!</v>
      </c>
      <c r="S142" s="278" t="e">
        <f t="shared" si="81"/>
        <v>#REF!</v>
      </c>
      <c r="T142" s="1694" t="s">
        <v>16</v>
      </c>
      <c r="U142" s="1694" t="e">
        <f>SUM(Q142:Q153)</f>
        <v>#REF!</v>
      </c>
      <c r="V142" s="1694" t="e">
        <f>SUM(R142:R153)</f>
        <v>#REF!</v>
      </c>
      <c r="X142" s="276">
        <f t="shared" si="87"/>
        <v>133</v>
      </c>
      <c r="Y142" s="277" t="e">
        <f t="shared" si="78"/>
        <v>#REF!</v>
      </c>
      <c r="Z142" s="277" t="e">
        <f>-AB141*#REF!</f>
        <v>#REF!</v>
      </c>
      <c r="AA142" s="277" t="e">
        <f>IF(ROUNDDOWN(AB141,0)=0,0,-#REF!)</f>
        <v>#REF!</v>
      </c>
      <c r="AB142" s="278" t="e">
        <f t="shared" si="82"/>
        <v>#REF!</v>
      </c>
      <c r="AC142" s="1694" t="s">
        <v>16</v>
      </c>
      <c r="AD142" s="1694" t="e">
        <f>SUM(Z142:Z153)</f>
        <v>#REF!</v>
      </c>
      <c r="AE142" s="1694" t="e">
        <f>SUM(AA142:AA153)</f>
        <v>#REF!</v>
      </c>
      <c r="AG142" s="1709" t="s">
        <v>16</v>
      </c>
      <c r="AH142" s="1709" t="e">
        <f>L142+U142+AD142</f>
        <v>#REF!</v>
      </c>
      <c r="AI142" s="1709" t="e">
        <f>M142+V142+AE142</f>
        <v>#REF!</v>
      </c>
      <c r="AK142" s="276">
        <f t="shared" si="88"/>
        <v>133</v>
      </c>
      <c r="AL142" s="277" t="e">
        <f t="shared" si="79"/>
        <v>#REF!</v>
      </c>
      <c r="AM142" s="277" t="e">
        <f>-AO141*#REF!</f>
        <v>#REF!</v>
      </c>
      <c r="AN142" s="277" t="e">
        <f>IF(ROUNDDOWN(AO141,0)=0,0,-#REF!)</f>
        <v>#REF!</v>
      </c>
      <c r="AO142" s="278" t="e">
        <f t="shared" si="74"/>
        <v>#REF!</v>
      </c>
      <c r="AP142" s="1694" t="s">
        <v>16</v>
      </c>
      <c r="AQ142" s="1694" t="e">
        <f>SUM(AM142:AM153)</f>
        <v>#REF!</v>
      </c>
      <c r="AR142" s="1694" t="e">
        <f>SUM(AN142:AN153)</f>
        <v>#REF!</v>
      </c>
      <c r="AS142" s="1694"/>
      <c r="AU142" s="276">
        <f t="shared" si="56"/>
        <v>127</v>
      </c>
      <c r="AV142" s="277">
        <f t="shared" si="83"/>
        <v>-1475114.1625000003</v>
      </c>
      <c r="AW142" s="277">
        <f t="shared" si="59"/>
        <v>-1475114.1625000003</v>
      </c>
      <c r="AX142" s="277">
        <f t="shared" si="73"/>
        <v>0</v>
      </c>
      <c r="AY142" s="277">
        <v>0</v>
      </c>
      <c r="AZ142" s="278">
        <f t="shared" si="57"/>
        <v>552900000</v>
      </c>
      <c r="BA142" s="279">
        <f t="shared" si="84"/>
        <v>3.2015500000000002E-2</v>
      </c>
      <c r="BB142" s="279">
        <f t="shared" si="84"/>
        <v>0.01</v>
      </c>
      <c r="BC142" s="1699" t="s">
        <v>16</v>
      </c>
      <c r="BD142" s="563">
        <f t="shared" si="71"/>
        <v>-460750</v>
      </c>
      <c r="BE142" s="1694">
        <f>SUM(AW142:AW153)</f>
        <v>-15372242.325000003</v>
      </c>
      <c r="BF142" s="1694">
        <f>SUM(AX142:AY153)</f>
        <v>-203700000</v>
      </c>
      <c r="BH142" s="277">
        <f t="shared" si="72"/>
        <v>-21080413.333333332</v>
      </c>
      <c r="BI142" s="277">
        <f t="shared" si="69"/>
        <v>-1080413.3333333333</v>
      </c>
      <c r="BJ142" s="277">
        <v>-20000000</v>
      </c>
      <c r="BK142" s="277">
        <v>0</v>
      </c>
      <c r="BL142" s="278">
        <f t="shared" si="61"/>
        <v>300000000</v>
      </c>
      <c r="BM142" s="279">
        <f t="shared" si="76"/>
        <v>4.0515499999999996E-2</v>
      </c>
      <c r="BN142" s="279">
        <f t="shared" si="76"/>
        <v>0.01</v>
      </c>
      <c r="BO142" s="1694" t="s">
        <v>16</v>
      </c>
      <c r="BP142" s="563">
        <f t="shared" ref="BP142:BP177" si="89">-BL141*BN142/12</f>
        <v>-266666.66666666669</v>
      </c>
      <c r="BQ142" s="1694">
        <f>SUM(BI142:BI153)</f>
        <v>-8406966.2499999981</v>
      </c>
      <c r="BR142" s="1694">
        <f>SUM(BJ142:BK153)</f>
        <v>-260000000</v>
      </c>
    </row>
    <row r="143" spans="1:70" ht="15.75" thickBot="1">
      <c r="A143" s="273" t="s">
        <v>511</v>
      </c>
      <c r="B143" s="274">
        <v>2026</v>
      </c>
      <c r="C143" s="274"/>
      <c r="D143" s="274"/>
      <c r="E143" s="275">
        <f t="shared" si="55"/>
        <v>552900000</v>
      </c>
      <c r="F143" s="276">
        <f t="shared" si="85"/>
        <v>134</v>
      </c>
      <c r="G143" s="277" t="e">
        <f t="shared" si="66"/>
        <v>#REF!</v>
      </c>
      <c r="H143" s="277" t="e">
        <f>-ROUNDDOWN(J142*#REF!,0)</f>
        <v>#REF!</v>
      </c>
      <c r="I143" s="277" t="e">
        <f>IF(ROUNDDOWN(J142,0)=0,0,-#REF!)</f>
        <v>#REF!</v>
      </c>
      <c r="J143" s="278" t="e">
        <f t="shared" si="80"/>
        <v>#REF!</v>
      </c>
      <c r="K143" s="1694"/>
      <c r="L143" s="1694"/>
      <c r="M143" s="1694"/>
      <c r="O143" s="276">
        <f t="shared" si="86"/>
        <v>134</v>
      </c>
      <c r="P143" s="277" t="e">
        <f t="shared" si="77"/>
        <v>#REF!</v>
      </c>
      <c r="Q143" s="277" t="e">
        <f>-S142*#REF!</f>
        <v>#REF!</v>
      </c>
      <c r="R143" s="277" t="e">
        <f>IF(ROUNDDOWN(S142,0)=0,0,-#REF!)</f>
        <v>#REF!</v>
      </c>
      <c r="S143" s="278" t="e">
        <f t="shared" si="81"/>
        <v>#REF!</v>
      </c>
      <c r="T143" s="1694"/>
      <c r="U143" s="1694"/>
      <c r="V143" s="1694"/>
      <c r="X143" s="276">
        <f t="shared" si="87"/>
        <v>134</v>
      </c>
      <c r="Y143" s="277" t="e">
        <f t="shared" si="78"/>
        <v>#REF!</v>
      </c>
      <c r="Z143" s="277" t="e">
        <f>-AB142*#REF!</f>
        <v>#REF!</v>
      </c>
      <c r="AA143" s="277" t="e">
        <f>IF(ROUNDDOWN(AB142,0)=0,0,-#REF!)</f>
        <v>#REF!</v>
      </c>
      <c r="AB143" s="278" t="e">
        <f t="shared" si="82"/>
        <v>#REF!</v>
      </c>
      <c r="AC143" s="1694"/>
      <c r="AD143" s="1694"/>
      <c r="AE143" s="1694"/>
      <c r="AG143" s="1709"/>
      <c r="AH143" s="1709"/>
      <c r="AI143" s="1709"/>
      <c r="AK143" s="276">
        <f t="shared" si="88"/>
        <v>134</v>
      </c>
      <c r="AL143" s="277" t="e">
        <f t="shared" si="79"/>
        <v>#REF!</v>
      </c>
      <c r="AM143" s="277" t="e">
        <f>-AO142*#REF!</f>
        <v>#REF!</v>
      </c>
      <c r="AN143" s="277" t="e">
        <f>IF(ROUNDDOWN(AO142,0)=0,0,-#REF!)</f>
        <v>#REF!</v>
      </c>
      <c r="AO143" s="278" t="e">
        <f t="shared" si="74"/>
        <v>#REF!</v>
      </c>
      <c r="AP143" s="1694"/>
      <c r="AQ143" s="1694"/>
      <c r="AR143" s="1694"/>
      <c r="AS143" s="1694"/>
      <c r="AU143" s="276">
        <f t="shared" si="56"/>
        <v>128</v>
      </c>
      <c r="AV143" s="277">
        <f t="shared" si="83"/>
        <v>-1475114.1625000003</v>
      </c>
      <c r="AW143" s="277">
        <f t="shared" si="59"/>
        <v>-1475114.1625000003</v>
      </c>
      <c r="AX143" s="277">
        <f t="shared" si="73"/>
        <v>0</v>
      </c>
      <c r="AY143" s="277"/>
      <c r="AZ143" s="278">
        <f t="shared" si="57"/>
        <v>552900000</v>
      </c>
      <c r="BA143" s="279">
        <f t="shared" si="84"/>
        <v>3.2015500000000002E-2</v>
      </c>
      <c r="BB143" s="279">
        <f t="shared" si="84"/>
        <v>0.01</v>
      </c>
      <c r="BC143" s="1700"/>
      <c r="BD143" s="563">
        <f t="shared" si="71"/>
        <v>-460750</v>
      </c>
      <c r="BE143" s="1694"/>
      <c r="BF143" s="1694"/>
      <c r="BH143" s="277">
        <f t="shared" si="72"/>
        <v>-21012887.5</v>
      </c>
      <c r="BI143" s="277">
        <f t="shared" si="69"/>
        <v>-1012887.4999999999</v>
      </c>
      <c r="BJ143" s="277">
        <v>-20000000</v>
      </c>
      <c r="BK143" s="277"/>
      <c r="BL143" s="278">
        <f t="shared" si="61"/>
        <v>280000000</v>
      </c>
      <c r="BM143" s="279">
        <f t="shared" ref="BM143:BN158" si="90">BM142</f>
        <v>4.0515499999999996E-2</v>
      </c>
      <c r="BN143" s="279">
        <f t="shared" si="90"/>
        <v>0.01</v>
      </c>
      <c r="BO143" s="1694"/>
      <c r="BP143" s="563">
        <f t="shared" si="89"/>
        <v>-250000</v>
      </c>
      <c r="BQ143" s="1694"/>
      <c r="BR143" s="1694"/>
    </row>
    <row r="144" spans="1:70" ht="15.75" thickBot="1">
      <c r="A144" s="273" t="s">
        <v>512</v>
      </c>
      <c r="B144" s="274">
        <v>2026</v>
      </c>
      <c r="C144" s="577">
        <f>IF($C$7=2,5%+D144,5%)</f>
        <v>0.05</v>
      </c>
      <c r="D144" s="576">
        <v>0.02</v>
      </c>
      <c r="E144" s="275">
        <f t="shared" si="55"/>
        <v>504400000</v>
      </c>
      <c r="F144" s="276">
        <f t="shared" si="85"/>
        <v>135</v>
      </c>
      <c r="G144" s="277" t="e">
        <f t="shared" si="66"/>
        <v>#REF!</v>
      </c>
      <c r="H144" s="277" t="e">
        <f>-ROUNDDOWN(J143*#REF!,0)</f>
        <v>#REF!</v>
      </c>
      <c r="I144" s="277" t="e">
        <f>IF(ROUNDDOWN(J143,0)=0,0,-#REF!)</f>
        <v>#REF!</v>
      </c>
      <c r="J144" s="278" t="e">
        <f t="shared" si="80"/>
        <v>#REF!</v>
      </c>
      <c r="K144" s="1694"/>
      <c r="L144" s="1694"/>
      <c r="M144" s="1694"/>
      <c r="O144" s="276">
        <f t="shared" si="86"/>
        <v>135</v>
      </c>
      <c r="P144" s="277" t="e">
        <f t="shared" si="77"/>
        <v>#REF!</v>
      </c>
      <c r="Q144" s="277" t="e">
        <f>-S143*#REF!</f>
        <v>#REF!</v>
      </c>
      <c r="R144" s="277" t="e">
        <f>IF(ROUNDDOWN(S143,0)=0,0,-#REF!)</f>
        <v>#REF!</v>
      </c>
      <c r="S144" s="278" t="e">
        <f t="shared" si="81"/>
        <v>#REF!</v>
      </c>
      <c r="T144" s="1694"/>
      <c r="U144" s="1694"/>
      <c r="V144" s="1694"/>
      <c r="X144" s="276">
        <f t="shared" si="87"/>
        <v>135</v>
      </c>
      <c r="Y144" s="277" t="e">
        <f t="shared" si="78"/>
        <v>#REF!</v>
      </c>
      <c r="Z144" s="277" t="e">
        <f>-AB143*#REF!</f>
        <v>#REF!</v>
      </c>
      <c r="AA144" s="277" t="e">
        <f>IF(ROUNDDOWN(AB143,0)=0,0,-#REF!)</f>
        <v>#REF!</v>
      </c>
      <c r="AB144" s="278" t="e">
        <f t="shared" si="82"/>
        <v>#REF!</v>
      </c>
      <c r="AC144" s="1694"/>
      <c r="AD144" s="1694"/>
      <c r="AE144" s="1694"/>
      <c r="AG144" s="1709"/>
      <c r="AH144" s="1709"/>
      <c r="AI144" s="1709"/>
      <c r="AK144" s="276">
        <f t="shared" si="88"/>
        <v>135</v>
      </c>
      <c r="AL144" s="277" t="e">
        <f t="shared" si="79"/>
        <v>#REF!</v>
      </c>
      <c r="AM144" s="277" t="e">
        <f>-AO143*#REF!</f>
        <v>#REF!</v>
      </c>
      <c r="AN144" s="277" t="e">
        <f>IF(ROUNDDOWN(AO143,0)=0,0,-#REF!)</f>
        <v>#REF!</v>
      </c>
      <c r="AO144" s="278" t="e">
        <f t="shared" si="74"/>
        <v>#REF!</v>
      </c>
      <c r="AP144" s="1694"/>
      <c r="AQ144" s="1694"/>
      <c r="AR144" s="1694"/>
      <c r="AS144" s="1694"/>
      <c r="AU144" s="276">
        <f t="shared" si="56"/>
        <v>129</v>
      </c>
      <c r="AV144" s="277">
        <f t="shared" si="83"/>
        <v>-49975114.162500001</v>
      </c>
      <c r="AW144" s="277">
        <f t="shared" si="59"/>
        <v>-1475114.1625000003</v>
      </c>
      <c r="AX144" s="277">
        <f t="shared" si="73"/>
        <v>-48500000</v>
      </c>
      <c r="AY144" s="277"/>
      <c r="AZ144" s="278">
        <f t="shared" si="57"/>
        <v>504400000</v>
      </c>
      <c r="BA144" s="279">
        <f t="shared" si="84"/>
        <v>3.2015500000000002E-2</v>
      </c>
      <c r="BB144" s="279">
        <f t="shared" si="84"/>
        <v>0.01</v>
      </c>
      <c r="BC144" s="1700"/>
      <c r="BD144" s="563">
        <f t="shared" si="71"/>
        <v>-460750</v>
      </c>
      <c r="BE144" s="1694"/>
      <c r="BF144" s="1694"/>
      <c r="BH144" s="277">
        <f t="shared" si="72"/>
        <v>-20945361.666666668</v>
      </c>
      <c r="BI144" s="277">
        <f t="shared" si="69"/>
        <v>-945361.66666666651</v>
      </c>
      <c r="BJ144" s="277">
        <v>-20000000</v>
      </c>
      <c r="BK144" s="277"/>
      <c r="BL144" s="278">
        <f t="shared" si="61"/>
        <v>260000000</v>
      </c>
      <c r="BM144" s="279">
        <f t="shared" si="90"/>
        <v>4.0515499999999996E-2</v>
      </c>
      <c r="BN144" s="279">
        <f t="shared" si="90"/>
        <v>0.01</v>
      </c>
      <c r="BO144" s="1694"/>
      <c r="BP144" s="563">
        <f t="shared" si="89"/>
        <v>-233333.33333333334</v>
      </c>
      <c r="BQ144" s="1694"/>
      <c r="BR144" s="1694"/>
    </row>
    <row r="145" spans="1:70" ht="15">
      <c r="A145" s="273" t="s">
        <v>513</v>
      </c>
      <c r="B145" s="274">
        <v>2026</v>
      </c>
      <c r="C145" s="274"/>
      <c r="D145" s="274"/>
      <c r="E145" s="275">
        <f t="shared" ref="E145:E152" si="91">AZ145</f>
        <v>504400000</v>
      </c>
      <c r="F145" s="276">
        <f t="shared" si="85"/>
        <v>136</v>
      </c>
      <c r="G145" s="277" t="e">
        <f t="shared" si="66"/>
        <v>#REF!</v>
      </c>
      <c r="H145" s="277" t="e">
        <f>-ROUNDDOWN(J144*#REF!,0)</f>
        <v>#REF!</v>
      </c>
      <c r="I145" s="277" t="e">
        <f>IF(ROUNDDOWN(J144,0)=0,0,-#REF!)</f>
        <v>#REF!</v>
      </c>
      <c r="J145" s="278" t="e">
        <f t="shared" si="80"/>
        <v>#REF!</v>
      </c>
      <c r="K145" s="1694"/>
      <c r="L145" s="1694"/>
      <c r="M145" s="1694"/>
      <c r="O145" s="276">
        <f t="shared" si="86"/>
        <v>136</v>
      </c>
      <c r="P145" s="277" t="e">
        <f t="shared" si="77"/>
        <v>#REF!</v>
      </c>
      <c r="Q145" s="277" t="e">
        <f>-S144*#REF!</f>
        <v>#REF!</v>
      </c>
      <c r="R145" s="277" t="e">
        <f>IF(ROUNDDOWN(S144,0)=0,0,-#REF!)</f>
        <v>#REF!</v>
      </c>
      <c r="S145" s="278" t="e">
        <f t="shared" si="81"/>
        <v>#REF!</v>
      </c>
      <c r="T145" s="1694"/>
      <c r="U145" s="1694"/>
      <c r="V145" s="1694"/>
      <c r="X145" s="276">
        <f t="shared" si="87"/>
        <v>136</v>
      </c>
      <c r="Y145" s="277" t="e">
        <f t="shared" si="78"/>
        <v>#REF!</v>
      </c>
      <c r="Z145" s="277" t="e">
        <f>-AB144*#REF!</f>
        <v>#REF!</v>
      </c>
      <c r="AA145" s="277" t="e">
        <f>IF(ROUNDDOWN(AB144,0)=0,0,-#REF!)</f>
        <v>#REF!</v>
      </c>
      <c r="AB145" s="278" t="e">
        <f t="shared" si="82"/>
        <v>#REF!</v>
      </c>
      <c r="AC145" s="1694"/>
      <c r="AD145" s="1694"/>
      <c r="AE145" s="1694"/>
      <c r="AG145" s="1709"/>
      <c r="AH145" s="1709"/>
      <c r="AI145" s="1709"/>
      <c r="AK145" s="276">
        <f t="shared" si="88"/>
        <v>136</v>
      </c>
      <c r="AL145" s="277" t="e">
        <f t="shared" si="79"/>
        <v>#REF!</v>
      </c>
      <c r="AM145" s="277" t="e">
        <f>-AO144*#REF!</f>
        <v>#REF!</v>
      </c>
      <c r="AN145" s="277" t="e">
        <f>IF(ROUNDDOWN(AO144,0)=0,0,-#REF!)</f>
        <v>#REF!</v>
      </c>
      <c r="AO145" s="278" t="e">
        <f t="shared" si="74"/>
        <v>#REF!</v>
      </c>
      <c r="AP145" s="1694"/>
      <c r="AQ145" s="1694"/>
      <c r="AR145" s="1694"/>
      <c r="AS145" s="1694"/>
      <c r="AU145" s="276">
        <f t="shared" ref="AU145:AU174" si="92">AU144+1</f>
        <v>130</v>
      </c>
      <c r="AV145" s="277">
        <f t="shared" si="83"/>
        <v>-1345718.1833333333</v>
      </c>
      <c r="AW145" s="277">
        <f t="shared" si="59"/>
        <v>-1345718.1833333333</v>
      </c>
      <c r="AX145" s="277">
        <f t="shared" si="73"/>
        <v>0</v>
      </c>
      <c r="AY145" s="277"/>
      <c r="AZ145" s="278">
        <f t="shared" ref="AZ145:AZ153" si="93">SUM(AX145:AY145)+AZ144</f>
        <v>504400000</v>
      </c>
      <c r="BA145" s="279">
        <f t="shared" si="84"/>
        <v>3.2015500000000002E-2</v>
      </c>
      <c r="BB145" s="279">
        <f t="shared" si="84"/>
        <v>0.01</v>
      </c>
      <c r="BC145" s="1700"/>
      <c r="BD145" s="563">
        <f t="shared" si="71"/>
        <v>-420333.33333333331</v>
      </c>
      <c r="BE145" s="1694"/>
      <c r="BF145" s="1694"/>
      <c r="BH145" s="277">
        <f t="shared" si="72"/>
        <v>-20877835.833333332</v>
      </c>
      <c r="BI145" s="277">
        <f t="shared" si="69"/>
        <v>-877835.83333333314</v>
      </c>
      <c r="BJ145" s="277">
        <v>-20000000</v>
      </c>
      <c r="BK145" s="277"/>
      <c r="BL145" s="278">
        <f t="shared" si="61"/>
        <v>240000000</v>
      </c>
      <c r="BM145" s="279">
        <f t="shared" si="90"/>
        <v>4.0515499999999996E-2</v>
      </c>
      <c r="BN145" s="279">
        <f t="shared" si="90"/>
        <v>0.01</v>
      </c>
      <c r="BO145" s="1694"/>
      <c r="BP145" s="563">
        <f t="shared" si="89"/>
        <v>-216666.66666666666</v>
      </c>
      <c r="BQ145" s="1694"/>
      <c r="BR145" s="1694"/>
    </row>
    <row r="146" spans="1:70" ht="15.75" thickBot="1">
      <c r="A146" s="273" t="s">
        <v>514</v>
      </c>
      <c r="B146" s="274">
        <v>2026</v>
      </c>
      <c r="C146" s="274"/>
      <c r="D146" s="274"/>
      <c r="E146" s="275">
        <f t="shared" si="91"/>
        <v>504400000</v>
      </c>
      <c r="F146" s="276">
        <f t="shared" si="85"/>
        <v>137</v>
      </c>
      <c r="G146" s="277" t="e">
        <f t="shared" si="66"/>
        <v>#REF!</v>
      </c>
      <c r="H146" s="277" t="e">
        <f>-ROUNDDOWN(J145*#REF!,0)</f>
        <v>#REF!</v>
      </c>
      <c r="I146" s="277" t="e">
        <f>IF(ROUNDDOWN(J145,0)=0,0,-#REF!)</f>
        <v>#REF!</v>
      </c>
      <c r="J146" s="278" t="e">
        <f t="shared" si="80"/>
        <v>#REF!</v>
      </c>
      <c r="K146" s="1694"/>
      <c r="L146" s="1694"/>
      <c r="M146" s="1694"/>
      <c r="O146" s="276">
        <f t="shared" si="86"/>
        <v>137</v>
      </c>
      <c r="P146" s="277" t="e">
        <f t="shared" si="77"/>
        <v>#REF!</v>
      </c>
      <c r="Q146" s="277" t="e">
        <f>-S145*#REF!</f>
        <v>#REF!</v>
      </c>
      <c r="R146" s="277" t="e">
        <f>IF(ROUNDDOWN(S145,0)=0,0,-#REF!)</f>
        <v>#REF!</v>
      </c>
      <c r="S146" s="278" t="e">
        <f t="shared" si="81"/>
        <v>#REF!</v>
      </c>
      <c r="T146" s="1694"/>
      <c r="U146" s="1694"/>
      <c r="V146" s="1694"/>
      <c r="X146" s="276">
        <f t="shared" si="87"/>
        <v>137</v>
      </c>
      <c r="Y146" s="277" t="e">
        <f t="shared" si="78"/>
        <v>#REF!</v>
      </c>
      <c r="Z146" s="277" t="e">
        <f>-AB145*#REF!</f>
        <v>#REF!</v>
      </c>
      <c r="AA146" s="277" t="e">
        <f>IF(ROUNDDOWN(AB145,0)=0,0,-#REF!)</f>
        <v>#REF!</v>
      </c>
      <c r="AB146" s="278" t="e">
        <f t="shared" si="82"/>
        <v>#REF!</v>
      </c>
      <c r="AC146" s="1694"/>
      <c r="AD146" s="1694"/>
      <c r="AE146" s="1694"/>
      <c r="AG146" s="1709"/>
      <c r="AH146" s="1709"/>
      <c r="AI146" s="1709"/>
      <c r="AK146" s="276">
        <f t="shared" si="88"/>
        <v>137</v>
      </c>
      <c r="AL146" s="277" t="e">
        <f t="shared" si="79"/>
        <v>#REF!</v>
      </c>
      <c r="AM146" s="277" t="e">
        <f>-AO145*#REF!</f>
        <v>#REF!</v>
      </c>
      <c r="AN146" s="277" t="e">
        <f>IF(ROUNDDOWN(AO145,0)=0,0,-#REF!)</f>
        <v>#REF!</v>
      </c>
      <c r="AO146" s="278" t="e">
        <f t="shared" si="74"/>
        <v>#REF!</v>
      </c>
      <c r="AP146" s="1694"/>
      <c r="AQ146" s="1694"/>
      <c r="AR146" s="1694"/>
      <c r="AS146" s="1694"/>
      <c r="AU146" s="276">
        <f t="shared" si="92"/>
        <v>131</v>
      </c>
      <c r="AV146" s="277">
        <f t="shared" si="83"/>
        <v>-1345718.1833333333</v>
      </c>
      <c r="AW146" s="277">
        <f t="shared" si="59"/>
        <v>-1345718.1833333333</v>
      </c>
      <c r="AX146" s="277">
        <f t="shared" si="73"/>
        <v>0</v>
      </c>
      <c r="AY146" s="277"/>
      <c r="AZ146" s="278">
        <f t="shared" si="93"/>
        <v>504400000</v>
      </c>
      <c r="BA146" s="279">
        <f t="shared" si="84"/>
        <v>3.2015500000000002E-2</v>
      </c>
      <c r="BB146" s="279">
        <f t="shared" si="84"/>
        <v>0.01</v>
      </c>
      <c r="BC146" s="1700"/>
      <c r="BD146" s="563">
        <f t="shared" si="71"/>
        <v>-420333.33333333331</v>
      </c>
      <c r="BE146" s="1694"/>
      <c r="BF146" s="1694"/>
      <c r="BH146" s="277">
        <f t="shared" si="72"/>
        <v>-20810310</v>
      </c>
      <c r="BI146" s="277">
        <f t="shared" si="69"/>
        <v>-810309.99999999988</v>
      </c>
      <c r="BJ146" s="277">
        <v>-20000000</v>
      </c>
      <c r="BK146" s="277"/>
      <c r="BL146" s="278">
        <f t="shared" si="61"/>
        <v>220000000</v>
      </c>
      <c r="BM146" s="279">
        <f t="shared" si="90"/>
        <v>4.0515499999999996E-2</v>
      </c>
      <c r="BN146" s="279">
        <f t="shared" si="90"/>
        <v>0.01</v>
      </c>
      <c r="BO146" s="1694"/>
      <c r="BP146" s="563">
        <f t="shared" si="89"/>
        <v>-200000</v>
      </c>
      <c r="BQ146" s="1694"/>
      <c r="BR146" s="1694"/>
    </row>
    <row r="147" spans="1:70" ht="15.75" thickBot="1">
      <c r="A147" s="273" t="s">
        <v>515</v>
      </c>
      <c r="B147" s="274">
        <v>2026</v>
      </c>
      <c r="C147" s="577">
        <f>IF($C$7=2,5%+D147,5%)</f>
        <v>0.05</v>
      </c>
      <c r="D147" s="576">
        <v>0.02</v>
      </c>
      <c r="E147" s="275">
        <f t="shared" si="91"/>
        <v>455900000</v>
      </c>
      <c r="F147" s="276">
        <f t="shared" si="85"/>
        <v>138</v>
      </c>
      <c r="G147" s="277" t="e">
        <f t="shared" si="66"/>
        <v>#REF!</v>
      </c>
      <c r="H147" s="277" t="e">
        <f>-ROUNDDOWN(J146*#REF!,0)</f>
        <v>#REF!</v>
      </c>
      <c r="I147" s="277" t="e">
        <f>IF(ROUNDDOWN(J146,0)=0,0,-#REF!)</f>
        <v>#REF!</v>
      </c>
      <c r="J147" s="278" t="e">
        <f t="shared" si="80"/>
        <v>#REF!</v>
      </c>
      <c r="K147" s="1694"/>
      <c r="L147" s="1694"/>
      <c r="M147" s="1694"/>
      <c r="O147" s="276">
        <f t="shared" si="86"/>
        <v>138</v>
      </c>
      <c r="P147" s="277" t="e">
        <f t="shared" si="77"/>
        <v>#REF!</v>
      </c>
      <c r="Q147" s="277" t="e">
        <f>-S146*#REF!</f>
        <v>#REF!</v>
      </c>
      <c r="R147" s="277" t="e">
        <f>IF(ROUNDDOWN(S146,0)=0,0,-#REF!)</f>
        <v>#REF!</v>
      </c>
      <c r="S147" s="278" t="e">
        <f t="shared" si="81"/>
        <v>#REF!</v>
      </c>
      <c r="T147" s="1694"/>
      <c r="U147" s="1694"/>
      <c r="V147" s="1694"/>
      <c r="X147" s="276">
        <f t="shared" si="87"/>
        <v>138</v>
      </c>
      <c r="Y147" s="277" t="e">
        <f t="shared" si="78"/>
        <v>#REF!</v>
      </c>
      <c r="Z147" s="277" t="e">
        <f>-AB146*#REF!</f>
        <v>#REF!</v>
      </c>
      <c r="AA147" s="277" t="e">
        <f>IF(ROUNDDOWN(AB146,0)=0,0,-#REF!)</f>
        <v>#REF!</v>
      </c>
      <c r="AB147" s="278" t="e">
        <f t="shared" si="82"/>
        <v>#REF!</v>
      </c>
      <c r="AC147" s="1694"/>
      <c r="AD147" s="1694"/>
      <c r="AE147" s="1694"/>
      <c r="AG147" s="1709"/>
      <c r="AH147" s="1709"/>
      <c r="AI147" s="1709"/>
      <c r="AK147" s="276">
        <f t="shared" si="88"/>
        <v>138</v>
      </c>
      <c r="AL147" s="277" t="e">
        <f t="shared" si="79"/>
        <v>#REF!</v>
      </c>
      <c r="AM147" s="277" t="e">
        <f>-AO146*#REF!</f>
        <v>#REF!</v>
      </c>
      <c r="AN147" s="277" t="e">
        <f>IF(ROUNDDOWN(AO146,0)=0,0,-#REF!)</f>
        <v>#REF!</v>
      </c>
      <c r="AO147" s="278" t="e">
        <f t="shared" si="74"/>
        <v>#REF!</v>
      </c>
      <c r="AP147" s="1694"/>
      <c r="AQ147" s="1694"/>
      <c r="AR147" s="1694"/>
      <c r="AS147" s="1694"/>
      <c r="AU147" s="276">
        <f t="shared" si="92"/>
        <v>132</v>
      </c>
      <c r="AV147" s="277">
        <f t="shared" si="83"/>
        <v>-49845718.18333333</v>
      </c>
      <c r="AW147" s="277">
        <f t="shared" ref="AW147:AW153" si="94">-AZ146*BA146/12</f>
        <v>-1345718.1833333333</v>
      </c>
      <c r="AX147" s="277">
        <f t="shared" si="73"/>
        <v>-48500000</v>
      </c>
      <c r="AY147" s="277"/>
      <c r="AZ147" s="278">
        <f t="shared" si="93"/>
        <v>455900000</v>
      </c>
      <c r="BA147" s="279">
        <f t="shared" si="84"/>
        <v>3.2015500000000002E-2</v>
      </c>
      <c r="BB147" s="279">
        <f t="shared" si="84"/>
        <v>0.01</v>
      </c>
      <c r="BC147" s="1700"/>
      <c r="BD147" s="563">
        <f t="shared" si="71"/>
        <v>-420333.33333333331</v>
      </c>
      <c r="BE147" s="1694"/>
      <c r="BF147" s="1694"/>
      <c r="BH147" s="277">
        <f t="shared" si="72"/>
        <v>-20742784.166666668</v>
      </c>
      <c r="BI147" s="277">
        <f t="shared" si="69"/>
        <v>-742784.16666666663</v>
      </c>
      <c r="BJ147" s="277">
        <v>-20000000</v>
      </c>
      <c r="BK147" s="277"/>
      <c r="BL147" s="278">
        <f t="shared" si="61"/>
        <v>200000000</v>
      </c>
      <c r="BM147" s="279">
        <f t="shared" si="90"/>
        <v>4.0515499999999996E-2</v>
      </c>
      <c r="BN147" s="279">
        <f t="shared" si="90"/>
        <v>0.01</v>
      </c>
      <c r="BO147" s="1694"/>
      <c r="BP147" s="563">
        <f t="shared" si="89"/>
        <v>-183333.33333333334</v>
      </c>
      <c r="BQ147" s="1694"/>
      <c r="BR147" s="1694"/>
    </row>
    <row r="148" spans="1:70" ht="15">
      <c r="A148" s="273" t="s">
        <v>516</v>
      </c>
      <c r="B148" s="274">
        <v>2026</v>
      </c>
      <c r="C148" s="274"/>
      <c r="D148" s="274"/>
      <c r="E148" s="275">
        <f t="shared" si="91"/>
        <v>455900000</v>
      </c>
      <c r="F148" s="276">
        <f t="shared" si="85"/>
        <v>139</v>
      </c>
      <c r="G148" s="277" t="e">
        <f t="shared" si="66"/>
        <v>#REF!</v>
      </c>
      <c r="H148" s="277" t="e">
        <f>-ROUNDDOWN(J147*#REF!,0)</f>
        <v>#REF!</v>
      </c>
      <c r="I148" s="277" t="e">
        <f>IF(ROUNDDOWN(J147,0)=0,0,-#REF!)</f>
        <v>#REF!</v>
      </c>
      <c r="J148" s="278" t="e">
        <f t="shared" si="80"/>
        <v>#REF!</v>
      </c>
      <c r="K148" s="1694"/>
      <c r="L148" s="1694"/>
      <c r="M148" s="1694"/>
      <c r="O148" s="276">
        <f t="shared" si="86"/>
        <v>139</v>
      </c>
      <c r="P148" s="277" t="e">
        <f t="shared" si="77"/>
        <v>#REF!</v>
      </c>
      <c r="Q148" s="277" t="e">
        <f>-S147*#REF!</f>
        <v>#REF!</v>
      </c>
      <c r="R148" s="277" t="e">
        <f>IF(ROUNDDOWN(S147,0)=0,0,-#REF!)</f>
        <v>#REF!</v>
      </c>
      <c r="S148" s="278" t="e">
        <f t="shared" si="81"/>
        <v>#REF!</v>
      </c>
      <c r="T148" s="1694"/>
      <c r="U148" s="1694"/>
      <c r="V148" s="1694"/>
      <c r="X148" s="276">
        <f t="shared" si="87"/>
        <v>139</v>
      </c>
      <c r="Y148" s="277" t="e">
        <f t="shared" si="78"/>
        <v>#REF!</v>
      </c>
      <c r="Z148" s="277" t="e">
        <f>-AB147*#REF!</f>
        <v>#REF!</v>
      </c>
      <c r="AA148" s="277" t="e">
        <f>IF(ROUNDDOWN(AB147,0)=0,0,-#REF!)</f>
        <v>#REF!</v>
      </c>
      <c r="AB148" s="278" t="e">
        <f t="shared" si="82"/>
        <v>#REF!</v>
      </c>
      <c r="AC148" s="1694"/>
      <c r="AD148" s="1694"/>
      <c r="AE148" s="1694"/>
      <c r="AG148" s="1709"/>
      <c r="AH148" s="1709"/>
      <c r="AI148" s="1709"/>
      <c r="AK148" s="276">
        <f t="shared" si="88"/>
        <v>139</v>
      </c>
      <c r="AL148" s="277" t="e">
        <f t="shared" si="79"/>
        <v>#REF!</v>
      </c>
      <c r="AM148" s="277" t="e">
        <f>-AO147*#REF!</f>
        <v>#REF!</v>
      </c>
      <c r="AN148" s="277" t="e">
        <f>IF(ROUNDDOWN(AO147,0)=0,0,-#REF!)</f>
        <v>#REF!</v>
      </c>
      <c r="AO148" s="278" t="e">
        <f t="shared" si="74"/>
        <v>#REF!</v>
      </c>
      <c r="AP148" s="1694"/>
      <c r="AQ148" s="1694"/>
      <c r="AR148" s="1694"/>
      <c r="AS148" s="1694"/>
      <c r="AU148" s="276">
        <f t="shared" si="92"/>
        <v>133</v>
      </c>
      <c r="AV148" s="277">
        <f t="shared" si="83"/>
        <v>-1216322.2041666668</v>
      </c>
      <c r="AW148" s="277">
        <f t="shared" si="94"/>
        <v>-1216322.2041666668</v>
      </c>
      <c r="AX148" s="277">
        <f t="shared" si="73"/>
        <v>0</v>
      </c>
      <c r="AY148" s="277"/>
      <c r="AZ148" s="278">
        <f t="shared" si="93"/>
        <v>455900000</v>
      </c>
      <c r="BA148" s="279">
        <f t="shared" si="84"/>
        <v>3.2015500000000002E-2</v>
      </c>
      <c r="BB148" s="279">
        <f t="shared" si="84"/>
        <v>0.01</v>
      </c>
      <c r="BC148" s="1700"/>
      <c r="BD148" s="563">
        <f t="shared" si="71"/>
        <v>-379916.66666666669</v>
      </c>
      <c r="BE148" s="1694"/>
      <c r="BF148" s="1694"/>
      <c r="BH148" s="277">
        <f t="shared" si="72"/>
        <v>-20675258.333333332</v>
      </c>
      <c r="BI148" s="277">
        <f t="shared" si="69"/>
        <v>-675258.33333333326</v>
      </c>
      <c r="BJ148" s="277">
        <v>-20000000</v>
      </c>
      <c r="BK148" s="277"/>
      <c r="BL148" s="278">
        <f t="shared" si="61"/>
        <v>180000000</v>
      </c>
      <c r="BM148" s="279">
        <f t="shared" si="90"/>
        <v>4.0515499999999996E-2</v>
      </c>
      <c r="BN148" s="279">
        <f t="shared" si="90"/>
        <v>0.01</v>
      </c>
      <c r="BO148" s="1694"/>
      <c r="BP148" s="563">
        <f t="shared" si="89"/>
        <v>-166666.66666666666</v>
      </c>
      <c r="BQ148" s="1694"/>
      <c r="BR148" s="1694"/>
    </row>
    <row r="149" spans="1:70" ht="15.75" thickBot="1">
      <c r="A149" s="273" t="s">
        <v>517</v>
      </c>
      <c r="B149" s="274">
        <v>2026</v>
      </c>
      <c r="C149" s="274"/>
      <c r="D149" s="274"/>
      <c r="E149" s="275">
        <f t="shared" si="91"/>
        <v>455900000</v>
      </c>
      <c r="F149" s="276">
        <f t="shared" si="85"/>
        <v>140</v>
      </c>
      <c r="G149" s="277" t="e">
        <f t="shared" si="66"/>
        <v>#REF!</v>
      </c>
      <c r="H149" s="277" t="e">
        <f>-ROUNDDOWN(J148*#REF!,0)</f>
        <v>#REF!</v>
      </c>
      <c r="I149" s="277" t="e">
        <f>IF(ROUNDDOWN(J148,0)=0,0,-#REF!)</f>
        <v>#REF!</v>
      </c>
      <c r="J149" s="278" t="e">
        <f t="shared" si="80"/>
        <v>#REF!</v>
      </c>
      <c r="K149" s="1694"/>
      <c r="L149" s="1694"/>
      <c r="M149" s="1694"/>
      <c r="O149" s="276">
        <f t="shared" si="86"/>
        <v>140</v>
      </c>
      <c r="P149" s="277" t="e">
        <f t="shared" si="77"/>
        <v>#REF!</v>
      </c>
      <c r="Q149" s="277" t="e">
        <f>-S148*#REF!</f>
        <v>#REF!</v>
      </c>
      <c r="R149" s="277" t="e">
        <f>IF(ROUNDDOWN(S148,0)=0,0,-#REF!)</f>
        <v>#REF!</v>
      </c>
      <c r="S149" s="278" t="e">
        <f t="shared" si="81"/>
        <v>#REF!</v>
      </c>
      <c r="T149" s="1694"/>
      <c r="U149" s="1694"/>
      <c r="V149" s="1694"/>
      <c r="X149" s="276">
        <f t="shared" si="87"/>
        <v>140</v>
      </c>
      <c r="Y149" s="277" t="e">
        <f t="shared" si="78"/>
        <v>#REF!</v>
      </c>
      <c r="Z149" s="277" t="e">
        <f>-AB148*#REF!</f>
        <v>#REF!</v>
      </c>
      <c r="AA149" s="277" t="e">
        <f>IF(ROUNDDOWN(AB148,0)=0,0,-#REF!)</f>
        <v>#REF!</v>
      </c>
      <c r="AB149" s="278" t="e">
        <f t="shared" si="82"/>
        <v>#REF!</v>
      </c>
      <c r="AC149" s="1694"/>
      <c r="AD149" s="1694"/>
      <c r="AE149" s="1694"/>
      <c r="AG149" s="1709"/>
      <c r="AH149" s="1709"/>
      <c r="AI149" s="1709"/>
      <c r="AK149" s="276">
        <f t="shared" si="88"/>
        <v>140</v>
      </c>
      <c r="AL149" s="277" t="e">
        <f t="shared" si="79"/>
        <v>#REF!</v>
      </c>
      <c r="AM149" s="277" t="e">
        <f>-AO148*#REF!</f>
        <v>#REF!</v>
      </c>
      <c r="AN149" s="277" t="e">
        <f>IF(ROUNDDOWN(AO148,0)=0,0,-#REF!)</f>
        <v>#REF!</v>
      </c>
      <c r="AO149" s="278" t="e">
        <f t="shared" si="74"/>
        <v>#REF!</v>
      </c>
      <c r="AP149" s="1694"/>
      <c r="AQ149" s="1694"/>
      <c r="AR149" s="1694"/>
      <c r="AS149" s="1694"/>
      <c r="AU149" s="276">
        <f t="shared" si="92"/>
        <v>134</v>
      </c>
      <c r="AV149" s="277">
        <f t="shared" si="83"/>
        <v>-1216322.2041666668</v>
      </c>
      <c r="AW149" s="277">
        <f t="shared" si="94"/>
        <v>-1216322.2041666668</v>
      </c>
      <c r="AX149" s="277">
        <f t="shared" si="73"/>
        <v>0</v>
      </c>
      <c r="AY149" s="277"/>
      <c r="AZ149" s="278">
        <f t="shared" si="93"/>
        <v>455900000</v>
      </c>
      <c r="BA149" s="279">
        <f t="shared" si="84"/>
        <v>3.2015500000000002E-2</v>
      </c>
      <c r="BB149" s="279">
        <f t="shared" si="84"/>
        <v>0.01</v>
      </c>
      <c r="BC149" s="1700"/>
      <c r="BD149" s="563">
        <f t="shared" si="71"/>
        <v>-379916.66666666669</v>
      </c>
      <c r="BE149" s="1694"/>
      <c r="BF149" s="1694"/>
      <c r="BH149" s="277">
        <f t="shared" si="72"/>
        <v>-20607732.5</v>
      </c>
      <c r="BI149" s="277">
        <f t="shared" si="69"/>
        <v>-607732.49999999988</v>
      </c>
      <c r="BJ149" s="277">
        <v>-20000000</v>
      </c>
      <c r="BK149" s="277"/>
      <c r="BL149" s="278">
        <f t="shared" si="61"/>
        <v>160000000</v>
      </c>
      <c r="BM149" s="279">
        <f t="shared" si="90"/>
        <v>4.0515499999999996E-2</v>
      </c>
      <c r="BN149" s="279">
        <f t="shared" si="90"/>
        <v>0.01</v>
      </c>
      <c r="BO149" s="1694"/>
      <c r="BP149" s="563">
        <f t="shared" si="89"/>
        <v>-150000</v>
      </c>
      <c r="BQ149" s="1694"/>
      <c r="BR149" s="1694"/>
    </row>
    <row r="150" spans="1:70" ht="15.75" thickBot="1">
      <c r="A150" s="273" t="s">
        <v>518</v>
      </c>
      <c r="B150" s="274">
        <v>2026</v>
      </c>
      <c r="C150" s="577">
        <f>IF($C$7=2,5%+D150,5%)</f>
        <v>0.05</v>
      </c>
      <c r="D150" s="576">
        <v>0.02</v>
      </c>
      <c r="E150" s="275">
        <f t="shared" si="91"/>
        <v>407400000</v>
      </c>
      <c r="F150" s="276">
        <f t="shared" si="85"/>
        <v>141</v>
      </c>
      <c r="G150" s="277" t="e">
        <f t="shared" si="66"/>
        <v>#REF!</v>
      </c>
      <c r="H150" s="277" t="e">
        <f>-ROUNDDOWN(J149*#REF!,0)</f>
        <v>#REF!</v>
      </c>
      <c r="I150" s="277" t="e">
        <f>IF(ROUNDDOWN(J149,0)=0,0,-#REF!)</f>
        <v>#REF!</v>
      </c>
      <c r="J150" s="278" t="e">
        <f t="shared" si="80"/>
        <v>#REF!</v>
      </c>
      <c r="K150" s="1694"/>
      <c r="L150" s="1694"/>
      <c r="M150" s="1694"/>
      <c r="O150" s="276">
        <f t="shared" si="86"/>
        <v>141</v>
      </c>
      <c r="P150" s="277" t="e">
        <f t="shared" si="77"/>
        <v>#REF!</v>
      </c>
      <c r="Q150" s="277" t="e">
        <f>-S149*#REF!</f>
        <v>#REF!</v>
      </c>
      <c r="R150" s="277" t="e">
        <f>IF(ROUNDDOWN(S149,0)=0,0,-#REF!)</f>
        <v>#REF!</v>
      </c>
      <c r="S150" s="278" t="e">
        <f t="shared" si="81"/>
        <v>#REF!</v>
      </c>
      <c r="T150" s="1694"/>
      <c r="U150" s="1694"/>
      <c r="V150" s="1694"/>
      <c r="X150" s="276">
        <f t="shared" si="87"/>
        <v>141</v>
      </c>
      <c r="Y150" s="277" t="e">
        <f t="shared" si="78"/>
        <v>#REF!</v>
      </c>
      <c r="Z150" s="277" t="e">
        <f>-AB149*#REF!</f>
        <v>#REF!</v>
      </c>
      <c r="AA150" s="277" t="e">
        <f>IF(ROUNDDOWN(AB149,0)=0,0,-#REF!)</f>
        <v>#REF!</v>
      </c>
      <c r="AB150" s="278" t="e">
        <f t="shared" si="82"/>
        <v>#REF!</v>
      </c>
      <c r="AC150" s="1694"/>
      <c r="AD150" s="1694"/>
      <c r="AE150" s="1694"/>
      <c r="AG150" s="1709"/>
      <c r="AH150" s="1709"/>
      <c r="AI150" s="1709"/>
      <c r="AK150" s="276">
        <f t="shared" si="88"/>
        <v>141</v>
      </c>
      <c r="AL150" s="277" t="e">
        <f t="shared" si="79"/>
        <v>#REF!</v>
      </c>
      <c r="AM150" s="277" t="e">
        <f>-AO149*#REF!</f>
        <v>#REF!</v>
      </c>
      <c r="AN150" s="277" t="e">
        <f>IF(ROUNDDOWN(AO149,0)=0,0,-#REF!)</f>
        <v>#REF!</v>
      </c>
      <c r="AO150" s="278" t="e">
        <f t="shared" si="74"/>
        <v>#REF!</v>
      </c>
      <c r="AP150" s="1694"/>
      <c r="AQ150" s="1694"/>
      <c r="AR150" s="1694"/>
      <c r="AS150" s="1694"/>
      <c r="AU150" s="276">
        <f t="shared" si="92"/>
        <v>135</v>
      </c>
      <c r="AV150" s="277">
        <f t="shared" si="83"/>
        <v>-49716322.204166666</v>
      </c>
      <c r="AW150" s="277">
        <f t="shared" si="94"/>
        <v>-1216322.2041666668</v>
      </c>
      <c r="AX150" s="277">
        <f t="shared" si="73"/>
        <v>-48500000</v>
      </c>
      <c r="AY150" s="277"/>
      <c r="AZ150" s="278">
        <f t="shared" si="93"/>
        <v>407400000</v>
      </c>
      <c r="BA150" s="279">
        <f t="shared" si="84"/>
        <v>3.2015500000000002E-2</v>
      </c>
      <c r="BB150" s="279">
        <f t="shared" si="84"/>
        <v>0.01</v>
      </c>
      <c r="BC150" s="1700"/>
      <c r="BD150" s="563">
        <f t="shared" si="71"/>
        <v>-379916.66666666669</v>
      </c>
      <c r="BE150" s="1694"/>
      <c r="BF150" s="1694"/>
      <c r="BH150" s="277">
        <f t="shared" si="72"/>
        <v>-25540206.666666668</v>
      </c>
      <c r="BI150" s="277">
        <f t="shared" si="69"/>
        <v>-540206.66666666663</v>
      </c>
      <c r="BJ150" s="277">
        <v>-25000000</v>
      </c>
      <c r="BK150" s="277"/>
      <c r="BL150" s="278">
        <f t="shared" si="61"/>
        <v>135000000</v>
      </c>
      <c r="BM150" s="279">
        <f t="shared" si="90"/>
        <v>4.0515499999999996E-2</v>
      </c>
      <c r="BN150" s="279">
        <f t="shared" si="90"/>
        <v>0.01</v>
      </c>
      <c r="BO150" s="1694"/>
      <c r="BP150" s="563">
        <f t="shared" si="89"/>
        <v>-133333.33333333334</v>
      </c>
      <c r="BQ150" s="1694"/>
      <c r="BR150" s="1694"/>
    </row>
    <row r="151" spans="1:70" ht="15">
      <c r="A151" s="273" t="s">
        <v>519</v>
      </c>
      <c r="B151" s="274">
        <v>2027</v>
      </c>
      <c r="C151" s="274"/>
      <c r="D151" s="274"/>
      <c r="E151" s="275">
        <f t="shared" si="91"/>
        <v>407400000</v>
      </c>
      <c r="F151" s="276">
        <f t="shared" si="85"/>
        <v>142</v>
      </c>
      <c r="G151" s="277" t="e">
        <f t="shared" si="66"/>
        <v>#REF!</v>
      </c>
      <c r="H151" s="277" t="e">
        <f>-ROUNDDOWN(J150*#REF!,0)</f>
        <v>#REF!</v>
      </c>
      <c r="I151" s="277" t="e">
        <f>IF(ROUNDDOWN(J150,0)=0,0,-#REF!)</f>
        <v>#REF!</v>
      </c>
      <c r="J151" s="278" t="e">
        <f t="shared" si="80"/>
        <v>#REF!</v>
      </c>
      <c r="K151" s="1694"/>
      <c r="L151" s="1694"/>
      <c r="M151" s="1694"/>
      <c r="O151" s="276">
        <f t="shared" si="86"/>
        <v>142</v>
      </c>
      <c r="P151" s="277" t="e">
        <f t="shared" si="77"/>
        <v>#REF!</v>
      </c>
      <c r="Q151" s="277" t="e">
        <f>-S150*#REF!</f>
        <v>#REF!</v>
      </c>
      <c r="R151" s="277" t="e">
        <f>IF(ROUNDDOWN(S150,0)=0,0,-#REF!)</f>
        <v>#REF!</v>
      </c>
      <c r="S151" s="278" t="e">
        <f t="shared" si="81"/>
        <v>#REF!</v>
      </c>
      <c r="T151" s="1694"/>
      <c r="U151" s="1694"/>
      <c r="V151" s="1694"/>
      <c r="X151" s="276">
        <f t="shared" si="87"/>
        <v>142</v>
      </c>
      <c r="Y151" s="277" t="e">
        <f t="shared" si="78"/>
        <v>#REF!</v>
      </c>
      <c r="Z151" s="277" t="e">
        <f>-AB150*#REF!</f>
        <v>#REF!</v>
      </c>
      <c r="AA151" s="277" t="e">
        <f>IF(ROUNDDOWN(AB150,0)=0,0,-#REF!)</f>
        <v>#REF!</v>
      </c>
      <c r="AB151" s="278" t="e">
        <f t="shared" si="82"/>
        <v>#REF!</v>
      </c>
      <c r="AC151" s="1694"/>
      <c r="AD151" s="1694"/>
      <c r="AE151" s="1694"/>
      <c r="AG151" s="1709"/>
      <c r="AH151" s="1709"/>
      <c r="AI151" s="1709"/>
      <c r="AK151" s="276">
        <f t="shared" si="88"/>
        <v>142</v>
      </c>
      <c r="AL151" s="277" t="e">
        <f t="shared" si="79"/>
        <v>#REF!</v>
      </c>
      <c r="AM151" s="277" t="e">
        <f>-AO150*#REF!</f>
        <v>#REF!</v>
      </c>
      <c r="AN151" s="277" t="e">
        <f>IF(ROUNDDOWN(AO150,0)=0,0,-#REF!)</f>
        <v>#REF!</v>
      </c>
      <c r="AO151" s="278" t="e">
        <f t="shared" si="74"/>
        <v>#REF!</v>
      </c>
      <c r="AP151" s="1694"/>
      <c r="AQ151" s="1694"/>
      <c r="AR151" s="1694"/>
      <c r="AS151" s="1694"/>
      <c r="AU151" s="276">
        <f t="shared" si="92"/>
        <v>136</v>
      </c>
      <c r="AV151" s="277">
        <f t="shared" si="83"/>
        <v>-1086926.2250000001</v>
      </c>
      <c r="AW151" s="277">
        <f t="shared" si="94"/>
        <v>-1086926.2250000001</v>
      </c>
      <c r="AX151" s="277">
        <f t="shared" si="73"/>
        <v>0</v>
      </c>
      <c r="AY151" s="277"/>
      <c r="AZ151" s="278">
        <f t="shared" si="93"/>
        <v>407400000</v>
      </c>
      <c r="BA151" s="279">
        <f t="shared" si="84"/>
        <v>3.2015500000000002E-2</v>
      </c>
      <c r="BB151" s="279">
        <f t="shared" si="84"/>
        <v>0.01</v>
      </c>
      <c r="BC151" s="1700"/>
      <c r="BD151" s="563">
        <f t="shared" si="71"/>
        <v>-339500</v>
      </c>
      <c r="BE151" s="1694"/>
      <c r="BF151" s="1694"/>
      <c r="BH151" s="277">
        <f t="shared" si="72"/>
        <v>-25455799.375</v>
      </c>
      <c r="BI151" s="277">
        <f t="shared" si="69"/>
        <v>-455799.37499999994</v>
      </c>
      <c r="BJ151" s="277">
        <v>-25000000</v>
      </c>
      <c r="BK151" s="277"/>
      <c r="BL151" s="278">
        <f t="shared" si="61"/>
        <v>110000000</v>
      </c>
      <c r="BM151" s="279">
        <f t="shared" si="90"/>
        <v>4.0515499999999996E-2</v>
      </c>
      <c r="BN151" s="279">
        <f t="shared" si="90"/>
        <v>0.01</v>
      </c>
      <c r="BO151" s="1694"/>
      <c r="BP151" s="563">
        <f t="shared" si="89"/>
        <v>-112500</v>
      </c>
      <c r="BQ151" s="1694"/>
      <c r="BR151" s="1694"/>
    </row>
    <row r="152" spans="1:70" ht="15.75" thickBot="1">
      <c r="A152" s="273" t="s">
        <v>520</v>
      </c>
      <c r="B152" s="274">
        <v>2027</v>
      </c>
      <c r="C152" s="274"/>
      <c r="D152" s="274"/>
      <c r="E152" s="275">
        <f t="shared" si="91"/>
        <v>407400000</v>
      </c>
      <c r="F152" s="276">
        <f t="shared" si="85"/>
        <v>143</v>
      </c>
      <c r="G152" s="277" t="e">
        <f t="shared" si="66"/>
        <v>#REF!</v>
      </c>
      <c r="H152" s="277" t="e">
        <f>-ROUNDDOWN(J151*#REF!,0)</f>
        <v>#REF!</v>
      </c>
      <c r="I152" s="277" t="e">
        <f>IF(ROUNDDOWN(J151,0)=0,0,-#REF!)</f>
        <v>#REF!</v>
      </c>
      <c r="J152" s="278" t="e">
        <f t="shared" si="80"/>
        <v>#REF!</v>
      </c>
      <c r="K152" s="1694"/>
      <c r="L152" s="1694"/>
      <c r="M152" s="1694"/>
      <c r="O152" s="276">
        <f t="shared" si="86"/>
        <v>143</v>
      </c>
      <c r="P152" s="277" t="e">
        <f t="shared" si="77"/>
        <v>#REF!</v>
      </c>
      <c r="Q152" s="277" t="e">
        <f>-S151*#REF!</f>
        <v>#REF!</v>
      </c>
      <c r="R152" s="277" t="e">
        <f>IF(ROUNDDOWN(S151,0)=0,0,-#REF!)</f>
        <v>#REF!</v>
      </c>
      <c r="S152" s="278" t="e">
        <f t="shared" si="81"/>
        <v>#REF!</v>
      </c>
      <c r="T152" s="1694"/>
      <c r="U152" s="1694"/>
      <c r="V152" s="1694"/>
      <c r="X152" s="276">
        <f t="shared" si="87"/>
        <v>143</v>
      </c>
      <c r="Y152" s="277" t="e">
        <f t="shared" si="78"/>
        <v>#REF!</v>
      </c>
      <c r="Z152" s="277" t="e">
        <f>-AB151*#REF!</f>
        <v>#REF!</v>
      </c>
      <c r="AA152" s="277" t="e">
        <f>IF(ROUNDDOWN(AB151,0)=0,0,-#REF!)</f>
        <v>#REF!</v>
      </c>
      <c r="AB152" s="278" t="e">
        <f t="shared" si="82"/>
        <v>#REF!</v>
      </c>
      <c r="AC152" s="1694"/>
      <c r="AD152" s="1694"/>
      <c r="AE152" s="1694"/>
      <c r="AG152" s="1709"/>
      <c r="AH152" s="1709"/>
      <c r="AI152" s="1709"/>
      <c r="AK152" s="276">
        <f t="shared" si="88"/>
        <v>143</v>
      </c>
      <c r="AL152" s="277" t="e">
        <f t="shared" si="79"/>
        <v>#REF!</v>
      </c>
      <c r="AM152" s="277" t="e">
        <f>-AO151*#REF!</f>
        <v>#REF!</v>
      </c>
      <c r="AN152" s="277" t="e">
        <f>IF(ROUNDDOWN(AO151,0)=0,0,-#REF!)</f>
        <v>#REF!</v>
      </c>
      <c r="AO152" s="278" t="e">
        <f t="shared" si="74"/>
        <v>#REF!</v>
      </c>
      <c r="AP152" s="1694"/>
      <c r="AQ152" s="1694"/>
      <c r="AR152" s="1694"/>
      <c r="AS152" s="1694"/>
      <c r="AU152" s="276">
        <f t="shared" si="92"/>
        <v>137</v>
      </c>
      <c r="AV152" s="277">
        <f t="shared" si="83"/>
        <v>-1086926.2250000001</v>
      </c>
      <c r="AW152" s="277">
        <f t="shared" si="94"/>
        <v>-1086926.2250000001</v>
      </c>
      <c r="AX152" s="277">
        <f t="shared" si="73"/>
        <v>0</v>
      </c>
      <c r="AY152" s="277"/>
      <c r="AZ152" s="278">
        <f t="shared" si="93"/>
        <v>407400000</v>
      </c>
      <c r="BA152" s="279">
        <f t="shared" si="84"/>
        <v>3.2015500000000002E-2</v>
      </c>
      <c r="BB152" s="279">
        <f t="shared" si="84"/>
        <v>0.01</v>
      </c>
      <c r="BC152" s="1700"/>
      <c r="BD152" s="563">
        <f t="shared" si="71"/>
        <v>-339500</v>
      </c>
      <c r="BE152" s="1694"/>
      <c r="BF152" s="1694"/>
      <c r="BH152" s="277">
        <f t="shared" si="72"/>
        <v>-25371392.083333332</v>
      </c>
      <c r="BI152" s="277">
        <f t="shared" si="69"/>
        <v>-371392.08333333331</v>
      </c>
      <c r="BJ152" s="277">
        <v>-25000000</v>
      </c>
      <c r="BK152" s="277"/>
      <c r="BL152" s="278">
        <f t="shared" si="61"/>
        <v>85000000</v>
      </c>
      <c r="BM152" s="279">
        <f t="shared" si="90"/>
        <v>4.0515499999999996E-2</v>
      </c>
      <c r="BN152" s="279">
        <f t="shared" si="90"/>
        <v>0.01</v>
      </c>
      <c r="BO152" s="1694"/>
      <c r="BP152" s="563">
        <f t="shared" si="89"/>
        <v>-91666.666666666672</v>
      </c>
      <c r="BQ152" s="1694"/>
      <c r="BR152" s="1694"/>
    </row>
    <row r="153" spans="1:70" ht="15.75" thickBot="1">
      <c r="A153" s="273" t="s">
        <v>521</v>
      </c>
      <c r="B153" s="274">
        <v>2027</v>
      </c>
      <c r="C153" s="577">
        <f>IF($C$7=2,6%+D153,6%)</f>
        <v>0.06</v>
      </c>
      <c r="D153" s="576">
        <v>0.02</v>
      </c>
      <c r="E153" s="275">
        <f>AZ153</f>
        <v>349200000</v>
      </c>
      <c r="F153" s="276">
        <f t="shared" si="85"/>
        <v>144</v>
      </c>
      <c r="G153" s="277" t="e">
        <f t="shared" si="66"/>
        <v>#REF!</v>
      </c>
      <c r="H153" s="277" t="e">
        <f>-ROUNDDOWN(J152*#REF!,0)</f>
        <v>#REF!</v>
      </c>
      <c r="I153" s="277" t="e">
        <f>IF(ROUNDDOWN(J152,0)=0,0,-#REF!)</f>
        <v>#REF!</v>
      </c>
      <c r="J153" s="278" t="e">
        <f t="shared" si="80"/>
        <v>#REF!</v>
      </c>
      <c r="K153" s="1694"/>
      <c r="L153" s="1694"/>
      <c r="M153" s="1694"/>
      <c r="O153" s="276">
        <f t="shared" si="86"/>
        <v>144</v>
      </c>
      <c r="P153" s="277" t="e">
        <f t="shared" si="77"/>
        <v>#REF!</v>
      </c>
      <c r="Q153" s="277" t="e">
        <f>-S152*#REF!</f>
        <v>#REF!</v>
      </c>
      <c r="R153" s="277" t="e">
        <f>IF(ROUNDDOWN(S152,0)=0,0,-#REF!)</f>
        <v>#REF!</v>
      </c>
      <c r="S153" s="278" t="e">
        <f t="shared" si="81"/>
        <v>#REF!</v>
      </c>
      <c r="T153" s="1694"/>
      <c r="U153" s="1694"/>
      <c r="V153" s="1694"/>
      <c r="X153" s="276">
        <f t="shared" si="87"/>
        <v>144</v>
      </c>
      <c r="Y153" s="277" t="e">
        <f t="shared" si="78"/>
        <v>#REF!</v>
      </c>
      <c r="Z153" s="277" t="e">
        <f>-AB152*#REF!</f>
        <v>#REF!</v>
      </c>
      <c r="AA153" s="277" t="e">
        <f>IF(ROUNDDOWN(AB152,0)=0,0,-#REF!)</f>
        <v>#REF!</v>
      </c>
      <c r="AB153" s="278" t="e">
        <f t="shared" si="82"/>
        <v>#REF!</v>
      </c>
      <c r="AC153" s="1694"/>
      <c r="AD153" s="1694"/>
      <c r="AE153" s="1694"/>
      <c r="AG153" s="1709"/>
      <c r="AH153" s="1709"/>
      <c r="AI153" s="1709"/>
      <c r="AK153" s="276">
        <f t="shared" si="88"/>
        <v>144</v>
      </c>
      <c r="AL153" s="277" t="e">
        <f t="shared" si="79"/>
        <v>#REF!</v>
      </c>
      <c r="AM153" s="277" t="e">
        <f>-AO152*#REF!</f>
        <v>#REF!</v>
      </c>
      <c r="AN153" s="277" t="e">
        <f>IF(ROUNDDOWN(AO152,0)=0,0,-#REF!)</f>
        <v>#REF!</v>
      </c>
      <c r="AO153" s="278" t="e">
        <f t="shared" si="74"/>
        <v>#REF!</v>
      </c>
      <c r="AP153" s="1694"/>
      <c r="AQ153" s="1694"/>
      <c r="AR153" s="1694"/>
      <c r="AS153" s="1694"/>
      <c r="AU153" s="276">
        <f t="shared" si="92"/>
        <v>138</v>
      </c>
      <c r="AV153" s="277">
        <f t="shared" si="83"/>
        <v>-59286926.225000001</v>
      </c>
      <c r="AW153" s="277">
        <f t="shared" si="94"/>
        <v>-1086926.2250000001</v>
      </c>
      <c r="AX153" s="277">
        <f t="shared" si="73"/>
        <v>-58200000</v>
      </c>
      <c r="AY153" s="277"/>
      <c r="AZ153" s="278">
        <f t="shared" si="93"/>
        <v>349200000</v>
      </c>
      <c r="BA153" s="279">
        <f t="shared" si="84"/>
        <v>3.2015500000000002E-2</v>
      </c>
      <c r="BB153" s="279">
        <f t="shared" si="84"/>
        <v>0.01</v>
      </c>
      <c r="BC153" s="1701"/>
      <c r="BD153" s="563">
        <f t="shared" si="71"/>
        <v>-339500</v>
      </c>
      <c r="BE153" s="1694"/>
      <c r="BF153" s="1694"/>
      <c r="BG153" s="229">
        <f>'Cashflow trend'!M23</f>
        <v>-271135.81876340939</v>
      </c>
      <c r="BH153" s="277">
        <f t="shared" si="72"/>
        <v>-25286984.791666668</v>
      </c>
      <c r="BI153" s="277">
        <f t="shared" si="69"/>
        <v>-286984.79166666663</v>
      </c>
      <c r="BJ153" s="277">
        <v>-25000000</v>
      </c>
      <c r="BK153" s="277"/>
      <c r="BL153" s="278">
        <f>SUM(BJ153:BK153)+BL152</f>
        <v>60000000</v>
      </c>
      <c r="BM153" s="279">
        <f t="shared" si="90"/>
        <v>4.0515499999999996E-2</v>
      </c>
      <c r="BN153" s="279">
        <f t="shared" si="90"/>
        <v>0.01</v>
      </c>
      <c r="BO153" s="1694"/>
      <c r="BP153" s="563">
        <f t="shared" si="89"/>
        <v>-70833.333333333328</v>
      </c>
      <c r="BQ153" s="1694"/>
      <c r="BR153" s="1694"/>
    </row>
    <row r="154" spans="1:70" ht="15.75" customHeight="1">
      <c r="A154" s="270" t="s">
        <v>510</v>
      </c>
      <c r="B154" s="266">
        <v>2027</v>
      </c>
      <c r="C154" s="266"/>
      <c r="D154" s="266"/>
      <c r="E154" s="265">
        <f t="shared" ref="E154:E174" si="95">AZ154</f>
        <v>349200000</v>
      </c>
      <c r="F154" s="267"/>
      <c r="G154" s="268"/>
      <c r="H154" s="268"/>
      <c r="I154" s="268"/>
      <c r="J154" s="269"/>
      <c r="K154" s="1695"/>
      <c r="L154" s="1695"/>
      <c r="M154" s="1695"/>
      <c r="O154" s="267"/>
      <c r="P154" s="268"/>
      <c r="Q154" s="268"/>
      <c r="R154" s="268"/>
      <c r="S154" s="269"/>
      <c r="T154" s="1695"/>
      <c r="U154" s="1695"/>
      <c r="V154" s="1695"/>
      <c r="X154" s="267"/>
      <c r="Y154" s="268"/>
      <c r="Z154" s="268"/>
      <c r="AA154" s="268"/>
      <c r="AB154" s="269"/>
      <c r="AC154" s="1695"/>
      <c r="AD154" s="1695"/>
      <c r="AE154" s="1695"/>
      <c r="AG154" s="1710"/>
      <c r="AH154" s="1710"/>
      <c r="AI154" s="1710"/>
      <c r="AK154" s="267"/>
      <c r="AL154" s="268"/>
      <c r="AM154" s="268"/>
      <c r="AN154" s="268"/>
      <c r="AO154" s="269"/>
      <c r="AP154" s="1695"/>
      <c r="AQ154" s="1695"/>
      <c r="AR154" s="1695"/>
      <c r="AS154" s="1695"/>
      <c r="AU154" s="267">
        <f t="shared" si="92"/>
        <v>139</v>
      </c>
      <c r="AV154" s="268">
        <f t="shared" ref="AV154:AV174" si="96">SUM(AW154:AX154)</f>
        <v>-931651.05000000016</v>
      </c>
      <c r="AW154" s="268">
        <f t="shared" ref="AW154:AW174" si="97">-AZ153*BA153/12</f>
        <v>-931651.05000000016</v>
      </c>
      <c r="AX154" s="268">
        <f t="shared" ref="AX154:AX174" si="98">-$AZ$89*C154</f>
        <v>0</v>
      </c>
      <c r="AY154" s="268"/>
      <c r="AZ154" s="269">
        <f t="shared" ref="AZ154:AZ174" si="99">SUM(AX154:AY154)+AZ153</f>
        <v>349200000</v>
      </c>
      <c r="BA154" s="272">
        <f t="shared" si="84"/>
        <v>3.2015500000000002E-2</v>
      </c>
      <c r="BB154" s="272"/>
      <c r="BC154" s="1696" t="s">
        <v>17</v>
      </c>
      <c r="BD154" s="565"/>
      <c r="BE154" s="1695">
        <f>SUM(AW154:AW165)</f>
        <v>-8384859.450000002</v>
      </c>
      <c r="BF154" s="1695">
        <f>SUM(AX154:AY165)</f>
        <v>-232800000</v>
      </c>
      <c r="BH154" s="268">
        <f>SUM(BI154:BJ154)</f>
        <v>-20202577.5</v>
      </c>
      <c r="BI154" s="268">
        <f t="shared" si="69"/>
        <v>-202577.49999999997</v>
      </c>
      <c r="BJ154" s="268">
        <v>-20000000</v>
      </c>
      <c r="BK154" s="268"/>
      <c r="BL154" s="269">
        <f>SUM(BJ154:BK154)+BL153</f>
        <v>40000000</v>
      </c>
      <c r="BM154" s="272">
        <f t="shared" si="90"/>
        <v>4.0515499999999996E-2</v>
      </c>
      <c r="BN154" s="272">
        <f t="shared" si="90"/>
        <v>0.01</v>
      </c>
      <c r="BO154" s="1695" t="s">
        <v>17</v>
      </c>
      <c r="BP154" s="565">
        <f t="shared" si="89"/>
        <v>-50000</v>
      </c>
      <c r="BQ154" s="1695">
        <f>SUM(BI154:BI165)</f>
        <v>-405154.99999999994</v>
      </c>
      <c r="BR154" s="1695">
        <f>SUM(BJ154:BK165)</f>
        <v>-60000000</v>
      </c>
    </row>
    <row r="155" spans="1:70" ht="15.75" customHeight="1" thickBot="1">
      <c r="A155" s="270" t="s">
        <v>511</v>
      </c>
      <c r="B155" s="266">
        <v>2027</v>
      </c>
      <c r="C155" s="266"/>
      <c r="D155" s="266"/>
      <c r="E155" s="265">
        <f t="shared" si="95"/>
        <v>349200000</v>
      </c>
      <c r="F155" s="267"/>
      <c r="G155" s="268"/>
      <c r="H155" s="268"/>
      <c r="I155" s="268"/>
      <c r="J155" s="269"/>
      <c r="K155" s="1695"/>
      <c r="L155" s="1695"/>
      <c r="M155" s="1695"/>
      <c r="O155" s="267"/>
      <c r="P155" s="268"/>
      <c r="Q155" s="268"/>
      <c r="R155" s="268"/>
      <c r="S155" s="269"/>
      <c r="T155" s="1695"/>
      <c r="U155" s="1695"/>
      <c r="V155" s="1695"/>
      <c r="X155" s="267"/>
      <c r="Y155" s="268"/>
      <c r="Z155" s="268"/>
      <c r="AA155" s="268"/>
      <c r="AB155" s="269"/>
      <c r="AC155" s="1695"/>
      <c r="AD155" s="1695"/>
      <c r="AE155" s="1695"/>
      <c r="AG155" s="1710"/>
      <c r="AH155" s="1710"/>
      <c r="AI155" s="1710"/>
      <c r="AK155" s="267"/>
      <c r="AL155" s="268"/>
      <c r="AM155" s="268"/>
      <c r="AN155" s="268"/>
      <c r="AO155" s="269"/>
      <c r="AP155" s="1695"/>
      <c r="AQ155" s="1695"/>
      <c r="AR155" s="1695"/>
      <c r="AS155" s="1695"/>
      <c r="AU155" s="267">
        <f t="shared" si="92"/>
        <v>140</v>
      </c>
      <c r="AV155" s="268">
        <f t="shared" si="96"/>
        <v>-931651.05000000016</v>
      </c>
      <c r="AW155" s="268">
        <f t="shared" si="97"/>
        <v>-931651.05000000016</v>
      </c>
      <c r="AX155" s="268">
        <f t="shared" si="98"/>
        <v>0</v>
      </c>
      <c r="AY155" s="268"/>
      <c r="AZ155" s="269">
        <f t="shared" si="99"/>
        <v>349200000</v>
      </c>
      <c r="BA155" s="272">
        <f t="shared" ref="BA155:BA174" si="100">BA154</f>
        <v>3.2015500000000002E-2</v>
      </c>
      <c r="BB155" s="272"/>
      <c r="BC155" s="1697"/>
      <c r="BD155" s="565"/>
      <c r="BE155" s="1695"/>
      <c r="BF155" s="1695"/>
      <c r="BH155" s="268">
        <f t="shared" ref="BH155:BH177" si="101">SUM(BI155:BJ155)</f>
        <v>-20135051.666666668</v>
      </c>
      <c r="BI155" s="268">
        <f t="shared" si="69"/>
        <v>-135051.66666666666</v>
      </c>
      <c r="BJ155" s="268">
        <v>-20000000</v>
      </c>
      <c r="BK155" s="268"/>
      <c r="BL155" s="269">
        <f t="shared" ref="BL155:BL177" si="102">SUM(BJ155:BK155)+BL154</f>
        <v>20000000</v>
      </c>
      <c r="BM155" s="272">
        <f t="shared" si="90"/>
        <v>4.0515499999999996E-2</v>
      </c>
      <c r="BN155" s="272">
        <f t="shared" si="90"/>
        <v>0.01</v>
      </c>
      <c r="BO155" s="1695"/>
      <c r="BP155" s="565">
        <f t="shared" si="89"/>
        <v>-33333.333333333336</v>
      </c>
      <c r="BQ155" s="1695"/>
      <c r="BR155" s="1695"/>
    </row>
    <row r="156" spans="1:70" ht="15.75" customHeight="1" thickBot="1">
      <c r="A156" s="270" t="s">
        <v>512</v>
      </c>
      <c r="B156" s="266">
        <v>2027</v>
      </c>
      <c r="C156" s="579">
        <f>IF($C$7=2,6%+D156,6%)</f>
        <v>0.06</v>
      </c>
      <c r="D156" s="578">
        <v>0.02</v>
      </c>
      <c r="E156" s="265">
        <f t="shared" si="95"/>
        <v>291000000</v>
      </c>
      <c r="F156" s="267"/>
      <c r="G156" s="268"/>
      <c r="H156" s="268"/>
      <c r="I156" s="268"/>
      <c r="J156" s="269"/>
      <c r="K156" s="1695"/>
      <c r="L156" s="1695"/>
      <c r="M156" s="1695"/>
      <c r="O156" s="267"/>
      <c r="P156" s="268"/>
      <c r="Q156" s="268"/>
      <c r="R156" s="268"/>
      <c r="S156" s="269"/>
      <c r="T156" s="1695"/>
      <c r="U156" s="1695"/>
      <c r="V156" s="1695"/>
      <c r="X156" s="267"/>
      <c r="Y156" s="268"/>
      <c r="Z156" s="268"/>
      <c r="AA156" s="268"/>
      <c r="AB156" s="269"/>
      <c r="AC156" s="1695"/>
      <c r="AD156" s="1695"/>
      <c r="AE156" s="1695"/>
      <c r="AG156" s="1710"/>
      <c r="AH156" s="1710"/>
      <c r="AI156" s="1710"/>
      <c r="AK156" s="267"/>
      <c r="AL156" s="268"/>
      <c r="AM156" s="268"/>
      <c r="AN156" s="268"/>
      <c r="AO156" s="269"/>
      <c r="AP156" s="1695"/>
      <c r="AQ156" s="1695"/>
      <c r="AR156" s="1695"/>
      <c r="AS156" s="1695"/>
      <c r="AU156" s="267">
        <f t="shared" si="92"/>
        <v>141</v>
      </c>
      <c r="AV156" s="268">
        <f t="shared" si="96"/>
        <v>-59131651.049999997</v>
      </c>
      <c r="AW156" s="268">
        <f t="shared" si="97"/>
        <v>-931651.05000000016</v>
      </c>
      <c r="AX156" s="268">
        <f t="shared" si="98"/>
        <v>-58200000</v>
      </c>
      <c r="AY156" s="268"/>
      <c r="AZ156" s="269">
        <f t="shared" si="99"/>
        <v>291000000</v>
      </c>
      <c r="BA156" s="272">
        <f t="shared" si="100"/>
        <v>3.2015500000000002E-2</v>
      </c>
      <c r="BB156" s="272"/>
      <c r="BC156" s="1697"/>
      <c r="BD156" s="565"/>
      <c r="BE156" s="1695"/>
      <c r="BF156" s="1695"/>
      <c r="BH156" s="268">
        <f t="shared" si="101"/>
        <v>-20067525.833333332</v>
      </c>
      <c r="BI156" s="268">
        <f t="shared" si="69"/>
        <v>-67525.833333333328</v>
      </c>
      <c r="BJ156" s="268">
        <v>-20000000</v>
      </c>
      <c r="BK156" s="268"/>
      <c r="BL156" s="269">
        <f t="shared" si="102"/>
        <v>0</v>
      </c>
      <c r="BM156" s="272">
        <f t="shared" si="90"/>
        <v>4.0515499999999996E-2</v>
      </c>
      <c r="BN156" s="272">
        <f t="shared" si="90"/>
        <v>0.01</v>
      </c>
      <c r="BO156" s="1695"/>
      <c r="BP156" s="565">
        <f t="shared" si="89"/>
        <v>-16666.666666666668</v>
      </c>
      <c r="BQ156" s="1695"/>
      <c r="BR156" s="1695"/>
    </row>
    <row r="157" spans="1:70" ht="15.75" customHeight="1">
      <c r="A157" s="270" t="s">
        <v>513</v>
      </c>
      <c r="B157" s="266">
        <v>2027</v>
      </c>
      <c r="C157" s="266"/>
      <c r="D157" s="266"/>
      <c r="E157" s="265">
        <f t="shared" si="95"/>
        <v>291000000</v>
      </c>
      <c r="F157" s="267"/>
      <c r="G157" s="268"/>
      <c r="H157" s="268"/>
      <c r="I157" s="268"/>
      <c r="J157" s="269"/>
      <c r="K157" s="1695"/>
      <c r="L157" s="1695"/>
      <c r="M157" s="1695"/>
      <c r="O157" s="267"/>
      <c r="P157" s="268"/>
      <c r="Q157" s="268"/>
      <c r="R157" s="268"/>
      <c r="S157" s="269"/>
      <c r="T157" s="1695"/>
      <c r="U157" s="1695"/>
      <c r="V157" s="1695"/>
      <c r="X157" s="267"/>
      <c r="Y157" s="268"/>
      <c r="Z157" s="268"/>
      <c r="AA157" s="268"/>
      <c r="AB157" s="269"/>
      <c r="AC157" s="1695"/>
      <c r="AD157" s="1695"/>
      <c r="AE157" s="1695"/>
      <c r="AG157" s="1710"/>
      <c r="AH157" s="1710"/>
      <c r="AI157" s="1710"/>
      <c r="AK157" s="267"/>
      <c r="AL157" s="268"/>
      <c r="AM157" s="268"/>
      <c r="AN157" s="268"/>
      <c r="AO157" s="269"/>
      <c r="AP157" s="1695"/>
      <c r="AQ157" s="1695"/>
      <c r="AR157" s="1695"/>
      <c r="AS157" s="1695"/>
      <c r="AU157" s="267">
        <f t="shared" si="92"/>
        <v>142</v>
      </c>
      <c r="AV157" s="268">
        <f t="shared" si="96"/>
        <v>-776375.875</v>
      </c>
      <c r="AW157" s="268">
        <f t="shared" si="97"/>
        <v>-776375.875</v>
      </c>
      <c r="AX157" s="268">
        <f t="shared" si="98"/>
        <v>0</v>
      </c>
      <c r="AY157" s="268"/>
      <c r="AZ157" s="269">
        <f t="shared" si="99"/>
        <v>291000000</v>
      </c>
      <c r="BA157" s="272">
        <f t="shared" si="100"/>
        <v>3.2015500000000002E-2</v>
      </c>
      <c r="BB157" s="272"/>
      <c r="BC157" s="1697"/>
      <c r="BD157" s="565"/>
      <c r="BE157" s="1695"/>
      <c r="BF157" s="1695"/>
      <c r="BH157" s="268">
        <f t="shared" si="101"/>
        <v>0</v>
      </c>
      <c r="BI157" s="268">
        <f t="shared" si="69"/>
        <v>0</v>
      </c>
      <c r="BJ157" s="268">
        <v>0</v>
      </c>
      <c r="BK157" s="268"/>
      <c r="BL157" s="269">
        <f t="shared" si="102"/>
        <v>0</v>
      </c>
      <c r="BM157" s="272">
        <f t="shared" si="90"/>
        <v>4.0515499999999996E-2</v>
      </c>
      <c r="BN157" s="272">
        <f t="shared" si="90"/>
        <v>0.01</v>
      </c>
      <c r="BO157" s="1695"/>
      <c r="BP157" s="565">
        <f t="shared" si="89"/>
        <v>0</v>
      </c>
      <c r="BQ157" s="1695"/>
      <c r="BR157" s="1695"/>
    </row>
    <row r="158" spans="1:70" ht="15.75" customHeight="1" thickBot="1">
      <c r="A158" s="270" t="s">
        <v>514</v>
      </c>
      <c r="B158" s="266">
        <v>2027</v>
      </c>
      <c r="C158" s="266"/>
      <c r="D158" s="266"/>
      <c r="E158" s="265">
        <f t="shared" si="95"/>
        <v>291000000</v>
      </c>
      <c r="F158" s="267"/>
      <c r="G158" s="268"/>
      <c r="H158" s="268"/>
      <c r="I158" s="268"/>
      <c r="J158" s="269"/>
      <c r="K158" s="1695"/>
      <c r="L158" s="1695"/>
      <c r="M158" s="1695"/>
      <c r="O158" s="267"/>
      <c r="P158" s="268"/>
      <c r="Q158" s="268"/>
      <c r="R158" s="268"/>
      <c r="S158" s="269"/>
      <c r="T158" s="1695"/>
      <c r="U158" s="1695"/>
      <c r="V158" s="1695"/>
      <c r="X158" s="267"/>
      <c r="Y158" s="268"/>
      <c r="Z158" s="268"/>
      <c r="AA158" s="268"/>
      <c r="AB158" s="269"/>
      <c r="AC158" s="1695"/>
      <c r="AD158" s="1695"/>
      <c r="AE158" s="1695"/>
      <c r="AG158" s="1710"/>
      <c r="AH158" s="1710"/>
      <c r="AI158" s="1710"/>
      <c r="AK158" s="267"/>
      <c r="AL158" s="268"/>
      <c r="AM158" s="268"/>
      <c r="AN158" s="268"/>
      <c r="AO158" s="269"/>
      <c r="AP158" s="1695"/>
      <c r="AQ158" s="1695"/>
      <c r="AR158" s="1695"/>
      <c r="AS158" s="1695"/>
      <c r="AU158" s="267">
        <f t="shared" si="92"/>
        <v>143</v>
      </c>
      <c r="AV158" s="268">
        <f t="shared" si="96"/>
        <v>-776375.875</v>
      </c>
      <c r="AW158" s="268">
        <f t="shared" si="97"/>
        <v>-776375.875</v>
      </c>
      <c r="AX158" s="268">
        <f t="shared" si="98"/>
        <v>0</v>
      </c>
      <c r="AY158" s="268"/>
      <c r="AZ158" s="269">
        <f t="shared" si="99"/>
        <v>291000000</v>
      </c>
      <c r="BA158" s="272">
        <f t="shared" si="100"/>
        <v>3.2015500000000002E-2</v>
      </c>
      <c r="BB158" s="272"/>
      <c r="BC158" s="1697"/>
      <c r="BD158" s="565"/>
      <c r="BE158" s="1695"/>
      <c r="BF158" s="1695"/>
      <c r="BH158" s="268">
        <f t="shared" si="101"/>
        <v>0</v>
      </c>
      <c r="BI158" s="268">
        <f t="shared" si="69"/>
        <v>0</v>
      </c>
      <c r="BJ158" s="268">
        <v>0</v>
      </c>
      <c r="BK158" s="268"/>
      <c r="BL158" s="269">
        <f t="shared" si="102"/>
        <v>0</v>
      </c>
      <c r="BM158" s="272">
        <f t="shared" si="90"/>
        <v>4.0515499999999996E-2</v>
      </c>
      <c r="BN158" s="272">
        <f t="shared" si="90"/>
        <v>0.01</v>
      </c>
      <c r="BO158" s="1695"/>
      <c r="BP158" s="565">
        <f t="shared" si="89"/>
        <v>0</v>
      </c>
      <c r="BQ158" s="1695"/>
      <c r="BR158" s="1695"/>
    </row>
    <row r="159" spans="1:70" ht="15.75" customHeight="1" thickBot="1">
      <c r="A159" s="270" t="s">
        <v>515</v>
      </c>
      <c r="B159" s="266">
        <v>2027</v>
      </c>
      <c r="C159" s="579">
        <f>IF($C$7=2,6%+D159,6%)</f>
        <v>0.06</v>
      </c>
      <c r="D159" s="578">
        <v>0.02</v>
      </c>
      <c r="E159" s="265">
        <f t="shared" si="95"/>
        <v>232800000</v>
      </c>
      <c r="F159" s="267"/>
      <c r="G159" s="268"/>
      <c r="H159" s="268"/>
      <c r="I159" s="268"/>
      <c r="J159" s="269"/>
      <c r="K159" s="1695"/>
      <c r="L159" s="1695"/>
      <c r="M159" s="1695"/>
      <c r="O159" s="267"/>
      <c r="P159" s="268"/>
      <c r="Q159" s="268"/>
      <c r="R159" s="268"/>
      <c r="S159" s="269"/>
      <c r="T159" s="1695"/>
      <c r="U159" s="1695"/>
      <c r="V159" s="1695"/>
      <c r="X159" s="267"/>
      <c r="Y159" s="268"/>
      <c r="Z159" s="268"/>
      <c r="AA159" s="268"/>
      <c r="AB159" s="269"/>
      <c r="AC159" s="1695"/>
      <c r="AD159" s="1695"/>
      <c r="AE159" s="1695"/>
      <c r="AG159" s="1710"/>
      <c r="AH159" s="1710"/>
      <c r="AI159" s="1710"/>
      <c r="AK159" s="267"/>
      <c r="AL159" s="268"/>
      <c r="AM159" s="268"/>
      <c r="AN159" s="268"/>
      <c r="AO159" s="269"/>
      <c r="AP159" s="1695"/>
      <c r="AQ159" s="1695"/>
      <c r="AR159" s="1695"/>
      <c r="AS159" s="1695"/>
      <c r="AU159" s="267">
        <f t="shared" si="92"/>
        <v>144</v>
      </c>
      <c r="AV159" s="268">
        <f t="shared" si="96"/>
        <v>-58976375.875</v>
      </c>
      <c r="AW159" s="268">
        <f t="shared" si="97"/>
        <v>-776375.875</v>
      </c>
      <c r="AX159" s="268">
        <f t="shared" si="98"/>
        <v>-58200000</v>
      </c>
      <c r="AY159" s="268"/>
      <c r="AZ159" s="269">
        <f t="shared" si="99"/>
        <v>232800000</v>
      </c>
      <c r="BA159" s="272">
        <f t="shared" si="100"/>
        <v>3.2015500000000002E-2</v>
      </c>
      <c r="BB159" s="272"/>
      <c r="BC159" s="1697"/>
      <c r="BD159" s="565"/>
      <c r="BE159" s="1695"/>
      <c r="BF159" s="1695"/>
      <c r="BH159" s="268">
        <f t="shared" si="101"/>
        <v>0</v>
      </c>
      <c r="BI159" s="268">
        <f t="shared" si="69"/>
        <v>0</v>
      </c>
      <c r="BJ159" s="268">
        <v>0</v>
      </c>
      <c r="BK159" s="268"/>
      <c r="BL159" s="269">
        <f t="shared" si="102"/>
        <v>0</v>
      </c>
      <c r="BM159" s="272">
        <f t="shared" ref="BM159:BN174" si="103">BM158</f>
        <v>4.0515499999999996E-2</v>
      </c>
      <c r="BN159" s="272">
        <f t="shared" si="103"/>
        <v>0.01</v>
      </c>
      <c r="BO159" s="1695"/>
      <c r="BP159" s="565">
        <f t="shared" si="89"/>
        <v>0</v>
      </c>
      <c r="BQ159" s="1695"/>
      <c r="BR159" s="1695"/>
    </row>
    <row r="160" spans="1:70" ht="15">
      <c r="A160" s="270" t="s">
        <v>516</v>
      </c>
      <c r="B160" s="266">
        <v>2027</v>
      </c>
      <c r="C160" s="266"/>
      <c r="D160" s="266"/>
      <c r="E160" s="265">
        <f t="shared" si="95"/>
        <v>232800000</v>
      </c>
      <c r="F160" s="267"/>
      <c r="G160" s="268"/>
      <c r="H160" s="268"/>
      <c r="I160" s="268"/>
      <c r="J160" s="269"/>
      <c r="K160" s="1695"/>
      <c r="L160" s="1695"/>
      <c r="M160" s="1695"/>
      <c r="O160" s="267"/>
      <c r="P160" s="268"/>
      <c r="Q160" s="268"/>
      <c r="R160" s="268"/>
      <c r="S160" s="269"/>
      <c r="T160" s="1695"/>
      <c r="U160" s="1695"/>
      <c r="V160" s="1695"/>
      <c r="X160" s="267"/>
      <c r="Y160" s="268"/>
      <c r="Z160" s="268"/>
      <c r="AA160" s="268"/>
      <c r="AB160" s="269"/>
      <c r="AC160" s="1695"/>
      <c r="AD160" s="1695"/>
      <c r="AE160" s="1695"/>
      <c r="AG160" s="1710"/>
      <c r="AH160" s="1710"/>
      <c r="AI160" s="1710"/>
      <c r="AK160" s="267"/>
      <c r="AL160" s="268"/>
      <c r="AM160" s="268"/>
      <c r="AN160" s="268"/>
      <c r="AO160" s="269"/>
      <c r="AP160" s="1695"/>
      <c r="AQ160" s="1695"/>
      <c r="AR160" s="1695"/>
      <c r="AS160" s="1695"/>
      <c r="AU160" s="267">
        <f t="shared" si="92"/>
        <v>145</v>
      </c>
      <c r="AV160" s="268">
        <f t="shared" si="96"/>
        <v>-621100.70000000007</v>
      </c>
      <c r="AW160" s="268">
        <f t="shared" si="97"/>
        <v>-621100.70000000007</v>
      </c>
      <c r="AX160" s="268">
        <f t="shared" si="98"/>
        <v>0</v>
      </c>
      <c r="AY160" s="268"/>
      <c r="AZ160" s="269">
        <f t="shared" si="99"/>
        <v>232800000</v>
      </c>
      <c r="BA160" s="272">
        <f t="shared" si="100"/>
        <v>3.2015500000000002E-2</v>
      </c>
      <c r="BB160" s="272"/>
      <c r="BC160" s="1697"/>
      <c r="BD160" s="565"/>
      <c r="BE160" s="1695"/>
      <c r="BF160" s="1695"/>
      <c r="BH160" s="268">
        <f t="shared" si="101"/>
        <v>0</v>
      </c>
      <c r="BI160" s="268">
        <f t="shared" si="69"/>
        <v>0</v>
      </c>
      <c r="BJ160" s="268"/>
      <c r="BK160" s="268"/>
      <c r="BL160" s="269">
        <f t="shared" si="102"/>
        <v>0</v>
      </c>
      <c r="BM160" s="272">
        <f t="shared" si="103"/>
        <v>4.0515499999999996E-2</v>
      </c>
      <c r="BN160" s="272">
        <f t="shared" si="103"/>
        <v>0.01</v>
      </c>
      <c r="BO160" s="1695"/>
      <c r="BP160" s="565">
        <f t="shared" si="89"/>
        <v>0</v>
      </c>
      <c r="BQ160" s="1695"/>
      <c r="BR160" s="1695"/>
    </row>
    <row r="161" spans="1:70" ht="15.75" thickBot="1">
      <c r="A161" s="270" t="s">
        <v>517</v>
      </c>
      <c r="B161" s="266">
        <v>2027</v>
      </c>
      <c r="C161" s="266"/>
      <c r="D161" s="266"/>
      <c r="E161" s="265">
        <f t="shared" si="95"/>
        <v>232800000</v>
      </c>
      <c r="F161" s="267"/>
      <c r="G161" s="268"/>
      <c r="H161" s="268"/>
      <c r="I161" s="268"/>
      <c r="J161" s="269"/>
      <c r="K161" s="1695"/>
      <c r="L161" s="1695"/>
      <c r="M161" s="1695"/>
      <c r="O161" s="267"/>
      <c r="P161" s="268"/>
      <c r="Q161" s="268"/>
      <c r="R161" s="268"/>
      <c r="S161" s="269"/>
      <c r="T161" s="1695"/>
      <c r="U161" s="1695"/>
      <c r="V161" s="1695"/>
      <c r="X161" s="267"/>
      <c r="Y161" s="268"/>
      <c r="Z161" s="268"/>
      <c r="AA161" s="268"/>
      <c r="AB161" s="269"/>
      <c r="AC161" s="1695"/>
      <c r="AD161" s="1695"/>
      <c r="AE161" s="1695"/>
      <c r="AG161" s="1710"/>
      <c r="AH161" s="1710"/>
      <c r="AI161" s="1710"/>
      <c r="AK161" s="267"/>
      <c r="AL161" s="268"/>
      <c r="AM161" s="268"/>
      <c r="AN161" s="268"/>
      <c r="AO161" s="269"/>
      <c r="AP161" s="1695"/>
      <c r="AQ161" s="1695"/>
      <c r="AR161" s="1695"/>
      <c r="AS161" s="1695"/>
      <c r="AU161" s="267">
        <f t="shared" si="92"/>
        <v>146</v>
      </c>
      <c r="AV161" s="268">
        <f t="shared" si="96"/>
        <v>-621100.70000000007</v>
      </c>
      <c r="AW161" s="268">
        <f t="shared" si="97"/>
        <v>-621100.70000000007</v>
      </c>
      <c r="AX161" s="268">
        <f t="shared" si="98"/>
        <v>0</v>
      </c>
      <c r="AY161" s="268"/>
      <c r="AZ161" s="269">
        <f t="shared" si="99"/>
        <v>232800000</v>
      </c>
      <c r="BA161" s="272">
        <f t="shared" si="100"/>
        <v>3.2015500000000002E-2</v>
      </c>
      <c r="BB161" s="272"/>
      <c r="BC161" s="1697"/>
      <c r="BD161" s="565"/>
      <c r="BE161" s="1695"/>
      <c r="BF161" s="1695"/>
      <c r="BH161" s="268">
        <f t="shared" si="101"/>
        <v>0</v>
      </c>
      <c r="BI161" s="268">
        <f t="shared" si="69"/>
        <v>0</v>
      </c>
      <c r="BJ161" s="268">
        <v>0</v>
      </c>
      <c r="BK161" s="268"/>
      <c r="BL161" s="269">
        <f t="shared" si="102"/>
        <v>0</v>
      </c>
      <c r="BM161" s="272">
        <f t="shared" si="103"/>
        <v>4.0515499999999996E-2</v>
      </c>
      <c r="BN161" s="272">
        <f t="shared" si="103"/>
        <v>0.01</v>
      </c>
      <c r="BO161" s="1695"/>
      <c r="BP161" s="565">
        <f t="shared" si="89"/>
        <v>0</v>
      </c>
      <c r="BQ161" s="1695"/>
      <c r="BR161" s="1695"/>
    </row>
    <row r="162" spans="1:70" ht="15.75" thickBot="1">
      <c r="A162" s="270" t="s">
        <v>518</v>
      </c>
      <c r="B162" s="266">
        <v>2027</v>
      </c>
      <c r="C162" s="579">
        <f>IF($C$7=2,6%+D162,6%)</f>
        <v>0.06</v>
      </c>
      <c r="D162" s="578">
        <v>-0.06</v>
      </c>
      <c r="E162" s="265">
        <f t="shared" si="95"/>
        <v>174600000</v>
      </c>
      <c r="F162" s="267"/>
      <c r="G162" s="268"/>
      <c r="H162" s="268"/>
      <c r="I162" s="268"/>
      <c r="J162" s="269"/>
      <c r="K162" s="1695"/>
      <c r="L162" s="1695"/>
      <c r="M162" s="1695"/>
      <c r="O162" s="267"/>
      <c r="P162" s="268"/>
      <c r="Q162" s="268"/>
      <c r="R162" s="268"/>
      <c r="S162" s="269"/>
      <c r="T162" s="1695"/>
      <c r="U162" s="1695"/>
      <c r="V162" s="1695"/>
      <c r="X162" s="267"/>
      <c r="Y162" s="268"/>
      <c r="Z162" s="268"/>
      <c r="AA162" s="268"/>
      <c r="AB162" s="269"/>
      <c r="AC162" s="1695"/>
      <c r="AD162" s="1695"/>
      <c r="AE162" s="1695"/>
      <c r="AG162" s="1710"/>
      <c r="AH162" s="1710"/>
      <c r="AI162" s="1710"/>
      <c r="AK162" s="267"/>
      <c r="AL162" s="268"/>
      <c r="AM162" s="268"/>
      <c r="AN162" s="268"/>
      <c r="AO162" s="269"/>
      <c r="AP162" s="1695"/>
      <c r="AQ162" s="1695"/>
      <c r="AR162" s="1695"/>
      <c r="AS162" s="1695"/>
      <c r="AU162" s="267">
        <f t="shared" si="92"/>
        <v>147</v>
      </c>
      <c r="AV162" s="268">
        <f t="shared" si="96"/>
        <v>-58821100.700000003</v>
      </c>
      <c r="AW162" s="268">
        <f t="shared" si="97"/>
        <v>-621100.70000000007</v>
      </c>
      <c r="AX162" s="268">
        <f t="shared" si="98"/>
        <v>-58200000</v>
      </c>
      <c r="AY162" s="268"/>
      <c r="AZ162" s="269">
        <f t="shared" si="99"/>
        <v>174600000</v>
      </c>
      <c r="BA162" s="272">
        <f t="shared" si="100"/>
        <v>3.2015500000000002E-2</v>
      </c>
      <c r="BB162" s="272"/>
      <c r="BC162" s="1697"/>
      <c r="BD162" s="565"/>
      <c r="BE162" s="1695"/>
      <c r="BF162" s="1695"/>
      <c r="BH162" s="268">
        <f t="shared" si="101"/>
        <v>0</v>
      </c>
      <c r="BI162" s="268">
        <f t="shared" si="69"/>
        <v>0</v>
      </c>
      <c r="BJ162" s="268">
        <v>0</v>
      </c>
      <c r="BK162" s="268"/>
      <c r="BL162" s="269">
        <f t="shared" si="102"/>
        <v>0</v>
      </c>
      <c r="BM162" s="272">
        <f t="shared" si="103"/>
        <v>4.0515499999999996E-2</v>
      </c>
      <c r="BN162" s="272">
        <f t="shared" si="103"/>
        <v>0.01</v>
      </c>
      <c r="BO162" s="1695"/>
      <c r="BP162" s="565">
        <f t="shared" si="89"/>
        <v>0</v>
      </c>
      <c r="BQ162" s="1695"/>
      <c r="BR162" s="1695"/>
    </row>
    <row r="163" spans="1:70" ht="15">
      <c r="A163" s="270" t="s">
        <v>519</v>
      </c>
      <c r="B163" s="266">
        <v>2028</v>
      </c>
      <c r="C163" s="266"/>
      <c r="D163" s="266"/>
      <c r="E163" s="265">
        <f t="shared" si="95"/>
        <v>174600000</v>
      </c>
      <c r="F163" s="267"/>
      <c r="G163" s="268"/>
      <c r="H163" s="268"/>
      <c r="I163" s="268"/>
      <c r="J163" s="269"/>
      <c r="K163" s="1695"/>
      <c r="L163" s="1695"/>
      <c r="M163" s="1695"/>
      <c r="O163" s="267"/>
      <c r="P163" s="268"/>
      <c r="Q163" s="268"/>
      <c r="R163" s="268"/>
      <c r="S163" s="269"/>
      <c r="T163" s="1695"/>
      <c r="U163" s="1695"/>
      <c r="V163" s="1695"/>
      <c r="X163" s="267"/>
      <c r="Y163" s="268"/>
      <c r="Z163" s="268"/>
      <c r="AA163" s="268"/>
      <c r="AB163" s="269"/>
      <c r="AC163" s="1695"/>
      <c r="AD163" s="1695"/>
      <c r="AE163" s="1695"/>
      <c r="AG163" s="1710"/>
      <c r="AH163" s="1710"/>
      <c r="AI163" s="1710"/>
      <c r="AK163" s="267"/>
      <c r="AL163" s="268"/>
      <c r="AM163" s="268"/>
      <c r="AN163" s="268"/>
      <c r="AO163" s="269"/>
      <c r="AP163" s="1695"/>
      <c r="AQ163" s="1695"/>
      <c r="AR163" s="1695"/>
      <c r="AS163" s="1695"/>
      <c r="AU163" s="267">
        <f t="shared" si="92"/>
        <v>148</v>
      </c>
      <c r="AV163" s="268">
        <f t="shared" si="96"/>
        <v>-465825.52500000008</v>
      </c>
      <c r="AW163" s="268">
        <f t="shared" si="97"/>
        <v>-465825.52500000008</v>
      </c>
      <c r="AX163" s="268">
        <f t="shared" si="98"/>
        <v>0</v>
      </c>
      <c r="AY163" s="268"/>
      <c r="AZ163" s="269">
        <f t="shared" si="99"/>
        <v>174600000</v>
      </c>
      <c r="BA163" s="272">
        <f t="shared" si="100"/>
        <v>3.2015500000000002E-2</v>
      </c>
      <c r="BB163" s="272"/>
      <c r="BC163" s="1697"/>
      <c r="BD163" s="565"/>
      <c r="BE163" s="1695"/>
      <c r="BF163" s="1695"/>
      <c r="BH163" s="268">
        <f t="shared" si="101"/>
        <v>0</v>
      </c>
      <c r="BI163" s="268">
        <f t="shared" si="69"/>
        <v>0</v>
      </c>
      <c r="BJ163" s="268">
        <v>0</v>
      </c>
      <c r="BK163" s="268"/>
      <c r="BL163" s="269">
        <f t="shared" si="102"/>
        <v>0</v>
      </c>
      <c r="BM163" s="272">
        <f t="shared" si="103"/>
        <v>4.0515499999999996E-2</v>
      </c>
      <c r="BN163" s="272">
        <f t="shared" si="103"/>
        <v>0.01</v>
      </c>
      <c r="BO163" s="1695"/>
      <c r="BP163" s="565">
        <f t="shared" si="89"/>
        <v>0</v>
      </c>
      <c r="BQ163" s="1695"/>
      <c r="BR163" s="1695"/>
    </row>
    <row r="164" spans="1:70" ht="15.75" thickBot="1">
      <c r="A164" s="270" t="s">
        <v>520</v>
      </c>
      <c r="B164" s="266">
        <v>2028</v>
      </c>
      <c r="C164" s="266"/>
      <c r="D164" s="266"/>
      <c r="E164" s="265">
        <f t="shared" si="95"/>
        <v>174600000</v>
      </c>
      <c r="F164" s="267"/>
      <c r="G164" s="268"/>
      <c r="H164" s="268"/>
      <c r="I164" s="268"/>
      <c r="J164" s="269"/>
      <c r="K164" s="1695"/>
      <c r="L164" s="1695"/>
      <c r="M164" s="1695"/>
      <c r="O164" s="267"/>
      <c r="P164" s="268"/>
      <c r="Q164" s="268"/>
      <c r="R164" s="268"/>
      <c r="S164" s="269"/>
      <c r="T164" s="1695"/>
      <c r="U164" s="1695"/>
      <c r="V164" s="1695"/>
      <c r="X164" s="267"/>
      <c r="Y164" s="268"/>
      <c r="Z164" s="268"/>
      <c r="AA164" s="268"/>
      <c r="AB164" s="269"/>
      <c r="AC164" s="1695"/>
      <c r="AD164" s="1695"/>
      <c r="AE164" s="1695"/>
      <c r="AG164" s="1710"/>
      <c r="AH164" s="1710"/>
      <c r="AI164" s="1710"/>
      <c r="AK164" s="267"/>
      <c r="AL164" s="268"/>
      <c r="AM164" s="268"/>
      <c r="AN164" s="268"/>
      <c r="AO164" s="269"/>
      <c r="AP164" s="1695"/>
      <c r="AQ164" s="1695"/>
      <c r="AR164" s="1695"/>
      <c r="AS164" s="1695"/>
      <c r="AU164" s="267">
        <f t="shared" si="92"/>
        <v>149</v>
      </c>
      <c r="AV164" s="268">
        <f t="shared" si="96"/>
        <v>-465825.52500000008</v>
      </c>
      <c r="AW164" s="268">
        <f t="shared" si="97"/>
        <v>-465825.52500000008</v>
      </c>
      <c r="AX164" s="268">
        <f t="shared" si="98"/>
        <v>0</v>
      </c>
      <c r="AY164" s="268"/>
      <c r="AZ164" s="269">
        <f t="shared" si="99"/>
        <v>174600000</v>
      </c>
      <c r="BA164" s="272">
        <f t="shared" si="100"/>
        <v>3.2015500000000002E-2</v>
      </c>
      <c r="BB164" s="272"/>
      <c r="BC164" s="1697"/>
      <c r="BD164" s="565"/>
      <c r="BE164" s="1695"/>
      <c r="BF164" s="1695"/>
      <c r="BH164" s="268">
        <f t="shared" si="101"/>
        <v>0</v>
      </c>
      <c r="BI164" s="268">
        <f t="shared" si="69"/>
        <v>0</v>
      </c>
      <c r="BJ164" s="268">
        <v>0</v>
      </c>
      <c r="BK164" s="268"/>
      <c r="BL164" s="269">
        <f t="shared" si="102"/>
        <v>0</v>
      </c>
      <c r="BM164" s="272">
        <f t="shared" si="103"/>
        <v>4.0515499999999996E-2</v>
      </c>
      <c r="BN164" s="272">
        <f t="shared" si="103"/>
        <v>0.01</v>
      </c>
      <c r="BO164" s="1695"/>
      <c r="BP164" s="565">
        <f t="shared" si="89"/>
        <v>0</v>
      </c>
      <c r="BQ164" s="1695"/>
      <c r="BR164" s="1695"/>
    </row>
    <row r="165" spans="1:70" ht="15.75" thickBot="1">
      <c r="A165" s="270" t="s">
        <v>521</v>
      </c>
      <c r="B165" s="266">
        <v>2028</v>
      </c>
      <c r="C165" s="579">
        <f>IF($C$7=2,6%+D165,6%)</f>
        <v>0.06</v>
      </c>
      <c r="D165" s="578">
        <v>-0.06</v>
      </c>
      <c r="E165" s="265">
        <f t="shared" si="95"/>
        <v>116400000</v>
      </c>
      <c r="F165" s="267"/>
      <c r="G165" s="268"/>
      <c r="H165" s="268"/>
      <c r="I165" s="268"/>
      <c r="J165" s="269"/>
      <c r="K165" s="1695"/>
      <c r="L165" s="1695"/>
      <c r="M165" s="1695"/>
      <c r="O165" s="267"/>
      <c r="P165" s="268"/>
      <c r="Q165" s="268"/>
      <c r="R165" s="268"/>
      <c r="S165" s="269"/>
      <c r="T165" s="1695"/>
      <c r="U165" s="1695"/>
      <c r="V165" s="1695"/>
      <c r="X165" s="267"/>
      <c r="Y165" s="268"/>
      <c r="Z165" s="268"/>
      <c r="AA165" s="268"/>
      <c r="AB165" s="269"/>
      <c r="AC165" s="1695"/>
      <c r="AD165" s="1695"/>
      <c r="AE165" s="1695"/>
      <c r="AG165" s="1710"/>
      <c r="AH165" s="1710"/>
      <c r="AI165" s="1710"/>
      <c r="AK165" s="267"/>
      <c r="AL165" s="268"/>
      <c r="AM165" s="268"/>
      <c r="AN165" s="268"/>
      <c r="AO165" s="269"/>
      <c r="AP165" s="1695"/>
      <c r="AQ165" s="1695"/>
      <c r="AR165" s="1695"/>
      <c r="AS165" s="1695"/>
      <c r="AU165" s="267">
        <f t="shared" si="92"/>
        <v>150</v>
      </c>
      <c r="AV165" s="268">
        <f t="shared" si="96"/>
        <v>-58665825.524999999</v>
      </c>
      <c r="AW165" s="268">
        <f t="shared" si="97"/>
        <v>-465825.52500000008</v>
      </c>
      <c r="AX165" s="268">
        <f t="shared" si="98"/>
        <v>-58200000</v>
      </c>
      <c r="AY165" s="268"/>
      <c r="AZ165" s="269">
        <f t="shared" si="99"/>
        <v>116400000</v>
      </c>
      <c r="BA165" s="272">
        <f t="shared" si="100"/>
        <v>3.2015500000000002E-2</v>
      </c>
      <c r="BB165" s="272"/>
      <c r="BC165" s="1698"/>
      <c r="BD165" s="565"/>
      <c r="BE165" s="1695"/>
      <c r="BF165" s="1695"/>
      <c r="BG165" s="229">
        <f>'Cashflow trend'!N23</f>
        <v>-133977.88904345053</v>
      </c>
      <c r="BH165" s="268">
        <f t="shared" si="101"/>
        <v>0</v>
      </c>
      <c r="BI165" s="268">
        <f t="shared" si="69"/>
        <v>0</v>
      </c>
      <c r="BJ165" s="268">
        <v>0</v>
      </c>
      <c r="BK165" s="268"/>
      <c r="BL165" s="269">
        <f t="shared" si="102"/>
        <v>0</v>
      </c>
      <c r="BM165" s="272">
        <f t="shared" si="103"/>
        <v>4.0515499999999996E-2</v>
      </c>
      <c r="BN165" s="272">
        <f t="shared" si="103"/>
        <v>0.01</v>
      </c>
      <c r="BO165" s="1695"/>
      <c r="BP165" s="565">
        <f t="shared" si="89"/>
        <v>0</v>
      </c>
      <c r="BQ165" s="1695"/>
      <c r="BR165" s="1695"/>
    </row>
    <row r="166" spans="1:70" ht="15">
      <c r="A166" s="273" t="s">
        <v>510</v>
      </c>
      <c r="B166" s="274">
        <v>2028</v>
      </c>
      <c r="C166" s="274"/>
      <c r="D166" s="274"/>
      <c r="E166" s="275">
        <f t="shared" si="95"/>
        <v>116400000</v>
      </c>
      <c r="F166" s="276"/>
      <c r="G166" s="277"/>
      <c r="H166" s="277"/>
      <c r="I166" s="277"/>
      <c r="J166" s="278"/>
      <c r="K166" s="563"/>
      <c r="L166" s="563"/>
      <c r="M166" s="563"/>
      <c r="O166" s="276"/>
      <c r="P166" s="277"/>
      <c r="Q166" s="277"/>
      <c r="R166" s="277"/>
      <c r="S166" s="278"/>
      <c r="T166" s="563"/>
      <c r="U166" s="563"/>
      <c r="V166" s="563"/>
      <c r="X166" s="276"/>
      <c r="Y166" s="277"/>
      <c r="Z166" s="277"/>
      <c r="AA166" s="277"/>
      <c r="AB166" s="278"/>
      <c r="AC166" s="563"/>
      <c r="AD166" s="563"/>
      <c r="AE166" s="563"/>
      <c r="AG166" s="564"/>
      <c r="AH166" s="564"/>
      <c r="AI166" s="564"/>
      <c r="AK166" s="276"/>
      <c r="AL166" s="277"/>
      <c r="AM166" s="277"/>
      <c r="AN166" s="277"/>
      <c r="AO166" s="278"/>
      <c r="AP166" s="563"/>
      <c r="AQ166" s="563"/>
      <c r="AR166" s="563"/>
      <c r="AS166" s="563"/>
      <c r="AU166" s="276">
        <f t="shared" si="92"/>
        <v>151</v>
      </c>
      <c r="AV166" s="277">
        <f t="shared" si="96"/>
        <v>-310550.35000000003</v>
      </c>
      <c r="AW166" s="277">
        <f t="shared" si="97"/>
        <v>-310550.35000000003</v>
      </c>
      <c r="AX166" s="277">
        <f t="shared" si="98"/>
        <v>0</v>
      </c>
      <c r="AY166" s="277"/>
      <c r="AZ166" s="278">
        <f t="shared" si="99"/>
        <v>116400000</v>
      </c>
      <c r="BA166" s="279">
        <f t="shared" si="100"/>
        <v>3.2015500000000002E-2</v>
      </c>
      <c r="BB166" s="279"/>
      <c r="BC166" s="1699" t="s">
        <v>18</v>
      </c>
      <c r="BD166" s="563"/>
      <c r="BE166" s="1694">
        <f>SUM(AW166:AW177)</f>
        <v>-1397476.5750000002</v>
      </c>
      <c r="BF166" s="1694">
        <f>SUM(AX166:AY177)</f>
        <v>-116400000</v>
      </c>
      <c r="BH166" s="277">
        <f t="shared" si="101"/>
        <v>0</v>
      </c>
      <c r="BI166" s="277">
        <f t="shared" si="69"/>
        <v>0</v>
      </c>
      <c r="BJ166" s="277">
        <v>0</v>
      </c>
      <c r="BK166" s="277"/>
      <c r="BL166" s="278">
        <f t="shared" si="102"/>
        <v>0</v>
      </c>
      <c r="BM166" s="279">
        <f t="shared" si="103"/>
        <v>4.0515499999999996E-2</v>
      </c>
      <c r="BN166" s="279">
        <f t="shared" si="103"/>
        <v>0.01</v>
      </c>
      <c r="BO166" s="1694" t="s">
        <v>18</v>
      </c>
      <c r="BP166" s="563">
        <f t="shared" si="89"/>
        <v>0</v>
      </c>
      <c r="BQ166" s="1694">
        <f>SUM(BI166:BI177)</f>
        <v>0</v>
      </c>
      <c r="BR166" s="1694">
        <f>SUM(BJ166:BK177)</f>
        <v>0</v>
      </c>
    </row>
    <row r="167" spans="1:70" ht="15.75" thickBot="1">
      <c r="A167" s="273" t="s">
        <v>511</v>
      </c>
      <c r="B167" s="274">
        <v>2028</v>
      </c>
      <c r="C167" s="274"/>
      <c r="D167" s="274"/>
      <c r="E167" s="275">
        <f t="shared" si="95"/>
        <v>116400000</v>
      </c>
      <c r="F167" s="276"/>
      <c r="G167" s="277"/>
      <c r="H167" s="277"/>
      <c r="I167" s="277"/>
      <c r="J167" s="278"/>
      <c r="K167" s="563"/>
      <c r="L167" s="563"/>
      <c r="M167" s="563"/>
      <c r="O167" s="276"/>
      <c r="P167" s="277"/>
      <c r="Q167" s="277"/>
      <c r="R167" s="277"/>
      <c r="S167" s="278"/>
      <c r="T167" s="563"/>
      <c r="U167" s="563"/>
      <c r="V167" s="563"/>
      <c r="X167" s="276"/>
      <c r="Y167" s="277"/>
      <c r="Z167" s="277"/>
      <c r="AA167" s="277"/>
      <c r="AB167" s="278"/>
      <c r="AC167" s="563"/>
      <c r="AD167" s="563"/>
      <c r="AE167" s="563"/>
      <c r="AG167" s="564"/>
      <c r="AH167" s="564"/>
      <c r="AI167" s="564"/>
      <c r="AK167" s="276"/>
      <c r="AL167" s="277"/>
      <c r="AM167" s="277"/>
      <c r="AN167" s="277"/>
      <c r="AO167" s="278"/>
      <c r="AP167" s="563"/>
      <c r="AQ167" s="563"/>
      <c r="AR167" s="563"/>
      <c r="AS167" s="563"/>
      <c r="AU167" s="276">
        <f t="shared" si="92"/>
        <v>152</v>
      </c>
      <c r="AV167" s="277">
        <f t="shared" si="96"/>
        <v>-310550.35000000003</v>
      </c>
      <c r="AW167" s="277">
        <f t="shared" si="97"/>
        <v>-310550.35000000003</v>
      </c>
      <c r="AX167" s="277">
        <f t="shared" si="98"/>
        <v>0</v>
      </c>
      <c r="AY167" s="277"/>
      <c r="AZ167" s="278">
        <f t="shared" si="99"/>
        <v>116400000</v>
      </c>
      <c r="BA167" s="279">
        <f t="shared" si="100"/>
        <v>3.2015500000000002E-2</v>
      </c>
      <c r="BB167" s="279"/>
      <c r="BC167" s="1700"/>
      <c r="BD167" s="563"/>
      <c r="BE167" s="1694"/>
      <c r="BF167" s="1694"/>
      <c r="BH167" s="277">
        <f t="shared" si="101"/>
        <v>0</v>
      </c>
      <c r="BI167" s="277">
        <f t="shared" si="69"/>
        <v>0</v>
      </c>
      <c r="BJ167" s="277">
        <v>0</v>
      </c>
      <c r="BK167" s="277"/>
      <c r="BL167" s="278">
        <f t="shared" si="102"/>
        <v>0</v>
      </c>
      <c r="BM167" s="279">
        <f t="shared" si="103"/>
        <v>4.0515499999999996E-2</v>
      </c>
      <c r="BN167" s="279">
        <f t="shared" si="103"/>
        <v>0.01</v>
      </c>
      <c r="BO167" s="1694"/>
      <c r="BP167" s="563">
        <f t="shared" si="89"/>
        <v>0</v>
      </c>
      <c r="BQ167" s="1694"/>
      <c r="BR167" s="1694"/>
    </row>
    <row r="168" spans="1:70" ht="15.75" thickBot="1">
      <c r="A168" s="273" t="s">
        <v>512</v>
      </c>
      <c r="B168" s="274">
        <v>2028</v>
      </c>
      <c r="C168" s="577">
        <f>IF($C$7=2,6%+D168,6%)</f>
        <v>0.06</v>
      </c>
      <c r="D168" s="576">
        <v>-0.06</v>
      </c>
      <c r="E168" s="275">
        <f t="shared" si="95"/>
        <v>58200000</v>
      </c>
      <c r="F168" s="276"/>
      <c r="G168" s="277"/>
      <c r="H168" s="277"/>
      <c r="I168" s="277"/>
      <c r="J168" s="278"/>
      <c r="K168" s="563"/>
      <c r="L168" s="563"/>
      <c r="M168" s="563"/>
      <c r="O168" s="276"/>
      <c r="P168" s="277"/>
      <c r="Q168" s="277"/>
      <c r="R168" s="277"/>
      <c r="S168" s="278"/>
      <c r="T168" s="563"/>
      <c r="U168" s="563"/>
      <c r="V168" s="563"/>
      <c r="X168" s="276"/>
      <c r="Y168" s="277"/>
      <c r="Z168" s="277"/>
      <c r="AA168" s="277"/>
      <c r="AB168" s="278"/>
      <c r="AC168" s="563"/>
      <c r="AD168" s="563"/>
      <c r="AE168" s="563"/>
      <c r="AG168" s="564"/>
      <c r="AH168" s="564"/>
      <c r="AI168" s="564"/>
      <c r="AK168" s="276"/>
      <c r="AL168" s="277"/>
      <c r="AM168" s="277"/>
      <c r="AN168" s="277"/>
      <c r="AO168" s="278"/>
      <c r="AP168" s="563"/>
      <c r="AQ168" s="563"/>
      <c r="AR168" s="563"/>
      <c r="AS168" s="563"/>
      <c r="AU168" s="276">
        <f t="shared" si="92"/>
        <v>153</v>
      </c>
      <c r="AV168" s="277">
        <f t="shared" si="96"/>
        <v>-58510550.350000001</v>
      </c>
      <c r="AW168" s="277">
        <f t="shared" si="97"/>
        <v>-310550.35000000003</v>
      </c>
      <c r="AX168" s="277">
        <f t="shared" si="98"/>
        <v>-58200000</v>
      </c>
      <c r="AY168" s="277"/>
      <c r="AZ168" s="278">
        <f t="shared" si="99"/>
        <v>58200000</v>
      </c>
      <c r="BA168" s="279">
        <f t="shared" si="100"/>
        <v>3.2015500000000002E-2</v>
      </c>
      <c r="BB168" s="279"/>
      <c r="BC168" s="1700"/>
      <c r="BD168" s="563"/>
      <c r="BE168" s="1694"/>
      <c r="BF168" s="1694"/>
      <c r="BH168" s="277">
        <f t="shared" si="101"/>
        <v>0</v>
      </c>
      <c r="BI168" s="277">
        <f t="shared" si="69"/>
        <v>0</v>
      </c>
      <c r="BJ168" s="277">
        <v>0</v>
      </c>
      <c r="BK168" s="277"/>
      <c r="BL168" s="278">
        <f t="shared" si="102"/>
        <v>0</v>
      </c>
      <c r="BM168" s="279">
        <f t="shared" si="103"/>
        <v>4.0515499999999996E-2</v>
      </c>
      <c r="BN168" s="279">
        <f t="shared" si="103"/>
        <v>0.01</v>
      </c>
      <c r="BO168" s="1694"/>
      <c r="BP168" s="563">
        <f t="shared" si="89"/>
        <v>0</v>
      </c>
      <c r="BQ168" s="1694"/>
      <c r="BR168" s="1694"/>
    </row>
    <row r="169" spans="1:70" ht="15">
      <c r="A169" s="273" t="s">
        <v>513</v>
      </c>
      <c r="B169" s="274">
        <v>2028</v>
      </c>
      <c r="C169" s="274"/>
      <c r="D169" s="274"/>
      <c r="E169" s="275">
        <f t="shared" si="95"/>
        <v>58200000</v>
      </c>
      <c r="F169" s="276"/>
      <c r="G169" s="277"/>
      <c r="H169" s="277"/>
      <c r="I169" s="277"/>
      <c r="J169" s="278"/>
      <c r="K169" s="563"/>
      <c r="L169" s="563"/>
      <c r="M169" s="563"/>
      <c r="O169" s="276"/>
      <c r="P169" s="277"/>
      <c r="Q169" s="277"/>
      <c r="R169" s="277"/>
      <c r="S169" s="278"/>
      <c r="T169" s="563"/>
      <c r="U169" s="563"/>
      <c r="V169" s="563"/>
      <c r="X169" s="276"/>
      <c r="Y169" s="277"/>
      <c r="Z169" s="277"/>
      <c r="AA169" s="277"/>
      <c r="AB169" s="278"/>
      <c r="AC169" s="563"/>
      <c r="AD169" s="563"/>
      <c r="AE169" s="563"/>
      <c r="AG169" s="564"/>
      <c r="AH169" s="564"/>
      <c r="AI169" s="564"/>
      <c r="AK169" s="276"/>
      <c r="AL169" s="277"/>
      <c r="AM169" s="277"/>
      <c r="AN169" s="277"/>
      <c r="AO169" s="278"/>
      <c r="AP169" s="563"/>
      <c r="AQ169" s="563"/>
      <c r="AR169" s="563"/>
      <c r="AS169" s="563"/>
      <c r="AU169" s="276">
        <f t="shared" si="92"/>
        <v>154</v>
      </c>
      <c r="AV169" s="277">
        <f t="shared" si="96"/>
        <v>-155275.17500000002</v>
      </c>
      <c r="AW169" s="277">
        <f t="shared" si="97"/>
        <v>-155275.17500000002</v>
      </c>
      <c r="AX169" s="277">
        <f t="shared" si="98"/>
        <v>0</v>
      </c>
      <c r="AY169" s="277"/>
      <c r="AZ169" s="278">
        <f t="shared" si="99"/>
        <v>58200000</v>
      </c>
      <c r="BA169" s="279">
        <f t="shared" si="100"/>
        <v>3.2015500000000002E-2</v>
      </c>
      <c r="BB169" s="279"/>
      <c r="BC169" s="1700"/>
      <c r="BD169" s="563"/>
      <c r="BE169" s="1694"/>
      <c r="BF169" s="1694"/>
      <c r="BH169" s="277">
        <f t="shared" si="101"/>
        <v>0</v>
      </c>
      <c r="BI169" s="277">
        <f t="shared" si="69"/>
        <v>0</v>
      </c>
      <c r="BJ169" s="277">
        <v>0</v>
      </c>
      <c r="BK169" s="277"/>
      <c r="BL169" s="278">
        <f t="shared" si="102"/>
        <v>0</v>
      </c>
      <c r="BM169" s="279">
        <f t="shared" si="103"/>
        <v>4.0515499999999996E-2</v>
      </c>
      <c r="BN169" s="279">
        <f t="shared" si="103"/>
        <v>0.01</v>
      </c>
      <c r="BO169" s="1694"/>
      <c r="BP169" s="563">
        <f t="shared" si="89"/>
        <v>0</v>
      </c>
      <c r="BQ169" s="1694"/>
      <c r="BR169" s="1694"/>
    </row>
    <row r="170" spans="1:70" ht="15.75" thickBot="1">
      <c r="A170" s="273" t="s">
        <v>514</v>
      </c>
      <c r="B170" s="274">
        <v>2028</v>
      </c>
      <c r="C170" s="274"/>
      <c r="D170" s="274"/>
      <c r="E170" s="275">
        <f t="shared" si="95"/>
        <v>58200000</v>
      </c>
      <c r="F170" s="276"/>
      <c r="G170" s="277"/>
      <c r="H170" s="277"/>
      <c r="I170" s="277"/>
      <c r="J170" s="278"/>
      <c r="K170" s="563"/>
      <c r="L170" s="563"/>
      <c r="M170" s="563"/>
      <c r="O170" s="276"/>
      <c r="P170" s="277"/>
      <c r="Q170" s="277"/>
      <c r="R170" s="277"/>
      <c r="S170" s="278"/>
      <c r="T170" s="563"/>
      <c r="U170" s="563"/>
      <c r="V170" s="563"/>
      <c r="X170" s="276"/>
      <c r="Y170" s="277"/>
      <c r="Z170" s="277"/>
      <c r="AA170" s="277"/>
      <c r="AB170" s="278"/>
      <c r="AC170" s="563"/>
      <c r="AD170" s="563"/>
      <c r="AE170" s="563"/>
      <c r="AG170" s="564"/>
      <c r="AH170" s="564"/>
      <c r="AI170" s="564"/>
      <c r="AK170" s="276"/>
      <c r="AL170" s="277"/>
      <c r="AM170" s="277"/>
      <c r="AN170" s="277"/>
      <c r="AO170" s="278"/>
      <c r="AP170" s="563"/>
      <c r="AQ170" s="563"/>
      <c r="AR170" s="563"/>
      <c r="AS170" s="563"/>
      <c r="AU170" s="276">
        <f t="shared" si="92"/>
        <v>155</v>
      </c>
      <c r="AV170" s="277">
        <f t="shared" si="96"/>
        <v>-155275.17500000002</v>
      </c>
      <c r="AW170" s="277">
        <f t="shared" si="97"/>
        <v>-155275.17500000002</v>
      </c>
      <c r="AX170" s="277">
        <f t="shared" si="98"/>
        <v>0</v>
      </c>
      <c r="AY170" s="277"/>
      <c r="AZ170" s="278">
        <f t="shared" si="99"/>
        <v>58200000</v>
      </c>
      <c r="BA170" s="279">
        <f t="shared" si="100"/>
        <v>3.2015500000000002E-2</v>
      </c>
      <c r="BB170" s="279"/>
      <c r="BC170" s="1700"/>
      <c r="BD170" s="563"/>
      <c r="BE170" s="1694"/>
      <c r="BF170" s="1694"/>
      <c r="BH170" s="277">
        <f t="shared" si="101"/>
        <v>0</v>
      </c>
      <c r="BI170" s="277">
        <f t="shared" si="69"/>
        <v>0</v>
      </c>
      <c r="BJ170" s="277">
        <v>0</v>
      </c>
      <c r="BK170" s="277"/>
      <c r="BL170" s="278">
        <f t="shared" si="102"/>
        <v>0</v>
      </c>
      <c r="BM170" s="279">
        <f t="shared" si="103"/>
        <v>4.0515499999999996E-2</v>
      </c>
      <c r="BN170" s="279">
        <f t="shared" si="103"/>
        <v>0.01</v>
      </c>
      <c r="BO170" s="1694"/>
      <c r="BP170" s="563">
        <f t="shared" si="89"/>
        <v>0</v>
      </c>
      <c r="BQ170" s="1694"/>
      <c r="BR170" s="1694"/>
    </row>
    <row r="171" spans="1:70" ht="15.75" thickBot="1">
      <c r="A171" s="273" t="s">
        <v>515</v>
      </c>
      <c r="B171" s="274">
        <v>2028</v>
      </c>
      <c r="C171" s="577">
        <f>IF($C$7=2,6%+D171,6%)</f>
        <v>0.06</v>
      </c>
      <c r="D171" s="576">
        <v>-0.06</v>
      </c>
      <c r="E171" s="275">
        <f t="shared" si="95"/>
        <v>0</v>
      </c>
      <c r="F171" s="276"/>
      <c r="G171" s="277"/>
      <c r="H171" s="277"/>
      <c r="I171" s="277"/>
      <c r="J171" s="278"/>
      <c r="K171" s="563"/>
      <c r="L171" s="563"/>
      <c r="M171" s="563"/>
      <c r="O171" s="276"/>
      <c r="P171" s="277"/>
      <c r="Q171" s="277"/>
      <c r="R171" s="277"/>
      <c r="S171" s="278"/>
      <c r="T171" s="563"/>
      <c r="U171" s="563"/>
      <c r="V171" s="563"/>
      <c r="X171" s="276"/>
      <c r="Y171" s="277"/>
      <c r="Z171" s="277"/>
      <c r="AA171" s="277"/>
      <c r="AB171" s="278"/>
      <c r="AC171" s="563"/>
      <c r="AD171" s="563"/>
      <c r="AE171" s="563"/>
      <c r="AG171" s="564"/>
      <c r="AH171" s="564"/>
      <c r="AI171" s="564"/>
      <c r="AK171" s="276"/>
      <c r="AL171" s="277"/>
      <c r="AM171" s="277"/>
      <c r="AN171" s="277"/>
      <c r="AO171" s="278"/>
      <c r="AP171" s="563"/>
      <c r="AQ171" s="563"/>
      <c r="AR171" s="563"/>
      <c r="AS171" s="563"/>
      <c r="AU171" s="276">
        <f t="shared" si="92"/>
        <v>156</v>
      </c>
      <c r="AV171" s="277">
        <f t="shared" si="96"/>
        <v>-58355275.174999997</v>
      </c>
      <c r="AW171" s="277">
        <f t="shared" si="97"/>
        <v>-155275.17500000002</v>
      </c>
      <c r="AX171" s="277">
        <f t="shared" si="98"/>
        <v>-58200000</v>
      </c>
      <c r="AY171" s="277"/>
      <c r="AZ171" s="278">
        <f t="shared" si="99"/>
        <v>0</v>
      </c>
      <c r="BA171" s="279">
        <f t="shared" si="100"/>
        <v>3.2015500000000002E-2</v>
      </c>
      <c r="BB171" s="279"/>
      <c r="BC171" s="1700"/>
      <c r="BD171" s="563"/>
      <c r="BE171" s="1694"/>
      <c r="BF171" s="1694"/>
      <c r="BH171" s="277">
        <f t="shared" si="101"/>
        <v>0</v>
      </c>
      <c r="BI171" s="277">
        <f t="shared" si="69"/>
        <v>0</v>
      </c>
      <c r="BJ171" s="277">
        <v>0</v>
      </c>
      <c r="BK171" s="277"/>
      <c r="BL171" s="278">
        <f t="shared" si="102"/>
        <v>0</v>
      </c>
      <c r="BM171" s="279">
        <f t="shared" si="103"/>
        <v>4.0515499999999996E-2</v>
      </c>
      <c r="BN171" s="279">
        <f t="shared" si="103"/>
        <v>0.01</v>
      </c>
      <c r="BO171" s="1694"/>
      <c r="BP171" s="563">
        <f t="shared" si="89"/>
        <v>0</v>
      </c>
      <c r="BQ171" s="1694"/>
      <c r="BR171" s="1694"/>
    </row>
    <row r="172" spans="1:70" ht="15">
      <c r="A172" s="273" t="s">
        <v>516</v>
      </c>
      <c r="B172" s="274">
        <v>2028</v>
      </c>
      <c r="C172" s="274"/>
      <c r="D172" s="274"/>
      <c r="E172" s="275">
        <f t="shared" si="95"/>
        <v>0</v>
      </c>
      <c r="F172" s="276"/>
      <c r="G172" s="277"/>
      <c r="H172" s="277"/>
      <c r="I172" s="277"/>
      <c r="J172" s="278"/>
      <c r="K172" s="563"/>
      <c r="L172" s="563"/>
      <c r="M172" s="563"/>
      <c r="O172" s="276"/>
      <c r="P172" s="277"/>
      <c r="Q172" s="277"/>
      <c r="R172" s="277"/>
      <c r="S172" s="278"/>
      <c r="T172" s="563"/>
      <c r="U172" s="563"/>
      <c r="V172" s="563"/>
      <c r="X172" s="276"/>
      <c r="Y172" s="277"/>
      <c r="Z172" s="277"/>
      <c r="AA172" s="277"/>
      <c r="AB172" s="278"/>
      <c r="AC172" s="563"/>
      <c r="AD172" s="563"/>
      <c r="AE172" s="563"/>
      <c r="AG172" s="564"/>
      <c r="AH172" s="564"/>
      <c r="AI172" s="564"/>
      <c r="AK172" s="276"/>
      <c r="AL172" s="277"/>
      <c r="AM172" s="277"/>
      <c r="AN172" s="277"/>
      <c r="AO172" s="278"/>
      <c r="AP172" s="563"/>
      <c r="AQ172" s="563"/>
      <c r="AR172" s="563"/>
      <c r="AS172" s="563"/>
      <c r="AU172" s="276">
        <f t="shared" si="92"/>
        <v>157</v>
      </c>
      <c r="AV172" s="277">
        <f t="shared" si="96"/>
        <v>0</v>
      </c>
      <c r="AW172" s="277">
        <f t="shared" si="97"/>
        <v>0</v>
      </c>
      <c r="AX172" s="277">
        <f t="shared" si="98"/>
        <v>0</v>
      </c>
      <c r="AY172" s="277"/>
      <c r="AZ172" s="278">
        <f t="shared" si="99"/>
        <v>0</v>
      </c>
      <c r="BA172" s="279">
        <f t="shared" si="100"/>
        <v>3.2015500000000002E-2</v>
      </c>
      <c r="BB172" s="279"/>
      <c r="BC172" s="1700"/>
      <c r="BD172" s="563"/>
      <c r="BE172" s="1694"/>
      <c r="BF172" s="1694"/>
      <c r="BH172" s="277">
        <f t="shared" si="101"/>
        <v>0</v>
      </c>
      <c r="BI172" s="277">
        <f t="shared" si="69"/>
        <v>0</v>
      </c>
      <c r="BJ172" s="277">
        <v>0</v>
      </c>
      <c r="BK172" s="277"/>
      <c r="BL172" s="278">
        <f t="shared" si="102"/>
        <v>0</v>
      </c>
      <c r="BM172" s="279">
        <f t="shared" si="103"/>
        <v>4.0515499999999996E-2</v>
      </c>
      <c r="BN172" s="279">
        <f t="shared" si="103"/>
        <v>0.01</v>
      </c>
      <c r="BO172" s="1694"/>
      <c r="BP172" s="563">
        <f t="shared" si="89"/>
        <v>0</v>
      </c>
      <c r="BQ172" s="1694"/>
      <c r="BR172" s="1694"/>
    </row>
    <row r="173" spans="1:70" ht="15.75" thickBot="1">
      <c r="A173" s="273" t="s">
        <v>517</v>
      </c>
      <c r="B173" s="274">
        <v>2028</v>
      </c>
      <c r="C173" s="274"/>
      <c r="D173" s="274"/>
      <c r="E173" s="275">
        <f t="shared" si="95"/>
        <v>0</v>
      </c>
      <c r="F173" s="276"/>
      <c r="G173" s="277"/>
      <c r="H173" s="277"/>
      <c r="I173" s="277"/>
      <c r="J173" s="278"/>
      <c r="K173" s="563"/>
      <c r="L173" s="563"/>
      <c r="M173" s="563"/>
      <c r="O173" s="276"/>
      <c r="P173" s="277"/>
      <c r="Q173" s="277"/>
      <c r="R173" s="277"/>
      <c r="S173" s="278"/>
      <c r="T173" s="563"/>
      <c r="U173" s="563"/>
      <c r="V173" s="563"/>
      <c r="X173" s="276"/>
      <c r="Y173" s="277"/>
      <c r="Z173" s="277"/>
      <c r="AA173" s="277"/>
      <c r="AB173" s="278"/>
      <c r="AC173" s="563"/>
      <c r="AD173" s="563"/>
      <c r="AE173" s="563"/>
      <c r="AG173" s="564"/>
      <c r="AH173" s="564"/>
      <c r="AI173" s="564"/>
      <c r="AK173" s="276"/>
      <c r="AL173" s="277"/>
      <c r="AM173" s="277"/>
      <c r="AN173" s="277"/>
      <c r="AO173" s="278"/>
      <c r="AP173" s="563"/>
      <c r="AQ173" s="563"/>
      <c r="AR173" s="563"/>
      <c r="AS173" s="563"/>
      <c r="AU173" s="276">
        <f t="shared" si="92"/>
        <v>158</v>
      </c>
      <c r="AV173" s="277">
        <f t="shared" si="96"/>
        <v>0</v>
      </c>
      <c r="AW173" s="277">
        <f t="shared" si="97"/>
        <v>0</v>
      </c>
      <c r="AX173" s="277">
        <f t="shared" si="98"/>
        <v>0</v>
      </c>
      <c r="AY173" s="277"/>
      <c r="AZ173" s="278">
        <f t="shared" si="99"/>
        <v>0</v>
      </c>
      <c r="BA173" s="279">
        <f t="shared" si="100"/>
        <v>3.2015500000000002E-2</v>
      </c>
      <c r="BB173" s="279"/>
      <c r="BC173" s="1700"/>
      <c r="BD173" s="563"/>
      <c r="BE173" s="1694"/>
      <c r="BF173" s="1694"/>
      <c r="BH173" s="277">
        <f t="shared" si="101"/>
        <v>0</v>
      </c>
      <c r="BI173" s="277">
        <f t="shared" si="69"/>
        <v>0</v>
      </c>
      <c r="BJ173" s="277">
        <v>0</v>
      </c>
      <c r="BK173" s="277"/>
      <c r="BL173" s="278">
        <f t="shared" si="102"/>
        <v>0</v>
      </c>
      <c r="BM173" s="279">
        <f t="shared" si="103"/>
        <v>4.0515499999999996E-2</v>
      </c>
      <c r="BN173" s="279">
        <f t="shared" si="103"/>
        <v>0.01</v>
      </c>
      <c r="BO173" s="1694"/>
      <c r="BP173" s="563">
        <f t="shared" si="89"/>
        <v>0</v>
      </c>
      <c r="BQ173" s="1694"/>
      <c r="BR173" s="1694"/>
    </row>
    <row r="174" spans="1:70" ht="15.75" thickBot="1">
      <c r="A174" s="273" t="s">
        <v>518</v>
      </c>
      <c r="B174" s="274">
        <v>2028</v>
      </c>
      <c r="C174" s="577">
        <v>0</v>
      </c>
      <c r="D174" s="576"/>
      <c r="E174" s="275">
        <f t="shared" si="95"/>
        <v>0</v>
      </c>
      <c r="F174" s="276"/>
      <c r="G174" s="277"/>
      <c r="H174" s="277"/>
      <c r="I174" s="277"/>
      <c r="J174" s="278"/>
      <c r="K174" s="563"/>
      <c r="L174" s="563"/>
      <c r="M174" s="563"/>
      <c r="O174" s="276"/>
      <c r="P174" s="277"/>
      <c r="Q174" s="277"/>
      <c r="R174" s="277"/>
      <c r="S174" s="278"/>
      <c r="T174" s="563"/>
      <c r="U174" s="563"/>
      <c r="V174" s="563"/>
      <c r="X174" s="276"/>
      <c r="Y174" s="277"/>
      <c r="Z174" s="277"/>
      <c r="AA174" s="277"/>
      <c r="AB174" s="278"/>
      <c r="AC174" s="563"/>
      <c r="AD174" s="563"/>
      <c r="AE174" s="563"/>
      <c r="AG174" s="564"/>
      <c r="AH174" s="564"/>
      <c r="AI174" s="564"/>
      <c r="AK174" s="276"/>
      <c r="AL174" s="277"/>
      <c r="AM174" s="277"/>
      <c r="AN174" s="277"/>
      <c r="AO174" s="278"/>
      <c r="AP174" s="563"/>
      <c r="AQ174" s="563"/>
      <c r="AR174" s="563"/>
      <c r="AS174" s="563"/>
      <c r="AU174" s="276">
        <f t="shared" si="92"/>
        <v>159</v>
      </c>
      <c r="AV174" s="277">
        <f t="shared" si="96"/>
        <v>0</v>
      </c>
      <c r="AW174" s="277">
        <f t="shared" si="97"/>
        <v>0</v>
      </c>
      <c r="AX174" s="277">
        <f t="shared" si="98"/>
        <v>0</v>
      </c>
      <c r="AY174" s="277"/>
      <c r="AZ174" s="278">
        <f t="shared" si="99"/>
        <v>0</v>
      </c>
      <c r="BA174" s="279">
        <f t="shared" si="100"/>
        <v>3.2015500000000002E-2</v>
      </c>
      <c r="BB174" s="279"/>
      <c r="BC174" s="1700"/>
      <c r="BD174" s="563"/>
      <c r="BE174" s="1694"/>
      <c r="BF174" s="1694"/>
      <c r="BH174" s="277">
        <f t="shared" si="101"/>
        <v>0</v>
      </c>
      <c r="BI174" s="277">
        <f>-BL173*BM173/12</f>
        <v>0</v>
      </c>
      <c r="BJ174" s="277">
        <v>0</v>
      </c>
      <c r="BK174" s="277"/>
      <c r="BL174" s="278">
        <f t="shared" si="102"/>
        <v>0</v>
      </c>
      <c r="BM174" s="279">
        <f t="shared" si="103"/>
        <v>4.0515499999999996E-2</v>
      </c>
      <c r="BN174" s="279">
        <f t="shared" si="103"/>
        <v>0.01</v>
      </c>
      <c r="BO174" s="1694"/>
      <c r="BP174" s="563">
        <f t="shared" si="89"/>
        <v>0</v>
      </c>
      <c r="BQ174" s="1694"/>
      <c r="BR174" s="1694"/>
    </row>
    <row r="175" spans="1:70" ht="15">
      <c r="A175" s="273" t="s">
        <v>519</v>
      </c>
      <c r="B175" s="274">
        <v>2029</v>
      </c>
      <c r="C175" s="274"/>
      <c r="D175" s="274"/>
      <c r="E175" s="275"/>
      <c r="F175" s="276"/>
      <c r="G175" s="277"/>
      <c r="H175" s="277"/>
      <c r="I175" s="277"/>
      <c r="J175" s="278"/>
      <c r="K175" s="563"/>
      <c r="L175" s="563"/>
      <c r="M175" s="563"/>
      <c r="O175" s="276"/>
      <c r="P175" s="277"/>
      <c r="Q175" s="277"/>
      <c r="R175" s="277"/>
      <c r="S175" s="278"/>
      <c r="T175" s="563"/>
      <c r="U175" s="563"/>
      <c r="V175" s="563"/>
      <c r="X175" s="276"/>
      <c r="Y175" s="277"/>
      <c r="Z175" s="277"/>
      <c r="AA175" s="277"/>
      <c r="AB175" s="278"/>
      <c r="AC175" s="563"/>
      <c r="AD175" s="563"/>
      <c r="AE175" s="563"/>
      <c r="AG175" s="564"/>
      <c r="AH175" s="564"/>
      <c r="AI175" s="564"/>
      <c r="AK175" s="276"/>
      <c r="AL175" s="277"/>
      <c r="AM175" s="277"/>
      <c r="AN175" s="277"/>
      <c r="AO175" s="278"/>
      <c r="AP175" s="563"/>
      <c r="AQ175" s="563"/>
      <c r="AR175" s="563"/>
      <c r="AS175" s="563"/>
      <c r="AU175" s="276"/>
      <c r="AV175" s="277"/>
      <c r="AW175" s="277"/>
      <c r="AX175" s="277"/>
      <c r="AY175" s="277"/>
      <c r="AZ175" s="278"/>
      <c r="BA175" s="279"/>
      <c r="BB175" s="279"/>
      <c r="BC175" s="1700"/>
      <c r="BD175" s="563"/>
      <c r="BE175" s="1694"/>
      <c r="BF175" s="1694"/>
      <c r="BH175" s="277">
        <f t="shared" si="101"/>
        <v>0</v>
      </c>
      <c r="BI175" s="277">
        <f>-BL174*BM174/12</f>
        <v>0</v>
      </c>
      <c r="BJ175" s="277">
        <v>0</v>
      </c>
      <c r="BK175" s="277"/>
      <c r="BL175" s="278">
        <f t="shared" si="102"/>
        <v>0</v>
      </c>
      <c r="BM175" s="279">
        <f t="shared" ref="BM175:BN177" si="104">BM174</f>
        <v>4.0515499999999996E-2</v>
      </c>
      <c r="BN175" s="279">
        <f t="shared" si="104"/>
        <v>0.01</v>
      </c>
      <c r="BO175" s="1694"/>
      <c r="BP175" s="563">
        <f t="shared" si="89"/>
        <v>0</v>
      </c>
      <c r="BQ175" s="1694"/>
      <c r="BR175" s="1694"/>
    </row>
    <row r="176" spans="1:70" ht="15">
      <c r="A176" s="273" t="s">
        <v>520</v>
      </c>
      <c r="B176" s="274">
        <v>2029</v>
      </c>
      <c r="C176" s="274"/>
      <c r="D176" s="274"/>
      <c r="E176" s="275"/>
      <c r="F176" s="276"/>
      <c r="G176" s="277"/>
      <c r="H176" s="277"/>
      <c r="I176" s="277"/>
      <c r="J176" s="278"/>
      <c r="K176" s="563"/>
      <c r="L176" s="563"/>
      <c r="M176" s="563"/>
      <c r="O176" s="276"/>
      <c r="P176" s="277"/>
      <c r="Q176" s="277"/>
      <c r="R176" s="277"/>
      <c r="S176" s="278"/>
      <c r="T176" s="563"/>
      <c r="U176" s="563"/>
      <c r="V176" s="563"/>
      <c r="X176" s="276"/>
      <c r="Y176" s="277"/>
      <c r="Z176" s="277"/>
      <c r="AA176" s="277"/>
      <c r="AB176" s="278"/>
      <c r="AC176" s="563"/>
      <c r="AD176" s="563"/>
      <c r="AE176" s="563"/>
      <c r="AG176" s="564"/>
      <c r="AH176" s="564"/>
      <c r="AI176" s="564"/>
      <c r="AK176" s="276"/>
      <c r="AL176" s="277"/>
      <c r="AM176" s="277"/>
      <c r="AN176" s="277"/>
      <c r="AO176" s="278"/>
      <c r="AP176" s="563"/>
      <c r="AQ176" s="563"/>
      <c r="AR176" s="563"/>
      <c r="AS176" s="563"/>
      <c r="AU176" s="276"/>
      <c r="AV176" s="277"/>
      <c r="AW176" s="277"/>
      <c r="AX176" s="277"/>
      <c r="AY176" s="277"/>
      <c r="AZ176" s="278"/>
      <c r="BA176" s="279"/>
      <c r="BB176" s="279"/>
      <c r="BC176" s="1700"/>
      <c r="BD176" s="563"/>
      <c r="BE176" s="1694"/>
      <c r="BF176" s="1694"/>
      <c r="BH176" s="277">
        <f t="shared" si="101"/>
        <v>0</v>
      </c>
      <c r="BI176" s="277">
        <f>-BL175*BM175/12</f>
        <v>0</v>
      </c>
      <c r="BJ176" s="277">
        <v>0</v>
      </c>
      <c r="BK176" s="277"/>
      <c r="BL176" s="278">
        <f t="shared" si="102"/>
        <v>0</v>
      </c>
      <c r="BM176" s="279">
        <f t="shared" si="104"/>
        <v>4.0515499999999996E-2</v>
      </c>
      <c r="BN176" s="279">
        <f t="shared" si="104"/>
        <v>0.01</v>
      </c>
      <c r="BO176" s="1694"/>
      <c r="BP176" s="563">
        <f t="shared" si="89"/>
        <v>0</v>
      </c>
      <c r="BQ176" s="1694"/>
      <c r="BR176" s="1694"/>
    </row>
    <row r="177" spans="1:70" ht="15">
      <c r="A177" s="273" t="s">
        <v>521</v>
      </c>
      <c r="B177" s="274">
        <v>2029</v>
      </c>
      <c r="C177" s="274"/>
      <c r="D177" s="274"/>
      <c r="E177" s="275"/>
      <c r="F177" s="276"/>
      <c r="G177" s="277"/>
      <c r="H177" s="277"/>
      <c r="I177" s="277"/>
      <c r="J177" s="278"/>
      <c r="K177" s="563"/>
      <c r="L177" s="563"/>
      <c r="M177" s="563"/>
      <c r="O177" s="276"/>
      <c r="P177" s="277"/>
      <c r="Q177" s="277"/>
      <c r="R177" s="277"/>
      <c r="S177" s="278"/>
      <c r="T177" s="563"/>
      <c r="U177" s="563"/>
      <c r="V177" s="563"/>
      <c r="X177" s="276"/>
      <c r="Y177" s="277"/>
      <c r="Z177" s="277"/>
      <c r="AA177" s="277"/>
      <c r="AB177" s="278"/>
      <c r="AC177" s="563"/>
      <c r="AD177" s="563"/>
      <c r="AE177" s="563"/>
      <c r="AG177" s="564"/>
      <c r="AH177" s="564"/>
      <c r="AI177" s="564"/>
      <c r="AK177" s="276"/>
      <c r="AL177" s="277"/>
      <c r="AM177" s="277"/>
      <c r="AN177" s="277"/>
      <c r="AO177" s="278"/>
      <c r="AP177" s="563"/>
      <c r="AQ177" s="563"/>
      <c r="AR177" s="563"/>
      <c r="AS177" s="563"/>
      <c r="AU177" s="276"/>
      <c r="AV177" s="277"/>
      <c r="AW177" s="277"/>
      <c r="AX177" s="277"/>
      <c r="AY177" s="277"/>
      <c r="AZ177" s="278"/>
      <c r="BA177" s="279"/>
      <c r="BB177" s="279"/>
      <c r="BC177" s="1701"/>
      <c r="BD177" s="563"/>
      <c r="BE177" s="1694"/>
      <c r="BF177" s="1694"/>
      <c r="BG177" s="229">
        <f>'Cashflow trend'!O23</f>
        <v>34357.592959075897</v>
      </c>
      <c r="BH177" s="277">
        <f t="shared" si="101"/>
        <v>0</v>
      </c>
      <c r="BI177" s="277">
        <f>-BL176*BM176/12</f>
        <v>0</v>
      </c>
      <c r="BJ177" s="277">
        <v>0</v>
      </c>
      <c r="BK177" s="277"/>
      <c r="BL177" s="278">
        <f t="shared" si="102"/>
        <v>0</v>
      </c>
      <c r="BM177" s="279">
        <f t="shared" si="104"/>
        <v>4.0515499999999996E-2</v>
      </c>
      <c r="BN177" s="279">
        <f t="shared" si="104"/>
        <v>0.01</v>
      </c>
      <c r="BO177" s="1694"/>
      <c r="BP177" s="563">
        <f t="shared" si="89"/>
        <v>0</v>
      </c>
      <c r="BQ177" s="1694"/>
      <c r="BR177" s="1694"/>
    </row>
    <row r="178" spans="1:70" ht="15">
      <c r="C178" s="429">
        <f>SUM(C90:C177)</f>
        <v>1.0000000000000002</v>
      </c>
      <c r="D178" s="429">
        <f>SUM(D90:D177)</f>
        <v>0</v>
      </c>
      <c r="F178" s="283" t="s">
        <v>54</v>
      </c>
      <c r="G178" s="284" t="e">
        <f>SUM(G10:G153)</f>
        <v>#REF!</v>
      </c>
      <c r="H178" s="284" t="e">
        <f>SUM(H10:H153)</f>
        <v>#REF!</v>
      </c>
      <c r="I178" s="284" t="e">
        <f>SUM(I10:I153)</f>
        <v>#REF!</v>
      </c>
      <c r="J178" s="285"/>
      <c r="K178" s="286"/>
      <c r="L178" s="287" t="e">
        <f>SUM(L10:L153)</f>
        <v>#REF!</v>
      </c>
      <c r="M178" s="287" t="e">
        <f>SUM(M10:M153)</f>
        <v>#REF!</v>
      </c>
      <c r="O178" s="283" t="s">
        <v>54</v>
      </c>
      <c r="P178" s="284" t="e">
        <f>SUM(P10:P153)</f>
        <v>#REF!</v>
      </c>
      <c r="Q178" s="284" t="e">
        <f>SUM(Q10:Q153)</f>
        <v>#REF!</v>
      </c>
      <c r="R178" s="284" t="e">
        <f>SUM(R10:R153)</f>
        <v>#REF!</v>
      </c>
      <c r="S178" s="285"/>
      <c r="T178" s="286"/>
      <c r="U178" s="287" t="e">
        <f>SUM(U10:U153)</f>
        <v>#REF!</v>
      </c>
      <c r="V178" s="287" t="e">
        <f>SUM(V10:V153)</f>
        <v>#REF!</v>
      </c>
      <c r="X178" s="283" t="s">
        <v>54</v>
      </c>
      <c r="Y178" s="284" t="e">
        <f>SUM(Y10:Y153)</f>
        <v>#REF!</v>
      </c>
      <c r="Z178" s="284" t="e">
        <f>SUM(Z10:Z153)</f>
        <v>#REF!</v>
      </c>
      <c r="AA178" s="284" t="e">
        <f>SUM(AA10:AA153)</f>
        <v>#REF!</v>
      </c>
      <c r="AB178" s="285"/>
      <c r="AC178" s="286"/>
      <c r="AD178" s="287" t="e">
        <f>SUM(AD10:AD153)</f>
        <v>#REF!</v>
      </c>
      <c r="AE178" s="287" t="e">
        <f>SUM(AE10:AE153)</f>
        <v>#REF!</v>
      </c>
      <c r="AG178" s="284"/>
      <c r="AH178" s="287" t="e">
        <f>SUM(AH10:AH153)</f>
        <v>#REF!</v>
      </c>
      <c r="AI178" s="287" t="e">
        <f>SUM(AI10:AI153)</f>
        <v>#REF!</v>
      </c>
      <c r="AK178" s="283" t="s">
        <v>54</v>
      </c>
      <c r="AL178" s="284" t="e">
        <f>SUM(AL10:AL153)</f>
        <v>#REF!</v>
      </c>
      <c r="AM178" s="284" t="e">
        <f>SUM(AM10:AM153)</f>
        <v>#REF!</v>
      </c>
      <c r="AN178" s="284" t="e">
        <f>SUM(AN10:AN153)</f>
        <v>#REF!</v>
      </c>
      <c r="AO178" s="285"/>
      <c r="AP178" s="286"/>
      <c r="AQ178" s="287" t="e">
        <f>SUM(AQ10:AQ153)</f>
        <v>#REF!</v>
      </c>
      <c r="AR178" s="287" t="e">
        <f>SUM(AR10:AR153)</f>
        <v>#REF!</v>
      </c>
      <c r="AS178" s="288">
        <f>SUM(AS10:AS153)</f>
        <v>1</v>
      </c>
      <c r="AU178" s="283" t="s">
        <v>54</v>
      </c>
      <c r="AV178" s="284">
        <f>SUM(AV10:AV177)</f>
        <v>-1229896853.6448662</v>
      </c>
      <c r="AW178" s="284">
        <f>SUM(AW10:AW177)</f>
        <v>-229896853.64486724</v>
      </c>
      <c r="AX178" s="284">
        <f>SUM(AX10:AX177)</f>
        <v>-1000000000</v>
      </c>
      <c r="AY178" s="284"/>
      <c r="AZ178" s="285"/>
      <c r="BA178" s="285"/>
      <c r="BB178" s="285"/>
      <c r="BC178" s="286"/>
      <c r="BD178" s="287">
        <f>SUM(BD10:BD153)</f>
        <v>-64666295.874999993</v>
      </c>
      <c r="BE178" s="287">
        <f>SUM(BE10:BE177)</f>
        <v>-229896853.644867</v>
      </c>
      <c r="BF178" s="287">
        <f>SUM(BF10:BF177)</f>
        <v>0</v>
      </c>
      <c r="BH178" s="284">
        <f>SUM(BH10:BH177)</f>
        <v>-482883432.29166669</v>
      </c>
      <c r="BI178" s="284">
        <f>SUM(BI10:BI177)</f>
        <v>-62883432.291666657</v>
      </c>
      <c r="BJ178" s="284">
        <f>SUM(BJ10:BJ177)</f>
        <v>-420000000</v>
      </c>
      <c r="BK178" s="284">
        <f>SUM(BK10:BK177)</f>
        <v>420000000</v>
      </c>
      <c r="BL178" s="285"/>
      <c r="BM178" s="285"/>
      <c r="BN178" s="285"/>
      <c r="BO178" s="286"/>
      <c r="BP178" s="287">
        <f>SUM(BP10:BP177)</f>
        <v>-15520833.333333336</v>
      </c>
      <c r="BQ178" s="287">
        <f>SUM(BQ10:BQ177)</f>
        <v>-62883432.291666664</v>
      </c>
      <c r="BR178" s="287">
        <f>SUM(BR10:BR177)</f>
        <v>0</v>
      </c>
    </row>
    <row r="180" spans="1:70">
      <c r="AA180" s="229" t="s">
        <v>78</v>
      </c>
      <c r="AN180" s="229" t="s">
        <v>78</v>
      </c>
      <c r="AX180" s="229" t="s">
        <v>78</v>
      </c>
    </row>
  </sheetData>
  <mergeCells count="306">
    <mergeCell ref="G3:K3"/>
    <mergeCell ref="P3:T3"/>
    <mergeCell ref="Y3:AC3"/>
    <mergeCell ref="AG3:AI3"/>
    <mergeCell ref="AL3:AO3"/>
    <mergeCell ref="AV3:BA3"/>
    <mergeCell ref="BH7:BM7"/>
    <mergeCell ref="BO7:BR7"/>
    <mergeCell ref="K10:K21"/>
    <mergeCell ref="L10:L21"/>
    <mergeCell ref="M10:M21"/>
    <mergeCell ref="T10:T21"/>
    <mergeCell ref="U10:U21"/>
    <mergeCell ref="V10:V21"/>
    <mergeCell ref="AC10:AC21"/>
    <mergeCell ref="AD10:AD21"/>
    <mergeCell ref="K7:M7"/>
    <mergeCell ref="T7:V7"/>
    <mergeCell ref="AC7:AE7"/>
    <mergeCell ref="AG7:AI7"/>
    <mergeCell ref="AP7:AS7"/>
    <mergeCell ref="BC7:BF7"/>
    <mergeCell ref="BQ10:BQ21"/>
    <mergeCell ref="BR10:BR21"/>
    <mergeCell ref="K22:K33"/>
    <mergeCell ref="L22:L33"/>
    <mergeCell ref="M22:M33"/>
    <mergeCell ref="T22:T33"/>
    <mergeCell ref="U22:U33"/>
    <mergeCell ref="V22:V33"/>
    <mergeCell ref="AC22:AC33"/>
    <mergeCell ref="AD22:AD33"/>
    <mergeCell ref="AR10:AR21"/>
    <mergeCell ref="AS10:AS21"/>
    <mergeCell ref="BC10:BC21"/>
    <mergeCell ref="BE10:BE21"/>
    <mergeCell ref="BF10:BF21"/>
    <mergeCell ref="BO10:BO21"/>
    <mergeCell ref="AE10:AE21"/>
    <mergeCell ref="AG10:AG21"/>
    <mergeCell ref="AH10:AH21"/>
    <mergeCell ref="AI10:AI21"/>
    <mergeCell ref="AP10:AP21"/>
    <mergeCell ref="AQ10:AQ21"/>
    <mergeCell ref="BQ22:BQ33"/>
    <mergeCell ref="BR22:BR33"/>
    <mergeCell ref="K34:K45"/>
    <mergeCell ref="L34:L45"/>
    <mergeCell ref="M34:M45"/>
    <mergeCell ref="T34:T45"/>
    <mergeCell ref="U34:U45"/>
    <mergeCell ref="V34:V45"/>
    <mergeCell ref="AC34:AC45"/>
    <mergeCell ref="AD34:AD45"/>
    <mergeCell ref="AR22:AR33"/>
    <mergeCell ref="AS22:AS33"/>
    <mergeCell ref="BC22:BC33"/>
    <mergeCell ref="BE22:BE33"/>
    <mergeCell ref="BF22:BF33"/>
    <mergeCell ref="BO22:BO33"/>
    <mergeCell ref="AE22:AE33"/>
    <mergeCell ref="AG22:AG33"/>
    <mergeCell ref="AH22:AH33"/>
    <mergeCell ref="AI22:AI33"/>
    <mergeCell ref="AP22:AP33"/>
    <mergeCell ref="AQ22:AQ33"/>
    <mergeCell ref="BQ34:BQ45"/>
    <mergeCell ref="BR34:BR45"/>
    <mergeCell ref="K46:K57"/>
    <mergeCell ref="L46:L57"/>
    <mergeCell ref="M46:M57"/>
    <mergeCell ref="T46:T57"/>
    <mergeCell ref="U46:U57"/>
    <mergeCell ref="V46:V57"/>
    <mergeCell ref="AC46:AC57"/>
    <mergeCell ref="AD46:AD57"/>
    <mergeCell ref="AR34:AR45"/>
    <mergeCell ref="AS34:AS45"/>
    <mergeCell ref="BC34:BC45"/>
    <mergeCell ref="BE34:BE45"/>
    <mergeCell ref="BF34:BF45"/>
    <mergeCell ref="BO34:BO45"/>
    <mergeCell ref="AE34:AE45"/>
    <mergeCell ref="AG34:AG45"/>
    <mergeCell ref="AH34:AH45"/>
    <mergeCell ref="AI34:AI45"/>
    <mergeCell ref="AP34:AP45"/>
    <mergeCell ref="AQ34:AQ45"/>
    <mergeCell ref="BQ46:BQ57"/>
    <mergeCell ref="BR46:BR57"/>
    <mergeCell ref="K58:K69"/>
    <mergeCell ref="L58:L69"/>
    <mergeCell ref="M58:M69"/>
    <mergeCell ref="T58:T69"/>
    <mergeCell ref="U58:U69"/>
    <mergeCell ref="V58:V69"/>
    <mergeCell ref="AC58:AC69"/>
    <mergeCell ref="AD58:AD69"/>
    <mergeCell ref="AR46:AR57"/>
    <mergeCell ref="AS46:AS57"/>
    <mergeCell ref="BC46:BC57"/>
    <mergeCell ref="BE46:BE57"/>
    <mergeCell ref="BF46:BF57"/>
    <mergeCell ref="BO46:BO57"/>
    <mergeCell ref="AE46:AE57"/>
    <mergeCell ref="AG46:AG57"/>
    <mergeCell ref="AH46:AH57"/>
    <mergeCell ref="AI46:AI57"/>
    <mergeCell ref="AP46:AP57"/>
    <mergeCell ref="AQ46:AQ57"/>
    <mergeCell ref="BQ58:BQ69"/>
    <mergeCell ref="BR58:BR69"/>
    <mergeCell ref="AI82:AI93"/>
    <mergeCell ref="AS58:AS69"/>
    <mergeCell ref="BC58:BC69"/>
    <mergeCell ref="BE58:BE69"/>
    <mergeCell ref="BF58:BF69"/>
    <mergeCell ref="BO58:BO69"/>
    <mergeCell ref="AE58:AE69"/>
    <mergeCell ref="AG58:AG69"/>
    <mergeCell ref="AH58:AH69"/>
    <mergeCell ref="AI58:AI69"/>
    <mergeCell ref="AP58:AP69"/>
    <mergeCell ref="AQ58:AQ69"/>
    <mergeCell ref="AR58:AR69"/>
    <mergeCell ref="AE70:AE81"/>
    <mergeCell ref="AG70:AG81"/>
    <mergeCell ref="AH70:AH81"/>
    <mergeCell ref="AI70:AI81"/>
    <mergeCell ref="AP70:AP81"/>
    <mergeCell ref="AQ70:AQ81"/>
    <mergeCell ref="AE82:AE93"/>
    <mergeCell ref="AG82:AG93"/>
    <mergeCell ref="AH82:AH93"/>
    <mergeCell ref="AQ82:AQ93"/>
    <mergeCell ref="AR82:AR93"/>
    <mergeCell ref="BR70:BR81"/>
    <mergeCell ref="BC70:BC81"/>
    <mergeCell ref="BE70:BE81"/>
    <mergeCell ref="BF70:BF81"/>
    <mergeCell ref="BO70:BO81"/>
    <mergeCell ref="BO82:BO93"/>
    <mergeCell ref="BQ82:BQ93"/>
    <mergeCell ref="BR82:BR93"/>
    <mergeCell ref="K70:K81"/>
    <mergeCell ref="L70:L81"/>
    <mergeCell ref="M70:M81"/>
    <mergeCell ref="T70:T81"/>
    <mergeCell ref="U70:U81"/>
    <mergeCell ref="V70:V81"/>
    <mergeCell ref="AC70:AC81"/>
    <mergeCell ref="AD70:AD81"/>
    <mergeCell ref="AD82:AD93"/>
    <mergeCell ref="K82:K93"/>
    <mergeCell ref="L82:L93"/>
    <mergeCell ref="M82:M93"/>
    <mergeCell ref="T82:T93"/>
    <mergeCell ref="U82:U93"/>
    <mergeCell ref="V82:V93"/>
    <mergeCell ref="AC82:AC93"/>
    <mergeCell ref="AS82:AS93"/>
    <mergeCell ref="BC82:BC93"/>
    <mergeCell ref="BE82:BE93"/>
    <mergeCell ref="BF82:BF93"/>
    <mergeCell ref="AR70:AR81"/>
    <mergeCell ref="AS70:AS81"/>
    <mergeCell ref="AP94:AP105"/>
    <mergeCell ref="BO106:BO117"/>
    <mergeCell ref="BQ106:BQ117"/>
    <mergeCell ref="BO94:BO105"/>
    <mergeCell ref="AP82:AP93"/>
    <mergeCell ref="BQ70:BQ81"/>
    <mergeCell ref="K94:K105"/>
    <mergeCell ref="M94:M105"/>
    <mergeCell ref="T94:T105"/>
    <mergeCell ref="U94:U105"/>
    <mergeCell ref="V94:V105"/>
    <mergeCell ref="AC94:AC105"/>
    <mergeCell ref="AI106:AI117"/>
    <mergeCell ref="AP106:AP117"/>
    <mergeCell ref="AS118:AS129"/>
    <mergeCell ref="AC118:AC129"/>
    <mergeCell ref="AD118:AD129"/>
    <mergeCell ref="AE118:AE129"/>
    <mergeCell ref="AG118:AG129"/>
    <mergeCell ref="AH118:AH129"/>
    <mergeCell ref="AI118:AI129"/>
    <mergeCell ref="K118:K129"/>
    <mergeCell ref="L118:L129"/>
    <mergeCell ref="M118:M129"/>
    <mergeCell ref="T118:T129"/>
    <mergeCell ref="U118:U129"/>
    <mergeCell ref="V118:V129"/>
    <mergeCell ref="AP118:AP129"/>
    <mergeCell ref="AQ118:AQ129"/>
    <mergeCell ref="AR118:AR129"/>
    <mergeCell ref="BR94:BR105"/>
    <mergeCell ref="K106:K117"/>
    <mergeCell ref="L106:L117"/>
    <mergeCell ref="M106:M117"/>
    <mergeCell ref="T106:T117"/>
    <mergeCell ref="U106:U117"/>
    <mergeCell ref="V106:V117"/>
    <mergeCell ref="AC106:AC117"/>
    <mergeCell ref="AQ94:AQ105"/>
    <mergeCell ref="AR94:AR105"/>
    <mergeCell ref="AS94:AS105"/>
    <mergeCell ref="BC94:BC105"/>
    <mergeCell ref="BE94:BE105"/>
    <mergeCell ref="BF94:BF105"/>
    <mergeCell ref="AD94:AD105"/>
    <mergeCell ref="AE94:AE105"/>
    <mergeCell ref="AG94:AG105"/>
    <mergeCell ref="AH94:AH105"/>
    <mergeCell ref="AI94:AI105"/>
    <mergeCell ref="BQ94:BQ105"/>
    <mergeCell ref="AQ106:AQ117"/>
    <mergeCell ref="AR106:AR117"/>
    <mergeCell ref="AS106:AS117"/>
    <mergeCell ref="L94:L105"/>
    <mergeCell ref="AD106:AD117"/>
    <mergeCell ref="AE106:AE117"/>
    <mergeCell ref="AG106:AG117"/>
    <mergeCell ref="AH106:AH117"/>
    <mergeCell ref="BR106:BR117"/>
    <mergeCell ref="BC106:BC117"/>
    <mergeCell ref="BE106:BE117"/>
    <mergeCell ref="BF106:BF117"/>
    <mergeCell ref="BF118:BF129"/>
    <mergeCell ref="BO118:BO129"/>
    <mergeCell ref="BQ118:BQ129"/>
    <mergeCell ref="BR118:BR129"/>
    <mergeCell ref="BC118:BC129"/>
    <mergeCell ref="BE118:BE129"/>
    <mergeCell ref="K142:K153"/>
    <mergeCell ref="L142:L153"/>
    <mergeCell ref="M142:M153"/>
    <mergeCell ref="T142:T153"/>
    <mergeCell ref="U142:U153"/>
    <mergeCell ref="V142:V153"/>
    <mergeCell ref="AP130:AP141"/>
    <mergeCell ref="AQ130:AQ141"/>
    <mergeCell ref="AR130:AR141"/>
    <mergeCell ref="AC130:AC141"/>
    <mergeCell ref="AD130:AD141"/>
    <mergeCell ref="AE130:AE141"/>
    <mergeCell ref="AG130:AG141"/>
    <mergeCell ref="AH130:AH141"/>
    <mergeCell ref="AI130:AI141"/>
    <mergeCell ref="L130:L141"/>
    <mergeCell ref="M130:M141"/>
    <mergeCell ref="T130:T141"/>
    <mergeCell ref="U130:U141"/>
    <mergeCell ref="V130:V141"/>
    <mergeCell ref="K130:K141"/>
    <mergeCell ref="AP142:AP153"/>
    <mergeCell ref="AQ142:AQ153"/>
    <mergeCell ref="AR142:AR153"/>
    <mergeCell ref="AQ154:AQ165"/>
    <mergeCell ref="AR154:AR165"/>
    <mergeCell ref="AC154:AC165"/>
    <mergeCell ref="AD154:AD165"/>
    <mergeCell ref="AE154:AE165"/>
    <mergeCell ref="AG154:AG165"/>
    <mergeCell ref="AH154:AH165"/>
    <mergeCell ref="AI154:AI165"/>
    <mergeCell ref="K154:K165"/>
    <mergeCell ref="L154:L165"/>
    <mergeCell ref="M154:M165"/>
    <mergeCell ref="T154:T165"/>
    <mergeCell ref="U154:U165"/>
    <mergeCell ref="V154:V165"/>
    <mergeCell ref="AP154:AP165"/>
    <mergeCell ref="AC142:AC153"/>
    <mergeCell ref="AD142:AD153"/>
    <mergeCell ref="AE142:AE153"/>
    <mergeCell ref="AG142:AG153"/>
    <mergeCell ref="AH142:AH153"/>
    <mergeCell ref="AI142:AI153"/>
    <mergeCell ref="BO130:BO141"/>
    <mergeCell ref="BR142:BR153"/>
    <mergeCell ref="AS142:AS153"/>
    <mergeCell ref="BC142:BC153"/>
    <mergeCell ref="BE142:BE153"/>
    <mergeCell ref="AS154:AS165"/>
    <mergeCell ref="BC154:BC165"/>
    <mergeCell ref="BQ154:BQ165"/>
    <mergeCell ref="BR154:BR165"/>
    <mergeCell ref="BF130:BF141"/>
    <mergeCell ref="BQ130:BQ141"/>
    <mergeCell ref="BR130:BR141"/>
    <mergeCell ref="AS130:AS141"/>
    <mergeCell ref="BC130:BC141"/>
    <mergeCell ref="BE130:BE141"/>
    <mergeCell ref="BF142:BF153"/>
    <mergeCell ref="BO142:BO153"/>
    <mergeCell ref="BQ142:BQ153"/>
    <mergeCell ref="BC166:BC177"/>
    <mergeCell ref="BE166:BE177"/>
    <mergeCell ref="BF166:BF177"/>
    <mergeCell ref="BO166:BO177"/>
    <mergeCell ref="BQ166:BQ177"/>
    <mergeCell ref="BR166:BR177"/>
    <mergeCell ref="BE154:BE165"/>
    <mergeCell ref="BF154:BF165"/>
    <mergeCell ref="BO154:BO165"/>
  </mergeCells>
  <phoneticPr fontId="301" type="noConversion"/>
  <pageMargins left="0.7" right="0.7" top="0.75" bottom="0.75" header="0.3" footer="0.3"/>
  <pageSetup paperSize="9" orientation="portrait" verticalDpi="9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rgb="FFFFC000"/>
  </sheetPr>
  <dimension ref="A1:P24"/>
  <sheetViews>
    <sheetView workbookViewId="0"/>
  </sheetViews>
  <sheetFormatPr defaultColWidth="8.5703125" defaultRowHeight="15"/>
  <cols>
    <col min="1" max="1" width="14.42578125" style="582" customWidth="1"/>
    <col min="2" max="4" width="15.140625" style="223" customWidth="1"/>
    <col min="5" max="5" width="2" style="223" customWidth="1"/>
    <col min="6" max="8" width="15.140625" style="223" customWidth="1"/>
    <col min="9" max="9" width="1.42578125" style="223" customWidth="1"/>
    <col min="10" max="12" width="15.140625" style="223" customWidth="1"/>
    <col min="13" max="13" width="15.140625" style="638" customWidth="1"/>
    <col min="14" max="14" width="10.5703125" style="223" bestFit="1" customWidth="1"/>
    <col min="15" max="15" width="15.42578125" style="223" customWidth="1"/>
    <col min="16" max="16384" width="8.5703125" style="223"/>
  </cols>
  <sheetData>
    <row r="1" spans="1:16">
      <c r="A1" s="582" t="s">
        <v>835</v>
      </c>
    </row>
    <row r="2" spans="1:16" ht="15.75" thickBot="1"/>
    <row r="3" spans="1:16">
      <c r="A3" s="599"/>
      <c r="B3" s="1737" t="s">
        <v>839</v>
      </c>
      <c r="C3" s="1738"/>
      <c r="D3" s="1739"/>
      <c r="E3" s="612"/>
      <c r="F3" s="1740" t="s">
        <v>840</v>
      </c>
      <c r="G3" s="1741"/>
      <c r="H3" s="1742"/>
      <c r="I3" s="612"/>
      <c r="J3" s="1743" t="s">
        <v>841</v>
      </c>
      <c r="K3" s="1744"/>
      <c r="L3" s="1745"/>
      <c r="M3" s="639"/>
      <c r="P3" s="223" t="s">
        <v>589</v>
      </c>
    </row>
    <row r="4" spans="1:16" ht="15.75" thickBot="1">
      <c r="A4" s="600"/>
      <c r="B4" s="604" t="s">
        <v>837</v>
      </c>
      <c r="C4" s="595" t="s">
        <v>838</v>
      </c>
      <c r="D4" s="605" t="s">
        <v>820</v>
      </c>
      <c r="E4" s="613"/>
      <c r="F4" s="617" t="s">
        <v>837</v>
      </c>
      <c r="G4" s="596" t="s">
        <v>838</v>
      </c>
      <c r="H4" s="618" t="s">
        <v>820</v>
      </c>
      <c r="I4" s="613"/>
      <c r="J4" s="625" t="s">
        <v>837</v>
      </c>
      <c r="K4" s="597" t="s">
        <v>838</v>
      </c>
      <c r="L4" s="598" t="s">
        <v>820</v>
      </c>
      <c r="M4" s="639"/>
      <c r="O4" s="223" t="s">
        <v>589</v>
      </c>
    </row>
    <row r="5" spans="1:16">
      <c r="A5" s="601" t="s">
        <v>836</v>
      </c>
      <c r="B5" s="606"/>
      <c r="C5" s="591"/>
      <c r="D5" s="607"/>
      <c r="E5" s="614"/>
      <c r="F5" s="619"/>
      <c r="G5" s="592"/>
      <c r="H5" s="620"/>
      <c r="I5" s="614"/>
      <c r="J5" s="626"/>
      <c r="K5" s="593"/>
      <c r="L5" s="594"/>
      <c r="M5" s="640"/>
    </row>
    <row r="6" spans="1:16">
      <c r="A6" s="602">
        <v>44043</v>
      </c>
      <c r="B6" s="608"/>
      <c r="C6" s="583"/>
      <c r="D6" s="609">
        <v>816561802</v>
      </c>
      <c r="E6" s="615"/>
      <c r="F6" s="621"/>
      <c r="G6" s="584"/>
      <c r="H6" s="622">
        <v>816561802</v>
      </c>
      <c r="I6" s="615"/>
      <c r="J6" s="627"/>
      <c r="K6" s="585"/>
      <c r="L6" s="586">
        <v>816561802</v>
      </c>
      <c r="M6" s="640"/>
    </row>
    <row r="7" spans="1:16">
      <c r="A7" s="602">
        <v>44165</v>
      </c>
      <c r="B7" s="608">
        <v>153438198</v>
      </c>
      <c r="C7" s="583"/>
      <c r="D7" s="609">
        <f>SUM(B7:C7)+D6</f>
        <v>970000000</v>
      </c>
      <c r="E7" s="615"/>
      <c r="F7" s="621">
        <f>SUM('Modify Terms of Loan Repayment'!AY74:AY77)</f>
        <v>30000000</v>
      </c>
      <c r="G7" s="584"/>
      <c r="H7" s="622">
        <f t="shared" ref="H7:H19" si="0">SUM(F7:G7)+H6</f>
        <v>846561802</v>
      </c>
      <c r="I7" s="615"/>
      <c r="J7" s="627">
        <v>30000000</v>
      </c>
      <c r="K7" s="585"/>
      <c r="L7" s="586">
        <f t="shared" ref="L7:L19" si="1">SUM(J7:K7)+L6</f>
        <v>846561802</v>
      </c>
      <c r="M7" s="640"/>
    </row>
    <row r="8" spans="1:16">
      <c r="A8" s="602">
        <v>44196</v>
      </c>
      <c r="B8" s="608"/>
      <c r="C8" s="583">
        <v>-48500000</v>
      </c>
      <c r="D8" s="609">
        <f>SUM(B8:C8)+D7</f>
        <v>921500000</v>
      </c>
      <c r="E8" s="615"/>
      <c r="F8" s="621">
        <f>'Modify Terms of Loan Repayment'!AY78</f>
        <v>30000000</v>
      </c>
      <c r="G8" s="584"/>
      <c r="H8" s="622">
        <f t="shared" si="0"/>
        <v>876561802</v>
      </c>
      <c r="I8" s="615"/>
      <c r="J8" s="627">
        <v>30000000</v>
      </c>
      <c r="K8" s="585"/>
      <c r="L8" s="586">
        <f t="shared" si="1"/>
        <v>876561802</v>
      </c>
      <c r="M8" s="640"/>
    </row>
    <row r="9" spans="1:16">
      <c r="A9" s="602">
        <v>44286</v>
      </c>
      <c r="B9" s="608"/>
      <c r="C9" s="583">
        <f>'Final Terms of Loan Financing'!AY81</f>
        <v>0</v>
      </c>
      <c r="D9" s="609">
        <f t="shared" ref="D9:D19" si="2">SUM(B9:C9)+D8</f>
        <v>921500000</v>
      </c>
      <c r="E9" s="615"/>
      <c r="F9" s="621">
        <f>SUM('Modify Terms of Loan Repayment'!AY79:AY81)</f>
        <v>93438198</v>
      </c>
      <c r="G9" s="584"/>
      <c r="H9" s="622">
        <f t="shared" si="0"/>
        <v>970000000</v>
      </c>
      <c r="I9" s="615"/>
      <c r="J9" s="627">
        <v>30000000</v>
      </c>
      <c r="K9" s="585"/>
      <c r="L9" s="586">
        <f t="shared" si="1"/>
        <v>906561802</v>
      </c>
      <c r="M9" s="640"/>
    </row>
    <row r="10" spans="1:16">
      <c r="A10" s="602">
        <v>44377</v>
      </c>
      <c r="B10" s="608"/>
      <c r="C10" s="583">
        <f>'Final Terms of Loan Financing'!AY84</f>
        <v>0</v>
      </c>
      <c r="D10" s="609">
        <f t="shared" si="2"/>
        <v>921500000</v>
      </c>
      <c r="E10" s="615"/>
      <c r="F10" s="621">
        <f>SUM('Modify Terms of Loan Repayment'!AY82:AY84)</f>
        <v>0</v>
      </c>
      <c r="G10" s="584"/>
      <c r="H10" s="622">
        <f t="shared" si="0"/>
        <v>970000000</v>
      </c>
      <c r="I10" s="615"/>
      <c r="J10" s="627">
        <v>30000000</v>
      </c>
      <c r="K10" s="585"/>
      <c r="L10" s="586">
        <f t="shared" si="1"/>
        <v>936561802</v>
      </c>
      <c r="M10" s="640"/>
    </row>
    <row r="11" spans="1:16">
      <c r="A11" s="602">
        <v>44469</v>
      </c>
      <c r="B11" s="608"/>
      <c r="C11" s="583">
        <f>'Final Terms of Loan Financing'!AY87</f>
        <v>0</v>
      </c>
      <c r="D11" s="609">
        <f t="shared" si="2"/>
        <v>921500000</v>
      </c>
      <c r="E11" s="615"/>
      <c r="F11" s="621">
        <f>SUM('Modify Terms of Loan Repayment'!AY85:AY87)</f>
        <v>0</v>
      </c>
      <c r="G11" s="584"/>
      <c r="H11" s="622">
        <f t="shared" si="0"/>
        <v>970000000</v>
      </c>
      <c r="I11" s="615"/>
      <c r="J11" s="627">
        <v>33438198</v>
      </c>
      <c r="K11" s="585"/>
      <c r="L11" s="586">
        <f t="shared" si="1"/>
        <v>970000000</v>
      </c>
      <c r="M11" s="640"/>
    </row>
    <row r="12" spans="1:16">
      <c r="A12" s="602">
        <v>44561</v>
      </c>
      <c r="B12" s="608"/>
      <c r="C12" s="583">
        <f>'Final Terms of Loan Financing'!AY90</f>
        <v>-48500000</v>
      </c>
      <c r="D12" s="609">
        <f t="shared" si="2"/>
        <v>873000000</v>
      </c>
      <c r="E12" s="615"/>
      <c r="F12" s="621"/>
      <c r="G12" s="584">
        <f>SUM('Modify Terms of Loan Repayment'!AX88:AX90)</f>
        <v>-9700000</v>
      </c>
      <c r="H12" s="622">
        <f t="shared" si="0"/>
        <v>960300000</v>
      </c>
      <c r="I12" s="615"/>
      <c r="J12" s="627"/>
      <c r="K12" s="585">
        <v>-9700000</v>
      </c>
      <c r="L12" s="586">
        <f t="shared" si="1"/>
        <v>960300000</v>
      </c>
      <c r="M12" s="640"/>
      <c r="N12" s="637">
        <v>44651</v>
      </c>
      <c r="O12" s="223">
        <f>'Cashflow trend'!H23*1000</f>
        <v>139044449.13937888</v>
      </c>
    </row>
    <row r="13" spans="1:16">
      <c r="A13" s="602">
        <v>44926</v>
      </c>
      <c r="B13" s="608"/>
      <c r="C13" s="583">
        <f>SUM('Final Terms of Loan Financing'!AY91:AY102)</f>
        <v>-194000000</v>
      </c>
      <c r="D13" s="609">
        <f t="shared" si="2"/>
        <v>679000000</v>
      </c>
      <c r="E13" s="615"/>
      <c r="F13" s="621"/>
      <c r="G13" s="584">
        <f>SUM('Modify Terms of Loan Repayment'!AX91:AX102)</f>
        <v>-38800000</v>
      </c>
      <c r="H13" s="622">
        <f t="shared" si="0"/>
        <v>921500000</v>
      </c>
      <c r="I13" s="615"/>
      <c r="J13" s="627"/>
      <c r="K13" s="585">
        <v>-38800000</v>
      </c>
      <c r="L13" s="586">
        <f t="shared" si="1"/>
        <v>921500000</v>
      </c>
      <c r="M13" s="640"/>
      <c r="N13" s="637">
        <v>45016</v>
      </c>
      <c r="O13" s="223">
        <f>'Cashflow trend'!I23*1000</f>
        <v>80061653.417678565</v>
      </c>
    </row>
    <row r="14" spans="1:16">
      <c r="A14" s="602">
        <v>45291</v>
      </c>
      <c r="B14" s="608"/>
      <c r="C14" s="583">
        <f>SUM('Final Terms of Loan Financing'!AY103:AY114)</f>
        <v>-212187500</v>
      </c>
      <c r="D14" s="609">
        <f t="shared" si="2"/>
        <v>466812500</v>
      </c>
      <c r="E14" s="615"/>
      <c r="F14" s="621"/>
      <c r="G14" s="584">
        <f>SUM('Modify Terms of Loan Repayment'!AX103:AX114)</f>
        <v>-38800000</v>
      </c>
      <c r="H14" s="622">
        <f t="shared" si="0"/>
        <v>882700000</v>
      </c>
      <c r="I14" s="615"/>
      <c r="J14" s="627"/>
      <c r="K14" s="585">
        <v>-38800000</v>
      </c>
      <c r="L14" s="586">
        <f t="shared" si="1"/>
        <v>882700000</v>
      </c>
      <c r="M14" s="640"/>
      <c r="N14" s="637">
        <v>45382</v>
      </c>
      <c r="O14" s="223">
        <f>'Cashflow trend'!J23*1000</f>
        <v>-128442089.41441268</v>
      </c>
    </row>
    <row r="15" spans="1:16">
      <c r="A15" s="602">
        <v>45657</v>
      </c>
      <c r="B15" s="608"/>
      <c r="C15" s="583">
        <f>SUM('Final Terms of Loan Financing'!AY115:AY126)</f>
        <v>-266750000.00000003</v>
      </c>
      <c r="D15" s="609">
        <f t="shared" si="2"/>
        <v>200062499.99999997</v>
      </c>
      <c r="E15" s="615"/>
      <c r="F15" s="621"/>
      <c r="G15" s="584">
        <f>SUM('Modify Terms of Loan Repayment'!AX115:AX126)</f>
        <v>-87300000</v>
      </c>
      <c r="H15" s="622">
        <f t="shared" si="0"/>
        <v>795400000</v>
      </c>
      <c r="I15" s="615"/>
      <c r="J15" s="627"/>
      <c r="K15" s="585">
        <v>-106700000</v>
      </c>
      <c r="L15" s="586">
        <f t="shared" si="1"/>
        <v>776000000</v>
      </c>
      <c r="M15" s="640"/>
      <c r="N15" s="637">
        <v>45747</v>
      </c>
      <c r="O15" s="223">
        <f>'Cashflow trend'!K23*1000</f>
        <v>-354077703.04904377</v>
      </c>
    </row>
    <row r="16" spans="1:16">
      <c r="A16" s="602">
        <v>46022</v>
      </c>
      <c r="B16" s="608"/>
      <c r="C16" s="583">
        <f>SUM('Final Terms of Loan Financing'!AY127:AY138)</f>
        <v>-200062500.00000003</v>
      </c>
      <c r="D16" s="609">
        <f t="shared" si="2"/>
        <v>0</v>
      </c>
      <c r="E16" s="615"/>
      <c r="F16" s="621"/>
      <c r="G16" s="584">
        <f>SUM('Modify Terms of Loan Repayment'!AX127:AX138)</f>
        <v>-194000000</v>
      </c>
      <c r="H16" s="622">
        <f t="shared" si="0"/>
        <v>601400000</v>
      </c>
      <c r="I16" s="615"/>
      <c r="J16" s="627"/>
      <c r="K16" s="585">
        <v>-271600000</v>
      </c>
      <c r="L16" s="586">
        <f t="shared" si="1"/>
        <v>504400000</v>
      </c>
      <c r="M16" s="640"/>
      <c r="N16" s="637">
        <v>46112</v>
      </c>
      <c r="O16" s="223">
        <f>'Cashflow trend'!L23*1000</f>
        <v>-386258173.92671895</v>
      </c>
    </row>
    <row r="17" spans="1:15">
      <c r="A17" s="602">
        <v>46387</v>
      </c>
      <c r="B17" s="608"/>
      <c r="C17" s="583"/>
      <c r="D17" s="609">
        <f t="shared" si="2"/>
        <v>0</v>
      </c>
      <c r="E17" s="615"/>
      <c r="F17" s="621"/>
      <c r="G17" s="584">
        <f>SUM('Modify Terms of Loan Repayment'!AX139:AX150)</f>
        <v>-194000000</v>
      </c>
      <c r="H17" s="622">
        <f t="shared" si="0"/>
        <v>407400000</v>
      </c>
      <c r="I17" s="615"/>
      <c r="J17" s="627"/>
      <c r="K17" s="585">
        <v>-271600000</v>
      </c>
      <c r="L17" s="586">
        <f t="shared" si="1"/>
        <v>232800000</v>
      </c>
      <c r="M17" s="640"/>
      <c r="N17" s="637">
        <v>46477</v>
      </c>
      <c r="O17" s="223">
        <f>'Cashflow trend'!M23*1000</f>
        <v>-271135818.76340938</v>
      </c>
    </row>
    <row r="18" spans="1:15">
      <c r="A18" s="602">
        <v>46752</v>
      </c>
      <c r="B18" s="608"/>
      <c r="C18" s="583"/>
      <c r="D18" s="609">
        <f t="shared" si="2"/>
        <v>0</v>
      </c>
      <c r="E18" s="615"/>
      <c r="F18" s="621"/>
      <c r="G18" s="584">
        <f>SUM('Modify Terms of Loan Repayment'!AX151:AX162)</f>
        <v>-232800000</v>
      </c>
      <c r="H18" s="622">
        <f t="shared" si="0"/>
        <v>174600000</v>
      </c>
      <c r="I18" s="615"/>
      <c r="J18" s="627"/>
      <c r="K18" s="585">
        <v>-232800000</v>
      </c>
      <c r="L18" s="586">
        <f t="shared" si="1"/>
        <v>0</v>
      </c>
      <c r="M18" s="640"/>
      <c r="N18" s="637">
        <v>46843</v>
      </c>
      <c r="O18" s="223">
        <f>'Cashflow trend'!N23*1000</f>
        <v>-133977889.04345053</v>
      </c>
    </row>
    <row r="19" spans="1:15" ht="15.75" thickBot="1">
      <c r="A19" s="603">
        <v>47118</v>
      </c>
      <c r="B19" s="610"/>
      <c r="C19" s="587"/>
      <c r="D19" s="611">
        <f t="shared" si="2"/>
        <v>0</v>
      </c>
      <c r="E19" s="616"/>
      <c r="F19" s="623"/>
      <c r="G19" s="588">
        <f>SUM('Modify Terms of Loan Repayment'!AX163:AX174)</f>
        <v>-174600000</v>
      </c>
      <c r="H19" s="624">
        <f t="shared" si="0"/>
        <v>0</v>
      </c>
      <c r="I19" s="616"/>
      <c r="J19" s="628"/>
      <c r="K19" s="589">
        <v>0</v>
      </c>
      <c r="L19" s="590">
        <f t="shared" si="1"/>
        <v>0</v>
      </c>
      <c r="M19" s="640"/>
    </row>
    <row r="23" spans="1:15" s="28" customFormat="1">
      <c r="A23" s="641" t="s">
        <v>846</v>
      </c>
      <c r="D23" s="28">
        <v>149639503.395634</v>
      </c>
      <c r="H23" s="28">
        <v>228872177.86182699</v>
      </c>
      <c r="L23" s="28">
        <v>213965761.061827</v>
      </c>
      <c r="M23" s="642"/>
    </row>
    <row r="24" spans="1:15">
      <c r="A24" s="582" t="s">
        <v>847</v>
      </c>
      <c r="H24" s="223">
        <f>H23-D23</f>
        <v>79232674.466192991</v>
      </c>
      <c r="L24" s="223">
        <f>L23-D23</f>
        <v>64326257.666193008</v>
      </c>
    </row>
  </sheetData>
  <mergeCells count="3">
    <mergeCell ref="B3:D3"/>
    <mergeCell ref="F3:H3"/>
    <mergeCell ref="J3:L3"/>
  </mergeCells>
  <phoneticPr fontId="301" type="noConversion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2:AA47"/>
  <sheetViews>
    <sheetView topLeftCell="A14" workbookViewId="0">
      <selection activeCell="F47" sqref="F47"/>
    </sheetView>
  </sheetViews>
  <sheetFormatPr defaultColWidth="8.5703125" defaultRowHeight="15"/>
  <cols>
    <col min="1" max="1" width="33.42578125" style="3" customWidth="1"/>
    <col min="2" max="15" width="9.42578125" style="3" customWidth="1"/>
    <col min="16" max="18" width="8.5703125" style="3"/>
    <col min="19" max="19" width="22.42578125" style="3" customWidth="1"/>
    <col min="20" max="20" width="9.5703125" style="3" customWidth="1"/>
    <col min="21" max="16384" width="8.5703125" style="3"/>
  </cols>
  <sheetData>
    <row r="2" spans="1:27" ht="15.75" thickBot="1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27" s="1" customFormat="1" ht="15.75" thickBot="1">
      <c r="A3" s="8" t="s">
        <v>26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Q3" s="2" t="s">
        <v>8</v>
      </c>
      <c r="S3" s="10" t="s">
        <v>26</v>
      </c>
      <c r="T3" s="1750" t="s">
        <v>2</v>
      </c>
      <c r="U3" s="1751"/>
      <c r="V3" s="1752" t="s">
        <v>5</v>
      </c>
      <c r="W3" s="1752"/>
      <c r="X3" s="1753" t="s">
        <v>13</v>
      </c>
      <c r="Y3" s="1753"/>
      <c r="Z3" s="1752" t="s">
        <v>27</v>
      </c>
      <c r="AA3" s="1754"/>
    </row>
    <row r="4" spans="1:27">
      <c r="A4" s="3" t="s">
        <v>11</v>
      </c>
      <c r="B4" s="9">
        <f>'12 years sales &amp; PL forecast'!I49/1000</f>
        <v>132553.78400000001</v>
      </c>
      <c r="C4" s="9">
        <f>'12 years sales &amp; PL forecast'!J49/1000</f>
        <v>133080.92600000001</v>
      </c>
      <c r="D4" s="9">
        <f>'12 years sales &amp; PL forecast'!K49/1000</f>
        <v>134920.79800000001</v>
      </c>
      <c r="E4" s="9">
        <f>'12 years sales &amp; PL forecast'!L49/1000</f>
        <v>109952.232</v>
      </c>
      <c r="F4" s="9">
        <f>'12 years sales &amp; PL forecast'!M49/1000</f>
        <v>49797.021999999997</v>
      </c>
      <c r="G4" s="9">
        <f>'12 years sales &amp; PL forecast'!N49/1000</f>
        <v>95677.933000000005</v>
      </c>
      <c r="H4" s="9">
        <f>'12 years sales &amp; PL forecast'!O49/1000</f>
        <v>78208.396999999997</v>
      </c>
      <c r="I4" s="9">
        <f>'12 years sales &amp; PL forecast'!P49/1000</f>
        <v>81501.747000000003</v>
      </c>
      <c r="J4" s="9">
        <f>'12 years sales &amp; PL forecast'!Q49/1000</f>
        <v>99473.879000000001</v>
      </c>
      <c r="K4" s="9">
        <f>'12 years sales &amp; PL forecast'!R49/1000</f>
        <v>112646.69500000001</v>
      </c>
      <c r="L4" s="9">
        <f>'12 years sales &amp; PL forecast'!S49/1000</f>
        <v>120156.93399999999</v>
      </c>
      <c r="M4" s="9">
        <f>'12 years sales &amp; PL forecast'!T49/1000</f>
        <v>126824.552</v>
      </c>
      <c r="N4" s="9">
        <f>'12 years sales &amp; PL forecast'!U49/1000</f>
        <v>134648.14300000001</v>
      </c>
      <c r="O4" s="9">
        <f>'12 years sales &amp; PL forecast'!V49/1000</f>
        <v>136550.06100000002</v>
      </c>
      <c r="Q4" s="4">
        <f>(O4/B4)^(1/13)-1</f>
        <v>2.2874441095803721E-3</v>
      </c>
      <c r="S4" s="11" t="s">
        <v>28</v>
      </c>
      <c r="T4" s="1755">
        <f>C4</f>
        <v>133080.92600000001</v>
      </c>
      <c r="U4" s="1756"/>
      <c r="V4" s="1312">
        <f>F4</f>
        <v>49797.021999999997</v>
      </c>
      <c r="W4" s="12">
        <f>(V4/T4)^(1/3)-1</f>
        <v>-0.27939735402315602</v>
      </c>
      <c r="X4" s="1312">
        <f>I4</f>
        <v>81501.747000000003</v>
      </c>
      <c r="Y4" s="13">
        <f>(X4/V4)^(1/3)-1</f>
        <v>0.17847719324914335</v>
      </c>
      <c r="Z4" s="1312">
        <f>O4</f>
        <v>136550.06100000002</v>
      </c>
      <c r="AA4" s="14">
        <f>(Z4/X4)^(1/6)-1</f>
        <v>8.9818468641336358E-2</v>
      </c>
    </row>
    <row r="5" spans="1:27">
      <c r="A5" s="3" t="s">
        <v>29</v>
      </c>
      <c r="B5" s="9">
        <f>'12 years sales &amp; PL forecast'!I50/1000</f>
        <v>89348.58</v>
      </c>
      <c r="C5" s="9">
        <f>'12 years sales &amp; PL forecast'!J50/1000</f>
        <v>103416.03</v>
      </c>
      <c r="D5" s="9">
        <f>'12 years sales &amp; PL forecast'!K50/1000</f>
        <v>128636.772</v>
      </c>
      <c r="E5" s="9">
        <f>'12 years sales &amp; PL forecast'!L50/1000</f>
        <v>157218.96</v>
      </c>
      <c r="F5" s="9">
        <f>'12 years sales &amp; PL forecast'!M50/1000</f>
        <v>93666.384000000005</v>
      </c>
      <c r="G5" s="9">
        <f>'12 years sales &amp; PL forecast'!N50/1000</f>
        <v>85719.732000000004</v>
      </c>
      <c r="H5" s="9">
        <f>'12 years sales &amp; PL forecast'!O50/1000</f>
        <v>134046.27600000001</v>
      </c>
      <c r="I5" s="9">
        <f>'12 years sales &amp; PL forecast'!P50/1000</f>
        <v>137267.136</v>
      </c>
      <c r="J5" s="9">
        <f>'12 years sales &amp; PL forecast'!Q50/1000</f>
        <v>133278.04800000001</v>
      </c>
      <c r="K5" s="9">
        <f>'12 years sales &amp; PL forecast'!R50/1000</f>
        <v>158321.95199999999</v>
      </c>
      <c r="L5" s="9">
        <f>'12 years sales &amp; PL forecast'!S50/1000</f>
        <v>170566.50650631488</v>
      </c>
      <c r="M5" s="9">
        <f>'12 years sales &amp; PL forecast'!T50/1000</f>
        <v>164447.57262953103</v>
      </c>
      <c r="N5" s="9">
        <f>'12 years sales &amp; PL forecast'!U50/1000</f>
        <v>193473.9868798586</v>
      </c>
      <c r="O5" s="9">
        <f>'12 years sales &amp; PL forecast'!V50/1000</f>
        <v>228079.40556351977</v>
      </c>
      <c r="Q5" s="4">
        <f>(O5/B5)^(1/13)-1</f>
        <v>7.4750289049162255E-2</v>
      </c>
      <c r="S5" s="15" t="s">
        <v>30</v>
      </c>
      <c r="T5" s="1757">
        <f>C5</f>
        <v>103416.03</v>
      </c>
      <c r="U5" s="1758"/>
      <c r="V5" s="1313">
        <f>F5</f>
        <v>93666.384000000005</v>
      </c>
      <c r="W5" s="16">
        <f>(V5/T5)^(1/3)-1</f>
        <v>-3.2468089379097398E-2</v>
      </c>
      <c r="X5" s="1313">
        <f>I5</f>
        <v>137267.136</v>
      </c>
      <c r="Y5" s="17">
        <f>(X5/V5)^(1/3)-1</f>
        <v>0.13586732343724295</v>
      </c>
      <c r="Z5" s="1313">
        <f>O5</f>
        <v>228079.40556351977</v>
      </c>
      <c r="AA5" s="18">
        <f>(Z5/X5)^(1/6)-1</f>
        <v>8.8311579385587091E-2</v>
      </c>
    </row>
    <row r="6" spans="1:27" ht="15.75" thickBot="1">
      <c r="A6" s="3" t="s">
        <v>31</v>
      </c>
      <c r="B6" s="9">
        <f>'12 years sales &amp; PL forecast'!I52/1000</f>
        <v>225615.872</v>
      </c>
      <c r="C6" s="9">
        <f>'12 years sales &amp; PL forecast'!J52/1000</f>
        <v>239630.9</v>
      </c>
      <c r="D6" s="9">
        <f>'12 years sales &amp; PL forecast'!K52/1000</f>
        <v>269981.45799999998</v>
      </c>
      <c r="E6" s="9">
        <f>'12 years sales &amp; PL forecast'!L52/1000</f>
        <v>270712.87199999997</v>
      </c>
      <c r="F6" s="9">
        <f>'12 years sales &amp; PL forecast'!M52/1000</f>
        <v>145973.66200000001</v>
      </c>
      <c r="G6" s="9">
        <f>'12 years sales &amp; PL forecast'!N52/1000</f>
        <v>181397.66500000001</v>
      </c>
      <c r="H6" s="9">
        <f>'12 years sales &amp; PL forecast'!O52/1000</f>
        <v>213772.25025994921</v>
      </c>
      <c r="I6" s="9">
        <f>'12 years sales &amp; PL forecast'!P52/1000</f>
        <v>220286.46025994921</v>
      </c>
      <c r="J6" s="9">
        <f>'12 years sales &amp; PL forecast'!Q52/1000</f>
        <v>235262.18299999999</v>
      </c>
      <c r="K6" s="9">
        <f>'12 years sales &amp; PL forecast'!R52/1000</f>
        <v>274510.32699999999</v>
      </c>
      <c r="L6" s="9">
        <f>'12 years sales &amp; PL forecast'!S52/1000</f>
        <v>294265.12050631485</v>
      </c>
      <c r="M6" s="9">
        <f>'12 years sales &amp; PL forecast'!T52/1000</f>
        <v>294813.80462953105</v>
      </c>
      <c r="N6" s="9">
        <f>'12 years sales &amp; PL forecast'!U52/1000</f>
        <v>334546.01787985861</v>
      </c>
      <c r="O6" s="9">
        <f>'12 years sales &amp; PL forecast'!V52/1000</f>
        <v>371053.35456351982</v>
      </c>
      <c r="Q6" s="4">
        <f>(O6/B6)^(1/13)-1</f>
        <v>3.9011887492850006E-2</v>
      </c>
      <c r="S6" s="19" t="s">
        <v>32</v>
      </c>
      <c r="T6" s="1759">
        <f>C6</f>
        <v>239630.9</v>
      </c>
      <c r="U6" s="1760"/>
      <c r="V6" s="1314">
        <f>F6</f>
        <v>145973.66200000001</v>
      </c>
      <c r="W6" s="20">
        <f>(V6/T6)^(1/3)-1</f>
        <v>-0.15229665909179335</v>
      </c>
      <c r="X6" s="1314">
        <f>I6</f>
        <v>220286.46025994921</v>
      </c>
      <c r="Y6" s="21">
        <f>(X6/V6)^(1/3)-1</f>
        <v>0.14702029016598206</v>
      </c>
      <c r="Z6" s="1314">
        <f>O6</f>
        <v>371053.35456351982</v>
      </c>
      <c r="AA6" s="22">
        <f>(Z6/X6)^(1/6)-1</f>
        <v>9.0790699463431102E-2</v>
      </c>
    </row>
    <row r="7" spans="1:27" ht="15.75" thickBot="1">
      <c r="S7" s="23"/>
      <c r="T7" s="1761" t="s">
        <v>33</v>
      </c>
      <c r="U7" s="1762"/>
      <c r="V7" s="1763" t="s">
        <v>33</v>
      </c>
      <c r="W7" s="1764"/>
      <c r="X7" s="1763" t="s">
        <v>33</v>
      </c>
      <c r="Y7" s="1764"/>
      <c r="Z7" s="1763" t="s">
        <v>33</v>
      </c>
      <c r="AA7" s="1765"/>
    </row>
    <row r="8" spans="1:27">
      <c r="A8" s="8" t="s">
        <v>34</v>
      </c>
      <c r="B8" s="2" t="s">
        <v>1</v>
      </c>
      <c r="C8" s="2" t="s">
        <v>2</v>
      </c>
      <c r="D8" s="2" t="s">
        <v>3</v>
      </c>
      <c r="E8" s="2" t="s">
        <v>4</v>
      </c>
      <c r="F8" s="2" t="s">
        <v>5</v>
      </c>
      <c r="G8" s="2" t="s">
        <v>6</v>
      </c>
      <c r="H8" s="2" t="s">
        <v>7</v>
      </c>
      <c r="I8" s="2" t="s">
        <v>13</v>
      </c>
      <c r="J8" s="2" t="s">
        <v>14</v>
      </c>
      <c r="K8" s="2" t="s">
        <v>15</v>
      </c>
      <c r="L8" s="2" t="s">
        <v>16</v>
      </c>
      <c r="M8" s="2" t="s">
        <v>17</v>
      </c>
      <c r="N8" s="2" t="s">
        <v>18</v>
      </c>
      <c r="O8" s="2" t="s">
        <v>19</v>
      </c>
      <c r="Q8" s="2" t="s">
        <v>8</v>
      </c>
      <c r="S8" s="24" t="s">
        <v>28</v>
      </c>
      <c r="T8" s="1746">
        <f>T4/T6</f>
        <v>0.5553579525845791</v>
      </c>
      <c r="U8" s="1747"/>
      <c r="V8" s="1748">
        <f>V4/V6</f>
        <v>0.34113703333687684</v>
      </c>
      <c r="W8" s="1747"/>
      <c r="X8" s="1748">
        <f>X4/X6</f>
        <v>0.36998073737180126</v>
      </c>
      <c r="Y8" s="1747"/>
      <c r="Z8" s="1748">
        <f>Z4/Z6</f>
        <v>0.36800653954638834</v>
      </c>
      <c r="AA8" s="1749"/>
    </row>
    <row r="9" spans="1:27">
      <c r="A9" s="3" t="s">
        <v>11</v>
      </c>
      <c r="B9" s="9">
        <f>'12 years sales &amp; PL forecast'!I68/1000</f>
        <v>295395.48197999998</v>
      </c>
      <c r="C9" s="9">
        <f>'12 years sales &amp; PL forecast'!J68/1000</f>
        <v>315896.07718000002</v>
      </c>
      <c r="D9" s="9">
        <f>'12 years sales &amp; PL forecast'!K68/1000</f>
        <v>319787.66125999996</v>
      </c>
      <c r="E9" s="9">
        <f>'12 years sales &amp; PL forecast'!L68/1000</f>
        <v>268809.81451999996</v>
      </c>
      <c r="F9" s="9">
        <f>'12 years sales &amp; PL forecast'!M68/1000</f>
        <v>113620.32733</v>
      </c>
      <c r="G9" s="9">
        <f>'12 years sales &amp; PL forecast'!N68/1000</f>
        <v>223205.41331</v>
      </c>
      <c r="H9" s="9">
        <f>'12 years sales &amp; PL forecast'!O68/1000</f>
        <v>186643.64892051477</v>
      </c>
      <c r="I9" s="9">
        <f>'12 years sales &amp; PL forecast'!P68/1000</f>
        <v>197031.74121279854</v>
      </c>
      <c r="J9" s="9">
        <f>'12 years sales &amp; PL forecast'!Q68/1000</f>
        <v>243605.88534575253</v>
      </c>
      <c r="K9" s="9">
        <f>'12 years sales &amp; PL forecast'!R68/1000</f>
        <v>279451.61401633563</v>
      </c>
      <c r="L9" s="9">
        <f>'12 years sales &amp; PL forecast'!S68/1000</f>
        <v>301957.93831673905</v>
      </c>
      <c r="M9" s="9">
        <f>'12 years sales &amp; PL forecast'!T68/1000</f>
        <v>322857.14025552856</v>
      </c>
      <c r="N9" s="9">
        <f>'12 years sales &amp; PL forecast'!U68/1000</f>
        <v>347229.70578097156</v>
      </c>
      <c r="O9" s="9">
        <f>'12 years sales &amp; PL forecast'!V68/1000</f>
        <v>356712.1055132114</v>
      </c>
      <c r="Q9" s="4">
        <f>(O9/B9)^(1/13)-1</f>
        <v>1.4614528704304242E-2</v>
      </c>
      <c r="S9" s="25" t="s">
        <v>30</v>
      </c>
      <c r="T9" s="1766">
        <f>T5/T6</f>
        <v>0.4315638342133673</v>
      </c>
      <c r="U9" s="1767"/>
      <c r="V9" s="1768">
        <f>V5/V6</f>
        <v>0.64166633019044217</v>
      </c>
      <c r="W9" s="1767"/>
      <c r="X9" s="1768">
        <f>X5/X6</f>
        <v>0.62313015442718456</v>
      </c>
      <c r="Y9" s="1767"/>
      <c r="Z9" s="1768">
        <f>Z5/Z6</f>
        <v>0.6146808882291761</v>
      </c>
      <c r="AA9" s="1769"/>
    </row>
    <row r="10" spans="1:27" ht="15.75" thickBot="1">
      <c r="A10" s="3" t="s">
        <v>29</v>
      </c>
      <c r="B10" s="9">
        <f>'12 years sales &amp; PL forecast'!I69/1000</f>
        <v>122008.67404000001</v>
      </c>
      <c r="C10" s="9">
        <f>'12 years sales &amp; PL forecast'!J69/1000</f>
        <v>145329.01465999999</v>
      </c>
      <c r="D10" s="9">
        <f>'12 years sales &amp; PL forecast'!K69/1000</f>
        <v>174894.84694000002</v>
      </c>
      <c r="E10" s="9">
        <f>'12 years sales &amp; PL forecast'!L69/1000</f>
        <v>215975.64095999999</v>
      </c>
      <c r="F10" s="9">
        <f>'12 years sales &amp; PL forecast'!M69/1000</f>
        <v>149369.22343000001</v>
      </c>
      <c r="G10" s="9">
        <f>'12 years sales &amp; PL forecast'!N69/1000</f>
        <v>144055.70144999999</v>
      </c>
      <c r="H10" s="9">
        <f>'12 years sales &amp; PL forecast'!O69/1000</f>
        <v>217007.52347903993</v>
      </c>
      <c r="I10" s="9">
        <f>'12 years sales &amp; PL forecast'!P69/1000</f>
        <v>222221.77390754642</v>
      </c>
      <c r="J10" s="9">
        <f>'12 years sales &amp; PL forecast'!Q69/1000</f>
        <v>248128.41499744981</v>
      </c>
      <c r="K10" s="9">
        <f>'12 years sales &amp; PL forecast'!R69/1000</f>
        <v>294753.52917130309</v>
      </c>
      <c r="L10" s="9">
        <f>'12 years sales &amp; PL forecast'!S69/1000</f>
        <v>317549.64561803994</v>
      </c>
      <c r="M10" s="9">
        <f>'12 years sales &amp; PL forecast'!T69/1000</f>
        <v>352081.48365704663</v>
      </c>
      <c r="N10" s="9">
        <f>'12 years sales &amp; PL forecast'!U69/1000</f>
        <v>414226.90077136498</v>
      </c>
      <c r="O10" s="9">
        <f>'12 years sales &amp; PL forecast'!V69/1000</f>
        <v>488316.94027693296</v>
      </c>
      <c r="Q10" s="4">
        <f>(O10/B10)^(1/13)-1</f>
        <v>0.11258095581948968</v>
      </c>
      <c r="S10" s="26" t="s">
        <v>24</v>
      </c>
      <c r="T10" s="1770">
        <f>100%-T8-T9</f>
        <v>1.3078213202053601E-2</v>
      </c>
      <c r="U10" s="1771"/>
      <c r="V10" s="1772">
        <f>100%-V8-V9</f>
        <v>1.7196636472680993E-2</v>
      </c>
      <c r="W10" s="1773"/>
      <c r="X10" s="1774">
        <f>100%-X8-X9</f>
        <v>6.8891082010141824E-3</v>
      </c>
      <c r="Y10" s="1771"/>
      <c r="Z10" s="1772">
        <f>100%-Z8-Z9</f>
        <v>1.7312572224435607E-2</v>
      </c>
      <c r="AA10" s="1775"/>
    </row>
    <row r="11" spans="1:27" ht="15.75" thickBot="1">
      <c r="A11" s="3" t="s">
        <v>31</v>
      </c>
      <c r="B11" s="9">
        <f>SUM('12 years sales &amp; PL forecast'!I68:I70)/1000</f>
        <v>421097.37263999996</v>
      </c>
      <c r="C11" s="9">
        <f>SUM('12 years sales &amp; PL forecast'!J68:J70)/1000</f>
        <v>464620.75196000002</v>
      </c>
      <c r="D11" s="9">
        <f>SUM('12 years sales &amp; PL forecast'!K68:K70)/1000</f>
        <v>500370.91712000006</v>
      </c>
      <c r="E11" s="9">
        <f>SUM('12 years sales &amp; PL forecast'!L68:L70)/1000</f>
        <v>489010.86896999995</v>
      </c>
      <c r="F11" s="9">
        <f>SUM('12 years sales &amp; PL forecast'!M68:M70)/1000</f>
        <v>265470.73184999998</v>
      </c>
      <c r="G11" s="9">
        <f>SUM('12 years sales &amp; PL forecast'!N68:N70)/1000</f>
        <v>367261.11475999997</v>
      </c>
      <c r="H11" s="9">
        <f>SUM('12 years sales &amp; PL forecast'!O68:O70)/1000</f>
        <v>405151.17239955475</v>
      </c>
      <c r="I11" s="9">
        <f>SUM('12 years sales &amp; PL forecast'!P68:P70)/1000</f>
        <v>420783.51512034499</v>
      </c>
      <c r="J11" s="9">
        <f>SUM('12 years sales &amp; PL forecast'!Q68:Q70)/1000</f>
        <v>494315.72114923835</v>
      </c>
      <c r="K11" s="9">
        <f>SUM('12 years sales &amp; PL forecast'!R68:R70)/1000</f>
        <v>577920.07017880143</v>
      </c>
      <c r="L11" s="9">
        <f>SUM('12 years sales &amp; PL forecast'!S68:S70)/1000</f>
        <v>623296.80946576491</v>
      </c>
      <c r="M11" s="9">
        <f>SUM('12 years sales &amp; PL forecast'!T68:T70)/1000</f>
        <v>678803.63395418087</v>
      </c>
      <c r="N11" s="9">
        <f>SUM('12 years sales &amp; PL forecast'!U68:U70)/1000</f>
        <v>768607.15642095066</v>
      </c>
      <c r="O11" s="9">
        <f>SUM('12 years sales &amp; PL forecast'!V68:V70)/1000</f>
        <v>852322.60665613064</v>
      </c>
      <c r="Q11" s="4">
        <f>(O11/B11)^(1/13)-1</f>
        <v>5.5736406314320641E-2</v>
      </c>
      <c r="S11" s="27"/>
      <c r="T11" s="27"/>
      <c r="U11" s="27"/>
      <c r="V11" s="27"/>
      <c r="W11" s="27"/>
      <c r="X11" s="27"/>
      <c r="Y11" s="27"/>
      <c r="Z11" s="27"/>
      <c r="AA11" s="27"/>
    </row>
    <row r="12" spans="1:27" ht="15.75" thickBot="1">
      <c r="S12" s="10" t="s">
        <v>34</v>
      </c>
      <c r="T12" s="1750" t="s">
        <v>2</v>
      </c>
      <c r="U12" s="1751"/>
      <c r="V12" s="1780" t="s">
        <v>5</v>
      </c>
      <c r="W12" s="1781"/>
      <c r="X12" s="1782" t="s">
        <v>13</v>
      </c>
      <c r="Y12" s="1783"/>
      <c r="Z12" s="1780" t="s">
        <v>27</v>
      </c>
      <c r="AA12" s="1784"/>
    </row>
    <row r="13" spans="1:27">
      <c r="A13" s="28" t="s">
        <v>35</v>
      </c>
      <c r="B13" s="2" t="s">
        <v>1</v>
      </c>
      <c r="C13" s="2" t="s">
        <v>2</v>
      </c>
      <c r="D13" s="2" t="s">
        <v>3</v>
      </c>
      <c r="E13" s="2" t="s">
        <v>4</v>
      </c>
      <c r="F13" s="2" t="s">
        <v>5</v>
      </c>
      <c r="G13" s="2" t="s">
        <v>6</v>
      </c>
      <c r="H13" s="2" t="s">
        <v>7</v>
      </c>
      <c r="I13" s="2" t="s">
        <v>13</v>
      </c>
      <c r="J13" s="2" t="s">
        <v>14</v>
      </c>
      <c r="K13" s="2" t="s">
        <v>15</v>
      </c>
      <c r="L13" s="2" t="s">
        <v>16</v>
      </c>
      <c r="M13" s="2" t="s">
        <v>17</v>
      </c>
      <c r="N13" s="2" t="s">
        <v>18</v>
      </c>
      <c r="O13" s="2" t="s">
        <v>19</v>
      </c>
      <c r="Q13" s="2" t="s">
        <v>8</v>
      </c>
      <c r="S13" s="11" t="s">
        <v>28</v>
      </c>
      <c r="T13" s="1755">
        <f>C9</f>
        <v>315896.07718000002</v>
      </c>
      <c r="U13" s="1756"/>
      <c r="V13" s="1312">
        <f>F9</f>
        <v>113620.32733</v>
      </c>
      <c r="W13" s="12">
        <f>(V13/T13)^(1/3)-1</f>
        <v>-0.288834629244615</v>
      </c>
      <c r="X13" s="1312">
        <f>I9</f>
        <v>197031.74121279854</v>
      </c>
      <c r="Y13" s="13">
        <f>(X13/V13)^(1/3)-1</f>
        <v>0.20141593079826703</v>
      </c>
      <c r="Z13" s="1312">
        <f>O9</f>
        <v>356712.1055132114</v>
      </c>
      <c r="AA13" s="14">
        <f>(Z13/X13)^(1/6)-1</f>
        <v>0.10398610873367375</v>
      </c>
    </row>
    <row r="14" spans="1:27">
      <c r="A14" s="3" t="s">
        <v>11</v>
      </c>
      <c r="B14" s="9">
        <f>'12 years sales &amp; PL forecast'!I84/1000</f>
        <v>247975.44214501645</v>
      </c>
      <c r="C14" s="9">
        <f>'12 years sales &amp; PL forecast'!J84/1000</f>
        <v>268294.5307757234</v>
      </c>
      <c r="D14" s="9">
        <f>'12 years sales &amp; PL forecast'!K84/1000</f>
        <v>276034.79687827209</v>
      </c>
      <c r="E14" s="9">
        <f>'12 years sales &amp; PL forecast'!L84/1000</f>
        <v>224236.16197760834</v>
      </c>
      <c r="F14" s="9">
        <f>'12 years sales &amp; PL forecast'!M84/1000</f>
        <v>85479.896315931896</v>
      </c>
      <c r="G14" s="9">
        <f>'12 years sales &amp; PL forecast'!N84/1000</f>
        <v>175056.61611458962</v>
      </c>
      <c r="H14" s="9">
        <f>'12 years sales &amp; PL forecast'!O84/1000</f>
        <v>154115.02992865699</v>
      </c>
      <c r="I14" s="9">
        <f>'12 years sales &amp; PL forecast'!P84/1000</f>
        <v>146670.86632893753</v>
      </c>
      <c r="J14" s="9">
        <f>'12 years sales &amp; PL forecast'!Q84/1000</f>
        <v>170728.68387440973</v>
      </c>
      <c r="K14" s="9">
        <f>'12 years sales &amp; PL forecast'!R84/1000</f>
        <v>201317.3552445822</v>
      </c>
      <c r="L14" s="9">
        <f>'12 years sales &amp; PL forecast'!S84/1000</f>
        <v>216731.83039711899</v>
      </c>
      <c r="M14" s="9">
        <f>'12 years sales &amp; PL forecast'!T84/1000</f>
        <v>230814.33479316908</v>
      </c>
      <c r="N14" s="9">
        <f>'12 years sales &amp; PL forecast'!U84/1000</f>
        <v>254675.87542440146</v>
      </c>
      <c r="O14" s="9">
        <f>'12 years sales &amp; PL forecast'!V84/1000</f>
        <v>267372.06064058439</v>
      </c>
      <c r="Q14" s="4">
        <f>(O14/B14)^(1/13)-1</f>
        <v>5.8100019158831007E-3</v>
      </c>
      <c r="S14" s="15" t="s">
        <v>30</v>
      </c>
      <c r="T14" s="1757">
        <f>C10</f>
        <v>145329.01465999999</v>
      </c>
      <c r="U14" s="1758"/>
      <c r="V14" s="1313">
        <f>F10</f>
        <v>149369.22343000001</v>
      </c>
      <c r="W14" s="16">
        <f>(V14/T14)^(1/3)-1</f>
        <v>9.1822376940979833E-3</v>
      </c>
      <c r="X14" s="1313">
        <f>I10</f>
        <v>222221.77390754642</v>
      </c>
      <c r="Y14" s="17">
        <f>(X14/V14)^(1/3)-1</f>
        <v>0.14158563606310448</v>
      </c>
      <c r="Z14" s="1313">
        <f>O10</f>
        <v>488316.94027693296</v>
      </c>
      <c r="AA14" s="18">
        <f>(Z14/X14)^(1/6)-1</f>
        <v>0.14021267231801549</v>
      </c>
    </row>
    <row r="15" spans="1:27" ht="15.75" thickBot="1">
      <c r="A15" s="3" t="s">
        <v>29</v>
      </c>
      <c r="B15" s="9">
        <f>'12 years sales &amp; PL forecast'!I85/1000</f>
        <v>97858.321593514396</v>
      </c>
      <c r="C15" s="9">
        <f>'12 years sales &amp; PL forecast'!J85/1000</f>
        <v>115815.73615814644</v>
      </c>
      <c r="D15" s="9">
        <f>'12 years sales &amp; PL forecast'!K85/1000</f>
        <v>142451.5548009022</v>
      </c>
      <c r="E15" s="9">
        <f>'12 years sales &amp; PL forecast'!L85/1000</f>
        <v>180837.59877999997</v>
      </c>
      <c r="F15" s="9">
        <f>'12 years sales &amp; PL forecast'!M85/1000</f>
        <v>127583.16761000002</v>
      </c>
      <c r="G15" s="9">
        <f>'12 years sales &amp; PL forecast'!N85/1000</f>
        <v>119809.44779999998</v>
      </c>
      <c r="H15" s="9">
        <f>'12 years sales &amp; PL forecast'!O85/1000</f>
        <v>181790.22578809605</v>
      </c>
      <c r="I15" s="9">
        <f>'12 years sales &amp; PL forecast'!P85/1000</f>
        <v>178958.73205796388</v>
      </c>
      <c r="J15" s="9">
        <f>'12 years sales &amp; PL forecast'!Q85/1000</f>
        <v>208897.19373724848</v>
      </c>
      <c r="K15" s="9">
        <f>'12 years sales &amp; PL forecast'!R85/1000</f>
        <v>203453.34340967925</v>
      </c>
      <c r="L15" s="9">
        <f>'12 years sales &amp; PL forecast'!S85/1000</f>
        <v>201632.95905840839</v>
      </c>
      <c r="M15" s="9">
        <f>'12 years sales &amp; PL forecast'!T85/1000</f>
        <v>234985.97228825151</v>
      </c>
      <c r="N15" s="9">
        <f>'12 years sales &amp; PL forecast'!U85/1000</f>
        <v>283086.15326139401</v>
      </c>
      <c r="O15" s="9">
        <f>'12 years sales &amp; PL forecast'!V85/1000</f>
        <v>341405.052411857</v>
      </c>
      <c r="Q15" s="4">
        <f>(O15/B15)^(1/13)-1</f>
        <v>0.10089022087642507</v>
      </c>
      <c r="S15" s="29" t="s">
        <v>32</v>
      </c>
      <c r="T15" s="1785">
        <f>C11</f>
        <v>464620.75196000002</v>
      </c>
      <c r="U15" s="1786"/>
      <c r="V15" s="1317">
        <f>F11</f>
        <v>265470.73184999998</v>
      </c>
      <c r="W15" s="30">
        <f>(V15/T15)^(1/3)-1</f>
        <v>-0.17020143157803125</v>
      </c>
      <c r="X15" s="1317">
        <f>I11</f>
        <v>420783.51512034499</v>
      </c>
      <c r="Y15" s="31">
        <f>(X15/V15)^(1/3)-1</f>
        <v>0.16595204924561324</v>
      </c>
      <c r="Z15" s="1317">
        <f>O11</f>
        <v>852322.60665613064</v>
      </c>
      <c r="AA15" s="32">
        <f>(Z15/X15)^(1/6)-1</f>
        <v>0.1248403367005213</v>
      </c>
    </row>
    <row r="16" spans="1:27" ht="15.75" thickBot="1">
      <c r="A16" s="3" t="s">
        <v>31</v>
      </c>
      <c r="B16" s="9">
        <f>SUM('12 years sales &amp; PL forecast'!I84:I86)/1000</f>
        <v>348391.18214378366</v>
      </c>
      <c r="C16" s="9">
        <f>SUM('12 years sales &amp; PL forecast'!J84:J86)/1000</f>
        <v>386425.18450840004</v>
      </c>
      <c r="D16" s="9">
        <f>SUM('12 years sales &amp; PL forecast'!K84:K86)/1000</f>
        <v>422940.25470917422</v>
      </c>
      <c r="E16" s="9">
        <f>SUM('12 years sales &amp; PL forecast'!L84:L86)/1000</f>
        <v>408048.02422760834</v>
      </c>
      <c r="F16" s="9">
        <f>SUM('12 years sales &amp; PL forecast'!M84:M86)/1000</f>
        <v>213943.59776593195</v>
      </c>
      <c r="G16" s="9">
        <f>SUM('12 years sales &amp; PL forecast'!N84:N86)/1000</f>
        <v>294866.06391458964</v>
      </c>
      <c r="H16" s="9">
        <f>SUM('12 years sales &amp; PL forecast'!O84:O86)/1000</f>
        <v>336774.06144128926</v>
      </c>
      <c r="I16" s="9">
        <f>SUM('12 years sales &amp; PL forecast'!P84:P86)/1000</f>
        <v>326221.86979422602</v>
      </c>
      <c r="J16" s="9">
        <f>SUM('12 years sales &amp; PL forecast'!Q84:Q86)/1000</f>
        <v>380368.21830846625</v>
      </c>
      <c r="K16" s="9">
        <f>SUM('12 years sales &amp; PL forecast'!R84:R86)/1000</f>
        <v>406029.03744630527</v>
      </c>
      <c r="L16" s="9">
        <f>SUM('12 years sales &amp; PL forecast'!S84:S86)/1000</f>
        <v>419641.93689123861</v>
      </c>
      <c r="M16" s="9">
        <f>SUM('12 years sales &amp; PL forecast'!T84:T86)/1000</f>
        <v>467094.94602287892</v>
      </c>
      <c r="N16" s="9">
        <f>SUM('12 years sales &amp; PL forecast'!U84:U86)/1000</f>
        <v>540496.9555318061</v>
      </c>
      <c r="O16" s="9">
        <f>SUM('12 years sales &amp; PL forecast'!V84:V86)/1000</f>
        <v>611867.74322785309</v>
      </c>
      <c r="Q16" s="4">
        <f>(O16/B16)^(1/13)-1</f>
        <v>4.4274435824427361E-2</v>
      </c>
      <c r="S16" s="23"/>
      <c r="T16" s="1761" t="s">
        <v>33</v>
      </c>
      <c r="U16" s="1762"/>
      <c r="V16" s="1763" t="s">
        <v>33</v>
      </c>
      <c r="W16" s="1764"/>
      <c r="X16" s="1763" t="s">
        <v>33</v>
      </c>
      <c r="Y16" s="1764"/>
      <c r="Z16" s="1763" t="s">
        <v>33</v>
      </c>
      <c r="AA16" s="1765"/>
    </row>
    <row r="17" spans="1:27">
      <c r="S17" s="33" t="s">
        <v>28</v>
      </c>
      <c r="T17" s="1776">
        <f>T13/T15</f>
        <v>0.67990092101438471</v>
      </c>
      <c r="U17" s="1777"/>
      <c r="V17" s="1778">
        <f>V13/V15</f>
        <v>0.42799568350984679</v>
      </c>
      <c r="W17" s="1777"/>
      <c r="X17" s="1778">
        <f>X13/X15</f>
        <v>0.46824966789976796</v>
      </c>
      <c r="Y17" s="1777"/>
      <c r="Z17" s="1778">
        <f>Z13/Z15</f>
        <v>0.41851770999326177</v>
      </c>
      <c r="AA17" s="1779"/>
    </row>
    <row r="18" spans="1:27">
      <c r="A18" s="28" t="s">
        <v>36</v>
      </c>
      <c r="B18" s="2" t="s">
        <v>1</v>
      </c>
      <c r="C18" s="2" t="s">
        <v>2</v>
      </c>
      <c r="D18" s="2" t="s">
        <v>3</v>
      </c>
      <c r="E18" s="2" t="s">
        <v>4</v>
      </c>
      <c r="F18" s="2" t="s">
        <v>5</v>
      </c>
      <c r="G18" s="2" t="s">
        <v>6</v>
      </c>
      <c r="H18" s="2" t="s">
        <v>7</v>
      </c>
      <c r="I18" s="2" t="s">
        <v>13</v>
      </c>
      <c r="J18" s="2" t="s">
        <v>14</v>
      </c>
      <c r="K18" s="2" t="s">
        <v>15</v>
      </c>
      <c r="L18" s="2" t="s">
        <v>16</v>
      </c>
      <c r="M18" s="2" t="s">
        <v>17</v>
      </c>
      <c r="N18" s="2" t="s">
        <v>18</v>
      </c>
      <c r="O18" s="2" t="s">
        <v>19</v>
      </c>
      <c r="Q18" s="2" t="s">
        <v>8</v>
      </c>
      <c r="S18" s="25" t="s">
        <v>30</v>
      </c>
      <c r="T18" s="1766">
        <f>T14/T15</f>
        <v>0.31279062342121045</v>
      </c>
      <c r="U18" s="1767"/>
      <c r="V18" s="1768">
        <f>V14/V15</f>
        <v>0.5626579713292037</v>
      </c>
      <c r="W18" s="1767"/>
      <c r="X18" s="1768">
        <f>X14/X15</f>
        <v>0.52811425809775492</v>
      </c>
      <c r="Y18" s="1767"/>
      <c r="Z18" s="1768">
        <f>Z14/Z15</f>
        <v>0.57292501273985841</v>
      </c>
      <c r="AA18" s="1769"/>
    </row>
    <row r="19" spans="1:27" ht="15.75" thickBot="1">
      <c r="A19" s="3" t="s">
        <v>11</v>
      </c>
      <c r="B19" s="9">
        <f>'12 years sales &amp; PL forecast'!I92/1000</f>
        <v>192625.92814501646</v>
      </c>
      <c r="C19" s="9">
        <f>'12 years sales &amp; PL forecast'!J92/1000</f>
        <v>208790.86482572337</v>
      </c>
      <c r="D19" s="9">
        <f>'12 years sales &amp; PL forecast'!K92/1000</f>
        <v>215307.19846827205</v>
      </c>
      <c r="E19" s="9">
        <f>'12 years sales &amp; PL forecast'!L92/1000</f>
        <v>176574.44103760834</v>
      </c>
      <c r="F19" s="9">
        <f>'12 years sales &amp; PL forecast'!M92/1000</f>
        <v>63594.904025931901</v>
      </c>
      <c r="G19" s="9">
        <f>'12 years sales &amp; PL forecast'!N92/1000</f>
        <v>134133.53318458961</v>
      </c>
      <c r="H19" s="9">
        <f>'12 years sales &amp; PL forecast'!O92/1000</f>
        <v>116974.06740314218</v>
      </c>
      <c r="I19" s="9">
        <f>'12 years sales &amp; PL forecast'!P92/1000</f>
        <v>109496.52395277083</v>
      </c>
      <c r="J19" s="9">
        <f>'12 years sales &amp; PL forecast'!Q92/1000</f>
        <v>129566.03672628188</v>
      </c>
      <c r="K19" s="9">
        <f>'12 years sales &amp; PL forecast'!R92/1000</f>
        <v>156982.30974381274</v>
      </c>
      <c r="L19" s="9">
        <f>'12 years sales &amp; PL forecast'!S92/1000</f>
        <v>170527.21116143724</v>
      </c>
      <c r="M19" s="9">
        <f>'12 years sales &amp; PL forecast'!T92/1000</f>
        <v>181716.79834606289</v>
      </c>
      <c r="N19" s="9">
        <f>'12 years sales &amp; PL forecast'!U92/1000</f>
        <v>202865.03578616332</v>
      </c>
      <c r="O19" s="9">
        <f>'12 years sales &amp; PL forecast'!V92/1000</f>
        <v>220544.13407175941</v>
      </c>
      <c r="Q19" s="4">
        <f>(O19/B19)^(1/13)-1</f>
        <v>1.0465749694364312E-2</v>
      </c>
      <c r="S19" s="26" t="s">
        <v>24</v>
      </c>
      <c r="T19" s="1770">
        <f>100%-T17-T18</f>
        <v>7.3084555644048477E-3</v>
      </c>
      <c r="U19" s="1771"/>
      <c r="V19" s="1772">
        <f>100%-V17-V18</f>
        <v>9.3463451609494541E-3</v>
      </c>
      <c r="W19" s="1773"/>
      <c r="X19" s="1774">
        <f>100%-X17-X18</f>
        <v>3.6360740024771188E-3</v>
      </c>
      <c r="Y19" s="1771"/>
      <c r="Z19" s="1772">
        <f>100%-Z17-Z18</f>
        <v>8.5572772668798258E-3</v>
      </c>
      <c r="AA19" s="1775"/>
    </row>
    <row r="20" spans="1:27" ht="15.75" thickBot="1">
      <c r="A20" s="3" t="s">
        <v>29</v>
      </c>
      <c r="B20" s="9">
        <f>'12 years sales &amp; PL forecast'!I93/1000</f>
        <v>13239.314593514398</v>
      </c>
      <c r="C20" s="9">
        <f>'12 years sales &amp; PL forecast'!J93/1000</f>
        <v>23081.156288146438</v>
      </c>
      <c r="D20" s="9">
        <f>'12 years sales &amp; PL forecast'!K93/1000</f>
        <v>25659.415310902194</v>
      </c>
      <c r="E20" s="9">
        <f>'12 years sales &amp; PL forecast'!L93/1000</f>
        <v>37673.772499999941</v>
      </c>
      <c r="F20" s="9">
        <f>'12 years sales &amp; PL forecast'!M93/1000</f>
        <v>27497.200670000002</v>
      </c>
      <c r="G20" s="9">
        <f>'12 years sales &amp; PL forecast'!N93/1000</f>
        <v>23830.075449999975</v>
      </c>
      <c r="H20" s="9">
        <f>'12 years sales &amp; PL forecast'!O93/1000</f>
        <v>37914.237721492587</v>
      </c>
      <c r="I20" s="9">
        <f>'12 years sales &amp; PL forecast'!P93/1000</f>
        <v>31625.695957260577</v>
      </c>
      <c r="J20" s="9">
        <f>'12 years sales &amp; PL forecast'!Q93/1000</f>
        <v>44388.054593939247</v>
      </c>
      <c r="K20" s="9">
        <f>'12 years sales &amp; PL forecast'!R93/1000</f>
        <v>8031.7535691052672</v>
      </c>
      <c r="L20" s="9">
        <f>'12 years sales &amp; PL forecast'!S93/1000</f>
        <v>-8902.4559863521154</v>
      </c>
      <c r="M20" s="9">
        <f>'12 years sales &amp; PL forecast'!T93/1000</f>
        <v>1555.9486236295998</v>
      </c>
      <c r="N20" s="9">
        <f>'12 years sales &amp; PL forecast'!U93/1000</f>
        <v>8453.7180499790302</v>
      </c>
      <c r="O20" s="9">
        <f>'12 years sales &amp; PL forecast'!V93/1000</f>
        <v>17650.921008250414</v>
      </c>
      <c r="Q20" s="4">
        <f>(O20/B20)^(1/13)-1</f>
        <v>2.2369385252402507E-2</v>
      </c>
      <c r="S20" s="27"/>
      <c r="T20" s="27"/>
      <c r="U20" s="27"/>
      <c r="V20" s="27"/>
      <c r="W20" s="27"/>
      <c r="X20" s="27"/>
      <c r="Y20" s="27"/>
      <c r="Z20" s="27"/>
      <c r="AA20" s="27"/>
    </row>
    <row r="21" spans="1:27" ht="15.75" thickBot="1">
      <c r="A21" s="3" t="s">
        <v>31</v>
      </c>
      <c r="B21" s="9">
        <f>SUM('12 years sales &amp; PL forecast'!I92:I94)/1000</f>
        <v>207846.86289378372</v>
      </c>
      <c r="C21" s="9">
        <f>SUM('12 years sales &amp; PL forecast'!J92:J94)/1000</f>
        <v>234074.26322840003</v>
      </c>
      <c r="D21" s="9">
        <f>SUM('12 years sales &amp; PL forecast'!K92:K94)/1000</f>
        <v>245018.32447917425</v>
      </c>
      <c r="E21" s="9">
        <f>SUM('12 years sales &amp; PL forecast'!L92:L94)/1000</f>
        <v>216468.39526760826</v>
      </c>
      <c r="F21" s="9">
        <f>SUM('12 years sales &amp; PL forecast'!M92:M94)/1000</f>
        <v>91407.087105931903</v>
      </c>
      <c r="G21" s="9">
        <f>SUM('12 years sales &amp; PL forecast'!N92:N94)/1000</f>
        <v>157840.25563458962</v>
      </c>
      <c r="H21" s="9">
        <f>SUM('12 years sales &amp; PL forecast'!O92:O94)/1000</f>
        <v>155657.11084917103</v>
      </c>
      <c r="I21" s="9">
        <f>SUM('12 years sales &amp; PL forecast'!P92:P94)/1000</f>
        <v>141496.31267832388</v>
      </c>
      <c r="J21" s="9">
        <f>SUM('12 years sales &amp; PL forecast'!Q92:Q94)/1000</f>
        <v>174328.32033191144</v>
      </c>
      <c r="K21" s="9">
        <f>SUM('12 years sales &amp; PL forecast'!R92:R94)/1000</f>
        <v>165742.65196441568</v>
      </c>
      <c r="L21" s="9">
        <f>SUM('12 years sales &amp; PL forecast'!S92:S94)/1000</f>
        <v>162361.55746743936</v>
      </c>
      <c r="M21" s="9">
        <f>SUM('12 years sales &amp; PL forecast'!T92:T94)/1000</f>
        <v>184016.23386492665</v>
      </c>
      <c r="N21" s="9">
        <f>SUM('12 years sales &amp; PL forecast'!U92:U94)/1000</f>
        <v>213034.00928433231</v>
      </c>
      <c r="O21" s="9">
        <f>SUM('12 years sales &amp; PL forecast'!V92:V94)/1000</f>
        <v>240245.62042964454</v>
      </c>
      <c r="Q21" s="4">
        <f>(O21/B21)^(1/13)-1</f>
        <v>1.1205411386595587E-2</v>
      </c>
      <c r="S21" s="10" t="s">
        <v>37</v>
      </c>
      <c r="T21" s="1750" t="s">
        <v>2</v>
      </c>
      <c r="U21" s="1751"/>
      <c r="V21" s="1752" t="s">
        <v>5</v>
      </c>
      <c r="W21" s="1752"/>
      <c r="X21" s="1753" t="s">
        <v>13</v>
      </c>
      <c r="Y21" s="1753"/>
      <c r="Z21" s="1752" t="s">
        <v>27</v>
      </c>
      <c r="AA21" s="1754"/>
    </row>
    <row r="22" spans="1:27">
      <c r="A22" s="217"/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S22" s="11" t="s">
        <v>28</v>
      </c>
      <c r="T22" s="1755">
        <f>C14</f>
        <v>268294.5307757234</v>
      </c>
      <c r="U22" s="1756"/>
      <c r="V22" s="1312">
        <f>F14</f>
        <v>85479.896315931896</v>
      </c>
      <c r="W22" s="12">
        <f>(V22/T22)^(1/3)-1</f>
        <v>-0.31700521281093463</v>
      </c>
      <c r="X22" s="1312">
        <f>I14</f>
        <v>146670.86632893753</v>
      </c>
      <c r="Y22" s="13">
        <f>(X22/V22)^(1/3)-1</f>
        <v>0.19718138903959459</v>
      </c>
      <c r="Z22" s="1312">
        <f>O14</f>
        <v>267372.06064058439</v>
      </c>
      <c r="AA22" s="14">
        <f>(Z22/X22)^(1/6)-1</f>
        <v>0.10525382780146497</v>
      </c>
    </row>
    <row r="23" spans="1:27">
      <c r="A23" s="28" t="s">
        <v>38</v>
      </c>
      <c r="B23" s="2" t="s">
        <v>1</v>
      </c>
      <c r="C23" s="2" t="s">
        <v>2</v>
      </c>
      <c r="D23" s="2" t="s">
        <v>3</v>
      </c>
      <c r="E23" s="2" t="s">
        <v>4</v>
      </c>
      <c r="F23" s="2" t="s">
        <v>5</v>
      </c>
      <c r="G23" s="2" t="s">
        <v>6</v>
      </c>
      <c r="H23" s="2" t="s">
        <v>7</v>
      </c>
      <c r="I23" s="2" t="s">
        <v>13</v>
      </c>
      <c r="J23" s="2" t="s">
        <v>14</v>
      </c>
      <c r="K23" s="2" t="s">
        <v>15</v>
      </c>
      <c r="L23" s="2" t="s">
        <v>16</v>
      </c>
      <c r="M23" s="2" t="s">
        <v>17</v>
      </c>
      <c r="N23" s="2" t="s">
        <v>18</v>
      </c>
      <c r="O23" s="2" t="s">
        <v>19</v>
      </c>
      <c r="Q23" s="2" t="s">
        <v>8</v>
      </c>
      <c r="S23" s="15" t="s">
        <v>30</v>
      </c>
      <c r="T23" s="1757">
        <f>C15</f>
        <v>115815.73615814644</v>
      </c>
      <c r="U23" s="1758"/>
      <c r="V23" s="1313">
        <f>F15</f>
        <v>127583.16761000002</v>
      </c>
      <c r="W23" s="16">
        <f>(V23/T23)^(1/3)-1</f>
        <v>3.2781863688348123E-2</v>
      </c>
      <c r="X23" s="1313">
        <f>I15</f>
        <v>178958.73205796388</v>
      </c>
      <c r="Y23" s="17">
        <f>(X23/V23)^(1/3)-1</f>
        <v>0.1194030980356231</v>
      </c>
      <c r="Z23" s="1313">
        <f>O15</f>
        <v>341405.052411857</v>
      </c>
      <c r="AA23" s="18">
        <f>(Z23/X23)^(1/6)-1</f>
        <v>0.11366056546253755</v>
      </c>
    </row>
    <row r="24" spans="1:27" ht="15.75" thickBot="1">
      <c r="A24" s="3" t="s">
        <v>11</v>
      </c>
      <c r="B24" s="9">
        <f t="shared" ref="B24:O24" si="0">B33</f>
        <v>196685.66492276511</v>
      </c>
      <c r="C24" s="9">
        <f t="shared" si="0"/>
        <v>212810.38278838852</v>
      </c>
      <c r="D24" s="3">
        <f t="shared" si="0"/>
        <v>218052.92478843327</v>
      </c>
      <c r="E24" s="3">
        <f t="shared" si="0"/>
        <v>179588.64223160801</v>
      </c>
      <c r="F24" s="9">
        <f t="shared" si="0"/>
        <v>66562.139770501453</v>
      </c>
      <c r="G24" s="3">
        <f t="shared" si="0"/>
        <v>176445.98226265796</v>
      </c>
      <c r="H24" s="3">
        <f t="shared" si="0"/>
        <v>146322.85242134638</v>
      </c>
      <c r="I24" s="9">
        <f t="shared" si="0"/>
        <v>139176.7486854741</v>
      </c>
      <c r="J24" s="3">
        <f t="shared" si="0"/>
        <v>163485.19001093452</v>
      </c>
      <c r="K24" s="3">
        <f t="shared" si="0"/>
        <v>189901.40105215175</v>
      </c>
      <c r="L24" s="3">
        <f t="shared" si="0"/>
        <v>203283.75867827807</v>
      </c>
      <c r="M24" s="3">
        <f t="shared" si="0"/>
        <v>216226.68976304331</v>
      </c>
      <c r="N24" s="3">
        <f t="shared" si="0"/>
        <v>235152.39866693164</v>
      </c>
      <c r="O24" s="9">
        <f t="shared" si="0"/>
        <v>250065.98668071022</v>
      </c>
      <c r="Q24" s="4">
        <f>(O24/B24)^(1/13)-1</f>
        <v>1.8642251134944221E-2</v>
      </c>
      <c r="S24" s="19" t="s">
        <v>32</v>
      </c>
      <c r="T24" s="1759">
        <f>C16</f>
        <v>386425.18450840004</v>
      </c>
      <c r="U24" s="1760"/>
      <c r="V24" s="1314">
        <f>F16</f>
        <v>213943.59776593195</v>
      </c>
      <c r="W24" s="20">
        <f>(V24/T24)^(1/3)-1</f>
        <v>-0.17887118881150821</v>
      </c>
      <c r="X24" s="1314">
        <f>I16</f>
        <v>326221.86979422602</v>
      </c>
      <c r="Y24" s="21">
        <f>(X24/V24)^(1/3)-1</f>
        <v>0.15098922838061979</v>
      </c>
      <c r="Z24" s="1314">
        <f>O16</f>
        <v>611867.74322785309</v>
      </c>
      <c r="AA24" s="22">
        <f>(Z24/X24)^(1/6)-1</f>
        <v>0.11051410994358446</v>
      </c>
    </row>
    <row r="25" spans="1:27" ht="15.75" thickBot="1">
      <c r="A25" s="3" t="s">
        <v>29</v>
      </c>
      <c r="B25" s="9">
        <f t="shared" ref="B25:O25" si="1">B40</f>
        <v>15975.801665551635</v>
      </c>
      <c r="C25" s="9">
        <f t="shared" si="1"/>
        <v>26204.688733453571</v>
      </c>
      <c r="D25" s="3">
        <f t="shared" si="1"/>
        <v>28277.257599538658</v>
      </c>
      <c r="E25" s="3">
        <f t="shared" si="1"/>
        <v>41983.731182342897</v>
      </c>
      <c r="F25" s="9">
        <f t="shared" si="1"/>
        <v>33078.462992662142</v>
      </c>
      <c r="G25" s="3">
        <f t="shared" si="1"/>
        <v>61738.626371931634</v>
      </c>
      <c r="H25" s="3">
        <f t="shared" si="1"/>
        <v>88216.960801405192</v>
      </c>
      <c r="I25" s="9">
        <f t="shared" si="1"/>
        <v>81613.820075563737</v>
      </c>
      <c r="J25" s="3">
        <f t="shared" si="1"/>
        <v>89833.940338389744</v>
      </c>
      <c r="K25" s="3">
        <f t="shared" si="1"/>
        <v>54298.666184716989</v>
      </c>
      <c r="L25" s="3">
        <f t="shared" si="1"/>
        <v>37596.482436591061</v>
      </c>
      <c r="M25" s="3">
        <f t="shared" si="1"/>
        <v>46303.340084796517</v>
      </c>
      <c r="N25" s="3">
        <f t="shared" si="1"/>
        <v>54846.967026156912</v>
      </c>
      <c r="O25" s="9">
        <f t="shared" si="1"/>
        <v>66961.236542883154</v>
      </c>
      <c r="Q25" s="4">
        <f>(O25/B25)^(1/13)-1</f>
        <v>0.11653902764011836</v>
      </c>
      <c r="S25" s="23"/>
      <c r="T25" s="34" t="s">
        <v>33</v>
      </c>
      <c r="U25" s="35" t="s">
        <v>39</v>
      </c>
      <c r="V25" s="36" t="s">
        <v>33</v>
      </c>
      <c r="W25" s="35" t="s">
        <v>39</v>
      </c>
      <c r="X25" s="36" t="s">
        <v>33</v>
      </c>
      <c r="Y25" s="35" t="s">
        <v>39</v>
      </c>
      <c r="Z25" s="36" t="s">
        <v>33</v>
      </c>
      <c r="AA25" s="37" t="s">
        <v>39</v>
      </c>
    </row>
    <row r="26" spans="1:27">
      <c r="A26" s="3" t="s">
        <v>31</v>
      </c>
      <c r="B26" s="9">
        <f t="shared" ref="B26:O26" si="2">B47</f>
        <v>214756.82069025244</v>
      </c>
      <c r="C26" s="9">
        <f t="shared" si="2"/>
        <v>241311.9699074144</v>
      </c>
      <c r="D26" s="3">
        <f t="shared" si="2"/>
        <v>250512.62340250332</v>
      </c>
      <c r="E26" s="3">
        <f t="shared" si="2"/>
        <v>223889.64581587797</v>
      </c>
      <c r="F26" s="9">
        <f t="shared" si="2"/>
        <v>100105.16281921681</v>
      </c>
      <c r="G26" s="3">
        <f t="shared" si="2"/>
        <v>238061.25563458962</v>
      </c>
      <c r="H26" s="3">
        <f t="shared" si="2"/>
        <v>235878.11084917103</v>
      </c>
      <c r="I26" s="9">
        <f t="shared" si="2"/>
        <v>221717.31267832388</v>
      </c>
      <c r="J26" s="3">
        <f t="shared" si="2"/>
        <v>254549.32033191144</v>
      </c>
      <c r="K26" s="3">
        <f t="shared" si="2"/>
        <v>245963.65196441568</v>
      </c>
      <c r="L26" s="3">
        <f t="shared" si="2"/>
        <v>242582.55746743936</v>
      </c>
      <c r="M26" s="3">
        <f t="shared" si="2"/>
        <v>264237.23386492662</v>
      </c>
      <c r="N26" s="3">
        <f t="shared" si="2"/>
        <v>293255.00928433228</v>
      </c>
      <c r="O26" s="9">
        <f t="shared" si="2"/>
        <v>320466.62042964454</v>
      </c>
      <c r="Q26" s="4">
        <f>(O26/B26)^(1/13)-1</f>
        <v>3.1269057550077362E-2</v>
      </c>
      <c r="S26" s="24" t="s">
        <v>28</v>
      </c>
      <c r="T26" s="40">
        <f>T22/T24</f>
        <v>0.69429877122796912</v>
      </c>
      <c r="U26" s="38">
        <f>T22/T13</f>
        <v>0.84931263841825777</v>
      </c>
      <c r="V26" s="1315">
        <f>V22/V24</f>
        <v>0.39954407240291623</v>
      </c>
      <c r="W26" s="39">
        <f>V22/V13</f>
        <v>0.75232925590562016</v>
      </c>
      <c r="X26" s="1315">
        <f>X22/X24</f>
        <v>0.4496046399999315</v>
      </c>
      <c r="Y26" s="40">
        <f>X22/X13</f>
        <v>0.74440222385554522</v>
      </c>
      <c r="Z26" s="1315">
        <f>Z22/Z24</f>
        <v>0.436976885282573</v>
      </c>
      <c r="AA26" s="41">
        <f>Z22/Z13</f>
        <v>0.74954580040368668</v>
      </c>
    </row>
    <row r="27" spans="1:27">
      <c r="S27" s="25" t="s">
        <v>30</v>
      </c>
      <c r="T27" s="44">
        <f>T23/T24</f>
        <v>0.29971063171124357</v>
      </c>
      <c r="U27" s="42">
        <f>T23/T14</f>
        <v>0.79692094816096815</v>
      </c>
      <c r="V27" s="1316">
        <f>V23/V24</f>
        <v>0.59634019873585653</v>
      </c>
      <c r="W27" s="43">
        <f>V23/V14</f>
        <v>0.85414628716865659</v>
      </c>
      <c r="X27" s="1316">
        <f>X23/X24</f>
        <v>0.54857981217153629</v>
      </c>
      <c r="Y27" s="44">
        <f>X23/X14</f>
        <v>0.8053159189180904</v>
      </c>
      <c r="Z27" s="1316">
        <f>Z23/Z24</f>
        <v>0.55797197383017028</v>
      </c>
      <c r="AA27" s="45">
        <f>Z23/Z14</f>
        <v>0.69914644414801652</v>
      </c>
    </row>
    <row r="28" spans="1:27" ht="15.75" thickBot="1">
      <c r="A28" s="28" t="s">
        <v>40</v>
      </c>
      <c r="B28" s="2" t="s">
        <v>1</v>
      </c>
      <c r="C28" s="2" t="s">
        <v>2</v>
      </c>
      <c r="D28" s="2" t="s">
        <v>3</v>
      </c>
      <c r="E28" s="2" t="s">
        <v>4</v>
      </c>
      <c r="F28" s="2" t="s">
        <v>5</v>
      </c>
      <c r="G28" s="2" t="s">
        <v>6</v>
      </c>
      <c r="H28" s="2" t="s">
        <v>7</v>
      </c>
      <c r="I28" s="2" t="s">
        <v>13</v>
      </c>
      <c r="J28" s="2" t="s">
        <v>14</v>
      </c>
      <c r="K28" s="2" t="s">
        <v>15</v>
      </c>
      <c r="L28" s="2" t="s">
        <v>16</v>
      </c>
      <c r="M28" s="2" t="s">
        <v>17</v>
      </c>
      <c r="N28" s="2" t="s">
        <v>18</v>
      </c>
      <c r="O28" s="2" t="s">
        <v>19</v>
      </c>
      <c r="Q28" s="2" t="s">
        <v>8</v>
      </c>
      <c r="S28" s="26" t="s">
        <v>24</v>
      </c>
      <c r="T28" s="46">
        <f>100%-T26-T27</f>
        <v>5.990597060787306E-3</v>
      </c>
      <c r="U28" s="47">
        <f>(T24-T22-T23)/(T15-T13-T14)</f>
        <v>0.68172829220911402</v>
      </c>
      <c r="V28" s="48">
        <f>100%-V26-V27</f>
        <v>4.1157288612272414E-3</v>
      </c>
      <c r="W28" s="49">
        <f>(V24-V22-V23)/(V15-V13-V14)</f>
        <v>0.35488495521302066</v>
      </c>
      <c r="X28" s="50">
        <f>100%-X26-X27</f>
        <v>1.8155478285322157E-3</v>
      </c>
      <c r="Y28" s="51">
        <f>(X24-X22-X23)/(X15-X13-X14)</f>
        <v>0.38710549498340246</v>
      </c>
      <c r="Z28" s="48">
        <f>100%-Z26-Z27</f>
        <v>5.0511408872566665E-3</v>
      </c>
      <c r="AA28" s="52">
        <f>(Z24-Z22-Z23)/(Z15-Z13-Z14)</f>
        <v>0.42374777316590861</v>
      </c>
    </row>
    <row r="29" spans="1:27" ht="15.75" thickBot="1">
      <c r="A29" s="3" t="s">
        <v>41</v>
      </c>
      <c r="B29" s="9">
        <f>B9</f>
        <v>295395.48197999998</v>
      </c>
      <c r="C29" s="3">
        <f t="shared" ref="C29:O29" si="3">C9</f>
        <v>315896.07718000002</v>
      </c>
      <c r="D29" s="3">
        <f t="shared" si="3"/>
        <v>319787.66125999996</v>
      </c>
      <c r="E29" s="3">
        <f t="shared" si="3"/>
        <v>268809.81451999996</v>
      </c>
      <c r="F29" s="3">
        <f t="shared" si="3"/>
        <v>113620.32733</v>
      </c>
      <c r="G29" s="3">
        <f>G9</f>
        <v>223205.41331</v>
      </c>
      <c r="H29" s="3">
        <f t="shared" si="3"/>
        <v>186643.64892051477</v>
      </c>
      <c r="I29" s="3">
        <f t="shared" si="3"/>
        <v>197031.74121279854</v>
      </c>
      <c r="J29" s="3">
        <f t="shared" si="3"/>
        <v>243605.88534575253</v>
      </c>
      <c r="K29" s="3">
        <f t="shared" si="3"/>
        <v>279451.61401633563</v>
      </c>
      <c r="L29" s="3">
        <f t="shared" si="3"/>
        <v>301957.93831673905</v>
      </c>
      <c r="M29" s="3">
        <f t="shared" si="3"/>
        <v>322857.14025552856</v>
      </c>
      <c r="N29" s="3">
        <f t="shared" si="3"/>
        <v>347229.70578097156</v>
      </c>
      <c r="O29" s="9">
        <f t="shared" si="3"/>
        <v>356712.1055132114</v>
      </c>
      <c r="Q29" s="4">
        <f>(O29/B29)^(1/13)-1</f>
        <v>1.4614528704304242E-2</v>
      </c>
      <c r="S29" s="27"/>
      <c r="T29" s="27"/>
      <c r="U29" s="27"/>
      <c r="V29" s="27"/>
      <c r="W29" s="27"/>
      <c r="X29" s="27"/>
      <c r="Y29" s="27"/>
      <c r="Z29" s="27"/>
      <c r="AA29" s="27"/>
    </row>
    <row r="30" spans="1:27" ht="15.75" thickBot="1">
      <c r="A30" s="3" t="s">
        <v>21</v>
      </c>
      <c r="B30" s="9">
        <f>B14</f>
        <v>247975.44214501645</v>
      </c>
      <c r="C30" s="3">
        <f t="shared" ref="C30:O30" si="4">C14</f>
        <v>268294.5307757234</v>
      </c>
      <c r="D30" s="3">
        <f t="shared" si="4"/>
        <v>276034.79687827209</v>
      </c>
      <c r="E30" s="3">
        <f t="shared" si="4"/>
        <v>224236.16197760834</v>
      </c>
      <c r="F30" s="3">
        <f t="shared" si="4"/>
        <v>85479.896315931896</v>
      </c>
      <c r="G30" s="3">
        <f t="shared" si="4"/>
        <v>175056.61611458962</v>
      </c>
      <c r="H30" s="3">
        <f t="shared" si="4"/>
        <v>154115.02992865699</v>
      </c>
      <c r="I30" s="3">
        <f t="shared" si="4"/>
        <v>146670.86632893753</v>
      </c>
      <c r="J30" s="3">
        <f t="shared" si="4"/>
        <v>170728.68387440973</v>
      </c>
      <c r="K30" s="3">
        <f t="shared" si="4"/>
        <v>201317.3552445822</v>
      </c>
      <c r="L30" s="3">
        <f t="shared" si="4"/>
        <v>216731.83039711899</v>
      </c>
      <c r="M30" s="3">
        <f t="shared" si="4"/>
        <v>230814.33479316908</v>
      </c>
      <c r="N30" s="3">
        <f t="shared" si="4"/>
        <v>254675.87542440146</v>
      </c>
      <c r="O30" s="9">
        <f t="shared" si="4"/>
        <v>267372.06064058439</v>
      </c>
      <c r="Q30" s="4">
        <f>(O30/B30)^(1/13)-1</f>
        <v>5.8100019158831007E-3</v>
      </c>
      <c r="S30" s="10" t="s">
        <v>42</v>
      </c>
      <c r="T30" s="1750" t="s">
        <v>2</v>
      </c>
      <c r="U30" s="1751"/>
      <c r="V30" s="1752" t="s">
        <v>5</v>
      </c>
      <c r="W30" s="1752"/>
      <c r="X30" s="1753" t="s">
        <v>13</v>
      </c>
      <c r="Y30" s="1753"/>
      <c r="Z30" s="1752" t="s">
        <v>27</v>
      </c>
      <c r="AA30" s="1754"/>
    </row>
    <row r="31" spans="1:27">
      <c r="A31" s="3" t="s">
        <v>23</v>
      </c>
      <c r="B31" s="9">
        <f>'12 years sales &amp; PL forecast'!I39/1000</f>
        <v>55349.514000000003</v>
      </c>
      <c r="C31" s="9">
        <f>'12 years sales &amp; PL forecast'!J39/1000</f>
        <v>59503.665949999995</v>
      </c>
      <c r="D31" s="9">
        <f>'12 years sales &amp; PL forecast'!K39/1000</f>
        <v>60727.598410000006</v>
      </c>
      <c r="E31" s="9">
        <f>'12 years sales &amp; PL forecast'!L39/1000</f>
        <v>47661.720940000014</v>
      </c>
      <c r="F31" s="9">
        <f>'12 years sales &amp; PL forecast'!M39/1000</f>
        <v>21884.992289999998</v>
      </c>
      <c r="G31" s="9">
        <f>'12 years sales &amp; PL forecast'!N39/1000</f>
        <v>40923.082930000004</v>
      </c>
      <c r="H31" s="9">
        <f>'12 years sales &amp; PL forecast'!O39/1000</f>
        <v>37140.962525514806</v>
      </c>
      <c r="I31" s="9">
        <f>'12 years sales &amp; PL forecast'!P39/1000</f>
        <v>37174.3423761667</v>
      </c>
      <c r="J31" s="9">
        <f>'12 years sales &amp; PL forecast'!Q39/1000</f>
        <v>41162.647148127857</v>
      </c>
      <c r="K31" s="9">
        <f>'12 years sales &amp; PL forecast'!R39/1000</f>
        <v>44335.045500769455</v>
      </c>
      <c r="L31" s="9">
        <f>'12 years sales &amp; PL forecast'!S39/1000</f>
        <v>46204.619235681734</v>
      </c>
      <c r="M31" s="9">
        <f>'12 years sales &amp; PL forecast'!T39/1000</f>
        <v>49097.536447106198</v>
      </c>
      <c r="N31" s="9">
        <f>'12 years sales &amp; PL forecast'!U39/1000</f>
        <v>51810.839638238132</v>
      </c>
      <c r="O31" s="9">
        <f>'12 years sales &amp; PL forecast'!V39/1000</f>
        <v>46827.926568825023</v>
      </c>
      <c r="Q31" s="4">
        <f>(O31/B31)^(1/13)-1</f>
        <v>-1.2778281081099796E-2</v>
      </c>
      <c r="S31" s="11" t="s">
        <v>28</v>
      </c>
      <c r="T31" s="1755">
        <f>C19</f>
        <v>208790.86482572337</v>
      </c>
      <c r="U31" s="1756"/>
      <c r="V31" s="1312">
        <f>F19</f>
        <v>63594.904025931901</v>
      </c>
      <c r="W31" s="12">
        <f>(V31/T31)^(1/3)-1</f>
        <v>-0.32717269531324078</v>
      </c>
      <c r="X31" s="1312">
        <f>I19</f>
        <v>109496.52395277083</v>
      </c>
      <c r="Y31" s="13">
        <f>(X31/V31)^(1/3)-1</f>
        <v>0.19855878291063345</v>
      </c>
      <c r="Z31" s="1312">
        <f>O19</f>
        <v>220544.13407175941</v>
      </c>
      <c r="AA31" s="14">
        <f>(Z31/X31)^(1/6)-1</f>
        <v>0.12378318567552005</v>
      </c>
    </row>
    <row r="32" spans="1:27">
      <c r="A32" s="3" t="s">
        <v>43</v>
      </c>
      <c r="B32" s="9">
        <f>B19</f>
        <v>192625.92814501646</v>
      </c>
      <c r="C32" s="9">
        <f t="shared" ref="C32:O32" si="5">C19</f>
        <v>208790.86482572337</v>
      </c>
      <c r="D32" s="9">
        <f t="shared" si="5"/>
        <v>215307.19846827205</v>
      </c>
      <c r="E32" s="9">
        <f t="shared" si="5"/>
        <v>176574.44103760834</v>
      </c>
      <c r="F32" s="9">
        <f t="shared" si="5"/>
        <v>63594.904025931901</v>
      </c>
      <c r="G32" s="9">
        <f t="shared" si="5"/>
        <v>134133.53318458961</v>
      </c>
      <c r="H32" s="9">
        <f t="shared" si="5"/>
        <v>116974.06740314218</v>
      </c>
      <c r="I32" s="9">
        <f t="shared" si="5"/>
        <v>109496.52395277083</v>
      </c>
      <c r="J32" s="9">
        <f t="shared" si="5"/>
        <v>129566.03672628188</v>
      </c>
      <c r="K32" s="9">
        <f t="shared" si="5"/>
        <v>156982.30974381274</v>
      </c>
      <c r="L32" s="9">
        <f t="shared" si="5"/>
        <v>170527.21116143724</v>
      </c>
      <c r="M32" s="9">
        <f t="shared" si="5"/>
        <v>181716.79834606289</v>
      </c>
      <c r="N32" s="9">
        <f t="shared" si="5"/>
        <v>202865.03578616332</v>
      </c>
      <c r="O32" s="9">
        <f t="shared" si="5"/>
        <v>220544.13407175941</v>
      </c>
      <c r="Q32" s="4">
        <f>(O32/B32)^(1/13)-1</f>
        <v>1.0465749694364312E-2</v>
      </c>
      <c r="S32" s="15" t="s">
        <v>30</v>
      </c>
      <c r="T32" s="1757">
        <f>C20</f>
        <v>23081.156288146438</v>
      </c>
      <c r="U32" s="1758"/>
      <c r="V32" s="1313">
        <f>F20</f>
        <v>27497.200670000002</v>
      </c>
      <c r="W32" s="16">
        <f>(V32/T32)^(1/3)-1</f>
        <v>6.0092203437523306E-2</v>
      </c>
      <c r="X32" s="1313">
        <f>I20</f>
        <v>31625.695957260577</v>
      </c>
      <c r="Y32" s="17">
        <f>(X32/V32)^(1/3)-1</f>
        <v>4.7732790574158912E-2</v>
      </c>
      <c r="Z32" s="1313">
        <f>O20</f>
        <v>17650.921008250414</v>
      </c>
      <c r="AA32" s="18">
        <f>(Z32/X32)^(1/6)-1</f>
        <v>-9.2622763213217052E-2</v>
      </c>
    </row>
    <row r="33" spans="1:27" ht="15.75" thickBot="1">
      <c r="A33" s="3" t="s">
        <v>44</v>
      </c>
      <c r="B33" s="9">
        <f>B32+'12 years sales &amp; PL forecast'!I31*'Sales Analysis'!B4</f>
        <v>196685.66492276511</v>
      </c>
      <c r="C33" s="9">
        <f>C32+'12 years sales &amp; PL forecast'!J31*'Sales Analysis'!C4</f>
        <v>212810.38278838852</v>
      </c>
      <c r="D33" s="9">
        <f>D32+'12 years sales &amp; PL forecast'!K31*'Sales Analysis'!D4</f>
        <v>218052.92478843327</v>
      </c>
      <c r="E33" s="9">
        <f>E32+'12 years sales &amp; PL forecast'!L31*'Sales Analysis'!E4</f>
        <v>179588.64223160801</v>
      </c>
      <c r="F33" s="9">
        <f>F32+'12 years sales &amp; PL forecast'!M31*'Sales Analysis'!F4</f>
        <v>66562.139770501453</v>
      </c>
      <c r="G33" s="9">
        <f t="shared" ref="G33:O33" si="6">G32+80221*G4/G6</f>
        <v>176445.98226265796</v>
      </c>
      <c r="H33" s="9">
        <f t="shared" si="6"/>
        <v>146322.85242134638</v>
      </c>
      <c r="I33" s="9">
        <f t="shared" si="6"/>
        <v>139176.7486854741</v>
      </c>
      <c r="J33" s="9">
        <f t="shared" si="6"/>
        <v>163485.19001093452</v>
      </c>
      <c r="K33" s="9">
        <f t="shared" si="6"/>
        <v>189901.40105215175</v>
      </c>
      <c r="L33" s="9">
        <f t="shared" si="6"/>
        <v>203283.75867827807</v>
      </c>
      <c r="M33" s="9">
        <f t="shared" si="6"/>
        <v>216226.68976304331</v>
      </c>
      <c r="N33" s="9">
        <f t="shared" si="6"/>
        <v>235152.39866693164</v>
      </c>
      <c r="O33" s="9">
        <f t="shared" si="6"/>
        <v>250065.98668071022</v>
      </c>
      <c r="Q33" s="4">
        <f>(O33/B33)^(1/13)-1</f>
        <v>1.8642251134944221E-2</v>
      </c>
      <c r="S33" s="19" t="s">
        <v>32</v>
      </c>
      <c r="T33" s="1759">
        <f>C21</f>
        <v>234074.26322840003</v>
      </c>
      <c r="U33" s="1760"/>
      <c r="V33" s="1314">
        <f>F21</f>
        <v>91407.087105931903</v>
      </c>
      <c r="W33" s="20">
        <f>(V33/T33)^(1/3)-1</f>
        <v>-0.2690706493509788</v>
      </c>
      <c r="X33" s="1314">
        <f>I21</f>
        <v>141496.31267832388</v>
      </c>
      <c r="Y33" s="21">
        <f>(X33/V33)^(1/3)-1</f>
        <v>0.15679148820435151</v>
      </c>
      <c r="Z33" s="1314">
        <f>O21</f>
        <v>240245.62042964454</v>
      </c>
      <c r="AA33" s="22">
        <f>(Z33/X33)^(1/6)-1</f>
        <v>9.224079372449312E-2</v>
      </c>
    </row>
    <row r="34" spans="1:27" ht="15.75" thickBot="1">
      <c r="S34" s="23"/>
      <c r="T34" s="34" t="s">
        <v>33</v>
      </c>
      <c r="U34" s="35" t="s">
        <v>39</v>
      </c>
      <c r="V34" s="36" t="s">
        <v>33</v>
      </c>
      <c r="W34" s="35" t="s">
        <v>39</v>
      </c>
      <c r="X34" s="36" t="s">
        <v>33</v>
      </c>
      <c r="Y34" s="35" t="s">
        <v>39</v>
      </c>
      <c r="Z34" s="36" t="s">
        <v>33</v>
      </c>
      <c r="AA34" s="37" t="s">
        <v>39</v>
      </c>
    </row>
    <row r="35" spans="1:27" s="28" customFormat="1">
      <c r="A35" s="28" t="s">
        <v>45</v>
      </c>
      <c r="B35" s="2" t="s">
        <v>1</v>
      </c>
      <c r="C35" s="2" t="s">
        <v>2</v>
      </c>
      <c r="D35" s="2" t="s">
        <v>3</v>
      </c>
      <c r="E35" s="2" t="s">
        <v>4</v>
      </c>
      <c r="F35" s="2" t="s">
        <v>5</v>
      </c>
      <c r="G35" s="2" t="s">
        <v>6</v>
      </c>
      <c r="H35" s="2" t="s">
        <v>7</v>
      </c>
      <c r="I35" s="2" t="s">
        <v>13</v>
      </c>
      <c r="J35" s="2" t="s">
        <v>14</v>
      </c>
      <c r="K35" s="2" t="s">
        <v>15</v>
      </c>
      <c r="L35" s="2" t="s">
        <v>16</v>
      </c>
      <c r="M35" s="2" t="s">
        <v>17</v>
      </c>
      <c r="N35" s="2" t="s">
        <v>18</v>
      </c>
      <c r="O35" s="2" t="s">
        <v>19</v>
      </c>
      <c r="Q35" s="2" t="s">
        <v>8</v>
      </c>
      <c r="S35" s="24" t="s">
        <v>28</v>
      </c>
      <c r="T35" s="40">
        <f>T31/T33</f>
        <v>0.89198556879358348</v>
      </c>
      <c r="U35" s="38">
        <f>T31/T13</f>
        <v>0.6609479506348942</v>
      </c>
      <c r="V35" s="1315">
        <f>V31/V33</f>
        <v>0.69573274938989804</v>
      </c>
      <c r="W35" s="39">
        <f>V31/V13</f>
        <v>0.5597141420058247</v>
      </c>
      <c r="X35" s="1315">
        <f>X31/X33</f>
        <v>0.77384718993843316</v>
      </c>
      <c r="Y35" s="40">
        <f>X31/X13</f>
        <v>0.55573037764769184</v>
      </c>
      <c r="Z35" s="1315">
        <f>Z31/Z33</f>
        <v>0.91799439955387385</v>
      </c>
      <c r="AA35" s="41">
        <f>Z31/Z13</f>
        <v>0.6182692727920085</v>
      </c>
    </row>
    <row r="36" spans="1:27">
      <c r="A36" s="3" t="s">
        <v>41</v>
      </c>
      <c r="B36" s="9">
        <f>B10</f>
        <v>122008.67404000001</v>
      </c>
      <c r="C36" s="3">
        <f t="shared" ref="C36:O36" si="7">C10</f>
        <v>145329.01465999999</v>
      </c>
      <c r="D36" s="3">
        <f t="shared" si="7"/>
        <v>174894.84694000002</v>
      </c>
      <c r="E36" s="3">
        <f t="shared" si="7"/>
        <v>215975.64095999999</v>
      </c>
      <c r="F36" s="3">
        <f t="shared" si="7"/>
        <v>149369.22343000001</v>
      </c>
      <c r="G36" s="3">
        <f t="shared" si="7"/>
        <v>144055.70144999999</v>
      </c>
      <c r="H36" s="3">
        <f t="shared" si="7"/>
        <v>217007.52347903993</v>
      </c>
      <c r="I36" s="3">
        <f t="shared" si="7"/>
        <v>222221.77390754642</v>
      </c>
      <c r="J36" s="3">
        <f t="shared" si="7"/>
        <v>248128.41499744981</v>
      </c>
      <c r="K36" s="3">
        <f t="shared" si="7"/>
        <v>294753.52917130309</v>
      </c>
      <c r="L36" s="3">
        <f t="shared" si="7"/>
        <v>317549.64561803994</v>
      </c>
      <c r="M36" s="3">
        <f t="shared" si="7"/>
        <v>352081.48365704663</v>
      </c>
      <c r="N36" s="3">
        <f t="shared" si="7"/>
        <v>414226.90077136498</v>
      </c>
      <c r="O36" s="9">
        <f t="shared" si="7"/>
        <v>488316.94027693296</v>
      </c>
      <c r="Q36" s="4">
        <f>(O36/B36)^(1/13)-1</f>
        <v>0.11258095581948968</v>
      </c>
      <c r="S36" s="25" t="s">
        <v>30</v>
      </c>
      <c r="T36" s="44">
        <f>T32/T33</f>
        <v>9.8606125978167855E-2</v>
      </c>
      <c r="U36" s="42">
        <f>T32/T14</f>
        <v>0.15882001499938087</v>
      </c>
      <c r="V36" s="1316">
        <f>V32/V33</f>
        <v>0.30082132075966306</v>
      </c>
      <c r="W36" s="43">
        <f>V32/V14</f>
        <v>0.18408879713354215</v>
      </c>
      <c r="X36" s="1316">
        <f>X32/X33</f>
        <v>0.22350897601945344</v>
      </c>
      <c r="Y36" s="44">
        <f>X32/X14</f>
        <v>0.14231591891809034</v>
      </c>
      <c r="Z36" s="1316">
        <f>Z32/Z33</f>
        <v>7.3470313326354481E-2</v>
      </c>
      <c r="AA36" s="45">
        <f>Z32/Z14</f>
        <v>3.6146444148016391E-2</v>
      </c>
    </row>
    <row r="37" spans="1:27" ht="15.75" thickBot="1">
      <c r="A37" s="3" t="s">
        <v>21</v>
      </c>
      <c r="B37" s="9">
        <f>B15</f>
        <v>97858.321593514396</v>
      </c>
      <c r="C37" s="3">
        <f t="shared" ref="C37:O37" si="8">C15</f>
        <v>115815.73615814644</v>
      </c>
      <c r="D37" s="3">
        <f t="shared" si="8"/>
        <v>142451.5548009022</v>
      </c>
      <c r="E37" s="3">
        <f t="shared" si="8"/>
        <v>180837.59877999997</v>
      </c>
      <c r="F37" s="3">
        <f t="shared" si="8"/>
        <v>127583.16761000002</v>
      </c>
      <c r="G37" s="3">
        <f t="shared" si="8"/>
        <v>119809.44779999998</v>
      </c>
      <c r="H37" s="3">
        <f t="shared" si="8"/>
        <v>181790.22578809605</v>
      </c>
      <c r="I37" s="3">
        <f t="shared" si="8"/>
        <v>178958.73205796388</v>
      </c>
      <c r="J37" s="3">
        <f t="shared" si="8"/>
        <v>208897.19373724848</v>
      </c>
      <c r="K37" s="3">
        <f t="shared" si="8"/>
        <v>203453.34340967925</v>
      </c>
      <c r="L37" s="3">
        <f t="shared" si="8"/>
        <v>201632.95905840839</v>
      </c>
      <c r="M37" s="3">
        <f t="shared" si="8"/>
        <v>234985.97228825151</v>
      </c>
      <c r="N37" s="3">
        <f t="shared" si="8"/>
        <v>283086.15326139401</v>
      </c>
      <c r="O37" s="9">
        <f t="shared" si="8"/>
        <v>341405.052411857</v>
      </c>
      <c r="Q37" s="4">
        <f>(O37/B37)^(1/13)-1</f>
        <v>0.10089022087642507</v>
      </c>
      <c r="S37" s="26" t="s">
        <v>24</v>
      </c>
      <c r="T37" s="46">
        <f>100%-T35-T36</f>
        <v>9.4083052282486618E-3</v>
      </c>
      <c r="U37" s="47">
        <f>(T33-T31-T32)/(T15-T13-T14)</f>
        <v>0.64854609610640535</v>
      </c>
      <c r="V37" s="48">
        <f>100%-V35-V36</f>
        <v>3.4459298504389002E-3</v>
      </c>
      <c r="W37" s="49">
        <f>(V33-V31-V32)/(V15-V13-V14)</f>
        <v>0.12694857754215935</v>
      </c>
      <c r="X37" s="50">
        <f>100%-X35-X36</f>
        <v>2.6438340421134077E-3</v>
      </c>
      <c r="Y37" s="51">
        <f>(X33-X31-X32)/(X15-X13-X14)</f>
        <v>0.24450507731533777</v>
      </c>
      <c r="Z37" s="48">
        <f>100%-Z35-Z36</f>
        <v>8.5352871197716673E-3</v>
      </c>
      <c r="AA37" s="52">
        <f>(Z33-Z31-Z32)/(Z15-Z13-Z14)</f>
        <v>0.2811473554978578</v>
      </c>
    </row>
    <row r="38" spans="1:27" ht="15.75" thickBot="1">
      <c r="A38" s="3" t="s">
        <v>23</v>
      </c>
      <c r="B38" s="9">
        <f>'12 years sales &amp; PL forecast'!I43/1000</f>
        <v>84619.006999999998</v>
      </c>
      <c r="C38" s="9">
        <f>'12 years sales &amp; PL forecast'!J43/1000</f>
        <v>92734.579870000001</v>
      </c>
      <c r="D38" s="9">
        <f>'12 years sales &amp; PL forecast'!K43/1000</f>
        <v>116792.13949</v>
      </c>
      <c r="E38" s="9">
        <f>'12 years sales &amp; PL forecast'!L43/1000</f>
        <v>143163.82628000004</v>
      </c>
      <c r="F38" s="9">
        <f>'12 years sales &amp; PL forecast'!M43/1000</f>
        <v>100085.96694000001</v>
      </c>
      <c r="G38" s="9">
        <f>'12 years sales &amp; PL forecast'!N43/1000</f>
        <v>95979.372350000005</v>
      </c>
      <c r="H38" s="9">
        <f>'12 years sales &amp; PL forecast'!O43/1000</f>
        <v>143875.98806660346</v>
      </c>
      <c r="I38" s="9">
        <f>'12 years sales &amp; PL forecast'!P43/1000</f>
        <v>147333.03610070329</v>
      </c>
      <c r="J38" s="9">
        <f>'12 years sales &amp; PL forecast'!Q43/1000</f>
        <v>164509.13914330924</v>
      </c>
      <c r="K38" s="9">
        <f>'12 years sales &amp; PL forecast'!R43/1000</f>
        <v>195421.58984057396</v>
      </c>
      <c r="L38" s="9">
        <f>'12 years sales &amp; PL forecast'!S43/1000</f>
        <v>210535.41504476051</v>
      </c>
      <c r="M38" s="9">
        <f>'12 years sales &amp; PL forecast'!T43/1000</f>
        <v>233430.02366462193</v>
      </c>
      <c r="N38" s="9">
        <f>'12 years sales &amp; PL forecast'!U43/1000</f>
        <v>274632.435211415</v>
      </c>
      <c r="O38" s="9">
        <f>'12 years sales &amp; PL forecast'!V43/1000</f>
        <v>323754.13140360662</v>
      </c>
      <c r="Q38" s="4">
        <f>(O38/B38)^(1/13)-1</f>
        <v>0.10873235850135465</v>
      </c>
      <c r="S38" s="27"/>
      <c r="T38" s="27"/>
      <c r="U38" s="27"/>
      <c r="V38" s="27"/>
      <c r="W38" s="27"/>
      <c r="X38" s="27"/>
      <c r="Y38" s="27"/>
      <c r="Z38" s="27"/>
      <c r="AA38" s="27"/>
    </row>
    <row r="39" spans="1:27" ht="15.75" thickBot="1">
      <c r="A39" s="3" t="s">
        <v>43</v>
      </c>
      <c r="B39" s="9">
        <f t="shared" ref="B39:O39" si="9">B20</f>
        <v>13239.314593514398</v>
      </c>
      <c r="C39" s="9">
        <f t="shared" si="9"/>
        <v>23081.156288146438</v>
      </c>
      <c r="D39" s="9">
        <f t="shared" si="9"/>
        <v>25659.415310902194</v>
      </c>
      <c r="E39" s="9">
        <f t="shared" si="9"/>
        <v>37673.772499999941</v>
      </c>
      <c r="F39" s="9">
        <f t="shared" si="9"/>
        <v>27497.200670000002</v>
      </c>
      <c r="G39" s="9">
        <f t="shared" si="9"/>
        <v>23830.075449999975</v>
      </c>
      <c r="H39" s="9">
        <f t="shared" si="9"/>
        <v>37914.237721492587</v>
      </c>
      <c r="I39" s="9">
        <f t="shared" si="9"/>
        <v>31625.695957260577</v>
      </c>
      <c r="J39" s="9">
        <f t="shared" si="9"/>
        <v>44388.054593939247</v>
      </c>
      <c r="K39" s="9">
        <f t="shared" si="9"/>
        <v>8031.7535691052672</v>
      </c>
      <c r="L39" s="9">
        <f t="shared" si="9"/>
        <v>-8902.4559863521154</v>
      </c>
      <c r="M39" s="9">
        <f t="shared" si="9"/>
        <v>1555.9486236295998</v>
      </c>
      <c r="N39" s="9">
        <f t="shared" si="9"/>
        <v>8453.7180499790302</v>
      </c>
      <c r="O39" s="9">
        <f t="shared" si="9"/>
        <v>17650.921008250414</v>
      </c>
      <c r="Q39" s="4">
        <f>(O39/B39)^(1/13)-1</f>
        <v>2.2369385252402507E-2</v>
      </c>
      <c r="S39" s="10" t="s">
        <v>46</v>
      </c>
      <c r="T39" s="1750" t="s">
        <v>2</v>
      </c>
      <c r="U39" s="1751"/>
      <c r="V39" s="1752" t="s">
        <v>5</v>
      </c>
      <c r="W39" s="1752"/>
      <c r="X39" s="1753" t="s">
        <v>13</v>
      </c>
      <c r="Y39" s="1753"/>
      <c r="Z39" s="1752" t="s">
        <v>27</v>
      </c>
      <c r="AA39" s="1754"/>
    </row>
    <row r="40" spans="1:27">
      <c r="A40" s="3" t="s">
        <v>44</v>
      </c>
      <c r="B40" s="9">
        <f>B39+'12 years sales &amp; PL forecast'!I31*'Sales Analysis'!B5</f>
        <v>15975.801665551635</v>
      </c>
      <c r="C40" s="9">
        <f>C39+'12 years sales &amp; PL forecast'!J31*'Sales Analysis'!C5</f>
        <v>26204.688733453571</v>
      </c>
      <c r="D40" s="9">
        <f>D39+'12 years sales &amp; PL forecast'!K31*'Sales Analysis'!D5</f>
        <v>28277.257599538658</v>
      </c>
      <c r="E40" s="9">
        <f>E39+'12 years sales &amp; PL forecast'!L31*'Sales Analysis'!E5</f>
        <v>41983.731182342897</v>
      </c>
      <c r="F40" s="9">
        <f>F39+'12 years sales &amp; PL forecast'!M31*'Sales Analysis'!F5</f>
        <v>33078.462992662142</v>
      </c>
      <c r="G40" s="9">
        <f t="shared" ref="G40:O40" si="10">G39+80221*G5/G6</f>
        <v>61738.626371931634</v>
      </c>
      <c r="H40" s="9">
        <f t="shared" si="10"/>
        <v>88216.960801405192</v>
      </c>
      <c r="I40" s="9">
        <f t="shared" si="10"/>
        <v>81613.820075563737</v>
      </c>
      <c r="J40" s="9">
        <f t="shared" si="10"/>
        <v>89833.940338389744</v>
      </c>
      <c r="K40" s="9">
        <f t="shared" si="10"/>
        <v>54298.666184716989</v>
      </c>
      <c r="L40" s="9">
        <f t="shared" si="10"/>
        <v>37596.482436591061</v>
      </c>
      <c r="M40" s="9">
        <f t="shared" si="10"/>
        <v>46303.340084796517</v>
      </c>
      <c r="N40" s="9">
        <f t="shared" si="10"/>
        <v>54846.967026156912</v>
      </c>
      <c r="O40" s="9">
        <f t="shared" si="10"/>
        <v>66961.236542883154</v>
      </c>
      <c r="Q40" s="4">
        <f>(O40/B40)^(1/13)-1</f>
        <v>0.11653902764011836</v>
      </c>
      <c r="S40" s="11" t="s">
        <v>28</v>
      </c>
      <c r="T40" s="1755">
        <f>C24</f>
        <v>212810.38278838852</v>
      </c>
      <c r="U40" s="1756"/>
      <c r="V40" s="1312">
        <f>F24</f>
        <v>66562.139770501453</v>
      </c>
      <c r="W40" s="12">
        <f>(V40/T40)^(1/3)-1</f>
        <v>-0.32119533136030398</v>
      </c>
      <c r="X40" s="1312">
        <f>I24</f>
        <v>139176.7486854741</v>
      </c>
      <c r="Y40" s="13">
        <f>(X40/V40)^(1/3)-1</f>
        <v>0.2787327965810007</v>
      </c>
      <c r="Z40" s="1312">
        <f>O24</f>
        <v>250065.98668071022</v>
      </c>
      <c r="AA40" s="14">
        <f>(Z40/X40)^(1/6)-1</f>
        <v>0.10259154089879918</v>
      </c>
    </row>
    <row r="41" spans="1:27">
      <c r="S41" s="15" t="s">
        <v>30</v>
      </c>
      <c r="T41" s="1757">
        <f>C25</f>
        <v>26204.688733453571</v>
      </c>
      <c r="U41" s="1758"/>
      <c r="V41" s="1313">
        <f>F25</f>
        <v>33078.462992662142</v>
      </c>
      <c r="W41" s="16">
        <f>(V41/T41)^(1/3)-1</f>
        <v>8.0742189084060279E-2</v>
      </c>
      <c r="X41" s="1313">
        <f>I25</f>
        <v>81613.820075563737</v>
      </c>
      <c r="Y41" s="17">
        <f>(X41/V41)^(1/3)-1</f>
        <v>0.3512616819006118</v>
      </c>
      <c r="Z41" s="1313">
        <f>O25</f>
        <v>66961.236542883154</v>
      </c>
      <c r="AA41" s="18">
        <f>(Z41/X41)^(1/6)-1</f>
        <v>-3.2442850333691653E-2</v>
      </c>
    </row>
    <row r="42" spans="1:27" s="28" customFormat="1" ht="15.75" thickBot="1">
      <c r="A42" s="28" t="s">
        <v>47</v>
      </c>
      <c r="B42" s="2" t="s">
        <v>1</v>
      </c>
      <c r="C42" s="2" t="s">
        <v>2</v>
      </c>
      <c r="D42" s="2" t="s">
        <v>3</v>
      </c>
      <c r="E42" s="2" t="s">
        <v>4</v>
      </c>
      <c r="F42" s="2" t="s">
        <v>5</v>
      </c>
      <c r="G42" s="2" t="s">
        <v>6</v>
      </c>
      <c r="H42" s="2" t="s">
        <v>7</v>
      </c>
      <c r="I42" s="2" t="s">
        <v>13</v>
      </c>
      <c r="J42" s="2" t="s">
        <v>14</v>
      </c>
      <c r="K42" s="2" t="s">
        <v>15</v>
      </c>
      <c r="L42" s="2" t="s">
        <v>16</v>
      </c>
      <c r="M42" s="2" t="s">
        <v>17</v>
      </c>
      <c r="N42" s="2" t="s">
        <v>18</v>
      </c>
      <c r="O42" s="2" t="s">
        <v>19</v>
      </c>
      <c r="Q42" s="2" t="s">
        <v>8</v>
      </c>
      <c r="S42" s="19" t="s">
        <v>32</v>
      </c>
      <c r="T42" s="1759">
        <f>C26</f>
        <v>241311.9699074144</v>
      </c>
      <c r="U42" s="1760"/>
      <c r="V42" s="1314">
        <f>F26</f>
        <v>100105.16281921681</v>
      </c>
      <c r="W42" s="20">
        <f>(V42/T42)^(1/3)-1</f>
        <v>-0.25419400424040828</v>
      </c>
      <c r="X42" s="1314">
        <f>I26</f>
        <v>221717.31267832388</v>
      </c>
      <c r="Y42" s="21">
        <f>(X42/V42)^(1/3)-1</f>
        <v>0.30351002801948734</v>
      </c>
      <c r="Z42" s="1314">
        <f>O26</f>
        <v>320466.62042964454</v>
      </c>
      <c r="AA42" s="22">
        <f>(Z42/X42)^(1/6)-1</f>
        <v>6.3319713822057588E-2</v>
      </c>
    </row>
    <row r="43" spans="1:27" ht="15.75" thickBot="1">
      <c r="A43" s="3" t="s">
        <v>41</v>
      </c>
      <c r="B43" s="9">
        <f>B11</f>
        <v>421097.37263999996</v>
      </c>
      <c r="C43" s="3">
        <f t="shared" ref="C43:O43" si="11">C11</f>
        <v>464620.75196000002</v>
      </c>
      <c r="D43" s="3">
        <f t="shared" si="11"/>
        <v>500370.91712000006</v>
      </c>
      <c r="E43" s="3">
        <f t="shared" si="11"/>
        <v>489010.86896999995</v>
      </c>
      <c r="F43" s="3">
        <f t="shared" si="11"/>
        <v>265470.73184999998</v>
      </c>
      <c r="G43" s="3">
        <f t="shared" si="11"/>
        <v>367261.11475999997</v>
      </c>
      <c r="H43" s="3">
        <f t="shared" si="11"/>
        <v>405151.17239955475</v>
      </c>
      <c r="I43" s="3">
        <f t="shared" si="11"/>
        <v>420783.51512034499</v>
      </c>
      <c r="J43" s="3">
        <f t="shared" si="11"/>
        <v>494315.72114923835</v>
      </c>
      <c r="K43" s="3">
        <f t="shared" si="11"/>
        <v>577920.07017880143</v>
      </c>
      <c r="L43" s="3">
        <f t="shared" si="11"/>
        <v>623296.80946576491</v>
      </c>
      <c r="M43" s="3">
        <f t="shared" si="11"/>
        <v>678803.63395418087</v>
      </c>
      <c r="N43" s="3">
        <f t="shared" si="11"/>
        <v>768607.15642095066</v>
      </c>
      <c r="O43" s="9">
        <f t="shared" si="11"/>
        <v>852322.60665613064</v>
      </c>
      <c r="Q43" s="4">
        <f>(O43/B43)^(1/13)-1</f>
        <v>5.5736406314320641E-2</v>
      </c>
      <c r="S43" s="23"/>
      <c r="T43" s="34" t="s">
        <v>33</v>
      </c>
      <c r="U43" s="35" t="s">
        <v>39</v>
      </c>
      <c r="V43" s="36" t="s">
        <v>33</v>
      </c>
      <c r="W43" s="35" t="s">
        <v>39</v>
      </c>
      <c r="X43" s="36" t="s">
        <v>33</v>
      </c>
      <c r="Y43" s="35" t="s">
        <v>39</v>
      </c>
      <c r="Z43" s="36" t="s">
        <v>33</v>
      </c>
      <c r="AA43" s="37" t="s">
        <v>39</v>
      </c>
    </row>
    <row r="44" spans="1:27">
      <c r="A44" s="3" t="s">
        <v>21</v>
      </c>
      <c r="B44" s="9">
        <f>B16</f>
        <v>348391.18214378366</v>
      </c>
      <c r="C44" s="3">
        <f t="shared" ref="C44:O44" si="12">C16</f>
        <v>386425.18450840004</v>
      </c>
      <c r="D44" s="3">
        <f t="shared" si="12"/>
        <v>422940.25470917422</v>
      </c>
      <c r="E44" s="3">
        <f t="shared" si="12"/>
        <v>408048.02422760834</v>
      </c>
      <c r="F44" s="3">
        <f t="shared" si="12"/>
        <v>213943.59776593195</v>
      </c>
      <c r="G44" s="3">
        <f t="shared" si="12"/>
        <v>294866.06391458964</v>
      </c>
      <c r="H44" s="3">
        <f t="shared" si="12"/>
        <v>336774.06144128926</v>
      </c>
      <c r="I44" s="3">
        <f t="shared" si="12"/>
        <v>326221.86979422602</v>
      </c>
      <c r="J44" s="3">
        <f t="shared" si="12"/>
        <v>380368.21830846625</v>
      </c>
      <c r="K44" s="3">
        <f t="shared" si="12"/>
        <v>406029.03744630527</v>
      </c>
      <c r="L44" s="3">
        <f t="shared" si="12"/>
        <v>419641.93689123861</v>
      </c>
      <c r="M44" s="3">
        <f t="shared" si="12"/>
        <v>467094.94602287892</v>
      </c>
      <c r="N44" s="3">
        <f t="shared" si="12"/>
        <v>540496.9555318061</v>
      </c>
      <c r="O44" s="9">
        <f t="shared" si="12"/>
        <v>611867.74322785309</v>
      </c>
      <c r="Q44" s="4">
        <f>(O44/B44)^(1/13)-1</f>
        <v>4.4274435824427361E-2</v>
      </c>
      <c r="S44" s="24" t="s">
        <v>28</v>
      </c>
      <c r="T44" s="40">
        <f>T40/T42</f>
        <v>0.88188904541303426</v>
      </c>
      <c r="U44" s="38">
        <f>T40/T13</f>
        <v>0.67367212878407323</v>
      </c>
      <c r="V44" s="1315">
        <f>V40/V42</f>
        <v>0.66492214682981132</v>
      </c>
      <c r="W44" s="39">
        <f>V40/V13</f>
        <v>0.58582950194446914</v>
      </c>
      <c r="X44" s="1315">
        <f>X40/X42</f>
        <v>0.62772161092984724</v>
      </c>
      <c r="Y44" s="40">
        <f>X40/X13</f>
        <v>0.70636714586590488</v>
      </c>
      <c r="Z44" s="1315">
        <f>Z40/Z42</f>
        <v>0.78031835685554618</v>
      </c>
      <c r="AA44" s="41">
        <f>Z40/Z13</f>
        <v>0.70103027852372291</v>
      </c>
    </row>
    <row r="45" spans="1:27">
      <c r="A45" s="3" t="s">
        <v>23</v>
      </c>
      <c r="B45" s="9">
        <f>B31+B38+'12 years sales &amp; PL forecast'!I42/1000</f>
        <v>140544.31925</v>
      </c>
      <c r="C45" s="3">
        <f>C31+C38+'12 years sales &amp; PL forecast'!J42/1000</f>
        <v>152350.92128000001</v>
      </c>
      <c r="D45" s="3">
        <f>D31+D38+'12 years sales &amp; PL forecast'!K42/1000</f>
        <v>177921.93023</v>
      </c>
      <c r="E45" s="3">
        <f>E31+E38+'12 years sales &amp; PL forecast'!L42/1000</f>
        <v>191579.62896000006</v>
      </c>
      <c r="F45" s="3">
        <f>F31+F38+'12 years sales &amp; PL forecast'!M42/1000</f>
        <v>122536.51066000001</v>
      </c>
      <c r="G45" s="3">
        <f>G31+G38+'12 years sales &amp; PL forecast'!N42/1000</f>
        <v>137025.80828</v>
      </c>
      <c r="H45" s="3">
        <f>H31+H38+'12 years sales &amp; PL forecast'!O42/1000</f>
        <v>181116.95059211826</v>
      </c>
      <c r="I45" s="3">
        <f>I31+I38+'12 years sales &amp; PL forecast'!P42/1000</f>
        <v>184725.55711590211</v>
      </c>
      <c r="J45" s="3">
        <f>J31+J38+'12 years sales &amp; PL forecast'!Q42/1000</f>
        <v>206039.89797655484</v>
      </c>
      <c r="K45" s="3">
        <f>K31+K38+'12 years sales &amp; PL forecast'!R42/1000</f>
        <v>240286.38548188953</v>
      </c>
      <c r="L45" s="3">
        <f>L31+L38+'12 years sales &amp; PL forecast'!S42/1000</f>
        <v>257280.37942379926</v>
      </c>
      <c r="M45" s="3">
        <f>M31+M38+'12 years sales &amp; PL forecast'!T42/1000</f>
        <v>283078.71215795231</v>
      </c>
      <c r="N45" s="3">
        <f>N31+N38+'12 years sales &amp; PL forecast'!U42/1000</f>
        <v>327462.94624747371</v>
      </c>
      <c r="O45" s="9">
        <f>O31+O38+'12 years sales &amp; PL forecast'!V42/1000</f>
        <v>371622.12279820867</v>
      </c>
      <c r="Q45" s="4">
        <f>(O45/B45)^(1/13)-1</f>
        <v>7.7664837085151817E-2</v>
      </c>
      <c r="S45" s="25" t="s">
        <v>30</v>
      </c>
      <c r="T45" s="44">
        <f>T41/T42</f>
        <v>0.10859257724972234</v>
      </c>
      <c r="U45" s="42">
        <f>T41/T14</f>
        <v>0.1803128493973481</v>
      </c>
      <c r="V45" s="1316">
        <f>V41/V42</f>
        <v>0.33043713292190152</v>
      </c>
      <c r="W45" s="43">
        <f>V41/V14</f>
        <v>0.22145434135007031</v>
      </c>
      <c r="X45" s="1316">
        <f>X41/X42</f>
        <v>0.36809854444687523</v>
      </c>
      <c r="Y45" s="44">
        <f>X41/X14</f>
        <v>0.36726293126216564</v>
      </c>
      <c r="Z45" s="1316">
        <f>Z41/Z42</f>
        <v>0.2089491768381658</v>
      </c>
      <c r="AA45" s="45">
        <f>Z41/Z14</f>
        <v>0.13712658935180147</v>
      </c>
    </row>
    <row r="46" spans="1:27" ht="15.75" thickBot="1">
      <c r="A46" s="3" t="s">
        <v>43</v>
      </c>
      <c r="B46" s="9">
        <f>B21</f>
        <v>207846.86289378372</v>
      </c>
      <c r="C46" s="9">
        <f t="shared" ref="C46:O46" si="13">C21</f>
        <v>234074.26322840003</v>
      </c>
      <c r="D46" s="9">
        <f t="shared" si="13"/>
        <v>245018.32447917425</v>
      </c>
      <c r="E46" s="9">
        <f t="shared" si="13"/>
        <v>216468.39526760826</v>
      </c>
      <c r="F46" s="9">
        <f t="shared" si="13"/>
        <v>91407.087105931903</v>
      </c>
      <c r="G46" s="9">
        <f t="shared" si="13"/>
        <v>157840.25563458962</v>
      </c>
      <c r="H46" s="9">
        <f t="shared" si="13"/>
        <v>155657.11084917103</v>
      </c>
      <c r="I46" s="9">
        <f t="shared" si="13"/>
        <v>141496.31267832388</v>
      </c>
      <c r="J46" s="9">
        <f t="shared" si="13"/>
        <v>174328.32033191144</v>
      </c>
      <c r="K46" s="9">
        <f t="shared" si="13"/>
        <v>165742.65196441568</v>
      </c>
      <c r="L46" s="9">
        <f t="shared" si="13"/>
        <v>162361.55746743936</v>
      </c>
      <c r="M46" s="9">
        <f t="shared" si="13"/>
        <v>184016.23386492665</v>
      </c>
      <c r="N46" s="9">
        <f t="shared" si="13"/>
        <v>213034.00928433231</v>
      </c>
      <c r="O46" s="9">
        <f t="shared" si="13"/>
        <v>240245.62042964454</v>
      </c>
      <c r="Q46" s="4">
        <f>(O46/B46)^(1/13)-1</f>
        <v>1.1205411386595587E-2</v>
      </c>
      <c r="S46" s="26" t="s">
        <v>24</v>
      </c>
      <c r="T46" s="46">
        <f>100%-T44-T45</f>
        <v>9.5183773372434083E-3</v>
      </c>
      <c r="U46" s="47">
        <f>(T42-T40-T41)/(T15-T13-T14)</f>
        <v>0.6764217573024639</v>
      </c>
      <c r="V46" s="48">
        <f>100%-V44-V45</f>
        <v>4.6407202482871557E-3</v>
      </c>
      <c r="W46" s="49">
        <f>(V42-V40-V41)/(V15-V13-V14)</f>
        <v>0.1872334340792611</v>
      </c>
      <c r="X46" s="50">
        <f>100%-X44-X45</f>
        <v>4.1798446232775288E-3</v>
      </c>
      <c r="Y46" s="51">
        <f>(X42-X40-X41)/(X15-X13-X14)</f>
        <v>0.60571497861831969</v>
      </c>
      <c r="Z46" s="48">
        <f>100%-Z44-Z45</f>
        <v>1.0732466306288019E-2</v>
      </c>
      <c r="AA46" s="52">
        <f>(Z42-Z40-Z41)/(Z15-Z13-Z14)</f>
        <v>0.47156625813474495</v>
      </c>
    </row>
    <row r="47" spans="1:27">
      <c r="A47" s="3" t="s">
        <v>44</v>
      </c>
      <c r="B47" s="9">
        <f>B46+'12 years sales &amp; PL forecast'!I31*'Sales Analysis'!B6</f>
        <v>214756.82069025244</v>
      </c>
      <c r="C47" s="9">
        <f>C46+'12 years sales &amp; PL forecast'!J31*'Sales Analysis'!C6</f>
        <v>241311.9699074144</v>
      </c>
      <c r="D47" s="9">
        <f>D46+'12 years sales &amp; PL forecast'!K31*'Sales Analysis'!D6</f>
        <v>250512.62340250332</v>
      </c>
      <c r="E47" s="9">
        <f>E46+'12 years sales &amp; PL forecast'!L31*'Sales Analysis'!E6</f>
        <v>223889.64581587797</v>
      </c>
      <c r="F47" s="9">
        <f>F46+'12 years sales &amp; PL forecast'!M31*'Sales Analysis'!F6</f>
        <v>100105.16281921681</v>
      </c>
      <c r="G47" s="9">
        <f t="shared" ref="G47:O47" si="14">G46+80221</f>
        <v>238061.25563458962</v>
      </c>
      <c r="H47" s="9">
        <f t="shared" si="14"/>
        <v>235878.11084917103</v>
      </c>
      <c r="I47" s="9">
        <f t="shared" si="14"/>
        <v>221717.31267832388</v>
      </c>
      <c r="J47" s="9">
        <f t="shared" si="14"/>
        <v>254549.32033191144</v>
      </c>
      <c r="K47" s="9">
        <f t="shared" si="14"/>
        <v>245963.65196441568</v>
      </c>
      <c r="L47" s="9">
        <f t="shared" si="14"/>
        <v>242582.55746743936</v>
      </c>
      <c r="M47" s="9">
        <f t="shared" si="14"/>
        <v>264237.23386492662</v>
      </c>
      <c r="N47" s="9">
        <f t="shared" si="14"/>
        <v>293255.00928433228</v>
      </c>
      <c r="O47" s="9">
        <f t="shared" si="14"/>
        <v>320466.62042964454</v>
      </c>
      <c r="Q47" s="4">
        <f>(O47/B47)^(1/13)-1</f>
        <v>3.1269057550077362E-2</v>
      </c>
      <c r="S47" s="28"/>
      <c r="T47" s="28"/>
      <c r="U47" s="28"/>
      <c r="V47" s="28"/>
      <c r="W47" s="28"/>
      <c r="X47" s="28"/>
      <c r="Y47" s="28"/>
      <c r="Z47" s="28"/>
      <c r="AA47" s="28"/>
    </row>
  </sheetData>
  <mergeCells count="67">
    <mergeCell ref="T40:U40"/>
    <mergeCell ref="T41:U41"/>
    <mergeCell ref="T42:U42"/>
    <mergeCell ref="T32:U32"/>
    <mergeCell ref="T33:U33"/>
    <mergeCell ref="T39:U39"/>
    <mergeCell ref="V39:W39"/>
    <mergeCell ref="X39:Y39"/>
    <mergeCell ref="Z39:AA39"/>
    <mergeCell ref="T24:U24"/>
    <mergeCell ref="T30:U30"/>
    <mergeCell ref="V30:W30"/>
    <mergeCell ref="X30:Y30"/>
    <mergeCell ref="Z30:AA30"/>
    <mergeCell ref="T31:U31"/>
    <mergeCell ref="T23:U23"/>
    <mergeCell ref="T18:U18"/>
    <mergeCell ref="V18:W18"/>
    <mergeCell ref="X18:Y18"/>
    <mergeCell ref="Z18:AA18"/>
    <mergeCell ref="T19:U19"/>
    <mergeCell ref="V19:W19"/>
    <mergeCell ref="X19:Y19"/>
    <mergeCell ref="Z19:AA19"/>
    <mergeCell ref="T21:U21"/>
    <mergeCell ref="V21:W21"/>
    <mergeCell ref="X21:Y21"/>
    <mergeCell ref="Z21:AA21"/>
    <mergeCell ref="T22:U22"/>
    <mergeCell ref="T17:U17"/>
    <mergeCell ref="V17:W17"/>
    <mergeCell ref="X17:Y17"/>
    <mergeCell ref="Z17:AA17"/>
    <mergeCell ref="T12:U12"/>
    <mergeCell ref="V12:W12"/>
    <mergeCell ref="X12:Y12"/>
    <mergeCell ref="Z12:AA12"/>
    <mergeCell ref="T13:U13"/>
    <mergeCell ref="T14:U14"/>
    <mergeCell ref="T15:U15"/>
    <mergeCell ref="T16:U16"/>
    <mergeCell ref="V16:W16"/>
    <mergeCell ref="X16:Y16"/>
    <mergeCell ref="Z16:AA16"/>
    <mergeCell ref="T9:U9"/>
    <mergeCell ref="V9:W9"/>
    <mergeCell ref="X9:Y9"/>
    <mergeCell ref="Z9:AA9"/>
    <mergeCell ref="T10:U10"/>
    <mergeCell ref="V10:W10"/>
    <mergeCell ref="X10:Y10"/>
    <mergeCell ref="Z10:AA10"/>
    <mergeCell ref="T8:U8"/>
    <mergeCell ref="V8:W8"/>
    <mergeCell ref="X8:Y8"/>
    <mergeCell ref="Z8:AA8"/>
    <mergeCell ref="T3:U3"/>
    <mergeCell ref="V3:W3"/>
    <mergeCell ref="X3:Y3"/>
    <mergeCell ref="Z3:AA3"/>
    <mergeCell ref="T4:U4"/>
    <mergeCell ref="T5:U5"/>
    <mergeCell ref="T6:U6"/>
    <mergeCell ref="T7:U7"/>
    <mergeCell ref="V7:W7"/>
    <mergeCell ref="X7:Y7"/>
    <mergeCell ref="Z7:AA7"/>
  </mergeCells>
  <phoneticPr fontId="301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G47"/>
  <sheetViews>
    <sheetView topLeftCell="A13" workbookViewId="0">
      <selection activeCell="C47" sqref="C47"/>
    </sheetView>
  </sheetViews>
  <sheetFormatPr defaultColWidth="29.140625" defaultRowHeight="15"/>
  <cols>
    <col min="1" max="1" width="2.42578125" style="680" customWidth="1"/>
    <col min="2" max="2" width="37" style="680" customWidth="1"/>
    <col min="3" max="5" width="13.85546875" style="680" customWidth="1"/>
    <col min="6" max="6" width="11.28515625" style="680" customWidth="1"/>
    <col min="7" max="7" width="4.140625" style="680" customWidth="1"/>
    <col min="8" max="16384" width="29.140625" style="680"/>
  </cols>
  <sheetData>
    <row r="1" spans="1:6">
      <c r="A1" s="644" t="s">
        <v>285</v>
      </c>
    </row>
    <row r="2" spans="1:6">
      <c r="A2" s="644" t="s">
        <v>1582</v>
      </c>
    </row>
    <row r="4" spans="1:6">
      <c r="A4" s="679"/>
      <c r="B4" s="679"/>
      <c r="C4" s="678"/>
      <c r="D4" s="679"/>
      <c r="E4" s="679"/>
      <c r="F4" s="679"/>
    </row>
    <row r="5" spans="1:6" ht="53.25" customHeight="1">
      <c r="A5" s="681"/>
      <c r="B5" s="685" t="s">
        <v>10</v>
      </c>
      <c r="C5" s="751" t="s">
        <v>1198</v>
      </c>
      <c r="D5" s="752" t="s">
        <v>890</v>
      </c>
      <c r="E5" s="752" t="s">
        <v>895</v>
      </c>
      <c r="F5" s="684" t="s">
        <v>889</v>
      </c>
    </row>
    <row r="6" spans="1:6" ht="6" customHeight="1">
      <c r="A6" s="685"/>
      <c r="B6" s="682"/>
      <c r="C6" s="679"/>
      <c r="D6" s="683"/>
      <c r="E6" s="683"/>
      <c r="F6" s="684"/>
    </row>
    <row r="7" spans="1:6">
      <c r="B7" s="682" t="s">
        <v>891</v>
      </c>
      <c r="C7" s="686">
        <f>'12 years sales &amp; PL forecast'!M49/1000</f>
        <v>49797.021999999997</v>
      </c>
      <c r="D7" s="686">
        <f>'12 years sales &amp; PL forecast'!L49/1000</f>
        <v>109952.232</v>
      </c>
      <c r="E7" s="687">
        <f>C7-D7</f>
        <v>-60155.210000000006</v>
      </c>
      <c r="F7" s="688">
        <f>IFERROR(E7/D7,"N/A")</f>
        <v>-0.54710312747448364</v>
      </c>
    </row>
    <row r="8" spans="1:6">
      <c r="B8" s="682" t="s">
        <v>892</v>
      </c>
      <c r="C8" s="686">
        <f>'12 years sales &amp; PL forecast'!M50/1000</f>
        <v>93666.384000000005</v>
      </c>
      <c r="D8" s="686">
        <f>'12 years sales &amp; PL forecast'!L50/1000</f>
        <v>157218.96</v>
      </c>
      <c r="E8" s="687">
        <f>C8-D8</f>
        <v>-63552.575999999986</v>
      </c>
      <c r="F8" s="688">
        <f>IFERROR(E8/D8,"N/A")</f>
        <v>-0.40422971885833608</v>
      </c>
    </row>
    <row r="9" spans="1:6">
      <c r="B9" s="682" t="s">
        <v>893</v>
      </c>
      <c r="C9" s="686">
        <f>'12 years sales &amp; PL forecast'!M51/1000</f>
        <v>2510.2559999999999</v>
      </c>
      <c r="D9" s="686">
        <f>'12 years sales &amp; PL forecast'!L51/1000</f>
        <v>3541.68</v>
      </c>
      <c r="E9" s="687">
        <f>C9-D9</f>
        <v>-1031.424</v>
      </c>
      <c r="F9" s="688">
        <f>IFERROR(E9/D9,"N/A")</f>
        <v>-0.29122450362539815</v>
      </c>
    </row>
    <row r="10" spans="1:6">
      <c r="A10" s="685" t="s">
        <v>918</v>
      </c>
      <c r="B10" s="682"/>
      <c r="C10" s="689">
        <f>SUM(C7:C9)</f>
        <v>145973.66200000001</v>
      </c>
      <c r="D10" s="689">
        <f>SUM(D7:D9)</f>
        <v>270712.87199999997</v>
      </c>
      <c r="E10" s="690">
        <f>C10-D10</f>
        <v>-124739.20999999996</v>
      </c>
      <c r="F10" s="691">
        <f>IFERROR(E10/D10,"N/A")</f>
        <v>-0.46078049070381838</v>
      </c>
    </row>
    <row r="11" spans="1:6" ht="9" customHeight="1">
      <c r="A11" s="685"/>
      <c r="B11" s="682"/>
      <c r="C11" s="682"/>
      <c r="D11" s="682"/>
      <c r="E11" s="692"/>
      <c r="F11" s="693"/>
    </row>
    <row r="12" spans="1:6">
      <c r="B12" s="682" t="s">
        <v>891</v>
      </c>
      <c r="C12" s="694">
        <f>'12 years sales &amp; PL forecast'!M68/1000</f>
        <v>113620.32733</v>
      </c>
      <c r="D12" s="694">
        <f>'12 years sales &amp; PL forecast'!L68/1000</f>
        <v>268809.81451999996</v>
      </c>
      <c r="E12" s="687">
        <f t="shared" ref="E12:E17" si="0">C12-D12</f>
        <v>-155189.48718999996</v>
      </c>
      <c r="F12" s="688">
        <f t="shared" ref="F12:F17" si="1">IFERROR(E12/D12,"N/A")</f>
        <v>-0.57732076288625822</v>
      </c>
    </row>
    <row r="13" spans="1:6">
      <c r="B13" s="682" t="s">
        <v>892</v>
      </c>
      <c r="C13" s="694">
        <f>'12 years sales &amp; PL forecast'!M69/1000</f>
        <v>149369.22343000001</v>
      </c>
      <c r="D13" s="694">
        <f>'12 years sales &amp; PL forecast'!L69/1000</f>
        <v>215975.64095999999</v>
      </c>
      <c r="E13" s="687">
        <f t="shared" si="0"/>
        <v>-66606.417529999977</v>
      </c>
      <c r="F13" s="688">
        <f t="shared" si="1"/>
        <v>-0.30839782317088199</v>
      </c>
    </row>
    <row r="14" spans="1:6">
      <c r="B14" s="682" t="s">
        <v>893</v>
      </c>
      <c r="C14" s="694">
        <f>'12 years sales &amp; PL forecast'!M70/1000</f>
        <v>2481.18109</v>
      </c>
      <c r="D14" s="694">
        <f>'12 years sales &amp; PL forecast'!L70/1000</f>
        <v>4225.4134899999999</v>
      </c>
      <c r="E14" s="687">
        <f t="shared" si="0"/>
        <v>-1744.2323999999999</v>
      </c>
      <c r="F14" s="688">
        <f t="shared" si="1"/>
        <v>-0.41279567174383208</v>
      </c>
    </row>
    <row r="15" spans="1:6">
      <c r="B15" s="682" t="s">
        <v>894</v>
      </c>
      <c r="C15" s="694">
        <f>'12 years sales &amp; PL forecast'!M71/1000</f>
        <v>8315.6909699999997</v>
      </c>
      <c r="D15" s="694">
        <f>'12 years sales &amp; PL forecast'!L71/1000</f>
        <v>8540.5783300000003</v>
      </c>
      <c r="E15" s="687">
        <f t="shared" si="0"/>
        <v>-224.88736000000063</v>
      </c>
      <c r="F15" s="688">
        <f t="shared" si="1"/>
        <v>-2.6331631338132183E-2</v>
      </c>
    </row>
    <row r="16" spans="1:6">
      <c r="B16" s="682" t="s">
        <v>25</v>
      </c>
      <c r="C16" s="694">
        <f>'12 years sales &amp; PL forecast'!M72/1000</f>
        <v>11129.09008</v>
      </c>
      <c r="D16" s="694">
        <f>'12 years sales &amp; PL forecast'!L72/1000</f>
        <v>14135.696440000002</v>
      </c>
      <c r="E16" s="695">
        <f t="shared" si="0"/>
        <v>-3006.6063600000016</v>
      </c>
      <c r="F16" s="696">
        <f t="shared" si="1"/>
        <v>-0.21269601910042157</v>
      </c>
    </row>
    <row r="17" spans="1:7">
      <c r="A17" s="685" t="s">
        <v>20</v>
      </c>
      <c r="B17" s="682"/>
      <c r="C17" s="702">
        <f>SUM(C12:C16)</f>
        <v>284915.51290000003</v>
      </c>
      <c r="D17" s="702">
        <f>SUM(D12:D16)</f>
        <v>511687.14373999997</v>
      </c>
      <c r="E17" s="703">
        <f t="shared" si="0"/>
        <v>-226771.63083999994</v>
      </c>
      <c r="F17" s="704">
        <f t="shared" si="1"/>
        <v>-0.44318414799811312</v>
      </c>
    </row>
    <row r="18" spans="1:7" ht="9" customHeight="1">
      <c r="A18" s="685"/>
      <c r="B18" s="682"/>
      <c r="C18" s="697"/>
      <c r="D18" s="697"/>
      <c r="E18" s="692"/>
      <c r="F18" s="693"/>
    </row>
    <row r="19" spans="1:7">
      <c r="A19" s="685" t="s">
        <v>896</v>
      </c>
      <c r="B19" s="682"/>
      <c r="C19" s="698">
        <f>'12 years sales &amp; PL forecast'!M81/1000</f>
        <v>59603.024924068108</v>
      </c>
      <c r="D19" s="698">
        <f>'12 years sales &amp; PL forecast'!L81/1000</f>
        <v>89633.22793239163</v>
      </c>
      <c r="E19" s="687">
        <f>D19-C19</f>
        <v>30030.203008323522</v>
      </c>
      <c r="F19" s="688">
        <f>IFERROR(E19/D19,"N/A")</f>
        <v>0.33503426911027506</v>
      </c>
    </row>
    <row r="20" spans="1:7" ht="9" customHeight="1">
      <c r="A20" s="685"/>
      <c r="B20" s="682"/>
      <c r="C20" s="697"/>
      <c r="D20" s="697"/>
      <c r="E20" s="692"/>
      <c r="F20" s="693"/>
    </row>
    <row r="21" spans="1:7">
      <c r="A21" s="685" t="s">
        <v>849</v>
      </c>
      <c r="B21" s="685"/>
      <c r="C21" s="705">
        <f>C17-C19</f>
        <v>225312.48797593193</v>
      </c>
      <c r="D21" s="705">
        <f>D17-D19</f>
        <v>422053.91580760834</v>
      </c>
      <c r="E21" s="706">
        <f>C21-D21</f>
        <v>-196741.42783167641</v>
      </c>
      <c r="F21" s="707">
        <f>IFERROR(E21/D21,"N/A")</f>
        <v>-0.4661523574664812</v>
      </c>
    </row>
    <row r="22" spans="1:7" ht="6.75" customHeight="1">
      <c r="A22" s="685"/>
      <c r="B22" s="685"/>
      <c r="C22" s="699"/>
      <c r="D22" s="699"/>
      <c r="E22" s="700"/>
      <c r="F22" s="701"/>
    </row>
    <row r="23" spans="1:7">
      <c r="A23" s="685" t="s">
        <v>850</v>
      </c>
      <c r="B23" s="685"/>
      <c r="C23" s="699">
        <f>'12 years sales &amp; PL forecast'!M44/1000</f>
        <v>131103.53066000002</v>
      </c>
      <c r="D23" s="699">
        <f>'12 years sales &amp; PL forecast'!L44/1000</f>
        <v>209072.86497000002</v>
      </c>
      <c r="E23" s="687">
        <f>D23-C23</f>
        <v>77969.334310000006</v>
      </c>
      <c r="F23" s="688">
        <f>IFERROR(E23/D23,"N/A")</f>
        <v>0.37292899928064727</v>
      </c>
    </row>
    <row r="24" spans="1:7" ht="6.75" customHeight="1">
      <c r="A24" s="685"/>
      <c r="B24" s="685"/>
      <c r="C24" s="699"/>
      <c r="D24" s="699"/>
      <c r="E24" s="700"/>
      <c r="F24" s="701"/>
    </row>
    <row r="25" spans="1:7">
      <c r="A25" s="685" t="s">
        <v>928</v>
      </c>
      <c r="B25" s="682"/>
      <c r="C25" s="705">
        <f>C21-C23</f>
        <v>94208.957315931912</v>
      </c>
      <c r="D25" s="705">
        <f>D21-D23</f>
        <v>212981.05083760832</v>
      </c>
      <c r="E25" s="706">
        <f>C25-D25</f>
        <v>-118772.0935216764</v>
      </c>
      <c r="F25" s="707">
        <f>IFERROR(E25/D25,"N/A")</f>
        <v>-0.55766507421468481</v>
      </c>
    </row>
    <row r="26" spans="1:7" ht="15.75" thickBot="1">
      <c r="A26" s="685"/>
      <c r="B26" s="682"/>
      <c r="C26" s="697"/>
      <c r="D26" s="697"/>
      <c r="E26" s="692"/>
      <c r="F26" s="693"/>
    </row>
    <row r="27" spans="1:7" s="726" customFormat="1">
      <c r="A27" s="721"/>
      <c r="B27" s="722"/>
      <c r="C27" s="723"/>
      <c r="D27" s="723"/>
      <c r="E27" s="724"/>
      <c r="F27" s="725"/>
    </row>
    <row r="28" spans="1:7" ht="45">
      <c r="A28" s="681"/>
      <c r="B28" s="685" t="s">
        <v>10</v>
      </c>
      <c r="C28" s="751" t="s">
        <v>1198</v>
      </c>
      <c r="D28" s="752" t="s">
        <v>890</v>
      </c>
      <c r="E28" s="752" t="s">
        <v>895</v>
      </c>
      <c r="F28" s="684" t="s">
        <v>889</v>
      </c>
    </row>
    <row r="29" spans="1:7" ht="9" customHeight="1">
      <c r="A29" s="685"/>
      <c r="B29" s="682"/>
      <c r="C29" s="683"/>
      <c r="D29" s="683"/>
      <c r="E29" s="683"/>
      <c r="F29" s="684"/>
    </row>
    <row r="30" spans="1:7">
      <c r="A30" s="685" t="s">
        <v>928</v>
      </c>
      <c r="B30" s="682"/>
      <c r="C30" s="699">
        <f>C25</f>
        <v>94208.957315931912</v>
      </c>
      <c r="D30" s="699">
        <f>D25</f>
        <v>212981.05083760832</v>
      </c>
      <c r="E30" s="687">
        <f>C30-D30</f>
        <v>-118772.0935216764</v>
      </c>
      <c r="F30" s="688">
        <f>IFERROR(E30/D30,"N/A")</f>
        <v>-0.55766507421468481</v>
      </c>
      <c r="G30" s="720"/>
    </row>
    <row r="31" spans="1:7">
      <c r="A31" s="685"/>
      <c r="B31" s="682"/>
      <c r="C31" s="683"/>
      <c r="D31" s="683"/>
      <c r="E31" s="683"/>
      <c r="F31" s="684"/>
    </row>
    <row r="32" spans="1:7">
      <c r="A32" s="685" t="s">
        <v>899</v>
      </c>
      <c r="B32" s="682"/>
      <c r="C32" s="697"/>
      <c r="D32" s="697"/>
      <c r="E32" s="692"/>
      <c r="F32" s="693"/>
    </row>
    <row r="33" spans="1:7">
      <c r="A33" s="685"/>
      <c r="B33" s="682" t="s">
        <v>852</v>
      </c>
      <c r="C33" s="697">
        <f>'Bank-P&amp;L Summary'!G47</f>
        <v>51284.278495633247</v>
      </c>
      <c r="D33" s="697">
        <f>'Bank-P&amp;L Summary'!F47</f>
        <v>64774.297660000011</v>
      </c>
      <c r="E33" s="687">
        <f>D33-C33</f>
        <v>13490.019164366764</v>
      </c>
      <c r="F33" s="688">
        <f>IFERROR(E33/D33,"N/A")</f>
        <v>0.20826191331592372</v>
      </c>
    </row>
    <row r="34" spans="1:7">
      <c r="A34" s="685"/>
      <c r="B34" s="682" t="s">
        <v>853</v>
      </c>
      <c r="C34" s="697">
        <f>'Bank-P&amp;L Summary'!G48</f>
        <v>12787.291859999999</v>
      </c>
      <c r="D34" s="697">
        <f>'Bank-P&amp;L Summary'!F48</f>
        <v>19038.056710000001</v>
      </c>
      <c r="E34" s="687">
        <f>D34-C34</f>
        <v>6250.7648500000014</v>
      </c>
      <c r="F34" s="688">
        <f>IFERROR(E34/D34,"N/A")</f>
        <v>0.32832998373813549</v>
      </c>
    </row>
    <row r="35" spans="1:7">
      <c r="A35" s="685"/>
      <c r="B35" s="682" t="s">
        <v>326</v>
      </c>
      <c r="C35" s="697">
        <f>'Bank-P&amp;L Summary'!G49</f>
        <v>9822.0161733333316</v>
      </c>
      <c r="D35" s="697">
        <f>'Bank-P&amp;L Summary'!F49</f>
        <v>9384.7024600000004</v>
      </c>
      <c r="E35" s="687">
        <f>D35-C35</f>
        <v>-437.31371333333118</v>
      </c>
      <c r="F35" s="688">
        <f>IFERROR(E35/D35,"N/A")</f>
        <v>-4.6598569874460483E-2</v>
      </c>
    </row>
    <row r="36" spans="1:7">
      <c r="A36" s="685"/>
      <c r="B36" s="682" t="s">
        <v>541</v>
      </c>
      <c r="C36" s="697">
        <f>'Bank-P&amp;L Summary'!G50</f>
        <v>26366.0959567637</v>
      </c>
      <c r="D36" s="697">
        <f>'Bank-P&amp;L Summary'!F50</f>
        <v>27078.479479999991</v>
      </c>
      <c r="E36" s="687">
        <f>D36-C36</f>
        <v>712.38352323629078</v>
      </c>
      <c r="F36" s="688">
        <f>IFERROR(E36/D36,"N/A")</f>
        <v>2.6308106544994637E-2</v>
      </c>
    </row>
    <row r="37" spans="1:7" ht="9.75" customHeight="1">
      <c r="A37" s="685"/>
      <c r="B37" s="682"/>
      <c r="C37" s="697"/>
      <c r="D37" s="697"/>
      <c r="E37" s="687"/>
      <c r="F37" s="688"/>
    </row>
    <row r="38" spans="1:7">
      <c r="A38" s="685"/>
      <c r="B38" s="682"/>
      <c r="C38" s="702">
        <f>SUM(C33:C37)</f>
        <v>100259.68248573029</v>
      </c>
      <c r="D38" s="702">
        <f>SUM(D33:D37)</f>
        <v>120275.53631000001</v>
      </c>
      <c r="E38" s="703">
        <f>D38-C38</f>
        <v>20015.853824269725</v>
      </c>
      <c r="F38" s="704">
        <f>IFERROR(E38/D38,"N/A")</f>
        <v>0.16641666658363971</v>
      </c>
    </row>
    <row r="39" spans="1:7" ht="12.75" customHeight="1">
      <c r="A39" s="685"/>
      <c r="B39" s="682"/>
      <c r="C39" s="697"/>
      <c r="D39" s="697"/>
      <c r="E39" s="687"/>
      <c r="F39" s="688"/>
    </row>
    <row r="40" spans="1:7">
      <c r="A40" s="685" t="s">
        <v>856</v>
      </c>
      <c r="B40" s="685"/>
      <c r="C40" s="705">
        <f>C25-C38</f>
        <v>-6050.7251697983738</v>
      </c>
      <c r="D40" s="705">
        <f>D25-D38</f>
        <v>92705.514527608306</v>
      </c>
      <c r="E40" s="706">
        <f>C40-D40</f>
        <v>-98756.23969740668</v>
      </c>
      <c r="F40" s="707">
        <f>IFERROR(E40/D40,"N/A")</f>
        <v>-1.0652682335094146</v>
      </c>
    </row>
    <row r="41" spans="1:7">
      <c r="A41" s="685"/>
      <c r="B41" s="736" t="s">
        <v>911</v>
      </c>
      <c r="C41" s="765">
        <f>C40+'12 years sales &amp; PL forecast'!M252/1000</f>
        <v>10992.693680201624</v>
      </c>
      <c r="D41" s="765">
        <f>D40+'12 years sales &amp; PL forecast'!L252/1000</f>
        <v>109884.0663176083</v>
      </c>
      <c r="E41" s="737">
        <f>C41-D41</f>
        <v>-98891.372637406675</v>
      </c>
      <c r="F41" s="738">
        <f>IFERROR(E41/D41,"N/A")</f>
        <v>-0.89996098571353911</v>
      </c>
      <c r="G41" s="735"/>
    </row>
    <row r="42" spans="1:7">
      <c r="A42" s="685"/>
      <c r="B42" s="682"/>
      <c r="C42" s="697"/>
      <c r="D42" s="698"/>
      <c r="E42" s="692"/>
      <c r="F42" s="693"/>
    </row>
    <row r="43" spans="1:7">
      <c r="A43" s="685" t="s">
        <v>1597</v>
      </c>
      <c r="B43" s="682"/>
      <c r="C43" s="698">
        <f>-'Bank-P&amp;L Summary'!G58</f>
        <v>18044.13925</v>
      </c>
      <c r="D43" s="698">
        <f>-'Bank-P&amp;L Summary'!F58</f>
        <v>-3058.2556300000001</v>
      </c>
      <c r="E43" s="692">
        <f>C43-D43</f>
        <v>21102.39488</v>
      </c>
      <c r="F43" s="693">
        <f>IFERROR(E43/D43,"N/A")</f>
        <v>-6.9001409408016032</v>
      </c>
    </row>
    <row r="44" spans="1:7">
      <c r="A44" s="685" t="s">
        <v>897</v>
      </c>
      <c r="B44" s="682"/>
      <c r="C44" s="697">
        <f>-'Bank-P&amp;L Summary'!G77+'Bank-P&amp;L Summary'!G89</f>
        <v>72701.058354269728</v>
      </c>
      <c r="D44" s="697">
        <f>-'Bank-P&amp;L Summary'!F77+'Bank-P&amp;L Summary'!F89</f>
        <v>69097.634259999992</v>
      </c>
      <c r="E44" s="692">
        <f>D44-C44</f>
        <v>-3603.4240942697361</v>
      </c>
      <c r="F44" s="693">
        <f>IFERROR(E44/D44,"N/A")</f>
        <v>-5.2149746266432255E-2</v>
      </c>
    </row>
    <row r="45" spans="1:7">
      <c r="A45" s="685"/>
      <c r="B45" s="682"/>
      <c r="C45" s="697"/>
      <c r="D45" s="698"/>
      <c r="E45" s="692"/>
      <c r="F45" s="693"/>
    </row>
    <row r="46" spans="1:7" ht="15.75" thickBot="1">
      <c r="A46" s="685" t="s">
        <v>898</v>
      </c>
      <c r="B46" s="685"/>
      <c r="C46" s="708">
        <f>C40-C44+C43</f>
        <v>-60707.644274068101</v>
      </c>
      <c r="D46" s="708">
        <f>D40-D44+D43</f>
        <v>20549.624637608315</v>
      </c>
      <c r="E46" s="709">
        <f>C46-D46</f>
        <v>-81257.268911676423</v>
      </c>
      <c r="F46" s="710">
        <f>IFERROR(E46/D46,"N/A")</f>
        <v>-3.9541972344821192</v>
      </c>
    </row>
    <row r="47" spans="1:7" ht="15.75" thickTop="1">
      <c r="A47" s="685"/>
      <c r="B47" s="736" t="s">
        <v>912</v>
      </c>
      <c r="C47" s="766">
        <f>'Bank-P&amp;L Summary'!G115</f>
        <v>-43664.225424068107</v>
      </c>
      <c r="D47" s="766">
        <f>'Bank-P&amp;L Summary'!F115</f>
        <v>37728.176427608319</v>
      </c>
      <c r="E47" s="739">
        <f>C47-D47</f>
        <v>-81392.401851676434</v>
      </c>
      <c r="F47" s="740">
        <f>IFERROR(E47/D47,"N/A")</f>
        <v>-2.1573372889582858</v>
      </c>
      <c r="G47" s="735"/>
    </row>
  </sheetData>
  <pageMargins left="0.7" right="0.7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7" tint="0.39997558519241921"/>
  </sheetPr>
  <dimension ref="A1:J48"/>
  <sheetViews>
    <sheetView topLeftCell="A4" workbookViewId="0">
      <selection activeCell="I31" sqref="I31"/>
    </sheetView>
  </sheetViews>
  <sheetFormatPr defaultColWidth="29.140625" defaultRowHeight="15"/>
  <cols>
    <col min="1" max="1" width="2.42578125" style="680" customWidth="1"/>
    <col min="2" max="2" width="37" style="680" customWidth="1"/>
    <col min="3" max="5" width="13.85546875" style="680" customWidth="1"/>
    <col min="6" max="6" width="11.28515625" style="680" customWidth="1"/>
    <col min="7" max="7" width="4.140625" style="680" customWidth="1"/>
    <col min="8" max="8" width="13.85546875" style="680" customWidth="1"/>
    <col min="9" max="9" width="13.85546875" style="718" customWidth="1"/>
    <col min="10" max="10" width="12.85546875" style="680" customWidth="1"/>
    <col min="11" max="16384" width="29.140625" style="680"/>
  </cols>
  <sheetData>
    <row r="1" spans="1:10">
      <c r="A1" s="644" t="s">
        <v>285</v>
      </c>
    </row>
    <row r="2" spans="1:10">
      <c r="A2" s="644" t="s">
        <v>900</v>
      </c>
    </row>
    <row r="4" spans="1:10">
      <c r="A4" s="679"/>
      <c r="B4" s="679"/>
      <c r="C4" s="678"/>
      <c r="D4" s="679"/>
      <c r="E4" s="679"/>
      <c r="F4" s="679"/>
    </row>
    <row r="5" spans="1:10" ht="53.25" customHeight="1">
      <c r="A5" s="681"/>
      <c r="B5" s="685" t="s">
        <v>10</v>
      </c>
      <c r="C5" s="751" t="s">
        <v>915</v>
      </c>
      <c r="D5" s="752" t="s">
        <v>890</v>
      </c>
      <c r="E5" s="752" t="s">
        <v>895</v>
      </c>
      <c r="F5" s="684" t="s">
        <v>889</v>
      </c>
      <c r="H5" s="751" t="s">
        <v>925</v>
      </c>
      <c r="I5" s="752" t="s">
        <v>914</v>
      </c>
      <c r="J5" s="684" t="s">
        <v>889</v>
      </c>
    </row>
    <row r="6" spans="1:10" ht="6" customHeight="1">
      <c r="A6" s="685"/>
      <c r="B6" s="682"/>
      <c r="C6" s="679"/>
      <c r="D6" s="683"/>
      <c r="E6" s="683"/>
      <c r="F6" s="684"/>
    </row>
    <row r="7" spans="1:10">
      <c r="B7" s="682" t="s">
        <v>891</v>
      </c>
      <c r="C7" s="686">
        <f>'12 years sales &amp; PL forecast'!M49/1000</f>
        <v>49797.021999999997</v>
      </c>
      <c r="D7" s="686">
        <f>'12 years sales &amp; PL forecast'!L49/1000</f>
        <v>109952.232</v>
      </c>
      <c r="E7" s="687">
        <f>C7-D7</f>
        <v>-60155.210000000006</v>
      </c>
      <c r="F7" s="688">
        <f>IFERROR(E7/D7,"N/A")</f>
        <v>-0.54710312747448364</v>
      </c>
      <c r="H7" s="694">
        <v>57724.921799999996</v>
      </c>
      <c r="I7" s="687">
        <f>H7-D7</f>
        <v>-52227.310200000007</v>
      </c>
      <c r="J7" s="688">
        <f>IFERROR(I7/D7,"N/A")</f>
        <v>-0.47500000000000003</v>
      </c>
    </row>
    <row r="8" spans="1:10">
      <c r="B8" s="682" t="s">
        <v>892</v>
      </c>
      <c r="C8" s="686">
        <f>'12 years sales &amp; PL forecast'!M50/1000</f>
        <v>93666.384000000005</v>
      </c>
      <c r="D8" s="686">
        <f>'12 years sales &amp; PL forecast'!L50/1000</f>
        <v>157218.96</v>
      </c>
      <c r="E8" s="687">
        <f>C8-D8</f>
        <v>-63552.575999999986</v>
      </c>
      <c r="F8" s="688">
        <f>IFERROR(E8/D8,"N/A")</f>
        <v>-0.40422971885833608</v>
      </c>
      <c r="H8" s="694">
        <v>93947.903999999995</v>
      </c>
      <c r="I8" s="687">
        <f>H8-D8</f>
        <v>-63271.055999999997</v>
      </c>
      <c r="J8" s="688">
        <f>IFERROR(I8/D8,"N/A")</f>
        <v>-0.40243909513203752</v>
      </c>
    </row>
    <row r="9" spans="1:10">
      <c r="B9" s="682" t="s">
        <v>893</v>
      </c>
      <c r="C9" s="686">
        <f>'12 years sales &amp; PL forecast'!M51/1000</f>
        <v>2510.2559999999999</v>
      </c>
      <c r="D9" s="686">
        <f>'12 years sales &amp; PL forecast'!L51/1000</f>
        <v>3541.68</v>
      </c>
      <c r="E9" s="687">
        <f>C9-D9</f>
        <v>-1031.424</v>
      </c>
      <c r="F9" s="688">
        <f>IFERROR(E9/D9,"N/A")</f>
        <v>-0.29122450362539815</v>
      </c>
      <c r="H9" s="694">
        <f>C9</f>
        <v>2510.2559999999999</v>
      </c>
      <c r="I9" s="687">
        <f>H9-D9</f>
        <v>-1031.424</v>
      </c>
      <c r="J9" s="688">
        <f>IFERROR(I9/D9,"N/A")</f>
        <v>-0.29122450362539815</v>
      </c>
    </row>
    <row r="10" spans="1:10">
      <c r="A10" s="685" t="s">
        <v>918</v>
      </c>
      <c r="B10" s="682"/>
      <c r="C10" s="689">
        <f>SUM(C7:C9)</f>
        <v>145973.66200000001</v>
      </c>
      <c r="D10" s="689">
        <f>SUM(D7:D9)</f>
        <v>270712.87199999997</v>
      </c>
      <c r="E10" s="690">
        <f>C10-D10</f>
        <v>-124739.20999999996</v>
      </c>
      <c r="F10" s="691">
        <f>IFERROR(E10/D10,"N/A")</f>
        <v>-0.46078049070381838</v>
      </c>
      <c r="H10" s="729">
        <f>SUM(H7:H9)</f>
        <v>154183.08179999999</v>
      </c>
      <c r="I10" s="690">
        <f>H10-D10</f>
        <v>-116529.79019999999</v>
      </c>
      <c r="J10" s="691">
        <f>IFERROR(I10/D10,"N/A")</f>
        <v>-0.43045529877870009</v>
      </c>
    </row>
    <row r="11" spans="1:10" ht="9" customHeight="1">
      <c r="A11" s="685"/>
      <c r="B11" s="682"/>
      <c r="C11" s="682"/>
      <c r="D11" s="682"/>
      <c r="E11" s="692"/>
      <c r="F11" s="693"/>
      <c r="H11" s="730"/>
      <c r="I11" s="692"/>
      <c r="J11" s="693"/>
    </row>
    <row r="12" spans="1:10">
      <c r="B12" s="682" t="s">
        <v>891</v>
      </c>
      <c r="C12" s="694">
        <f>'12 years sales &amp; PL forecast'!M68/1000</f>
        <v>113620.32733</v>
      </c>
      <c r="D12" s="694">
        <f>'12 years sales &amp; PL forecast'!L68/1000</f>
        <v>268809.81451999996</v>
      </c>
      <c r="E12" s="687">
        <f t="shared" ref="E12:E17" si="0">C12-D12</f>
        <v>-155189.48718999996</v>
      </c>
      <c r="F12" s="688">
        <f t="shared" ref="F12:F17" si="1">IFERROR(E12/D12,"N/A")</f>
        <v>-0.57732076288625822</v>
      </c>
      <c r="H12" s="694">
        <v>144230.89590472498</v>
      </c>
      <c r="I12" s="687">
        <f t="shared" ref="I12:I17" si="2">H12-D12</f>
        <v>-124578.91861527498</v>
      </c>
      <c r="J12" s="688">
        <f t="shared" ref="J12:J17" si="3">IFERROR(I12/D12,"N/A")</f>
        <v>-0.46344631738141417</v>
      </c>
    </row>
    <row r="13" spans="1:10">
      <c r="B13" s="682" t="s">
        <v>892</v>
      </c>
      <c r="C13" s="694">
        <f>'12 years sales &amp; PL forecast'!M69/1000</f>
        <v>149369.22343000001</v>
      </c>
      <c r="D13" s="694">
        <f>'12 years sales &amp; PL forecast'!L69/1000</f>
        <v>215975.64095999999</v>
      </c>
      <c r="E13" s="687">
        <f t="shared" si="0"/>
        <v>-66606.417529999977</v>
      </c>
      <c r="F13" s="688">
        <f t="shared" si="1"/>
        <v>-0.30839782317088199</v>
      </c>
      <c r="H13" s="694">
        <v>139436.06534144</v>
      </c>
      <c r="I13" s="687">
        <f t="shared" si="2"/>
        <v>-76539.575618559989</v>
      </c>
      <c r="J13" s="688">
        <f t="shared" si="3"/>
        <v>-0.35438985284796809</v>
      </c>
    </row>
    <row r="14" spans="1:10">
      <c r="B14" s="682" t="s">
        <v>893</v>
      </c>
      <c r="C14" s="694">
        <f>'12 years sales &amp; PL forecast'!M70/1000</f>
        <v>2481.18109</v>
      </c>
      <c r="D14" s="694">
        <f>'12 years sales &amp; PL forecast'!L70/1000</f>
        <v>4225.4134899999999</v>
      </c>
      <c r="E14" s="687">
        <f t="shared" si="0"/>
        <v>-1744.2323999999999</v>
      </c>
      <c r="F14" s="688">
        <f t="shared" si="1"/>
        <v>-0.41279567174383208</v>
      </c>
      <c r="H14" s="694">
        <v>4884.7219999999998</v>
      </c>
      <c r="I14" s="687">
        <f t="shared" si="2"/>
        <v>659.30850999999984</v>
      </c>
      <c r="J14" s="688">
        <f t="shared" si="3"/>
        <v>0.15603408082080977</v>
      </c>
    </row>
    <row r="15" spans="1:10">
      <c r="B15" s="682" t="s">
        <v>894</v>
      </c>
      <c r="C15" s="694">
        <f>'12 years sales &amp; PL forecast'!M71/1000</f>
        <v>8315.6909699999997</v>
      </c>
      <c r="D15" s="694">
        <f>'12 years sales &amp; PL forecast'!L71/1000</f>
        <v>8540.5783300000003</v>
      </c>
      <c r="E15" s="687">
        <f t="shared" si="0"/>
        <v>-224.88736000000063</v>
      </c>
      <c r="F15" s="688">
        <f t="shared" si="1"/>
        <v>-2.6331631338132183E-2</v>
      </c>
      <c r="H15" s="694">
        <v>8372.5970000000016</v>
      </c>
      <c r="I15" s="687">
        <f t="shared" si="2"/>
        <v>-167.98132999999871</v>
      </c>
      <c r="J15" s="688">
        <f t="shared" si="3"/>
        <v>-1.9668613003634698E-2</v>
      </c>
    </row>
    <row r="16" spans="1:10">
      <c r="B16" s="682" t="s">
        <v>25</v>
      </c>
      <c r="C16" s="694">
        <f>'12 years sales &amp; PL forecast'!M72/1000</f>
        <v>11129.09008</v>
      </c>
      <c r="D16" s="694">
        <f>'12 years sales &amp; PL forecast'!L72/1000</f>
        <v>14135.696440000002</v>
      </c>
      <c r="E16" s="695">
        <f t="shared" si="0"/>
        <v>-3006.6063600000016</v>
      </c>
      <c r="F16" s="696">
        <f t="shared" si="1"/>
        <v>-0.21269601910042157</v>
      </c>
      <c r="H16" s="694">
        <v>15786.63207</v>
      </c>
      <c r="I16" s="695">
        <f t="shared" si="2"/>
        <v>1650.9356299999981</v>
      </c>
      <c r="J16" s="696">
        <f t="shared" si="3"/>
        <v>0.1167919555295712</v>
      </c>
    </row>
    <row r="17" spans="1:10">
      <c r="A17" s="685" t="s">
        <v>20</v>
      </c>
      <c r="B17" s="682"/>
      <c r="C17" s="702">
        <f>SUM(C12:C16)</f>
        <v>284915.51290000003</v>
      </c>
      <c r="D17" s="702">
        <f>SUM(D12:D16)</f>
        <v>511687.14373999997</v>
      </c>
      <c r="E17" s="703">
        <f t="shared" si="0"/>
        <v>-226771.63083999994</v>
      </c>
      <c r="F17" s="704">
        <f t="shared" si="1"/>
        <v>-0.44318414799811312</v>
      </c>
      <c r="H17" s="731">
        <f>SUM(H12:H16)</f>
        <v>312710.91231616499</v>
      </c>
      <c r="I17" s="703">
        <f t="shared" si="2"/>
        <v>-198976.23142383498</v>
      </c>
      <c r="J17" s="704">
        <f t="shared" si="3"/>
        <v>-0.38886306575828178</v>
      </c>
    </row>
    <row r="18" spans="1:10" ht="9" customHeight="1">
      <c r="A18" s="685"/>
      <c r="B18" s="682"/>
      <c r="C18" s="697"/>
      <c r="D18" s="697"/>
      <c r="E18" s="692"/>
      <c r="F18" s="693"/>
      <c r="H18" s="730"/>
      <c r="I18" s="692"/>
      <c r="J18" s="693"/>
    </row>
    <row r="19" spans="1:10">
      <c r="A19" s="685" t="s">
        <v>896</v>
      </c>
      <c r="B19" s="682"/>
      <c r="C19" s="698">
        <f>'12 years sales &amp; PL forecast'!M81/1000</f>
        <v>59603.024924068108</v>
      </c>
      <c r="D19" s="698">
        <f>'12 years sales &amp; PL forecast'!L81/1000</f>
        <v>89633.22793239163</v>
      </c>
      <c r="E19" s="687">
        <f>D19-C19</f>
        <v>30030.203008323522</v>
      </c>
      <c r="F19" s="688">
        <f>IFERROR(E19/D19,"N/A")</f>
        <v>0.33503426911027506</v>
      </c>
      <c r="H19" s="732">
        <v>64014.022753649333</v>
      </c>
      <c r="I19" s="687">
        <f>D19-H19</f>
        <v>25619.205178742297</v>
      </c>
      <c r="J19" s="688">
        <f>IFERROR(I19/D19,"N/A")</f>
        <v>0.28582263262979102</v>
      </c>
    </row>
    <row r="20" spans="1:10" ht="9" customHeight="1">
      <c r="A20" s="685"/>
      <c r="B20" s="682"/>
      <c r="C20" s="697"/>
      <c r="D20" s="697"/>
      <c r="E20" s="692"/>
      <c r="F20" s="693"/>
      <c r="H20" s="730"/>
      <c r="I20" s="692"/>
      <c r="J20" s="693"/>
    </row>
    <row r="21" spans="1:10">
      <c r="A21" s="685" t="s">
        <v>849</v>
      </c>
      <c r="B21" s="685"/>
      <c r="C21" s="705">
        <f>C17-C19</f>
        <v>225312.48797593193</v>
      </c>
      <c r="D21" s="705">
        <f>D17-D19</f>
        <v>422053.91580760834</v>
      </c>
      <c r="E21" s="706">
        <f>C21-D21</f>
        <v>-196741.42783167641</v>
      </c>
      <c r="F21" s="707">
        <f>IFERROR(E21/D21,"N/A")</f>
        <v>-0.4661523574664812</v>
      </c>
      <c r="H21" s="733">
        <f>H17-H19</f>
        <v>248696.88956251566</v>
      </c>
      <c r="I21" s="706">
        <f>H21-D21</f>
        <v>-173357.02624509268</v>
      </c>
      <c r="J21" s="707">
        <f>IFERROR(I21/D21,"N/A")</f>
        <v>-0.41074616240290213</v>
      </c>
    </row>
    <row r="22" spans="1:10" ht="6.75" customHeight="1">
      <c r="A22" s="685"/>
      <c r="B22" s="685"/>
      <c r="C22" s="699"/>
      <c r="D22" s="699"/>
      <c r="E22" s="700"/>
      <c r="F22" s="701"/>
      <c r="H22" s="734"/>
      <c r="I22" s="700"/>
      <c r="J22" s="701"/>
    </row>
    <row r="23" spans="1:10">
      <c r="A23" s="685" t="s">
        <v>850</v>
      </c>
      <c r="B23" s="685"/>
      <c r="C23" s="699">
        <f>'12 years sales &amp; PL forecast'!M44/1000</f>
        <v>131103.53066000002</v>
      </c>
      <c r="D23" s="699">
        <f>'12 years sales &amp; PL forecast'!L44/1000</f>
        <v>209072.86497000002</v>
      </c>
      <c r="E23" s="687">
        <f>D23-C23</f>
        <v>77969.334310000006</v>
      </c>
      <c r="F23" s="688">
        <f>IFERROR(E23/D23,"N/A")</f>
        <v>0.37292899928064727</v>
      </c>
      <c r="H23" s="734">
        <v>126069.55131599998</v>
      </c>
      <c r="I23" s="687">
        <f>D23-H23</f>
        <v>83003.313654000041</v>
      </c>
      <c r="J23" s="688">
        <f>IFERROR(I23/D23,"N/A")</f>
        <v>0.3970066305156828</v>
      </c>
    </row>
    <row r="24" spans="1:10" ht="6.75" customHeight="1">
      <c r="A24" s="685"/>
      <c r="B24" s="685"/>
      <c r="C24" s="699"/>
      <c r="D24" s="699"/>
      <c r="E24" s="700"/>
      <c r="F24" s="701"/>
      <c r="H24" s="734"/>
      <c r="I24" s="700"/>
      <c r="J24" s="701"/>
    </row>
    <row r="25" spans="1:10">
      <c r="A25" s="685" t="s">
        <v>928</v>
      </c>
      <c r="B25" s="682"/>
      <c r="C25" s="705">
        <f>C21-C23</f>
        <v>94208.957315931912</v>
      </c>
      <c r="D25" s="705">
        <f>D21-D23</f>
        <v>212981.05083760832</v>
      </c>
      <c r="E25" s="706">
        <f>C25-D25</f>
        <v>-118772.0935216764</v>
      </c>
      <c r="F25" s="707">
        <f>IFERROR(E25/D25,"N/A")</f>
        <v>-0.55766507421468481</v>
      </c>
      <c r="H25" s="733">
        <f>H21-H23</f>
        <v>122627.33824651568</v>
      </c>
      <c r="I25" s="706">
        <f>H25-D25</f>
        <v>-90353.712591092641</v>
      </c>
      <c r="J25" s="707">
        <f>IFERROR(I25/D25,"N/A")</f>
        <v>-0.42423357493894914</v>
      </c>
    </row>
    <row r="26" spans="1:10" ht="15.75" thickBot="1">
      <c r="A26" s="685"/>
      <c r="B26" s="682"/>
      <c r="C26" s="697"/>
      <c r="D26" s="697"/>
      <c r="E26" s="692"/>
      <c r="F26" s="693"/>
      <c r="H26" s="699"/>
    </row>
    <row r="27" spans="1:10" s="726" customFormat="1">
      <c r="A27" s="721"/>
      <c r="B27" s="722"/>
      <c r="C27" s="723"/>
      <c r="D27" s="723"/>
      <c r="E27" s="724"/>
      <c r="F27" s="725"/>
      <c r="H27" s="727"/>
      <c r="I27" s="728"/>
    </row>
    <row r="28" spans="1:10" ht="60">
      <c r="A28" s="681"/>
      <c r="B28" s="685" t="s">
        <v>10</v>
      </c>
      <c r="C28" s="751" t="s">
        <v>915</v>
      </c>
      <c r="D28" s="752" t="s">
        <v>890</v>
      </c>
      <c r="E28" s="752" t="s">
        <v>895</v>
      </c>
      <c r="F28" s="684" t="s">
        <v>889</v>
      </c>
      <c r="H28" s="751" t="s">
        <v>925</v>
      </c>
      <c r="I28" s="752" t="s">
        <v>914</v>
      </c>
      <c r="J28" s="684" t="s">
        <v>889</v>
      </c>
    </row>
    <row r="29" spans="1:10" ht="9" customHeight="1">
      <c r="A29" s="685"/>
      <c r="B29" s="682"/>
      <c r="C29" s="683"/>
      <c r="D29" s="683"/>
      <c r="E29" s="683"/>
      <c r="F29" s="684"/>
      <c r="H29" s="683"/>
    </row>
    <row r="30" spans="1:10">
      <c r="A30" s="685" t="s">
        <v>928</v>
      </c>
      <c r="B30" s="682"/>
      <c r="C30" s="699">
        <f>C25</f>
        <v>94208.957315931912</v>
      </c>
      <c r="D30" s="699">
        <f>D25</f>
        <v>212981.05083760832</v>
      </c>
      <c r="E30" s="687">
        <f>C30-D30</f>
        <v>-118772.0935216764</v>
      </c>
      <c r="F30" s="688">
        <f>IFERROR(E30/D30,"N/A")</f>
        <v>-0.55766507421468481</v>
      </c>
      <c r="G30" s="720"/>
      <c r="H30" s="699">
        <f>H25</f>
        <v>122627.33824651568</v>
      </c>
      <c r="I30" s="687">
        <f>H30-D30</f>
        <v>-90353.712591092641</v>
      </c>
      <c r="J30" s="688">
        <f>IFERROR(I30/D30,"N/A")</f>
        <v>-0.42423357493894914</v>
      </c>
    </row>
    <row r="31" spans="1:10">
      <c r="A31" s="685"/>
      <c r="B31" s="682"/>
      <c r="C31" s="683"/>
      <c r="D31" s="683"/>
      <c r="E31" s="683"/>
      <c r="F31" s="684"/>
      <c r="H31" s="683"/>
      <c r="I31" s="683"/>
      <c r="J31" s="684"/>
    </row>
    <row r="32" spans="1:10">
      <c r="A32" s="685" t="s">
        <v>899</v>
      </c>
      <c r="B32" s="682"/>
      <c r="C32" s="697"/>
      <c r="D32" s="697"/>
      <c r="E32" s="692"/>
      <c r="F32" s="693"/>
      <c r="H32" s="697"/>
      <c r="I32" s="692"/>
      <c r="J32" s="693"/>
    </row>
    <row r="33" spans="1:10">
      <c r="A33" s="685"/>
      <c r="B33" s="682" t="s">
        <v>852</v>
      </c>
      <c r="C33" s="697">
        <f>'Bank-P&amp;L Summary'!G47</f>
        <v>51284.278495633247</v>
      </c>
      <c r="D33" s="697">
        <f>'Bank-P&amp;L Summary'!F47</f>
        <v>64774.297660000011</v>
      </c>
      <c r="E33" s="687">
        <f>D33-C33</f>
        <v>13490.019164366764</v>
      </c>
      <c r="F33" s="688">
        <f>IFERROR(E33/D33,"N/A")</f>
        <v>0.20826191331592372</v>
      </c>
      <c r="H33" s="697">
        <f>C33*0.95</f>
        <v>48720.06457085158</v>
      </c>
      <c r="I33" s="687">
        <f>D33-H33</f>
        <v>16054.233089148431</v>
      </c>
      <c r="J33" s="688">
        <f>IFERROR(I33/D33,"N/A")</f>
        <v>0.24784881765012762</v>
      </c>
    </row>
    <row r="34" spans="1:10">
      <c r="A34" s="685"/>
      <c r="B34" s="682" t="s">
        <v>853</v>
      </c>
      <c r="C34" s="697">
        <f>'Bank-P&amp;L Summary'!G48</f>
        <v>12787.291859999999</v>
      </c>
      <c r="D34" s="697">
        <f>'Bank-P&amp;L Summary'!F48</f>
        <v>19038.056710000001</v>
      </c>
      <c r="E34" s="687">
        <f>D34-C34</f>
        <v>6250.7648500000014</v>
      </c>
      <c r="F34" s="688">
        <f>IFERROR(E34/D34,"N/A")</f>
        <v>0.32832998373813549</v>
      </c>
      <c r="H34" s="697">
        <f>C34*0.95</f>
        <v>12147.927266999999</v>
      </c>
      <c r="I34" s="687">
        <f>D34-H34</f>
        <v>6890.1294430000016</v>
      </c>
      <c r="J34" s="688">
        <f>IFERROR(I34/D34,"N/A")</f>
        <v>0.36191348455122874</v>
      </c>
    </row>
    <row r="35" spans="1:10">
      <c r="A35" s="685"/>
      <c r="B35" s="682" t="s">
        <v>326</v>
      </c>
      <c r="C35" s="697">
        <f>'Bank-P&amp;L Summary'!G49</f>
        <v>9822.0161733333316</v>
      </c>
      <c r="D35" s="697">
        <f>'Bank-P&amp;L Summary'!F49</f>
        <v>9384.7024600000004</v>
      </c>
      <c r="E35" s="687">
        <f>D35-C35</f>
        <v>-437.31371333333118</v>
      </c>
      <c r="F35" s="688">
        <f>IFERROR(E35/D35,"N/A")</f>
        <v>-4.6598569874460483E-2</v>
      </c>
      <c r="H35" s="697">
        <f>C35*0.95</f>
        <v>9330.9153646666655</v>
      </c>
      <c r="I35" s="687">
        <f>D35-H35</f>
        <v>53.787095333334946</v>
      </c>
      <c r="J35" s="688">
        <f>IFERROR(I35/D35,"N/A")</f>
        <v>5.7313586192624952E-3</v>
      </c>
    </row>
    <row r="36" spans="1:10">
      <c r="A36" s="685"/>
      <c r="B36" s="682" t="s">
        <v>541</v>
      </c>
      <c r="C36" s="697">
        <f>'Bank-P&amp;L Summary'!G50</f>
        <v>26366.0959567637</v>
      </c>
      <c r="D36" s="697">
        <f>'Bank-P&amp;L Summary'!F50</f>
        <v>27078.479479999991</v>
      </c>
      <c r="E36" s="687">
        <f>D36-C36</f>
        <v>712.38352323629078</v>
      </c>
      <c r="F36" s="688">
        <f>IFERROR(E36/D36,"N/A")</f>
        <v>2.6308106544994637E-2</v>
      </c>
      <c r="H36" s="697">
        <f>C36*0.95</f>
        <v>25047.791158925513</v>
      </c>
      <c r="I36" s="687">
        <f>D36-H36</f>
        <v>2030.6883210744782</v>
      </c>
      <c r="J36" s="688">
        <f>IFERROR(I36/D36,"N/A")</f>
        <v>7.4992701217744998E-2</v>
      </c>
    </row>
    <row r="37" spans="1:10" ht="9.75" customHeight="1">
      <c r="A37" s="685"/>
      <c r="B37" s="682"/>
      <c r="C37" s="697"/>
      <c r="D37" s="697"/>
      <c r="E37" s="687"/>
      <c r="F37" s="688"/>
      <c r="H37" s="697"/>
      <c r="I37" s="687"/>
      <c r="J37" s="688"/>
    </row>
    <row r="38" spans="1:10">
      <c r="A38" s="685"/>
      <c r="B38" s="682"/>
      <c r="C38" s="702">
        <f>SUM(C33:C37)</f>
        <v>100259.68248573029</v>
      </c>
      <c r="D38" s="702">
        <f>SUM(D33:D37)</f>
        <v>120275.53631000001</v>
      </c>
      <c r="E38" s="703">
        <f>D38-C38</f>
        <v>20015.853824269725</v>
      </c>
      <c r="F38" s="704">
        <f>IFERROR(E38/D38,"N/A")</f>
        <v>0.16641666658363971</v>
      </c>
      <c r="H38" s="702">
        <f>SUM(H33:H37)</f>
        <v>95246.698361443749</v>
      </c>
      <c r="I38" s="703">
        <f>D38-H38</f>
        <v>25028.837948556262</v>
      </c>
      <c r="J38" s="704">
        <f>IFERROR(I38/D38,"N/A")</f>
        <v>0.20809583325445793</v>
      </c>
    </row>
    <row r="39" spans="1:10" ht="12.75" customHeight="1">
      <c r="A39" s="685"/>
      <c r="B39" s="682"/>
      <c r="C39" s="697"/>
      <c r="D39" s="697"/>
      <c r="E39" s="687"/>
      <c r="F39" s="688"/>
      <c r="H39" s="697"/>
      <c r="I39" s="687"/>
      <c r="J39" s="688"/>
    </row>
    <row r="40" spans="1:10">
      <c r="A40" s="685" t="s">
        <v>856</v>
      </c>
      <c r="B40" s="685"/>
      <c r="C40" s="705">
        <f>C25-C38</f>
        <v>-6050.7251697983738</v>
      </c>
      <c r="D40" s="705">
        <f>D25-D38</f>
        <v>92705.514527608306</v>
      </c>
      <c r="E40" s="706">
        <f>C40-D40</f>
        <v>-98756.23969740668</v>
      </c>
      <c r="F40" s="707">
        <f>IFERROR(E40/D40,"N/A")</f>
        <v>-1.0652682335094146</v>
      </c>
      <c r="H40" s="705">
        <f>H25-H38</f>
        <v>27380.639885071927</v>
      </c>
      <c r="I40" s="706">
        <f>H40-D40</f>
        <v>-65324.874642536379</v>
      </c>
      <c r="J40" s="707">
        <f>IFERROR(I40/D40,"N/A")</f>
        <v>-0.70464928624156664</v>
      </c>
    </row>
    <row r="41" spans="1:10">
      <c r="A41" s="685"/>
      <c r="B41" s="736" t="s">
        <v>911</v>
      </c>
      <c r="C41" s="765">
        <f>C40+'12 years sales &amp; PL forecast'!M252/1000</f>
        <v>10992.693680201624</v>
      </c>
      <c r="D41" s="765">
        <f>D40+'12 years sales &amp; PL forecast'!L252/1000</f>
        <v>109884.0663176083</v>
      </c>
      <c r="E41" s="737">
        <f>C41-D41</f>
        <v>-98891.372637406675</v>
      </c>
      <c r="F41" s="738">
        <f>IFERROR(E41/D41,"N/A")</f>
        <v>-0.89996098571353911</v>
      </c>
      <c r="G41" s="735"/>
      <c r="H41" s="765">
        <f>H40+'12 years sales &amp; PL forecast'!M252/1000</f>
        <v>44424.058735071929</v>
      </c>
      <c r="I41" s="737">
        <f>H41-D41</f>
        <v>-65460.007582536375</v>
      </c>
      <c r="J41" s="738">
        <f>IFERROR(I41/D41,"N/A")</f>
        <v>-0.59571883145761217</v>
      </c>
    </row>
    <row r="42" spans="1:10">
      <c r="A42" s="685"/>
      <c r="B42" s="682"/>
      <c r="C42" s="697"/>
      <c r="D42" s="698"/>
      <c r="E42" s="692"/>
      <c r="F42" s="693"/>
      <c r="H42" s="699"/>
      <c r="I42" s="692"/>
      <c r="J42" s="693"/>
    </row>
    <row r="43" spans="1:10">
      <c r="A43" s="685" t="s">
        <v>913</v>
      </c>
      <c r="B43" s="682"/>
      <c r="C43" s="697"/>
      <c r="D43" s="698">
        <v>0</v>
      </c>
      <c r="E43" s="692">
        <f>C43-D43</f>
        <v>0</v>
      </c>
      <c r="F43" s="693" t="str">
        <f>IFERROR(E43/D43,"N/A")</f>
        <v>N/A</v>
      </c>
      <c r="H43" s="697">
        <f>C43</f>
        <v>0</v>
      </c>
      <c r="I43" s="692">
        <f>H43-D43</f>
        <v>0</v>
      </c>
      <c r="J43" s="693" t="str">
        <f>IFERROR(I43/D43,"N/A")</f>
        <v>N/A</v>
      </c>
    </row>
    <row r="44" spans="1:10">
      <c r="A44" s="685" t="s">
        <v>897</v>
      </c>
      <c r="B44" s="682"/>
      <c r="C44" s="697"/>
      <c r="D44" s="697">
        <v>72155.889889999991</v>
      </c>
      <c r="E44" s="692">
        <f>D44-C44</f>
        <v>72155.889889999991</v>
      </c>
      <c r="F44" s="693">
        <f>IFERROR(E44/D44,"N/A")</f>
        <v>1</v>
      </c>
      <c r="H44" s="697">
        <f>C44</f>
        <v>0</v>
      </c>
      <c r="I44" s="692">
        <f>D44-H44</f>
        <v>72155.889889999991</v>
      </c>
      <c r="J44" s="693">
        <f>IFERROR(I44/D44,"N/A")</f>
        <v>1</v>
      </c>
    </row>
    <row r="45" spans="1:10">
      <c r="A45" s="685"/>
      <c r="B45" s="682"/>
      <c r="C45" s="697"/>
      <c r="D45" s="698"/>
      <c r="E45" s="692"/>
      <c r="F45" s="693"/>
      <c r="H45" s="697"/>
      <c r="I45" s="692"/>
      <c r="J45" s="693"/>
    </row>
    <row r="46" spans="1:10" ht="15.75" thickBot="1">
      <c r="A46" s="685" t="s">
        <v>898</v>
      </c>
      <c r="B46" s="685"/>
      <c r="C46" s="708">
        <f>C40-C44+C43</f>
        <v>-6050.7251697983738</v>
      </c>
      <c r="D46" s="708">
        <f>D40-D44+D43</f>
        <v>20549.624637608315</v>
      </c>
      <c r="E46" s="709">
        <f>C46-D46</f>
        <v>-26600.349807406688</v>
      </c>
      <c r="F46" s="710">
        <f>IFERROR(E46/D46,"N/A")</f>
        <v>-1.294444559280407</v>
      </c>
      <c r="H46" s="708">
        <f>H40-H44+H43</f>
        <v>27380.639885071927</v>
      </c>
      <c r="I46" s="709">
        <f>H46-D46</f>
        <v>6831.0152474636125</v>
      </c>
      <c r="J46" s="710">
        <f>IFERROR(I46/D46,"N/A")</f>
        <v>0.33241557293275437</v>
      </c>
    </row>
    <row r="47" spans="1:10" ht="15.75" thickTop="1">
      <c r="A47" s="685"/>
      <c r="B47" s="736" t="s">
        <v>912</v>
      </c>
      <c r="C47" s="766">
        <f>C46+'12 years sales &amp; PL forecast'!M252/1000</f>
        <v>10992.693680201624</v>
      </c>
      <c r="D47" s="766">
        <f>D46+'12 years sales &amp; PL forecast'!L252/1000</f>
        <v>37728.176427608312</v>
      </c>
      <c r="E47" s="739">
        <f>C47-D47</f>
        <v>-26735.482747406688</v>
      </c>
      <c r="F47" s="740">
        <f>IFERROR(E47/D47,"N/A")</f>
        <v>-0.70863437565570986</v>
      </c>
      <c r="G47" s="735"/>
      <c r="H47" s="766">
        <f>H46+'12 years sales &amp; PL forecast'!M252/1000</f>
        <v>44424.058735071929</v>
      </c>
      <c r="I47" s="739">
        <f>H47-D47</f>
        <v>6695.8823074636166</v>
      </c>
      <c r="J47" s="740">
        <f>IFERROR(I47/D47,"N/A")</f>
        <v>0.17747696659316342</v>
      </c>
    </row>
    <row r="48" spans="1:10">
      <c r="I48" s="680"/>
    </row>
  </sheetData>
  <phoneticPr fontId="301" type="noConversion"/>
  <pageMargins left="0.7" right="0.7" top="0.75" bottom="0.75" header="0.3" footer="0.3"/>
  <pageSetup paperSize="9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7" tint="0.39997558519241921"/>
  </sheetPr>
  <dimension ref="A1:T118"/>
  <sheetViews>
    <sheetView topLeftCell="A28" workbookViewId="0">
      <selection activeCell="G58" sqref="G58"/>
    </sheetView>
  </sheetViews>
  <sheetFormatPr defaultColWidth="9.140625" defaultRowHeight="15" outlineLevelRow="1" outlineLevelCol="1"/>
  <cols>
    <col min="1" max="1" width="3" style="467" customWidth="1"/>
    <col min="2" max="2" width="33.5703125" style="467" customWidth="1"/>
    <col min="3" max="3" width="11.85546875" style="467" hidden="1" customWidth="1" outlineLevel="1"/>
    <col min="4" max="4" width="10.42578125" style="467" hidden="1" customWidth="1" outlineLevel="1"/>
    <col min="5" max="5" width="10.42578125" style="467" customWidth="1" collapsed="1"/>
    <col min="6" max="15" width="10.42578125" style="467" customWidth="1"/>
    <col min="16" max="16" width="10.42578125" style="467" hidden="1" customWidth="1" outlineLevel="1"/>
    <col min="17" max="17" width="9.140625" style="467" collapsed="1"/>
    <col min="18" max="18" width="9.140625" style="467"/>
    <col min="19" max="19" width="15.5703125" style="467" customWidth="1"/>
    <col min="20" max="16384" width="9.140625" style="467"/>
  </cols>
  <sheetData>
    <row r="1" spans="1:20">
      <c r="A1" s="644" t="s">
        <v>285</v>
      </c>
      <c r="S1" s="676" t="s">
        <v>886</v>
      </c>
      <c r="T1" s="676" t="str">
        <f>'Cashflow trend'!F2</f>
        <v>n</v>
      </c>
    </row>
    <row r="2" spans="1:20">
      <c r="A2" s="644" t="s">
        <v>848</v>
      </c>
      <c r="S2" s="677" t="s">
        <v>887</v>
      </c>
      <c r="T2" s="677" t="str">
        <f>IF(T1="Y",'Cashflow trend'!H13,"N")</f>
        <v>N</v>
      </c>
    </row>
    <row r="3" spans="1:20">
      <c r="S3" s="677" t="s">
        <v>888</v>
      </c>
      <c r="T3" s="677" t="str">
        <f>IF(T1="Y",'Cashflow trend'!I13,"N")</f>
        <v>N</v>
      </c>
    </row>
    <row r="4" spans="1:20" s="645" customFormat="1" ht="12.75">
      <c r="A4" s="658" t="s">
        <v>283</v>
      </c>
      <c r="C4" s="646" t="s">
        <v>51</v>
      </c>
      <c r="D4" s="646" t="s">
        <v>51</v>
      </c>
      <c r="E4" s="646" t="s">
        <v>51</v>
      </c>
      <c r="F4" s="646" t="s">
        <v>51</v>
      </c>
      <c r="G4" s="646" t="s">
        <v>51</v>
      </c>
      <c r="H4" s="646" t="s">
        <v>53</v>
      </c>
      <c r="I4" s="646" t="s">
        <v>53</v>
      </c>
      <c r="J4" s="646" t="s">
        <v>53</v>
      </c>
      <c r="K4" s="646" t="s">
        <v>53</v>
      </c>
      <c r="L4" s="646" t="s">
        <v>53</v>
      </c>
      <c r="M4" s="646" t="s">
        <v>53</v>
      </c>
      <c r="N4" s="646" t="s">
        <v>53</v>
      </c>
      <c r="O4" s="646" t="s">
        <v>53</v>
      </c>
      <c r="P4" s="646" t="s">
        <v>53</v>
      </c>
    </row>
    <row r="5" spans="1:20" s="645" customFormat="1" ht="12.75">
      <c r="C5" s="151" t="s">
        <v>1</v>
      </c>
      <c r="D5" s="151" t="s">
        <v>2</v>
      </c>
      <c r="E5" s="151" t="s">
        <v>3</v>
      </c>
      <c r="F5" s="151" t="s">
        <v>59</v>
      </c>
      <c r="G5" s="151" t="s">
        <v>5</v>
      </c>
      <c r="H5" s="151" t="s">
        <v>6</v>
      </c>
      <c r="I5" s="151" t="s">
        <v>7</v>
      </c>
      <c r="J5" s="151" t="s">
        <v>13</v>
      </c>
      <c r="K5" s="151" t="s">
        <v>14</v>
      </c>
      <c r="L5" s="151" t="s">
        <v>15</v>
      </c>
      <c r="M5" s="151" t="s">
        <v>16</v>
      </c>
      <c r="N5" s="151" t="s">
        <v>17</v>
      </c>
      <c r="O5" s="151" t="s">
        <v>18</v>
      </c>
      <c r="P5" s="151" t="s">
        <v>19</v>
      </c>
    </row>
    <row r="6" spans="1:20" ht="6.75" customHeight="1">
      <c r="A6" s="644"/>
    </row>
    <row r="7" spans="1:20">
      <c r="A7" s="467" t="s">
        <v>916</v>
      </c>
    </row>
    <row r="8" spans="1:20">
      <c r="B8" s="467" t="s">
        <v>802</v>
      </c>
      <c r="C8" s="647">
        <f>'12 years sales &amp; PL forecast'!I49/1000</f>
        <v>132553.78400000001</v>
      </c>
      <c r="D8" s="647">
        <f>'12 years sales &amp; PL forecast'!J49/1000</f>
        <v>133080.92600000001</v>
      </c>
      <c r="E8" s="647">
        <f>'12 years sales &amp; PL forecast'!K49/1000</f>
        <v>134920.79800000001</v>
      </c>
      <c r="F8" s="647">
        <f>'12 years sales &amp; PL forecast'!L49/1000</f>
        <v>109952.232</v>
      </c>
      <c r="G8" s="647">
        <f>'12 years sales &amp; PL forecast'!M49/1000</f>
        <v>49797.021999999997</v>
      </c>
      <c r="H8" s="647">
        <f>'12 years sales &amp; PL forecast'!N49/1000</f>
        <v>95677.933000000005</v>
      </c>
      <c r="I8" s="647">
        <f>'12 years sales &amp; PL forecast'!O49/1000</f>
        <v>78208.396999999997</v>
      </c>
      <c r="J8" s="647">
        <f>'12 years sales &amp; PL forecast'!P49/1000</f>
        <v>81501.747000000003</v>
      </c>
      <c r="K8" s="647">
        <f>'12 years sales &amp; PL forecast'!Q49/1000</f>
        <v>99473.879000000001</v>
      </c>
      <c r="L8" s="647">
        <f>'12 years sales &amp; PL forecast'!R49/1000</f>
        <v>112646.69500000001</v>
      </c>
      <c r="M8" s="647">
        <f>'12 years sales &amp; PL forecast'!S49/1000</f>
        <v>120156.93399999999</v>
      </c>
      <c r="N8" s="647">
        <f>'12 years sales &amp; PL forecast'!T49/1000</f>
        <v>126824.552</v>
      </c>
      <c r="O8" s="647">
        <f>'12 years sales &amp; PL forecast'!U49/1000</f>
        <v>134648.14300000001</v>
      </c>
      <c r="P8" s="647">
        <f>'12 years sales &amp; PL forecast'!V49/1000</f>
        <v>136550.06100000002</v>
      </c>
    </row>
    <row r="9" spans="1:20">
      <c r="B9" s="467" t="s">
        <v>713</v>
      </c>
      <c r="C9" s="647">
        <f>'12 years sales &amp; PL forecast'!I50/1000</f>
        <v>89348.58</v>
      </c>
      <c r="D9" s="647">
        <f>'12 years sales &amp; PL forecast'!J50/1000</f>
        <v>103416.03</v>
      </c>
      <c r="E9" s="647">
        <f>'12 years sales &amp; PL forecast'!K50/1000</f>
        <v>128636.772</v>
      </c>
      <c r="F9" s="647">
        <f>'12 years sales &amp; PL forecast'!L50/1000</f>
        <v>157218.96</v>
      </c>
      <c r="G9" s="647">
        <f>'12 years sales &amp; PL forecast'!M50/1000</f>
        <v>93666.384000000005</v>
      </c>
      <c r="H9" s="647">
        <f>'12 years sales &amp; PL forecast'!N50/1000</f>
        <v>85719.732000000004</v>
      </c>
      <c r="I9" s="647">
        <f>'12 years sales &amp; PL forecast'!O50/1000</f>
        <v>134046.27600000001</v>
      </c>
      <c r="J9" s="647">
        <f>'12 years sales &amp; PL forecast'!P50/1000</f>
        <v>137267.136</v>
      </c>
      <c r="K9" s="647">
        <f>'12 years sales &amp; PL forecast'!Q50/1000</f>
        <v>133278.04800000001</v>
      </c>
      <c r="L9" s="647">
        <f>'12 years sales &amp; PL forecast'!R50/1000</f>
        <v>158321.95199999999</v>
      </c>
      <c r="M9" s="647">
        <f>'12 years sales &amp; PL forecast'!S50/1000</f>
        <v>170566.50650631488</v>
      </c>
      <c r="N9" s="647">
        <f>'12 years sales &amp; PL forecast'!T50/1000</f>
        <v>164447.57262953103</v>
      </c>
      <c r="O9" s="647">
        <f>'12 years sales &amp; PL forecast'!U50/1000</f>
        <v>193473.9868798586</v>
      </c>
      <c r="P9" s="647">
        <f>'12 years sales &amp; PL forecast'!V50/1000</f>
        <v>228079.40556351977</v>
      </c>
    </row>
    <row r="10" spans="1:20">
      <c r="B10" s="467" t="s">
        <v>714</v>
      </c>
      <c r="C10" s="647">
        <f>'12 years sales &amp; PL forecast'!I51/1000</f>
        <v>3713.5079999999998</v>
      </c>
      <c r="D10" s="647">
        <f>'12 years sales &amp; PL forecast'!J51/1000</f>
        <v>3133.944</v>
      </c>
      <c r="E10" s="647">
        <f>'12 years sales &amp; PL forecast'!K51/1000</f>
        <v>6423.8879999999999</v>
      </c>
      <c r="F10" s="647">
        <f>'12 years sales &amp; PL forecast'!L51/1000</f>
        <v>3541.68</v>
      </c>
      <c r="G10" s="647">
        <f>'12 years sales &amp; PL forecast'!M51/1000</f>
        <v>2510.2559999999999</v>
      </c>
      <c r="H10" s="647">
        <f>'12 years sales &amp; PL forecast'!N51/1000</f>
        <v>0</v>
      </c>
      <c r="I10" s="647">
        <f>'12 years sales &amp; PL forecast'!O51/1000</f>
        <v>1517.5772599492125</v>
      </c>
      <c r="J10" s="647">
        <f>'12 years sales &amp; PL forecast'!P51/1000</f>
        <v>1517.5772599492125</v>
      </c>
      <c r="K10" s="647">
        <f>'12 years sales &amp; PL forecast'!Q51/1000</f>
        <v>2510.2559999999999</v>
      </c>
      <c r="L10" s="647">
        <f>'12 years sales &amp; PL forecast'!R51/1000</f>
        <v>3541.68</v>
      </c>
      <c r="M10" s="647">
        <f>'12 years sales &amp; PL forecast'!S51/1000</f>
        <v>3541.68</v>
      </c>
      <c r="N10" s="647">
        <f>'12 years sales &amp; PL forecast'!T51/1000</f>
        <v>3541.68</v>
      </c>
      <c r="O10" s="647">
        <f>'12 years sales &amp; PL forecast'!U51/1000</f>
        <v>6423.8879999999999</v>
      </c>
      <c r="P10" s="647">
        <f>'12 years sales &amp; PL forecast'!V51/1000</f>
        <v>6423.8879999999999</v>
      </c>
    </row>
    <row r="11" spans="1:20">
      <c r="C11" s="663">
        <f>SUM(C8:C10)</f>
        <v>225615.872</v>
      </c>
      <c r="D11" s="663">
        <f t="shared" ref="D11:P11" si="0">SUM(D8:D10)</f>
        <v>239630.9</v>
      </c>
      <c r="E11" s="663">
        <f t="shared" si="0"/>
        <v>269981.45799999998</v>
      </c>
      <c r="F11" s="663">
        <f t="shared" si="0"/>
        <v>270712.87199999997</v>
      </c>
      <c r="G11" s="663">
        <f t="shared" si="0"/>
        <v>145973.66200000001</v>
      </c>
      <c r="H11" s="663">
        <f t="shared" si="0"/>
        <v>181397.66500000001</v>
      </c>
      <c r="I11" s="663">
        <f t="shared" si="0"/>
        <v>213772.25025994921</v>
      </c>
      <c r="J11" s="663">
        <f t="shared" si="0"/>
        <v>220286.46025994921</v>
      </c>
      <c r="K11" s="663">
        <f t="shared" si="0"/>
        <v>235262.18300000002</v>
      </c>
      <c r="L11" s="663">
        <f t="shared" si="0"/>
        <v>274510.32699999999</v>
      </c>
      <c r="M11" s="663">
        <f t="shared" si="0"/>
        <v>294265.12050631485</v>
      </c>
      <c r="N11" s="663">
        <f t="shared" si="0"/>
        <v>294813.80462953105</v>
      </c>
      <c r="O11" s="663">
        <f t="shared" si="0"/>
        <v>334546.01787985855</v>
      </c>
      <c r="P11" s="663">
        <f t="shared" si="0"/>
        <v>371053.35456351977</v>
      </c>
    </row>
    <row r="12" spans="1:20" ht="7.5" customHeight="1"/>
    <row r="13" spans="1:20">
      <c r="A13" s="467" t="s">
        <v>813</v>
      </c>
    </row>
    <row r="14" spans="1:20">
      <c r="B14" s="467" t="s">
        <v>802</v>
      </c>
      <c r="C14" s="647"/>
      <c r="D14" s="651">
        <f>D8/C8-1</f>
        <v>3.976815931561628E-3</v>
      </c>
      <c r="E14" s="651">
        <f t="shared" ref="E14:P14" si="1">E8/D8-1</f>
        <v>1.3825211886487887E-2</v>
      </c>
      <c r="F14" s="651">
        <f t="shared" si="1"/>
        <v>-0.18506091255108059</v>
      </c>
      <c r="G14" s="651">
        <f t="shared" si="1"/>
        <v>-0.54710312747448375</v>
      </c>
      <c r="H14" s="651">
        <f t="shared" si="1"/>
        <v>0.92135853023500092</v>
      </c>
      <c r="I14" s="651">
        <f t="shared" si="1"/>
        <v>-0.1825868876159773</v>
      </c>
      <c r="J14" s="651">
        <f t="shared" si="1"/>
        <v>4.2109928426227849E-2</v>
      </c>
      <c r="K14" s="651">
        <f t="shared" si="1"/>
        <v>0.22051223024703992</v>
      </c>
      <c r="L14" s="651">
        <f t="shared" si="1"/>
        <v>0.13242487507700385</v>
      </c>
      <c r="M14" s="651">
        <f t="shared" si="1"/>
        <v>6.6670744312560482E-2</v>
      </c>
      <c r="N14" s="651">
        <f t="shared" si="1"/>
        <v>5.5490913241844186E-2</v>
      </c>
      <c r="O14" s="651">
        <f t="shared" si="1"/>
        <v>6.1688299912149525E-2</v>
      </c>
      <c r="P14" s="651">
        <f t="shared" si="1"/>
        <v>1.4125096400326997E-2</v>
      </c>
    </row>
    <row r="15" spans="1:20">
      <c r="B15" s="467" t="s">
        <v>713</v>
      </c>
      <c r="C15" s="647"/>
      <c r="D15" s="651">
        <f t="shared" ref="D15:P15" si="2">D9/C9-1</f>
        <v>0.15744458389825544</v>
      </c>
      <c r="E15" s="651">
        <f t="shared" si="2"/>
        <v>0.24387652475153021</v>
      </c>
      <c r="F15" s="651">
        <f t="shared" si="2"/>
        <v>0.22219298226793183</v>
      </c>
      <c r="G15" s="651">
        <f t="shared" si="2"/>
        <v>-0.40422971885833614</v>
      </c>
      <c r="H15" s="651">
        <f t="shared" si="2"/>
        <v>-8.4839957097094687E-2</v>
      </c>
      <c r="I15" s="651">
        <f t="shared" si="2"/>
        <v>0.56377385780907496</v>
      </c>
      <c r="J15" s="651">
        <f t="shared" si="2"/>
        <v>2.4027970758396799E-2</v>
      </c>
      <c r="K15" s="651">
        <f t="shared" si="2"/>
        <v>-2.9060765134634958E-2</v>
      </c>
      <c r="L15" s="651">
        <f t="shared" si="2"/>
        <v>0.18790719383885324</v>
      </c>
      <c r="M15" s="651">
        <f t="shared" si="2"/>
        <v>7.7339587793326947E-2</v>
      </c>
      <c r="N15" s="651">
        <f t="shared" si="2"/>
        <v>-3.5874181878476241E-2</v>
      </c>
      <c r="O15" s="651">
        <f t="shared" si="2"/>
        <v>0.17650862087042496</v>
      </c>
      <c r="P15" s="651">
        <f t="shared" si="2"/>
        <v>0.17886341849744425</v>
      </c>
    </row>
    <row r="16" spans="1:20">
      <c r="B16" s="467" t="s">
        <v>714</v>
      </c>
      <c r="C16" s="647"/>
      <c r="D16" s="651">
        <f t="shared" ref="D16:P16" si="3">D10/C10-1</f>
        <v>-0.15606914001531702</v>
      </c>
      <c r="E16" s="651">
        <f t="shared" si="3"/>
        <v>1.0497775327191552</v>
      </c>
      <c r="F16" s="651">
        <f t="shared" si="3"/>
        <v>-0.44867033796355105</v>
      </c>
      <c r="G16" s="651">
        <f t="shared" si="3"/>
        <v>-0.29122450362539809</v>
      </c>
      <c r="H16" s="651">
        <f t="shared" si="3"/>
        <v>-1</v>
      </c>
      <c r="I16" s="651" t="e">
        <f t="shared" si="3"/>
        <v>#DIV/0!</v>
      </c>
      <c r="J16" s="651">
        <f t="shared" si="3"/>
        <v>0</v>
      </c>
      <c r="K16" s="651">
        <f t="shared" si="3"/>
        <v>0.65412072666666643</v>
      </c>
      <c r="L16" s="651">
        <f t="shared" si="3"/>
        <v>0.41088398952138738</v>
      </c>
      <c r="M16" s="651">
        <f t="shared" si="3"/>
        <v>0</v>
      </c>
      <c r="N16" s="651">
        <f t="shared" si="3"/>
        <v>0</v>
      </c>
      <c r="O16" s="651">
        <f t="shared" si="3"/>
        <v>0.8137968421765942</v>
      </c>
      <c r="P16" s="651">
        <f t="shared" si="3"/>
        <v>0</v>
      </c>
    </row>
    <row r="17" spans="1:16" ht="7.5" customHeight="1"/>
    <row r="18" spans="1:16">
      <c r="A18" s="644" t="s">
        <v>926</v>
      </c>
    </row>
    <row r="19" spans="1:16">
      <c r="B19" s="467" t="s">
        <v>802</v>
      </c>
      <c r="C19" s="647">
        <f>'12 years sales &amp; PL forecast'!I68/1000</f>
        <v>295395.48197999998</v>
      </c>
      <c r="D19" s="647">
        <f>'12 years sales &amp; PL forecast'!J68/1000</f>
        <v>315896.07718000002</v>
      </c>
      <c r="E19" s="647">
        <f>'12 years sales &amp; PL forecast'!K68/1000</f>
        <v>319787.66125999996</v>
      </c>
      <c r="F19" s="647">
        <f>'12 years sales &amp; PL forecast'!L68/1000</f>
        <v>268809.81451999996</v>
      </c>
      <c r="G19" s="647">
        <f>'12 years sales &amp; PL forecast'!M68/1000</f>
        <v>113620.32733</v>
      </c>
      <c r="H19" s="647">
        <f>'12 years sales &amp; PL forecast'!N68/1000</f>
        <v>223205.41331</v>
      </c>
      <c r="I19" s="647">
        <f>'12 years sales &amp; PL forecast'!O68/1000</f>
        <v>186643.64892051477</v>
      </c>
      <c r="J19" s="647">
        <f>'12 years sales &amp; PL forecast'!P68/1000</f>
        <v>197031.74121279854</v>
      </c>
      <c r="K19" s="647">
        <f>'12 years sales &amp; PL forecast'!Q68/1000</f>
        <v>243605.88534575253</v>
      </c>
      <c r="L19" s="647">
        <f>'12 years sales &amp; PL forecast'!R68/1000</f>
        <v>279451.61401633563</v>
      </c>
      <c r="M19" s="647">
        <f>'12 years sales &amp; PL forecast'!S68/1000</f>
        <v>301957.93831673905</v>
      </c>
      <c r="N19" s="647">
        <f>'12 years sales &amp; PL forecast'!T68/1000</f>
        <v>322857.14025552856</v>
      </c>
      <c r="O19" s="647">
        <f>'12 years sales &amp; PL forecast'!U68/1000</f>
        <v>347229.70578097156</v>
      </c>
      <c r="P19" s="647">
        <f>'12 years sales &amp; PL forecast'!V68/1000</f>
        <v>356712.1055132114</v>
      </c>
    </row>
    <row r="20" spans="1:16">
      <c r="B20" s="467" t="s">
        <v>713</v>
      </c>
      <c r="C20" s="647">
        <f>'12 years sales &amp; PL forecast'!I69/1000</f>
        <v>122008.67404000001</v>
      </c>
      <c r="D20" s="647">
        <f>'12 years sales &amp; PL forecast'!J69/1000</f>
        <v>145329.01465999999</v>
      </c>
      <c r="E20" s="647">
        <f>'12 years sales &amp; PL forecast'!K69/1000</f>
        <v>174894.84694000002</v>
      </c>
      <c r="F20" s="647">
        <f>'12 years sales &amp; PL forecast'!L69/1000</f>
        <v>215975.64095999999</v>
      </c>
      <c r="G20" s="647">
        <f>'12 years sales &amp; PL forecast'!M69/1000</f>
        <v>149369.22343000001</v>
      </c>
      <c r="H20" s="647">
        <f>'12 years sales &amp; PL forecast'!N69/1000</f>
        <v>144055.70144999999</v>
      </c>
      <c r="I20" s="647">
        <f>'12 years sales &amp; PL forecast'!O69/1000</f>
        <v>217007.52347903993</v>
      </c>
      <c r="J20" s="647">
        <f>'12 years sales &amp; PL forecast'!P69/1000</f>
        <v>222221.77390754642</v>
      </c>
      <c r="K20" s="647">
        <f>'12 years sales &amp; PL forecast'!Q69/1000</f>
        <v>248128.41499744981</v>
      </c>
      <c r="L20" s="647">
        <f>'12 years sales &amp; PL forecast'!R69/1000</f>
        <v>294753.52917130309</v>
      </c>
      <c r="M20" s="647">
        <f>'12 years sales &amp; PL forecast'!S69/1000</f>
        <v>317549.64561803994</v>
      </c>
      <c r="N20" s="647">
        <f>'12 years sales &amp; PL forecast'!T69/1000</f>
        <v>352081.48365704663</v>
      </c>
      <c r="O20" s="647">
        <f>'12 years sales &amp; PL forecast'!U69/1000</f>
        <v>414226.90077136498</v>
      </c>
      <c r="P20" s="647">
        <f>'12 years sales &amp; PL forecast'!V69/1000</f>
        <v>488316.94027693296</v>
      </c>
    </row>
    <row r="21" spans="1:16">
      <c r="B21" s="467" t="s">
        <v>714</v>
      </c>
      <c r="C21" s="647">
        <f>'12 years sales &amp; PL forecast'!I70/1000</f>
        <v>3693.2166200000001</v>
      </c>
      <c r="D21" s="647">
        <f>'12 years sales &amp; PL forecast'!J70/1000</f>
        <v>3395.6601199999996</v>
      </c>
      <c r="E21" s="647">
        <f>'12 years sales &amp; PL forecast'!K70/1000</f>
        <v>5688.4089199999999</v>
      </c>
      <c r="F21" s="647">
        <f>'12 years sales &amp; PL forecast'!L70/1000</f>
        <v>4225.4134899999999</v>
      </c>
      <c r="G21" s="647">
        <f>'12 years sales &amp; PL forecast'!M70/1000</f>
        <v>2481.18109</v>
      </c>
      <c r="H21" s="647">
        <f>'12 years sales &amp; PL forecast'!N70/1000</f>
        <v>0</v>
      </c>
      <c r="I21" s="647">
        <f>'12 years sales &amp; PL forecast'!O70/1000</f>
        <v>1500</v>
      </c>
      <c r="J21" s="647">
        <f>'12 years sales &amp; PL forecast'!P70/1000</f>
        <v>1530</v>
      </c>
      <c r="K21" s="647">
        <f>'12 years sales &amp; PL forecast'!Q70/1000</f>
        <v>2581.4208060360006</v>
      </c>
      <c r="L21" s="647">
        <f>'12 years sales &amp; PL forecast'!R70/1000</f>
        <v>3714.9269911626607</v>
      </c>
      <c r="M21" s="647">
        <f>'12 years sales &amp; PL forecast'!S70/1000</f>
        <v>3789.2255309859142</v>
      </c>
      <c r="N21" s="647">
        <f>'12 years sales &amp; PL forecast'!T70/1000</f>
        <v>3865.010041605633</v>
      </c>
      <c r="O21" s="647">
        <f>'12 years sales &amp; PL forecast'!U70/1000</f>
        <v>7150.5498686140236</v>
      </c>
      <c r="P21" s="647">
        <f>'12 years sales &amp; PL forecast'!V70/1000</f>
        <v>7293.5608659863037</v>
      </c>
    </row>
    <row r="22" spans="1:16">
      <c r="B22" s="467" t="s">
        <v>91</v>
      </c>
      <c r="C22" s="647">
        <f>'12 years sales &amp; PL forecast'!I71/1000</f>
        <v>-24.275320000000001</v>
      </c>
      <c r="D22" s="647">
        <f>'12 years sales &amp; PL forecast'!J71/1000</f>
        <v>-1.153570000000004</v>
      </c>
      <c r="E22" s="647">
        <f>'12 years sales &amp; PL forecast'!K71/1000</f>
        <v>0</v>
      </c>
      <c r="F22" s="647">
        <f>'12 years sales &amp; PL forecast'!L71/1000</f>
        <v>8540.5783300000003</v>
      </c>
      <c r="G22" s="647">
        <f>'12 years sales &amp; PL forecast'!M71/1000</f>
        <v>8315.6909699999997</v>
      </c>
      <c r="H22" s="647">
        <f>'12 years sales &amp; PL forecast'!N71/1000</f>
        <v>12952.808569999999</v>
      </c>
      <c r="I22" s="647">
        <f>'12 years sales &amp; PL forecast'!O71/1000</f>
        <v>12005.464572973959</v>
      </c>
      <c r="J22" s="647">
        <f>'12 years sales &amp; PL forecast'!P71/1000</f>
        <v>17939.947997162697</v>
      </c>
      <c r="K22" s="647">
        <f>'12 years sales &amp; PL forecast'!Q71/1000</f>
        <v>20430.025377612827</v>
      </c>
      <c r="L22" s="647">
        <f>'12 years sales &amp; PL forecast'!R71/1000</f>
        <v>21988.398900118635</v>
      </c>
      <c r="M22" s="647">
        <f>'12 years sales &amp; PL forecast'!S71/1000</f>
        <v>23517.173222744455</v>
      </c>
      <c r="N22" s="647">
        <f>'12 years sales &amp; PL forecast'!T71/1000</f>
        <v>24726.377676732609</v>
      </c>
      <c r="O22" s="647">
        <f>'12 years sales &amp; PL forecast'!U71/1000</f>
        <v>25631.93211906034</v>
      </c>
      <c r="P22" s="647">
        <f>'12 years sales &amp; PL forecast'!V71/1000</f>
        <v>26549.830922055004</v>
      </c>
    </row>
    <row r="23" spans="1:16">
      <c r="B23" s="467" t="s">
        <v>25</v>
      </c>
      <c r="C23" s="647">
        <f>'12 years sales &amp; PL forecast'!I72/1000</f>
        <v>11176.401240000001</v>
      </c>
      <c r="D23" s="647">
        <f>'12 years sales &amp; PL forecast'!J72/1000</f>
        <v>13014.528859999999</v>
      </c>
      <c r="E23" s="647">
        <f>'12 years sales &amp; PL forecast'!K72/1000</f>
        <v>13183.83884</v>
      </c>
      <c r="F23" s="647">
        <f>'12 years sales &amp; PL forecast'!L72/1000</f>
        <v>14135.696440000002</v>
      </c>
      <c r="G23" s="647">
        <f>'12 years sales &amp; PL forecast'!M72/1000</f>
        <v>11129.09008</v>
      </c>
      <c r="H23" s="647">
        <f>'12 years sales &amp; PL forecast'!N72/1000</f>
        <v>14649.804259999999</v>
      </c>
      <c r="I23" s="647">
        <f>'12 years sales &amp; PL forecast'!O72/1000</f>
        <v>17138.12</v>
      </c>
      <c r="J23" s="647">
        <f>'12 years sales &amp; PL forecast'!P72/1000</f>
        <v>18509.169600000001</v>
      </c>
      <c r="K23" s="647">
        <f>'12 years sales &amp; PL forecast'!Q72/1000</f>
        <v>19989.903168000001</v>
      </c>
      <c r="L23" s="647">
        <f>'12 years sales &amp; PL forecast'!R72/1000</f>
        <v>21589.095421440001</v>
      </c>
      <c r="M23" s="647">
        <f>'12 years sales &amp; PL forecast'!S72/1000</f>
        <v>23316.223055155202</v>
      </c>
      <c r="N23" s="647">
        <f>'12 years sales &amp; PL forecast'!T72/1000</f>
        <v>25181.520899567618</v>
      </c>
      <c r="O23" s="647">
        <f>'12 years sales &amp; PL forecast'!U72/1000</f>
        <v>27196.042571533031</v>
      </c>
      <c r="P23" s="647">
        <f>'12 years sales &amp; PL forecast'!V72/1000</f>
        <v>29371.725977255675</v>
      </c>
    </row>
    <row r="24" spans="1:16">
      <c r="B24" s="467" t="s">
        <v>54</v>
      </c>
      <c r="C24" s="648">
        <f>SUM(C19:C23)</f>
        <v>432249.49855999998</v>
      </c>
      <c r="D24" s="648">
        <f>SUM(D19:D23)</f>
        <v>477634.12725000002</v>
      </c>
      <c r="E24" s="648">
        <f>SUM(E19:E23)</f>
        <v>513554.75595999998</v>
      </c>
      <c r="F24" s="648">
        <f>SUM(F19:F23)</f>
        <v>511687.14373999997</v>
      </c>
      <c r="G24" s="648">
        <f t="shared" ref="G24:P24" si="4">SUM(G19:G23)</f>
        <v>284915.51290000003</v>
      </c>
      <c r="H24" s="648">
        <f t="shared" si="4"/>
        <v>394863.72759000002</v>
      </c>
      <c r="I24" s="648">
        <f t="shared" si="4"/>
        <v>434294.75697252864</v>
      </c>
      <c r="J24" s="648">
        <f t="shared" si="4"/>
        <v>457232.63271750766</v>
      </c>
      <c r="K24" s="648">
        <f t="shared" si="4"/>
        <v>534735.64969485113</v>
      </c>
      <c r="L24" s="648">
        <f t="shared" si="4"/>
        <v>621497.56450036005</v>
      </c>
      <c r="M24" s="648">
        <f t="shared" si="4"/>
        <v>670130.20574366464</v>
      </c>
      <c r="N24" s="648">
        <f t="shared" si="4"/>
        <v>728711.53253048111</v>
      </c>
      <c r="O24" s="648">
        <f t="shared" si="4"/>
        <v>821435.13111154397</v>
      </c>
      <c r="P24" s="648">
        <f t="shared" si="4"/>
        <v>908244.16355544142</v>
      </c>
    </row>
    <row r="25" spans="1:16">
      <c r="B25" s="649"/>
      <c r="C25" s="650"/>
      <c r="D25" s="651">
        <f>D24/C24-1</f>
        <v>0.10499637094130776</v>
      </c>
      <c r="E25" s="651">
        <f t="shared" ref="E25:P25" si="5">E24/D24-1</f>
        <v>7.5205322778785888E-2</v>
      </c>
      <c r="F25" s="651">
        <f t="shared" si="5"/>
        <v>-3.6366369862719239E-3</v>
      </c>
      <c r="G25" s="651">
        <f t="shared" si="5"/>
        <v>-0.44318414799811312</v>
      </c>
      <c r="H25" s="651">
        <f t="shared" si="5"/>
        <v>0.38589760722712829</v>
      </c>
      <c r="I25" s="651">
        <f t="shared" si="5"/>
        <v>9.985984183249963E-2</v>
      </c>
      <c r="J25" s="651">
        <f t="shared" si="5"/>
        <v>5.2816377303007478E-2</v>
      </c>
      <c r="K25" s="651">
        <f t="shared" si="5"/>
        <v>0.16950456164231653</v>
      </c>
      <c r="L25" s="651">
        <f t="shared" si="5"/>
        <v>0.16225197413903469</v>
      </c>
      <c r="M25" s="651">
        <f t="shared" si="5"/>
        <v>7.8250735032890706E-2</v>
      </c>
      <c r="N25" s="651">
        <f t="shared" si="5"/>
        <v>8.7417827587411789E-2</v>
      </c>
      <c r="O25" s="651">
        <f t="shared" si="5"/>
        <v>0.12724321551365647</v>
      </c>
      <c r="P25" s="651">
        <f t="shared" si="5"/>
        <v>0.10567971730942372</v>
      </c>
    </row>
    <row r="26" spans="1:16" ht="7.5" customHeight="1">
      <c r="C26" s="647"/>
      <c r="D26" s="647"/>
      <c r="E26" s="647"/>
      <c r="F26" s="647"/>
      <c r="G26" s="647"/>
      <c r="H26" s="647"/>
      <c r="I26" s="647"/>
      <c r="J26" s="647"/>
      <c r="K26" s="647"/>
      <c r="L26" s="647"/>
      <c r="M26" s="647"/>
      <c r="N26" s="647"/>
      <c r="O26" s="647"/>
      <c r="P26" s="647"/>
    </row>
    <row r="27" spans="1:16">
      <c r="A27" s="644" t="s">
        <v>814</v>
      </c>
      <c r="C27" s="647">
        <f>'12 years sales &amp; PL forecast'!I81/1000</f>
        <v>77718.236216216261</v>
      </c>
      <c r="D27" s="647">
        <f>'12 years sales &amp; PL forecast'!J81/1000</f>
        <v>83861.512741599989</v>
      </c>
      <c r="E27" s="647">
        <f>'12 years sales &amp; PL forecast'!K81/1000</f>
        <v>82824.334840825803</v>
      </c>
      <c r="F27" s="647">
        <f>'12 years sales &amp; PL forecast'!L81/1000</f>
        <v>89633.22793239163</v>
      </c>
      <c r="G27" s="647">
        <f>'12 years sales &amp; PL forecast'!M81/1000</f>
        <v>59603.024924068108</v>
      </c>
      <c r="H27" s="647">
        <f>'12 years sales &amp; PL forecast'!N81/1000</f>
        <v>83463.411905410379</v>
      </c>
      <c r="I27" s="647">
        <f>'12 years sales &amp; PL forecast'!O81/1000</f>
        <v>81481.310965379074</v>
      </c>
      <c r="J27" s="647">
        <f>'12 years sales &amp; PL forecast'!P81/1000</f>
        <v>109224.13928336723</v>
      </c>
      <c r="K27" s="647">
        <f>'12 years sales &amp; PL forecast'!Q81/1000</f>
        <v>130047.92065094472</v>
      </c>
      <c r="L27" s="647">
        <f>'12 years sales &amp; PL forecast'!R81/1000</f>
        <v>189241.53916756553</v>
      </c>
      <c r="M27" s="647">
        <f>'12 years sales &amp; PL forecast'!S81/1000</f>
        <v>222282.04766309724</v>
      </c>
      <c r="N27" s="647">
        <f>'12 years sales &amp; PL forecast'!T81/1000</f>
        <v>231504.6146425246</v>
      </c>
      <c r="O27" s="647">
        <f>'12 years sales &amp; PL forecast'!U81/1000</f>
        <v>249057.55387564006</v>
      </c>
      <c r="P27" s="647">
        <f>'12 years sales &amp; PL forecast'!V81/1000</f>
        <v>262619.52577847545</v>
      </c>
    </row>
    <row r="28" spans="1:16" ht="9" customHeight="1">
      <c r="C28" s="647"/>
      <c r="D28" s="647"/>
      <c r="E28" s="647"/>
      <c r="F28" s="647"/>
      <c r="G28" s="647"/>
      <c r="H28" s="647"/>
      <c r="I28" s="647"/>
      <c r="J28" s="647"/>
      <c r="K28" s="647"/>
      <c r="L28" s="647"/>
      <c r="M28" s="647"/>
      <c r="N28" s="647"/>
      <c r="O28" s="647"/>
      <c r="P28" s="647"/>
    </row>
    <row r="29" spans="1:16" s="652" customFormat="1">
      <c r="A29" s="652" t="s">
        <v>849</v>
      </c>
      <c r="C29" s="653">
        <f>C24-C27</f>
        <v>354531.26234378375</v>
      </c>
      <c r="D29" s="653">
        <f>D24-D27</f>
        <v>393772.61450840003</v>
      </c>
      <c r="E29" s="653">
        <f t="shared" ref="E29:O29" si="6">E24-E27</f>
        <v>430730.42111917416</v>
      </c>
      <c r="F29" s="653">
        <f t="shared" si="6"/>
        <v>422053.91580760834</v>
      </c>
      <c r="G29" s="653">
        <f t="shared" si="6"/>
        <v>225312.48797593193</v>
      </c>
      <c r="H29" s="653">
        <f t="shared" si="6"/>
        <v>311400.31568458967</v>
      </c>
      <c r="I29" s="653">
        <f t="shared" si="6"/>
        <v>352813.44600714959</v>
      </c>
      <c r="J29" s="653">
        <f t="shared" si="6"/>
        <v>348008.49343414046</v>
      </c>
      <c r="K29" s="653">
        <f t="shared" si="6"/>
        <v>404687.72904390644</v>
      </c>
      <c r="L29" s="653">
        <f t="shared" si="6"/>
        <v>432256.02533279452</v>
      </c>
      <c r="M29" s="653">
        <f t="shared" si="6"/>
        <v>447848.15808056737</v>
      </c>
      <c r="N29" s="653">
        <f t="shared" si="6"/>
        <v>497206.91788795649</v>
      </c>
      <c r="O29" s="653">
        <f t="shared" si="6"/>
        <v>572377.57723590394</v>
      </c>
      <c r="P29" s="653">
        <f>P24-P27</f>
        <v>645624.63777696597</v>
      </c>
    </row>
    <row r="30" spans="1:16">
      <c r="B30" s="649"/>
      <c r="C30" s="650"/>
      <c r="D30" s="651">
        <f t="shared" ref="D30:P30" si="7">D29/C29-1</f>
        <v>0.11068516752286994</v>
      </c>
      <c r="E30" s="651">
        <f t="shared" si="7"/>
        <v>9.3855705676519907E-2</v>
      </c>
      <c r="F30" s="651">
        <f t="shared" si="7"/>
        <v>-2.0143702153707865E-2</v>
      </c>
      <c r="G30" s="651">
        <f t="shared" si="7"/>
        <v>-0.4661523574664812</v>
      </c>
      <c r="H30" s="651">
        <f t="shared" si="7"/>
        <v>0.38208191868110619</v>
      </c>
      <c r="I30" s="651">
        <f t="shared" si="7"/>
        <v>0.13299000751337164</v>
      </c>
      <c r="J30" s="651">
        <f t="shared" si="7"/>
        <v>-1.3618961032771271E-2</v>
      </c>
      <c r="K30" s="651">
        <f t="shared" si="7"/>
        <v>0.16286739168477316</v>
      </c>
      <c r="L30" s="651">
        <f t="shared" si="7"/>
        <v>6.8122392428402678E-2</v>
      </c>
      <c r="M30" s="651">
        <f t="shared" si="7"/>
        <v>3.6071522047074867E-2</v>
      </c>
      <c r="N30" s="651">
        <f t="shared" si="7"/>
        <v>0.11021315800189035</v>
      </c>
      <c r="O30" s="651">
        <f t="shared" si="7"/>
        <v>0.15118586778168441</v>
      </c>
      <c r="P30" s="651">
        <f t="shared" si="7"/>
        <v>0.12796982875322072</v>
      </c>
    </row>
    <row r="31" spans="1:16" ht="15.75" thickBot="1">
      <c r="B31" s="649"/>
      <c r="C31" s="650"/>
      <c r="D31" s="651"/>
      <c r="E31" s="651"/>
      <c r="F31" s="651"/>
      <c r="G31" s="651"/>
      <c r="H31" s="651"/>
      <c r="I31" s="651"/>
      <c r="J31" s="651"/>
      <c r="K31" s="651"/>
      <c r="L31" s="651"/>
      <c r="M31" s="651"/>
      <c r="N31" s="651"/>
      <c r="O31" s="651"/>
      <c r="P31" s="651"/>
    </row>
    <row r="32" spans="1:16" s="659" customFormat="1" ht="11.25" customHeight="1"/>
    <row r="33" spans="1:16">
      <c r="A33" s="658" t="s">
        <v>283</v>
      </c>
      <c r="B33" s="649"/>
      <c r="C33" s="646" t="str">
        <f>C4</f>
        <v>Actual</v>
      </c>
      <c r="D33" s="646" t="str">
        <f t="shared" ref="D33:P33" si="8">D4</f>
        <v>Actual</v>
      </c>
      <c r="E33" s="646" t="str">
        <f t="shared" si="8"/>
        <v>Actual</v>
      </c>
      <c r="F33" s="646" t="str">
        <f t="shared" si="8"/>
        <v>Actual</v>
      </c>
      <c r="G33" s="646" t="str">
        <f t="shared" si="8"/>
        <v>Actual</v>
      </c>
      <c r="H33" s="646" t="str">
        <f t="shared" si="8"/>
        <v>Forecast</v>
      </c>
      <c r="I33" s="646" t="str">
        <f t="shared" si="8"/>
        <v>Forecast</v>
      </c>
      <c r="J33" s="646" t="str">
        <f t="shared" si="8"/>
        <v>Forecast</v>
      </c>
      <c r="K33" s="646" t="str">
        <f t="shared" si="8"/>
        <v>Forecast</v>
      </c>
      <c r="L33" s="646" t="str">
        <f t="shared" si="8"/>
        <v>Forecast</v>
      </c>
      <c r="M33" s="646" t="str">
        <f t="shared" si="8"/>
        <v>Forecast</v>
      </c>
      <c r="N33" s="646" t="str">
        <f t="shared" si="8"/>
        <v>Forecast</v>
      </c>
      <c r="O33" s="646" t="str">
        <f t="shared" si="8"/>
        <v>Forecast</v>
      </c>
      <c r="P33" s="646" t="str">
        <f t="shared" si="8"/>
        <v>Forecast</v>
      </c>
    </row>
    <row r="34" spans="1:16">
      <c r="B34" s="649"/>
      <c r="C34" s="646" t="str">
        <f>C5</f>
        <v>2016-17</v>
      </c>
      <c r="D34" s="646" t="str">
        <f t="shared" ref="D34:P34" si="9">D5</f>
        <v>2017-18</v>
      </c>
      <c r="E34" s="646" t="str">
        <f t="shared" si="9"/>
        <v>2018-19</v>
      </c>
      <c r="F34" s="646" t="str">
        <f t="shared" si="9"/>
        <v>2019-20</v>
      </c>
      <c r="G34" s="646" t="str">
        <f t="shared" si="9"/>
        <v>2020-21</v>
      </c>
      <c r="H34" s="646" t="str">
        <f t="shared" si="9"/>
        <v>2021-22</v>
      </c>
      <c r="I34" s="646" t="str">
        <f t="shared" si="9"/>
        <v>2022-23</v>
      </c>
      <c r="J34" s="646" t="str">
        <f t="shared" si="9"/>
        <v>2023-24</v>
      </c>
      <c r="K34" s="646" t="str">
        <f t="shared" si="9"/>
        <v>2024-25</v>
      </c>
      <c r="L34" s="646" t="str">
        <f t="shared" si="9"/>
        <v>2025-26</v>
      </c>
      <c r="M34" s="646" t="str">
        <f t="shared" si="9"/>
        <v>2026-27</v>
      </c>
      <c r="N34" s="646" t="str">
        <f t="shared" si="9"/>
        <v>2027-28</v>
      </c>
      <c r="O34" s="646" t="str">
        <f t="shared" si="9"/>
        <v>2028-29</v>
      </c>
      <c r="P34" s="646" t="str">
        <f t="shared" si="9"/>
        <v>2029-30</v>
      </c>
    </row>
    <row r="35" spans="1:16" s="1515" customFormat="1" ht="11.25" customHeight="1"/>
    <row r="36" spans="1:16" s="652" customFormat="1">
      <c r="A36" s="652" t="s">
        <v>849</v>
      </c>
      <c r="C36" s="653">
        <f>C24-C27</f>
        <v>354531.26234378375</v>
      </c>
      <c r="D36" s="653">
        <f t="shared" ref="D36:P36" si="10">D24-D27</f>
        <v>393772.61450840003</v>
      </c>
      <c r="E36" s="653">
        <f t="shared" si="10"/>
        <v>430730.42111917416</v>
      </c>
      <c r="F36" s="653">
        <f t="shared" si="10"/>
        <v>422053.91580760834</v>
      </c>
      <c r="G36" s="653">
        <f t="shared" si="10"/>
        <v>225312.48797593193</v>
      </c>
      <c r="H36" s="653">
        <f t="shared" si="10"/>
        <v>311400.31568458967</v>
      </c>
      <c r="I36" s="653">
        <f t="shared" si="10"/>
        <v>352813.44600714959</v>
      </c>
      <c r="J36" s="653">
        <f t="shared" si="10"/>
        <v>348008.49343414046</v>
      </c>
      <c r="K36" s="653">
        <f t="shared" si="10"/>
        <v>404687.72904390644</v>
      </c>
      <c r="L36" s="653">
        <f t="shared" si="10"/>
        <v>432256.02533279452</v>
      </c>
      <c r="M36" s="653">
        <f t="shared" si="10"/>
        <v>447848.15808056737</v>
      </c>
      <c r="N36" s="653">
        <f t="shared" si="10"/>
        <v>497206.91788795649</v>
      </c>
      <c r="O36" s="653">
        <f t="shared" si="10"/>
        <v>572377.57723590394</v>
      </c>
      <c r="P36" s="653">
        <f t="shared" si="10"/>
        <v>645624.63777696597</v>
      </c>
    </row>
    <row r="37" spans="1:16">
      <c r="B37" s="649"/>
      <c r="C37" s="650"/>
      <c r="D37" s="651">
        <f t="shared" ref="D37" si="11">D36/C36-1</f>
        <v>0.11068516752286994</v>
      </c>
      <c r="E37" s="651">
        <f t="shared" ref="E37" si="12">E36/D36-1</f>
        <v>9.3855705676519907E-2</v>
      </c>
      <c r="F37" s="651">
        <f t="shared" ref="F37" si="13">F36/E36-1</f>
        <v>-2.0143702153707865E-2</v>
      </c>
      <c r="G37" s="651">
        <f t="shared" ref="G37" si="14">G36/F36-1</f>
        <v>-0.4661523574664812</v>
      </c>
      <c r="H37" s="651">
        <f t="shared" ref="H37" si="15">H36/G36-1</f>
        <v>0.38208191868110619</v>
      </c>
      <c r="I37" s="651">
        <f t="shared" ref="I37" si="16">I36/H36-1</f>
        <v>0.13299000751337164</v>
      </c>
      <c r="J37" s="651">
        <f t="shared" ref="J37" si="17">J36/I36-1</f>
        <v>-1.3618961032771271E-2</v>
      </c>
      <c r="K37" s="651">
        <f t="shared" ref="K37" si="18">K36/J36-1</f>
        <v>0.16286739168477316</v>
      </c>
      <c r="L37" s="651">
        <f t="shared" ref="L37" si="19">L36/K36-1</f>
        <v>6.8122392428402678E-2</v>
      </c>
      <c r="M37" s="651">
        <f t="shared" ref="M37" si="20">M36/L36-1</f>
        <v>3.6071522047074867E-2</v>
      </c>
      <c r="N37" s="651">
        <f t="shared" ref="N37" si="21">N36/M36-1</f>
        <v>0.11021315800189035</v>
      </c>
      <c r="O37" s="651">
        <f t="shared" ref="O37" si="22">O36/N36-1</f>
        <v>0.15118586778168441</v>
      </c>
      <c r="P37" s="651">
        <f t="shared" ref="P37" si="23">P36/O36-1</f>
        <v>0.12796982875322072</v>
      </c>
    </row>
    <row r="38" spans="1:16" ht="9.75" customHeight="1">
      <c r="B38" s="649"/>
      <c r="C38" s="151"/>
      <c r="D38" s="151"/>
      <c r="E38" s="151"/>
      <c r="F38" s="151"/>
      <c r="G38" s="151"/>
      <c r="H38" s="151"/>
      <c r="I38" s="151"/>
      <c r="J38" s="151"/>
      <c r="K38" s="151"/>
      <c r="L38" s="151"/>
      <c r="M38" s="151"/>
      <c r="N38" s="151"/>
      <c r="O38" s="151"/>
      <c r="P38" s="151"/>
    </row>
    <row r="39" spans="1:16" s="644" customFormat="1">
      <c r="A39" s="644" t="s">
        <v>850</v>
      </c>
      <c r="B39" s="467"/>
    </row>
    <row r="40" spans="1:16" s="644" customFormat="1">
      <c r="B40" s="467" t="s">
        <v>1646</v>
      </c>
      <c r="C40" s="741">
        <f>SUM('12 years sales &amp; PL forecast'!I39:I42)/1000</f>
        <v>56001.85325</v>
      </c>
      <c r="D40" s="741">
        <f>SUM('12 years sales &amp; PL forecast'!J39:J42)/1000</f>
        <v>59616.341409999994</v>
      </c>
      <c r="E40" s="741">
        <f>SUM('12 years sales &amp; PL forecast'!K39:K42)/1000</f>
        <v>61129.790740000004</v>
      </c>
      <c r="F40" s="741">
        <f>SUM('12 years sales &amp; PL forecast'!L39:L42)/1000</f>
        <v>65909.038690000016</v>
      </c>
      <c r="G40" s="741">
        <f>SUM('12 years sales &amp; PL forecast'!M39:M42)/1000</f>
        <v>31017.563719999998</v>
      </c>
      <c r="H40" s="741">
        <f>SUM('12 years sales &amp; PL forecast'!N39:N42)/1000</f>
        <v>51856.84193000001</v>
      </c>
      <c r="I40" s="741">
        <f>SUM('12 years sales &amp; PL forecast'!O39:O42)/1000</f>
        <v>46778.196525514802</v>
      </c>
      <c r="J40" s="741">
        <f>SUM('12 years sales &amp; PL forecast'!P39:P42)/1000</f>
        <v>48123.279490793684</v>
      </c>
      <c r="K40" s="741">
        <f>SUM('12 years sales &amp; PL forecast'!Q39:Q42)/1000</f>
        <v>51513.293059499098</v>
      </c>
      <c r="L40" s="741">
        <f>SUM('12 years sales &amp; PL forecast'!R39:R42)/1000</f>
        <v>55249.123062999781</v>
      </c>
      <c r="M40" s="741">
        <f>SUM('12 years sales &amp; PL forecast'!S39:S42)/1000</f>
        <v>57131.102612301162</v>
      </c>
      <c r="N40" s="741">
        <f>SUM('12 years sales &amp; PL forecast'!T39:T42)/1000</f>
        <v>60036.655327377484</v>
      </c>
      <c r="O40" s="741">
        <f>SUM('12 years sales &amp; PL forecast'!U39:U42)/1000</f>
        <v>63220.3244348562</v>
      </c>
      <c r="P40" s="741">
        <f>SUM('12 years sales &amp; PL forecast'!V39:V42)/1000</f>
        <v>58259.669498591473</v>
      </c>
    </row>
    <row r="41" spans="1:16" s="644" customFormat="1">
      <c r="B41" s="467" t="s">
        <v>713</v>
      </c>
      <c r="C41" s="741">
        <f>'12 years sales &amp; PL forecast'!I43/1000</f>
        <v>84619.006999999998</v>
      </c>
      <c r="D41" s="741">
        <f>'12 years sales &amp; PL forecast'!J43/1000</f>
        <v>92734.579870000001</v>
      </c>
      <c r="E41" s="741">
        <f>'12 years sales &amp; PL forecast'!K43/1000</f>
        <v>116792.13949</v>
      </c>
      <c r="F41" s="741">
        <f>'12 years sales &amp; PL forecast'!L43/1000</f>
        <v>143163.82628000004</v>
      </c>
      <c r="G41" s="741">
        <f>'12 years sales &amp; PL forecast'!M43/1000</f>
        <v>100085.96694000001</v>
      </c>
      <c r="H41" s="741">
        <f>'12 years sales &amp; PL forecast'!N43/1000</f>
        <v>95979.372350000005</v>
      </c>
      <c r="I41" s="741">
        <f>'12 years sales &amp; PL forecast'!O43/1000</f>
        <v>143875.98806660346</v>
      </c>
      <c r="J41" s="741">
        <f>'12 years sales &amp; PL forecast'!P43/1000</f>
        <v>147333.03610070329</v>
      </c>
      <c r="K41" s="741">
        <f>'12 years sales &amp; PL forecast'!Q43/1000</f>
        <v>164509.13914330924</v>
      </c>
      <c r="L41" s="741">
        <f>'12 years sales &amp; PL forecast'!R43/1000</f>
        <v>195421.58984057396</v>
      </c>
      <c r="M41" s="741">
        <f>'12 years sales &amp; PL forecast'!S43/1000</f>
        <v>210535.41504476051</v>
      </c>
      <c r="N41" s="741">
        <f>'12 years sales &amp; PL forecast'!T43/1000</f>
        <v>233430.02366462193</v>
      </c>
      <c r="O41" s="741">
        <f>'12 years sales &amp; PL forecast'!U43/1000</f>
        <v>274632.435211415</v>
      </c>
      <c r="P41" s="741">
        <f>'12 years sales &amp; PL forecast'!V43/1000</f>
        <v>323754.13140360662</v>
      </c>
    </row>
    <row r="42" spans="1:16" s="644" customFormat="1">
      <c r="B42" s="467" t="s">
        <v>54</v>
      </c>
      <c r="C42" s="648">
        <f>'12 years sales &amp; PL forecast'!I44/1000</f>
        <v>140620.86025</v>
      </c>
      <c r="D42" s="648">
        <f>'12 years sales &amp; PL forecast'!J44/1000</f>
        <v>152350.92128000001</v>
      </c>
      <c r="E42" s="648">
        <f>'12 years sales &amp; PL forecast'!K44/1000</f>
        <v>177921.93023</v>
      </c>
      <c r="F42" s="648">
        <f>'12 years sales &amp; PL forecast'!L44/1000</f>
        <v>209072.86497000002</v>
      </c>
      <c r="G42" s="648">
        <f>'12 years sales &amp; PL forecast'!M44/1000</f>
        <v>131103.53066000002</v>
      </c>
      <c r="H42" s="648">
        <f>'12 years sales &amp; PL forecast'!N44/1000</f>
        <v>147836.21428000004</v>
      </c>
      <c r="I42" s="648">
        <f>'12 years sales &amp; PL forecast'!O44/1000</f>
        <v>190654.18459211825</v>
      </c>
      <c r="J42" s="648">
        <f>'12 years sales &amp; PL forecast'!P44/1000</f>
        <v>195456.31559149697</v>
      </c>
      <c r="K42" s="648">
        <f>'12 years sales &amp; PL forecast'!Q44/1000</f>
        <v>216022.43220280833</v>
      </c>
      <c r="L42" s="648">
        <f>'12 years sales &amp; PL forecast'!R44/1000</f>
        <v>250670.71290357376</v>
      </c>
      <c r="M42" s="648">
        <f>'12 years sales &amp; PL forecast'!S44/1000</f>
        <v>267666.51765706169</v>
      </c>
      <c r="N42" s="648">
        <f>'12 years sales &amp; PL forecast'!T44/1000</f>
        <v>293466.67899199936</v>
      </c>
      <c r="O42" s="648">
        <f>'12 years sales &amp; PL forecast'!U44/1000</f>
        <v>337852.75964627118</v>
      </c>
      <c r="P42" s="648">
        <f>'12 years sales &amp; PL forecast'!V44/1000</f>
        <v>382013.80090219807</v>
      </c>
    </row>
    <row r="43" spans="1:16" ht="8.25" customHeight="1">
      <c r="C43" s="647"/>
      <c r="D43" s="647"/>
      <c r="E43" s="647"/>
      <c r="F43" s="647"/>
      <c r="G43" s="647"/>
      <c r="H43" s="647"/>
      <c r="I43" s="647"/>
      <c r="J43" s="647"/>
      <c r="K43" s="647"/>
      <c r="L43" s="647"/>
      <c r="M43" s="647"/>
      <c r="N43" s="647"/>
      <c r="O43" s="647"/>
      <c r="P43" s="647"/>
    </row>
    <row r="44" spans="1:16" s="652" customFormat="1">
      <c r="A44" s="652" t="s">
        <v>851</v>
      </c>
      <c r="C44" s="654">
        <f t="shared" ref="C44:P44" si="24">C29-C42</f>
        <v>213910.40209378375</v>
      </c>
      <c r="D44" s="654">
        <f t="shared" si="24"/>
        <v>241421.69322840002</v>
      </c>
      <c r="E44" s="654">
        <f t="shared" si="24"/>
        <v>252808.49088917417</v>
      </c>
      <c r="F44" s="654">
        <f t="shared" si="24"/>
        <v>212981.05083760832</v>
      </c>
      <c r="G44" s="654">
        <f t="shared" si="24"/>
        <v>94208.957315931912</v>
      </c>
      <c r="H44" s="654">
        <f t="shared" si="24"/>
        <v>163564.10140458963</v>
      </c>
      <c r="I44" s="654">
        <f t="shared" si="24"/>
        <v>162159.26141503133</v>
      </c>
      <c r="J44" s="654">
        <f t="shared" si="24"/>
        <v>152552.17784264349</v>
      </c>
      <c r="K44" s="654">
        <f t="shared" si="24"/>
        <v>188665.29684109811</v>
      </c>
      <c r="L44" s="654">
        <f t="shared" si="24"/>
        <v>181585.31242922076</v>
      </c>
      <c r="M44" s="654">
        <f t="shared" si="24"/>
        <v>180181.64042350568</v>
      </c>
      <c r="N44" s="654">
        <f t="shared" si="24"/>
        <v>203740.23889595713</v>
      </c>
      <c r="O44" s="654">
        <f t="shared" si="24"/>
        <v>234524.81758963276</v>
      </c>
      <c r="P44" s="654">
        <f t="shared" si="24"/>
        <v>263610.83687476791</v>
      </c>
    </row>
    <row r="45" spans="1:16" ht="7.5" customHeight="1">
      <c r="B45" s="649"/>
      <c r="C45" s="650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</row>
    <row r="46" spans="1:16">
      <c r="A46" s="644" t="s">
        <v>858</v>
      </c>
      <c r="C46" s="647"/>
      <c r="D46" s="647"/>
      <c r="E46" s="647"/>
      <c r="F46" s="647"/>
      <c r="G46" s="647"/>
      <c r="H46" s="647"/>
      <c r="I46" s="647"/>
      <c r="J46" s="647"/>
      <c r="K46" s="647"/>
      <c r="L46" s="647"/>
      <c r="M46" s="647"/>
      <c r="N46" s="647"/>
      <c r="O46" s="647"/>
      <c r="P46" s="647"/>
    </row>
    <row r="47" spans="1:16">
      <c r="A47" s="644"/>
      <c r="B47" s="467" t="s">
        <v>852</v>
      </c>
      <c r="C47" s="647">
        <f>('12 years sales &amp; PL forecast'!I150+'12 years sales &amp; PL forecast'!I151+'12 years sales &amp; PL forecast'!I152+'12 years sales &amp; PL forecast'!I153)/1000</f>
        <v>54100.535000000003</v>
      </c>
      <c r="D47" s="647">
        <f>('12 years sales &amp; PL forecast'!J150+'12 years sales &amp; PL forecast'!J151+'12 years sales &amp; PL forecast'!J152+'12 years sales &amp; PL forecast'!J153)/1000</f>
        <v>64322.643140000007</v>
      </c>
      <c r="E47" s="647">
        <f>('12 years sales &amp; PL forecast'!K150+'12 years sales &amp; PL forecast'!K151+'12 years sales &amp; PL forecast'!K152+'12 years sales &amp; PL forecast'!K153)/1000</f>
        <v>65223.321469999995</v>
      </c>
      <c r="F47" s="647">
        <f>('12 years sales &amp; PL forecast'!L150+'12 years sales &amp; PL forecast'!L151+'12 years sales &amp; PL forecast'!L152+'12 years sales &amp; PL forecast'!L153)/1000</f>
        <v>64774.297660000011</v>
      </c>
      <c r="G47" s="647">
        <f>('12 years sales &amp; PL forecast'!M150+'12 years sales &amp; PL forecast'!M151+'12 years sales &amp; PL forecast'!M152+'12 years sales &amp; PL forecast'!M153)/1000</f>
        <v>51284.278495633247</v>
      </c>
      <c r="H47" s="647">
        <f>('12 years sales &amp; PL forecast'!N150+'12 years sales &amp; PL forecast'!N151+'12 years sales &amp; PL forecast'!N152+'12 years sales &amp; PL forecast'!N153)/1000</f>
        <v>51033.851049999997</v>
      </c>
      <c r="I47" s="647">
        <f>('12 years sales &amp; PL forecast'!O150+'12 years sales &amp; PL forecast'!O151+'12 years sales &amp; PL forecast'!O152+'12 years sales &amp; PL forecast'!O153)/1000</f>
        <v>57875.439054869319</v>
      </c>
      <c r="J47" s="647">
        <f>('12 years sales &amp; PL forecast'!P150+'12 years sales &amp; PL forecast'!P151+'12 years sales &amp; PL forecast'!P152+'12 years sales &amp; PL forecast'!P153)/1000</f>
        <v>69459.601076666673</v>
      </c>
      <c r="K47" s="647">
        <f>('12 years sales &amp; PL forecast'!Q150+'12 years sales &amp; PL forecast'!Q151+'12 years sales &amp; PL forecast'!Q152+'12 years sales &amp; PL forecast'!Q153)/1000</f>
        <v>71766.389039216665</v>
      </c>
      <c r="L47" s="647">
        <f>('12 years sales &amp; PL forecast'!R150+'12 years sales &amp; PL forecast'!R151+'12 years sales &amp; PL forecast'!R152+'12 years sales &amp; PL forecast'!R153)/1000</f>
        <v>73666.386160133654</v>
      </c>
      <c r="M47" s="647">
        <f>('12 years sales &amp; PL forecast'!S150+'12 years sales &amp; PL forecast'!S151+'12 years sales &amp; PL forecast'!S152+'12 years sales &amp; PL forecast'!S153)/1000</f>
        <v>75933.222668347691</v>
      </c>
      <c r="N47" s="647">
        <f>('12 years sales &amp; PL forecast'!T150+'12 years sales &amp; PL forecast'!T151+'12 years sales &amp; PL forecast'!T152+'12 years sales &amp; PL forecast'!T153)/1000</f>
        <v>78274.323225548607</v>
      </c>
      <c r="O47" s="647">
        <f>('12 years sales &amp; PL forecast'!U150+'12 years sales &amp; PL forecast'!U151+'12 years sales &amp; PL forecast'!U152+'12 years sales &amp; PL forecast'!U153)/1000</f>
        <v>80692.481293573102</v>
      </c>
      <c r="P47" s="647">
        <f>('12 years sales &amp; PL forecast'!V150+'12 years sales &amp; PL forecast'!V151+'12 years sales &amp; PL forecast'!V152+'12 years sales &amp; PL forecast'!V153)/1000</f>
        <v>83191.012477966215</v>
      </c>
    </row>
    <row r="48" spans="1:16">
      <c r="A48" s="644"/>
      <c r="B48" s="467" t="s">
        <v>1644</v>
      </c>
      <c r="C48" s="647">
        <f>'12 years sales &amp; PL forecast'!I154/1000</f>
        <v>12120.13</v>
      </c>
      <c r="D48" s="647">
        <f>'12 years sales &amp; PL forecast'!J154/1000</f>
        <v>12492.559640000003</v>
      </c>
      <c r="E48" s="647">
        <f>'12 years sales &amp; PL forecast'!K154/1000</f>
        <v>12829.456390000001</v>
      </c>
      <c r="F48" s="647">
        <f>('12 years sales &amp; PL forecast'!L154+'12 years sales &amp; PL forecast'!L155+'12 years sales &amp; PL forecast'!L156)/1000</f>
        <v>19038.056710000001</v>
      </c>
      <c r="G48" s="647">
        <f>('12 years sales &amp; PL forecast'!M154+'12 years sales &amp; PL forecast'!M155+'12 years sales &amp; PL forecast'!M156)/1000</f>
        <v>12787.291859999999</v>
      </c>
      <c r="H48" s="647">
        <f>('12 years sales &amp; PL forecast'!N154+'12 years sales &amp; PL forecast'!N155+'12 years sales &amp; PL forecast'!N156)/1000</f>
        <v>7963.6174199999996</v>
      </c>
      <c r="I48" s="647">
        <f>('12 years sales &amp; PL forecast'!O154+'12 years sales &amp; PL forecast'!O155+'12 years sales &amp; PL forecast'!O156)/1000</f>
        <v>13495.413919999999</v>
      </c>
      <c r="J48" s="647">
        <f>('12 years sales &amp; PL forecast'!P154+'12 years sales &amp; PL forecast'!P155+'12 years sales &amp; PL forecast'!P156)/1000</f>
        <v>12425.448616</v>
      </c>
      <c r="K48" s="647">
        <f>('12 years sales &amp; PL forecast'!Q154+'12 years sales &amp; PL forecast'!Q155+'12 years sales &amp; PL forecast'!Q156)/1000</f>
        <v>13046.721046800001</v>
      </c>
      <c r="L48" s="647">
        <f>('12 years sales &amp; PL forecast'!R154+'12 years sales &amp; PL forecast'!R155+'12 years sales &amp; PL forecast'!R156)/1000</f>
        <v>13699.05709914</v>
      </c>
      <c r="M48" s="647">
        <f>('12 years sales &amp; PL forecast'!S154+'12 years sales &amp; PL forecast'!S155+'12 years sales &amp; PL forecast'!S156)/1000</f>
        <v>14384.009954097002</v>
      </c>
      <c r="N48" s="647">
        <f>('12 years sales &amp; PL forecast'!T154+'12 years sales &amp; PL forecast'!T155+'12 years sales &amp; PL forecast'!T156)/1000</f>
        <v>15103.210451801851</v>
      </c>
      <c r="O48" s="647">
        <f>('12 years sales &amp; PL forecast'!U154+'12 years sales &amp; PL forecast'!U155+'12 years sales &amp; PL forecast'!U156)/1000</f>
        <v>15858.370974391944</v>
      </c>
      <c r="P48" s="647">
        <f>('12 years sales &amp; PL forecast'!V154+'12 years sales &amp; PL forecast'!V155+'12 years sales &amp; PL forecast'!V156)/1000</f>
        <v>16651.289523111544</v>
      </c>
    </row>
    <row r="49" spans="1:16">
      <c r="A49" s="644"/>
      <c r="B49" s="467" t="s">
        <v>326</v>
      </c>
      <c r="C49" s="647">
        <f>'12 years sales &amp; PL forecast'!I158/1000</f>
        <v>3830.41</v>
      </c>
      <c r="D49" s="647">
        <f>'12 years sales &amp; PL forecast'!J158/1000</f>
        <v>5729.272460000001</v>
      </c>
      <c r="E49" s="647">
        <f>'12 years sales &amp; PL forecast'!K158/1000</f>
        <v>5874.0739800000001</v>
      </c>
      <c r="F49" s="647">
        <f>'12 years sales &amp; PL forecast'!L158/1000</f>
        <v>9384.7024600000004</v>
      </c>
      <c r="G49" s="647">
        <f>'12 years sales &amp; PL forecast'!M158/1000</f>
        <v>9822.0161733333316</v>
      </c>
      <c r="H49" s="647">
        <f>'12 years sales &amp; PL forecast'!N158/1000</f>
        <v>9348.7826100000002</v>
      </c>
      <c r="I49" s="647">
        <f>'12 years sales &amp; PL forecast'!O158/1000</f>
        <v>24687.787489999999</v>
      </c>
      <c r="J49" s="647">
        <f>'12 years sales &amp; PL forecast'!P158/1000</f>
        <v>24687.787489999999</v>
      </c>
      <c r="K49" s="647">
        <f>'12 years sales &amp; PL forecast'!Q158/1000</f>
        <v>24687.787489999999</v>
      </c>
      <c r="L49" s="647">
        <f>'12 years sales &amp; PL forecast'!R158/1000</f>
        <v>24687.787489999999</v>
      </c>
      <c r="M49" s="647">
        <f>'12 years sales &amp; PL forecast'!S158/1000</f>
        <v>24687.787489999999</v>
      </c>
      <c r="N49" s="647">
        <f>'12 years sales &amp; PL forecast'!T158/1000</f>
        <v>24687.787489999999</v>
      </c>
      <c r="O49" s="647">
        <f>'12 years sales &amp; PL forecast'!U158/1000</f>
        <v>24687.787489999999</v>
      </c>
      <c r="P49" s="647">
        <f>'12 years sales &amp; PL forecast'!V158/1000</f>
        <v>24687.787489999999</v>
      </c>
    </row>
    <row r="50" spans="1:16">
      <c r="A50" s="644"/>
      <c r="B50" s="467" t="s">
        <v>854</v>
      </c>
      <c r="C50" s="647">
        <f>('12 years sales &amp; PL forecast'!I171-SUM('12 years sales &amp; PL forecast'!I150:I158)+'12 years sales &amp; PL forecast'!I157)/1000</f>
        <v>23012.903519999996</v>
      </c>
      <c r="D50" s="647">
        <f>('12 years sales &amp; PL forecast'!J171-SUM('12 years sales &amp; PL forecast'!J150:J158)+'12 years sales &amp; PL forecast'!J157)/1000</f>
        <v>23826.415179999996</v>
      </c>
      <c r="E50" s="647">
        <f>('12 years sales &amp; PL forecast'!K171-SUM('12 years sales &amp; PL forecast'!K150:K158)+'12 years sales &amp; PL forecast'!K157)/1000</f>
        <v>29250.934229999988</v>
      </c>
      <c r="F50" s="647">
        <f>('12 years sales &amp; PL forecast'!L171-SUM('12 years sales &amp; PL forecast'!L150:L158)+'12 years sales &amp; PL forecast'!L157)/1000</f>
        <v>27078.479479999991</v>
      </c>
      <c r="G50" s="647">
        <f>('12 years sales &amp; PL forecast'!M171-SUM('12 years sales &amp; PL forecast'!M150:M158)+'12 years sales &amp; PL forecast'!M157)/1000</f>
        <v>26366.0959567637</v>
      </c>
      <c r="H50" s="647">
        <f>('12 years sales &amp; PL forecast'!N171-SUM('12 years sales &amp; PL forecast'!N150:N158)+'12 years sales &amp; PL forecast'!N157)/1000</f>
        <v>29209.198150000022</v>
      </c>
      <c r="I50" s="647">
        <f>('12 years sales &amp; PL forecast'!O171-SUM('12 years sales &amp; PL forecast'!O150:O158)+'12 years sales &amp; PL forecast'!O157)/1000</f>
        <v>185685.40119711155</v>
      </c>
      <c r="J50" s="647">
        <f>('12 years sales &amp; PL forecast'!P171-SUM('12 years sales &amp; PL forecast'!P150:P158)+'12 years sales &amp; PL forecast'!P157)/1000</f>
        <v>182951.4919652688</v>
      </c>
      <c r="K50" s="647">
        <f>('12 years sales &amp; PL forecast'!Q171-SUM('12 years sales &amp; PL forecast'!Q150:Q158)+'12 years sales &amp; PL forecast'!Q157)/1000</f>
        <v>150230.23036708438</v>
      </c>
      <c r="L50" s="647">
        <f>('12 years sales &amp; PL forecast'!R171-SUM('12 years sales &amp; PL forecast'!R150:R158)+'12 years sales &amp; PL forecast'!R157)/1000</f>
        <v>59609.467144389149</v>
      </c>
      <c r="M50" s="647">
        <f>('12 years sales &amp; PL forecast'!S171-SUM('12 years sales &amp; PL forecast'!S150:S158)+'12 years sales &amp; PL forecast'!S157)/1000</f>
        <v>42055.980435360296</v>
      </c>
      <c r="N50" s="647">
        <f>('12 years sales &amp; PL forecast'!T171-SUM('12 years sales &amp; PL forecast'!T150:T158)+'12 years sales &amp; PL forecast'!T157)/1000</f>
        <v>43948.348862934428</v>
      </c>
      <c r="O50" s="647">
        <f>('12 years sales &amp; PL forecast'!U171-SUM('12 years sales &amp; PL forecast'!U150:U158)+'12 years sales &amp; PL forecast'!U157)/1000</f>
        <v>46018.227991342144</v>
      </c>
      <c r="P50" s="647">
        <f>('12 years sales &amp; PL forecast'!V171-SUM('12 years sales &amp; PL forecast'!V150:V158)+'12 years sales &amp; PL forecast'!V157)/1000</f>
        <v>48122.071666739736</v>
      </c>
    </row>
    <row r="51" spans="1:16">
      <c r="A51" s="644"/>
      <c r="C51" s="647"/>
      <c r="D51" s="647"/>
      <c r="E51" s="647"/>
      <c r="F51" s="647"/>
      <c r="G51" s="647"/>
      <c r="H51" s="647"/>
      <c r="I51" s="647"/>
      <c r="J51" s="647"/>
      <c r="K51" s="647"/>
      <c r="L51" s="647"/>
      <c r="M51" s="647"/>
      <c r="N51" s="647"/>
      <c r="O51" s="647"/>
      <c r="P51" s="647"/>
    </row>
    <row r="52" spans="1:16" s="644" customFormat="1">
      <c r="A52" s="644" t="s">
        <v>857</v>
      </c>
      <c r="C52" s="661">
        <f t="shared" ref="C52:P52" si="25">SUM(C46:C51)</f>
        <v>93063.978520000004</v>
      </c>
      <c r="D52" s="661">
        <f t="shared" si="25"/>
        <v>106370.89042000001</v>
      </c>
      <c r="E52" s="661">
        <f t="shared" si="25"/>
        <v>113177.78606999999</v>
      </c>
      <c r="F52" s="661">
        <f t="shared" si="25"/>
        <v>120275.53631000001</v>
      </c>
      <c r="G52" s="661">
        <f t="shared" si="25"/>
        <v>100259.68248573029</v>
      </c>
      <c r="H52" s="661">
        <f t="shared" si="25"/>
        <v>97555.449230000027</v>
      </c>
      <c r="I52" s="661">
        <f t="shared" si="25"/>
        <v>281744.04166198085</v>
      </c>
      <c r="J52" s="661">
        <f t="shared" si="25"/>
        <v>289524.3291479355</v>
      </c>
      <c r="K52" s="661">
        <f t="shared" si="25"/>
        <v>259731.12794310105</v>
      </c>
      <c r="L52" s="661">
        <f t="shared" si="25"/>
        <v>171662.69789366281</v>
      </c>
      <c r="M52" s="661">
        <f t="shared" si="25"/>
        <v>157061.00054780499</v>
      </c>
      <c r="N52" s="661">
        <f t="shared" si="25"/>
        <v>162013.67003028488</v>
      </c>
      <c r="O52" s="661">
        <f t="shared" si="25"/>
        <v>167256.86774930719</v>
      </c>
      <c r="P52" s="661">
        <f t="shared" si="25"/>
        <v>172652.16115781749</v>
      </c>
    </row>
    <row r="53" spans="1:16">
      <c r="B53" s="649"/>
      <c r="C53" s="650"/>
      <c r="D53" s="651">
        <f t="shared" ref="D53:P53" si="26">D52/C52-1</f>
        <v>0.14298670776406008</v>
      </c>
      <c r="E53" s="651">
        <f t="shared" si="26"/>
        <v>6.3992090534574775E-2</v>
      </c>
      <c r="F53" s="651">
        <f t="shared" si="26"/>
        <v>6.2713280463094545E-2</v>
      </c>
      <c r="G53" s="651">
        <f t="shared" si="26"/>
        <v>-0.16641666658363974</v>
      </c>
      <c r="H53" s="651">
        <f t="shared" si="26"/>
        <v>-2.6972290243539754E-2</v>
      </c>
      <c r="I53" s="651">
        <f t="shared" si="26"/>
        <v>1.8880400211958595</v>
      </c>
      <c r="J53" s="651">
        <f t="shared" si="26"/>
        <v>2.7614736553289498E-2</v>
      </c>
      <c r="K53" s="651">
        <f t="shared" si="26"/>
        <v>-0.10290396421093617</v>
      </c>
      <c r="L53" s="651">
        <f t="shared" si="26"/>
        <v>-0.33907537670544929</v>
      </c>
      <c r="M53" s="651">
        <f t="shared" si="26"/>
        <v>-8.5060397657870435E-2</v>
      </c>
      <c r="N53" s="651">
        <f t="shared" si="26"/>
        <v>3.1533413547639055E-2</v>
      </c>
      <c r="O53" s="651">
        <f t="shared" si="26"/>
        <v>3.236268716116486E-2</v>
      </c>
      <c r="P53" s="651">
        <f t="shared" si="26"/>
        <v>3.2257529876722479E-2</v>
      </c>
    </row>
    <row r="54" spans="1:16" ht="7.5" customHeight="1">
      <c r="C54" s="655"/>
      <c r="D54" s="655"/>
      <c r="E54" s="655"/>
      <c r="F54" s="655"/>
      <c r="G54" s="655"/>
      <c r="H54" s="655"/>
      <c r="I54" s="655"/>
      <c r="J54" s="655"/>
      <c r="K54" s="655"/>
      <c r="L54" s="655"/>
      <c r="M54" s="655"/>
      <c r="N54" s="655"/>
      <c r="O54" s="655"/>
      <c r="P54" s="655"/>
    </row>
    <row r="55" spans="1:16" s="656" customFormat="1" ht="32.25" customHeight="1" thickBot="1">
      <c r="A55" s="1787" t="s">
        <v>1650</v>
      </c>
      <c r="B55" s="1787"/>
      <c r="C55" s="662">
        <f t="shared" ref="C55:P55" si="27">C44-C52</f>
        <v>120846.42357378374</v>
      </c>
      <c r="D55" s="662">
        <f t="shared" si="27"/>
        <v>135050.80280840001</v>
      </c>
      <c r="E55" s="662">
        <f t="shared" si="27"/>
        <v>139630.70481917419</v>
      </c>
      <c r="F55" s="662">
        <f t="shared" si="27"/>
        <v>92705.514527608306</v>
      </c>
      <c r="G55" s="662">
        <f t="shared" si="27"/>
        <v>-6050.7251697983738</v>
      </c>
      <c r="H55" s="662">
        <f t="shared" si="27"/>
        <v>66008.652174589603</v>
      </c>
      <c r="I55" s="662">
        <f t="shared" si="27"/>
        <v>-119584.78024694952</v>
      </c>
      <c r="J55" s="662">
        <f t="shared" si="27"/>
        <v>-136972.15130529201</v>
      </c>
      <c r="K55" s="662">
        <f t="shared" si="27"/>
        <v>-71065.831102002936</v>
      </c>
      <c r="L55" s="662">
        <f t="shared" si="27"/>
        <v>9922.6145355579501</v>
      </c>
      <c r="M55" s="662">
        <f t="shared" si="27"/>
        <v>23120.639875700697</v>
      </c>
      <c r="N55" s="662">
        <f t="shared" si="27"/>
        <v>41726.568865672249</v>
      </c>
      <c r="O55" s="662">
        <f t="shared" si="27"/>
        <v>67267.949840325571</v>
      </c>
      <c r="P55" s="662">
        <f t="shared" si="27"/>
        <v>90958.675716950413</v>
      </c>
    </row>
    <row r="56" spans="1:16">
      <c r="B56" s="649"/>
      <c r="C56" s="650"/>
      <c r="D56" s="651">
        <f t="shared" ref="D56:P56" si="28">D55/C55-1</f>
        <v>0.11754074977604678</v>
      </c>
      <c r="E56" s="651">
        <f t="shared" si="28"/>
        <v>3.3912438249418031E-2</v>
      </c>
      <c r="F56" s="651">
        <f t="shared" si="28"/>
        <v>-0.33606641427711315</v>
      </c>
      <c r="G56" s="651">
        <f t="shared" si="28"/>
        <v>-1.0652682335094146</v>
      </c>
      <c r="H56" s="651">
        <f t="shared" si="28"/>
        <v>-11.909213411983341</v>
      </c>
      <c r="I56" s="651">
        <f t="shared" si="28"/>
        <v>-2.8116531137562655</v>
      </c>
      <c r="J56" s="651">
        <f t="shared" si="28"/>
        <v>0.14539785934662053</v>
      </c>
      <c r="K56" s="651">
        <f t="shared" si="28"/>
        <v>-0.48116583973623206</v>
      </c>
      <c r="L56" s="651">
        <f t="shared" si="28"/>
        <v>-1.1396256735718142</v>
      </c>
      <c r="M56" s="651">
        <f t="shared" si="28"/>
        <v>1.3300955401267758</v>
      </c>
      <c r="N56" s="651">
        <f t="shared" si="28"/>
        <v>0.80473244209499528</v>
      </c>
      <c r="O56" s="651">
        <f t="shared" si="28"/>
        <v>0.61211313724061767</v>
      </c>
      <c r="P56" s="651">
        <f t="shared" si="28"/>
        <v>0.35218444939766558</v>
      </c>
    </row>
    <row r="58" spans="1:16">
      <c r="A58" s="467" t="s">
        <v>919</v>
      </c>
      <c r="B58" s="467" t="s">
        <v>815</v>
      </c>
      <c r="C58" s="647">
        <f>('12 years sales &amp; PL forecast'!I176+'12 years sales &amp; PL forecast'!I177)/1000</f>
        <v>2492.3420000000001</v>
      </c>
      <c r="D58" s="647">
        <f>('12 years sales &amp; PL forecast'!J176+'12 years sales &amp; PL forecast'!J177)/1000</f>
        <v>-3901.6890199999993</v>
      </c>
      <c r="E58" s="647">
        <f>('12 years sales &amp; PL forecast'!K176+'12 years sales &amp; PL forecast'!K177)/1000</f>
        <v>2461.1049799999987</v>
      </c>
      <c r="F58" s="647">
        <f>('12 years sales &amp; PL forecast'!L176+'12 years sales &amp; PL forecast'!L177)/1000</f>
        <v>3058.2556300000001</v>
      </c>
      <c r="G58" s="647">
        <f>('12 years sales &amp; PL forecast'!M176+'12 years sales &amp; PL forecast'!M177)/1000</f>
        <v>-18044.13925</v>
      </c>
      <c r="H58" s="647">
        <f>('12 years sales &amp; PL forecast'!N176+'12 years sales &amp; PL forecast'!N177)/1000</f>
        <v>-4277.1276399999988</v>
      </c>
      <c r="I58" s="647">
        <f>('12 years sales &amp; PL forecast'!O176+'12 years sales &amp; PL forecast'!O177)/1000</f>
        <v>-5470</v>
      </c>
      <c r="J58" s="647">
        <f>('12 years sales &amp; PL forecast'!P176+'12 years sales &amp; PL forecast'!P177)/1000</f>
        <v>0</v>
      </c>
      <c r="K58" s="647">
        <f>('12 years sales &amp; PL forecast'!Q176+'12 years sales &amp; PL forecast'!Q177)/1000</f>
        <v>0</v>
      </c>
      <c r="L58" s="647">
        <f>('12 years sales &amp; PL forecast'!R176+'12 years sales &amp; PL forecast'!R177)/1000</f>
        <v>0</v>
      </c>
      <c r="M58" s="647">
        <f>('12 years sales &amp; PL forecast'!S176+'12 years sales &amp; PL forecast'!S177)/1000</f>
        <v>0</v>
      </c>
      <c r="N58" s="647">
        <f>('12 years sales &amp; PL forecast'!T176+'12 years sales &amp; PL forecast'!T177)/1000</f>
        <v>0</v>
      </c>
      <c r="O58" s="647">
        <f>('12 years sales &amp; PL forecast'!U176+'12 years sales &amp; PL forecast'!U177)/1000</f>
        <v>0</v>
      </c>
      <c r="P58" s="647">
        <f>('12 years sales &amp; PL forecast'!V176+'12 years sales &amp; PL forecast'!V177)/1000</f>
        <v>0</v>
      </c>
    </row>
    <row r="59" spans="1:16">
      <c r="A59" s="644"/>
      <c r="B59" s="467" t="s">
        <v>855</v>
      </c>
      <c r="C59" s="647" t="e">
        <f>('12 years sales &amp; PL forecast'!#REF!+'12 years sales &amp; PL forecast'!#REF!)/1000</f>
        <v>#REF!</v>
      </c>
      <c r="D59" s="647" t="e">
        <f>('12 years sales &amp; PL forecast'!#REF!+'12 years sales &amp; PL forecast'!#REF!)/1000</f>
        <v>#REF!</v>
      </c>
      <c r="E59" s="647">
        <f>('12 years sales &amp; PL forecast'!K163)/1000</f>
        <v>0</v>
      </c>
      <c r="F59" s="647">
        <f>('12 years sales &amp; PL forecast'!L163)/1000</f>
        <v>0</v>
      </c>
      <c r="G59" s="647">
        <f>('12 years sales &amp; PL forecast'!M163)/1000</f>
        <v>0</v>
      </c>
      <c r="H59" s="647">
        <f>('12 years sales &amp; PL forecast'!N163)/1000</f>
        <v>1948.97054</v>
      </c>
      <c r="I59" s="647">
        <f>('12 years sales &amp; PL forecast'!O163)/1000</f>
        <v>11163.722732315069</v>
      </c>
      <c r="J59" s="647">
        <f>('12 years sales &amp; PL forecast'!P163)/1000</f>
        <v>14281.796571352741</v>
      </c>
      <c r="K59" s="647">
        <f>('12 years sales &amp; PL forecast'!Q163)/1000</f>
        <v>7846.4214940068487</v>
      </c>
      <c r="L59" s="647">
        <f>('12 years sales &amp; PL forecast'!R163)/1000</f>
        <v>1486.2396041609588</v>
      </c>
      <c r="M59" s="647">
        <f>('12 years sales &amp; PL forecast'!S163)/1000</f>
        <v>97.224322191780828</v>
      </c>
      <c r="N59" s="647">
        <f>('12 years sales &amp; PL forecast'!T163)/1000</f>
        <v>14.767683287671234</v>
      </c>
      <c r="O59" s="647">
        <f>('12 years sales &amp; PL forecast'!U163)/1000</f>
        <v>0</v>
      </c>
      <c r="P59" s="647" t="e">
        <f>('12 years sales &amp; PL forecast'!#REF!+'12 years sales &amp; PL forecast'!#REF!)/1000</f>
        <v>#REF!</v>
      </c>
    </row>
    <row r="60" spans="1:16" ht="7.5" customHeight="1">
      <c r="C60" s="647"/>
      <c r="D60" s="647"/>
      <c r="E60" s="647"/>
      <c r="F60" s="647"/>
      <c r="G60" s="647"/>
      <c r="H60" s="647"/>
      <c r="I60" s="647"/>
      <c r="J60" s="647"/>
      <c r="K60" s="647"/>
      <c r="L60" s="647"/>
      <c r="M60" s="647"/>
      <c r="N60" s="647"/>
      <c r="O60" s="647"/>
      <c r="P60" s="647"/>
    </row>
    <row r="61" spans="1:16" ht="15.75" thickBot="1">
      <c r="A61" s="656" t="s">
        <v>856</v>
      </c>
      <c r="C61" s="662">
        <f>C55-C58</f>
        <v>118354.08157378374</v>
      </c>
      <c r="D61" s="662" t="e">
        <f t="shared" ref="D61:O61" si="29">D55-D58-D59</f>
        <v>#REF!</v>
      </c>
      <c r="E61" s="662">
        <f t="shared" si="29"/>
        <v>137169.59983917419</v>
      </c>
      <c r="F61" s="662">
        <f t="shared" si="29"/>
        <v>89647.258897608306</v>
      </c>
      <c r="G61" s="662">
        <f t="shared" si="29"/>
        <v>11993.414080201626</v>
      </c>
      <c r="H61" s="662">
        <f t="shared" si="29"/>
        <v>68336.809274589599</v>
      </c>
      <c r="I61" s="662">
        <f t="shared" si="29"/>
        <v>-125278.50297926459</v>
      </c>
      <c r="J61" s="662">
        <f t="shared" si="29"/>
        <v>-151253.94787664476</v>
      </c>
      <c r="K61" s="662">
        <f t="shared" si="29"/>
        <v>-78912.252596009785</v>
      </c>
      <c r="L61" s="662">
        <f t="shared" si="29"/>
        <v>8436.3749313969911</v>
      </c>
      <c r="M61" s="662">
        <f t="shared" si="29"/>
        <v>23023.415553508916</v>
      </c>
      <c r="N61" s="662">
        <f t="shared" si="29"/>
        <v>41711.801182384581</v>
      </c>
      <c r="O61" s="662">
        <f t="shared" si="29"/>
        <v>67267.949840325571</v>
      </c>
      <c r="P61" s="662">
        <f>P55-P58</f>
        <v>90958.675716950413</v>
      </c>
    </row>
    <row r="62" spans="1:16">
      <c r="C62" s="647"/>
      <c r="D62" s="651" t="e">
        <f>D61/C61-1</f>
        <v>#REF!</v>
      </c>
      <c r="E62" s="651" t="e">
        <f t="shared" ref="E62:P62" si="30">E61/D61-1</f>
        <v>#REF!</v>
      </c>
      <c r="F62" s="651">
        <f t="shared" si="30"/>
        <v>-0.34644951211699904</v>
      </c>
      <c r="G62" s="651">
        <f t="shared" si="30"/>
        <v>-0.86621549584800972</v>
      </c>
      <c r="H62" s="651">
        <f t="shared" si="30"/>
        <v>4.6978612443139092</v>
      </c>
      <c r="I62" s="651">
        <f t="shared" si="30"/>
        <v>-2.8332506932811716</v>
      </c>
      <c r="J62" s="651">
        <f t="shared" si="30"/>
        <v>0.20734159715876777</v>
      </c>
      <c r="K62" s="651">
        <f t="shared" si="30"/>
        <v>-0.47827971630620369</v>
      </c>
      <c r="L62" s="651">
        <f t="shared" si="30"/>
        <v>-1.1069083019919213</v>
      </c>
      <c r="M62" s="651">
        <f t="shared" si="30"/>
        <v>1.7290650001607308</v>
      </c>
      <c r="N62" s="651">
        <f t="shared" si="30"/>
        <v>0.81171212783098268</v>
      </c>
      <c r="O62" s="651">
        <f t="shared" si="30"/>
        <v>0.61268389121334987</v>
      </c>
      <c r="P62" s="651">
        <f t="shared" si="30"/>
        <v>0.35218444939766558</v>
      </c>
    </row>
    <row r="63" spans="1:16">
      <c r="C63" s="647"/>
      <c r="D63" s="651"/>
      <c r="E63" s="651"/>
      <c r="F63" s="651"/>
      <c r="G63" s="651"/>
      <c r="H63" s="651"/>
      <c r="I63" s="651"/>
      <c r="J63" s="651"/>
      <c r="K63" s="651"/>
      <c r="L63" s="651"/>
      <c r="M63" s="651"/>
      <c r="N63" s="651"/>
      <c r="O63" s="651"/>
      <c r="P63" s="651"/>
    </row>
    <row r="64" spans="1:16" ht="15.75" thickBot="1">
      <c r="C64" s="647"/>
      <c r="D64" s="647"/>
      <c r="E64" s="647"/>
      <c r="F64" s="647"/>
      <c r="G64" s="647"/>
      <c r="H64" s="647"/>
      <c r="I64" s="647"/>
      <c r="J64" s="647"/>
      <c r="K64" s="647"/>
      <c r="L64" s="647"/>
      <c r="M64" s="647"/>
      <c r="N64" s="647"/>
      <c r="O64" s="647"/>
      <c r="P64" s="647"/>
    </row>
    <row r="65" spans="1:16" s="659" customFormat="1">
      <c r="C65" s="660"/>
      <c r="D65" s="660"/>
      <c r="E65" s="660"/>
      <c r="F65" s="660"/>
      <c r="G65" s="660"/>
      <c r="H65" s="660"/>
      <c r="I65" s="660"/>
      <c r="J65" s="660"/>
      <c r="K65" s="660"/>
      <c r="L65" s="660"/>
      <c r="M65" s="660"/>
      <c r="N65" s="660"/>
      <c r="O65" s="660"/>
      <c r="P65" s="660"/>
    </row>
    <row r="66" spans="1:16" s="645" customFormat="1" ht="12.75">
      <c r="A66" s="658" t="s">
        <v>283</v>
      </c>
      <c r="C66" s="646" t="str">
        <f>C4</f>
        <v>Actual</v>
      </c>
      <c r="D66" s="646" t="str">
        <f t="shared" ref="D66:P66" si="31">D4</f>
        <v>Actual</v>
      </c>
      <c r="E66" s="646" t="str">
        <f t="shared" si="31"/>
        <v>Actual</v>
      </c>
      <c r="F66" s="646" t="str">
        <f t="shared" si="31"/>
        <v>Actual</v>
      </c>
      <c r="G66" s="646" t="str">
        <f t="shared" si="31"/>
        <v>Actual</v>
      </c>
      <c r="H66" s="646" t="str">
        <f t="shared" si="31"/>
        <v>Forecast</v>
      </c>
      <c r="I66" s="646" t="str">
        <f t="shared" si="31"/>
        <v>Forecast</v>
      </c>
      <c r="J66" s="646" t="str">
        <f t="shared" si="31"/>
        <v>Forecast</v>
      </c>
      <c r="K66" s="646" t="str">
        <f t="shared" si="31"/>
        <v>Forecast</v>
      </c>
      <c r="L66" s="646" t="str">
        <f t="shared" si="31"/>
        <v>Forecast</v>
      </c>
      <c r="M66" s="646" t="str">
        <f t="shared" si="31"/>
        <v>Forecast</v>
      </c>
      <c r="N66" s="646" t="str">
        <f t="shared" si="31"/>
        <v>Forecast</v>
      </c>
      <c r="O66" s="646" t="str">
        <f t="shared" si="31"/>
        <v>Forecast</v>
      </c>
      <c r="P66" s="646" t="str">
        <f t="shared" si="31"/>
        <v>Forecast</v>
      </c>
    </row>
    <row r="67" spans="1:16" s="645" customFormat="1" ht="12.75">
      <c r="C67" s="646" t="str">
        <f>C5</f>
        <v>2016-17</v>
      </c>
      <c r="D67" s="646" t="str">
        <f t="shared" ref="D67:P67" si="32">D5</f>
        <v>2017-18</v>
      </c>
      <c r="E67" s="646" t="str">
        <f t="shared" si="32"/>
        <v>2018-19</v>
      </c>
      <c r="F67" s="646" t="str">
        <f t="shared" si="32"/>
        <v>2019-20</v>
      </c>
      <c r="G67" s="646" t="str">
        <f t="shared" si="32"/>
        <v>2020-21</v>
      </c>
      <c r="H67" s="646" t="str">
        <f t="shared" si="32"/>
        <v>2021-22</v>
      </c>
      <c r="I67" s="646" t="str">
        <f t="shared" si="32"/>
        <v>2022-23</v>
      </c>
      <c r="J67" s="646" t="str">
        <f t="shared" si="32"/>
        <v>2023-24</v>
      </c>
      <c r="K67" s="646" t="str">
        <f t="shared" si="32"/>
        <v>2024-25</v>
      </c>
      <c r="L67" s="646" t="str">
        <f t="shared" si="32"/>
        <v>2025-26</v>
      </c>
      <c r="M67" s="646" t="str">
        <f t="shared" si="32"/>
        <v>2026-27</v>
      </c>
      <c r="N67" s="646" t="str">
        <f t="shared" si="32"/>
        <v>2027-28</v>
      </c>
      <c r="O67" s="646" t="str">
        <f t="shared" si="32"/>
        <v>2028-29</v>
      </c>
      <c r="P67" s="646" t="str">
        <f t="shared" si="32"/>
        <v>2029-30</v>
      </c>
    </row>
    <row r="68" spans="1:16">
      <c r="A68" s="644"/>
    </row>
    <row r="69" spans="1:16">
      <c r="A69" s="656" t="s">
        <v>856</v>
      </c>
      <c r="C69" s="653">
        <f t="shared" ref="C69:P69" si="33">C61</f>
        <v>118354.08157378374</v>
      </c>
      <c r="D69" s="653" t="e">
        <f t="shared" si="33"/>
        <v>#REF!</v>
      </c>
      <c r="E69" s="653">
        <f t="shared" si="33"/>
        <v>137169.59983917419</v>
      </c>
      <c r="F69" s="653">
        <f t="shared" si="33"/>
        <v>89647.258897608306</v>
      </c>
      <c r="G69" s="653">
        <f t="shared" si="33"/>
        <v>11993.414080201626</v>
      </c>
      <c r="H69" s="653">
        <f t="shared" si="33"/>
        <v>68336.809274589599</v>
      </c>
      <c r="I69" s="653">
        <f t="shared" si="33"/>
        <v>-125278.50297926459</v>
      </c>
      <c r="J69" s="653">
        <f t="shared" si="33"/>
        <v>-151253.94787664476</v>
      </c>
      <c r="K69" s="653">
        <f t="shared" si="33"/>
        <v>-78912.252596009785</v>
      </c>
      <c r="L69" s="653">
        <f t="shared" si="33"/>
        <v>8436.3749313969911</v>
      </c>
      <c r="M69" s="653">
        <f t="shared" si="33"/>
        <v>23023.415553508916</v>
      </c>
      <c r="N69" s="653">
        <f t="shared" si="33"/>
        <v>41711.801182384581</v>
      </c>
      <c r="O69" s="653">
        <f t="shared" si="33"/>
        <v>67267.949840325571</v>
      </c>
      <c r="P69" s="653">
        <f t="shared" si="33"/>
        <v>90958.675716950413</v>
      </c>
    </row>
    <row r="70" spans="1:16">
      <c r="B70" s="649"/>
      <c r="C70" s="650"/>
      <c r="D70" s="651" t="e">
        <f t="shared" ref="D70:P70" si="34">D69/C69-1</f>
        <v>#REF!</v>
      </c>
      <c r="E70" s="651" t="e">
        <f t="shared" si="34"/>
        <v>#REF!</v>
      </c>
      <c r="F70" s="651">
        <f t="shared" si="34"/>
        <v>-0.34644951211699904</v>
      </c>
      <c r="G70" s="651">
        <f t="shared" si="34"/>
        <v>-0.86621549584800972</v>
      </c>
      <c r="H70" s="651">
        <f t="shared" si="34"/>
        <v>4.6978612443139092</v>
      </c>
      <c r="I70" s="651">
        <f t="shared" si="34"/>
        <v>-2.8332506932811716</v>
      </c>
      <c r="J70" s="651">
        <f t="shared" si="34"/>
        <v>0.20734159715876777</v>
      </c>
      <c r="K70" s="651">
        <f t="shared" si="34"/>
        <v>-0.47827971630620369</v>
      </c>
      <c r="L70" s="651">
        <f t="shared" si="34"/>
        <v>-1.1069083019919213</v>
      </c>
      <c r="M70" s="651">
        <f t="shared" si="34"/>
        <v>1.7290650001607308</v>
      </c>
      <c r="N70" s="651">
        <f t="shared" si="34"/>
        <v>0.81171212783098268</v>
      </c>
      <c r="O70" s="651">
        <f t="shared" si="34"/>
        <v>0.61268389121334987</v>
      </c>
      <c r="P70" s="651">
        <f t="shared" si="34"/>
        <v>0.35218444939766558</v>
      </c>
    </row>
    <row r="71" spans="1:16" hidden="1" outlineLevel="1">
      <c r="B71" s="649"/>
      <c r="C71" s="650"/>
      <c r="D71" s="651"/>
      <c r="E71" s="651"/>
      <c r="F71" s="651"/>
      <c r="G71" s="651"/>
      <c r="H71" s="651"/>
      <c r="I71" s="651"/>
      <c r="J71" s="651"/>
      <c r="K71" s="651"/>
      <c r="L71" s="651"/>
      <c r="M71" s="651"/>
      <c r="N71" s="651"/>
      <c r="O71" s="651"/>
      <c r="P71" s="651"/>
    </row>
    <row r="72" spans="1:16" hidden="1" outlineLevel="1">
      <c r="A72" s="467" t="s">
        <v>1583</v>
      </c>
      <c r="B72" s="649"/>
      <c r="C72" s="650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</row>
    <row r="73" spans="1:16" hidden="1" outlineLevel="1">
      <c r="B73" s="467" t="s">
        <v>20</v>
      </c>
      <c r="C73" s="647">
        <f>'12 years sales &amp; PL forecast'!I182/1000</f>
        <v>0</v>
      </c>
      <c r="D73" s="647">
        <f>'12 years sales &amp; PL forecast'!J182/1000</f>
        <v>0</v>
      </c>
      <c r="E73" s="647">
        <f>'12 years sales &amp; PL forecast'!K182/1000</f>
        <v>0</v>
      </c>
      <c r="F73" s="647">
        <f>'12 years sales &amp; PL forecast'!L182/1000</f>
        <v>0</v>
      </c>
      <c r="G73" s="647">
        <f>'12 years sales &amp; PL forecast'!M182/1000</f>
        <v>0</v>
      </c>
      <c r="H73" s="647">
        <f>'12 years sales &amp; PL forecast'!N182/1000</f>
        <v>0</v>
      </c>
      <c r="I73" s="647">
        <f>'12 years sales &amp; PL forecast'!O182/1000</f>
        <v>0</v>
      </c>
      <c r="J73" s="647">
        <f>'12 years sales &amp; PL forecast'!P182/1000</f>
        <v>0</v>
      </c>
      <c r="K73" s="647">
        <f>'12 years sales &amp; PL forecast'!Q182/1000</f>
        <v>0</v>
      </c>
      <c r="L73" s="647">
        <f>'12 years sales &amp; PL forecast'!R182/1000</f>
        <v>0</v>
      </c>
      <c r="M73" s="647">
        <f>'12 years sales &amp; PL forecast'!S182/1000</f>
        <v>0</v>
      </c>
      <c r="N73" s="647">
        <f>'12 years sales &amp; PL forecast'!T182/1000</f>
        <v>0</v>
      </c>
      <c r="O73" s="647">
        <f>'12 years sales &amp; PL forecast'!U182/1000</f>
        <v>0</v>
      </c>
      <c r="P73" s="647">
        <f>'12 years sales &amp; PL forecast'!V182/1000</f>
        <v>0</v>
      </c>
    </row>
    <row r="74" spans="1:16" hidden="1" outlineLevel="1">
      <c r="B74" s="467" t="s">
        <v>139</v>
      </c>
      <c r="C74" s="647">
        <f>'12 years sales &amp; PL forecast'!I183/1000</f>
        <v>0</v>
      </c>
      <c r="D74" s="647">
        <f>'12 years sales &amp; PL forecast'!J183/1000</f>
        <v>0</v>
      </c>
      <c r="E74" s="647">
        <f>'12 years sales &amp; PL forecast'!K183/1000</f>
        <v>0</v>
      </c>
      <c r="F74" s="647">
        <f>'12 years sales &amp; PL forecast'!L183/1000</f>
        <v>0</v>
      </c>
      <c r="G74" s="647">
        <f>'12 years sales &amp; PL forecast'!M183/1000</f>
        <v>0</v>
      </c>
      <c r="H74" s="647">
        <f>'12 years sales &amp; PL forecast'!N183/1000</f>
        <v>0</v>
      </c>
      <c r="I74" s="647">
        <f>'12 years sales &amp; PL forecast'!O183/1000</f>
        <v>0</v>
      </c>
      <c r="J74" s="647">
        <f>'12 years sales &amp; PL forecast'!P183/1000</f>
        <v>0</v>
      </c>
      <c r="K74" s="647">
        <f>'12 years sales &amp; PL forecast'!Q183/1000</f>
        <v>0</v>
      </c>
      <c r="L74" s="647">
        <f>'12 years sales &amp; PL forecast'!R183/1000</f>
        <v>0</v>
      </c>
      <c r="M74" s="647">
        <f>'12 years sales &amp; PL forecast'!S183/1000</f>
        <v>0</v>
      </c>
      <c r="N74" s="647">
        <f>'12 years sales &amp; PL forecast'!T183/1000</f>
        <v>0</v>
      </c>
      <c r="O74" s="647">
        <f>'12 years sales &amp; PL forecast'!U183/1000</f>
        <v>0</v>
      </c>
      <c r="P74" s="647">
        <f>'12 years sales &amp; PL forecast'!V183/1000</f>
        <v>0</v>
      </c>
    </row>
    <row r="75" spans="1:16" hidden="1" outlineLevel="1">
      <c r="B75" s="467" t="s">
        <v>1502</v>
      </c>
      <c r="C75" s="647">
        <f>'12 years sales &amp; PL forecast'!I186/1000</f>
        <v>0</v>
      </c>
      <c r="D75" s="647">
        <f>'12 years sales &amp; PL forecast'!J186/1000</f>
        <v>0</v>
      </c>
      <c r="E75" s="647">
        <f>'12 years sales &amp; PL forecast'!K186/1000</f>
        <v>0</v>
      </c>
      <c r="F75" s="647">
        <f>'12 years sales &amp; PL forecast'!L186/1000</f>
        <v>0</v>
      </c>
      <c r="G75" s="647">
        <f>'12 years sales &amp; PL forecast'!M186/1000</f>
        <v>0</v>
      </c>
      <c r="H75" s="647">
        <f>'12 years sales &amp; PL forecast'!N186/1000</f>
        <v>0</v>
      </c>
      <c r="I75" s="647">
        <f>'12 years sales &amp; PL forecast'!O186/1000</f>
        <v>0</v>
      </c>
      <c r="J75" s="647">
        <f>'12 years sales &amp; PL forecast'!P186/1000</f>
        <v>0</v>
      </c>
      <c r="K75" s="647">
        <f>'12 years sales &amp; PL forecast'!Q186/1000</f>
        <v>0</v>
      </c>
      <c r="L75" s="647">
        <f>'12 years sales &amp; PL forecast'!R186/1000</f>
        <v>0</v>
      </c>
      <c r="M75" s="647">
        <f>'12 years sales &amp; PL forecast'!S186/1000</f>
        <v>0</v>
      </c>
      <c r="N75" s="647">
        <f>'12 years sales &amp; PL forecast'!T186/1000</f>
        <v>0</v>
      </c>
      <c r="O75" s="647">
        <f>'12 years sales &amp; PL forecast'!U186/1000</f>
        <v>0</v>
      </c>
      <c r="P75" s="647">
        <f>'12 years sales &amp; PL forecast'!V186/1000</f>
        <v>0</v>
      </c>
    </row>
    <row r="76" spans="1:16" hidden="1" outlineLevel="1">
      <c r="B76" s="467" t="s">
        <v>1584</v>
      </c>
      <c r="C76" s="647">
        <f>('12 years sales &amp; PL forecast'!I184+'12 years sales &amp; PL forecast'!I185+'12 years sales &amp; PL forecast'!I187)/1000</f>
        <v>0</v>
      </c>
      <c r="D76" s="647">
        <f>('12 years sales &amp; PL forecast'!J184+'12 years sales &amp; PL forecast'!J185+'12 years sales &amp; PL forecast'!J187)/1000</f>
        <v>0</v>
      </c>
      <c r="E76" s="647">
        <f>('12 years sales &amp; PL forecast'!K184+'12 years sales &amp; PL forecast'!K185+'12 years sales &amp; PL forecast'!K187)/1000</f>
        <v>0</v>
      </c>
      <c r="F76" s="647">
        <f>('12 years sales &amp; PL forecast'!L184+'12 years sales &amp; PL forecast'!L185+'12 years sales &amp; PL forecast'!L187)/1000</f>
        <v>0</v>
      </c>
      <c r="G76" s="647">
        <f>('12 years sales &amp; PL forecast'!M184+'12 years sales &amp; PL forecast'!M185+'12 years sales &amp; PL forecast'!M187)/1000</f>
        <v>0</v>
      </c>
      <c r="H76" s="647">
        <f>('12 years sales &amp; PL forecast'!N184+'12 years sales &amp; PL forecast'!N185+'12 years sales &amp; PL forecast'!N187)/1000</f>
        <v>0</v>
      </c>
      <c r="I76" s="647">
        <f>('12 years sales &amp; PL forecast'!O184+'12 years sales &amp; PL forecast'!O185+'12 years sales &amp; PL forecast'!O187)/1000</f>
        <v>0</v>
      </c>
      <c r="J76" s="647">
        <f>('12 years sales &amp; PL forecast'!P184+'12 years sales &amp; PL forecast'!P185+'12 years sales &amp; PL forecast'!P187)/1000</f>
        <v>0</v>
      </c>
      <c r="K76" s="647">
        <f>('12 years sales &amp; PL forecast'!Q184+'12 years sales &amp; PL forecast'!Q185+'12 years sales &amp; PL forecast'!Q187)/1000</f>
        <v>0</v>
      </c>
      <c r="L76" s="647">
        <f>('12 years sales &amp; PL forecast'!R184+'12 years sales &amp; PL forecast'!R185+'12 years sales &amp; PL forecast'!R187)/1000</f>
        <v>0</v>
      </c>
      <c r="M76" s="647">
        <f>('12 years sales &amp; PL forecast'!S184+'12 years sales &amp; PL forecast'!S185+'12 years sales &amp; PL forecast'!S187)/1000</f>
        <v>0</v>
      </c>
      <c r="N76" s="647">
        <f>('12 years sales &amp; PL forecast'!T184+'12 years sales &amp; PL forecast'!T185+'12 years sales &amp; PL forecast'!T187)/1000</f>
        <v>0</v>
      </c>
      <c r="O76" s="647">
        <f>('12 years sales &amp; PL forecast'!U184+'12 years sales &amp; PL forecast'!U185+'12 years sales &amp; PL forecast'!U187)/1000</f>
        <v>0</v>
      </c>
      <c r="P76" s="647">
        <f>('12 years sales &amp; PL forecast'!V184+'12 years sales &amp; PL forecast'!V185+'12 years sales &amp; PL forecast'!V187)/1000</f>
        <v>0</v>
      </c>
    </row>
    <row r="77" spans="1:16" hidden="1" outlineLevel="1">
      <c r="A77" s="467" t="s">
        <v>1585</v>
      </c>
      <c r="C77" s="648">
        <f>C73-SUM(C74:C76)</f>
        <v>0</v>
      </c>
      <c r="D77" s="648">
        <f t="shared" ref="D77:O77" si="35">D73-SUM(D74:D76)</f>
        <v>0</v>
      </c>
      <c r="E77" s="648">
        <f t="shared" si="35"/>
        <v>0</v>
      </c>
      <c r="F77" s="648">
        <f t="shared" si="35"/>
        <v>0</v>
      </c>
      <c r="G77" s="648">
        <f t="shared" si="35"/>
        <v>0</v>
      </c>
      <c r="H77" s="648">
        <f t="shared" si="35"/>
        <v>0</v>
      </c>
      <c r="I77" s="648">
        <f t="shared" si="35"/>
        <v>0</v>
      </c>
      <c r="J77" s="648">
        <f t="shared" si="35"/>
        <v>0</v>
      </c>
      <c r="K77" s="648">
        <f t="shared" si="35"/>
        <v>0</v>
      </c>
      <c r="L77" s="648">
        <f t="shared" si="35"/>
        <v>0</v>
      </c>
      <c r="M77" s="648">
        <f t="shared" si="35"/>
        <v>0</v>
      </c>
      <c r="N77" s="648">
        <f t="shared" si="35"/>
        <v>0</v>
      </c>
      <c r="O77" s="648">
        <f t="shared" si="35"/>
        <v>0</v>
      </c>
      <c r="P77" s="648">
        <f>P73-SUM(P74:P76)</f>
        <v>0</v>
      </c>
    </row>
    <row r="78" spans="1:16" collapsed="1">
      <c r="C78" s="650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</row>
    <row r="79" spans="1:16">
      <c r="A79" s="467" t="s">
        <v>863</v>
      </c>
    </row>
    <row r="80" spans="1:16">
      <c r="B80" s="467" t="s">
        <v>859</v>
      </c>
      <c r="C80" s="647">
        <f>('12 years sales &amp; PL forecast'!I191+'12 years sales &amp; PL forecast'!I192+'12 years sales &amp; PL forecast'!I193+'12 years sales &amp; PL forecast'!I194+'12 years sales &amp; PL forecast'!I196+'12 years sales &amp; PL forecast'!I197)/1000</f>
        <v>7129.3968299999997</v>
      </c>
      <c r="D80" s="647">
        <f>('12 years sales &amp; PL forecast'!J191+'12 years sales &amp; PL forecast'!J192+'12 years sales &amp; PL forecast'!J193+'12 years sales &amp; PL forecast'!J194+'12 years sales &amp; PL forecast'!J196+'12 years sales &amp; PL forecast'!J197)/1000</f>
        <v>31094.174620000002</v>
      </c>
      <c r="E80" s="647">
        <f>('12 years sales &amp; PL forecast'!K191+'12 years sales &amp; PL forecast'!K192+'12 years sales &amp; PL forecast'!K193+'12 years sales &amp; PL forecast'!K194+'12 years sales &amp; PL forecast'!K196+'12 years sales &amp; PL forecast'!K197)/1000</f>
        <v>39241.974299999994</v>
      </c>
      <c r="F80" s="647">
        <f>('12 years sales &amp; PL forecast'!L191+'12 years sales &amp; PL forecast'!L192+'12 years sales &amp; PL forecast'!L193+'12 years sales &amp; PL forecast'!L194+'12 years sales &amp; PL forecast'!L196+'12 years sales &amp; PL forecast'!L197)/1000</f>
        <v>40295.254300000001</v>
      </c>
      <c r="G80" s="647">
        <f>('12 years sales &amp; PL forecast'!M191+'12 years sales &amp; PL forecast'!M192+'12 years sales &amp; PL forecast'!M193+'12 years sales &amp; PL forecast'!M194+'12 years sales &amp; PL forecast'!M196+'12 years sales &amp; PL forecast'!M197)/1000</f>
        <v>38704.397634366753</v>
      </c>
      <c r="H80" s="647">
        <f>('12 years sales &amp; PL forecast'!N191+'12 years sales &amp; PL forecast'!N192+'12 years sales &amp; PL forecast'!N193+'12 years sales &amp; PL forecast'!N194+'12 years sales &amp; PL forecast'!N196+'12 years sales &amp; PL forecast'!N197)/1000</f>
        <v>31310.149890000001</v>
      </c>
      <c r="I80" s="647">
        <f>('12 years sales &amp; PL forecast'!O191+'12 years sales &amp; PL forecast'!O192+'12 years sales &amp; PL forecast'!O193+'12 years sales &amp; PL forecast'!O194+'12 years sales &amp; PL forecast'!O196+'12 years sales &amp; PL forecast'!O197)/1000</f>
        <v>0</v>
      </c>
      <c r="J80" s="647">
        <f>('12 years sales &amp; PL forecast'!P191+'12 years sales &amp; PL forecast'!P192+'12 years sales &amp; PL forecast'!P193+'12 years sales &amp; PL forecast'!P194+'12 years sales &amp; PL forecast'!P196+'12 years sales &amp; PL forecast'!P197)/1000</f>
        <v>0</v>
      </c>
      <c r="K80" s="647">
        <f>('12 years sales &amp; PL forecast'!Q191+'12 years sales &amp; PL forecast'!Q192+'12 years sales &amp; PL forecast'!Q193+'12 years sales &amp; PL forecast'!Q194+'12 years sales &amp; PL forecast'!Q196+'12 years sales &amp; PL forecast'!Q197)/1000</f>
        <v>0</v>
      </c>
      <c r="L80" s="647">
        <f>('12 years sales &amp; PL forecast'!R191+'12 years sales &amp; PL forecast'!R192+'12 years sales &amp; PL forecast'!R193+'12 years sales &amp; PL forecast'!R194+'12 years sales &amp; PL forecast'!R196+'12 years sales &amp; PL forecast'!R197)/1000</f>
        <v>0</v>
      </c>
      <c r="M80" s="647">
        <f>('12 years sales &amp; PL forecast'!S191+'12 years sales &amp; PL forecast'!S192+'12 years sales &amp; PL forecast'!S193+'12 years sales &amp; PL forecast'!S194+'12 years sales &amp; PL forecast'!S196+'12 years sales &amp; PL forecast'!S197)/1000</f>
        <v>0</v>
      </c>
      <c r="N80" s="647">
        <f>('12 years sales &amp; PL forecast'!T191+'12 years sales &amp; PL forecast'!T192+'12 years sales &amp; PL forecast'!T193+'12 years sales &amp; PL forecast'!T194+'12 years sales &amp; PL forecast'!T196+'12 years sales &amp; PL forecast'!T197)/1000</f>
        <v>0</v>
      </c>
      <c r="O80" s="647">
        <f>('12 years sales &amp; PL forecast'!U191+'12 years sales &amp; PL forecast'!U192+'12 years sales &amp; PL forecast'!U193+'12 years sales &amp; PL forecast'!U194+'12 years sales &amp; PL forecast'!U196+'12 years sales &amp; PL forecast'!U197)/1000</f>
        <v>0</v>
      </c>
      <c r="P80" s="647">
        <f>('12 years sales &amp; PL forecast'!V191+'12 years sales &amp; PL forecast'!V192+'12 years sales &amp; PL forecast'!V193+'12 years sales &amp; PL forecast'!V194+'12 years sales &amp; PL forecast'!V196+'12 years sales &amp; PL forecast'!V197)/1000</f>
        <v>0</v>
      </c>
    </row>
    <row r="81" spans="1:16">
      <c r="B81" s="467" t="s">
        <v>860</v>
      </c>
      <c r="C81" s="647">
        <f>'12 years sales &amp; PL forecast'!I195/1000</f>
        <v>0</v>
      </c>
      <c r="D81" s="647">
        <f>'12 years sales &amp; PL forecast'!J195/1000</f>
        <v>5700</v>
      </c>
      <c r="E81" s="647">
        <f>'12 years sales &amp; PL forecast'!K195/1000</f>
        <v>5700</v>
      </c>
      <c r="F81" s="647">
        <f>'12 years sales &amp; PL forecast'!L195/1000</f>
        <v>5700</v>
      </c>
      <c r="G81" s="647">
        <f>'12 years sales &amp; PL forecast'!M195/1000</f>
        <v>0</v>
      </c>
      <c r="H81" s="647">
        <f>'12 years sales &amp; PL forecast'!N195/1000</f>
        <v>5700</v>
      </c>
      <c r="I81" s="647">
        <f>'12 years sales &amp; PL forecast'!O195/1000</f>
        <v>0</v>
      </c>
      <c r="J81" s="647">
        <f>'12 years sales &amp; PL forecast'!P195/1000</f>
        <v>0</v>
      </c>
      <c r="K81" s="647">
        <f>'12 years sales &amp; PL forecast'!Q195/1000</f>
        <v>0</v>
      </c>
      <c r="L81" s="647">
        <f>'12 years sales &amp; PL forecast'!R195/1000</f>
        <v>0</v>
      </c>
      <c r="M81" s="647">
        <f>'12 years sales &amp; PL forecast'!S195/1000</f>
        <v>0</v>
      </c>
      <c r="N81" s="647">
        <f>'12 years sales &amp; PL forecast'!T195/1000</f>
        <v>0</v>
      </c>
      <c r="O81" s="647">
        <f>'12 years sales &amp; PL forecast'!U195/1000</f>
        <v>0</v>
      </c>
      <c r="P81" s="647">
        <f>'12 years sales &amp; PL forecast'!V195/1000</f>
        <v>0</v>
      </c>
    </row>
    <row r="82" spans="1:16">
      <c r="B82" s="467" t="s">
        <v>376</v>
      </c>
      <c r="C82" s="647">
        <f>'12 years sales &amp; PL forecast'!I198/1000</f>
        <v>2332.328</v>
      </c>
      <c r="D82" s="647">
        <f>'12 years sales &amp; PL forecast'!J198/1000</f>
        <v>2493.0239999999999</v>
      </c>
      <c r="E82" s="647">
        <f>'12 years sales &amp; PL forecast'!K198/1000</f>
        <v>2603.5239999999999</v>
      </c>
      <c r="F82" s="647">
        <f>'12 years sales &amp; PL forecast'!L198/1000</f>
        <v>2719.2240000000002</v>
      </c>
      <c r="G82" s="647">
        <f>'12 years sales &amp; PL forecast'!M198/1000</f>
        <v>2356.4929999999999</v>
      </c>
      <c r="H82" s="647">
        <f>'12 years sales &amp; PL forecast'!N198/1000</f>
        <v>-2081.4033099999997</v>
      </c>
      <c r="I82" s="647">
        <f>'12 years sales &amp; PL forecast'!O198/1000</f>
        <v>0</v>
      </c>
      <c r="J82" s="647">
        <f>'12 years sales &amp; PL forecast'!P198/1000</f>
        <v>0</v>
      </c>
      <c r="K82" s="647">
        <f>'12 years sales &amp; PL forecast'!Q198/1000</f>
        <v>0</v>
      </c>
      <c r="L82" s="647">
        <f>'12 years sales &amp; PL forecast'!R198/1000</f>
        <v>0</v>
      </c>
      <c r="M82" s="647">
        <f>'12 years sales &amp; PL forecast'!S198/1000</f>
        <v>0</v>
      </c>
      <c r="N82" s="647">
        <f>'12 years sales &amp; PL forecast'!T198/1000</f>
        <v>0</v>
      </c>
      <c r="O82" s="647">
        <f>'12 years sales &amp; PL forecast'!U198/1000</f>
        <v>0</v>
      </c>
      <c r="P82" s="647">
        <f>'12 years sales &amp; PL forecast'!V198/1000</f>
        <v>0</v>
      </c>
    </row>
    <row r="83" spans="1:16">
      <c r="B83" s="467" t="s">
        <v>861</v>
      </c>
      <c r="C83" s="647">
        <f>('12 years sales &amp; PL forecast'!I203)/1000</f>
        <v>2281.1768999999999</v>
      </c>
      <c r="D83" s="647">
        <f>('12 years sales &amp; PL forecast'!J203)/1000</f>
        <v>3665.0309999999999</v>
      </c>
      <c r="E83" s="647">
        <f>('12 years sales &amp; PL forecast'!K203)/1000</f>
        <v>4484.8549400000002</v>
      </c>
      <c r="F83" s="647">
        <f>('12 years sales &amp; PL forecast'!L203)/1000</f>
        <v>2242.3310099999999</v>
      </c>
      <c r="G83" s="647">
        <f>('12 years sales &amp; PL forecast'!M203)/1000</f>
        <v>119.333</v>
      </c>
      <c r="H83" s="647">
        <f>('12 years sales &amp; PL forecast'!N203)/1000</f>
        <v>660.5286900000001</v>
      </c>
      <c r="I83" s="647">
        <f>('12 years sales &amp; PL forecast'!O203)/1000</f>
        <v>0</v>
      </c>
      <c r="J83" s="647">
        <f>('12 years sales &amp; PL forecast'!P203)/1000</f>
        <v>0</v>
      </c>
      <c r="K83" s="647">
        <f>('12 years sales &amp; PL forecast'!Q203)/1000</f>
        <v>0</v>
      </c>
      <c r="L83" s="647">
        <f>('12 years sales &amp; PL forecast'!R203)/1000</f>
        <v>0</v>
      </c>
      <c r="M83" s="647">
        <f>('12 years sales &amp; PL forecast'!S203)/1000</f>
        <v>0</v>
      </c>
      <c r="N83" s="647">
        <f>('12 years sales &amp; PL forecast'!T203)/1000</f>
        <v>0</v>
      </c>
      <c r="O83" s="647">
        <f>('12 years sales &amp; PL forecast'!U203)/1000</f>
        <v>0</v>
      </c>
      <c r="P83" s="647">
        <f>('12 years sales &amp; PL forecast'!V203)/1000</f>
        <v>0</v>
      </c>
    </row>
    <row r="84" spans="1:16">
      <c r="B84" s="467" t="s">
        <v>1665</v>
      </c>
      <c r="C84" s="647">
        <f>('12 years sales &amp; PL forecast'!I199+'12 years sales &amp; PL forecast'!I200)/1000</f>
        <v>11.56983</v>
      </c>
      <c r="D84" s="647">
        <f>('12 years sales &amp; PL forecast'!J199+'12 years sales &amp; PL forecast'!J200)/1000</f>
        <v>267.25400000000002</v>
      </c>
      <c r="E84" s="647">
        <f>('12 years sales &amp; PL forecast'!K199+'12 years sales &amp; PL forecast'!K200)/1000</f>
        <v>233.27199999999999</v>
      </c>
      <c r="F84" s="647">
        <f>('12 years sales &amp; PL forecast'!L199+'12 years sales &amp; PL forecast'!L200)/1000</f>
        <v>10501.082109999999</v>
      </c>
      <c r="G84" s="647">
        <f>('12 years sales &amp; PL forecast'!M199+'12 years sales &amp; PL forecast'!M200)/1000</f>
        <v>16983.343339999999</v>
      </c>
      <c r="H84" s="647">
        <f>('12 years sales &amp; PL forecast'!N199+'12 years sales &amp; PL forecast'!N200)/1000</f>
        <v>21344.70434</v>
      </c>
      <c r="I84" s="647">
        <f>('12 years sales &amp; PL forecast'!O199+'12 years sales &amp; PL forecast'!O200)/1000</f>
        <v>0</v>
      </c>
      <c r="J84" s="647">
        <f>('12 years sales &amp; PL forecast'!P199+'12 years sales &amp; PL forecast'!P200)/1000</f>
        <v>0</v>
      </c>
      <c r="K84" s="647">
        <f>('12 years sales &amp; PL forecast'!Q199+'12 years sales &amp; PL forecast'!Q200)/1000</f>
        <v>0</v>
      </c>
      <c r="L84" s="647">
        <f>('12 years sales &amp; PL forecast'!R199+'12 years sales &amp; PL forecast'!R200)/1000</f>
        <v>0</v>
      </c>
      <c r="M84" s="647">
        <f>('12 years sales &amp; PL forecast'!S199+'12 years sales &amp; PL forecast'!S200)/1000</f>
        <v>0</v>
      </c>
      <c r="N84" s="647">
        <f>('12 years sales &amp; PL forecast'!T199+'12 years sales &amp; PL forecast'!T200)/1000</f>
        <v>0</v>
      </c>
      <c r="O84" s="647">
        <f>('12 years sales &amp; PL forecast'!U199+'12 years sales &amp; PL forecast'!U200)/1000</f>
        <v>0</v>
      </c>
      <c r="P84" s="647"/>
    </row>
    <row r="85" spans="1:16">
      <c r="B85" s="467" t="s">
        <v>1666</v>
      </c>
      <c r="C85" s="647">
        <f>('12 years sales &amp; PL forecast'!I204)/1000</f>
        <v>0</v>
      </c>
      <c r="D85" s="647">
        <f>('12 years sales &amp; PL forecast'!J204)/1000</f>
        <v>0</v>
      </c>
      <c r="E85" s="647">
        <f>('12 years sales &amp; PL forecast'!K204)/1000</f>
        <v>168.93736999999999</v>
      </c>
      <c r="F85" s="647">
        <f>('12 years sales &amp; PL forecast'!L204)/1000</f>
        <v>1097.1053399999998</v>
      </c>
      <c r="G85" s="647">
        <f>('12 years sales &amp; PL forecast'!M204)/1000</f>
        <v>1059.0651700000001</v>
      </c>
      <c r="H85" s="647">
        <f>('12 years sales &amp; PL forecast'!N204)/1000</f>
        <v>513.99692000000005</v>
      </c>
      <c r="I85" s="647">
        <f>('12 years sales &amp; PL forecast'!O204)/1000</f>
        <v>0</v>
      </c>
      <c r="J85" s="647">
        <f>('12 years sales &amp; PL forecast'!P204)/1000</f>
        <v>0</v>
      </c>
      <c r="K85" s="647">
        <f>('12 years sales &amp; PL forecast'!Q204)/1000</f>
        <v>0</v>
      </c>
      <c r="L85" s="647">
        <f>('12 years sales &amp; PL forecast'!R204)/1000</f>
        <v>0</v>
      </c>
      <c r="M85" s="647">
        <f>('12 years sales &amp; PL forecast'!S204)/1000</f>
        <v>0</v>
      </c>
      <c r="N85" s="647">
        <f>('12 years sales &amp; PL forecast'!T204)/1000</f>
        <v>0</v>
      </c>
      <c r="O85" s="647">
        <f>('12 years sales &amp; PL forecast'!U204)/1000</f>
        <v>0</v>
      </c>
      <c r="P85" s="647"/>
    </row>
    <row r="86" spans="1:16">
      <c r="B86" s="467" t="s">
        <v>326</v>
      </c>
      <c r="C86" s="647">
        <f>('12 years sales &amp; PL forecast'!I202)/1000</f>
        <v>0</v>
      </c>
      <c r="D86" s="647">
        <f>('12 years sales &amp; PL forecast'!J202)/1000</f>
        <v>0</v>
      </c>
      <c r="E86" s="647">
        <f>('12 years sales &amp; PL forecast'!K202)/1000</f>
        <v>0.17199999999999999</v>
      </c>
      <c r="F86" s="647">
        <f>('12 years sales &amp; PL forecast'!L202)/1000</f>
        <v>4.8263299999999987</v>
      </c>
      <c r="G86" s="647">
        <f>('12 years sales &amp; PL forecast'!M202)/1000</f>
        <v>5.7886766666666674</v>
      </c>
      <c r="H86" s="647">
        <f>('12 years sales &amp; PL forecast'!N202)/1000</f>
        <v>17020.187449999998</v>
      </c>
      <c r="I86" s="647">
        <f>('12 years sales &amp; PL forecast'!O202)/1000</f>
        <v>0</v>
      </c>
      <c r="J86" s="647">
        <f>('12 years sales &amp; PL forecast'!P202)/1000</f>
        <v>0</v>
      </c>
      <c r="K86" s="647">
        <f>('12 years sales &amp; PL forecast'!Q202)/1000</f>
        <v>0</v>
      </c>
      <c r="L86" s="647">
        <f>('12 years sales &amp; PL forecast'!R202)/1000</f>
        <v>0</v>
      </c>
      <c r="M86" s="647">
        <f>('12 years sales &amp; PL forecast'!S202)/1000</f>
        <v>0</v>
      </c>
      <c r="N86" s="647">
        <f>('12 years sales &amp; PL forecast'!T202)/1000</f>
        <v>0</v>
      </c>
      <c r="O86" s="647">
        <f>('12 years sales &amp; PL forecast'!U202)/1000</f>
        <v>0</v>
      </c>
      <c r="P86" s="647">
        <f>('12 years sales &amp; PL forecast'!V199+'12 years sales &amp; PL forecast'!V200+'12 years sales &amp; PL forecast'!V204)/1000</f>
        <v>0</v>
      </c>
    </row>
    <row r="87" spans="1:16">
      <c r="B87" s="467" t="s">
        <v>541</v>
      </c>
      <c r="C87" s="647">
        <f>'12 years sales &amp; PL forecast'!I210/1000-SUM('Bank-P&amp;L Summary'!C80:C86)</f>
        <v>4249.0856700000004</v>
      </c>
      <c r="D87" s="647">
        <f>'12 years sales &amp; PL forecast'!J210/1000-SUM('Bank-P&amp;L Summary'!D80:D86)</f>
        <v>4417.9153199999928</v>
      </c>
      <c r="E87" s="647">
        <f>'12 years sales &amp; PL forecast'!K210/1000-SUM('Bank-P&amp;L Summary'!E80:E86)</f>
        <v>2936.4739200000113</v>
      </c>
      <c r="F87" s="647">
        <f>'12 years sales &amp; PL forecast'!L210/1000-SUM('Bank-P&amp;L Summary'!F80:F86)</f>
        <v>6537.8111699999863</v>
      </c>
      <c r="G87" s="647">
        <f>'12 years sales &amp; PL forecast'!M210/1000-SUM('Bank-P&amp;L Summary'!G80:G86)</f>
        <v>13472.63753323631</v>
      </c>
      <c r="H87" s="647">
        <f>'12 years sales &amp; PL forecast'!N210/1000-SUM('Bank-P&amp;L Summary'!H80:H86)</f>
        <v>7082.4946600000112</v>
      </c>
      <c r="I87" s="647">
        <f>'12 years sales &amp; PL forecast'!O210/1000-SUM('Bank-P&amp;L Summary'!I80:I86)</f>
        <v>0</v>
      </c>
      <c r="J87" s="647">
        <f>'12 years sales &amp; PL forecast'!P210/1000-SUM('Bank-P&amp;L Summary'!J80:J86)</f>
        <v>0</v>
      </c>
      <c r="K87" s="647">
        <f>'12 years sales &amp; PL forecast'!Q210/1000-SUM('Bank-P&amp;L Summary'!K80:K86)</f>
        <v>0</v>
      </c>
      <c r="L87" s="647">
        <f>'12 years sales &amp; PL forecast'!R210/1000-SUM('Bank-P&amp;L Summary'!L80:L86)</f>
        <v>0</v>
      </c>
      <c r="M87" s="647">
        <f>'12 years sales &amp; PL forecast'!S210/1000-SUM('Bank-P&amp;L Summary'!M80:M86)</f>
        <v>0</v>
      </c>
      <c r="N87" s="647">
        <f>'12 years sales &amp; PL forecast'!T210/1000-SUM('Bank-P&amp;L Summary'!N80:N86)</f>
        <v>0</v>
      </c>
      <c r="O87" s="647">
        <f>'12 years sales &amp; PL forecast'!U210/1000-SUM('Bank-P&amp;L Summary'!O80:O86)</f>
        <v>0</v>
      </c>
      <c r="P87" s="647">
        <f>'12 years sales &amp; PL forecast'!V210/1000-SUM('Bank-P&amp;L Summary'!P80:P86)</f>
        <v>0</v>
      </c>
    </row>
    <row r="88" spans="1:16" ht="9" customHeight="1">
      <c r="C88" s="647"/>
      <c r="D88" s="647"/>
      <c r="E88" s="647"/>
      <c r="F88" s="647"/>
      <c r="G88" s="647"/>
      <c r="H88" s="647"/>
      <c r="I88" s="647"/>
      <c r="J88" s="647"/>
      <c r="K88" s="647"/>
      <c r="L88" s="647"/>
      <c r="M88" s="647"/>
      <c r="N88" s="647"/>
      <c r="O88" s="647"/>
      <c r="P88" s="647"/>
    </row>
    <row r="89" spans="1:16">
      <c r="A89" s="467" t="s">
        <v>862</v>
      </c>
      <c r="C89" s="648">
        <f t="shared" ref="C89:P89" si="36">SUM(C80:C88)</f>
        <v>16003.55723</v>
      </c>
      <c r="D89" s="648">
        <f t="shared" si="36"/>
        <v>47637.398939999999</v>
      </c>
      <c r="E89" s="648">
        <f t="shared" si="36"/>
        <v>55369.208529999996</v>
      </c>
      <c r="F89" s="648">
        <f t="shared" si="36"/>
        <v>69097.634259999992</v>
      </c>
      <c r="G89" s="648">
        <f t="shared" si="36"/>
        <v>72701.058354269728</v>
      </c>
      <c r="H89" s="648">
        <f t="shared" si="36"/>
        <v>81550.658639999994</v>
      </c>
      <c r="I89" s="648">
        <f t="shared" si="36"/>
        <v>0</v>
      </c>
      <c r="J89" s="648">
        <f t="shared" si="36"/>
        <v>0</v>
      </c>
      <c r="K89" s="648">
        <f t="shared" si="36"/>
        <v>0</v>
      </c>
      <c r="L89" s="648">
        <f t="shared" si="36"/>
        <v>0</v>
      </c>
      <c r="M89" s="648">
        <f t="shared" si="36"/>
        <v>0</v>
      </c>
      <c r="N89" s="648">
        <f t="shared" si="36"/>
        <v>0</v>
      </c>
      <c r="O89" s="648">
        <f t="shared" si="36"/>
        <v>0</v>
      </c>
      <c r="P89" s="648">
        <f t="shared" si="36"/>
        <v>0</v>
      </c>
    </row>
    <row r="91" spans="1:16" s="656" customFormat="1" ht="15.75" thickBot="1">
      <c r="A91" s="656" t="s">
        <v>864</v>
      </c>
      <c r="C91" s="662">
        <f t="shared" ref="C91:P91" si="37">C69-C77-C89</f>
        <v>102350.52434378373</v>
      </c>
      <c r="D91" s="662" t="e">
        <f t="shared" si="37"/>
        <v>#REF!</v>
      </c>
      <c r="E91" s="662">
        <f t="shared" si="37"/>
        <v>81800.391309174185</v>
      </c>
      <c r="F91" s="662">
        <f t="shared" si="37"/>
        <v>20549.624637608315</v>
      </c>
      <c r="G91" s="662">
        <f t="shared" si="37"/>
        <v>-60707.644274068101</v>
      </c>
      <c r="H91" s="662">
        <f t="shared" si="37"/>
        <v>-13213.849365410395</v>
      </c>
      <c r="I91" s="662">
        <f t="shared" si="37"/>
        <v>-125278.50297926459</v>
      </c>
      <c r="J91" s="662">
        <f t="shared" si="37"/>
        <v>-151253.94787664476</v>
      </c>
      <c r="K91" s="662">
        <f t="shared" si="37"/>
        <v>-78912.252596009785</v>
      </c>
      <c r="L91" s="662">
        <f t="shared" si="37"/>
        <v>8436.3749313969911</v>
      </c>
      <c r="M91" s="662">
        <f t="shared" si="37"/>
        <v>23023.415553508916</v>
      </c>
      <c r="N91" s="662">
        <f t="shared" si="37"/>
        <v>41711.801182384581</v>
      </c>
      <c r="O91" s="662">
        <f t="shared" si="37"/>
        <v>67267.949840325571</v>
      </c>
      <c r="P91" s="662">
        <f t="shared" si="37"/>
        <v>90958.675716950413</v>
      </c>
    </row>
    <row r="93" spans="1:16" s="656" customFormat="1" ht="15.75" thickBot="1">
      <c r="A93" s="656" t="s">
        <v>865</v>
      </c>
      <c r="C93" s="662">
        <f t="shared" ref="C93:P93" si="38">C91*(1-0.165)</f>
        <v>85462.687827059417</v>
      </c>
      <c r="D93" s="662" t="e">
        <f t="shared" si="38"/>
        <v>#REF!</v>
      </c>
      <c r="E93" s="662">
        <f t="shared" si="38"/>
        <v>68303.326743160447</v>
      </c>
      <c r="F93" s="662">
        <f t="shared" si="38"/>
        <v>17158.936572402941</v>
      </c>
      <c r="G93" s="662">
        <f t="shared" si="38"/>
        <v>-50690.882968846861</v>
      </c>
      <c r="H93" s="662">
        <f t="shared" si="38"/>
        <v>-11033.56422011768</v>
      </c>
      <c r="I93" s="662">
        <f t="shared" si="38"/>
        <v>-104607.54998768592</v>
      </c>
      <c r="J93" s="662">
        <f t="shared" si="38"/>
        <v>-126297.04647699837</v>
      </c>
      <c r="K93" s="662">
        <f t="shared" si="38"/>
        <v>-65891.730917668174</v>
      </c>
      <c r="L93" s="662">
        <f t="shared" si="38"/>
        <v>7044.3730677164876</v>
      </c>
      <c r="M93" s="662">
        <f t="shared" si="38"/>
        <v>19224.551987179944</v>
      </c>
      <c r="N93" s="662">
        <f t="shared" si="38"/>
        <v>34829.353987291121</v>
      </c>
      <c r="O93" s="662">
        <f t="shared" si="38"/>
        <v>56168.738116671848</v>
      </c>
      <c r="P93" s="662">
        <f t="shared" si="38"/>
        <v>75950.494223653586</v>
      </c>
    </row>
    <row r="94" spans="1:16">
      <c r="B94" s="649"/>
      <c r="C94" s="650"/>
      <c r="D94" s="651" t="e">
        <f t="shared" ref="D94:P94" si="39">D93/C93-1</f>
        <v>#REF!</v>
      </c>
      <c r="E94" s="651" t="e">
        <f t="shared" si="39"/>
        <v>#REF!</v>
      </c>
      <c r="F94" s="651">
        <f t="shared" si="39"/>
        <v>-0.74878329664782906</v>
      </c>
      <c r="G94" s="651">
        <f t="shared" si="39"/>
        <v>-3.9541972344821192</v>
      </c>
      <c r="H94" s="651">
        <f t="shared" si="39"/>
        <v>-0.78233631821133232</v>
      </c>
      <c r="I94" s="651">
        <f t="shared" si="39"/>
        <v>8.4808484276507183</v>
      </c>
      <c r="J94" s="651">
        <f t="shared" si="39"/>
        <v>0.20734159715876777</v>
      </c>
      <c r="K94" s="651">
        <f t="shared" si="39"/>
        <v>-0.47827971630620358</v>
      </c>
      <c r="L94" s="651">
        <f t="shared" si="39"/>
        <v>-1.1069083019919213</v>
      </c>
      <c r="M94" s="651">
        <f t="shared" si="39"/>
        <v>1.7290650001607308</v>
      </c>
      <c r="N94" s="651">
        <f t="shared" si="39"/>
        <v>0.81171212783098246</v>
      </c>
      <c r="O94" s="651">
        <f t="shared" si="39"/>
        <v>0.61268389121334987</v>
      </c>
      <c r="P94" s="651">
        <f t="shared" si="39"/>
        <v>0.35218444939766536</v>
      </c>
    </row>
    <row r="95" spans="1:16" ht="15.75" thickBot="1">
      <c r="C95" s="647"/>
      <c r="D95" s="647"/>
      <c r="E95" s="647"/>
      <c r="F95" s="647"/>
      <c r="G95" s="647"/>
      <c r="H95" s="647"/>
      <c r="I95" s="647"/>
      <c r="J95" s="647"/>
      <c r="K95" s="647"/>
      <c r="L95" s="647"/>
      <c r="M95" s="647"/>
      <c r="N95" s="647"/>
      <c r="O95" s="647"/>
      <c r="P95" s="647"/>
    </row>
    <row r="96" spans="1:16" s="659" customFormat="1"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</row>
    <row r="97" spans="1:16" s="645" customFormat="1" ht="12.75">
      <c r="A97" s="658" t="s">
        <v>283</v>
      </c>
      <c r="C97" s="646" t="str">
        <f>C4</f>
        <v>Actual</v>
      </c>
      <c r="D97" s="646" t="str">
        <f t="shared" ref="D97:P97" si="40">D4</f>
        <v>Actual</v>
      </c>
      <c r="E97" s="646" t="str">
        <f t="shared" si="40"/>
        <v>Actual</v>
      </c>
      <c r="F97" s="646" t="str">
        <f t="shared" si="40"/>
        <v>Actual</v>
      </c>
      <c r="G97" s="646" t="str">
        <f t="shared" si="40"/>
        <v>Actual</v>
      </c>
      <c r="H97" s="646" t="str">
        <f t="shared" si="40"/>
        <v>Forecast</v>
      </c>
      <c r="I97" s="646" t="str">
        <f t="shared" si="40"/>
        <v>Forecast</v>
      </c>
      <c r="J97" s="646" t="str">
        <f t="shared" si="40"/>
        <v>Forecast</v>
      </c>
      <c r="K97" s="646" t="str">
        <f t="shared" si="40"/>
        <v>Forecast</v>
      </c>
      <c r="L97" s="646" t="str">
        <f t="shared" si="40"/>
        <v>Forecast</v>
      </c>
      <c r="M97" s="646" t="str">
        <f t="shared" si="40"/>
        <v>Forecast</v>
      </c>
      <c r="N97" s="646" t="str">
        <f t="shared" si="40"/>
        <v>Forecast</v>
      </c>
      <c r="O97" s="646" t="str">
        <f t="shared" si="40"/>
        <v>Forecast</v>
      </c>
      <c r="P97" s="646" t="str">
        <f t="shared" si="40"/>
        <v>Forecast</v>
      </c>
    </row>
    <row r="98" spans="1:16" s="645" customFormat="1" ht="12.75">
      <c r="C98" s="646" t="str">
        <f>C5</f>
        <v>2016-17</v>
      </c>
      <c r="D98" s="646" t="str">
        <f t="shared" ref="D98:P98" si="41">D5</f>
        <v>2017-18</v>
      </c>
      <c r="E98" s="646" t="str">
        <f t="shared" si="41"/>
        <v>2018-19</v>
      </c>
      <c r="F98" s="646" t="str">
        <f t="shared" si="41"/>
        <v>2019-20</v>
      </c>
      <c r="G98" s="646" t="str">
        <f t="shared" si="41"/>
        <v>2020-21</v>
      </c>
      <c r="H98" s="646" t="str">
        <f t="shared" si="41"/>
        <v>2021-22</v>
      </c>
      <c r="I98" s="646" t="str">
        <f t="shared" si="41"/>
        <v>2022-23</v>
      </c>
      <c r="J98" s="646" t="str">
        <f t="shared" si="41"/>
        <v>2023-24</v>
      </c>
      <c r="K98" s="646" t="str">
        <f t="shared" si="41"/>
        <v>2024-25</v>
      </c>
      <c r="L98" s="646" t="str">
        <f t="shared" si="41"/>
        <v>2025-26</v>
      </c>
      <c r="M98" s="646" t="str">
        <f t="shared" si="41"/>
        <v>2026-27</v>
      </c>
      <c r="N98" s="646" t="str">
        <f t="shared" si="41"/>
        <v>2027-28</v>
      </c>
      <c r="O98" s="646" t="str">
        <f t="shared" si="41"/>
        <v>2028-29</v>
      </c>
      <c r="P98" s="646" t="str">
        <f t="shared" si="41"/>
        <v>2029-30</v>
      </c>
    </row>
    <row r="99" spans="1:16" s="1515" customFormat="1">
      <c r="C99" s="1516"/>
      <c r="D99" s="1516"/>
      <c r="E99" s="1516"/>
      <c r="F99" s="1516"/>
      <c r="G99" s="1516"/>
      <c r="H99" s="1516"/>
      <c r="I99" s="1516"/>
      <c r="J99" s="1516"/>
      <c r="K99" s="1516"/>
      <c r="L99" s="1516"/>
      <c r="M99" s="1516"/>
      <c r="N99" s="1516"/>
      <c r="O99" s="1516"/>
      <c r="P99" s="1516"/>
    </row>
    <row r="100" spans="1:16" s="656" customFormat="1" ht="29.25" customHeight="1">
      <c r="A100" s="1788" t="s">
        <v>1650</v>
      </c>
      <c r="B100" s="1788"/>
      <c r="C100" s="653">
        <f>C55</f>
        <v>120846.42357378374</v>
      </c>
      <c r="D100" s="653">
        <f t="shared" ref="D100:P100" si="42">D55</f>
        <v>135050.80280840001</v>
      </c>
      <c r="E100" s="653">
        <f t="shared" si="42"/>
        <v>139630.70481917419</v>
      </c>
      <c r="F100" s="653">
        <f t="shared" si="42"/>
        <v>92705.514527608306</v>
      </c>
      <c r="G100" s="653">
        <f t="shared" si="42"/>
        <v>-6050.7251697983738</v>
      </c>
      <c r="H100" s="653">
        <f t="shared" si="42"/>
        <v>66008.652174589603</v>
      </c>
      <c r="I100" s="653">
        <f t="shared" si="42"/>
        <v>-119584.78024694952</v>
      </c>
      <c r="J100" s="653">
        <f t="shared" si="42"/>
        <v>-136972.15130529201</v>
      </c>
      <c r="K100" s="653">
        <f t="shared" si="42"/>
        <v>-71065.831102002936</v>
      </c>
      <c r="L100" s="653">
        <f t="shared" si="42"/>
        <v>9922.6145355579501</v>
      </c>
      <c r="M100" s="653">
        <f t="shared" si="42"/>
        <v>23120.639875700697</v>
      </c>
      <c r="N100" s="653">
        <f t="shared" si="42"/>
        <v>41726.568865672249</v>
      </c>
      <c r="O100" s="653">
        <f t="shared" si="42"/>
        <v>67267.949840325571</v>
      </c>
      <c r="P100" s="653">
        <f t="shared" si="42"/>
        <v>90958.675716950413</v>
      </c>
    </row>
    <row r="101" spans="1:16" s="656" customFormat="1">
      <c r="C101" s="1475"/>
      <c r="D101" s="1475"/>
      <c r="E101" s="1475"/>
      <c r="F101" s="1475"/>
      <c r="G101" s="1475"/>
      <c r="H101" s="1475"/>
      <c r="I101" s="1475"/>
      <c r="J101" s="1475"/>
      <c r="K101" s="1475"/>
      <c r="L101" s="1475"/>
      <c r="M101" s="1475"/>
      <c r="N101" s="1475"/>
      <c r="O101" s="1475"/>
      <c r="P101" s="1475"/>
    </row>
    <row r="102" spans="1:16" s="656" customFormat="1">
      <c r="A102" s="644" t="s">
        <v>1659</v>
      </c>
      <c r="C102" s="647">
        <f>('12 years sales &amp; PL forecast'!I249)/1000</f>
        <v>6909.9577964687078</v>
      </c>
      <c r="D102" s="647">
        <f>('12 years sales &amp; PL forecast'!J249)/1000</f>
        <v>6808.6080000000002</v>
      </c>
      <c r="E102" s="647">
        <f>('12 years sales &amp; PL forecast'!K249)/1000</f>
        <v>7636.5919999999996</v>
      </c>
      <c r="F102" s="647">
        <f>('12 years sales &amp; PL forecast'!L249)/1000</f>
        <v>7789.0230000000001</v>
      </c>
      <c r="G102" s="647">
        <f>('12 years sales &amp; PL forecast'!M249)/1000</f>
        <v>7215.6139999999996</v>
      </c>
      <c r="H102" s="647">
        <f>('12 years sales &amp; PL forecast'!N249)/1000</f>
        <v>7322.1075899999996</v>
      </c>
      <c r="I102" s="647">
        <f>('12 years sales &amp; PL forecast'!O249)/1000</f>
        <v>23510.416448143063</v>
      </c>
      <c r="J102" s="647">
        <f>('12 years sales &amp; PL forecast'!P249)/1000</f>
        <v>21932.096575870037</v>
      </c>
      <c r="K102" s="647">
        <f>('12 years sales &amp; PL forecast'!Q249)/1000</f>
        <v>32988.722605091578</v>
      </c>
      <c r="L102" s="647">
        <f>('12 years sales &amp; PL forecast'!R249)/1000</f>
        <v>68802.675288110346</v>
      </c>
      <c r="M102" s="647">
        <f>('12 years sales &amp; PL forecast'!S249)/1000</f>
        <v>84216.087792613049</v>
      </c>
      <c r="N102" s="647">
        <f>('12 years sales &amp; PL forecast'!T249)/1000</f>
        <v>86245.702638981995</v>
      </c>
      <c r="O102" s="647">
        <f>('12 years sales &amp; PL forecast'!U249)/1000</f>
        <v>88542.86732025235</v>
      </c>
      <c r="P102" s="647">
        <f>('12 years sales &amp; PL forecast'!V249)/1000</f>
        <v>88444.67079907954</v>
      </c>
    </row>
    <row r="103" spans="1:16" s="656" customFormat="1">
      <c r="A103" s="644" t="s">
        <v>1649</v>
      </c>
      <c r="C103" s="647">
        <f>('12 years sales &amp; PL forecast'!I250)/1000</f>
        <v>3830.41</v>
      </c>
      <c r="D103" s="647">
        <f>('12 years sales &amp; PL forecast'!J250)/1000</f>
        <v>5729.272460000001</v>
      </c>
      <c r="E103" s="647">
        <f>('12 years sales &amp; PL forecast'!K250)/1000</f>
        <v>5874.0739800000001</v>
      </c>
      <c r="F103" s="647">
        <f>('12 years sales &amp; PL forecast'!L250)/1000</f>
        <v>9384.7024600000004</v>
      </c>
      <c r="G103" s="647">
        <f>('12 years sales &amp; PL forecast'!M250)/1000</f>
        <v>9822.0161733333316</v>
      </c>
      <c r="H103" s="647">
        <f>('12 years sales &amp; PL forecast'!N250)/1000</f>
        <v>9348.7826100000002</v>
      </c>
      <c r="I103" s="647">
        <f>('12 years sales &amp; PL forecast'!O250)/1000</f>
        <v>103375.36686950359</v>
      </c>
      <c r="J103" s="647">
        <f>('12 years sales &amp; PL forecast'!P250)/1000</f>
        <v>100026.95228196942</v>
      </c>
      <c r="K103" s="647">
        <f>('12 years sales &amp; PL forecast'!Q250)/1000</f>
        <v>86209.996674251553</v>
      </c>
      <c r="L103" s="647">
        <f>('12 years sales &amp; PL forecast'!R250)/1000</f>
        <v>35362.563445813685</v>
      </c>
      <c r="M103" s="647">
        <f>('12 years sales &amp; PL forecast'!S250)/1000</f>
        <v>24687.787489999999</v>
      </c>
      <c r="N103" s="647">
        <f>('12 years sales &amp; PL forecast'!T250)/1000</f>
        <v>24687.787489999999</v>
      </c>
      <c r="O103" s="647">
        <f>('12 years sales &amp; PL forecast'!U250)/1000</f>
        <v>24687.787489999999</v>
      </c>
      <c r="P103" s="647">
        <f>('12 years sales &amp; PL forecast'!V250)/1000</f>
        <v>24687.787489999999</v>
      </c>
    </row>
    <row r="105" spans="1:16" ht="15.75" thickBot="1">
      <c r="A105" s="656" t="s">
        <v>1647</v>
      </c>
      <c r="C105" s="662">
        <f>C100+C102+C103</f>
        <v>131586.79137025244</v>
      </c>
      <c r="D105" s="662">
        <f t="shared" ref="D105:P105" si="43">D100+D102+D103</f>
        <v>147588.68326840003</v>
      </c>
      <c r="E105" s="662">
        <f t="shared" si="43"/>
        <v>153141.37079917418</v>
      </c>
      <c r="F105" s="662">
        <f t="shared" si="43"/>
        <v>109879.23998760831</v>
      </c>
      <c r="G105" s="662">
        <f t="shared" si="43"/>
        <v>10986.905003534957</v>
      </c>
      <c r="H105" s="662">
        <f t="shared" si="43"/>
        <v>82679.542374589597</v>
      </c>
      <c r="I105" s="662">
        <f t="shared" si="43"/>
        <v>7301.0030706971302</v>
      </c>
      <c r="J105" s="662">
        <f t="shared" si="43"/>
        <v>-15013.102447452547</v>
      </c>
      <c r="K105" s="662">
        <f t="shared" si="43"/>
        <v>48132.888177340195</v>
      </c>
      <c r="L105" s="662">
        <f t="shared" si="43"/>
        <v>114087.85326948197</v>
      </c>
      <c r="M105" s="662">
        <f t="shared" si="43"/>
        <v>132024.51515831373</v>
      </c>
      <c r="N105" s="662">
        <f t="shared" si="43"/>
        <v>152660.05899465425</v>
      </c>
      <c r="O105" s="662">
        <f t="shared" si="43"/>
        <v>180498.60465057791</v>
      </c>
      <c r="P105" s="662">
        <f t="shared" si="43"/>
        <v>204091.13400602996</v>
      </c>
    </row>
    <row r="106" spans="1:16">
      <c r="C106" s="1475"/>
      <c r="D106" s="651">
        <f t="shared" ref="D106" si="44">D105/C105-1</f>
        <v>0.12160712888820457</v>
      </c>
      <c r="E106" s="651">
        <f t="shared" ref="E106" si="45">E105/D105-1</f>
        <v>3.7622718814261713E-2</v>
      </c>
      <c r="F106" s="651">
        <f t="shared" ref="F106" si="46">F105/E105-1</f>
        <v>-0.28249799897833461</v>
      </c>
      <c r="G106" s="651">
        <f t="shared" ref="G106" si="47">G105/F105-1</f>
        <v>-0.90000927377388107</v>
      </c>
      <c r="H106" s="651">
        <f t="shared" ref="H106" si="48">H105/G105-1</f>
        <v>6.5252805360552451</v>
      </c>
      <c r="I106" s="651">
        <f t="shared" ref="I106" si="49">I105/H105-1</f>
        <v>-0.91169516834504161</v>
      </c>
      <c r="J106" s="651">
        <f t="shared" ref="J106" si="50">J105/I105-1</f>
        <v>-3.0563068255248704</v>
      </c>
      <c r="K106" s="651">
        <f t="shared" ref="K106" si="51">K105/J105-1</f>
        <v>-4.2060587307527157</v>
      </c>
      <c r="L106" s="651">
        <f t="shared" ref="L106" si="52">L105/K105-1</f>
        <v>1.3702681802334018</v>
      </c>
      <c r="M106" s="651">
        <f t="shared" ref="M106" si="53">M105/L105-1</f>
        <v>0.15721798048442848</v>
      </c>
      <c r="N106" s="651">
        <f t="shared" ref="N106" si="54">N105/M105-1</f>
        <v>0.15630084921422305</v>
      </c>
      <c r="O106" s="651">
        <f t="shared" ref="O106" si="55">O105/N105-1</f>
        <v>0.18235644502730408</v>
      </c>
      <c r="P106" s="651">
        <f t="shared" ref="P106" si="56">P105/O105-1</f>
        <v>0.13070754425566977</v>
      </c>
    </row>
    <row r="107" spans="1:16">
      <c r="C107" s="1475"/>
      <c r="D107" s="651"/>
      <c r="E107" s="651"/>
      <c r="F107" s="651"/>
      <c r="G107" s="651"/>
      <c r="H107" s="651"/>
      <c r="I107" s="651"/>
      <c r="J107" s="651"/>
      <c r="K107" s="651"/>
      <c r="L107" s="651"/>
      <c r="M107" s="651"/>
      <c r="N107" s="651"/>
      <c r="O107" s="651"/>
      <c r="P107" s="651"/>
    </row>
    <row r="108" spans="1:16">
      <c r="A108" s="644" t="s">
        <v>1663</v>
      </c>
      <c r="C108" s="647" t="e">
        <f>SUM(C58:C59)</f>
        <v>#REF!</v>
      </c>
      <c r="D108" s="647" t="e">
        <f t="shared" ref="D108:P108" si="57">SUM(D58:D59)</f>
        <v>#REF!</v>
      </c>
      <c r="E108" s="647">
        <f t="shared" si="57"/>
        <v>2461.1049799999987</v>
      </c>
      <c r="F108" s="647">
        <f t="shared" si="57"/>
        <v>3058.2556300000001</v>
      </c>
      <c r="G108" s="647">
        <f t="shared" si="57"/>
        <v>-18044.13925</v>
      </c>
      <c r="H108" s="647">
        <f t="shared" si="57"/>
        <v>-2328.1570999999985</v>
      </c>
      <c r="I108" s="647">
        <f t="shared" si="57"/>
        <v>5693.7227323150692</v>
      </c>
      <c r="J108" s="647">
        <f t="shared" si="57"/>
        <v>14281.796571352741</v>
      </c>
      <c r="K108" s="647">
        <f t="shared" si="57"/>
        <v>7846.4214940068487</v>
      </c>
      <c r="L108" s="647">
        <f t="shared" si="57"/>
        <v>1486.2396041609588</v>
      </c>
      <c r="M108" s="647">
        <f t="shared" si="57"/>
        <v>97.224322191780828</v>
      </c>
      <c r="N108" s="647">
        <f t="shared" si="57"/>
        <v>14.767683287671234</v>
      </c>
      <c r="O108" s="647">
        <f t="shared" si="57"/>
        <v>0</v>
      </c>
      <c r="P108" s="647" t="e">
        <f t="shared" si="57"/>
        <v>#REF!</v>
      </c>
    </row>
    <row r="109" spans="1:16" hidden="1" outlineLevel="1">
      <c r="A109" s="644" t="s">
        <v>1661</v>
      </c>
      <c r="C109" s="647">
        <f>C77</f>
        <v>0</v>
      </c>
      <c r="D109" s="647">
        <f t="shared" ref="D109:P109" si="58">D77</f>
        <v>0</v>
      </c>
      <c r="E109" s="647">
        <f t="shared" si="58"/>
        <v>0</v>
      </c>
      <c r="F109" s="647">
        <f t="shared" si="58"/>
        <v>0</v>
      </c>
      <c r="G109" s="647">
        <f t="shared" si="58"/>
        <v>0</v>
      </c>
      <c r="H109" s="647">
        <f t="shared" si="58"/>
        <v>0</v>
      </c>
      <c r="I109" s="647">
        <f t="shared" si="58"/>
        <v>0</v>
      </c>
      <c r="J109" s="647">
        <f t="shared" si="58"/>
        <v>0</v>
      </c>
      <c r="K109" s="647">
        <f t="shared" si="58"/>
        <v>0</v>
      </c>
      <c r="L109" s="647">
        <f t="shared" si="58"/>
        <v>0</v>
      </c>
      <c r="M109" s="647">
        <f t="shared" si="58"/>
        <v>0</v>
      </c>
      <c r="N109" s="647">
        <f t="shared" si="58"/>
        <v>0</v>
      </c>
      <c r="O109" s="647">
        <f t="shared" si="58"/>
        <v>0</v>
      </c>
      <c r="P109" s="647">
        <f t="shared" si="58"/>
        <v>0</v>
      </c>
    </row>
    <row r="110" spans="1:16" collapsed="1">
      <c r="A110" s="644" t="s">
        <v>1662</v>
      </c>
      <c r="C110" s="647">
        <f>C77+C89</f>
        <v>16003.55723</v>
      </c>
      <c r="D110" s="647">
        <f t="shared" ref="D110:P110" si="59">D77+D89</f>
        <v>47637.398939999999</v>
      </c>
      <c r="E110" s="647">
        <f t="shared" si="59"/>
        <v>55369.208529999996</v>
      </c>
      <c r="F110" s="647">
        <f t="shared" si="59"/>
        <v>69097.634259999992</v>
      </c>
      <c r="G110" s="647">
        <f t="shared" si="59"/>
        <v>72701.058354269728</v>
      </c>
      <c r="H110" s="647">
        <f t="shared" si="59"/>
        <v>81550.658639999994</v>
      </c>
      <c r="I110" s="647">
        <f t="shared" si="59"/>
        <v>0</v>
      </c>
      <c r="J110" s="647">
        <f t="shared" si="59"/>
        <v>0</v>
      </c>
      <c r="K110" s="647">
        <f t="shared" si="59"/>
        <v>0</v>
      </c>
      <c r="L110" s="647">
        <f t="shared" si="59"/>
        <v>0</v>
      </c>
      <c r="M110" s="647">
        <f t="shared" si="59"/>
        <v>0</v>
      </c>
      <c r="N110" s="647">
        <f t="shared" si="59"/>
        <v>0</v>
      </c>
      <c r="O110" s="647">
        <f t="shared" si="59"/>
        <v>0</v>
      </c>
      <c r="P110" s="647">
        <f t="shared" si="59"/>
        <v>0</v>
      </c>
    </row>
    <row r="111" spans="1:16">
      <c r="A111" s="644"/>
      <c r="C111" s="647"/>
      <c r="D111" s="647"/>
      <c r="E111" s="647"/>
      <c r="F111" s="647"/>
      <c r="G111" s="647"/>
      <c r="H111" s="647"/>
      <c r="I111" s="647"/>
      <c r="J111" s="647"/>
      <c r="K111" s="647"/>
      <c r="L111" s="647"/>
      <c r="M111" s="647"/>
      <c r="N111" s="647"/>
      <c r="O111" s="647"/>
      <c r="P111" s="647"/>
    </row>
    <row r="112" spans="1:16">
      <c r="A112" s="644" t="s">
        <v>1660</v>
      </c>
      <c r="C112" s="647">
        <f>('12 years sales &amp; PL forecast'!I251)/1000</f>
        <v>0</v>
      </c>
      <c r="D112" s="647">
        <f>('12 years sales &amp; PL forecast'!J251)/1000</f>
        <v>0</v>
      </c>
      <c r="E112" s="647">
        <f>('12 years sales &amp; PL forecast'!K251)/1000</f>
        <v>0.17199999999999999</v>
      </c>
      <c r="F112" s="647">
        <f>('12 years sales &amp; PL forecast'!L251)/1000</f>
        <v>4.8263299999999987</v>
      </c>
      <c r="G112" s="647">
        <f>('12 years sales &amp; PL forecast'!M251)/1000</f>
        <v>5.7886766666666674</v>
      </c>
      <c r="H112" s="647">
        <f>('12 years sales &amp; PL forecast'!N251)/1000</f>
        <v>17020.187449999998</v>
      </c>
      <c r="I112" s="647">
        <f>('12 years sales &amp; PL forecast'!O251)/1000</f>
        <v>0</v>
      </c>
      <c r="J112" s="647">
        <f>('12 years sales &amp; PL forecast'!P251)/1000</f>
        <v>0</v>
      </c>
      <c r="K112" s="647">
        <f>('12 years sales &amp; PL forecast'!Q251)/1000</f>
        <v>0</v>
      </c>
      <c r="L112" s="647">
        <f>('12 years sales &amp; PL forecast'!R251)/1000</f>
        <v>0</v>
      </c>
      <c r="M112" s="647">
        <f>('12 years sales &amp; PL forecast'!S251)/1000</f>
        <v>0</v>
      </c>
      <c r="N112" s="647">
        <f>('12 years sales &amp; PL forecast'!T251)/1000</f>
        <v>0</v>
      </c>
      <c r="O112" s="647">
        <f>('12 years sales &amp; PL forecast'!U251)/1000</f>
        <v>0</v>
      </c>
      <c r="P112" s="647">
        <f>('12 years sales &amp; PL forecast'!V251)/1000</f>
        <v>0</v>
      </c>
    </row>
    <row r="113" spans="1:16">
      <c r="A113" s="644" t="s">
        <v>1651</v>
      </c>
      <c r="C113" s="647" t="e">
        <f>C59</f>
        <v>#REF!</v>
      </c>
      <c r="D113" s="647" t="e">
        <f t="shared" ref="D113:P113" si="60">D59</f>
        <v>#REF!</v>
      </c>
      <c r="E113" s="647">
        <f t="shared" si="60"/>
        <v>0</v>
      </c>
      <c r="F113" s="647">
        <f t="shared" si="60"/>
        <v>0</v>
      </c>
      <c r="G113" s="647">
        <f t="shared" si="60"/>
        <v>0</v>
      </c>
      <c r="H113" s="647">
        <f t="shared" si="60"/>
        <v>1948.97054</v>
      </c>
      <c r="I113" s="647">
        <f t="shared" si="60"/>
        <v>11163.722732315069</v>
      </c>
      <c r="J113" s="647">
        <f t="shared" si="60"/>
        <v>14281.796571352741</v>
      </c>
      <c r="K113" s="647">
        <f t="shared" si="60"/>
        <v>7846.4214940068487</v>
      </c>
      <c r="L113" s="647">
        <f t="shared" si="60"/>
        <v>1486.2396041609588</v>
      </c>
      <c r="M113" s="647">
        <f t="shared" si="60"/>
        <v>97.224322191780828</v>
      </c>
      <c r="N113" s="647">
        <f t="shared" si="60"/>
        <v>14.767683287671234</v>
      </c>
      <c r="O113" s="647">
        <f t="shared" si="60"/>
        <v>0</v>
      </c>
      <c r="P113" s="647" t="e">
        <f t="shared" si="60"/>
        <v>#REF!</v>
      </c>
    </row>
    <row r="115" spans="1:16" s="656" customFormat="1" ht="15.75" thickBot="1">
      <c r="A115" s="656" t="s">
        <v>1648</v>
      </c>
      <c r="C115" s="662" t="e">
        <f t="shared" ref="C115:P115" si="61">C105-SUM(C108:C110)+SUM(C112:C113)</f>
        <v>#REF!</v>
      </c>
      <c r="D115" s="662" t="e">
        <f t="shared" si="61"/>
        <v>#REF!</v>
      </c>
      <c r="E115" s="662">
        <f t="shared" si="61"/>
        <v>95311.229289174196</v>
      </c>
      <c r="F115" s="662">
        <f t="shared" si="61"/>
        <v>37728.176427608319</v>
      </c>
      <c r="G115" s="662">
        <f t="shared" si="61"/>
        <v>-43664.225424068107</v>
      </c>
      <c r="H115" s="662">
        <f t="shared" si="61"/>
        <v>22426.198824589595</v>
      </c>
      <c r="I115" s="662">
        <f t="shared" si="61"/>
        <v>12771.00307069713</v>
      </c>
      <c r="J115" s="662">
        <f t="shared" si="61"/>
        <v>-15013.102447452547</v>
      </c>
      <c r="K115" s="662">
        <f t="shared" si="61"/>
        <v>48132.888177340195</v>
      </c>
      <c r="L115" s="662">
        <f t="shared" si="61"/>
        <v>114087.85326948197</v>
      </c>
      <c r="M115" s="662">
        <f t="shared" si="61"/>
        <v>132024.51515831373</v>
      </c>
      <c r="N115" s="662">
        <f t="shared" si="61"/>
        <v>152660.05899465425</v>
      </c>
      <c r="O115" s="662">
        <f t="shared" si="61"/>
        <v>180498.60465057791</v>
      </c>
      <c r="P115" s="662" t="e">
        <f t="shared" si="61"/>
        <v>#REF!</v>
      </c>
    </row>
    <row r="116" spans="1:16">
      <c r="B116" s="649"/>
      <c r="C116" s="650"/>
      <c r="D116" s="651" t="e">
        <f t="shared" ref="D116" si="62">D115/C115-1</f>
        <v>#REF!</v>
      </c>
      <c r="E116" s="651" t="e">
        <f t="shared" ref="E116" si="63">E115/D115-1</f>
        <v>#REF!</v>
      </c>
      <c r="F116" s="651">
        <f t="shared" ref="F116" si="64">F115/E115-1</f>
        <v>-0.60415811747489834</v>
      </c>
      <c r="G116" s="651">
        <f t="shared" ref="G116" si="65">G115/F115-1</f>
        <v>-2.1573372889582858</v>
      </c>
      <c r="H116" s="651">
        <f t="shared" ref="H116" si="66">H115/G115-1</f>
        <v>-1.5136057861277914</v>
      </c>
      <c r="I116" s="651">
        <f t="shared" ref="I116" si="67">I115/H115-1</f>
        <v>-0.43053197866532145</v>
      </c>
      <c r="J116" s="651">
        <f t="shared" ref="J116" si="68">J115/I115-1</f>
        <v>-2.1755617287337343</v>
      </c>
      <c r="K116" s="651">
        <f t="shared" ref="K116" si="69">K115/J115-1</f>
        <v>-4.2060587307527157</v>
      </c>
      <c r="L116" s="651">
        <f t="shared" ref="L116" si="70">L115/K115-1</f>
        <v>1.3702681802334018</v>
      </c>
      <c r="M116" s="651">
        <f t="shared" ref="M116" si="71">M115/L115-1</f>
        <v>0.15721798048442848</v>
      </c>
      <c r="N116" s="651">
        <f t="shared" ref="N116" si="72">N115/M115-1</f>
        <v>0.15630084921422305</v>
      </c>
      <c r="O116" s="651">
        <f t="shared" ref="O116" si="73">O115/N115-1</f>
        <v>0.18235644502730408</v>
      </c>
      <c r="P116" s="651" t="e">
        <f t="shared" ref="P116" si="74">P115/O115-1</f>
        <v>#REF!</v>
      </c>
    </row>
    <row r="117" spans="1:16" ht="15.75" thickBot="1"/>
    <row r="118" spans="1:16" s="659" customFormat="1">
      <c r="C118" s="660"/>
      <c r="D118" s="660"/>
      <c r="E118" s="660"/>
      <c r="F118" s="660"/>
      <c r="G118" s="660"/>
      <c r="H118" s="660"/>
      <c r="I118" s="660"/>
      <c r="J118" s="660"/>
      <c r="K118" s="660"/>
      <c r="L118" s="660"/>
      <c r="M118" s="660"/>
      <c r="N118" s="660"/>
      <c r="O118" s="660"/>
      <c r="P118" s="660"/>
    </row>
  </sheetData>
  <mergeCells count="2">
    <mergeCell ref="A55:B55"/>
    <mergeCell ref="A100:B100"/>
  </mergeCells>
  <phoneticPr fontId="301" type="noConversion"/>
  <pageMargins left="0.7" right="0.7" top="0.75" bottom="0.75" header="0.3" footer="0.3"/>
  <pageSetup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7" tint="0.39997558519241921"/>
  </sheetPr>
  <dimension ref="A1:AA70"/>
  <sheetViews>
    <sheetView workbookViewId="0">
      <selection activeCell="D6" sqref="D6"/>
    </sheetView>
  </sheetViews>
  <sheetFormatPr defaultColWidth="9.140625" defaultRowHeight="15" outlineLevelRow="1" outlineLevelCol="1"/>
  <cols>
    <col min="1" max="1" width="1.42578125" style="664" customWidth="1"/>
    <col min="2" max="2" width="45.28515625" style="664" customWidth="1"/>
    <col min="3" max="3" width="10.85546875" style="664" hidden="1" customWidth="1" outlineLevel="1"/>
    <col min="4" max="4" width="10.85546875" style="664" customWidth="1" collapsed="1"/>
    <col min="5" max="11" width="10.85546875" style="664" customWidth="1"/>
    <col min="12" max="12" width="13.42578125" style="664" customWidth="1" outlineLevel="1"/>
    <col min="13" max="13" width="9.140625" style="664"/>
    <col min="14" max="14" width="13" style="664" customWidth="1"/>
    <col min="15" max="16" width="9.140625" style="664"/>
    <col min="17" max="17" width="40" style="742" customWidth="1"/>
    <col min="18" max="25" width="12.42578125" style="664" bestFit="1" customWidth="1"/>
    <col min="26" max="26" width="11.7109375" style="664" bestFit="1" customWidth="1"/>
    <col min="27" max="27" width="11.5703125" style="664" bestFit="1" customWidth="1"/>
    <col min="28" max="16384" width="9.140625" style="664"/>
  </cols>
  <sheetData>
    <row r="1" spans="1:27">
      <c r="A1" s="644" t="s">
        <v>285</v>
      </c>
      <c r="N1" s="676" t="s">
        <v>886</v>
      </c>
      <c r="O1" s="676" t="str">
        <f>'Cashflow trend'!F2</f>
        <v>n</v>
      </c>
    </row>
    <row r="2" spans="1:27">
      <c r="A2" s="644" t="s">
        <v>866</v>
      </c>
      <c r="N2" s="677" t="s">
        <v>887</v>
      </c>
      <c r="O2" s="677" t="str">
        <f>IF(O1="Y",'Cashflow trend'!H13,"N")</f>
        <v>N</v>
      </c>
    </row>
    <row r="3" spans="1:27">
      <c r="N3" s="677" t="s">
        <v>888</v>
      </c>
      <c r="O3" s="677" t="str">
        <f>IF(O1="Y",'Cashflow trend'!I13,"N")</f>
        <v>N</v>
      </c>
    </row>
    <row r="4" spans="1:27" s="665" customFormat="1" ht="12.75">
      <c r="A4" s="658" t="s">
        <v>283</v>
      </c>
      <c r="C4" s="666" t="s">
        <v>51</v>
      </c>
      <c r="D4" s="666" t="s">
        <v>53</v>
      </c>
      <c r="E4" s="666" t="s">
        <v>53</v>
      </c>
      <c r="F4" s="666" t="s">
        <v>53</v>
      </c>
      <c r="G4" s="666" t="s">
        <v>53</v>
      </c>
      <c r="H4" s="666" t="s">
        <v>53</v>
      </c>
      <c r="I4" s="666" t="s">
        <v>53</v>
      </c>
      <c r="J4" s="666" t="s">
        <v>53</v>
      </c>
      <c r="K4" s="666" t="s">
        <v>53</v>
      </c>
      <c r="L4" s="666" t="s">
        <v>53</v>
      </c>
      <c r="Q4" s="743" t="s">
        <v>917</v>
      </c>
      <c r="R4" s="666" t="s">
        <v>51</v>
      </c>
      <c r="S4" s="666" t="s">
        <v>53</v>
      </c>
      <c r="T4" s="666" t="s">
        <v>53</v>
      </c>
      <c r="U4" s="666" t="s">
        <v>53</v>
      </c>
      <c r="V4" s="666" t="s">
        <v>53</v>
      </c>
      <c r="W4" s="666" t="s">
        <v>53</v>
      </c>
      <c r="X4" s="666" t="s">
        <v>53</v>
      </c>
      <c r="Y4" s="666" t="s">
        <v>53</v>
      </c>
      <c r="Z4" s="666" t="s">
        <v>53</v>
      </c>
      <c r="AA4" s="666" t="s">
        <v>53</v>
      </c>
    </row>
    <row r="5" spans="1:27" s="665" customFormat="1">
      <c r="C5" s="667" t="s">
        <v>5</v>
      </c>
      <c r="D5" s="667" t="s">
        <v>6</v>
      </c>
      <c r="E5" s="667" t="s">
        <v>7</v>
      </c>
      <c r="F5" s="667" t="s">
        <v>13</v>
      </c>
      <c r="G5" s="667" t="s">
        <v>14</v>
      </c>
      <c r="H5" s="667" t="s">
        <v>15</v>
      </c>
      <c r="I5" s="667" t="s">
        <v>16</v>
      </c>
      <c r="J5" s="667" t="s">
        <v>17</v>
      </c>
      <c r="K5" s="667" t="s">
        <v>18</v>
      </c>
      <c r="L5" s="667" t="s">
        <v>19</v>
      </c>
      <c r="Q5" s="553" t="s">
        <v>10</v>
      </c>
      <c r="R5" s="556" t="s">
        <v>5</v>
      </c>
      <c r="S5" s="556" t="s">
        <v>6</v>
      </c>
      <c r="T5" s="556" t="s">
        <v>7</v>
      </c>
      <c r="U5" s="556" t="s">
        <v>13</v>
      </c>
      <c r="V5" s="556" t="s">
        <v>14</v>
      </c>
      <c r="W5" s="556" t="s">
        <v>15</v>
      </c>
      <c r="X5" s="556" t="s">
        <v>16</v>
      </c>
      <c r="Y5" s="556" t="s">
        <v>17</v>
      </c>
      <c r="Z5" s="556" t="s">
        <v>18</v>
      </c>
      <c r="AA5" s="556" t="s">
        <v>19</v>
      </c>
    </row>
    <row r="6" spans="1:27">
      <c r="Q6" s="757" t="s">
        <v>208</v>
      </c>
      <c r="R6" s="749">
        <f t="shared" ref="R6:AA6" si="0">C15+C36</f>
        <v>55727.6668187018</v>
      </c>
      <c r="S6" s="749">
        <f t="shared" si="0"/>
        <v>107815.04379718711</v>
      </c>
      <c r="T6" s="749">
        <f t="shared" si="0"/>
        <v>-38432.28231040806</v>
      </c>
      <c r="U6" s="749">
        <f t="shared" si="0"/>
        <v>-16833.74283209124</v>
      </c>
      <c r="V6" s="749">
        <f t="shared" si="0"/>
        <v>53718.386365368948</v>
      </c>
      <c r="W6" s="749">
        <f t="shared" si="0"/>
        <v>107014.52912232481</v>
      </c>
      <c r="X6" s="749">
        <f t="shared" si="0"/>
        <v>119442.35516330956</v>
      </c>
      <c r="Y6" s="749">
        <f t="shared" si="0"/>
        <v>138802.92971995889</v>
      </c>
      <c r="Z6" s="749">
        <f t="shared" si="0"/>
        <v>168335.48200252643</v>
      </c>
      <c r="AA6" s="749">
        <f t="shared" si="0"/>
        <v>190757.73388502028</v>
      </c>
    </row>
    <row r="7" spans="1:27" s="644" customFormat="1">
      <c r="A7" s="644" t="s">
        <v>867</v>
      </c>
      <c r="Q7" s="757" t="s">
        <v>209</v>
      </c>
      <c r="R7" s="749">
        <f t="shared" ref="R7:AA7" si="1">C23</f>
        <v>-54651.130427603064</v>
      </c>
      <c r="S7" s="749">
        <f t="shared" si="1"/>
        <v>-59505.343550000005</v>
      </c>
      <c r="T7" s="749">
        <f t="shared" si="1"/>
        <v>-730</v>
      </c>
      <c r="U7" s="749">
        <f t="shared" si="1"/>
        <v>-5475</v>
      </c>
      <c r="V7" s="749">
        <f t="shared" si="1"/>
        <v>-6784</v>
      </c>
      <c r="W7" s="749">
        <f t="shared" si="1"/>
        <v>0</v>
      </c>
      <c r="X7" s="749">
        <f t="shared" si="1"/>
        <v>0</v>
      </c>
      <c r="Y7" s="749">
        <f t="shared" si="1"/>
        <v>0</v>
      </c>
      <c r="Z7" s="749">
        <f t="shared" si="1"/>
        <v>0</v>
      </c>
      <c r="AA7" s="749">
        <f t="shared" si="1"/>
        <v>0</v>
      </c>
    </row>
    <row r="8" spans="1:27">
      <c r="B8" s="664" t="s">
        <v>868</v>
      </c>
      <c r="C8" s="668">
        <f>'Cashflow forecast'!N13/1000</f>
        <v>-6050.7251697983447</v>
      </c>
      <c r="D8" s="668">
        <f>'Cashflow forecast'!O13/1000</f>
        <v>66008.652174589573</v>
      </c>
      <c r="E8" s="668">
        <f>'Cashflow forecast'!P13/1000</f>
        <v>-119584.78024694961</v>
      </c>
      <c r="F8" s="668">
        <f>'Cashflow forecast'!Q13/1000</f>
        <v>-136972.15130529203</v>
      </c>
      <c r="G8" s="668">
        <f>'Cashflow forecast'!R13/1000</f>
        <v>-71065.831102002892</v>
      </c>
      <c r="H8" s="668">
        <f>'Cashflow forecast'!S13/1000</f>
        <v>9922.6145355579847</v>
      </c>
      <c r="I8" s="668">
        <f>'Cashflow forecast'!T13/1000</f>
        <v>23120.639875700712</v>
      </c>
      <c r="J8" s="668">
        <f>'Cashflow forecast'!U13/1000</f>
        <v>41726.568865672169</v>
      </c>
      <c r="K8" s="668">
        <f>'Cashflow forecast'!V13/1000</f>
        <v>67267.949840325629</v>
      </c>
      <c r="L8" s="668">
        <f>'Cashflow forecast'!W13/1000</f>
        <v>90958.67571695018</v>
      </c>
      <c r="Q8" s="757" t="s">
        <v>210</v>
      </c>
      <c r="R8" s="749">
        <f t="shared" ref="R8:AA8" si="2">C37+C38</f>
        <v>-77663.557990000016</v>
      </c>
      <c r="S8" s="749">
        <f t="shared" si="2"/>
        <v>-82747.448000000004</v>
      </c>
      <c r="T8" s="749">
        <f t="shared" si="2"/>
        <v>-30414.409</v>
      </c>
      <c r="U8" s="749">
        <f t="shared" si="2"/>
        <v>0</v>
      </c>
      <c r="V8" s="749">
        <f t="shared" si="2"/>
        <v>0</v>
      </c>
      <c r="W8" s="749">
        <f t="shared" si="2"/>
        <v>0</v>
      </c>
      <c r="X8" s="749">
        <f t="shared" si="2"/>
        <v>0</v>
      </c>
      <c r="Y8" s="749">
        <f t="shared" si="2"/>
        <v>0</v>
      </c>
      <c r="Z8" s="749">
        <f t="shared" si="2"/>
        <v>0</v>
      </c>
      <c r="AA8" s="749">
        <f t="shared" si="2"/>
        <v>0</v>
      </c>
    </row>
    <row r="9" spans="1:27">
      <c r="C9" s="668"/>
      <c r="D9" s="668"/>
      <c r="E9" s="668"/>
      <c r="F9" s="668"/>
      <c r="G9" s="668"/>
      <c r="H9" s="668"/>
      <c r="I9" s="668"/>
      <c r="J9" s="668"/>
      <c r="K9" s="668"/>
      <c r="L9" s="668"/>
      <c r="Q9" s="757" t="s">
        <v>211</v>
      </c>
      <c r="R9" s="749">
        <f t="shared" ref="R9:AA9" si="3">C55</f>
        <v>109523.5082116667</v>
      </c>
      <c r="S9" s="749">
        <f t="shared" si="3"/>
        <v>4753.9463521917787</v>
      </c>
      <c r="T9" s="749">
        <f t="shared" si="3"/>
        <v>-569.82714360731188</v>
      </c>
      <c r="U9" s="749">
        <f t="shared" si="3"/>
        <v>-200476.79657135275</v>
      </c>
      <c r="V9" s="749">
        <f t="shared" si="3"/>
        <v>-280416.42149400682</v>
      </c>
      <c r="W9" s="749">
        <f t="shared" si="3"/>
        <v>-140681.23960416095</v>
      </c>
      <c r="X9" s="749">
        <f t="shared" si="3"/>
        <v>-4417.2243221917806</v>
      </c>
      <c r="Y9" s="749">
        <f t="shared" si="3"/>
        <v>-1659.7676832876714</v>
      </c>
      <c r="Z9" s="749">
        <f t="shared" si="3"/>
        <v>0</v>
      </c>
      <c r="AA9" s="749">
        <f t="shared" si="3"/>
        <v>0</v>
      </c>
    </row>
    <row r="10" spans="1:27">
      <c r="B10" s="664" t="s">
        <v>869</v>
      </c>
      <c r="C10" s="668">
        <f>'Cashflow forecast'!N16/1000</f>
        <v>9822.0161733333316</v>
      </c>
      <c r="D10" s="668">
        <f>'Cashflow forecast'!O16/1000</f>
        <v>9348.7826100000002</v>
      </c>
      <c r="E10" s="668">
        <f>'Cashflow forecast'!P16/1000</f>
        <v>103375.36686950359</v>
      </c>
      <c r="F10" s="668">
        <f>'Cashflow forecast'!Q16/1000</f>
        <v>100026.95228196942</v>
      </c>
      <c r="G10" s="668">
        <f>'Cashflow forecast'!R16/1000</f>
        <v>86209.996674251553</v>
      </c>
      <c r="H10" s="668">
        <f>'Cashflow forecast'!S16/1000</f>
        <v>35362.563445813685</v>
      </c>
      <c r="I10" s="668">
        <f>'Cashflow forecast'!T16/1000</f>
        <v>24687.787489999999</v>
      </c>
      <c r="J10" s="668">
        <f>'Cashflow forecast'!U16/1000</f>
        <v>24687.787489999999</v>
      </c>
      <c r="K10" s="668">
        <f>'Cashflow forecast'!V16/1000</f>
        <v>24687.787489999999</v>
      </c>
      <c r="L10" s="668">
        <f>'Cashflow forecast'!W16/1000</f>
        <v>24687.787489999999</v>
      </c>
      <c r="Q10" s="554" t="s">
        <v>212</v>
      </c>
      <c r="R10" s="758">
        <f t="shared" ref="R10:AA10" si="4">C61</f>
        <v>165676.57245760836</v>
      </c>
      <c r="S10" s="758">
        <f t="shared" si="4"/>
        <v>135992.77105698726</v>
      </c>
      <c r="T10" s="758">
        <f t="shared" si="4"/>
        <v>65846.252602971887</v>
      </c>
      <c r="U10" s="758">
        <f t="shared" si="4"/>
        <v>-156939.28680047209</v>
      </c>
      <c r="V10" s="758">
        <f t="shared" si="4"/>
        <v>-390421.32192910998</v>
      </c>
      <c r="W10" s="758">
        <f t="shared" si="4"/>
        <v>-424088.03241094609</v>
      </c>
      <c r="X10" s="758">
        <f t="shared" si="4"/>
        <v>-309062.90156982827</v>
      </c>
      <c r="Y10" s="758">
        <f t="shared" si="4"/>
        <v>-171919.73953315706</v>
      </c>
      <c r="Z10" s="758">
        <f t="shared" si="4"/>
        <v>-3584.2575306306244</v>
      </c>
      <c r="AA10" s="758">
        <f t="shared" si="4"/>
        <v>187173.47635438966</v>
      </c>
    </row>
    <row r="11" spans="1:27">
      <c r="B11" s="664" t="s">
        <v>1645</v>
      </c>
      <c r="C11" s="668">
        <f>'Cashflow forecast'!N18/1000</f>
        <v>51527.134084068108</v>
      </c>
      <c r="D11" s="668">
        <f>'Cashflow forecast'!O18/1000</f>
        <v>72395.050845410384</v>
      </c>
      <c r="E11" s="668">
        <f>'Cashflow forecast'!P18/1000</f>
        <v>68377.110958265403</v>
      </c>
      <c r="F11" s="668">
        <f>'Cashflow forecast'!Q18/1000</f>
        <v>94561.645326118931</v>
      </c>
      <c r="G11" s="668">
        <f>'Cashflow forecast'!R18/1000</f>
        <v>113947.50284077211</v>
      </c>
      <c r="H11" s="668">
        <f>'Cashflow forecast'!S18/1000</f>
        <v>171891.03273249613</v>
      </c>
      <c r="I11" s="668">
        <f>'Cashflow forecast'!T18/1000</f>
        <v>203654.87257452626</v>
      </c>
      <c r="J11" s="668">
        <f>'Cashflow forecast'!U18/1000</f>
        <v>211708.68793130189</v>
      </c>
      <c r="K11" s="668">
        <f>'Cashflow forecast'!V18/1000</f>
        <v>228110.20088914456</v>
      </c>
      <c r="L11" s="668">
        <f>'Cashflow forecast'!W18/1000</f>
        <v>240454.86342827743</v>
      </c>
      <c r="Q11" s="555" t="s">
        <v>1361</v>
      </c>
      <c r="R11" s="759">
        <f>'Cashflow trend'!G24</f>
        <v>0</v>
      </c>
      <c r="S11" s="759">
        <f>'Cashflow trend'!H24</f>
        <v>-100000</v>
      </c>
      <c r="T11" s="759">
        <f>'Cashflow trend'!I24</f>
        <v>-300000</v>
      </c>
      <c r="U11" s="759">
        <f>'Cashflow trend'!J24</f>
        <v>-350000</v>
      </c>
      <c r="V11" s="759">
        <f>'Cashflow trend'!K24</f>
        <v>-350000</v>
      </c>
      <c r="W11" s="759">
        <f>'Cashflow trend'!L24</f>
        <v>-350000</v>
      </c>
      <c r="X11" s="759">
        <f>'Cashflow trend'!M24</f>
        <v>-350000</v>
      </c>
      <c r="Y11" s="759">
        <f>'Cashflow trend'!N24</f>
        <v>-350000</v>
      </c>
      <c r="Z11" s="759">
        <f>'Cashflow trend'!O24</f>
        <v>-350000</v>
      </c>
      <c r="AA11" s="759">
        <f>'Cashflow trend'!P24</f>
        <v>-350000</v>
      </c>
    </row>
    <row r="12" spans="1:27">
      <c r="B12" s="767" t="s">
        <v>927</v>
      </c>
      <c r="C12" s="668">
        <f>'Cashflow forecast'!N20/1000</f>
        <v>-38917.781000000003</v>
      </c>
      <c r="D12" s="668">
        <f>'Cashflow forecast'!O20/1000</f>
        <v>-39130.191829999996</v>
      </c>
      <c r="E12" s="668">
        <f>'Cashflow forecast'!P20/1000</f>
        <v>-63557.684044149246</v>
      </c>
      <c r="F12" s="668">
        <f>'Cashflow forecast'!Q20/1000</f>
        <v>-70373.123266186914</v>
      </c>
      <c r="G12" s="668">
        <f>'Cashflow forecast'!R20/1000</f>
        <v>-70814.050935573716</v>
      </c>
      <c r="H12" s="668">
        <f>'Cashflow forecast'!S20/1000</f>
        <v>-102906.50493645904</v>
      </c>
      <c r="I12" s="668">
        <f>'Cashflow forecast'!T20/1000</f>
        <v>-121554.5520659277</v>
      </c>
      <c r="J12" s="668">
        <f>'Cashflow forecast'!U20/1000</f>
        <v>-126776.63555876051</v>
      </c>
      <c r="K12" s="668">
        <f>'Cashflow forecast'!V20/1000</f>
        <v>-139024.74660206595</v>
      </c>
      <c r="L12" s="668">
        <f>'Cashflow forecast'!W20/1000</f>
        <v>-151530.73330234579</v>
      </c>
      <c r="Q12" s="555" t="s">
        <v>1285</v>
      </c>
      <c r="R12" s="759">
        <f>-'Cashflow forecast'!N90/1000</f>
        <v>-921500</v>
      </c>
      <c r="S12" s="759">
        <f>-'Cashflow forecast'!O90/1000</f>
        <v>-824500</v>
      </c>
      <c r="T12" s="759">
        <f>-'Cashflow forecast'!P90/1000</f>
        <v>-630500</v>
      </c>
      <c r="U12" s="759">
        <f>-'Cashflow forecast'!Q90/1000</f>
        <v>-400125</v>
      </c>
      <c r="V12" s="759">
        <f>-'Cashflow forecast'!R90/1000</f>
        <v>-133374.99999999997</v>
      </c>
      <c r="W12" s="759">
        <f>-'Cashflow forecast'!S90/1000</f>
        <v>4.470348358154297E-11</v>
      </c>
      <c r="X12" s="759">
        <f>-'Cashflow forecast'!T90/1000</f>
        <v>4.470348358154297E-11</v>
      </c>
      <c r="Y12" s="759">
        <f>-'Cashflow forecast'!U90/1000</f>
        <v>4.470348358154297E-11</v>
      </c>
      <c r="Z12" s="759">
        <f>-'Cashflow forecast'!V90/1000</f>
        <v>4.470348358154297E-11</v>
      </c>
      <c r="AA12" s="759">
        <f>-'Cashflow forecast'!W90/1000</f>
        <v>4.470348358154297E-11</v>
      </c>
    </row>
    <row r="13" spans="1:27">
      <c r="B13" s="664" t="s">
        <v>871</v>
      </c>
      <c r="C13" s="668">
        <f>'Cashflow forecast'!N22/1000</f>
        <v>267.66500000000002</v>
      </c>
      <c r="D13" s="668">
        <f>'Cashflow forecast'!O22/1000</f>
        <v>554.5619971871613</v>
      </c>
      <c r="E13" s="668">
        <f>'Cashflow forecast'!P22/1000</f>
        <v>-2613.4958470781994</v>
      </c>
      <c r="F13" s="668">
        <f>'Cashflow forecast'!Q22/1000</f>
        <v>-1077.0658687006476</v>
      </c>
      <c r="G13" s="668">
        <f>'Cashflow forecast'!R22/1000</f>
        <v>-1559.2311120781051</v>
      </c>
      <c r="H13" s="668">
        <f>'Cashflow forecast'!S22/1000</f>
        <v>-2255.1766550839498</v>
      </c>
      <c r="I13" s="668">
        <f>'Cashflow forecast'!T22/1000</f>
        <v>-2466.3927109897145</v>
      </c>
      <c r="J13" s="668">
        <f>'Cashflow forecast'!U22/1000</f>
        <v>-2543.4790082546938</v>
      </c>
      <c r="K13" s="668">
        <f>'Cashflow forecast'!V22/1000</f>
        <v>-2705.7096148778151</v>
      </c>
      <c r="L13" s="668">
        <f>'Cashflow forecast'!W22/1000</f>
        <v>-3812.859447861535</v>
      </c>
      <c r="Q13" s="555" t="s">
        <v>1593</v>
      </c>
      <c r="R13" s="759">
        <f>'Cashflow trend'!G26</f>
        <v>0</v>
      </c>
      <c r="S13" s="759">
        <f>'Cashflow trend'!H26</f>
        <v>0</v>
      </c>
      <c r="T13" s="759">
        <f>'Cashflow trend'!I26</f>
        <v>0</v>
      </c>
      <c r="U13" s="759">
        <f>'Cashflow trend'!J26</f>
        <v>0</v>
      </c>
      <c r="V13" s="759">
        <f>'Cashflow trend'!K26</f>
        <v>0</v>
      </c>
      <c r="W13" s="759">
        <f>'Cashflow trend'!L26</f>
        <v>0</v>
      </c>
      <c r="X13" s="759">
        <f>'Cashflow trend'!M26</f>
        <v>0</v>
      </c>
      <c r="Y13" s="759">
        <f>'Cashflow trend'!N26</f>
        <v>0</v>
      </c>
      <c r="Z13" s="759">
        <f>'Cashflow trend'!O26</f>
        <v>0</v>
      </c>
      <c r="AA13" s="759">
        <f>'Cashflow trend'!P26</f>
        <v>0</v>
      </c>
    </row>
    <row r="14" spans="1:27">
      <c r="C14" s="668">
        <f>('Cashflow forecast'!N17+'Cashflow forecast'!N21)/1000</f>
        <v>39929.357731098709</v>
      </c>
      <c r="D14" s="668"/>
      <c r="E14" s="668"/>
      <c r="F14" s="668"/>
      <c r="G14" s="668"/>
      <c r="H14" s="668"/>
      <c r="I14" s="668"/>
      <c r="J14" s="668"/>
      <c r="K14" s="668"/>
      <c r="L14" s="668"/>
      <c r="Q14" s="750">
        <f>C59</f>
        <v>132740.08584484292</v>
      </c>
    </row>
    <row r="15" spans="1:27">
      <c r="A15" s="644"/>
      <c r="B15" s="644" t="s">
        <v>870</v>
      </c>
      <c r="C15" s="648">
        <f t="shared" ref="C15:L15" si="5">SUM(C7:C14)</f>
        <v>56577.6668187018</v>
      </c>
      <c r="D15" s="648">
        <f t="shared" si="5"/>
        <v>109176.85579718712</v>
      </c>
      <c r="E15" s="648">
        <f t="shared" si="5"/>
        <v>-14003.482310408064</v>
      </c>
      <c r="F15" s="648">
        <f t="shared" si="5"/>
        <v>-13833.74283209124</v>
      </c>
      <c r="G15" s="648">
        <f t="shared" si="5"/>
        <v>56718.386365368948</v>
      </c>
      <c r="H15" s="648">
        <f t="shared" si="5"/>
        <v>112014.52912232481</v>
      </c>
      <c r="I15" s="648">
        <f t="shared" si="5"/>
        <v>127442.35516330956</v>
      </c>
      <c r="J15" s="648">
        <f t="shared" si="5"/>
        <v>148802.92971995889</v>
      </c>
      <c r="K15" s="648">
        <f t="shared" si="5"/>
        <v>178335.48200252643</v>
      </c>
      <c r="L15" s="648">
        <f t="shared" si="5"/>
        <v>200757.73388502028</v>
      </c>
      <c r="M15" s="644"/>
      <c r="N15" s="644"/>
    </row>
    <row r="16" spans="1:27" s="644" customFormat="1">
      <c r="A16" s="664"/>
      <c r="B16" s="664"/>
      <c r="C16" s="668"/>
      <c r="D16" s="668"/>
      <c r="E16" s="668"/>
      <c r="F16" s="668"/>
      <c r="G16" s="668"/>
      <c r="H16" s="668"/>
      <c r="I16" s="668"/>
      <c r="J16" s="668"/>
      <c r="K16" s="668"/>
      <c r="L16" s="668"/>
      <c r="M16" s="664"/>
      <c r="N16" s="664"/>
      <c r="Q16" s="744"/>
      <c r="AA16" s="664"/>
    </row>
    <row r="17" spans="1:27">
      <c r="B17" s="753" t="s">
        <v>920</v>
      </c>
      <c r="C17" s="668">
        <f>'Cashflow forecast'!N27/1000</f>
        <v>18044.13925</v>
      </c>
      <c r="D17" s="668">
        <f>'Cashflow forecast'!O27/1000</f>
        <v>4277.1276399999988</v>
      </c>
      <c r="E17" s="668">
        <f>'Cashflow forecast'!P27/1000</f>
        <v>5470</v>
      </c>
      <c r="F17" s="668">
        <f>'Cashflow forecast'!Q27/1000</f>
        <v>0</v>
      </c>
      <c r="G17" s="668">
        <f>'Cashflow forecast'!R27/1000</f>
        <v>0</v>
      </c>
      <c r="H17" s="668">
        <f>'Cashflow forecast'!S27/1000</f>
        <v>0</v>
      </c>
      <c r="I17" s="668">
        <f>'Cashflow forecast'!T27/1000</f>
        <v>0</v>
      </c>
      <c r="J17" s="668">
        <f>'Cashflow forecast'!U27/1000</f>
        <v>0</v>
      </c>
      <c r="K17" s="668">
        <f>'Cashflow forecast'!V27/1000</f>
        <v>0</v>
      </c>
      <c r="L17" s="668">
        <f>'Cashflow forecast'!W27/1000</f>
        <v>0</v>
      </c>
    </row>
    <row r="18" spans="1:27">
      <c r="B18" s="669" t="s">
        <v>551</v>
      </c>
      <c r="C18" s="668">
        <f>'Cashflow forecast'!N29/1000</f>
        <v>-119.333</v>
      </c>
      <c r="D18" s="668">
        <f>'Cashflow forecast'!O29/1000</f>
        <v>-660.5286900000001</v>
      </c>
      <c r="E18" s="668">
        <f>'Cashflow forecast'!P29/1000</f>
        <v>0</v>
      </c>
      <c r="F18" s="668">
        <f>'Cashflow forecast'!Q29/1000</f>
        <v>0</v>
      </c>
      <c r="G18" s="668">
        <f>'Cashflow forecast'!R29/1000</f>
        <v>0</v>
      </c>
      <c r="H18" s="668">
        <f>'Cashflow forecast'!S29/1000</f>
        <v>0</v>
      </c>
      <c r="I18" s="668">
        <f>'Cashflow forecast'!T29/1000</f>
        <v>0</v>
      </c>
      <c r="J18" s="668">
        <f>'Cashflow forecast'!U29/1000</f>
        <v>0</v>
      </c>
      <c r="K18" s="668">
        <f>'Cashflow forecast'!V29/1000</f>
        <v>0</v>
      </c>
      <c r="L18" s="668">
        <f>'Cashflow forecast'!W29/1000</f>
        <v>0</v>
      </c>
      <c r="AA18" s="644"/>
    </row>
    <row r="19" spans="1:27">
      <c r="B19" s="669" t="s">
        <v>244</v>
      </c>
      <c r="C19" s="668">
        <f>('Cashflow forecast'!N30+'Cashflow forecast'!N31+'Cashflow forecast'!N32)/1000</f>
        <v>-33871.539043236313</v>
      </c>
      <c r="D19" s="668">
        <f>('Cashflow forecast'!O30+'Cashflow forecast'!O31+'Cashflow forecast'!O32)/1000</f>
        <v>-26859.792610000004</v>
      </c>
      <c r="E19" s="668">
        <f>('Cashflow forecast'!P30+'Cashflow forecast'!P31+'Cashflow forecast'!P32)/1000</f>
        <v>0</v>
      </c>
      <c r="F19" s="668">
        <f>('Cashflow forecast'!Q30+'Cashflow forecast'!Q31+'Cashflow forecast'!Q32)/1000</f>
        <v>0</v>
      </c>
      <c r="G19" s="668">
        <f>('Cashflow forecast'!R30+'Cashflow forecast'!R31+'Cashflow forecast'!R32)/1000</f>
        <v>0</v>
      </c>
      <c r="H19" s="668">
        <f>('Cashflow forecast'!S30+'Cashflow forecast'!S31+'Cashflow forecast'!S32)/1000</f>
        <v>0</v>
      </c>
      <c r="I19" s="668">
        <f>('Cashflow forecast'!T30+'Cashflow forecast'!T31+'Cashflow forecast'!T32)/1000</f>
        <v>0</v>
      </c>
      <c r="J19" s="668">
        <f>('Cashflow forecast'!U30+'Cashflow forecast'!U31+'Cashflow forecast'!U32)/1000</f>
        <v>0</v>
      </c>
      <c r="K19" s="668">
        <f>('Cashflow forecast'!V30+'Cashflow forecast'!V31+'Cashflow forecast'!V32)/1000</f>
        <v>0</v>
      </c>
      <c r="L19" s="668">
        <f>('Cashflow forecast'!W30+'Cashflow forecast'!W31+'Cashflow forecast'!W32)/1000</f>
        <v>0</v>
      </c>
    </row>
    <row r="20" spans="1:27">
      <c r="B20" s="670" t="s">
        <v>246</v>
      </c>
      <c r="C20" s="668">
        <f>'Cashflow forecast'!N33/1000</f>
        <v>-38704.397634366753</v>
      </c>
      <c r="D20" s="668">
        <f>'Cashflow forecast'!O33/1000</f>
        <v>-31310.149890000001</v>
      </c>
      <c r="E20" s="668">
        <f>'Cashflow forecast'!P33/1000</f>
        <v>0</v>
      </c>
      <c r="F20" s="668">
        <f>'Cashflow forecast'!Q33/1000</f>
        <v>0</v>
      </c>
      <c r="G20" s="668">
        <f>'Cashflow forecast'!R33/1000</f>
        <v>0</v>
      </c>
      <c r="H20" s="668">
        <f>'Cashflow forecast'!S33/1000</f>
        <v>0</v>
      </c>
      <c r="I20" s="668">
        <f>'Cashflow forecast'!T33/1000</f>
        <v>0</v>
      </c>
      <c r="J20" s="668">
        <f>'Cashflow forecast'!U33/1000</f>
        <v>0</v>
      </c>
      <c r="K20" s="668">
        <f>'Cashflow forecast'!V33/1000</f>
        <v>0</v>
      </c>
      <c r="L20" s="668">
        <f>'Cashflow forecast'!W33/1000</f>
        <v>0</v>
      </c>
    </row>
    <row r="21" spans="1:27">
      <c r="B21" s="670" t="s">
        <v>872</v>
      </c>
      <c r="C21" s="668">
        <f>'Cashflow forecast'!N34/1000</f>
        <v>0</v>
      </c>
      <c r="D21" s="668">
        <f>'Cashflow forecast'!O34/1000</f>
        <v>-4952</v>
      </c>
      <c r="E21" s="668">
        <f>'Cashflow forecast'!P34/1000</f>
        <v>-6200</v>
      </c>
      <c r="F21" s="668">
        <f>'Cashflow forecast'!Q34/1000</f>
        <v>-5475</v>
      </c>
      <c r="G21" s="668">
        <f>'Cashflow forecast'!R34/1000</f>
        <v>-6784</v>
      </c>
      <c r="H21" s="668">
        <f>'Cashflow forecast'!S34/1000</f>
        <v>0</v>
      </c>
      <c r="I21" s="668">
        <f>'Cashflow forecast'!T34/1000</f>
        <v>0</v>
      </c>
      <c r="J21" s="668">
        <f>'Cashflow forecast'!U34/1000</f>
        <v>0</v>
      </c>
      <c r="K21" s="668">
        <f>'Cashflow forecast'!V34/1000</f>
        <v>0</v>
      </c>
      <c r="L21" s="668">
        <f>'Cashflow forecast'!W34/1000</f>
        <v>0</v>
      </c>
    </row>
    <row r="22" spans="1:27">
      <c r="B22" s="670"/>
      <c r="C22" s="668"/>
      <c r="D22" s="668"/>
      <c r="E22" s="668"/>
      <c r="F22" s="668"/>
      <c r="G22" s="668"/>
      <c r="H22" s="668"/>
      <c r="I22" s="668"/>
      <c r="J22" s="668"/>
      <c r="K22" s="668"/>
      <c r="L22" s="668"/>
    </row>
    <row r="23" spans="1:27">
      <c r="A23" s="644"/>
      <c r="B23" s="644" t="s">
        <v>885</v>
      </c>
      <c r="C23" s="661">
        <f t="shared" ref="C23:L23" si="6">SUM(C17:C22)</f>
        <v>-54651.130427603064</v>
      </c>
      <c r="D23" s="661">
        <f t="shared" si="6"/>
        <v>-59505.343550000005</v>
      </c>
      <c r="E23" s="661">
        <f>SUM(E17:E22)</f>
        <v>-730</v>
      </c>
      <c r="F23" s="661">
        <f t="shared" si="6"/>
        <v>-5475</v>
      </c>
      <c r="G23" s="661">
        <f t="shared" si="6"/>
        <v>-6784</v>
      </c>
      <c r="H23" s="661">
        <f t="shared" si="6"/>
        <v>0</v>
      </c>
      <c r="I23" s="661">
        <f t="shared" si="6"/>
        <v>0</v>
      </c>
      <c r="J23" s="661">
        <f t="shared" si="6"/>
        <v>0</v>
      </c>
      <c r="K23" s="661">
        <f t="shared" si="6"/>
        <v>0</v>
      </c>
      <c r="L23" s="661">
        <f t="shared" si="6"/>
        <v>0</v>
      </c>
      <c r="M23" s="644"/>
      <c r="N23" s="644"/>
    </row>
    <row r="24" spans="1:27" s="644" customFormat="1">
      <c r="A24" s="664"/>
      <c r="B24" s="664"/>
      <c r="C24" s="668"/>
      <c r="D24" s="668"/>
      <c r="E24" s="668"/>
      <c r="F24" s="668"/>
      <c r="G24" s="668"/>
      <c r="H24" s="668"/>
      <c r="I24" s="668"/>
      <c r="J24" s="668"/>
      <c r="K24" s="668"/>
      <c r="L24" s="668"/>
      <c r="M24" s="664"/>
      <c r="N24" s="664"/>
      <c r="Q24" s="744"/>
      <c r="AA24" s="664"/>
    </row>
    <row r="25" spans="1:27">
      <c r="A25" s="656" t="s">
        <v>873</v>
      </c>
      <c r="B25" s="656"/>
      <c r="C25" s="671">
        <f t="shared" ref="C25:L25" si="7">C15+C23</f>
        <v>1926.5363910987362</v>
      </c>
      <c r="D25" s="671">
        <f t="shared" si="7"/>
        <v>49671.512247187115</v>
      </c>
      <c r="E25" s="671">
        <f t="shared" si="7"/>
        <v>-14733.482310408064</v>
      </c>
      <c r="F25" s="671">
        <f t="shared" si="7"/>
        <v>-19308.74283209124</v>
      </c>
      <c r="G25" s="671">
        <f t="shared" si="7"/>
        <v>49934.386365368948</v>
      </c>
      <c r="H25" s="671">
        <f t="shared" si="7"/>
        <v>112014.52912232481</v>
      </c>
      <c r="I25" s="671">
        <f t="shared" si="7"/>
        <v>127442.35516330956</v>
      </c>
      <c r="J25" s="671">
        <f t="shared" si="7"/>
        <v>148802.92971995889</v>
      </c>
      <c r="K25" s="671">
        <f t="shared" si="7"/>
        <v>178335.48200252643</v>
      </c>
      <c r="L25" s="671">
        <f t="shared" si="7"/>
        <v>200757.73388502028</v>
      </c>
      <c r="M25" s="656"/>
      <c r="N25" s="656"/>
    </row>
    <row r="26" spans="1:27" s="656" customFormat="1" ht="16.350000000000001" customHeight="1">
      <c r="A26" s="664"/>
      <c r="B26" s="664"/>
      <c r="C26" s="664"/>
      <c r="D26" s="664"/>
      <c r="E26" s="664"/>
      <c r="F26" s="664"/>
      <c r="G26" s="664"/>
      <c r="H26" s="664"/>
      <c r="I26" s="664"/>
      <c r="J26" s="664"/>
      <c r="K26" s="664"/>
      <c r="L26" s="664"/>
      <c r="M26" s="664"/>
      <c r="N26" s="664"/>
      <c r="Q26" s="745"/>
      <c r="AA26" s="644"/>
    </row>
    <row r="28" spans="1:27" s="747" customFormat="1" ht="15.75" thickBot="1">
      <c r="Q28" s="742"/>
      <c r="R28" s="664"/>
      <c r="S28" s="664"/>
      <c r="T28" s="664"/>
      <c r="U28" s="664"/>
      <c r="V28" s="664"/>
      <c r="W28" s="664"/>
      <c r="X28" s="664"/>
      <c r="Y28" s="664"/>
      <c r="Z28" s="664"/>
      <c r="AA28" s="656"/>
    </row>
    <row r="29" spans="1:27" s="746" customFormat="1">
      <c r="A29" s="664"/>
      <c r="B29" s="664"/>
      <c r="C29" s="664"/>
      <c r="D29" s="664"/>
      <c r="E29" s="664"/>
      <c r="F29" s="664"/>
      <c r="G29" s="664"/>
      <c r="H29" s="664"/>
      <c r="I29" s="664"/>
      <c r="J29" s="664"/>
      <c r="K29" s="664"/>
      <c r="L29" s="664"/>
      <c r="M29" s="664"/>
      <c r="N29" s="664"/>
      <c r="Q29" s="742"/>
      <c r="R29" s="664"/>
      <c r="S29" s="664"/>
      <c r="T29" s="664"/>
      <c r="U29" s="664"/>
      <c r="V29" s="664"/>
      <c r="W29" s="664"/>
      <c r="X29" s="664"/>
      <c r="Y29" s="664"/>
      <c r="Z29" s="664"/>
      <c r="AA29" s="664"/>
    </row>
    <row r="30" spans="1:27" ht="15.75" thickBot="1">
      <c r="A30" s="658" t="s">
        <v>283</v>
      </c>
      <c r="B30" s="665"/>
      <c r="C30" s="666" t="s">
        <v>51</v>
      </c>
      <c r="D30" s="666" t="s">
        <v>53</v>
      </c>
      <c r="E30" s="666" t="s">
        <v>53</v>
      </c>
      <c r="F30" s="666" t="s">
        <v>53</v>
      </c>
      <c r="G30" s="666" t="s">
        <v>53</v>
      </c>
      <c r="H30" s="666" t="s">
        <v>53</v>
      </c>
      <c r="I30" s="666" t="s">
        <v>53</v>
      </c>
      <c r="J30" s="666" t="s">
        <v>53</v>
      </c>
      <c r="K30" s="666" t="s">
        <v>53</v>
      </c>
      <c r="L30" s="666" t="s">
        <v>53</v>
      </c>
      <c r="M30" s="665"/>
      <c r="N30" s="665"/>
      <c r="Q30" s="748"/>
      <c r="R30" s="747"/>
      <c r="S30" s="747"/>
      <c r="T30" s="747"/>
      <c r="U30" s="747"/>
      <c r="V30" s="747"/>
      <c r="W30" s="747"/>
      <c r="X30" s="747"/>
      <c r="Y30" s="747"/>
      <c r="Z30" s="747"/>
      <c r="AA30" s="747"/>
    </row>
    <row r="31" spans="1:27" s="665" customFormat="1">
      <c r="C31" s="667" t="s">
        <v>5</v>
      </c>
      <c r="D31" s="667" t="s">
        <v>6</v>
      </c>
      <c r="E31" s="667" t="s">
        <v>7</v>
      </c>
      <c r="F31" s="667" t="s">
        <v>13</v>
      </c>
      <c r="G31" s="667" t="s">
        <v>14</v>
      </c>
      <c r="H31" s="667" t="s">
        <v>15</v>
      </c>
      <c r="I31" s="667" t="s">
        <v>16</v>
      </c>
      <c r="J31" s="667" t="s">
        <v>17</v>
      </c>
      <c r="K31" s="667" t="s">
        <v>18</v>
      </c>
      <c r="L31" s="667" t="s">
        <v>19</v>
      </c>
      <c r="Q31" s="743"/>
      <c r="AA31" s="746"/>
    </row>
    <row r="32" spans="1:27" s="665" customFormat="1">
      <c r="C32" s="667"/>
      <c r="D32" s="667"/>
      <c r="E32" s="667"/>
      <c r="F32" s="667"/>
      <c r="G32" s="667"/>
      <c r="H32" s="667"/>
      <c r="I32" s="667"/>
      <c r="J32" s="667"/>
      <c r="K32" s="667"/>
      <c r="L32" s="667"/>
      <c r="Q32" s="743"/>
      <c r="AA32" s="664"/>
    </row>
    <row r="33" spans="1:27" s="665" customFormat="1" ht="13.5" customHeight="1">
      <c r="A33" s="656" t="s">
        <v>873</v>
      </c>
      <c r="B33" s="656"/>
      <c r="C33" s="671">
        <f t="shared" ref="C33:L33" si="8">C25</f>
        <v>1926.5363910987362</v>
      </c>
      <c r="D33" s="671">
        <f t="shared" si="8"/>
        <v>49671.512247187115</v>
      </c>
      <c r="E33" s="671">
        <f t="shared" si="8"/>
        <v>-14733.482310408064</v>
      </c>
      <c r="F33" s="671">
        <f t="shared" si="8"/>
        <v>-19308.74283209124</v>
      </c>
      <c r="G33" s="671">
        <f t="shared" si="8"/>
        <v>49934.386365368948</v>
      </c>
      <c r="H33" s="671">
        <f t="shared" si="8"/>
        <v>112014.52912232481</v>
      </c>
      <c r="I33" s="671">
        <f t="shared" si="8"/>
        <v>127442.35516330956</v>
      </c>
      <c r="J33" s="671">
        <f t="shared" si="8"/>
        <v>148802.92971995889</v>
      </c>
      <c r="K33" s="671">
        <f t="shared" si="8"/>
        <v>178335.48200252643</v>
      </c>
      <c r="L33" s="671">
        <f t="shared" si="8"/>
        <v>200757.73388502028</v>
      </c>
      <c r="Q33" s="743"/>
    </row>
    <row r="34" spans="1:27" s="665" customFormat="1" ht="12.75">
      <c r="C34" s="667"/>
      <c r="D34" s="667"/>
      <c r="E34" s="667"/>
      <c r="F34" s="667"/>
      <c r="G34" s="667"/>
      <c r="H34" s="667"/>
      <c r="I34" s="667"/>
      <c r="J34" s="667"/>
      <c r="K34" s="667"/>
      <c r="L34" s="667"/>
      <c r="Q34" s="743"/>
    </row>
    <row r="35" spans="1:27" s="665" customFormat="1" ht="9" customHeight="1">
      <c r="A35" s="644" t="s">
        <v>874</v>
      </c>
      <c r="B35" s="664"/>
      <c r="C35" s="664"/>
      <c r="D35" s="664"/>
      <c r="E35" s="664"/>
      <c r="F35" s="664"/>
      <c r="G35" s="664"/>
      <c r="H35" s="664"/>
      <c r="I35" s="664"/>
      <c r="J35" s="664"/>
      <c r="K35" s="664"/>
      <c r="L35" s="664"/>
      <c r="M35" s="664"/>
      <c r="N35" s="664"/>
      <c r="Q35" s="743"/>
    </row>
    <row r="36" spans="1:27">
      <c r="B36" s="664" t="s">
        <v>875</v>
      </c>
      <c r="C36" s="668">
        <f>'Cashflow forecast'!N48/1000</f>
        <v>-850</v>
      </c>
      <c r="D36" s="668">
        <f>'Cashflow forecast'!O48/1000</f>
        <v>-1361.8119999999999</v>
      </c>
      <c r="E36" s="668">
        <f>'Cashflow forecast'!P48/1000</f>
        <v>-24428.799999999999</v>
      </c>
      <c r="F36" s="668">
        <f>'Cashflow forecast'!Q48/1000</f>
        <v>-3000</v>
      </c>
      <c r="G36" s="668">
        <f>'Cashflow forecast'!R48/1000</f>
        <v>-3000</v>
      </c>
      <c r="H36" s="668">
        <f>'Cashflow forecast'!S48/1000</f>
        <v>-5000</v>
      </c>
      <c r="I36" s="668">
        <f>'Cashflow forecast'!T48/1000</f>
        <v>-8000</v>
      </c>
      <c r="J36" s="668">
        <f>'Cashflow forecast'!U48/1000</f>
        <v>-10000</v>
      </c>
      <c r="K36" s="668">
        <f>'Cashflow forecast'!V48/1000</f>
        <v>-10000</v>
      </c>
      <c r="L36" s="668">
        <f>'Cashflow forecast'!W48/1000</f>
        <v>-10000</v>
      </c>
      <c r="AA36" s="665"/>
    </row>
    <row r="37" spans="1:27">
      <c r="B37" s="664" t="s">
        <v>251</v>
      </c>
      <c r="C37" s="668">
        <f>'Cashflow forecast'!N49/1000</f>
        <v>-77663.557990000016</v>
      </c>
      <c r="D37" s="668">
        <f>'Cashflow forecast'!O49/1000</f>
        <v>-57881.612999999998</v>
      </c>
      <c r="E37" s="668">
        <f>'Cashflow forecast'!P49/1000</f>
        <v>-25948.544000000002</v>
      </c>
      <c r="F37" s="668">
        <f>'Cashflow forecast'!Q49/1000</f>
        <v>0</v>
      </c>
      <c r="G37" s="668">
        <f>'Cashflow forecast'!R49/1000</f>
        <v>0</v>
      </c>
      <c r="H37" s="668">
        <f>'Cashflow forecast'!S49/1000</f>
        <v>0</v>
      </c>
      <c r="I37" s="668">
        <f>'Cashflow forecast'!T49/1000</f>
        <v>0</v>
      </c>
      <c r="J37" s="668">
        <f>'Cashflow forecast'!U49/1000</f>
        <v>0</v>
      </c>
      <c r="K37" s="668">
        <f>'Cashflow forecast'!V49/1000</f>
        <v>0</v>
      </c>
      <c r="L37" s="668">
        <f>'Cashflow forecast'!W49/1000</f>
        <v>0</v>
      </c>
      <c r="AA37" s="665"/>
    </row>
    <row r="38" spans="1:27">
      <c r="B38" s="664" t="s">
        <v>1282</v>
      </c>
      <c r="C38" s="668">
        <f>'Cashflow forecast'!N51/1000</f>
        <v>0</v>
      </c>
      <c r="D38" s="668">
        <f>'Cashflow forecast'!O51/1000</f>
        <v>-24865.834999999999</v>
      </c>
      <c r="E38" s="668">
        <f>'Cashflow forecast'!P51/1000</f>
        <v>-4465.8649999999998</v>
      </c>
      <c r="F38" s="668">
        <f>'Cashflow forecast'!Q51/1000</f>
        <v>0</v>
      </c>
      <c r="G38" s="668">
        <f>'Cashflow forecast'!R51/1000</f>
        <v>0</v>
      </c>
      <c r="H38" s="668">
        <f>'Cashflow forecast'!S51/1000</f>
        <v>0</v>
      </c>
      <c r="I38" s="668">
        <f>'Cashflow forecast'!T51/1000</f>
        <v>0</v>
      </c>
      <c r="J38" s="668">
        <f>'Cashflow forecast'!U51/1000</f>
        <v>0</v>
      </c>
      <c r="K38" s="668">
        <f>'Cashflow forecast'!V51/1000</f>
        <v>0</v>
      </c>
      <c r="L38" s="668">
        <f>'Cashflow forecast'!W51/1000</f>
        <v>0</v>
      </c>
    </row>
    <row r="40" spans="1:27" ht="16.5" customHeight="1">
      <c r="A40" s="656" t="s">
        <v>876</v>
      </c>
      <c r="B40" s="656"/>
      <c r="C40" s="671">
        <f t="shared" ref="C40:L40" si="9">SUM(C36:C39)</f>
        <v>-78513.557990000016</v>
      </c>
      <c r="D40" s="671">
        <f t="shared" si="9"/>
        <v>-84109.26</v>
      </c>
      <c r="E40" s="671">
        <f t="shared" si="9"/>
        <v>-54843.208999999995</v>
      </c>
      <c r="F40" s="671">
        <f t="shared" si="9"/>
        <v>-3000</v>
      </c>
      <c r="G40" s="671">
        <f t="shared" si="9"/>
        <v>-3000</v>
      </c>
      <c r="H40" s="671">
        <f t="shared" si="9"/>
        <v>-5000</v>
      </c>
      <c r="I40" s="671">
        <f t="shared" si="9"/>
        <v>-8000</v>
      </c>
      <c r="J40" s="671">
        <f t="shared" si="9"/>
        <v>-10000</v>
      </c>
      <c r="K40" s="671">
        <f t="shared" si="9"/>
        <v>-10000</v>
      </c>
      <c r="L40" s="671">
        <f t="shared" si="9"/>
        <v>-10000</v>
      </c>
      <c r="M40" s="656"/>
      <c r="N40" s="656"/>
    </row>
    <row r="41" spans="1:27" s="656" customFormat="1" ht="10.5" customHeight="1">
      <c r="A41" s="664"/>
      <c r="B41" s="664"/>
      <c r="C41" s="664"/>
      <c r="D41" s="664"/>
      <c r="E41" s="664"/>
      <c r="F41" s="664"/>
      <c r="G41" s="664"/>
      <c r="H41" s="664"/>
      <c r="I41" s="664"/>
      <c r="J41" s="664"/>
      <c r="K41" s="664"/>
      <c r="L41" s="664"/>
      <c r="M41" s="664"/>
      <c r="N41" s="664"/>
      <c r="Q41" s="745"/>
      <c r="AA41" s="664"/>
    </row>
    <row r="42" spans="1:27" ht="18" customHeight="1">
      <c r="A42" s="656" t="s">
        <v>877</v>
      </c>
      <c r="B42" s="656"/>
      <c r="C42" s="671">
        <f t="shared" ref="C42:L42" si="10">C40+C33</f>
        <v>-76587.02159890128</v>
      </c>
      <c r="D42" s="671">
        <f t="shared" si="10"/>
        <v>-34437.74775281288</v>
      </c>
      <c r="E42" s="671">
        <f t="shared" si="10"/>
        <v>-69576.69131040806</v>
      </c>
      <c r="F42" s="671">
        <f t="shared" si="10"/>
        <v>-22308.74283209124</v>
      </c>
      <c r="G42" s="671">
        <f t="shared" si="10"/>
        <v>46934.386365368948</v>
      </c>
      <c r="H42" s="671">
        <f t="shared" si="10"/>
        <v>107014.52912232481</v>
      </c>
      <c r="I42" s="671">
        <f t="shared" si="10"/>
        <v>119442.35516330956</v>
      </c>
      <c r="J42" s="671">
        <f t="shared" si="10"/>
        <v>138802.92971995889</v>
      </c>
      <c r="K42" s="671">
        <f t="shared" si="10"/>
        <v>168335.48200252643</v>
      </c>
      <c r="L42" s="671">
        <f t="shared" si="10"/>
        <v>190757.73388502028</v>
      </c>
      <c r="M42" s="656"/>
      <c r="N42" s="656"/>
    </row>
    <row r="43" spans="1:27" s="656" customFormat="1" ht="16.350000000000001" customHeight="1">
      <c r="A43" s="664"/>
      <c r="B43" s="672" t="s">
        <v>878</v>
      </c>
      <c r="C43" s="672">
        <f>C42</f>
        <v>-76587.02159890128</v>
      </c>
      <c r="D43" s="672">
        <f>C43+D42</f>
        <v>-111024.76935171416</v>
      </c>
      <c r="E43" s="672">
        <f t="shared" ref="E43:L43" si="11">D43+E42</f>
        <v>-180601.46066212223</v>
      </c>
      <c r="F43" s="672">
        <f t="shared" si="11"/>
        <v>-202910.20349421346</v>
      </c>
      <c r="G43" s="672">
        <f t="shared" si="11"/>
        <v>-155975.8171288445</v>
      </c>
      <c r="H43" s="672">
        <f t="shared" si="11"/>
        <v>-48961.288006519695</v>
      </c>
      <c r="I43" s="672">
        <f t="shared" si="11"/>
        <v>70481.067156789868</v>
      </c>
      <c r="J43" s="672">
        <f t="shared" si="11"/>
        <v>209283.99687674874</v>
      </c>
      <c r="K43" s="672">
        <f t="shared" si="11"/>
        <v>377619.47887927515</v>
      </c>
      <c r="L43" s="672">
        <f t="shared" si="11"/>
        <v>568377.2127642954</v>
      </c>
      <c r="M43" s="664"/>
      <c r="N43" s="664"/>
      <c r="Q43" s="745"/>
    </row>
    <row r="45" spans="1:27" ht="15" customHeight="1">
      <c r="A45" s="644" t="s">
        <v>879</v>
      </c>
      <c r="AA45" s="656"/>
    </row>
    <row r="46" spans="1:27" ht="15" customHeight="1">
      <c r="A46" s="644"/>
      <c r="B46" s="664" t="s">
        <v>1664</v>
      </c>
      <c r="C46" s="668">
        <f>'Cashflow forecast'!N73/1000</f>
        <v>0</v>
      </c>
      <c r="D46" s="668">
        <f>'Cashflow forecast'!O73/1000</f>
        <v>100000</v>
      </c>
      <c r="E46" s="668">
        <f>'Cashflow forecast'!P73/1000</f>
        <v>200000</v>
      </c>
      <c r="F46" s="668">
        <f>'Cashflow forecast'!Q73/1000</f>
        <v>50000</v>
      </c>
      <c r="G46" s="668">
        <f>'Cashflow forecast'!R73/1000</f>
        <v>0</v>
      </c>
      <c r="H46" s="668">
        <f>'Cashflow forecast'!S73/1000</f>
        <v>0</v>
      </c>
      <c r="I46" s="668">
        <f>'Cashflow forecast'!T73/1000</f>
        <v>0</v>
      </c>
      <c r="J46" s="668">
        <f>'Cashflow forecast'!U73/1000</f>
        <v>0</v>
      </c>
      <c r="K46" s="668">
        <f>'Cashflow forecast'!V73/1000</f>
        <v>0</v>
      </c>
      <c r="L46" s="668">
        <f>'Cashflow forecast'!W73/1000</f>
        <v>0</v>
      </c>
      <c r="AA46" s="656"/>
    </row>
    <row r="47" spans="1:27" ht="15" hidden="1" customHeight="1" outlineLevel="1">
      <c r="A47" s="644"/>
      <c r="B47" s="664" t="s">
        <v>1655</v>
      </c>
      <c r="C47" s="668">
        <f>SUM('Cashflow forecast'!N74:N75)/1000</f>
        <v>0</v>
      </c>
      <c r="D47" s="668">
        <f>SUM('Cashflow forecast'!O74:O75)/1000</f>
        <v>0</v>
      </c>
      <c r="E47" s="668">
        <f>SUM('Cashflow forecast'!P74:P75)/1000</f>
        <v>0</v>
      </c>
      <c r="F47" s="668">
        <f>SUM('Cashflow forecast'!Q74:Q75)/1000</f>
        <v>0</v>
      </c>
      <c r="G47" s="668">
        <f>SUM('Cashflow forecast'!R74:R75)/1000</f>
        <v>0</v>
      </c>
      <c r="H47" s="668">
        <f>SUM('Cashflow forecast'!S74:S75)/1000</f>
        <v>0</v>
      </c>
      <c r="I47" s="668">
        <f>SUM('Cashflow forecast'!T74:T75)/1000</f>
        <v>0</v>
      </c>
      <c r="J47" s="668">
        <f>SUM('Cashflow forecast'!U74:U75)/1000</f>
        <v>0</v>
      </c>
      <c r="K47" s="668">
        <f>SUM('Cashflow forecast'!V74:V75)/1000</f>
        <v>0</v>
      </c>
      <c r="L47" s="668">
        <f>SUM('Cashflow forecast'!W74:W75)/1000</f>
        <v>0</v>
      </c>
      <c r="AA47" s="656"/>
    </row>
    <row r="48" spans="1:27" ht="15" customHeight="1" collapsed="1">
      <c r="A48" s="644"/>
      <c r="B48" s="664" t="s">
        <v>1652</v>
      </c>
      <c r="C48" s="668">
        <f>'Cashflow forecast'!N67/1000</f>
        <v>0</v>
      </c>
      <c r="D48" s="668">
        <f>'Cashflow forecast'!O67/1000</f>
        <v>15000</v>
      </c>
      <c r="E48" s="668">
        <f>'Cashflow forecast'!P67/1000</f>
        <v>14100</v>
      </c>
      <c r="F48" s="668">
        <f>'Cashflow forecast'!Q67/1000</f>
        <v>0</v>
      </c>
      <c r="G48" s="668">
        <f>'Cashflow forecast'!R67/1000</f>
        <v>0</v>
      </c>
      <c r="H48" s="668">
        <f>'Cashflow forecast'!S67/1000</f>
        <v>0</v>
      </c>
      <c r="I48" s="668">
        <f>'Cashflow forecast'!T67/1000</f>
        <v>0</v>
      </c>
      <c r="J48" s="668">
        <f>'Cashflow forecast'!U67/1000</f>
        <v>0</v>
      </c>
      <c r="K48" s="668">
        <f>'Cashflow forecast'!V67/1000</f>
        <v>0</v>
      </c>
      <c r="L48" s="668">
        <f>'Cashflow forecast'!W67/1000</f>
        <v>0</v>
      </c>
      <c r="AA48" s="656"/>
    </row>
    <row r="49" spans="1:27" ht="15" customHeight="1">
      <c r="A49" s="644"/>
      <c r="B49" s="664" t="s">
        <v>1656</v>
      </c>
      <c r="C49" s="668">
        <f>SUM('Cashflow forecast'!N68:N69)/1000</f>
        <v>0</v>
      </c>
      <c r="D49" s="668">
        <f>SUM('Cashflow forecast'!O68:O69)/1000</f>
        <v>-1609.4546478082193</v>
      </c>
      <c r="E49" s="668">
        <f>SUM('Cashflow forecast'!P68:P69)/1000</f>
        <v>-4616.2310602739726</v>
      </c>
      <c r="F49" s="668">
        <f>SUM('Cashflow forecast'!Q68:Q69)/1000</f>
        <v>-6379.0398526027402</v>
      </c>
      <c r="G49" s="668">
        <f>SUM('Cashflow forecast'!R68:R69)/1000</f>
        <v>-6222.2959315068492</v>
      </c>
      <c r="H49" s="668">
        <f>SUM('Cashflow forecast'!S68:S69)/1000</f>
        <v>-6065.5520104109592</v>
      </c>
      <c r="I49" s="668">
        <f>SUM('Cashflow forecast'!T68:T69)/1000</f>
        <v>-4417.2243221917806</v>
      </c>
      <c r="J49" s="668">
        <f>SUM('Cashflow forecast'!U68:U69)/1000</f>
        <v>-1659.7676832876714</v>
      </c>
      <c r="K49" s="668">
        <f>SUM('Cashflow forecast'!V68:V69)/1000</f>
        <v>0</v>
      </c>
      <c r="L49" s="668">
        <f>SUM('Cashflow forecast'!W68:W69)/1000</f>
        <v>0</v>
      </c>
      <c r="AA49" s="656"/>
    </row>
    <row r="50" spans="1:27" ht="15" customHeight="1">
      <c r="A50" s="644"/>
      <c r="B50" s="664" t="s">
        <v>1654</v>
      </c>
      <c r="C50" s="668">
        <f>'Cashflow forecast'!N64/1000</f>
        <v>175391.698</v>
      </c>
      <c r="D50" s="668">
        <f>'Cashflow forecast'!O64/1000</f>
        <v>0</v>
      </c>
      <c r="E50" s="668">
        <f>'Cashflow forecast'!P64/1000</f>
        <v>0</v>
      </c>
      <c r="F50" s="668">
        <f>'Cashflow forecast'!Q64/1000</f>
        <v>0</v>
      </c>
      <c r="G50" s="668">
        <f>'Cashflow forecast'!R64/1000</f>
        <v>0</v>
      </c>
      <c r="H50" s="668">
        <f>'Cashflow forecast'!S64/1000</f>
        <v>0</v>
      </c>
      <c r="I50" s="668">
        <f>'Cashflow forecast'!T64/1000</f>
        <v>0</v>
      </c>
      <c r="J50" s="668">
        <f>'Cashflow forecast'!U64/1000</f>
        <v>0</v>
      </c>
      <c r="K50" s="668">
        <f>'Cashflow forecast'!V64/1000</f>
        <v>0</v>
      </c>
      <c r="L50" s="668">
        <f>'Cashflow forecast'!W64/1000</f>
        <v>0</v>
      </c>
      <c r="AA50" s="656"/>
    </row>
    <row r="51" spans="1:27" ht="15" customHeight="1">
      <c r="A51" s="644"/>
      <c r="B51" s="664" t="s">
        <v>1657</v>
      </c>
      <c r="C51" s="668">
        <f>SUM('Cashflow forecast'!N65:N66)/1000</f>
        <v>-65868.1897883333</v>
      </c>
      <c r="D51" s="668">
        <f>SUM('Cashflow forecast'!O65:O66)/1000</f>
        <v>-108636.599</v>
      </c>
      <c r="E51" s="668">
        <f>SUM('Cashflow forecast'!P65:P66)/1000</f>
        <v>-210053.59608333334</v>
      </c>
      <c r="F51" s="668">
        <f>SUM('Cashflow forecast'!Q65:Q66)/1000</f>
        <v>-244097.75671875</v>
      </c>
      <c r="G51" s="668">
        <f>SUM('Cashflow forecast'!R65:R66)/1000</f>
        <v>-274194.12556249998</v>
      </c>
      <c r="H51" s="668">
        <f>SUM('Cashflow forecast'!S65:S66)/1000</f>
        <v>-134615.68759374999</v>
      </c>
      <c r="I51" s="668">
        <f>SUM('Cashflow forecast'!T65:T66)/1000</f>
        <v>0</v>
      </c>
      <c r="J51" s="668">
        <f>SUM('Cashflow forecast'!U65:U66)/1000</f>
        <v>0</v>
      </c>
      <c r="K51" s="668">
        <f>SUM('Cashflow forecast'!V65:V66)/1000</f>
        <v>0</v>
      </c>
      <c r="L51" s="668">
        <f>SUM('Cashflow forecast'!W65:W66)/1000</f>
        <v>0</v>
      </c>
      <c r="AA51" s="656"/>
    </row>
    <row r="52" spans="1:27">
      <c r="B52" s="664" t="s">
        <v>1653</v>
      </c>
      <c r="C52" s="668">
        <f>('Cashflow forecast'!N76)/1000</f>
        <v>0</v>
      </c>
      <c r="D52" s="668">
        <f>('Cashflow forecast'!O76)/1000</f>
        <v>0</v>
      </c>
      <c r="E52" s="668">
        <f>('Cashflow forecast'!P76)/1000</f>
        <v>0</v>
      </c>
      <c r="F52" s="668">
        <f>('Cashflow forecast'!Q76)/1000</f>
        <v>0</v>
      </c>
      <c r="G52" s="668">
        <f>('Cashflow forecast'!R76)/1000</f>
        <v>0</v>
      </c>
      <c r="H52" s="668">
        <f>('Cashflow forecast'!S76)/1000</f>
        <v>0</v>
      </c>
      <c r="I52" s="668">
        <f>('Cashflow forecast'!T76)/1000</f>
        <v>0</v>
      </c>
      <c r="J52" s="668">
        <f>('Cashflow forecast'!U76)/1000</f>
        <v>0</v>
      </c>
      <c r="K52" s="668">
        <f>('Cashflow forecast'!V76)/1000</f>
        <v>0</v>
      </c>
      <c r="L52" s="668">
        <f>('Cashflow forecast'!W76)/1000</f>
        <v>0</v>
      </c>
    </row>
    <row r="53" spans="1:27">
      <c r="B53" s="664" t="s">
        <v>1658</v>
      </c>
      <c r="C53" s="668">
        <f>SUM('Cashflow forecast'!N77:N78)/1000</f>
        <v>0</v>
      </c>
      <c r="D53" s="668">
        <f>SUM('Cashflow forecast'!O77:O78)/1000</f>
        <v>0</v>
      </c>
      <c r="E53" s="668">
        <f>SUM('Cashflow forecast'!P77:P78)/1000</f>
        <v>0</v>
      </c>
      <c r="F53" s="668">
        <f>SUM('Cashflow forecast'!Q77:Q78)/1000</f>
        <v>0</v>
      </c>
      <c r="G53" s="668">
        <f>SUM('Cashflow forecast'!R77:R78)/1000</f>
        <v>0</v>
      </c>
      <c r="H53" s="668">
        <f>SUM('Cashflow forecast'!S77:S78)/1000</f>
        <v>0</v>
      </c>
      <c r="I53" s="668">
        <f>SUM('Cashflow forecast'!T77:T78)/1000</f>
        <v>0</v>
      </c>
      <c r="J53" s="668">
        <f>SUM('Cashflow forecast'!U77:U78)/1000</f>
        <v>0</v>
      </c>
      <c r="K53" s="668">
        <f>SUM('Cashflow forecast'!V77:V78)/1000</f>
        <v>0</v>
      </c>
      <c r="L53" s="668">
        <f>SUM('Cashflow forecast'!W77:W78)/1000</f>
        <v>0</v>
      </c>
    </row>
    <row r="55" spans="1:27" ht="18.75" customHeight="1">
      <c r="A55" s="656" t="s">
        <v>880</v>
      </c>
      <c r="B55" s="656"/>
      <c r="C55" s="671">
        <f>SUM(C46:C54)</f>
        <v>109523.5082116667</v>
      </c>
      <c r="D55" s="671">
        <f t="shared" ref="D55:L55" si="12">SUM(D46:D54)</f>
        <v>4753.9463521917787</v>
      </c>
      <c r="E55" s="671">
        <f t="shared" si="12"/>
        <v>-569.82714360731188</v>
      </c>
      <c r="F55" s="671">
        <f t="shared" si="12"/>
        <v>-200476.79657135275</v>
      </c>
      <c r="G55" s="671">
        <f t="shared" si="12"/>
        <v>-280416.42149400682</v>
      </c>
      <c r="H55" s="671">
        <f t="shared" si="12"/>
        <v>-140681.23960416095</v>
      </c>
      <c r="I55" s="671">
        <f t="shared" si="12"/>
        <v>-4417.2243221917806</v>
      </c>
      <c r="J55" s="671">
        <f t="shared" si="12"/>
        <v>-1659.7676832876714</v>
      </c>
      <c r="K55" s="671">
        <f t="shared" si="12"/>
        <v>0</v>
      </c>
      <c r="L55" s="671">
        <f t="shared" si="12"/>
        <v>0</v>
      </c>
      <c r="M55" s="656"/>
      <c r="N55" s="656"/>
      <c r="Q55" s="755" t="s">
        <v>816</v>
      </c>
      <c r="R55" s="666" t="s">
        <v>53</v>
      </c>
      <c r="S55" s="666" t="s">
        <v>53</v>
      </c>
      <c r="T55" s="666" t="s">
        <v>53</v>
      </c>
      <c r="U55" s="666" t="s">
        <v>53</v>
      </c>
      <c r="V55" s="666" t="s">
        <v>53</v>
      </c>
      <c r="W55" s="666" t="s">
        <v>53</v>
      </c>
      <c r="X55" s="666" t="s">
        <v>53</v>
      </c>
      <c r="Y55" s="666" t="s">
        <v>53</v>
      </c>
      <c r="Z55" s="666" t="s">
        <v>53</v>
      </c>
      <c r="AA55" s="666" t="s">
        <v>53</v>
      </c>
    </row>
    <row r="56" spans="1:27" s="656" customFormat="1" ht="9.75" customHeight="1">
      <c r="A56" s="664"/>
      <c r="B56" s="664"/>
      <c r="C56" s="664"/>
      <c r="D56" s="664"/>
      <c r="E56" s="664"/>
      <c r="F56" s="664"/>
      <c r="G56" s="664"/>
      <c r="H56" s="664"/>
      <c r="I56" s="664"/>
      <c r="J56" s="664"/>
      <c r="K56" s="664"/>
      <c r="L56" s="664"/>
      <c r="M56" s="664"/>
      <c r="N56" s="664"/>
      <c r="Q56" s="742"/>
      <c r="R56" s="764" t="s">
        <v>5</v>
      </c>
      <c r="S56" s="764" t="s">
        <v>6</v>
      </c>
      <c r="T56" s="764" t="s">
        <v>7</v>
      </c>
      <c r="U56" s="764" t="s">
        <v>13</v>
      </c>
      <c r="V56" s="764" t="s">
        <v>14</v>
      </c>
      <c r="W56" s="764" t="s">
        <v>15</v>
      </c>
      <c r="X56" s="764" t="s">
        <v>16</v>
      </c>
      <c r="Y56" s="764" t="s">
        <v>17</v>
      </c>
      <c r="Z56" s="764" t="s">
        <v>18</v>
      </c>
      <c r="AA56" s="764" t="s">
        <v>19</v>
      </c>
    </row>
    <row r="57" spans="1:27" ht="15.75" customHeight="1">
      <c r="A57" s="656" t="s">
        <v>881</v>
      </c>
      <c r="B57" s="656"/>
      <c r="C57" s="671">
        <f t="shared" ref="C57:L57" si="13">C55+C42</f>
        <v>32936.486612765424</v>
      </c>
      <c r="D57" s="671">
        <f t="shared" si="13"/>
        <v>-29683.801400621101</v>
      </c>
      <c r="E57" s="671">
        <f t="shared" si="13"/>
        <v>-70146.518454015371</v>
      </c>
      <c r="F57" s="671">
        <f t="shared" si="13"/>
        <v>-222785.53940344398</v>
      </c>
      <c r="G57" s="671">
        <f t="shared" si="13"/>
        <v>-233482.03512863786</v>
      </c>
      <c r="H57" s="671">
        <f t="shared" si="13"/>
        <v>-33666.71048183614</v>
      </c>
      <c r="I57" s="671">
        <f t="shared" si="13"/>
        <v>115025.13084111779</v>
      </c>
      <c r="J57" s="671">
        <f t="shared" si="13"/>
        <v>137143.16203667122</v>
      </c>
      <c r="K57" s="671">
        <f t="shared" si="13"/>
        <v>168335.48200252643</v>
      </c>
      <c r="L57" s="671">
        <f t="shared" si="13"/>
        <v>190757.73388502028</v>
      </c>
      <c r="M57" s="656"/>
      <c r="N57" s="656"/>
      <c r="Q57" s="754" t="s">
        <v>924</v>
      </c>
      <c r="R57" s="756">
        <f t="shared" ref="R57:AA57" si="14">R6</f>
        <v>55727.6668187018</v>
      </c>
      <c r="S57" s="756">
        <f t="shared" si="14"/>
        <v>107815.04379718711</v>
      </c>
      <c r="T57" s="756">
        <f t="shared" si="14"/>
        <v>-38432.28231040806</v>
      </c>
      <c r="U57" s="756">
        <f t="shared" si="14"/>
        <v>-16833.74283209124</v>
      </c>
      <c r="V57" s="756">
        <f t="shared" si="14"/>
        <v>53718.386365368948</v>
      </c>
      <c r="W57" s="756">
        <f t="shared" si="14"/>
        <v>107014.52912232481</v>
      </c>
      <c r="X57" s="756">
        <f t="shared" si="14"/>
        <v>119442.35516330956</v>
      </c>
      <c r="Y57" s="756">
        <f t="shared" si="14"/>
        <v>138802.92971995889</v>
      </c>
      <c r="Z57" s="756">
        <f t="shared" si="14"/>
        <v>168335.48200252643</v>
      </c>
      <c r="AA57" s="756">
        <f t="shared" si="14"/>
        <v>190757.73388502028</v>
      </c>
    </row>
    <row r="58" spans="1:27" s="656" customFormat="1" ht="16.350000000000001" customHeight="1">
      <c r="A58" s="664"/>
      <c r="B58" s="664"/>
      <c r="C58" s="664"/>
      <c r="D58" s="664"/>
      <c r="E58" s="664"/>
      <c r="F58" s="664"/>
      <c r="G58" s="664"/>
      <c r="H58" s="664"/>
      <c r="I58" s="664"/>
      <c r="J58" s="664"/>
      <c r="K58" s="664"/>
      <c r="L58" s="664"/>
      <c r="M58" s="664"/>
      <c r="N58" s="664"/>
      <c r="Q58" s="763" t="s">
        <v>921</v>
      </c>
      <c r="R58" s="760">
        <v>0.5</v>
      </c>
      <c r="S58" s="760">
        <v>0.25</v>
      </c>
      <c r="T58" s="760">
        <v>0.1</v>
      </c>
      <c r="U58" s="760">
        <v>0.1</v>
      </c>
      <c r="V58" s="760">
        <v>0.1</v>
      </c>
      <c r="W58" s="760">
        <v>0.1</v>
      </c>
      <c r="X58" s="760">
        <v>0.1</v>
      </c>
      <c r="Y58" s="760">
        <v>0.1</v>
      </c>
      <c r="Z58" s="760">
        <v>0.1</v>
      </c>
      <c r="AA58" s="760">
        <v>0.1</v>
      </c>
    </row>
    <row r="59" spans="1:27">
      <c r="A59" s="644" t="s">
        <v>882</v>
      </c>
      <c r="B59" s="644"/>
      <c r="C59" s="673">
        <f>'Cashflow forecast'!N86/1000</f>
        <v>132740.08584484292</v>
      </c>
      <c r="D59" s="673">
        <f>C61</f>
        <v>165676.57245760836</v>
      </c>
      <c r="E59" s="673">
        <f t="shared" ref="E59:L59" si="15">D61</f>
        <v>135992.77105698726</v>
      </c>
      <c r="F59" s="673">
        <f t="shared" si="15"/>
        <v>65846.252602971887</v>
      </c>
      <c r="G59" s="673">
        <f t="shared" si="15"/>
        <v>-156939.28680047209</v>
      </c>
      <c r="H59" s="673">
        <f t="shared" si="15"/>
        <v>-390421.32192910998</v>
      </c>
      <c r="I59" s="673">
        <f t="shared" si="15"/>
        <v>-424088.03241094609</v>
      </c>
      <c r="J59" s="673">
        <f t="shared" si="15"/>
        <v>-309062.90156982827</v>
      </c>
      <c r="K59" s="673">
        <f t="shared" si="15"/>
        <v>-171919.73953315706</v>
      </c>
      <c r="L59" s="673">
        <f t="shared" si="15"/>
        <v>-3584.2575306306244</v>
      </c>
      <c r="M59" s="644"/>
      <c r="N59" s="644"/>
      <c r="Q59" s="761" t="s">
        <v>922</v>
      </c>
      <c r="R59" s="657">
        <f t="shared" ref="R59:AA59" si="16">-R6*R58</f>
        <v>-27863.8334093509</v>
      </c>
      <c r="S59" s="657">
        <f t="shared" si="16"/>
        <v>-26953.760949296779</v>
      </c>
      <c r="T59" s="657">
        <f t="shared" si="16"/>
        <v>3843.2282310408063</v>
      </c>
      <c r="U59" s="657">
        <f t="shared" si="16"/>
        <v>1683.3742832091241</v>
      </c>
      <c r="V59" s="657">
        <f t="shared" si="16"/>
        <v>-5371.8386365368951</v>
      </c>
      <c r="W59" s="657">
        <f t="shared" si="16"/>
        <v>-10701.452912232482</v>
      </c>
      <c r="X59" s="657">
        <f t="shared" si="16"/>
        <v>-11944.235516330957</v>
      </c>
      <c r="Y59" s="657">
        <f t="shared" si="16"/>
        <v>-13880.29297199589</v>
      </c>
      <c r="Z59" s="657">
        <f t="shared" si="16"/>
        <v>-16833.548200252644</v>
      </c>
      <c r="AA59" s="657">
        <f t="shared" si="16"/>
        <v>-19075.773388502028</v>
      </c>
    </row>
    <row r="60" spans="1:27" s="644" customFormat="1">
      <c r="A60" s="664"/>
      <c r="B60" s="664"/>
      <c r="C60" s="668"/>
      <c r="D60" s="668"/>
      <c r="E60" s="668"/>
      <c r="F60" s="668"/>
      <c r="G60" s="668"/>
      <c r="H60" s="668"/>
      <c r="I60" s="668"/>
      <c r="J60" s="668"/>
      <c r="K60" s="668"/>
      <c r="L60" s="668"/>
      <c r="M60" s="664"/>
      <c r="N60" s="664"/>
      <c r="Q60" s="754" t="s">
        <v>923</v>
      </c>
      <c r="R60" s="762">
        <f>R57+R59</f>
        <v>27863.8334093509</v>
      </c>
      <c r="S60" s="762">
        <f t="shared" ref="S60:AA60" si="17">S57+S59</f>
        <v>80861.282847890339</v>
      </c>
      <c r="T60" s="762">
        <f t="shared" si="17"/>
        <v>-34589.054079367255</v>
      </c>
      <c r="U60" s="762">
        <f t="shared" si="17"/>
        <v>-15150.368548882116</v>
      </c>
      <c r="V60" s="762">
        <f t="shared" si="17"/>
        <v>48346.547728832054</v>
      </c>
      <c r="W60" s="762">
        <f t="shared" si="17"/>
        <v>96313.076210092317</v>
      </c>
      <c r="X60" s="762">
        <f t="shared" si="17"/>
        <v>107498.11964697861</v>
      </c>
      <c r="Y60" s="762">
        <f t="shared" si="17"/>
        <v>124922.636747963</v>
      </c>
      <c r="Z60" s="762">
        <f t="shared" si="17"/>
        <v>151501.93380227379</v>
      </c>
      <c r="AA60" s="762">
        <f t="shared" si="17"/>
        <v>171681.96049651824</v>
      </c>
    </row>
    <row r="61" spans="1:27">
      <c r="A61" s="644" t="s">
        <v>883</v>
      </c>
      <c r="B61" s="644"/>
      <c r="C61" s="673">
        <f t="shared" ref="C61:L61" si="18">C57+C59</f>
        <v>165676.57245760836</v>
      </c>
      <c r="D61" s="673">
        <f t="shared" si="18"/>
        <v>135992.77105698726</v>
      </c>
      <c r="E61" s="673">
        <f t="shared" si="18"/>
        <v>65846.252602971887</v>
      </c>
      <c r="F61" s="673">
        <f t="shared" si="18"/>
        <v>-156939.28680047209</v>
      </c>
      <c r="G61" s="673">
        <f t="shared" si="18"/>
        <v>-390421.32192910998</v>
      </c>
      <c r="H61" s="673">
        <f t="shared" si="18"/>
        <v>-424088.03241094609</v>
      </c>
      <c r="I61" s="673">
        <f t="shared" si="18"/>
        <v>-309062.90156982827</v>
      </c>
      <c r="J61" s="673">
        <f t="shared" si="18"/>
        <v>-171919.73953315706</v>
      </c>
      <c r="K61" s="673">
        <f t="shared" si="18"/>
        <v>-3584.2575306306244</v>
      </c>
      <c r="L61" s="673">
        <f t="shared" si="18"/>
        <v>187173.47635438966</v>
      </c>
      <c r="M61" s="644"/>
      <c r="N61" s="644"/>
      <c r="R61" s="668"/>
      <c r="S61" s="668"/>
      <c r="T61" s="668"/>
      <c r="U61" s="668"/>
      <c r="V61" s="668"/>
      <c r="W61" s="668"/>
      <c r="X61" s="668"/>
      <c r="Y61" s="668"/>
      <c r="Z61" s="668"/>
      <c r="AA61" s="668"/>
    </row>
    <row r="62" spans="1:27" s="644" customFormat="1">
      <c r="A62" s="664"/>
      <c r="B62" s="664"/>
      <c r="C62" s="664"/>
      <c r="D62" s="664"/>
      <c r="E62" s="664"/>
      <c r="F62" s="664"/>
      <c r="G62" s="664"/>
      <c r="H62" s="664"/>
      <c r="I62" s="664"/>
      <c r="J62" s="664"/>
      <c r="K62" s="664"/>
      <c r="L62" s="664"/>
      <c r="M62" s="664"/>
      <c r="N62" s="664"/>
      <c r="Q62" s="743"/>
      <c r="R62" s="666" t="s">
        <v>53</v>
      </c>
      <c r="S62" s="666" t="s">
        <v>53</v>
      </c>
      <c r="T62" s="666" t="s">
        <v>53</v>
      </c>
      <c r="U62" s="666" t="s">
        <v>53</v>
      </c>
      <c r="V62" s="666" t="s">
        <v>53</v>
      </c>
      <c r="W62" s="666" t="s">
        <v>53</v>
      </c>
      <c r="X62" s="666" t="s">
        <v>53</v>
      </c>
      <c r="Y62" s="666" t="s">
        <v>53</v>
      </c>
      <c r="Z62" s="666" t="s">
        <v>53</v>
      </c>
      <c r="AA62" s="666" t="s">
        <v>53</v>
      </c>
    </row>
    <row r="63" spans="1:27">
      <c r="A63" s="674" t="s">
        <v>884</v>
      </c>
      <c r="B63" s="674"/>
      <c r="C63" s="675">
        <f>'Cashflow forecast'!N88/1000-C61</f>
        <v>0</v>
      </c>
      <c r="D63" s="675">
        <f>'Cashflow forecast'!O88/1000-D61</f>
        <v>3051.6780823916197</v>
      </c>
      <c r="E63" s="675">
        <f>'Cashflow forecast'!P88/1000-E61</f>
        <v>14215.400814706678</v>
      </c>
      <c r="F63" s="675">
        <f>'Cashflow forecast'!Q88/1000-F61</f>
        <v>28497.197386059415</v>
      </c>
      <c r="G63" s="675">
        <f>'Cashflow forecast'!R88/1000-G61</f>
        <v>36343.618880066206</v>
      </c>
      <c r="H63" s="675">
        <f>'Cashflow forecast'!S88/1000-H61</f>
        <v>37829.858484227152</v>
      </c>
      <c r="I63" s="675">
        <f>'Cashflow forecast'!T88/1000-I61</f>
        <v>37927.082806418883</v>
      </c>
      <c r="J63" s="675">
        <f>'Cashflow forecast'!U88/1000-J61</f>
        <v>37941.850489706529</v>
      </c>
      <c r="K63" s="675">
        <f>'Cashflow forecast'!V88/1000-K61</f>
        <v>37941.850489706521</v>
      </c>
      <c r="L63" s="675">
        <f>'Cashflow forecast'!W88/1000-L61</f>
        <v>37941.850489706558</v>
      </c>
      <c r="M63" s="674"/>
      <c r="N63" s="674"/>
      <c r="Q63" s="553" t="s">
        <v>10</v>
      </c>
      <c r="R63" s="556" t="s">
        <v>5</v>
      </c>
      <c r="S63" s="556" t="s">
        <v>6</v>
      </c>
      <c r="T63" s="556" t="s">
        <v>7</v>
      </c>
      <c r="U63" s="556" t="s">
        <v>13</v>
      </c>
      <c r="V63" s="556" t="s">
        <v>14</v>
      </c>
      <c r="W63" s="556" t="s">
        <v>15</v>
      </c>
      <c r="X63" s="556" t="s">
        <v>16</v>
      </c>
      <c r="Y63" s="556" t="s">
        <v>17</v>
      </c>
      <c r="Z63" s="556" t="s">
        <v>18</v>
      </c>
      <c r="AA63" s="556" t="s">
        <v>19</v>
      </c>
    </row>
    <row r="64" spans="1:27" s="674" customFormat="1">
      <c r="A64" s="664"/>
      <c r="B64" s="664"/>
      <c r="C64" s="664"/>
      <c r="D64" s="664"/>
      <c r="E64" s="664"/>
      <c r="F64" s="664"/>
      <c r="G64" s="664"/>
      <c r="H64" s="664"/>
      <c r="I64" s="664"/>
      <c r="J64" s="664"/>
      <c r="K64" s="664"/>
      <c r="L64" s="664"/>
      <c r="M64" s="664"/>
      <c r="N64" s="664"/>
      <c r="Q64" s="757" t="s">
        <v>208</v>
      </c>
      <c r="R64" s="749">
        <f t="shared" ref="R64:AA64" si="19">R59+R6</f>
        <v>27863.8334093509</v>
      </c>
      <c r="S64" s="749">
        <f t="shared" si="19"/>
        <v>80861.282847890339</v>
      </c>
      <c r="T64" s="749">
        <f t="shared" si="19"/>
        <v>-34589.054079367255</v>
      </c>
      <c r="U64" s="749">
        <f t="shared" si="19"/>
        <v>-15150.368548882116</v>
      </c>
      <c r="V64" s="749">
        <f t="shared" si="19"/>
        <v>48346.547728832054</v>
      </c>
      <c r="W64" s="749">
        <f t="shared" si="19"/>
        <v>96313.076210092317</v>
      </c>
      <c r="X64" s="749">
        <f t="shared" si="19"/>
        <v>107498.11964697861</v>
      </c>
      <c r="Y64" s="749">
        <f t="shared" si="19"/>
        <v>124922.636747963</v>
      </c>
      <c r="Z64" s="749">
        <f t="shared" si="19"/>
        <v>151501.93380227379</v>
      </c>
      <c r="AA64" s="749">
        <f t="shared" si="19"/>
        <v>171681.96049651824</v>
      </c>
    </row>
    <row r="65" spans="17:27">
      <c r="Q65" s="757" t="s">
        <v>209</v>
      </c>
      <c r="R65" s="749">
        <f t="shared" ref="R65:AA65" si="20">R7</f>
        <v>-54651.130427603064</v>
      </c>
      <c r="S65" s="749">
        <f t="shared" si="20"/>
        <v>-59505.343550000005</v>
      </c>
      <c r="T65" s="749">
        <f t="shared" si="20"/>
        <v>-730</v>
      </c>
      <c r="U65" s="749">
        <f t="shared" si="20"/>
        <v>-5475</v>
      </c>
      <c r="V65" s="749">
        <f t="shared" si="20"/>
        <v>-6784</v>
      </c>
      <c r="W65" s="749">
        <f t="shared" si="20"/>
        <v>0</v>
      </c>
      <c r="X65" s="749">
        <f t="shared" si="20"/>
        <v>0</v>
      </c>
      <c r="Y65" s="749">
        <f t="shared" si="20"/>
        <v>0</v>
      </c>
      <c r="Z65" s="749">
        <f t="shared" si="20"/>
        <v>0</v>
      </c>
      <c r="AA65" s="749">
        <f t="shared" si="20"/>
        <v>0</v>
      </c>
    </row>
    <row r="66" spans="17:27">
      <c r="Q66" s="757" t="s">
        <v>210</v>
      </c>
      <c r="R66" s="749">
        <f t="shared" ref="R66:AA66" si="21">R8</f>
        <v>-77663.557990000016</v>
      </c>
      <c r="S66" s="749">
        <f t="shared" si="21"/>
        <v>-82747.448000000004</v>
      </c>
      <c r="T66" s="749">
        <f t="shared" si="21"/>
        <v>-30414.409</v>
      </c>
      <c r="U66" s="749">
        <f t="shared" si="21"/>
        <v>0</v>
      </c>
      <c r="V66" s="749">
        <f t="shared" si="21"/>
        <v>0</v>
      </c>
      <c r="W66" s="749">
        <f t="shared" si="21"/>
        <v>0</v>
      </c>
      <c r="X66" s="749">
        <f t="shared" si="21"/>
        <v>0</v>
      </c>
      <c r="Y66" s="749">
        <f t="shared" si="21"/>
        <v>0</v>
      </c>
      <c r="Z66" s="749">
        <f t="shared" si="21"/>
        <v>0</v>
      </c>
      <c r="AA66" s="749">
        <f t="shared" si="21"/>
        <v>0</v>
      </c>
    </row>
    <row r="67" spans="17:27">
      <c r="Q67" s="757" t="s">
        <v>211</v>
      </c>
      <c r="R67" s="749">
        <f t="shared" ref="R67:AA67" si="22">R9</f>
        <v>109523.5082116667</v>
      </c>
      <c r="S67" s="749">
        <f t="shared" si="22"/>
        <v>4753.9463521917787</v>
      </c>
      <c r="T67" s="749">
        <f t="shared" si="22"/>
        <v>-569.82714360731188</v>
      </c>
      <c r="U67" s="749">
        <f t="shared" si="22"/>
        <v>-200476.79657135275</v>
      </c>
      <c r="V67" s="749">
        <f t="shared" si="22"/>
        <v>-280416.42149400682</v>
      </c>
      <c r="W67" s="749">
        <f t="shared" si="22"/>
        <v>-140681.23960416095</v>
      </c>
      <c r="X67" s="749">
        <f t="shared" si="22"/>
        <v>-4417.2243221917806</v>
      </c>
      <c r="Y67" s="749">
        <f t="shared" si="22"/>
        <v>-1659.7676832876714</v>
      </c>
      <c r="Z67" s="749">
        <f t="shared" si="22"/>
        <v>0</v>
      </c>
      <c r="AA67" s="749">
        <f t="shared" si="22"/>
        <v>0</v>
      </c>
    </row>
    <row r="68" spans="17:27">
      <c r="Q68" s="554" t="s">
        <v>212</v>
      </c>
      <c r="R68" s="758">
        <f>Q70+SUM(R64:R67)</f>
        <v>137812.73904825744</v>
      </c>
      <c r="S68" s="758">
        <f>R68+SUM(S64:S67)</f>
        <v>81175.17669833955</v>
      </c>
      <c r="T68" s="758">
        <f t="shared" ref="T68:AA68" si="23">S68+SUM(T64:T67)</f>
        <v>14871.886475364983</v>
      </c>
      <c r="U68" s="758">
        <f t="shared" si="23"/>
        <v>-206230.27864486986</v>
      </c>
      <c r="V68" s="758">
        <f t="shared" si="23"/>
        <v>-445084.15241004463</v>
      </c>
      <c r="W68" s="758">
        <f t="shared" si="23"/>
        <v>-489452.31580411328</v>
      </c>
      <c r="X68" s="758">
        <f t="shared" si="23"/>
        <v>-386371.42047932645</v>
      </c>
      <c r="Y68" s="758">
        <f t="shared" si="23"/>
        <v>-263108.5514146511</v>
      </c>
      <c r="Z68" s="758">
        <f t="shared" si="23"/>
        <v>-111606.6176123773</v>
      </c>
      <c r="AA68" s="758">
        <f t="shared" si="23"/>
        <v>60075.342884140933</v>
      </c>
    </row>
    <row r="69" spans="17:27">
      <c r="Q69" s="555" t="s">
        <v>213</v>
      </c>
      <c r="R69" s="759">
        <f t="shared" ref="R69:AA69" si="24">R12</f>
        <v>-921500</v>
      </c>
      <c r="S69" s="759">
        <f t="shared" si="24"/>
        <v>-824500</v>
      </c>
      <c r="T69" s="759">
        <f t="shared" si="24"/>
        <v>-630500</v>
      </c>
      <c r="U69" s="759">
        <f t="shared" si="24"/>
        <v>-400125</v>
      </c>
      <c r="V69" s="759">
        <f t="shared" si="24"/>
        <v>-133374.99999999997</v>
      </c>
      <c r="W69" s="759">
        <f t="shared" si="24"/>
        <v>4.470348358154297E-11</v>
      </c>
      <c r="X69" s="759">
        <f t="shared" si="24"/>
        <v>4.470348358154297E-11</v>
      </c>
      <c r="Y69" s="759">
        <f t="shared" si="24"/>
        <v>4.470348358154297E-11</v>
      </c>
      <c r="Z69" s="759">
        <f t="shared" si="24"/>
        <v>4.470348358154297E-11</v>
      </c>
      <c r="AA69" s="759">
        <f t="shared" si="24"/>
        <v>4.470348358154297E-11</v>
      </c>
    </row>
    <row r="70" spans="17:27">
      <c r="Q70" s="750">
        <f>Q14</f>
        <v>132740.08584484292</v>
      </c>
    </row>
  </sheetData>
  <phoneticPr fontId="301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Tax Allowance 2021-08</vt:lpstr>
      <vt:lpstr>Core P&amp;L</vt:lpstr>
      <vt:lpstr>Non-Core P&amp;L</vt:lpstr>
      <vt:lpstr>Core Opex Proj.</vt:lpstr>
      <vt:lpstr>Non-Core Opex Proj.</vt:lpstr>
      <vt:lpstr>Inorganic</vt:lpstr>
      <vt:lpstr>12 years sales &amp; PL forecast</vt:lpstr>
      <vt:lpstr>Sales &amp; AnP Forecast</vt:lpstr>
      <vt:lpstr>Manufacturing cost analysis</vt:lpstr>
      <vt:lpstr>Production Plan</vt:lpstr>
      <vt:lpstr>YL Capex (31 Mar 2021)</vt:lpstr>
      <vt:lpstr>Cashflow forecast</vt:lpstr>
      <vt:lpstr>Cashflow trend</vt:lpstr>
      <vt:lpstr>Green Loan</vt:lpstr>
      <vt:lpstr>12 yrs forecast comparsion</vt:lpstr>
      <vt:lpstr>Project cost summary</vt:lpstr>
      <vt:lpstr>Loans summary</vt:lpstr>
      <vt:lpstr>Final Terms of Loan Financing</vt:lpstr>
      <vt:lpstr>Modify Terms of Loan Repayment</vt:lpstr>
      <vt:lpstr>Summary of loan modification</vt:lpstr>
      <vt:lpstr>Sales Analysis</vt:lpstr>
      <vt:lpstr>2021 vs 1920</vt:lpstr>
      <vt:lpstr>vs LY comparison</vt:lpstr>
      <vt:lpstr>Bank-P&amp;L Summary</vt:lpstr>
      <vt:lpstr>Bank-Cashflow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Joyce Fong</dc:creator>
  <cp:lastModifiedBy>Chris Chiu</cp:lastModifiedBy>
  <cp:lastPrinted>2021-09-28T09:04:06Z</cp:lastPrinted>
  <dcterms:created xsi:type="dcterms:W3CDTF">2018-02-27T01:34:35Z</dcterms:created>
  <dcterms:modified xsi:type="dcterms:W3CDTF">2022-08-11T03:17:34Z</dcterms:modified>
</cp:coreProperties>
</file>